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hilagas-my.sharepoint.com/personal/alex_cann_pgworks_com/Documents/Data Mapping (7 Reports)/GSD Historical Data/"/>
    </mc:Choice>
  </mc:AlternateContent>
  <xr:revisionPtr revIDLastSave="95" documentId="13_ncr:4000b_{FC9B143B-651B-4AB8-86E1-D2EB3EA65E06}" xr6:coauthVersionLast="47" xr6:coauthVersionMax="47" xr10:uidLastSave="{3692D760-09AA-467B-B711-980B533359E9}"/>
  <bookViews>
    <workbookView xWindow="-120" yWindow="-120" windowWidth="29040" windowHeight="15720" tabRatio="865" activeTab="9" xr2:uid="{00000000-000D-0000-FFFF-FFFF00000000}"/>
  </bookViews>
  <sheets>
    <sheet name="INSTRUCTIONS" sheetId="16" r:id="rId1"/>
    <sheet name="stations_2007" sheetId="17" r:id="rId2"/>
    <sheet name="weather_2007" sheetId="18" r:id="rId3"/>
    <sheet name="pipeline_2007" sheetId="20" r:id="rId4"/>
    <sheet name="facilities_2007" sheetId="21" r:id="rId5"/>
    <sheet name="M&amp;R Stations" sheetId="1" r:id="rId6"/>
    <sheet name="Pipeline Gas" sheetId="2" r:id="rId7"/>
    <sheet name="Weather" sheetId="3" r:id="rId8"/>
    <sheet name="LNG Facilities" sheetId="5" r:id="rId9"/>
    <sheet name="NG Utilization" sheetId="7" r:id="rId10"/>
    <sheet name="Adj" sheetId="9" state="hidden" r:id="rId11"/>
    <sheet name="Sendout" sheetId="4" r:id="rId12"/>
    <sheet name="Titrator" sheetId="13" r:id="rId13"/>
    <sheet name="Odor" sheetId="15" r:id="rId14"/>
    <sheet name="GSD Report II" sheetId="11" r:id="rId15"/>
    <sheet name="GSD Yearly" sheetId="12" state="hidden" r:id="rId16"/>
  </sheets>
  <externalReferences>
    <externalReference r:id="rId17"/>
  </externalReferences>
  <definedNames>
    <definedName name="Day">Sendout!$A$8:$T$385</definedName>
    <definedName name="ExternalData_1" localSheetId="4" hidden="1">facilities_2007!$A$1:$D$8036</definedName>
    <definedName name="ExternalData_1" localSheetId="1" hidden="1">stations_2007!$A$1:$D$4016</definedName>
    <definedName name="ExternalData_1" localSheetId="2" hidden="1">weather_2007!$A$1:$C$2191</definedName>
    <definedName name="ExternalData_2" localSheetId="3" hidden="1">pipeline_2007!$A$1:$E$9856</definedName>
    <definedName name="Fuel">'NG Utilization'!$A$8:$Z$386</definedName>
    <definedName name="JAN">[1]Lookup!$B$138:$L$168</definedName>
    <definedName name="LNG">'LNG Facilities'!$A$1:$X$366</definedName>
    <definedName name="MAR">[1]Lookup!$B$201:$L$231</definedName>
    <definedName name="ODOR">Odor!$A$8:$Y$384</definedName>
    <definedName name="Pipe">'Pipeline Gas'!$A$2:$AB$366</definedName>
    <definedName name="_xlnm.Print_Area" localSheetId="14">'GSD Report II'!$A$1:$I$75</definedName>
    <definedName name="_xlnm.Print_Area" localSheetId="15">'GSD Yearly'!$A$1:$I$73</definedName>
    <definedName name="_xlnm.Print_Area" localSheetId="8">'LNG Facilities'!$A$32:$V$62</definedName>
    <definedName name="_xlnm.Print_Area" localSheetId="13">Odor!$A$1:$Y$384</definedName>
    <definedName name="_xlnm.Print_Area" localSheetId="12">Titrator!$A$1:$W$38</definedName>
    <definedName name="_xlnm.Print_Titles" localSheetId="8">'LNG Facilities'!$1:$1</definedName>
    <definedName name="Sendout">Sendout!$A$8:$T$385</definedName>
    <definedName name="Stations">'M&amp;R Stations'!$A$2:$L$367</definedName>
    <definedName name="TITR">Titrator!$A$8:$W$384</definedName>
    <definedName name="Weather">Weather!$A$2:$G$366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74" i="15" l="1"/>
  <c r="R368" i="15"/>
  <c r="H2" i="11"/>
  <c r="W318" i="13"/>
  <c r="T307" i="13"/>
  <c r="A3" i="1"/>
  <c r="A4" i="1" s="1"/>
  <c r="J276" i="15"/>
  <c r="O251" i="15"/>
  <c r="V247" i="7"/>
  <c r="Z246" i="7"/>
  <c r="V246" i="7"/>
  <c r="Z245" i="7"/>
  <c r="V245" i="7"/>
  <c r="Z244" i="7"/>
  <c r="V244" i="7"/>
  <c r="F265" i="4"/>
  <c r="F294" i="4"/>
  <c r="F295" i="4"/>
  <c r="F272" i="4"/>
  <c r="C244" i="7"/>
  <c r="C246" i="7"/>
  <c r="C247" i="7"/>
  <c r="C250" i="7"/>
  <c r="C251" i="7"/>
  <c r="C259" i="7"/>
  <c r="C261" i="7"/>
  <c r="C262" i="7"/>
  <c r="C265" i="7"/>
  <c r="C266" i="7"/>
  <c r="C267" i="7"/>
  <c r="C268" i="7"/>
  <c r="C269" i="7"/>
  <c r="C272" i="7"/>
  <c r="C273" i="7"/>
  <c r="C274" i="7"/>
  <c r="F274" i="4" s="1"/>
  <c r="N274" i="4" s="1"/>
  <c r="C275" i="7"/>
  <c r="C276" i="7"/>
  <c r="C279" i="7"/>
  <c r="C280" i="7"/>
  <c r="C281" i="7"/>
  <c r="C283" i="7"/>
  <c r="C287" i="7"/>
  <c r="F287" i="7" s="1"/>
  <c r="C288" i="7"/>
  <c r="C289" i="7"/>
  <c r="C291" i="7"/>
  <c r="C294" i="7"/>
  <c r="C295" i="7"/>
  <c r="C296" i="7"/>
  <c r="C308" i="7"/>
  <c r="C310" i="7"/>
  <c r="C311" i="7"/>
  <c r="C312" i="7"/>
  <c r="C315" i="7"/>
  <c r="C316" i="7"/>
  <c r="F316" i="7" s="1"/>
  <c r="C317" i="7"/>
  <c r="C319" i="7"/>
  <c r="C323" i="7"/>
  <c r="C346" i="7"/>
  <c r="C351" i="7"/>
  <c r="C354" i="7"/>
  <c r="C355" i="7"/>
  <c r="C356" i="7"/>
  <c r="C360" i="7"/>
  <c r="C361" i="7"/>
  <c r="C362" i="7"/>
  <c r="C363" i="7"/>
  <c r="F363" i="7" s="1"/>
  <c r="C366" i="7"/>
  <c r="C367" i="7"/>
  <c r="C368" i="7"/>
  <c r="C369" i="7"/>
  <c r="C370" i="7"/>
  <c r="C380" i="7"/>
  <c r="C383" i="7"/>
  <c r="A8" i="7"/>
  <c r="C384" i="7"/>
  <c r="D244" i="7"/>
  <c r="F244" i="4" s="1"/>
  <c r="N244" i="4" s="1"/>
  <c r="D246" i="7"/>
  <c r="D247" i="7"/>
  <c r="F247" i="7" s="1"/>
  <c r="D250" i="7"/>
  <c r="D251" i="7"/>
  <c r="D259" i="7"/>
  <c r="D261" i="7"/>
  <c r="D262" i="7"/>
  <c r="D265" i="7"/>
  <c r="D266" i="7"/>
  <c r="D267" i="7"/>
  <c r="D268" i="7"/>
  <c r="D269" i="7"/>
  <c r="D272" i="7"/>
  <c r="D273" i="7"/>
  <c r="F273" i="7" s="1"/>
  <c r="D274" i="7"/>
  <c r="D275" i="7"/>
  <c r="D276" i="7"/>
  <c r="D279" i="7"/>
  <c r="D280" i="7"/>
  <c r="D281" i="7"/>
  <c r="D283" i="7"/>
  <c r="D287" i="7"/>
  <c r="D288" i="7"/>
  <c r="F288" i="4" s="1"/>
  <c r="N288" i="4" s="1"/>
  <c r="D289" i="7"/>
  <c r="D291" i="7"/>
  <c r="D294" i="7"/>
  <c r="F294" i="7" s="1"/>
  <c r="D295" i="7"/>
  <c r="D296" i="7"/>
  <c r="D308" i="7"/>
  <c r="D310" i="7"/>
  <c r="F310" i="4" s="1"/>
  <c r="N310" i="4" s="1"/>
  <c r="D311" i="7"/>
  <c r="D312" i="7"/>
  <c r="D315" i="7"/>
  <c r="D316" i="7"/>
  <c r="D317" i="7"/>
  <c r="D319" i="7"/>
  <c r="D323" i="7"/>
  <c r="D340" i="7"/>
  <c r="F340" i="7" s="1"/>
  <c r="D351" i="7"/>
  <c r="D354" i="7"/>
  <c r="D355" i="7"/>
  <c r="D356" i="7"/>
  <c r="D360" i="7"/>
  <c r="D361" i="7"/>
  <c r="D362" i="7"/>
  <c r="D363" i="7"/>
  <c r="D366" i="7"/>
  <c r="D367" i="7"/>
  <c r="D368" i="7"/>
  <c r="D369" i="7"/>
  <c r="F369" i="7" s="1"/>
  <c r="D370" i="7"/>
  <c r="D380" i="7"/>
  <c r="D383" i="7"/>
  <c r="D384" i="7"/>
  <c r="E244" i="7"/>
  <c r="E246" i="7"/>
  <c r="E247" i="7"/>
  <c r="E250" i="7"/>
  <c r="E251" i="7"/>
  <c r="E259" i="7"/>
  <c r="E261" i="7"/>
  <c r="E262" i="7"/>
  <c r="F262" i="7" s="1"/>
  <c r="E265" i="7"/>
  <c r="E266" i="7"/>
  <c r="E267" i="7"/>
  <c r="E268" i="7"/>
  <c r="E269" i="7"/>
  <c r="E272" i="7"/>
  <c r="E273" i="7"/>
  <c r="E274" i="7"/>
  <c r="E275" i="7"/>
  <c r="E276" i="7"/>
  <c r="E279" i="7"/>
  <c r="E280" i="7"/>
  <c r="F280" i="7" s="1"/>
  <c r="E281" i="7"/>
  <c r="E283" i="7"/>
  <c r="E287" i="7"/>
  <c r="E288" i="7"/>
  <c r="E289" i="7"/>
  <c r="E291" i="7"/>
  <c r="E294" i="7"/>
  <c r="E295" i="7"/>
  <c r="E296" i="7"/>
  <c r="E308" i="7"/>
  <c r="E310" i="7"/>
  <c r="E311" i="7"/>
  <c r="F311" i="7" s="1"/>
  <c r="E312" i="7"/>
  <c r="E315" i="7"/>
  <c r="E316" i="7"/>
  <c r="E317" i="7"/>
  <c r="E319" i="7"/>
  <c r="E323" i="7"/>
  <c r="E351" i="7"/>
  <c r="E354" i="7"/>
  <c r="E355" i="7"/>
  <c r="E356" i="7"/>
  <c r="E360" i="7"/>
  <c r="E361" i="7"/>
  <c r="F361" i="7" s="1"/>
  <c r="E362" i="7"/>
  <c r="E363" i="7"/>
  <c r="E366" i="7"/>
  <c r="E367" i="7"/>
  <c r="E368" i="7"/>
  <c r="E369" i="7"/>
  <c r="E370" i="7"/>
  <c r="E380" i="7"/>
  <c r="E383" i="7"/>
  <c r="E384" i="7"/>
  <c r="F246" i="4"/>
  <c r="N246" i="4" s="1"/>
  <c r="F252" i="4"/>
  <c r="C252" i="7"/>
  <c r="D252" i="7"/>
  <c r="E252" i="7"/>
  <c r="F259" i="4"/>
  <c r="F262" i="4"/>
  <c r="N262" i="4" s="1"/>
  <c r="F269" i="4"/>
  <c r="N269" i="4" s="1"/>
  <c r="F275" i="4"/>
  <c r="F276" i="4"/>
  <c r="N276" i="4" s="1"/>
  <c r="A8" i="4"/>
  <c r="A9" i="4"/>
  <c r="F308" i="4"/>
  <c r="N308" i="4" s="1"/>
  <c r="F311" i="4"/>
  <c r="N311" i="4" s="1"/>
  <c r="F315" i="4"/>
  <c r="N315" i="4" s="1"/>
  <c r="F323" i="4"/>
  <c r="N323" i="4" s="1"/>
  <c r="F340" i="4"/>
  <c r="N340" i="4" s="1"/>
  <c r="C340" i="7"/>
  <c r="E340" i="7"/>
  <c r="D346" i="7"/>
  <c r="E346" i="7"/>
  <c r="F351" i="4"/>
  <c r="N351" i="4" s="1"/>
  <c r="F362" i="4"/>
  <c r="F363" i="4"/>
  <c r="N363" i="4" s="1"/>
  <c r="F370" i="4"/>
  <c r="N370" i="4" s="1"/>
  <c r="C381" i="7"/>
  <c r="D381" i="7"/>
  <c r="E381" i="7"/>
  <c r="Z243" i="7"/>
  <c r="V243" i="7"/>
  <c r="Z242" i="7"/>
  <c r="V242" i="7"/>
  <c r="Z241" i="7"/>
  <c r="V241" i="7"/>
  <c r="Z240" i="7"/>
  <c r="V240" i="7"/>
  <c r="G240" i="7" s="1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D240" i="15"/>
  <c r="D241" i="15"/>
  <c r="D242" i="15"/>
  <c r="D243" i="15"/>
  <c r="D244" i="15"/>
  <c r="D245" i="15"/>
  <c r="D246" i="15"/>
  <c r="D247" i="15"/>
  <c r="D248" i="15"/>
  <c r="D249" i="15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D240" i="13"/>
  <c r="D241" i="13"/>
  <c r="D242" i="13"/>
  <c r="D243" i="13"/>
  <c r="D244" i="13"/>
  <c r="D245" i="13"/>
  <c r="D246" i="13"/>
  <c r="D247" i="13"/>
  <c r="D248" i="13"/>
  <c r="D249" i="13"/>
  <c r="Z235" i="7"/>
  <c r="V235" i="7"/>
  <c r="Z234" i="7"/>
  <c r="V234" i="7"/>
  <c r="D234" i="7" s="1"/>
  <c r="F234" i="7" s="1"/>
  <c r="Z233" i="7"/>
  <c r="V233" i="7"/>
  <c r="Z232" i="7"/>
  <c r="V232" i="7"/>
  <c r="D232" i="7" s="1"/>
  <c r="Z231" i="7"/>
  <c r="V231" i="7"/>
  <c r="V229" i="7"/>
  <c r="Z228" i="7"/>
  <c r="V228" i="7"/>
  <c r="Z226" i="7"/>
  <c r="V226" i="7"/>
  <c r="Z225" i="7"/>
  <c r="D225" i="7" s="1"/>
  <c r="F225" i="7" s="1"/>
  <c r="V225" i="7"/>
  <c r="G226" i="13"/>
  <c r="Z224" i="7"/>
  <c r="V224" i="7"/>
  <c r="D224" i="7" s="1"/>
  <c r="Z222" i="7"/>
  <c r="G238" i="15"/>
  <c r="G239" i="15"/>
  <c r="D238" i="15"/>
  <c r="D239" i="15"/>
  <c r="Z221" i="7"/>
  <c r="V221" i="7"/>
  <c r="G226" i="15"/>
  <c r="Z220" i="7"/>
  <c r="V220" i="7"/>
  <c r="Z219" i="7"/>
  <c r="V219" i="7"/>
  <c r="Z218" i="7"/>
  <c r="V218" i="7"/>
  <c r="Z217" i="7"/>
  <c r="V217" i="7"/>
  <c r="Z207" i="7"/>
  <c r="V207" i="7"/>
  <c r="Z206" i="7"/>
  <c r="V206" i="7"/>
  <c r="D206" i="7" s="1"/>
  <c r="F206" i="7" s="1"/>
  <c r="Z205" i="7"/>
  <c r="V205" i="7"/>
  <c r="Z204" i="7"/>
  <c r="V204" i="7"/>
  <c r="Z203" i="7"/>
  <c r="V203" i="7"/>
  <c r="Z202" i="7"/>
  <c r="V202" i="7"/>
  <c r="Z201" i="7"/>
  <c r="V201" i="7"/>
  <c r="Z199" i="7"/>
  <c r="V199" i="7"/>
  <c r="G199" i="7" s="1"/>
  <c r="Z198" i="7"/>
  <c r="Y198" i="7"/>
  <c r="V198" i="7"/>
  <c r="Z197" i="7"/>
  <c r="V197" i="7"/>
  <c r="Z196" i="7"/>
  <c r="V196" i="7"/>
  <c r="Z193" i="7"/>
  <c r="D193" i="7" s="1"/>
  <c r="V193" i="7"/>
  <c r="Z192" i="7"/>
  <c r="V192" i="7"/>
  <c r="Z191" i="7"/>
  <c r="H191" i="7" s="1"/>
  <c r="V191" i="7"/>
  <c r="Z190" i="7"/>
  <c r="V190" i="7"/>
  <c r="Z189" i="7"/>
  <c r="V189" i="7"/>
  <c r="Z188" i="7"/>
  <c r="D188" i="7" s="1"/>
  <c r="V188" i="7"/>
  <c r="Z187" i="7"/>
  <c r="V187" i="7"/>
  <c r="Z186" i="7"/>
  <c r="V186" i="7"/>
  <c r="Z185" i="7"/>
  <c r="H185" i="7" s="1"/>
  <c r="V185" i="7"/>
  <c r="D185" i="7" s="1"/>
  <c r="F185" i="7" s="1"/>
  <c r="F185" i="4"/>
  <c r="N185" i="4" s="1"/>
  <c r="C185" i="7"/>
  <c r="C187" i="7"/>
  <c r="C188" i="7"/>
  <c r="C192" i="7"/>
  <c r="C193" i="7"/>
  <c r="C204" i="7"/>
  <c r="C217" i="7"/>
  <c r="C223" i="7"/>
  <c r="F223" i="7" s="1"/>
  <c r="C224" i="7"/>
  <c r="C229" i="7"/>
  <c r="C231" i="7"/>
  <c r="C232" i="7"/>
  <c r="C240" i="7"/>
  <c r="D204" i="7"/>
  <c r="D217" i="7"/>
  <c r="D223" i="7"/>
  <c r="D229" i="7"/>
  <c r="E185" i="7"/>
  <c r="E187" i="7"/>
  <c r="E188" i="7"/>
  <c r="E192" i="7"/>
  <c r="E193" i="7"/>
  <c r="E204" i="7"/>
  <c r="E217" i="7"/>
  <c r="E223" i="7"/>
  <c r="E224" i="7"/>
  <c r="E229" i="7"/>
  <c r="E231" i="7"/>
  <c r="E232" i="7"/>
  <c r="E240" i="7"/>
  <c r="C200" i="7"/>
  <c r="D200" i="7"/>
  <c r="E200" i="7"/>
  <c r="C236" i="7"/>
  <c r="F236" i="7" s="1"/>
  <c r="D236" i="7"/>
  <c r="E236" i="7"/>
  <c r="Z184" i="7"/>
  <c r="V184" i="7"/>
  <c r="Z183" i="7"/>
  <c r="V183" i="7"/>
  <c r="Z182" i="7"/>
  <c r="V182" i="7"/>
  <c r="Z181" i="7"/>
  <c r="V181" i="7"/>
  <c r="Z180" i="7"/>
  <c r="H180" i="7" s="1"/>
  <c r="V180" i="7"/>
  <c r="Z179" i="7"/>
  <c r="V179" i="7"/>
  <c r="Z178" i="7"/>
  <c r="V178" i="7"/>
  <c r="Z177" i="7"/>
  <c r="V177" i="7"/>
  <c r="C177" i="7"/>
  <c r="E177" i="7"/>
  <c r="Z176" i="7"/>
  <c r="D176" i="7" s="1"/>
  <c r="F176" i="7" s="1"/>
  <c r="V176" i="7"/>
  <c r="Z175" i="7"/>
  <c r="V175" i="7"/>
  <c r="Z174" i="7"/>
  <c r="D174" i="7" s="1"/>
  <c r="V174" i="7"/>
  <c r="Z173" i="7"/>
  <c r="V173" i="7"/>
  <c r="C173" i="7"/>
  <c r="F173" i="7" s="1"/>
  <c r="C174" i="7"/>
  <c r="D173" i="7"/>
  <c r="E173" i="7"/>
  <c r="E174" i="7"/>
  <c r="Z172" i="7"/>
  <c r="V172" i="7"/>
  <c r="D172" i="7" s="1"/>
  <c r="Z171" i="7"/>
  <c r="V171" i="7"/>
  <c r="Z170" i="7"/>
  <c r="V170" i="7"/>
  <c r="Z169" i="7"/>
  <c r="V169" i="7"/>
  <c r="G169" i="7" s="1"/>
  <c r="Z168" i="7"/>
  <c r="V168" i="7"/>
  <c r="Z167" i="7"/>
  <c r="V167" i="7"/>
  <c r="Z166" i="7"/>
  <c r="V166" i="7"/>
  <c r="D166" i="7" s="1"/>
  <c r="Z164" i="7"/>
  <c r="V164" i="7"/>
  <c r="C164" i="7"/>
  <c r="C166" i="7"/>
  <c r="C171" i="7"/>
  <c r="F171" i="4" s="1"/>
  <c r="J171" i="4" s="1"/>
  <c r="C172" i="7"/>
  <c r="E164" i="7"/>
  <c r="E166" i="7"/>
  <c r="E171" i="7"/>
  <c r="E172" i="7"/>
  <c r="Z163" i="7"/>
  <c r="V163" i="7"/>
  <c r="Z162" i="7"/>
  <c r="V162" i="7"/>
  <c r="D162" i="7" s="1"/>
  <c r="F162" i="7" s="1"/>
  <c r="Z161" i="7"/>
  <c r="V161" i="7"/>
  <c r="Z158" i="7"/>
  <c r="D158" i="7" s="1"/>
  <c r="V158" i="7"/>
  <c r="Z157" i="7"/>
  <c r="V157" i="7"/>
  <c r="Z156" i="7"/>
  <c r="V156" i="7"/>
  <c r="Z155" i="7"/>
  <c r="V155" i="7"/>
  <c r="Z154" i="7"/>
  <c r="V154" i="7"/>
  <c r="G154" i="7" s="1"/>
  <c r="Z153" i="7"/>
  <c r="V153" i="7"/>
  <c r="Z152" i="7"/>
  <c r="V152" i="7"/>
  <c r="C152" i="7"/>
  <c r="C155" i="7"/>
  <c r="C156" i="7"/>
  <c r="D152" i="7"/>
  <c r="D156" i="7"/>
  <c r="F156" i="7" s="1"/>
  <c r="E152" i="7"/>
  <c r="E155" i="7"/>
  <c r="E156" i="7"/>
  <c r="F152" i="4"/>
  <c r="N152" i="4" s="1"/>
  <c r="C158" i="7"/>
  <c r="E158" i="7"/>
  <c r="Z151" i="7"/>
  <c r="D151" i="7" s="1"/>
  <c r="V151" i="7"/>
  <c r="Z150" i="7"/>
  <c r="V150" i="7"/>
  <c r="D150" i="7" s="1"/>
  <c r="F150" i="7" s="1"/>
  <c r="Z149" i="7"/>
  <c r="D149" i="7" s="1"/>
  <c r="V149" i="7"/>
  <c r="Z148" i="7"/>
  <c r="V148" i="7"/>
  <c r="Z147" i="7"/>
  <c r="V147" i="7"/>
  <c r="Z146" i="7"/>
  <c r="V146" i="7"/>
  <c r="Z145" i="7"/>
  <c r="D145" i="7" s="1"/>
  <c r="V145" i="7"/>
  <c r="Z144" i="7"/>
  <c r="V144" i="7"/>
  <c r="D144" i="7" s="1"/>
  <c r="F144" i="7" s="1"/>
  <c r="G143" i="13"/>
  <c r="Z143" i="7"/>
  <c r="V143" i="7"/>
  <c r="Z142" i="7"/>
  <c r="V142" i="7"/>
  <c r="G142" i="13"/>
  <c r="Q141" i="13"/>
  <c r="G141" i="13"/>
  <c r="Z141" i="7"/>
  <c r="D141" i="7" s="1"/>
  <c r="V141" i="7"/>
  <c r="Z140" i="7"/>
  <c r="V140" i="7"/>
  <c r="D140" i="7" s="1"/>
  <c r="F140" i="7" s="1"/>
  <c r="Z139" i="7"/>
  <c r="V139" i="7"/>
  <c r="Z138" i="7"/>
  <c r="V138" i="7"/>
  <c r="Z137" i="7"/>
  <c r="V137" i="7"/>
  <c r="D137" i="7" s="1"/>
  <c r="X139" i="15"/>
  <c r="G140" i="13"/>
  <c r="X134" i="15"/>
  <c r="W134" i="13"/>
  <c r="Q134" i="13"/>
  <c r="Q132" i="13"/>
  <c r="Z134" i="7"/>
  <c r="V134" i="7"/>
  <c r="Z132" i="7"/>
  <c r="V132" i="7"/>
  <c r="Z131" i="7"/>
  <c r="V131" i="7"/>
  <c r="Z130" i="7"/>
  <c r="V130" i="7"/>
  <c r="Z129" i="7"/>
  <c r="V129" i="7"/>
  <c r="Z128" i="7"/>
  <c r="V128" i="7"/>
  <c r="D128" i="7" s="1"/>
  <c r="Z127" i="7"/>
  <c r="V127" i="7"/>
  <c r="Z126" i="7"/>
  <c r="V126" i="7"/>
  <c r="Z125" i="7"/>
  <c r="V125" i="7"/>
  <c r="Z124" i="7"/>
  <c r="V124" i="7"/>
  <c r="Z123" i="7"/>
  <c r="V123" i="7"/>
  <c r="Z122" i="7"/>
  <c r="V122" i="7"/>
  <c r="D122" i="7" s="1"/>
  <c r="F122" i="7" s="1"/>
  <c r="Z121" i="7"/>
  <c r="D121" i="7" s="1"/>
  <c r="V121" i="7"/>
  <c r="D121" i="13"/>
  <c r="G121" i="13"/>
  <c r="Z120" i="7"/>
  <c r="V120" i="7"/>
  <c r="D120" i="7" s="1"/>
  <c r="Z119" i="7"/>
  <c r="V119" i="7"/>
  <c r="Z118" i="7"/>
  <c r="V118" i="7"/>
  <c r="Z117" i="7"/>
  <c r="V117" i="7"/>
  <c r="G117" i="7" s="1"/>
  <c r="Z116" i="7"/>
  <c r="D116" i="7" s="1"/>
  <c r="V116" i="7"/>
  <c r="Z115" i="7"/>
  <c r="V115" i="7"/>
  <c r="Z114" i="7"/>
  <c r="V114" i="7"/>
  <c r="D114" i="7" s="1"/>
  <c r="F120" i="4"/>
  <c r="N120" i="4" s="1"/>
  <c r="C114" i="7"/>
  <c r="C115" i="7"/>
  <c r="C116" i="7"/>
  <c r="C119" i="7"/>
  <c r="C120" i="7"/>
  <c r="C121" i="7"/>
  <c r="C122" i="7"/>
  <c r="C127" i="7"/>
  <c r="C128" i="7"/>
  <c r="F128" i="7" s="1"/>
  <c r="C129" i="7"/>
  <c r="C137" i="7"/>
  <c r="C141" i="7"/>
  <c r="C142" i="7"/>
  <c r="C143" i="7"/>
  <c r="C145" i="7"/>
  <c r="C149" i="7"/>
  <c r="C150" i="7"/>
  <c r="C151" i="7"/>
  <c r="D115" i="7"/>
  <c r="D127" i="7"/>
  <c r="F127" i="7" s="1"/>
  <c r="D129" i="7"/>
  <c r="D142" i="7"/>
  <c r="D143" i="7"/>
  <c r="E114" i="7"/>
  <c r="E115" i="7"/>
  <c r="E116" i="7"/>
  <c r="E119" i="7"/>
  <c r="E120" i="7"/>
  <c r="E121" i="7"/>
  <c r="E122" i="7"/>
  <c r="E127" i="7"/>
  <c r="E128" i="7"/>
  <c r="E129" i="7"/>
  <c r="E137" i="7"/>
  <c r="E141" i="7"/>
  <c r="E142" i="7"/>
  <c r="E143" i="7"/>
  <c r="E145" i="7"/>
  <c r="E149" i="7"/>
  <c r="E150" i="7"/>
  <c r="E151" i="7"/>
  <c r="F129" i="4"/>
  <c r="N129" i="4" s="1"/>
  <c r="F141" i="4"/>
  <c r="N141" i="4" s="1"/>
  <c r="F145" i="4"/>
  <c r="Z113" i="7"/>
  <c r="V113" i="7"/>
  <c r="Z112" i="7"/>
  <c r="V112" i="7"/>
  <c r="Z111" i="7"/>
  <c r="V111" i="7"/>
  <c r="Z110" i="7"/>
  <c r="V110" i="7"/>
  <c r="D110" i="7" s="1"/>
  <c r="F110" i="7" s="1"/>
  <c r="Z109" i="7"/>
  <c r="V109" i="7"/>
  <c r="Z108" i="7"/>
  <c r="V108" i="7"/>
  <c r="Z106" i="7"/>
  <c r="V106" i="7"/>
  <c r="Z105" i="7"/>
  <c r="V105" i="7"/>
  <c r="Z104" i="7"/>
  <c r="V104" i="7"/>
  <c r="Z103" i="7"/>
  <c r="V103" i="7"/>
  <c r="G103" i="7" s="1"/>
  <c r="Z102" i="7"/>
  <c r="V102" i="7"/>
  <c r="Z100" i="7"/>
  <c r="V100" i="7"/>
  <c r="Z99" i="7"/>
  <c r="V99" i="7"/>
  <c r="Z98" i="7"/>
  <c r="V98" i="7"/>
  <c r="Z97" i="7"/>
  <c r="V97" i="7"/>
  <c r="Z96" i="7"/>
  <c r="V96" i="7"/>
  <c r="G96" i="7" s="1"/>
  <c r="Z95" i="7"/>
  <c r="V95" i="7"/>
  <c r="Z94" i="7"/>
  <c r="V94" i="7"/>
  <c r="Z93" i="7"/>
  <c r="V93" i="7"/>
  <c r="Z92" i="7"/>
  <c r="V92" i="7"/>
  <c r="Z91" i="7"/>
  <c r="V91" i="7"/>
  <c r="T91" i="13"/>
  <c r="Z90" i="7"/>
  <c r="H90" i="7" s="1"/>
  <c r="V90" i="7"/>
  <c r="Z89" i="7"/>
  <c r="V89" i="7"/>
  <c r="Z88" i="7"/>
  <c r="V88" i="7"/>
  <c r="Z87" i="7"/>
  <c r="V87" i="7"/>
  <c r="X86" i="15"/>
  <c r="Z85" i="7"/>
  <c r="V85" i="7"/>
  <c r="Z84" i="7"/>
  <c r="D84" i="7" s="1"/>
  <c r="V84" i="7"/>
  <c r="Z83" i="7"/>
  <c r="V83" i="7"/>
  <c r="Z82" i="7"/>
  <c r="V82" i="7"/>
  <c r="Z81" i="7"/>
  <c r="V81" i="7"/>
  <c r="Z80" i="7"/>
  <c r="V80" i="7"/>
  <c r="Z79" i="7"/>
  <c r="V79" i="7"/>
  <c r="Z78" i="7"/>
  <c r="H78" i="7" s="1"/>
  <c r="V78" i="7"/>
  <c r="Z77" i="7"/>
  <c r="V77" i="7"/>
  <c r="Z76" i="7"/>
  <c r="V76" i="7"/>
  <c r="C69" i="7"/>
  <c r="D69" i="7"/>
  <c r="E69" i="7"/>
  <c r="C68" i="7"/>
  <c r="F68" i="7" s="1"/>
  <c r="D68" i="7"/>
  <c r="E68" i="7"/>
  <c r="C67" i="7"/>
  <c r="V67" i="7"/>
  <c r="Z67" i="7"/>
  <c r="E67" i="7"/>
  <c r="C52" i="7"/>
  <c r="D52" i="7"/>
  <c r="E52" i="7"/>
  <c r="C51" i="7"/>
  <c r="D51" i="7"/>
  <c r="E51" i="7"/>
  <c r="C50" i="7"/>
  <c r="D50" i="7"/>
  <c r="E50" i="7"/>
  <c r="C49" i="7"/>
  <c r="D49" i="7"/>
  <c r="F49" i="7" s="1"/>
  <c r="E49" i="7"/>
  <c r="C48" i="7"/>
  <c r="D48" i="7"/>
  <c r="E48" i="7"/>
  <c r="C47" i="7"/>
  <c r="D47" i="7"/>
  <c r="E47" i="7"/>
  <c r="F46" i="4"/>
  <c r="C46" i="7"/>
  <c r="D46" i="7"/>
  <c r="E46" i="7"/>
  <c r="C45" i="7"/>
  <c r="D45" i="7"/>
  <c r="E45" i="7"/>
  <c r="C44" i="7"/>
  <c r="D44" i="7"/>
  <c r="F44" i="7" s="1"/>
  <c r="E44" i="7"/>
  <c r="C43" i="7"/>
  <c r="D43" i="7"/>
  <c r="E43" i="7"/>
  <c r="F42" i="4"/>
  <c r="N42" i="4" s="1"/>
  <c r="C42" i="7"/>
  <c r="D42" i="7"/>
  <c r="E42" i="7"/>
  <c r="C41" i="7"/>
  <c r="F41" i="7" s="1"/>
  <c r="D41" i="7"/>
  <c r="E41" i="7"/>
  <c r="F40" i="4"/>
  <c r="C40" i="7"/>
  <c r="D40" i="7"/>
  <c r="E40" i="7"/>
  <c r="F39" i="4"/>
  <c r="N39" i="4" s="1"/>
  <c r="C39" i="7"/>
  <c r="D39" i="7"/>
  <c r="E39" i="7"/>
  <c r="F39" i="7" s="1"/>
  <c r="C53" i="7"/>
  <c r="D53" i="7"/>
  <c r="E53" i="7"/>
  <c r="C54" i="7"/>
  <c r="D54" i="7"/>
  <c r="E54" i="7"/>
  <c r="C55" i="7"/>
  <c r="D55" i="7"/>
  <c r="E55" i="7"/>
  <c r="F55" i="7" s="1"/>
  <c r="C56" i="7"/>
  <c r="D56" i="7"/>
  <c r="E56" i="7"/>
  <c r="C57" i="7"/>
  <c r="D57" i="7"/>
  <c r="E57" i="7"/>
  <c r="C58" i="7"/>
  <c r="F58" i="7" s="1"/>
  <c r="D58" i="7"/>
  <c r="E58" i="7"/>
  <c r="F58" i="4"/>
  <c r="N58" i="4" s="1"/>
  <c r="F59" i="4"/>
  <c r="C59" i="7"/>
  <c r="D59" i="7"/>
  <c r="E59" i="7"/>
  <c r="C60" i="7"/>
  <c r="D60" i="7"/>
  <c r="F60" i="7" s="1"/>
  <c r="E60" i="7"/>
  <c r="F61" i="4"/>
  <c r="N61" i="4" s="1"/>
  <c r="C61" i="7"/>
  <c r="V61" i="7"/>
  <c r="D61" i="7" s="1"/>
  <c r="F61" i="7" s="1"/>
  <c r="E61" i="7"/>
  <c r="C62" i="7"/>
  <c r="V62" i="7"/>
  <c r="Z62" i="7"/>
  <c r="H62" i="7" s="1"/>
  <c r="E62" i="7"/>
  <c r="C63" i="7"/>
  <c r="V63" i="7"/>
  <c r="Z63" i="7"/>
  <c r="E63" i="7"/>
  <c r="C64" i="7"/>
  <c r="V64" i="7"/>
  <c r="Z64" i="7"/>
  <c r="H64" i="7" s="1"/>
  <c r="E64" i="7"/>
  <c r="F65" i="4"/>
  <c r="N65" i="4" s="1"/>
  <c r="C65" i="7"/>
  <c r="V65" i="7"/>
  <c r="D65" i="7" s="1"/>
  <c r="F65" i="7" s="1"/>
  <c r="Z65" i="7"/>
  <c r="E65" i="7"/>
  <c r="C66" i="7"/>
  <c r="V66" i="7"/>
  <c r="Z66" i="7"/>
  <c r="D66" i="7" s="1"/>
  <c r="F66" i="7" s="1"/>
  <c r="E66" i="7"/>
  <c r="C37" i="7"/>
  <c r="D37" i="7"/>
  <c r="E37" i="7"/>
  <c r="C36" i="7"/>
  <c r="D36" i="7"/>
  <c r="E36" i="7"/>
  <c r="E385" i="7" s="1"/>
  <c r="C35" i="7"/>
  <c r="D35" i="7"/>
  <c r="E35" i="7"/>
  <c r="C34" i="7"/>
  <c r="D34" i="7"/>
  <c r="E34" i="7"/>
  <c r="C33" i="7"/>
  <c r="D33" i="7"/>
  <c r="E33" i="7"/>
  <c r="C32" i="7"/>
  <c r="D32" i="7"/>
  <c r="E32" i="7"/>
  <c r="C31" i="7"/>
  <c r="F31" i="7" s="1"/>
  <c r="D31" i="7"/>
  <c r="E31" i="7"/>
  <c r="C30" i="7"/>
  <c r="D30" i="7"/>
  <c r="E30" i="7"/>
  <c r="C29" i="7"/>
  <c r="D29" i="7"/>
  <c r="F29" i="7" s="1"/>
  <c r="E29" i="7"/>
  <c r="C28" i="7"/>
  <c r="D28" i="7"/>
  <c r="E28" i="7"/>
  <c r="C27" i="7"/>
  <c r="D27" i="7"/>
  <c r="E27" i="7"/>
  <c r="C26" i="7"/>
  <c r="D26" i="7"/>
  <c r="E26" i="7"/>
  <c r="C25" i="7"/>
  <c r="D25" i="7"/>
  <c r="E25" i="7"/>
  <c r="C24" i="7"/>
  <c r="D24" i="7"/>
  <c r="F24" i="7" s="1"/>
  <c r="E24" i="7"/>
  <c r="C23" i="7"/>
  <c r="D23" i="7"/>
  <c r="E23" i="7"/>
  <c r="C22" i="7"/>
  <c r="D22" i="7"/>
  <c r="E22" i="7"/>
  <c r="C21" i="7"/>
  <c r="D21" i="7"/>
  <c r="E21" i="7"/>
  <c r="C20" i="7"/>
  <c r="D20" i="7"/>
  <c r="E20" i="7"/>
  <c r="C19" i="7"/>
  <c r="D19" i="7"/>
  <c r="F19" i="7" s="1"/>
  <c r="E19" i="7"/>
  <c r="C18" i="7"/>
  <c r="D18" i="7"/>
  <c r="E18" i="7"/>
  <c r="C17" i="7"/>
  <c r="D17" i="7"/>
  <c r="E17" i="7"/>
  <c r="C16" i="7"/>
  <c r="D16" i="7"/>
  <c r="E16" i="7"/>
  <c r="C15" i="7"/>
  <c r="D15" i="7"/>
  <c r="E15" i="7"/>
  <c r="C14" i="7"/>
  <c r="D14" i="7"/>
  <c r="F14" i="7" s="1"/>
  <c r="E14" i="7"/>
  <c r="C13" i="7"/>
  <c r="D13" i="7"/>
  <c r="E13" i="7"/>
  <c r="C12" i="7"/>
  <c r="D12" i="7"/>
  <c r="E12" i="7"/>
  <c r="C11" i="7"/>
  <c r="D11" i="7"/>
  <c r="E11" i="7"/>
  <c r="C10" i="7"/>
  <c r="D10" i="7"/>
  <c r="E10" i="7"/>
  <c r="C9" i="7"/>
  <c r="F9" i="7" s="1"/>
  <c r="D9" i="7"/>
  <c r="E9" i="7"/>
  <c r="C8" i="7"/>
  <c r="D8" i="7"/>
  <c r="E8" i="7"/>
  <c r="Z75" i="7"/>
  <c r="V75" i="7"/>
  <c r="Z74" i="7"/>
  <c r="V74" i="7"/>
  <c r="Z73" i="7"/>
  <c r="V73" i="7"/>
  <c r="G73" i="7" s="1"/>
  <c r="Z72" i="7"/>
  <c r="D72" i="7" s="1"/>
  <c r="F72" i="7" s="1"/>
  <c r="V72" i="7"/>
  <c r="V71" i="7"/>
  <c r="X72" i="15"/>
  <c r="X71" i="15"/>
  <c r="X100" i="15"/>
  <c r="X99" i="15"/>
  <c r="X98" i="15"/>
  <c r="X97" i="15"/>
  <c r="X96" i="15"/>
  <c r="X95" i="15"/>
  <c r="X94" i="15"/>
  <c r="X93" i="15"/>
  <c r="X92" i="15"/>
  <c r="X91" i="15"/>
  <c r="X90" i="15"/>
  <c r="X89" i="15"/>
  <c r="X88" i="15"/>
  <c r="X87" i="15"/>
  <c r="X85" i="15"/>
  <c r="X84" i="15"/>
  <c r="X83" i="15"/>
  <c r="X82" i="15"/>
  <c r="X81" i="15"/>
  <c r="X80" i="15"/>
  <c r="X79" i="15"/>
  <c r="X78" i="15"/>
  <c r="X77" i="15"/>
  <c r="X76" i="15"/>
  <c r="X75" i="15"/>
  <c r="X74" i="15"/>
  <c r="X73" i="15"/>
  <c r="U100" i="15"/>
  <c r="U99" i="15"/>
  <c r="U98" i="15"/>
  <c r="U97" i="15"/>
  <c r="U96" i="15"/>
  <c r="U95" i="15"/>
  <c r="U94" i="15"/>
  <c r="U93" i="15"/>
  <c r="U92" i="15"/>
  <c r="U91" i="15"/>
  <c r="U90" i="15"/>
  <c r="U89" i="15"/>
  <c r="U88" i="15"/>
  <c r="U87" i="15"/>
  <c r="U86" i="15"/>
  <c r="U85" i="15"/>
  <c r="U84" i="15"/>
  <c r="U83" i="15"/>
  <c r="U82" i="15"/>
  <c r="U81" i="15"/>
  <c r="U80" i="15"/>
  <c r="U79" i="15"/>
  <c r="U78" i="15"/>
  <c r="U77" i="15"/>
  <c r="U76" i="15"/>
  <c r="U75" i="15"/>
  <c r="U74" i="15"/>
  <c r="U73" i="15"/>
  <c r="U72" i="15"/>
  <c r="U71" i="15"/>
  <c r="R100" i="15"/>
  <c r="R99" i="15"/>
  <c r="R98" i="15"/>
  <c r="R97" i="15"/>
  <c r="R96" i="15"/>
  <c r="R95" i="15"/>
  <c r="R94" i="15"/>
  <c r="R93" i="15"/>
  <c r="R92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W100" i="13"/>
  <c r="W99" i="13"/>
  <c r="W98" i="13"/>
  <c r="W97" i="13"/>
  <c r="W96" i="13"/>
  <c r="W95" i="13"/>
  <c r="W94" i="13"/>
  <c r="W93" i="13"/>
  <c r="W92" i="13"/>
  <c r="W91" i="13"/>
  <c r="W90" i="13"/>
  <c r="W89" i="13"/>
  <c r="W88" i="13"/>
  <c r="W87" i="13"/>
  <c r="W86" i="13"/>
  <c r="W85" i="13"/>
  <c r="W84" i="13"/>
  <c r="W83" i="13"/>
  <c r="W82" i="13"/>
  <c r="W81" i="13"/>
  <c r="W80" i="13"/>
  <c r="W79" i="13"/>
  <c r="W78" i="13"/>
  <c r="W77" i="13"/>
  <c r="W76" i="13"/>
  <c r="W75" i="13"/>
  <c r="W74" i="13"/>
  <c r="W73" i="13"/>
  <c r="W72" i="13"/>
  <c r="W71" i="13"/>
  <c r="T100" i="13"/>
  <c r="T99" i="13"/>
  <c r="T98" i="13"/>
  <c r="T97" i="13"/>
  <c r="T96" i="13"/>
  <c r="T95" i="13"/>
  <c r="T94" i="13"/>
  <c r="T93" i="13"/>
  <c r="T92" i="13"/>
  <c r="T90" i="13"/>
  <c r="T89" i="13"/>
  <c r="T88" i="13"/>
  <c r="T87" i="13"/>
  <c r="T86" i="13"/>
  <c r="T85" i="13"/>
  <c r="T84" i="13"/>
  <c r="T83" i="13"/>
  <c r="T82" i="13"/>
  <c r="T81" i="13"/>
  <c r="T80" i="13"/>
  <c r="T79" i="13"/>
  <c r="T78" i="13"/>
  <c r="T77" i="13"/>
  <c r="T76" i="13"/>
  <c r="T75" i="13"/>
  <c r="T74" i="13"/>
  <c r="T73" i="13"/>
  <c r="T72" i="13"/>
  <c r="T7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W66" i="13"/>
  <c r="W67" i="13"/>
  <c r="W68" i="13"/>
  <c r="W69" i="13"/>
  <c r="D68" i="15"/>
  <c r="D67" i="15"/>
  <c r="D66" i="15"/>
  <c r="D65" i="15"/>
  <c r="D64" i="15"/>
  <c r="D63" i="15"/>
  <c r="D62" i="15"/>
  <c r="D68" i="13"/>
  <c r="D67" i="13"/>
  <c r="D66" i="13"/>
  <c r="D65" i="13"/>
  <c r="D64" i="13"/>
  <c r="D63" i="13"/>
  <c r="D62" i="13"/>
  <c r="W55" i="13"/>
  <c r="W56" i="13"/>
  <c r="W57" i="13"/>
  <c r="W58" i="13"/>
  <c r="W59" i="13"/>
  <c r="W60" i="13"/>
  <c r="W61" i="13"/>
  <c r="W62" i="13"/>
  <c r="W63" i="13"/>
  <c r="W64" i="13"/>
  <c r="W65" i="13"/>
  <c r="X55" i="15"/>
  <c r="X56" i="15"/>
  <c r="X57" i="15"/>
  <c r="X58" i="15"/>
  <c r="X59" i="15"/>
  <c r="X60" i="15"/>
  <c r="X61" i="15"/>
  <c r="X62" i="15"/>
  <c r="X41" i="15"/>
  <c r="X42" i="15"/>
  <c r="X43" i="15"/>
  <c r="X44" i="15"/>
  <c r="X45" i="15"/>
  <c r="X46" i="15"/>
  <c r="X47" i="15"/>
  <c r="X48" i="15"/>
  <c r="X49" i="15"/>
  <c r="X50" i="15"/>
  <c r="X51" i="15"/>
  <c r="W46" i="13"/>
  <c r="W45" i="13"/>
  <c r="W44" i="13"/>
  <c r="W43" i="13"/>
  <c r="W42" i="13"/>
  <c r="W41" i="13"/>
  <c r="W40" i="13"/>
  <c r="W39" i="13"/>
  <c r="O17" i="15"/>
  <c r="J369" i="15"/>
  <c r="X384" i="15"/>
  <c r="X383" i="15"/>
  <c r="X382" i="15"/>
  <c r="X381" i="15"/>
  <c r="X380" i="15"/>
  <c r="X379" i="15"/>
  <c r="X378" i="15"/>
  <c r="X377" i="15"/>
  <c r="X376" i="15"/>
  <c r="X375" i="15"/>
  <c r="X374" i="15"/>
  <c r="X373" i="15"/>
  <c r="X372" i="15"/>
  <c r="X371" i="15"/>
  <c r="X370" i="15"/>
  <c r="X369" i="15"/>
  <c r="X368" i="15"/>
  <c r="X367" i="15"/>
  <c r="X366" i="15"/>
  <c r="X365" i="15"/>
  <c r="X364" i="15"/>
  <c r="X363" i="15"/>
  <c r="X362" i="15"/>
  <c r="X361" i="15"/>
  <c r="X360" i="15"/>
  <c r="X359" i="15"/>
  <c r="X358" i="15"/>
  <c r="X357" i="15"/>
  <c r="X356" i="15"/>
  <c r="X355" i="15"/>
  <c r="X354" i="15"/>
  <c r="U384" i="15"/>
  <c r="U383" i="15"/>
  <c r="U382" i="15"/>
  <c r="U381" i="15"/>
  <c r="U380" i="15"/>
  <c r="U379" i="15"/>
  <c r="U378" i="15"/>
  <c r="U377" i="15"/>
  <c r="U376" i="15"/>
  <c r="U375" i="15"/>
  <c r="U373" i="15"/>
  <c r="U372" i="15"/>
  <c r="U371" i="15"/>
  <c r="U370" i="15"/>
  <c r="U369" i="15"/>
  <c r="U368" i="15"/>
  <c r="U367" i="15"/>
  <c r="U366" i="15"/>
  <c r="U365" i="15"/>
  <c r="U364" i="15"/>
  <c r="U363" i="15"/>
  <c r="U362" i="15"/>
  <c r="U361" i="15"/>
  <c r="U360" i="15"/>
  <c r="U359" i="15"/>
  <c r="U358" i="15"/>
  <c r="U357" i="15"/>
  <c r="U356" i="15"/>
  <c r="U355" i="15"/>
  <c r="U354" i="15"/>
  <c r="R384" i="15"/>
  <c r="R383" i="15"/>
  <c r="R382" i="15"/>
  <c r="R381" i="15"/>
  <c r="R380" i="15"/>
  <c r="R379" i="15"/>
  <c r="R378" i="15"/>
  <c r="R377" i="15"/>
  <c r="R376" i="15"/>
  <c r="R375" i="15"/>
  <c r="R374" i="15"/>
  <c r="R373" i="15"/>
  <c r="R372" i="15"/>
  <c r="R371" i="15"/>
  <c r="R370" i="15"/>
  <c r="R369" i="15"/>
  <c r="R367" i="15"/>
  <c r="R366" i="15"/>
  <c r="R365" i="15"/>
  <c r="R364" i="15"/>
  <c r="R363" i="15"/>
  <c r="R362" i="15"/>
  <c r="R361" i="15"/>
  <c r="R360" i="15"/>
  <c r="R359" i="15"/>
  <c r="R358" i="15"/>
  <c r="R357" i="15"/>
  <c r="R356" i="15"/>
  <c r="R355" i="15"/>
  <c r="R354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J384" i="15"/>
  <c r="J383" i="15"/>
  <c r="J382" i="15"/>
  <c r="J381" i="15"/>
  <c r="J380" i="15"/>
  <c r="J379" i="15"/>
  <c r="J378" i="15"/>
  <c r="J377" i="15"/>
  <c r="J376" i="15"/>
  <c r="J375" i="15"/>
  <c r="J374" i="15"/>
  <c r="J373" i="15"/>
  <c r="J372" i="15"/>
  <c r="J371" i="15"/>
  <c r="J370" i="15"/>
  <c r="J368" i="15"/>
  <c r="J367" i="15"/>
  <c r="J366" i="15"/>
  <c r="J365" i="15"/>
  <c r="J364" i="15"/>
  <c r="J363" i="15"/>
  <c r="J362" i="15"/>
  <c r="J361" i="15"/>
  <c r="J360" i="15"/>
  <c r="J359" i="15"/>
  <c r="J358" i="15"/>
  <c r="J357" i="15"/>
  <c r="J356" i="15"/>
  <c r="J355" i="15"/>
  <c r="J354" i="15"/>
  <c r="G384" i="15"/>
  <c r="G383" i="15"/>
  <c r="G382" i="15"/>
  <c r="G381" i="15"/>
  <c r="G380" i="15"/>
  <c r="G379" i="15"/>
  <c r="G378" i="15"/>
  <c r="G377" i="15"/>
  <c r="G376" i="15"/>
  <c r="G375" i="15"/>
  <c r="G374" i="15"/>
  <c r="G373" i="15"/>
  <c r="G372" i="15"/>
  <c r="G371" i="15"/>
  <c r="G370" i="15"/>
  <c r="G369" i="15"/>
  <c r="G368" i="15"/>
  <c r="G367" i="15"/>
  <c r="G366" i="15"/>
  <c r="G365" i="15"/>
  <c r="G364" i="15"/>
  <c r="G363" i="15"/>
  <c r="G362" i="15"/>
  <c r="G361" i="15"/>
  <c r="G360" i="15"/>
  <c r="G359" i="15"/>
  <c r="G358" i="15"/>
  <c r="G357" i="15"/>
  <c r="G356" i="15"/>
  <c r="G355" i="15"/>
  <c r="G354" i="15"/>
  <c r="W384" i="13"/>
  <c r="W383" i="13"/>
  <c r="W382" i="13"/>
  <c r="W381" i="13"/>
  <c r="W380" i="13"/>
  <c r="W379" i="13"/>
  <c r="W378" i="13"/>
  <c r="W377" i="13"/>
  <c r="W376" i="13"/>
  <c r="W375" i="13"/>
  <c r="W374" i="13"/>
  <c r="W373" i="13"/>
  <c r="W372" i="13"/>
  <c r="W371" i="13"/>
  <c r="W370" i="13"/>
  <c r="W369" i="13"/>
  <c r="W368" i="13"/>
  <c r="W367" i="13"/>
  <c r="W366" i="13"/>
  <c r="W365" i="13"/>
  <c r="W364" i="13"/>
  <c r="W363" i="13"/>
  <c r="W362" i="13"/>
  <c r="W361" i="13"/>
  <c r="W360" i="13"/>
  <c r="W359" i="13"/>
  <c r="W358" i="13"/>
  <c r="W357" i="13"/>
  <c r="W356" i="13"/>
  <c r="W355" i="13"/>
  <c r="W354" i="13"/>
  <c r="T384" i="13"/>
  <c r="T383" i="13"/>
  <c r="T382" i="13"/>
  <c r="T381" i="13"/>
  <c r="T380" i="13"/>
  <c r="T379" i="13"/>
  <c r="T378" i="13"/>
  <c r="T377" i="13"/>
  <c r="T376" i="13"/>
  <c r="T375" i="13"/>
  <c r="T374" i="13"/>
  <c r="T373" i="13"/>
  <c r="T372" i="13"/>
  <c r="T371" i="13"/>
  <c r="T370" i="13"/>
  <c r="T369" i="13"/>
  <c r="T368" i="13"/>
  <c r="T367" i="13"/>
  <c r="T366" i="13"/>
  <c r="T365" i="13"/>
  <c r="T364" i="13"/>
  <c r="T363" i="13"/>
  <c r="T362" i="13"/>
  <c r="T361" i="13"/>
  <c r="T360" i="13"/>
  <c r="T359" i="13"/>
  <c r="T358" i="13"/>
  <c r="T357" i="13"/>
  <c r="T356" i="13"/>
  <c r="T355" i="13"/>
  <c r="T354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N384" i="13"/>
  <c r="N383" i="13"/>
  <c r="N382" i="13"/>
  <c r="N381" i="13"/>
  <c r="N380" i="13"/>
  <c r="N379" i="13"/>
  <c r="N378" i="13"/>
  <c r="N377" i="13"/>
  <c r="N376" i="13"/>
  <c r="N375" i="13"/>
  <c r="N374" i="13"/>
  <c r="N373" i="13"/>
  <c r="N372" i="13"/>
  <c r="N371" i="13"/>
  <c r="N370" i="13"/>
  <c r="N369" i="13"/>
  <c r="N368" i="13"/>
  <c r="N367" i="13"/>
  <c r="N366" i="13"/>
  <c r="N365" i="13"/>
  <c r="N364" i="13"/>
  <c r="N363" i="13"/>
  <c r="N362" i="13"/>
  <c r="N361" i="13"/>
  <c r="N360" i="13"/>
  <c r="N359" i="13"/>
  <c r="N358" i="13"/>
  <c r="N357" i="13"/>
  <c r="N356" i="13"/>
  <c r="N355" i="13"/>
  <c r="N354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N326" i="13"/>
  <c r="X352" i="15"/>
  <c r="X351" i="15"/>
  <c r="X350" i="15"/>
  <c r="X349" i="15"/>
  <c r="X348" i="15"/>
  <c r="X347" i="15"/>
  <c r="X346" i="15"/>
  <c r="X345" i="15"/>
  <c r="X344" i="15"/>
  <c r="X343" i="15"/>
  <c r="X342" i="15"/>
  <c r="X341" i="15"/>
  <c r="X340" i="15"/>
  <c r="X339" i="15"/>
  <c r="X338" i="15"/>
  <c r="X337" i="15"/>
  <c r="X336" i="15"/>
  <c r="X335" i="15"/>
  <c r="X334" i="15"/>
  <c r="X333" i="15"/>
  <c r="X332" i="15"/>
  <c r="X331" i="15"/>
  <c r="X330" i="15"/>
  <c r="X329" i="15"/>
  <c r="X328" i="15"/>
  <c r="X327" i="15"/>
  <c r="X326" i="15"/>
  <c r="X325" i="15"/>
  <c r="X324" i="15"/>
  <c r="X323" i="15"/>
  <c r="X322" i="15"/>
  <c r="U352" i="15"/>
  <c r="U351" i="15"/>
  <c r="U350" i="15"/>
  <c r="U349" i="15"/>
  <c r="U348" i="15"/>
  <c r="U347" i="15"/>
  <c r="U346" i="15"/>
  <c r="U345" i="15"/>
  <c r="U344" i="15"/>
  <c r="U343" i="15"/>
  <c r="U342" i="15"/>
  <c r="U341" i="15"/>
  <c r="U340" i="15"/>
  <c r="U339" i="15"/>
  <c r="U337" i="15"/>
  <c r="U336" i="15"/>
  <c r="U335" i="15"/>
  <c r="U334" i="15"/>
  <c r="U333" i="15"/>
  <c r="U332" i="15"/>
  <c r="U331" i="15"/>
  <c r="U330" i="15"/>
  <c r="U329" i="15"/>
  <c r="U328" i="15"/>
  <c r="U327" i="15"/>
  <c r="U326" i="15"/>
  <c r="U325" i="15"/>
  <c r="U324" i="15"/>
  <c r="U323" i="15"/>
  <c r="U322" i="15"/>
  <c r="R352" i="15"/>
  <c r="R351" i="15"/>
  <c r="R350" i="15"/>
  <c r="R349" i="15"/>
  <c r="R348" i="15"/>
  <c r="R347" i="15"/>
  <c r="R346" i="15"/>
  <c r="R345" i="15"/>
  <c r="R344" i="15"/>
  <c r="R343" i="15"/>
  <c r="R342" i="15"/>
  <c r="R341" i="15"/>
  <c r="R340" i="15"/>
  <c r="R339" i="15"/>
  <c r="R338" i="15"/>
  <c r="R337" i="15"/>
  <c r="R336" i="15"/>
  <c r="R335" i="15"/>
  <c r="R334" i="15"/>
  <c r="R333" i="15"/>
  <c r="R332" i="15"/>
  <c r="R331" i="15"/>
  <c r="R330" i="15"/>
  <c r="R329" i="15"/>
  <c r="R328" i="15"/>
  <c r="R327" i="15"/>
  <c r="R326" i="15"/>
  <c r="R325" i="15"/>
  <c r="R324" i="15"/>
  <c r="R323" i="15"/>
  <c r="R322" i="15"/>
  <c r="O352" i="15"/>
  <c r="O351" i="15"/>
  <c r="O350" i="15"/>
  <c r="O349" i="15"/>
  <c r="O348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J352" i="15"/>
  <c r="J351" i="15"/>
  <c r="J350" i="15"/>
  <c r="J349" i="15"/>
  <c r="J348" i="15"/>
  <c r="J347" i="15"/>
  <c r="J346" i="15"/>
  <c r="J345" i="15"/>
  <c r="J344" i="15"/>
  <c r="J343" i="15"/>
  <c r="J342" i="15"/>
  <c r="J341" i="15"/>
  <c r="J340" i="15"/>
  <c r="J339" i="15"/>
  <c r="J338" i="15"/>
  <c r="J337" i="15"/>
  <c r="J336" i="15"/>
  <c r="J335" i="15"/>
  <c r="J334" i="15"/>
  <c r="J333" i="15"/>
  <c r="J332" i="15"/>
  <c r="J331" i="15"/>
  <c r="J330" i="15"/>
  <c r="J329" i="15"/>
  <c r="J328" i="15"/>
  <c r="J327" i="15"/>
  <c r="J326" i="15"/>
  <c r="J325" i="15"/>
  <c r="J324" i="15"/>
  <c r="J323" i="15"/>
  <c r="J322" i="15"/>
  <c r="G352" i="15"/>
  <c r="G351" i="15"/>
  <c r="G350" i="15"/>
  <c r="G349" i="15"/>
  <c r="G348" i="15"/>
  <c r="G347" i="15"/>
  <c r="G346" i="15"/>
  <c r="G345" i="15"/>
  <c r="G344" i="15"/>
  <c r="G343" i="15"/>
  <c r="G342" i="15"/>
  <c r="G341" i="15"/>
  <c r="G340" i="15"/>
  <c r="G339" i="15"/>
  <c r="G338" i="15"/>
  <c r="G337" i="15"/>
  <c r="G336" i="15"/>
  <c r="G335" i="15"/>
  <c r="G334" i="15"/>
  <c r="G333" i="15"/>
  <c r="G332" i="15"/>
  <c r="G331" i="15"/>
  <c r="G330" i="15"/>
  <c r="G329" i="15"/>
  <c r="G328" i="15"/>
  <c r="G327" i="15"/>
  <c r="G326" i="15"/>
  <c r="G325" i="15"/>
  <c r="G324" i="15"/>
  <c r="G323" i="15"/>
  <c r="G322" i="15"/>
  <c r="W352" i="13"/>
  <c r="W351" i="13"/>
  <c r="W350" i="13"/>
  <c r="W349" i="13"/>
  <c r="W348" i="13"/>
  <c r="W347" i="13"/>
  <c r="W346" i="13"/>
  <c r="W345" i="13"/>
  <c r="W344" i="13"/>
  <c r="W343" i="13"/>
  <c r="W342" i="13"/>
  <c r="W341" i="13"/>
  <c r="W340" i="13"/>
  <c r="W339" i="13"/>
  <c r="W338" i="13"/>
  <c r="W337" i="13"/>
  <c r="W336" i="13"/>
  <c r="W335" i="13"/>
  <c r="W334" i="13"/>
  <c r="W333" i="13"/>
  <c r="W332" i="13"/>
  <c r="W331" i="13"/>
  <c r="W330" i="13"/>
  <c r="W329" i="13"/>
  <c r="W328" i="13"/>
  <c r="W327" i="13"/>
  <c r="W326" i="13"/>
  <c r="W325" i="13"/>
  <c r="W324" i="13"/>
  <c r="W323" i="13"/>
  <c r="W322" i="13"/>
  <c r="T352" i="13"/>
  <c r="T351" i="13"/>
  <c r="T350" i="13"/>
  <c r="T349" i="13"/>
  <c r="T348" i="13"/>
  <c r="T347" i="13"/>
  <c r="T346" i="13"/>
  <c r="T345" i="13"/>
  <c r="T344" i="13"/>
  <c r="T343" i="13"/>
  <c r="T342" i="13"/>
  <c r="T341" i="13"/>
  <c r="T340" i="13"/>
  <c r="T339" i="13"/>
  <c r="T338" i="13"/>
  <c r="T337" i="13"/>
  <c r="T336" i="13"/>
  <c r="T335" i="13"/>
  <c r="T334" i="13"/>
  <c r="T333" i="13"/>
  <c r="T332" i="13"/>
  <c r="T331" i="13"/>
  <c r="T330" i="13"/>
  <c r="T329" i="13"/>
  <c r="T328" i="13"/>
  <c r="T327" i="13"/>
  <c r="T326" i="13"/>
  <c r="T325" i="13"/>
  <c r="T324" i="13"/>
  <c r="T323" i="13"/>
  <c r="T322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2" i="13"/>
  <c r="N352" i="13"/>
  <c r="N351" i="13"/>
  <c r="N350" i="13"/>
  <c r="N349" i="13"/>
  <c r="N348" i="13"/>
  <c r="N347" i="13"/>
  <c r="N346" i="13"/>
  <c r="N345" i="13"/>
  <c r="N344" i="13"/>
  <c r="N343" i="13"/>
  <c r="N342" i="13"/>
  <c r="N341" i="13"/>
  <c r="N340" i="13"/>
  <c r="N339" i="13"/>
  <c r="N338" i="13"/>
  <c r="N337" i="13"/>
  <c r="N336" i="13"/>
  <c r="N335" i="13"/>
  <c r="N334" i="13"/>
  <c r="N333" i="13"/>
  <c r="N332" i="13"/>
  <c r="N331" i="13"/>
  <c r="N330" i="13"/>
  <c r="N329" i="13"/>
  <c r="N328" i="13"/>
  <c r="N327" i="13"/>
  <c r="N325" i="13"/>
  <c r="N324" i="13"/>
  <c r="N323" i="13"/>
  <c r="N322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X318" i="15"/>
  <c r="W320" i="13"/>
  <c r="W319" i="13"/>
  <c r="W317" i="13"/>
  <c r="W316" i="13"/>
  <c r="W315" i="13"/>
  <c r="W314" i="13"/>
  <c r="W313" i="13"/>
  <c r="W312" i="13"/>
  <c r="W311" i="13"/>
  <c r="W310" i="13"/>
  <c r="W309" i="13"/>
  <c r="W308" i="13"/>
  <c r="W307" i="13"/>
  <c r="W306" i="13"/>
  <c r="W305" i="13"/>
  <c r="W304" i="13"/>
  <c r="W303" i="13"/>
  <c r="W302" i="13"/>
  <c r="W301" i="13"/>
  <c r="W300" i="13"/>
  <c r="W299" i="13"/>
  <c r="W298" i="13"/>
  <c r="W297" i="13"/>
  <c r="W296" i="13"/>
  <c r="W295" i="13"/>
  <c r="W294" i="13"/>
  <c r="W293" i="13"/>
  <c r="W292" i="13"/>
  <c r="W29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T320" i="13"/>
  <c r="T319" i="13"/>
  <c r="T318" i="13"/>
  <c r="T317" i="13"/>
  <c r="T316" i="13"/>
  <c r="T315" i="13"/>
  <c r="T314" i="13"/>
  <c r="T313" i="13"/>
  <c r="T312" i="13"/>
  <c r="T311" i="13"/>
  <c r="T310" i="13"/>
  <c r="T309" i="13"/>
  <c r="T308" i="13"/>
  <c r="T306" i="13"/>
  <c r="T305" i="13"/>
  <c r="T304" i="13"/>
  <c r="T303" i="13"/>
  <c r="T302" i="13"/>
  <c r="T301" i="13"/>
  <c r="T300" i="13"/>
  <c r="T299" i="13"/>
  <c r="T298" i="13"/>
  <c r="T297" i="13"/>
  <c r="T296" i="13"/>
  <c r="T295" i="13"/>
  <c r="T294" i="13"/>
  <c r="T293" i="13"/>
  <c r="T292" i="13"/>
  <c r="T29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N320" i="13"/>
  <c r="N319" i="13"/>
  <c r="N318" i="13"/>
  <c r="N317" i="13"/>
  <c r="N316" i="13"/>
  <c r="N315" i="13"/>
  <c r="N314" i="13"/>
  <c r="N313" i="13"/>
  <c r="N312" i="13"/>
  <c r="N311" i="13"/>
  <c r="N310" i="13"/>
  <c r="N309" i="13"/>
  <c r="N308" i="13"/>
  <c r="N307" i="13"/>
  <c r="N306" i="13"/>
  <c r="N305" i="13"/>
  <c r="N304" i="13"/>
  <c r="N303" i="13"/>
  <c r="N302" i="13"/>
  <c r="N301" i="13"/>
  <c r="N300" i="13"/>
  <c r="N299" i="13"/>
  <c r="N298" i="13"/>
  <c r="N297" i="13"/>
  <c r="N296" i="13"/>
  <c r="N295" i="13"/>
  <c r="N294" i="13"/>
  <c r="N293" i="13"/>
  <c r="N292" i="13"/>
  <c r="N29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X320" i="15"/>
  <c r="X319" i="15"/>
  <c r="X317" i="15"/>
  <c r="X316" i="15"/>
  <c r="X315" i="15"/>
  <c r="X314" i="15"/>
  <c r="X313" i="15"/>
  <c r="X312" i="15"/>
  <c r="X311" i="15"/>
  <c r="X310" i="15"/>
  <c r="X309" i="15"/>
  <c r="X308" i="15"/>
  <c r="X307" i="15"/>
  <c r="X306" i="15"/>
  <c r="X305" i="15"/>
  <c r="X304" i="15"/>
  <c r="X303" i="15"/>
  <c r="X302" i="15"/>
  <c r="X301" i="15"/>
  <c r="X300" i="15"/>
  <c r="X299" i="15"/>
  <c r="X298" i="15"/>
  <c r="X297" i="15"/>
  <c r="X296" i="15"/>
  <c r="X295" i="15"/>
  <c r="X294" i="15"/>
  <c r="X293" i="15"/>
  <c r="X292" i="15"/>
  <c r="X291" i="15"/>
  <c r="U320" i="15"/>
  <c r="U319" i="15"/>
  <c r="U318" i="15"/>
  <c r="U317" i="15"/>
  <c r="U316" i="15"/>
  <c r="U315" i="15"/>
  <c r="U314" i="15"/>
  <c r="U313" i="15"/>
  <c r="U312" i="15"/>
  <c r="U311" i="15"/>
  <c r="U310" i="15"/>
  <c r="U309" i="15"/>
  <c r="U308" i="15"/>
  <c r="U307" i="15"/>
  <c r="U306" i="15"/>
  <c r="U305" i="15"/>
  <c r="U304" i="15"/>
  <c r="U303" i="15"/>
  <c r="U302" i="15"/>
  <c r="U301" i="15"/>
  <c r="U300" i="15"/>
  <c r="U299" i="15"/>
  <c r="U298" i="15"/>
  <c r="U297" i="15"/>
  <c r="U296" i="15"/>
  <c r="U295" i="15"/>
  <c r="U294" i="15"/>
  <c r="U293" i="15"/>
  <c r="U292" i="15"/>
  <c r="U291" i="15"/>
  <c r="R320" i="15"/>
  <c r="R319" i="15"/>
  <c r="R318" i="15"/>
  <c r="R317" i="15"/>
  <c r="R316" i="15"/>
  <c r="R315" i="15"/>
  <c r="R314" i="15"/>
  <c r="R313" i="15"/>
  <c r="R312" i="15"/>
  <c r="R311" i="15"/>
  <c r="R310" i="15"/>
  <c r="R309" i="15"/>
  <c r="R308" i="15"/>
  <c r="R307" i="15"/>
  <c r="R306" i="15"/>
  <c r="R305" i="15"/>
  <c r="R304" i="15"/>
  <c r="R303" i="15"/>
  <c r="R302" i="15"/>
  <c r="R301" i="15"/>
  <c r="R300" i="15"/>
  <c r="R299" i="15"/>
  <c r="R298" i="15"/>
  <c r="R297" i="15"/>
  <c r="R296" i="15"/>
  <c r="R295" i="15"/>
  <c r="R294" i="15"/>
  <c r="R293" i="15"/>
  <c r="R292" i="15"/>
  <c r="R29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O292" i="15"/>
  <c r="O291" i="15"/>
  <c r="J320" i="15"/>
  <c r="J319" i="15"/>
  <c r="J318" i="15"/>
  <c r="J317" i="15"/>
  <c r="J316" i="15"/>
  <c r="J315" i="15"/>
  <c r="J314" i="15"/>
  <c r="J313" i="15"/>
  <c r="J312" i="15"/>
  <c r="J311" i="15"/>
  <c r="J310" i="15"/>
  <c r="J309" i="15"/>
  <c r="J308" i="15"/>
  <c r="J307" i="15"/>
  <c r="J306" i="15"/>
  <c r="J305" i="15"/>
  <c r="J304" i="15"/>
  <c r="J303" i="15"/>
  <c r="J302" i="15"/>
  <c r="J301" i="15"/>
  <c r="J300" i="15"/>
  <c r="J299" i="15"/>
  <c r="J298" i="15"/>
  <c r="J297" i="15"/>
  <c r="J296" i="15"/>
  <c r="J295" i="15"/>
  <c r="J294" i="15"/>
  <c r="J293" i="15"/>
  <c r="J292" i="15"/>
  <c r="J291" i="15"/>
  <c r="G320" i="15"/>
  <c r="G319" i="15"/>
  <c r="G318" i="15"/>
  <c r="G317" i="15"/>
  <c r="G316" i="15"/>
  <c r="G315" i="15"/>
  <c r="G314" i="15"/>
  <c r="G313" i="15"/>
  <c r="G312" i="15"/>
  <c r="G311" i="15"/>
  <c r="G310" i="15"/>
  <c r="G309" i="15"/>
  <c r="G308" i="15"/>
  <c r="G307" i="15"/>
  <c r="G306" i="15"/>
  <c r="G305" i="15"/>
  <c r="G304" i="15"/>
  <c r="G303" i="15"/>
  <c r="G302" i="15"/>
  <c r="G301" i="15"/>
  <c r="G300" i="15"/>
  <c r="G299" i="15"/>
  <c r="G298" i="15"/>
  <c r="G297" i="15"/>
  <c r="G296" i="15"/>
  <c r="G295" i="15"/>
  <c r="G294" i="15"/>
  <c r="G293" i="15"/>
  <c r="G292" i="15"/>
  <c r="G291" i="15"/>
  <c r="X289" i="15"/>
  <c r="X288" i="15"/>
  <c r="X287" i="15"/>
  <c r="X286" i="15"/>
  <c r="X285" i="15"/>
  <c r="X284" i="15"/>
  <c r="X283" i="15"/>
  <c r="X282" i="15"/>
  <c r="X281" i="15"/>
  <c r="X280" i="15"/>
  <c r="X279" i="15"/>
  <c r="X278" i="15"/>
  <c r="X277" i="15"/>
  <c r="X276" i="15"/>
  <c r="X275" i="15"/>
  <c r="X274" i="15"/>
  <c r="X273" i="15"/>
  <c r="X272" i="15"/>
  <c r="X271" i="15"/>
  <c r="X270" i="15"/>
  <c r="X269" i="15"/>
  <c r="X268" i="15"/>
  <c r="X267" i="15"/>
  <c r="X266" i="15"/>
  <c r="X265" i="15"/>
  <c r="X264" i="15"/>
  <c r="X263" i="15"/>
  <c r="X262" i="15"/>
  <c r="X261" i="15"/>
  <c r="X260" i="15"/>
  <c r="X259" i="15"/>
  <c r="U289" i="15"/>
  <c r="U288" i="15"/>
  <c r="U287" i="15"/>
  <c r="U286" i="15"/>
  <c r="U285" i="15"/>
  <c r="U284" i="15"/>
  <c r="U283" i="15"/>
  <c r="U282" i="15"/>
  <c r="U281" i="15"/>
  <c r="U280" i="15"/>
  <c r="U279" i="15"/>
  <c r="U278" i="15"/>
  <c r="U277" i="15"/>
  <c r="U276" i="15"/>
  <c r="U275" i="15"/>
  <c r="U274" i="15"/>
  <c r="U273" i="15"/>
  <c r="U272" i="15"/>
  <c r="U271" i="15"/>
  <c r="U270" i="15"/>
  <c r="U269" i="15"/>
  <c r="U268" i="15"/>
  <c r="U267" i="15"/>
  <c r="U266" i="15"/>
  <c r="U265" i="15"/>
  <c r="U264" i="15"/>
  <c r="U263" i="15"/>
  <c r="U262" i="15"/>
  <c r="U261" i="15"/>
  <c r="U260" i="15"/>
  <c r="U259" i="15"/>
  <c r="R289" i="15"/>
  <c r="R288" i="15"/>
  <c r="R287" i="15"/>
  <c r="R286" i="15"/>
  <c r="R285" i="15"/>
  <c r="R284" i="15"/>
  <c r="R283" i="15"/>
  <c r="R282" i="15"/>
  <c r="R281" i="15"/>
  <c r="R280" i="15"/>
  <c r="R279" i="15"/>
  <c r="R278" i="15"/>
  <c r="R277" i="15"/>
  <c r="R276" i="15"/>
  <c r="R275" i="15"/>
  <c r="R274" i="15"/>
  <c r="R273" i="15"/>
  <c r="R272" i="15"/>
  <c r="R271" i="15"/>
  <c r="R270" i="15"/>
  <c r="R269" i="15"/>
  <c r="R268" i="15"/>
  <c r="R267" i="15"/>
  <c r="R266" i="15"/>
  <c r="R265" i="15"/>
  <c r="R264" i="15"/>
  <c r="R263" i="15"/>
  <c r="R262" i="15"/>
  <c r="R261" i="15"/>
  <c r="R260" i="15"/>
  <c r="R259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J289" i="15"/>
  <c r="J288" i="15"/>
  <c r="J287" i="15"/>
  <c r="J286" i="15"/>
  <c r="J285" i="15"/>
  <c r="J284" i="15"/>
  <c r="J283" i="15"/>
  <c r="J282" i="15"/>
  <c r="J281" i="15"/>
  <c r="J280" i="15"/>
  <c r="J279" i="15"/>
  <c r="J278" i="15"/>
  <c r="J277" i="15"/>
  <c r="J275" i="15"/>
  <c r="J274" i="15"/>
  <c r="J273" i="15"/>
  <c r="J272" i="15"/>
  <c r="J271" i="15"/>
  <c r="J270" i="15"/>
  <c r="J269" i="15"/>
  <c r="J268" i="15"/>
  <c r="J267" i="15"/>
  <c r="J266" i="15"/>
  <c r="J265" i="15"/>
  <c r="J264" i="15"/>
  <c r="J263" i="15"/>
  <c r="J262" i="15"/>
  <c r="J261" i="15"/>
  <c r="J260" i="15"/>
  <c r="J259" i="15"/>
  <c r="G289" i="15"/>
  <c r="G288" i="15"/>
  <c r="G287" i="15"/>
  <c r="G286" i="15"/>
  <c r="G285" i="15"/>
  <c r="G284" i="15"/>
  <c r="G283" i="15"/>
  <c r="G282" i="15"/>
  <c r="G281" i="15"/>
  <c r="G280" i="15"/>
  <c r="G279" i="15"/>
  <c r="G278" i="15"/>
  <c r="G277" i="15"/>
  <c r="G276" i="15"/>
  <c r="G275" i="15"/>
  <c r="G274" i="15"/>
  <c r="G273" i="15"/>
  <c r="G272" i="15"/>
  <c r="G271" i="15"/>
  <c r="G270" i="15"/>
  <c r="G269" i="15"/>
  <c r="G268" i="15"/>
  <c r="G267" i="15"/>
  <c r="G266" i="15"/>
  <c r="G265" i="15"/>
  <c r="G264" i="15"/>
  <c r="G263" i="15"/>
  <c r="G262" i="15"/>
  <c r="G261" i="15"/>
  <c r="G260" i="15"/>
  <c r="G259" i="15"/>
  <c r="W289" i="13"/>
  <c r="W288" i="13"/>
  <c r="W287" i="13"/>
  <c r="W286" i="13"/>
  <c r="W285" i="13"/>
  <c r="W284" i="13"/>
  <c r="W283" i="13"/>
  <c r="W282" i="13"/>
  <c r="W281" i="13"/>
  <c r="W280" i="13"/>
  <c r="W279" i="13"/>
  <c r="W278" i="13"/>
  <c r="W277" i="13"/>
  <c r="W276" i="13"/>
  <c r="W275" i="13"/>
  <c r="W274" i="13"/>
  <c r="W273" i="13"/>
  <c r="W272" i="13"/>
  <c r="W271" i="13"/>
  <c r="W270" i="13"/>
  <c r="W269" i="13"/>
  <c r="W268" i="13"/>
  <c r="W267" i="13"/>
  <c r="W266" i="13"/>
  <c r="W265" i="13"/>
  <c r="W264" i="13"/>
  <c r="W263" i="13"/>
  <c r="W262" i="13"/>
  <c r="W261" i="13"/>
  <c r="W260" i="13"/>
  <c r="W259" i="13"/>
  <c r="T289" i="13"/>
  <c r="T288" i="13"/>
  <c r="T287" i="13"/>
  <c r="T286" i="13"/>
  <c r="T285" i="13"/>
  <c r="T284" i="13"/>
  <c r="T283" i="13"/>
  <c r="T282" i="13"/>
  <c r="T281" i="13"/>
  <c r="T280" i="13"/>
  <c r="T279" i="13"/>
  <c r="T278" i="13"/>
  <c r="T277" i="13"/>
  <c r="T276" i="13"/>
  <c r="T275" i="13"/>
  <c r="T274" i="13"/>
  <c r="T273" i="13"/>
  <c r="T272" i="13"/>
  <c r="T271" i="13"/>
  <c r="T270" i="13"/>
  <c r="T269" i="13"/>
  <c r="T268" i="13"/>
  <c r="T267" i="13"/>
  <c r="T266" i="13"/>
  <c r="T265" i="13"/>
  <c r="T264" i="13"/>
  <c r="T263" i="13"/>
  <c r="T262" i="13"/>
  <c r="T261" i="13"/>
  <c r="T260" i="13"/>
  <c r="T259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N289" i="13"/>
  <c r="N288" i="13"/>
  <c r="N287" i="13"/>
  <c r="N286" i="13"/>
  <c r="N285" i="13"/>
  <c r="N284" i="13"/>
  <c r="N283" i="13"/>
  <c r="N282" i="13"/>
  <c r="N281" i="13"/>
  <c r="N280" i="13"/>
  <c r="N279" i="13"/>
  <c r="N278" i="13"/>
  <c r="N277" i="13"/>
  <c r="N276" i="13"/>
  <c r="N275" i="13"/>
  <c r="N274" i="13"/>
  <c r="N273" i="13"/>
  <c r="N272" i="13"/>
  <c r="N271" i="13"/>
  <c r="N270" i="13"/>
  <c r="N269" i="13"/>
  <c r="N268" i="13"/>
  <c r="N267" i="13"/>
  <c r="N266" i="13"/>
  <c r="N265" i="13"/>
  <c r="N264" i="13"/>
  <c r="N263" i="13"/>
  <c r="N262" i="13"/>
  <c r="N261" i="13"/>
  <c r="N260" i="13"/>
  <c r="N259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X246" i="15"/>
  <c r="R230" i="15"/>
  <c r="X257" i="15"/>
  <c r="X256" i="15"/>
  <c r="X255" i="15"/>
  <c r="X254" i="15"/>
  <c r="X253" i="15"/>
  <c r="X252" i="15"/>
  <c r="X251" i="15"/>
  <c r="X250" i="15"/>
  <c r="X249" i="15"/>
  <c r="X248" i="15"/>
  <c r="X247" i="15"/>
  <c r="X245" i="15"/>
  <c r="X244" i="15"/>
  <c r="X243" i="15"/>
  <c r="X242" i="15"/>
  <c r="X241" i="15"/>
  <c r="X240" i="15"/>
  <c r="X239" i="15"/>
  <c r="X238" i="15"/>
  <c r="X237" i="15"/>
  <c r="X236" i="15"/>
  <c r="X235" i="15"/>
  <c r="X234" i="15"/>
  <c r="X233" i="15"/>
  <c r="X232" i="15"/>
  <c r="X231" i="15"/>
  <c r="X230" i="15"/>
  <c r="X229" i="15"/>
  <c r="X228" i="15"/>
  <c r="U257" i="15"/>
  <c r="U256" i="15"/>
  <c r="U255" i="15"/>
  <c r="U254" i="15"/>
  <c r="U253" i="15"/>
  <c r="U252" i="15"/>
  <c r="U251" i="15"/>
  <c r="U250" i="15"/>
  <c r="U249" i="15"/>
  <c r="U248" i="15"/>
  <c r="U247" i="15"/>
  <c r="U246" i="15"/>
  <c r="U245" i="15"/>
  <c r="U244" i="15"/>
  <c r="U243" i="15"/>
  <c r="U242" i="15"/>
  <c r="U241" i="15"/>
  <c r="U240" i="15"/>
  <c r="U239" i="15"/>
  <c r="U238" i="15"/>
  <c r="U237" i="15"/>
  <c r="U236" i="15"/>
  <c r="U235" i="15"/>
  <c r="U234" i="15"/>
  <c r="U233" i="15"/>
  <c r="U232" i="15"/>
  <c r="U231" i="15"/>
  <c r="U230" i="15"/>
  <c r="U229" i="15"/>
  <c r="U228" i="15"/>
  <c r="R257" i="15"/>
  <c r="R256" i="15"/>
  <c r="R255" i="15"/>
  <c r="R254" i="15"/>
  <c r="R253" i="15"/>
  <c r="R252" i="15"/>
  <c r="R251" i="15"/>
  <c r="R250" i="15"/>
  <c r="R249" i="15"/>
  <c r="R248" i="15"/>
  <c r="R247" i="15"/>
  <c r="R246" i="15"/>
  <c r="R245" i="15"/>
  <c r="R244" i="15"/>
  <c r="R243" i="15"/>
  <c r="R242" i="15"/>
  <c r="R241" i="15"/>
  <c r="R240" i="15"/>
  <c r="R239" i="15"/>
  <c r="R238" i="15"/>
  <c r="R237" i="15"/>
  <c r="R236" i="15"/>
  <c r="R235" i="15"/>
  <c r="R234" i="15"/>
  <c r="R233" i="15"/>
  <c r="R232" i="15"/>
  <c r="R231" i="15"/>
  <c r="R229" i="15"/>
  <c r="R228" i="15"/>
  <c r="O257" i="15"/>
  <c r="O256" i="15"/>
  <c r="O255" i="15"/>
  <c r="O254" i="15"/>
  <c r="O253" i="15"/>
  <c r="O252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J257" i="15"/>
  <c r="J256" i="15"/>
  <c r="J255" i="15"/>
  <c r="J254" i="15"/>
  <c r="J253" i="15"/>
  <c r="J252" i="15"/>
  <c r="J251" i="15"/>
  <c r="J250" i="15"/>
  <c r="J249" i="15"/>
  <c r="J248" i="15"/>
  <c r="J247" i="15"/>
  <c r="J246" i="15"/>
  <c r="J245" i="15"/>
  <c r="J244" i="15"/>
  <c r="J243" i="15"/>
  <c r="J242" i="15"/>
  <c r="J241" i="15"/>
  <c r="J240" i="15"/>
  <c r="J239" i="15"/>
  <c r="J238" i="15"/>
  <c r="J237" i="15"/>
  <c r="J236" i="15"/>
  <c r="J235" i="15"/>
  <c r="J234" i="15"/>
  <c r="J233" i="15"/>
  <c r="J232" i="15"/>
  <c r="J231" i="15"/>
  <c r="J230" i="15"/>
  <c r="J229" i="15"/>
  <c r="J228" i="15"/>
  <c r="G237" i="15"/>
  <c r="G236" i="15"/>
  <c r="G235" i="15"/>
  <c r="G234" i="15"/>
  <c r="G233" i="15"/>
  <c r="G232" i="15"/>
  <c r="G231" i="15"/>
  <c r="G230" i="15"/>
  <c r="G229" i="15"/>
  <c r="G228" i="15"/>
  <c r="D237" i="15"/>
  <c r="D236" i="15"/>
  <c r="D235" i="15"/>
  <c r="D234" i="15"/>
  <c r="D233" i="15"/>
  <c r="D232" i="15"/>
  <c r="D231" i="15"/>
  <c r="D230" i="15"/>
  <c r="D229" i="15"/>
  <c r="D228" i="15"/>
  <c r="W257" i="13"/>
  <c r="W256" i="13"/>
  <c r="W255" i="13"/>
  <c r="W254" i="13"/>
  <c r="W253" i="13"/>
  <c r="W252" i="13"/>
  <c r="W251" i="13"/>
  <c r="W250" i="13"/>
  <c r="W249" i="13"/>
  <c r="W248" i="13"/>
  <c r="W247" i="13"/>
  <c r="W246" i="13"/>
  <c r="W245" i="13"/>
  <c r="W244" i="13"/>
  <c r="W243" i="13"/>
  <c r="W242" i="13"/>
  <c r="W241" i="13"/>
  <c r="W240" i="13"/>
  <c r="W239" i="13"/>
  <c r="W238" i="13"/>
  <c r="W237" i="13"/>
  <c r="W236" i="13"/>
  <c r="W235" i="13"/>
  <c r="W234" i="13"/>
  <c r="W233" i="13"/>
  <c r="W232" i="13"/>
  <c r="W231" i="13"/>
  <c r="W230" i="13"/>
  <c r="W229" i="13"/>
  <c r="W228" i="13"/>
  <c r="T257" i="13"/>
  <c r="T256" i="13"/>
  <c r="T255" i="13"/>
  <c r="T254" i="13"/>
  <c r="T253" i="13"/>
  <c r="T252" i="13"/>
  <c r="T251" i="13"/>
  <c r="T250" i="13"/>
  <c r="T249" i="13"/>
  <c r="T248" i="13"/>
  <c r="T247" i="13"/>
  <c r="T246" i="13"/>
  <c r="T245" i="13"/>
  <c r="T244" i="13"/>
  <c r="T243" i="13"/>
  <c r="T242" i="13"/>
  <c r="T241" i="13"/>
  <c r="T240" i="13"/>
  <c r="T239" i="13"/>
  <c r="T238" i="13"/>
  <c r="T237" i="13"/>
  <c r="T236" i="13"/>
  <c r="T235" i="13"/>
  <c r="T234" i="13"/>
  <c r="T233" i="13"/>
  <c r="T232" i="13"/>
  <c r="T231" i="13"/>
  <c r="T230" i="13"/>
  <c r="T229" i="13"/>
  <c r="T22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N257" i="13"/>
  <c r="N256" i="13"/>
  <c r="N255" i="13"/>
  <c r="N254" i="13"/>
  <c r="N253" i="13"/>
  <c r="N252" i="13"/>
  <c r="N251" i="13"/>
  <c r="N250" i="13"/>
  <c r="N249" i="13"/>
  <c r="N248" i="13"/>
  <c r="N247" i="13"/>
  <c r="N246" i="13"/>
  <c r="N245" i="13"/>
  <c r="N244" i="13"/>
  <c r="N243" i="13"/>
  <c r="N242" i="13"/>
  <c r="N241" i="13"/>
  <c r="N240" i="13"/>
  <c r="N239" i="13"/>
  <c r="N238" i="13"/>
  <c r="N237" i="13"/>
  <c r="N236" i="13"/>
  <c r="N235" i="13"/>
  <c r="N234" i="13"/>
  <c r="N233" i="13"/>
  <c r="N232" i="13"/>
  <c r="N231" i="13"/>
  <c r="N230" i="13"/>
  <c r="N229" i="13"/>
  <c r="N22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G239" i="13"/>
  <c r="G238" i="13"/>
  <c r="G237" i="13"/>
  <c r="G235" i="13"/>
  <c r="G234" i="13"/>
  <c r="G233" i="13"/>
  <c r="G232" i="13"/>
  <c r="G231" i="13"/>
  <c r="G230" i="13"/>
  <c r="G229" i="13"/>
  <c r="G228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F345" i="4"/>
  <c r="F78" i="4"/>
  <c r="F239" i="4"/>
  <c r="F277" i="4"/>
  <c r="N277" i="4" s="1"/>
  <c r="F282" i="4"/>
  <c r="N282" i="4" s="1"/>
  <c r="F334" i="4"/>
  <c r="N334" i="4" s="1"/>
  <c r="F348" i="4"/>
  <c r="F382" i="4"/>
  <c r="N382" i="4" s="1"/>
  <c r="F102" i="4"/>
  <c r="C218" i="7"/>
  <c r="C219" i="7"/>
  <c r="C222" i="7"/>
  <c r="C225" i="7"/>
  <c r="C226" i="7"/>
  <c r="F226" i="7" s="1"/>
  <c r="C234" i="7"/>
  <c r="C238" i="7"/>
  <c r="C239" i="7"/>
  <c r="C242" i="7"/>
  <c r="C248" i="7"/>
  <c r="C253" i="7"/>
  <c r="C254" i="7"/>
  <c r="C255" i="7"/>
  <c r="C260" i="7"/>
  <c r="C263" i="7"/>
  <c r="C270" i="7"/>
  <c r="C277" i="7"/>
  <c r="F277" i="7" s="1"/>
  <c r="C282" i="7"/>
  <c r="C284" i="7"/>
  <c r="C297" i="7"/>
  <c r="C298" i="7"/>
  <c r="C299" i="7"/>
  <c r="C305" i="7"/>
  <c r="C309" i="7"/>
  <c r="C313" i="7"/>
  <c r="C320" i="7"/>
  <c r="C322" i="7"/>
  <c r="C326" i="7"/>
  <c r="C327" i="7"/>
  <c r="F327" i="7" s="1"/>
  <c r="C328" i="7"/>
  <c r="C331" i="7"/>
  <c r="C332" i="7"/>
  <c r="C333" i="7"/>
  <c r="C334" i="7"/>
  <c r="C335" i="7"/>
  <c r="C339" i="7"/>
  <c r="C341" i="7"/>
  <c r="C342" i="7"/>
  <c r="C345" i="7"/>
  <c r="C347" i="7"/>
  <c r="C348" i="7"/>
  <c r="F348" i="7" s="1"/>
  <c r="C349" i="7"/>
  <c r="C352" i="7"/>
  <c r="C357" i="7"/>
  <c r="C378" i="7"/>
  <c r="C382" i="7"/>
  <c r="C71" i="7"/>
  <c r="C76" i="7"/>
  <c r="C77" i="7"/>
  <c r="C78" i="7"/>
  <c r="C79" i="7"/>
  <c r="C85" i="7"/>
  <c r="C86" i="7"/>
  <c r="F86" i="7" s="1"/>
  <c r="C87" i="7"/>
  <c r="C91" i="7"/>
  <c r="C92" i="7"/>
  <c r="C94" i="7"/>
  <c r="C97" i="7"/>
  <c r="C98" i="7"/>
  <c r="C99" i="7"/>
  <c r="C100" i="7"/>
  <c r="C102" i="7"/>
  <c r="C105" i="7"/>
  <c r="C113" i="7"/>
  <c r="D218" i="7"/>
  <c r="F218" i="7" s="1"/>
  <c r="D219" i="7"/>
  <c r="D226" i="7"/>
  <c r="D238" i="7"/>
  <c r="D239" i="7"/>
  <c r="D242" i="7"/>
  <c r="D248" i="7"/>
  <c r="D253" i="7"/>
  <c r="D254" i="7"/>
  <c r="D255" i="7"/>
  <c r="D260" i="7"/>
  <c r="F260" i="7" s="1"/>
  <c r="D263" i="7"/>
  <c r="D270" i="7"/>
  <c r="D277" i="7"/>
  <c r="D282" i="7"/>
  <c r="D284" i="7"/>
  <c r="D297" i="7"/>
  <c r="D298" i="7"/>
  <c r="D299" i="7"/>
  <c r="D305" i="7"/>
  <c r="D309" i="7"/>
  <c r="D313" i="7"/>
  <c r="D320" i="7"/>
  <c r="F320" i="7" s="1"/>
  <c r="D322" i="7"/>
  <c r="D326" i="7"/>
  <c r="D327" i="7"/>
  <c r="D328" i="7"/>
  <c r="D331" i="7"/>
  <c r="D332" i="7"/>
  <c r="D333" i="7"/>
  <c r="D334" i="7"/>
  <c r="D335" i="7"/>
  <c r="D339" i="7"/>
  <c r="D341" i="7"/>
  <c r="D342" i="7"/>
  <c r="F342" i="7" s="1"/>
  <c r="D345" i="7"/>
  <c r="D347" i="7"/>
  <c r="D348" i="7"/>
  <c r="D349" i="7"/>
  <c r="D352" i="7"/>
  <c r="D357" i="7"/>
  <c r="D378" i="7"/>
  <c r="D382" i="7"/>
  <c r="D71" i="7"/>
  <c r="D76" i="7"/>
  <c r="D77" i="7"/>
  <c r="D78" i="7"/>
  <c r="F78" i="7" s="1"/>
  <c r="D79" i="7"/>
  <c r="D85" i="7"/>
  <c r="D86" i="7"/>
  <c r="D87" i="7"/>
  <c r="D91" i="7"/>
  <c r="D92" i="7"/>
  <c r="D94" i="7"/>
  <c r="D97" i="7"/>
  <c r="D98" i="7"/>
  <c r="D99" i="7"/>
  <c r="D100" i="7"/>
  <c r="D102" i="7"/>
  <c r="F102" i="7" s="1"/>
  <c r="D105" i="7"/>
  <c r="D113" i="7"/>
  <c r="E218" i="7"/>
  <c r="E219" i="7"/>
  <c r="E225" i="7"/>
  <c r="E226" i="7"/>
  <c r="E234" i="7"/>
  <c r="E238" i="7"/>
  <c r="E239" i="7"/>
  <c r="E242" i="7"/>
  <c r="E248" i="7"/>
  <c r="E253" i="7"/>
  <c r="F253" i="7" s="1"/>
  <c r="E254" i="7"/>
  <c r="E255" i="7"/>
  <c r="F255" i="4" s="1"/>
  <c r="N255" i="4" s="1"/>
  <c r="E260" i="7"/>
  <c r="E263" i="7"/>
  <c r="E270" i="7"/>
  <c r="E277" i="7"/>
  <c r="E282" i="7"/>
  <c r="E284" i="7"/>
  <c r="E297" i="7"/>
  <c r="E298" i="7"/>
  <c r="E299" i="7"/>
  <c r="E305" i="7"/>
  <c r="F305" i="7" s="1"/>
  <c r="E309" i="7"/>
  <c r="E313" i="7"/>
  <c r="E320" i="7"/>
  <c r="E322" i="7"/>
  <c r="E326" i="7"/>
  <c r="E327" i="7"/>
  <c r="E328" i="7"/>
  <c r="E331" i="7"/>
  <c r="E332" i="7"/>
  <c r="E333" i="7"/>
  <c r="E334" i="7"/>
  <c r="E335" i="7"/>
  <c r="F335" i="7" s="1"/>
  <c r="E339" i="7"/>
  <c r="E341" i="7"/>
  <c r="E342" i="7"/>
  <c r="E345" i="7"/>
  <c r="E347" i="7"/>
  <c r="E348" i="7"/>
  <c r="E349" i="7"/>
  <c r="E352" i="7"/>
  <c r="E357" i="7"/>
  <c r="E378" i="7"/>
  <c r="E382" i="7"/>
  <c r="E71" i="7"/>
  <c r="F71" i="7" s="1"/>
  <c r="E76" i="7"/>
  <c r="F76" i="4" s="1"/>
  <c r="J76" i="4" s="1"/>
  <c r="E77" i="7"/>
  <c r="E78" i="7"/>
  <c r="E79" i="7"/>
  <c r="E85" i="7"/>
  <c r="E86" i="7"/>
  <c r="E87" i="7"/>
  <c r="E91" i="7"/>
  <c r="E92" i="7"/>
  <c r="E94" i="7"/>
  <c r="E97" i="7"/>
  <c r="E98" i="7"/>
  <c r="F98" i="7" s="1"/>
  <c r="E99" i="7"/>
  <c r="E100" i="7"/>
  <c r="E102" i="7"/>
  <c r="E105" i="7"/>
  <c r="E113" i="7"/>
  <c r="D222" i="7"/>
  <c r="E222" i="7"/>
  <c r="F238" i="4"/>
  <c r="N238" i="4" s="1"/>
  <c r="F248" i="4"/>
  <c r="F284" i="4"/>
  <c r="N284" i="4" s="1"/>
  <c r="C292" i="7"/>
  <c r="D292" i="7"/>
  <c r="E292" i="7"/>
  <c r="F292" i="7" s="1"/>
  <c r="F305" i="4"/>
  <c r="F320" i="4"/>
  <c r="F335" i="4"/>
  <c r="N335" i="4" s="1"/>
  <c r="F378" i="4"/>
  <c r="N378" i="4" s="1"/>
  <c r="C196" i="7"/>
  <c r="D196" i="7"/>
  <c r="E196" i="7"/>
  <c r="C191" i="7"/>
  <c r="E191" i="7"/>
  <c r="C190" i="7"/>
  <c r="F190" i="4" s="1"/>
  <c r="J190" i="4" s="1"/>
  <c r="D190" i="7"/>
  <c r="E190" i="7"/>
  <c r="F189" i="4"/>
  <c r="C189" i="7"/>
  <c r="D189" i="7"/>
  <c r="E189" i="7"/>
  <c r="C186" i="7"/>
  <c r="D186" i="7"/>
  <c r="E186" i="7"/>
  <c r="C184" i="7"/>
  <c r="D184" i="7"/>
  <c r="E184" i="7"/>
  <c r="C183" i="7"/>
  <c r="D183" i="7"/>
  <c r="E183" i="7"/>
  <c r="C182" i="7"/>
  <c r="D182" i="7"/>
  <c r="E182" i="7"/>
  <c r="F182" i="7" s="1"/>
  <c r="C181" i="7"/>
  <c r="D181" i="7"/>
  <c r="E181" i="7"/>
  <c r="C180" i="7"/>
  <c r="E180" i="7"/>
  <c r="C179" i="7"/>
  <c r="D179" i="7"/>
  <c r="E179" i="7"/>
  <c r="F178" i="4"/>
  <c r="J178" i="4" s="1"/>
  <c r="C178" i="7"/>
  <c r="D178" i="7"/>
  <c r="E178" i="7"/>
  <c r="C176" i="7"/>
  <c r="E176" i="7"/>
  <c r="C175" i="7"/>
  <c r="D175" i="7"/>
  <c r="E175" i="7"/>
  <c r="C170" i="7"/>
  <c r="D170" i="7"/>
  <c r="E170" i="7"/>
  <c r="C169" i="7"/>
  <c r="E169" i="7"/>
  <c r="C168" i="7"/>
  <c r="D168" i="7"/>
  <c r="E168" i="7"/>
  <c r="C167" i="7"/>
  <c r="D167" i="7"/>
  <c r="E167" i="7"/>
  <c r="C163" i="7"/>
  <c r="E163" i="7"/>
  <c r="C162" i="7"/>
  <c r="E162" i="7"/>
  <c r="C161" i="7"/>
  <c r="D161" i="7"/>
  <c r="E161" i="7"/>
  <c r="F160" i="4"/>
  <c r="J160" i="4" s="1"/>
  <c r="C160" i="7"/>
  <c r="D160" i="7"/>
  <c r="F160" i="7" s="1"/>
  <c r="E160" i="7"/>
  <c r="C159" i="7"/>
  <c r="D159" i="7"/>
  <c r="E159" i="7"/>
  <c r="C157" i="7"/>
  <c r="D157" i="7"/>
  <c r="E157" i="7"/>
  <c r="C154" i="7"/>
  <c r="D154" i="7"/>
  <c r="E154" i="7"/>
  <c r="C153" i="7"/>
  <c r="D153" i="7"/>
  <c r="E153" i="7"/>
  <c r="C148" i="7"/>
  <c r="D148" i="7"/>
  <c r="E148" i="7"/>
  <c r="C147" i="7"/>
  <c r="D147" i="7"/>
  <c r="E147" i="7"/>
  <c r="C146" i="7"/>
  <c r="D146" i="7"/>
  <c r="E146" i="7"/>
  <c r="C144" i="7"/>
  <c r="E144" i="7"/>
  <c r="C140" i="7"/>
  <c r="E140" i="7"/>
  <c r="C139" i="7"/>
  <c r="D139" i="7"/>
  <c r="E139" i="7"/>
  <c r="F139" i="7" s="1"/>
  <c r="F138" i="4"/>
  <c r="C138" i="7"/>
  <c r="D138" i="7"/>
  <c r="E138" i="7"/>
  <c r="C136" i="7"/>
  <c r="D136" i="7"/>
  <c r="E136" i="7"/>
  <c r="F135" i="4"/>
  <c r="R135" i="4" s="1"/>
  <c r="C135" i="7"/>
  <c r="D135" i="7"/>
  <c r="E135" i="7"/>
  <c r="C134" i="7"/>
  <c r="D134" i="7"/>
  <c r="E134" i="7"/>
  <c r="C132" i="7"/>
  <c r="D132" i="7"/>
  <c r="E132" i="7"/>
  <c r="F132" i="7" s="1"/>
  <c r="C131" i="7"/>
  <c r="D131" i="7"/>
  <c r="E131" i="7"/>
  <c r="C130" i="7"/>
  <c r="D130" i="7"/>
  <c r="E130" i="7"/>
  <c r="C126" i="7"/>
  <c r="D126" i="7"/>
  <c r="F126" i="7" s="1"/>
  <c r="E126" i="7"/>
  <c r="F125" i="4"/>
  <c r="R125" i="4" s="1"/>
  <c r="C125" i="7"/>
  <c r="D125" i="7"/>
  <c r="E125" i="7"/>
  <c r="C124" i="7"/>
  <c r="D124" i="7"/>
  <c r="E124" i="7"/>
  <c r="C123" i="7"/>
  <c r="D123" i="7"/>
  <c r="E123" i="7"/>
  <c r="C118" i="7"/>
  <c r="D118" i="7"/>
  <c r="E118" i="7"/>
  <c r="C117" i="7"/>
  <c r="D117" i="7"/>
  <c r="E117" i="7"/>
  <c r="C112" i="7"/>
  <c r="D112" i="7"/>
  <c r="E112" i="7"/>
  <c r="C111" i="7"/>
  <c r="D111" i="7"/>
  <c r="E111" i="7"/>
  <c r="F111" i="4" s="1"/>
  <c r="C110" i="7"/>
  <c r="E110" i="7"/>
  <c r="C109" i="7"/>
  <c r="D109" i="7"/>
  <c r="E109" i="7"/>
  <c r="C108" i="7"/>
  <c r="D108" i="7"/>
  <c r="E108" i="7"/>
  <c r="C107" i="7"/>
  <c r="F107" i="7" s="1"/>
  <c r="D107" i="7"/>
  <c r="E107" i="7"/>
  <c r="C106" i="7"/>
  <c r="D106" i="7"/>
  <c r="E106" i="7"/>
  <c r="F104" i="4"/>
  <c r="R104" i="4" s="1"/>
  <c r="C104" i="7"/>
  <c r="D104" i="7"/>
  <c r="E104" i="7"/>
  <c r="F103" i="4"/>
  <c r="C103" i="7"/>
  <c r="E103" i="7"/>
  <c r="C96" i="7"/>
  <c r="E96" i="7"/>
  <c r="C95" i="7"/>
  <c r="D95" i="7"/>
  <c r="E95" i="7"/>
  <c r="C93" i="7"/>
  <c r="D93" i="7"/>
  <c r="E93" i="7"/>
  <c r="F93" i="4"/>
  <c r="C90" i="7"/>
  <c r="E90" i="7"/>
  <c r="F89" i="4"/>
  <c r="J89" i="4" s="1"/>
  <c r="C89" i="7"/>
  <c r="D89" i="7"/>
  <c r="E89" i="7"/>
  <c r="F88" i="4"/>
  <c r="N88" i="4" s="1"/>
  <c r="C88" i="7"/>
  <c r="D88" i="7"/>
  <c r="E88" i="7"/>
  <c r="C84" i="7"/>
  <c r="F84" i="7" s="1"/>
  <c r="E84" i="7"/>
  <c r="C83" i="7"/>
  <c r="D83" i="7"/>
  <c r="E83" i="7"/>
  <c r="C82" i="7"/>
  <c r="D82" i="7"/>
  <c r="E82" i="7"/>
  <c r="C81" i="7"/>
  <c r="F81" i="7" s="1"/>
  <c r="D81" i="7"/>
  <c r="E81" i="7"/>
  <c r="C80" i="7"/>
  <c r="D80" i="7"/>
  <c r="E80" i="7"/>
  <c r="F75" i="4"/>
  <c r="C75" i="7"/>
  <c r="D75" i="7"/>
  <c r="E75" i="7"/>
  <c r="F75" i="7" s="1"/>
  <c r="C74" i="7"/>
  <c r="D74" i="7"/>
  <c r="E74" i="7"/>
  <c r="F73" i="4"/>
  <c r="C73" i="7"/>
  <c r="E73" i="7"/>
  <c r="C72" i="7"/>
  <c r="E72" i="7"/>
  <c r="R61" i="4"/>
  <c r="J102" i="4"/>
  <c r="K102" i="4" s="1"/>
  <c r="J61" i="4"/>
  <c r="U199" i="15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X226" i="15"/>
  <c r="X225" i="15"/>
  <c r="X224" i="15"/>
  <c r="X223" i="15"/>
  <c r="X222" i="15"/>
  <c r="X221" i="15"/>
  <c r="X220" i="15"/>
  <c r="X219" i="15"/>
  <c r="X218" i="15"/>
  <c r="X217" i="15"/>
  <c r="X216" i="15"/>
  <c r="X215" i="15"/>
  <c r="X214" i="15"/>
  <c r="X213" i="15"/>
  <c r="X212" i="15"/>
  <c r="X211" i="15"/>
  <c r="X210" i="15"/>
  <c r="X209" i="15"/>
  <c r="X208" i="15"/>
  <c r="X207" i="15"/>
  <c r="X206" i="15"/>
  <c r="X205" i="15"/>
  <c r="X204" i="15"/>
  <c r="X203" i="15"/>
  <c r="X202" i="15"/>
  <c r="X201" i="15"/>
  <c r="X200" i="15"/>
  <c r="X199" i="15"/>
  <c r="X198" i="15"/>
  <c r="X197" i="15"/>
  <c r="X196" i="15"/>
  <c r="U226" i="15"/>
  <c r="U225" i="15"/>
  <c r="U224" i="15"/>
  <c r="U223" i="15"/>
  <c r="U222" i="15"/>
  <c r="U221" i="15"/>
  <c r="U220" i="15"/>
  <c r="U219" i="15"/>
  <c r="U218" i="15"/>
  <c r="U217" i="15"/>
  <c r="U216" i="15"/>
  <c r="U215" i="15"/>
  <c r="U214" i="15"/>
  <c r="U213" i="15"/>
  <c r="U212" i="15"/>
  <c r="U211" i="15"/>
  <c r="U210" i="15"/>
  <c r="U209" i="15"/>
  <c r="U208" i="15"/>
  <c r="U207" i="15"/>
  <c r="U206" i="15"/>
  <c r="U205" i="15"/>
  <c r="U204" i="15"/>
  <c r="U203" i="15"/>
  <c r="U202" i="15"/>
  <c r="U201" i="15"/>
  <c r="U200" i="15"/>
  <c r="U198" i="15"/>
  <c r="U197" i="15"/>
  <c r="U196" i="15"/>
  <c r="R226" i="15"/>
  <c r="R225" i="15"/>
  <c r="R224" i="15"/>
  <c r="R223" i="15"/>
  <c r="R222" i="15"/>
  <c r="R221" i="15"/>
  <c r="R220" i="15"/>
  <c r="R219" i="15"/>
  <c r="R218" i="15"/>
  <c r="R217" i="15"/>
  <c r="R216" i="15"/>
  <c r="R215" i="15"/>
  <c r="R214" i="15"/>
  <c r="R213" i="15"/>
  <c r="R212" i="15"/>
  <c r="R211" i="15"/>
  <c r="R210" i="15"/>
  <c r="R209" i="15"/>
  <c r="R208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J226" i="15"/>
  <c r="J225" i="15"/>
  <c r="J224" i="15"/>
  <c r="J223" i="15"/>
  <c r="J222" i="15"/>
  <c r="J221" i="15"/>
  <c r="J220" i="15"/>
  <c r="J219" i="15"/>
  <c r="J218" i="15"/>
  <c r="J217" i="15"/>
  <c r="J216" i="15"/>
  <c r="J215" i="15"/>
  <c r="J214" i="15"/>
  <c r="J213" i="15"/>
  <c r="J212" i="15"/>
  <c r="J211" i="15"/>
  <c r="J210" i="15"/>
  <c r="J209" i="15"/>
  <c r="J208" i="15"/>
  <c r="J207" i="15"/>
  <c r="J206" i="15"/>
  <c r="J205" i="15"/>
  <c r="J204" i="15"/>
  <c r="J203" i="15"/>
  <c r="J202" i="15"/>
  <c r="J201" i="15"/>
  <c r="J200" i="15"/>
  <c r="J199" i="15"/>
  <c r="J198" i="15"/>
  <c r="J197" i="15"/>
  <c r="J19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D226" i="15"/>
  <c r="D225" i="15"/>
  <c r="D224" i="15"/>
  <c r="D223" i="15"/>
  <c r="D222" i="15"/>
  <c r="D221" i="15"/>
  <c r="D220" i="15"/>
  <c r="D219" i="15"/>
  <c r="D218" i="15"/>
  <c r="D217" i="15"/>
  <c r="D216" i="15"/>
  <c r="D215" i="15"/>
  <c r="D214" i="15"/>
  <c r="D213" i="15"/>
  <c r="D212" i="15"/>
  <c r="D211" i="15"/>
  <c r="D210" i="15"/>
  <c r="D209" i="15"/>
  <c r="D208" i="15"/>
  <c r="D207" i="15"/>
  <c r="D206" i="15"/>
  <c r="D205" i="15"/>
  <c r="D204" i="15"/>
  <c r="D203" i="15"/>
  <c r="D202" i="15"/>
  <c r="D201" i="15"/>
  <c r="D200" i="15"/>
  <c r="D199" i="15"/>
  <c r="D198" i="15"/>
  <c r="D197" i="15"/>
  <c r="D196" i="15"/>
  <c r="W226" i="13"/>
  <c r="W225" i="13"/>
  <c r="W224" i="13"/>
  <c r="W223" i="13"/>
  <c r="W222" i="13"/>
  <c r="W221" i="13"/>
  <c r="W220" i="13"/>
  <c r="W219" i="13"/>
  <c r="W218" i="13"/>
  <c r="W217" i="13"/>
  <c r="W216" i="13"/>
  <c r="W215" i="13"/>
  <c r="W214" i="13"/>
  <c r="W213" i="13"/>
  <c r="W212" i="13"/>
  <c r="W211" i="13"/>
  <c r="W210" i="13"/>
  <c r="W209" i="13"/>
  <c r="W208" i="13"/>
  <c r="W207" i="13"/>
  <c r="W206" i="13"/>
  <c r="W205" i="13"/>
  <c r="W204" i="13"/>
  <c r="W203" i="13"/>
  <c r="W202" i="13"/>
  <c r="W201" i="13"/>
  <c r="W200" i="13"/>
  <c r="W199" i="13"/>
  <c r="W198" i="13"/>
  <c r="W197" i="13"/>
  <c r="W196" i="13"/>
  <c r="T226" i="13"/>
  <c r="T225" i="13"/>
  <c r="T224" i="13"/>
  <c r="T223" i="13"/>
  <c r="T222" i="13"/>
  <c r="T221" i="13"/>
  <c r="T220" i="13"/>
  <c r="T219" i="13"/>
  <c r="T218" i="13"/>
  <c r="T217" i="13"/>
  <c r="T216" i="13"/>
  <c r="T215" i="13"/>
  <c r="T214" i="13"/>
  <c r="T213" i="13"/>
  <c r="T212" i="13"/>
  <c r="T211" i="13"/>
  <c r="T210" i="13"/>
  <c r="T209" i="13"/>
  <c r="T208" i="13"/>
  <c r="T207" i="13"/>
  <c r="T206" i="13"/>
  <c r="T205" i="13"/>
  <c r="T204" i="13"/>
  <c r="T203" i="13"/>
  <c r="T202" i="13"/>
  <c r="T201" i="13"/>
  <c r="T200" i="13"/>
  <c r="T199" i="13"/>
  <c r="T198" i="13"/>
  <c r="T197" i="13"/>
  <c r="T196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N226" i="13"/>
  <c r="N225" i="13"/>
  <c r="N224" i="13"/>
  <c r="N223" i="13"/>
  <c r="N222" i="13"/>
  <c r="N221" i="13"/>
  <c r="N220" i="13"/>
  <c r="N219" i="13"/>
  <c r="N218" i="13"/>
  <c r="N217" i="13"/>
  <c r="N216" i="13"/>
  <c r="N215" i="13"/>
  <c r="N214" i="13"/>
  <c r="N213" i="13"/>
  <c r="N212" i="13"/>
  <c r="N211" i="13"/>
  <c r="N210" i="13"/>
  <c r="N209" i="13"/>
  <c r="N208" i="13"/>
  <c r="N207" i="13"/>
  <c r="N206" i="13"/>
  <c r="N205" i="13"/>
  <c r="N204" i="13"/>
  <c r="N203" i="13"/>
  <c r="N202" i="13"/>
  <c r="N201" i="13"/>
  <c r="N200" i="13"/>
  <c r="N199" i="13"/>
  <c r="N198" i="13"/>
  <c r="N197" i="13"/>
  <c r="N196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T192" i="13"/>
  <c r="F210" i="4"/>
  <c r="C198" i="7"/>
  <c r="C199" i="7"/>
  <c r="C201" i="7"/>
  <c r="C208" i="7"/>
  <c r="C209" i="7"/>
  <c r="C210" i="7"/>
  <c r="C211" i="7"/>
  <c r="F211" i="7" s="1"/>
  <c r="C215" i="7"/>
  <c r="C216" i="7"/>
  <c r="D198" i="7"/>
  <c r="D201" i="7"/>
  <c r="F201" i="7" s="1"/>
  <c r="D208" i="7"/>
  <c r="F208" i="7" s="1"/>
  <c r="D209" i="7"/>
  <c r="D210" i="7"/>
  <c r="D211" i="7"/>
  <c r="D215" i="7"/>
  <c r="D216" i="7"/>
  <c r="E198" i="7"/>
  <c r="F198" i="7" s="1"/>
  <c r="E199" i="7"/>
  <c r="E201" i="7"/>
  <c r="E208" i="7"/>
  <c r="E209" i="7"/>
  <c r="E210" i="7"/>
  <c r="E211" i="7"/>
  <c r="E215" i="7"/>
  <c r="E216" i="7"/>
  <c r="C212" i="7"/>
  <c r="D212" i="7"/>
  <c r="E212" i="7"/>
  <c r="F212" i="7" s="1"/>
  <c r="X193" i="15"/>
  <c r="X192" i="15"/>
  <c r="X191" i="15"/>
  <c r="X190" i="15"/>
  <c r="X189" i="15"/>
  <c r="X188" i="15"/>
  <c r="X187" i="15"/>
  <c r="X186" i="15"/>
  <c r="X185" i="15"/>
  <c r="X184" i="15"/>
  <c r="X183" i="15"/>
  <c r="X182" i="15"/>
  <c r="X181" i="15"/>
  <c r="X180" i="15"/>
  <c r="X179" i="15"/>
  <c r="X178" i="15"/>
  <c r="X177" i="15"/>
  <c r="X176" i="15"/>
  <c r="X175" i="15"/>
  <c r="X174" i="15"/>
  <c r="X173" i="15"/>
  <c r="X172" i="15"/>
  <c r="X171" i="15"/>
  <c r="X170" i="15"/>
  <c r="X169" i="15"/>
  <c r="X168" i="15"/>
  <c r="X167" i="15"/>
  <c r="X166" i="15"/>
  <c r="U193" i="15"/>
  <c r="U192" i="15"/>
  <c r="U191" i="15"/>
  <c r="U190" i="15"/>
  <c r="U189" i="15"/>
  <c r="U188" i="15"/>
  <c r="U187" i="15"/>
  <c r="U186" i="15"/>
  <c r="U185" i="15"/>
  <c r="U184" i="15"/>
  <c r="U183" i="15"/>
  <c r="U182" i="15"/>
  <c r="U181" i="15"/>
  <c r="U180" i="15"/>
  <c r="U179" i="15"/>
  <c r="U178" i="15"/>
  <c r="U177" i="15"/>
  <c r="U176" i="15"/>
  <c r="U175" i="15"/>
  <c r="U174" i="15"/>
  <c r="U173" i="15"/>
  <c r="U172" i="15"/>
  <c r="U171" i="15"/>
  <c r="U170" i="15"/>
  <c r="U169" i="15"/>
  <c r="U168" i="15"/>
  <c r="U167" i="15"/>
  <c r="U166" i="15"/>
  <c r="R193" i="15"/>
  <c r="R192" i="15"/>
  <c r="R191" i="15"/>
  <c r="R190" i="15"/>
  <c r="R189" i="15"/>
  <c r="R188" i="15"/>
  <c r="R187" i="15"/>
  <c r="R186" i="15"/>
  <c r="R185" i="15"/>
  <c r="R184" i="15"/>
  <c r="R183" i="15"/>
  <c r="R182" i="15"/>
  <c r="R181" i="15"/>
  <c r="R180" i="15"/>
  <c r="R179" i="15"/>
  <c r="R178" i="15"/>
  <c r="R177" i="15"/>
  <c r="R176" i="15"/>
  <c r="R175" i="15"/>
  <c r="R174" i="15"/>
  <c r="R173" i="15"/>
  <c r="R172" i="15"/>
  <c r="R171" i="15"/>
  <c r="R170" i="15"/>
  <c r="R169" i="15"/>
  <c r="R168" i="15"/>
  <c r="R167" i="15"/>
  <c r="R166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J193" i="15"/>
  <c r="J192" i="15"/>
  <c r="J191" i="15"/>
  <c r="J190" i="15"/>
  <c r="J189" i="15"/>
  <c r="J188" i="15"/>
  <c r="J187" i="15"/>
  <c r="J186" i="15"/>
  <c r="J185" i="15"/>
  <c r="J184" i="15"/>
  <c r="J183" i="15"/>
  <c r="J182" i="15"/>
  <c r="J181" i="15"/>
  <c r="J180" i="15"/>
  <c r="J179" i="15"/>
  <c r="J178" i="15"/>
  <c r="J177" i="15"/>
  <c r="J176" i="15"/>
  <c r="J175" i="15"/>
  <c r="J174" i="15"/>
  <c r="J173" i="15"/>
  <c r="J172" i="15"/>
  <c r="J171" i="15"/>
  <c r="J170" i="15"/>
  <c r="J169" i="15"/>
  <c r="J168" i="15"/>
  <c r="J167" i="15"/>
  <c r="J166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D193" i="15"/>
  <c r="D192" i="15"/>
  <c r="D191" i="15"/>
  <c r="D190" i="15"/>
  <c r="D189" i="15"/>
  <c r="D188" i="15"/>
  <c r="D187" i="15"/>
  <c r="D186" i="15"/>
  <c r="D185" i="15"/>
  <c r="D184" i="15"/>
  <c r="D183" i="15"/>
  <c r="D182" i="15"/>
  <c r="D181" i="15"/>
  <c r="D180" i="15"/>
  <c r="D179" i="15"/>
  <c r="D178" i="15"/>
  <c r="D177" i="15"/>
  <c r="D176" i="15"/>
  <c r="D175" i="15"/>
  <c r="D174" i="15"/>
  <c r="D173" i="15"/>
  <c r="D172" i="15"/>
  <c r="D171" i="15"/>
  <c r="D170" i="15"/>
  <c r="D169" i="15"/>
  <c r="D168" i="15"/>
  <c r="D167" i="15"/>
  <c r="D166" i="15"/>
  <c r="W193" i="13"/>
  <c r="W192" i="13"/>
  <c r="W191" i="13"/>
  <c r="W190" i="13"/>
  <c r="W189" i="13"/>
  <c r="W188" i="13"/>
  <c r="W187" i="13"/>
  <c r="W186" i="13"/>
  <c r="W185" i="13"/>
  <c r="W184" i="13"/>
  <c r="W183" i="13"/>
  <c r="W182" i="13"/>
  <c r="W181" i="13"/>
  <c r="W180" i="13"/>
  <c r="W179" i="13"/>
  <c r="W178" i="13"/>
  <c r="W177" i="13"/>
  <c r="W176" i="13"/>
  <c r="W175" i="13"/>
  <c r="W174" i="13"/>
  <c r="W173" i="13"/>
  <c r="W172" i="13"/>
  <c r="W171" i="13"/>
  <c r="W170" i="13"/>
  <c r="W169" i="13"/>
  <c r="W168" i="13"/>
  <c r="W167" i="13"/>
  <c r="W166" i="13"/>
  <c r="T193" i="13"/>
  <c r="T191" i="13"/>
  <c r="T190" i="13"/>
  <c r="T189" i="13"/>
  <c r="T188" i="13"/>
  <c r="T187" i="13"/>
  <c r="T186" i="13"/>
  <c r="T185" i="13"/>
  <c r="T184" i="13"/>
  <c r="T183" i="13"/>
  <c r="T182" i="13"/>
  <c r="T181" i="13"/>
  <c r="T180" i="13"/>
  <c r="T179" i="13"/>
  <c r="T178" i="13"/>
  <c r="T177" i="13"/>
  <c r="T176" i="13"/>
  <c r="T175" i="13"/>
  <c r="T174" i="13"/>
  <c r="T173" i="13"/>
  <c r="T172" i="13"/>
  <c r="T171" i="13"/>
  <c r="T170" i="13"/>
  <c r="T169" i="13"/>
  <c r="T168" i="13"/>
  <c r="T167" i="13"/>
  <c r="T166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N193" i="13"/>
  <c r="N192" i="13"/>
  <c r="N191" i="13"/>
  <c r="N190" i="13"/>
  <c r="N189" i="13"/>
  <c r="N188" i="13"/>
  <c r="N187" i="13"/>
  <c r="N186" i="13"/>
  <c r="N185" i="13"/>
  <c r="N184" i="13"/>
  <c r="N183" i="13"/>
  <c r="N182" i="13"/>
  <c r="N181" i="13"/>
  <c r="N180" i="13"/>
  <c r="N179" i="13"/>
  <c r="N178" i="13"/>
  <c r="N177" i="13"/>
  <c r="N176" i="13"/>
  <c r="N175" i="13"/>
  <c r="N174" i="13"/>
  <c r="N173" i="13"/>
  <c r="N172" i="13"/>
  <c r="N171" i="13"/>
  <c r="N170" i="13"/>
  <c r="N169" i="13"/>
  <c r="N168" i="13"/>
  <c r="N167" i="13"/>
  <c r="N166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J161" i="15"/>
  <c r="A2" i="3"/>
  <c r="A3" i="3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2" i="15"/>
  <c r="J163" i="15"/>
  <c r="J16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X135" i="15"/>
  <c r="X136" i="15"/>
  <c r="X137" i="15"/>
  <c r="X138" i="15"/>
  <c r="X140" i="15"/>
  <c r="X141" i="15"/>
  <c r="X142" i="15"/>
  <c r="X143" i="15"/>
  <c r="X144" i="15"/>
  <c r="X145" i="15"/>
  <c r="X146" i="15"/>
  <c r="X147" i="15"/>
  <c r="X148" i="15"/>
  <c r="X149" i="15"/>
  <c r="X150" i="1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64" i="15"/>
  <c r="U134" i="15"/>
  <c r="R134" i="15"/>
  <c r="O134" i="15"/>
  <c r="J134" i="15"/>
  <c r="G134" i="15"/>
  <c r="D134" i="15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W162" i="13"/>
  <c r="W163" i="13"/>
  <c r="W164" i="13"/>
  <c r="T135" i="13"/>
  <c r="T136" i="13"/>
  <c r="T137" i="13"/>
  <c r="T138" i="13"/>
  <c r="T139" i="13"/>
  <c r="T140" i="13"/>
  <c r="T141" i="13"/>
  <c r="T142" i="13"/>
  <c r="T143" i="13"/>
  <c r="T144" i="13"/>
  <c r="T145" i="13"/>
  <c r="T146" i="13"/>
  <c r="T147" i="13"/>
  <c r="T148" i="13"/>
  <c r="T149" i="13"/>
  <c r="T150" i="13"/>
  <c r="T151" i="13"/>
  <c r="T152" i="13"/>
  <c r="T153" i="13"/>
  <c r="T154" i="13"/>
  <c r="T155" i="13"/>
  <c r="T156" i="13"/>
  <c r="T157" i="13"/>
  <c r="T158" i="13"/>
  <c r="T159" i="13"/>
  <c r="T160" i="13"/>
  <c r="T161" i="13"/>
  <c r="T162" i="13"/>
  <c r="T163" i="13"/>
  <c r="T164" i="13"/>
  <c r="Q135" i="13"/>
  <c r="Q136" i="13"/>
  <c r="Q137" i="13"/>
  <c r="Q138" i="13"/>
  <c r="Q139" i="13"/>
  <c r="Q140" i="13"/>
  <c r="Q142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G135" i="13"/>
  <c r="G136" i="13"/>
  <c r="G137" i="13"/>
  <c r="G138" i="13"/>
  <c r="G139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T134" i="13"/>
  <c r="N134" i="13"/>
  <c r="J134" i="13"/>
  <c r="G134" i="13"/>
  <c r="D134" i="13"/>
  <c r="X103" i="15"/>
  <c r="X104" i="15"/>
  <c r="X105" i="15"/>
  <c r="X106" i="15"/>
  <c r="X107" i="15"/>
  <c r="X108" i="15"/>
  <c r="X109" i="15"/>
  <c r="X110" i="15"/>
  <c r="X111" i="15"/>
  <c r="X112" i="15"/>
  <c r="X113" i="15"/>
  <c r="X114" i="15"/>
  <c r="X115" i="15"/>
  <c r="X116" i="15"/>
  <c r="X117" i="15"/>
  <c r="X118" i="15"/>
  <c r="X119" i="15"/>
  <c r="X120" i="15"/>
  <c r="X121" i="15"/>
  <c r="X122" i="15"/>
  <c r="X123" i="15"/>
  <c r="X124" i="15"/>
  <c r="X125" i="15"/>
  <c r="X126" i="15"/>
  <c r="X127" i="15"/>
  <c r="X128" i="15"/>
  <c r="X129" i="15"/>
  <c r="X130" i="15"/>
  <c r="X131" i="15"/>
  <c r="X13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5" i="13"/>
  <c r="Q126" i="13"/>
  <c r="Q127" i="13"/>
  <c r="Q128" i="13"/>
  <c r="Q129" i="13"/>
  <c r="Q130" i="13"/>
  <c r="Q131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2" i="13"/>
  <c r="G123" i="13"/>
  <c r="G124" i="13"/>
  <c r="G125" i="13"/>
  <c r="G126" i="13"/>
  <c r="G127" i="13"/>
  <c r="G128" i="13"/>
  <c r="G129" i="13"/>
  <c r="G130" i="13"/>
  <c r="G131" i="13"/>
  <c r="G13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9" i="13"/>
  <c r="D120" i="13"/>
  <c r="D122" i="13"/>
  <c r="D123" i="13"/>
  <c r="D124" i="13"/>
  <c r="D125" i="13"/>
  <c r="D126" i="13"/>
  <c r="D127" i="13"/>
  <c r="D128" i="13"/>
  <c r="D129" i="13"/>
  <c r="D130" i="13"/>
  <c r="D131" i="13"/>
  <c r="D132" i="13"/>
  <c r="W102" i="13"/>
  <c r="T102" i="13"/>
  <c r="Q102" i="13"/>
  <c r="N102" i="13"/>
  <c r="J102" i="13"/>
  <c r="G102" i="13"/>
  <c r="D102" i="13"/>
  <c r="X102" i="15"/>
  <c r="U102" i="15"/>
  <c r="R102" i="15"/>
  <c r="O102" i="15"/>
  <c r="J102" i="15"/>
  <c r="G102" i="15"/>
  <c r="D102" i="15"/>
  <c r="W70" i="13"/>
  <c r="R70" i="15"/>
  <c r="O70" i="15"/>
  <c r="X70" i="15"/>
  <c r="U70" i="15"/>
  <c r="J70" i="15"/>
  <c r="G70" i="15"/>
  <c r="D70" i="15"/>
  <c r="T70" i="13"/>
  <c r="Q70" i="13"/>
  <c r="N70" i="13"/>
  <c r="J70" i="13"/>
  <c r="G70" i="13"/>
  <c r="D70" i="13"/>
  <c r="X52" i="15"/>
  <c r="X53" i="15"/>
  <c r="X54" i="15"/>
  <c r="X63" i="15"/>
  <c r="X64" i="15"/>
  <c r="X65" i="15"/>
  <c r="X66" i="15"/>
  <c r="X67" i="15"/>
  <c r="X68" i="15"/>
  <c r="X69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W47" i="13"/>
  <c r="W48" i="13"/>
  <c r="W49" i="13"/>
  <c r="W50" i="13"/>
  <c r="W51" i="13"/>
  <c r="W52" i="13"/>
  <c r="W53" i="13"/>
  <c r="W54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X40" i="15"/>
  <c r="U40" i="15"/>
  <c r="R40" i="15"/>
  <c r="O40" i="15"/>
  <c r="T40" i="13"/>
  <c r="Q40" i="13"/>
  <c r="N40" i="13"/>
  <c r="J40" i="15"/>
  <c r="G40" i="15"/>
  <c r="J40" i="13"/>
  <c r="G40" i="13"/>
  <c r="X39" i="15"/>
  <c r="U39" i="15"/>
  <c r="R39" i="15"/>
  <c r="O39" i="15"/>
  <c r="J39" i="15"/>
  <c r="G39" i="15"/>
  <c r="T39" i="13"/>
  <c r="Q39" i="13"/>
  <c r="N39" i="13"/>
  <c r="J39" i="13"/>
  <c r="G39" i="13"/>
  <c r="X8" i="15"/>
  <c r="A8" i="15"/>
  <c r="A9" i="15"/>
  <c r="X9" i="15"/>
  <c r="X11" i="15"/>
  <c r="X12" i="15"/>
  <c r="X13" i="15"/>
  <c r="X14" i="15"/>
  <c r="X15" i="15"/>
  <c r="X16" i="15"/>
  <c r="X17" i="15"/>
  <c r="X18" i="15"/>
  <c r="X19" i="15"/>
  <c r="X20" i="15"/>
  <c r="X21" i="15"/>
  <c r="X22" i="15"/>
  <c r="X29" i="15"/>
  <c r="X30" i="15"/>
  <c r="X31" i="15"/>
  <c r="X32" i="15"/>
  <c r="X34" i="15"/>
  <c r="X36" i="15"/>
  <c r="X25" i="15"/>
  <c r="X26" i="15"/>
  <c r="X27" i="15"/>
  <c r="X28" i="15"/>
  <c r="X33" i="15"/>
  <c r="X35" i="15"/>
  <c r="U8" i="15"/>
  <c r="U9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9" i="15"/>
  <c r="U30" i="15"/>
  <c r="U31" i="15"/>
  <c r="U32" i="15"/>
  <c r="U34" i="15"/>
  <c r="U36" i="15"/>
  <c r="U25" i="15"/>
  <c r="U26" i="15"/>
  <c r="U27" i="15"/>
  <c r="U28" i="15"/>
  <c r="U33" i="15"/>
  <c r="U35" i="15"/>
  <c r="R8" i="15"/>
  <c r="R9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9" i="15"/>
  <c r="R30" i="15"/>
  <c r="R31" i="15"/>
  <c r="R32" i="15"/>
  <c r="R34" i="15"/>
  <c r="R36" i="15"/>
  <c r="R25" i="15"/>
  <c r="R26" i="15"/>
  <c r="R27" i="15"/>
  <c r="R28" i="15"/>
  <c r="R33" i="15"/>
  <c r="R35" i="15"/>
  <c r="O8" i="15"/>
  <c r="O9" i="15"/>
  <c r="O11" i="15"/>
  <c r="O12" i="15"/>
  <c r="O13" i="15"/>
  <c r="O14" i="15"/>
  <c r="O15" i="15"/>
  <c r="O16" i="15"/>
  <c r="O18" i="15"/>
  <c r="O19" i="15"/>
  <c r="O20" i="15"/>
  <c r="O21" i="15"/>
  <c r="O22" i="15"/>
  <c r="O29" i="15"/>
  <c r="O30" i="15"/>
  <c r="O31" i="15"/>
  <c r="O32" i="15"/>
  <c r="O34" i="15"/>
  <c r="O36" i="15"/>
  <c r="O25" i="15"/>
  <c r="O26" i="15"/>
  <c r="O27" i="15"/>
  <c r="O28" i="15"/>
  <c r="O33" i="15"/>
  <c r="O35" i="15"/>
  <c r="J8" i="15"/>
  <c r="J9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9" i="15"/>
  <c r="J30" i="15"/>
  <c r="J31" i="15"/>
  <c r="J32" i="15"/>
  <c r="J34" i="15"/>
  <c r="J36" i="15"/>
  <c r="J37" i="15"/>
  <c r="J25" i="15"/>
  <c r="J26" i="15"/>
  <c r="J27" i="15"/>
  <c r="J28" i="15"/>
  <c r="J33" i="15"/>
  <c r="J35" i="15"/>
  <c r="G8" i="15"/>
  <c r="G9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9" i="15"/>
  <c r="G30" i="15"/>
  <c r="G31" i="15"/>
  <c r="G32" i="15"/>
  <c r="G34" i="15"/>
  <c r="G36" i="15"/>
  <c r="G37" i="15"/>
  <c r="G25" i="15"/>
  <c r="G26" i="15"/>
  <c r="G27" i="15"/>
  <c r="G28" i="15"/>
  <c r="G33" i="15"/>
  <c r="G35" i="15"/>
  <c r="B2" i="15"/>
  <c r="C2" i="15" s="1"/>
  <c r="D2" i="15" s="1"/>
  <c r="E2" i="15" s="1"/>
  <c r="F2" i="15" s="1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Q2" i="15" s="1"/>
  <c r="R2" i="15" s="1"/>
  <c r="S2" i="15" s="1"/>
  <c r="T2" i="15" s="1"/>
  <c r="U2" i="15" s="1"/>
  <c r="V2" i="15" s="1"/>
  <c r="W2" i="15" s="1"/>
  <c r="X2" i="15" s="1"/>
  <c r="Y2" i="15" s="1"/>
  <c r="N8" i="13"/>
  <c r="A8" i="13"/>
  <c r="A9" i="13"/>
  <c r="N9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9" i="13"/>
  <c r="N30" i="13"/>
  <c r="N31" i="13"/>
  <c r="N32" i="13"/>
  <c r="N34" i="13"/>
  <c r="N36" i="13"/>
  <c r="N25" i="13"/>
  <c r="N26" i="13"/>
  <c r="N27" i="13"/>
  <c r="N28" i="13"/>
  <c r="N33" i="13"/>
  <c r="N35" i="13"/>
  <c r="T8" i="13"/>
  <c r="T9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9" i="13"/>
  <c r="T30" i="13"/>
  <c r="T31" i="13"/>
  <c r="T32" i="13"/>
  <c r="T34" i="13"/>
  <c r="T36" i="13"/>
  <c r="T25" i="13"/>
  <c r="T26" i="13"/>
  <c r="T27" i="13"/>
  <c r="T28" i="13"/>
  <c r="T33" i="13"/>
  <c r="T35" i="13"/>
  <c r="W8" i="13"/>
  <c r="W9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9" i="13"/>
  <c r="W30" i="13"/>
  <c r="W31" i="13"/>
  <c r="W32" i="13"/>
  <c r="W34" i="13"/>
  <c r="W36" i="13"/>
  <c r="W25" i="13"/>
  <c r="W26" i="13"/>
  <c r="W27" i="13"/>
  <c r="W28" i="13"/>
  <c r="W33" i="13"/>
  <c r="W35" i="13"/>
  <c r="Q8" i="13"/>
  <c r="Q9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9" i="13"/>
  <c r="Q30" i="13"/>
  <c r="Q31" i="13"/>
  <c r="Q32" i="13"/>
  <c r="Q34" i="13"/>
  <c r="Q36" i="13"/>
  <c r="Q25" i="13"/>
  <c r="Q26" i="13"/>
  <c r="Q27" i="13"/>
  <c r="Q28" i="13"/>
  <c r="Q33" i="13"/>
  <c r="Q35" i="13"/>
  <c r="J8" i="13"/>
  <c r="J9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9" i="13"/>
  <c r="J30" i="13"/>
  <c r="J31" i="13"/>
  <c r="J32" i="13"/>
  <c r="J34" i="13"/>
  <c r="J36" i="13"/>
  <c r="J37" i="13"/>
  <c r="J25" i="13"/>
  <c r="J26" i="13"/>
  <c r="J27" i="13"/>
  <c r="J28" i="13"/>
  <c r="J33" i="13"/>
  <c r="J35" i="13"/>
  <c r="G8" i="13"/>
  <c r="G9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9" i="13"/>
  <c r="G30" i="13"/>
  <c r="G31" i="13"/>
  <c r="G32" i="13"/>
  <c r="G34" i="13"/>
  <c r="G36" i="13"/>
  <c r="G37" i="13"/>
  <c r="G25" i="13"/>
  <c r="G26" i="13"/>
  <c r="G27" i="13"/>
  <c r="G28" i="13"/>
  <c r="G33" i="13"/>
  <c r="G35" i="13"/>
  <c r="B2" i="13"/>
  <c r="C2" i="13" s="1"/>
  <c r="D2" i="13" s="1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B4" i="7"/>
  <c r="C4" i="7" s="1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Z4" i="7" s="1"/>
  <c r="F385" i="4"/>
  <c r="R385" i="4" s="1"/>
  <c r="S385" i="4" s="1"/>
  <c r="C379" i="7"/>
  <c r="D379" i="7"/>
  <c r="E379" i="7"/>
  <c r="C377" i="7"/>
  <c r="D377" i="7"/>
  <c r="E377" i="7"/>
  <c r="F377" i="4"/>
  <c r="N377" i="4" s="1"/>
  <c r="C376" i="7"/>
  <c r="D376" i="7"/>
  <c r="E376" i="7"/>
  <c r="C375" i="7"/>
  <c r="F375" i="7" s="1"/>
  <c r="D375" i="7"/>
  <c r="E375" i="7"/>
  <c r="F374" i="4"/>
  <c r="N374" i="4" s="1"/>
  <c r="C374" i="7"/>
  <c r="F374" i="7" s="1"/>
  <c r="D374" i="7"/>
  <c r="E374" i="7"/>
  <c r="C373" i="7"/>
  <c r="D373" i="7"/>
  <c r="E373" i="7"/>
  <c r="C372" i="7"/>
  <c r="D372" i="7"/>
  <c r="E372" i="7"/>
  <c r="C371" i="7"/>
  <c r="D371" i="7"/>
  <c r="E371" i="7"/>
  <c r="F371" i="7" s="1"/>
  <c r="C365" i="7"/>
  <c r="D365" i="7"/>
  <c r="E365" i="7"/>
  <c r="C364" i="7"/>
  <c r="D364" i="7"/>
  <c r="F364" i="7" s="1"/>
  <c r="E364" i="7"/>
  <c r="C359" i="7"/>
  <c r="D359" i="7"/>
  <c r="E359" i="7"/>
  <c r="F359" i="4"/>
  <c r="R359" i="4" s="1"/>
  <c r="C358" i="7"/>
  <c r="F358" i="7" s="1"/>
  <c r="D358" i="7"/>
  <c r="E358" i="7"/>
  <c r="C350" i="7"/>
  <c r="D350" i="7"/>
  <c r="E350" i="7"/>
  <c r="F350" i="7" s="1"/>
  <c r="F344" i="4"/>
  <c r="R344" i="4" s="1"/>
  <c r="C344" i="7"/>
  <c r="D344" i="7"/>
  <c r="E344" i="7"/>
  <c r="F344" i="7" s="1"/>
  <c r="C343" i="7"/>
  <c r="D343" i="7"/>
  <c r="E343" i="7"/>
  <c r="C338" i="7"/>
  <c r="D338" i="7"/>
  <c r="E338" i="7"/>
  <c r="C337" i="7"/>
  <c r="F337" i="7" s="1"/>
  <c r="D337" i="7"/>
  <c r="E337" i="7"/>
  <c r="C336" i="7"/>
  <c r="D336" i="7"/>
  <c r="E336" i="7"/>
  <c r="C330" i="7"/>
  <c r="D330" i="7"/>
  <c r="E330" i="7"/>
  <c r="C329" i="7"/>
  <c r="F329" i="7" s="1"/>
  <c r="D329" i="7"/>
  <c r="E329" i="7"/>
  <c r="C325" i="7"/>
  <c r="D325" i="7"/>
  <c r="E325" i="7"/>
  <c r="C324" i="7"/>
  <c r="F324" i="7" s="1"/>
  <c r="D324" i="7"/>
  <c r="E324" i="7"/>
  <c r="F318" i="4"/>
  <c r="N318" i="4" s="1"/>
  <c r="C318" i="7"/>
  <c r="D318" i="7"/>
  <c r="E318" i="7"/>
  <c r="C314" i="7"/>
  <c r="F314" i="7" s="1"/>
  <c r="D314" i="7"/>
  <c r="E314" i="7"/>
  <c r="C307" i="7"/>
  <c r="F307" i="7" s="1"/>
  <c r="D307" i="7"/>
  <c r="E307" i="7"/>
  <c r="C306" i="7"/>
  <c r="D306" i="7"/>
  <c r="E306" i="7"/>
  <c r="C304" i="7"/>
  <c r="F304" i="7" s="1"/>
  <c r="D304" i="7"/>
  <c r="E304" i="7"/>
  <c r="F303" i="4"/>
  <c r="C303" i="7"/>
  <c r="F303" i="7" s="1"/>
  <c r="D303" i="7"/>
  <c r="E303" i="7"/>
  <c r="F302" i="4"/>
  <c r="C302" i="7"/>
  <c r="D302" i="7"/>
  <c r="E302" i="7"/>
  <c r="C301" i="7"/>
  <c r="D301" i="7"/>
  <c r="E301" i="7"/>
  <c r="C300" i="7"/>
  <c r="D300" i="7"/>
  <c r="E300" i="7"/>
  <c r="F300" i="7" s="1"/>
  <c r="C293" i="7"/>
  <c r="D293" i="7"/>
  <c r="E293" i="7"/>
  <c r="C286" i="7"/>
  <c r="D286" i="7"/>
  <c r="E286" i="7"/>
  <c r="C285" i="7"/>
  <c r="D285" i="7"/>
  <c r="E285" i="7"/>
  <c r="F285" i="7" s="1"/>
  <c r="C278" i="7"/>
  <c r="F278" i="7" s="1"/>
  <c r="D278" i="7"/>
  <c r="E278" i="7"/>
  <c r="F271" i="4"/>
  <c r="R271" i="4" s="1"/>
  <c r="C271" i="7"/>
  <c r="F271" i="7" s="1"/>
  <c r="D271" i="7"/>
  <c r="E271" i="7"/>
  <c r="C264" i="7"/>
  <c r="F264" i="7" s="1"/>
  <c r="D264" i="7"/>
  <c r="E264" i="7"/>
  <c r="C257" i="7"/>
  <c r="F257" i="7" s="1"/>
  <c r="D257" i="7"/>
  <c r="E257" i="7"/>
  <c r="F257" i="4"/>
  <c r="R257" i="4" s="1"/>
  <c r="C256" i="7"/>
  <c r="F256" i="7" s="1"/>
  <c r="D256" i="7"/>
  <c r="E256" i="7"/>
  <c r="F249" i="4"/>
  <c r="J249" i="4" s="1"/>
  <c r="C249" i="7"/>
  <c r="D249" i="7"/>
  <c r="F249" i="7" s="1"/>
  <c r="E249" i="7"/>
  <c r="C245" i="7"/>
  <c r="F245" i="7" s="1"/>
  <c r="D245" i="7"/>
  <c r="E245" i="7"/>
  <c r="C243" i="7"/>
  <c r="F243" i="7" s="1"/>
  <c r="D243" i="7"/>
  <c r="E243" i="7"/>
  <c r="C241" i="7"/>
  <c r="D241" i="7"/>
  <c r="F241" i="7" s="1"/>
  <c r="E241" i="7"/>
  <c r="C237" i="7"/>
  <c r="D237" i="7"/>
  <c r="E237" i="7"/>
  <c r="F235" i="4"/>
  <c r="N235" i="4" s="1"/>
  <c r="C235" i="7"/>
  <c r="F235" i="7" s="1"/>
  <c r="D235" i="7"/>
  <c r="E235" i="7"/>
  <c r="C233" i="7"/>
  <c r="D233" i="7"/>
  <c r="F233" i="7" s="1"/>
  <c r="E233" i="7"/>
  <c r="C230" i="7"/>
  <c r="D230" i="7"/>
  <c r="E230" i="7"/>
  <c r="F228" i="4"/>
  <c r="N228" i="4" s="1"/>
  <c r="O228" i="4" s="1"/>
  <c r="C228" i="7"/>
  <c r="F228" i="7" s="1"/>
  <c r="D228" i="7"/>
  <c r="E228" i="7"/>
  <c r="C221" i="7"/>
  <c r="D221" i="7"/>
  <c r="E221" i="7"/>
  <c r="F221" i="7" s="1"/>
  <c r="C220" i="7"/>
  <c r="F220" i="7" s="1"/>
  <c r="D220" i="7"/>
  <c r="E220" i="7"/>
  <c r="C214" i="7"/>
  <c r="D214" i="7"/>
  <c r="F214" i="7" s="1"/>
  <c r="E214" i="7"/>
  <c r="C213" i="7"/>
  <c r="D213" i="7"/>
  <c r="E213" i="7"/>
  <c r="C207" i="7"/>
  <c r="F207" i="7" s="1"/>
  <c r="D207" i="7"/>
  <c r="E207" i="7"/>
  <c r="F207" i="4" s="1"/>
  <c r="N207" i="4" s="1"/>
  <c r="C206" i="7"/>
  <c r="E206" i="7"/>
  <c r="C205" i="7"/>
  <c r="D205" i="7"/>
  <c r="E205" i="7"/>
  <c r="C203" i="7"/>
  <c r="F203" i="7" s="1"/>
  <c r="D203" i="7"/>
  <c r="E203" i="7"/>
  <c r="F202" i="4"/>
  <c r="N202" i="4" s="1"/>
  <c r="C202" i="7"/>
  <c r="D202" i="7"/>
  <c r="E202" i="7"/>
  <c r="F202" i="7" s="1"/>
  <c r="C197" i="7"/>
  <c r="D197" i="7"/>
  <c r="E197" i="7"/>
  <c r="J378" i="4"/>
  <c r="J277" i="4"/>
  <c r="J194" i="4"/>
  <c r="L194" i="4" s="1"/>
  <c r="G102" i="4"/>
  <c r="G39" i="4"/>
  <c r="G194" i="4"/>
  <c r="H384" i="7"/>
  <c r="G384" i="7"/>
  <c r="H383" i="7"/>
  <c r="G383" i="7"/>
  <c r="H382" i="7"/>
  <c r="G382" i="7"/>
  <c r="H381" i="7"/>
  <c r="G381" i="7"/>
  <c r="H380" i="7"/>
  <c r="G380" i="7"/>
  <c r="H379" i="7"/>
  <c r="G379" i="7"/>
  <c r="H378" i="7"/>
  <c r="G378" i="7"/>
  <c r="H377" i="7"/>
  <c r="G377" i="7"/>
  <c r="H376" i="7"/>
  <c r="G376" i="7"/>
  <c r="H375" i="7"/>
  <c r="G375" i="7"/>
  <c r="H374" i="7"/>
  <c r="G374" i="7"/>
  <c r="H373" i="7"/>
  <c r="G373" i="7"/>
  <c r="H372" i="7"/>
  <c r="G372" i="7"/>
  <c r="H371" i="7"/>
  <c r="G371" i="7"/>
  <c r="H370" i="7"/>
  <c r="G370" i="7"/>
  <c r="H369" i="7"/>
  <c r="G369" i="7"/>
  <c r="H368" i="7"/>
  <c r="G368" i="7"/>
  <c r="H367" i="7"/>
  <c r="G367" i="7"/>
  <c r="H366" i="7"/>
  <c r="G366" i="7"/>
  <c r="H365" i="7"/>
  <c r="G365" i="7"/>
  <c r="H364" i="7"/>
  <c r="G364" i="7"/>
  <c r="H363" i="7"/>
  <c r="G363" i="7"/>
  <c r="H362" i="7"/>
  <c r="G362" i="7"/>
  <c r="H361" i="7"/>
  <c r="G361" i="7"/>
  <c r="H360" i="7"/>
  <c r="G360" i="7"/>
  <c r="H359" i="7"/>
  <c r="G359" i="7"/>
  <c r="H358" i="7"/>
  <c r="G358" i="7"/>
  <c r="H357" i="7"/>
  <c r="G357" i="7"/>
  <c r="H356" i="7"/>
  <c r="G356" i="7"/>
  <c r="H355" i="7"/>
  <c r="G355" i="7"/>
  <c r="H354" i="7"/>
  <c r="G354" i="7"/>
  <c r="H353" i="7"/>
  <c r="G353" i="7"/>
  <c r="H352" i="7"/>
  <c r="G352" i="7"/>
  <c r="H351" i="7"/>
  <c r="G351" i="7"/>
  <c r="H350" i="7"/>
  <c r="G350" i="7"/>
  <c r="H349" i="7"/>
  <c r="G349" i="7"/>
  <c r="H348" i="7"/>
  <c r="G348" i="7"/>
  <c r="H347" i="7"/>
  <c r="G347" i="7"/>
  <c r="H346" i="7"/>
  <c r="G346" i="7"/>
  <c r="H345" i="7"/>
  <c r="G345" i="7"/>
  <c r="H344" i="7"/>
  <c r="G344" i="7"/>
  <c r="H343" i="7"/>
  <c r="G343" i="7"/>
  <c r="H342" i="7"/>
  <c r="G342" i="7"/>
  <c r="H341" i="7"/>
  <c r="G341" i="7"/>
  <c r="H340" i="7"/>
  <c r="G340" i="7"/>
  <c r="H339" i="7"/>
  <c r="G339" i="7"/>
  <c r="H338" i="7"/>
  <c r="G338" i="7"/>
  <c r="H337" i="7"/>
  <c r="G337" i="7"/>
  <c r="H336" i="7"/>
  <c r="G336" i="7"/>
  <c r="H335" i="7"/>
  <c r="G335" i="7"/>
  <c r="H334" i="7"/>
  <c r="G334" i="7"/>
  <c r="H333" i="7"/>
  <c r="G333" i="7"/>
  <c r="H332" i="7"/>
  <c r="G332" i="7"/>
  <c r="H331" i="7"/>
  <c r="G331" i="7"/>
  <c r="H330" i="7"/>
  <c r="G330" i="7"/>
  <c r="H329" i="7"/>
  <c r="G329" i="7"/>
  <c r="H328" i="7"/>
  <c r="G328" i="7"/>
  <c r="H327" i="7"/>
  <c r="G327" i="7"/>
  <c r="H326" i="7"/>
  <c r="G326" i="7"/>
  <c r="H325" i="7"/>
  <c r="G325" i="7"/>
  <c r="H324" i="7"/>
  <c r="G324" i="7"/>
  <c r="H323" i="7"/>
  <c r="G323" i="7"/>
  <c r="H322" i="7"/>
  <c r="G322" i="7"/>
  <c r="H321" i="7"/>
  <c r="G321" i="7"/>
  <c r="H320" i="7"/>
  <c r="G320" i="7"/>
  <c r="H319" i="7"/>
  <c r="G319" i="7"/>
  <c r="H318" i="7"/>
  <c r="G318" i="7"/>
  <c r="H317" i="7"/>
  <c r="G317" i="7"/>
  <c r="H316" i="7"/>
  <c r="G316" i="7"/>
  <c r="H315" i="7"/>
  <c r="G315" i="7"/>
  <c r="H314" i="7"/>
  <c r="G314" i="7"/>
  <c r="H313" i="7"/>
  <c r="G313" i="7"/>
  <c r="H312" i="7"/>
  <c r="G312" i="7"/>
  <c r="H311" i="7"/>
  <c r="G311" i="7"/>
  <c r="H310" i="7"/>
  <c r="G310" i="7"/>
  <c r="H309" i="7"/>
  <c r="G309" i="7"/>
  <c r="H308" i="7"/>
  <c r="G308" i="7"/>
  <c r="H307" i="7"/>
  <c r="G307" i="7"/>
  <c r="H306" i="7"/>
  <c r="G306" i="7"/>
  <c r="H305" i="7"/>
  <c r="G305" i="7"/>
  <c r="H304" i="7"/>
  <c r="G304" i="7"/>
  <c r="H303" i="7"/>
  <c r="G303" i="7"/>
  <c r="H302" i="7"/>
  <c r="G302" i="7"/>
  <c r="H301" i="7"/>
  <c r="G301" i="7"/>
  <c r="H300" i="7"/>
  <c r="G300" i="7"/>
  <c r="H299" i="7"/>
  <c r="G299" i="7"/>
  <c r="H298" i="7"/>
  <c r="G298" i="7"/>
  <c r="H297" i="7"/>
  <c r="G297" i="7"/>
  <c r="H296" i="7"/>
  <c r="G296" i="7"/>
  <c r="H295" i="7"/>
  <c r="G295" i="7"/>
  <c r="H294" i="7"/>
  <c r="G294" i="7"/>
  <c r="H293" i="7"/>
  <c r="G293" i="7"/>
  <c r="H292" i="7"/>
  <c r="G292" i="7"/>
  <c r="H291" i="7"/>
  <c r="G291" i="7"/>
  <c r="H290" i="7"/>
  <c r="G290" i="7"/>
  <c r="H289" i="7"/>
  <c r="G289" i="7"/>
  <c r="H288" i="7"/>
  <c r="G288" i="7"/>
  <c r="H287" i="7"/>
  <c r="G287" i="7"/>
  <c r="H286" i="7"/>
  <c r="G286" i="7"/>
  <c r="H285" i="7"/>
  <c r="G285" i="7"/>
  <c r="H284" i="7"/>
  <c r="G284" i="7"/>
  <c r="H283" i="7"/>
  <c r="G283" i="7"/>
  <c r="H282" i="7"/>
  <c r="G282" i="7"/>
  <c r="H281" i="7"/>
  <c r="G281" i="7"/>
  <c r="H280" i="7"/>
  <c r="G280" i="7"/>
  <c r="H279" i="7"/>
  <c r="G279" i="7"/>
  <c r="H278" i="7"/>
  <c r="G278" i="7"/>
  <c r="H277" i="7"/>
  <c r="G277" i="7"/>
  <c r="H276" i="7"/>
  <c r="G276" i="7"/>
  <c r="H275" i="7"/>
  <c r="G275" i="7"/>
  <c r="H274" i="7"/>
  <c r="G274" i="7"/>
  <c r="H273" i="7"/>
  <c r="G273" i="7"/>
  <c r="H272" i="7"/>
  <c r="G272" i="7"/>
  <c r="H271" i="7"/>
  <c r="G271" i="7"/>
  <c r="H270" i="7"/>
  <c r="G270" i="7"/>
  <c r="H269" i="7"/>
  <c r="G269" i="7"/>
  <c r="H268" i="7"/>
  <c r="G268" i="7"/>
  <c r="H267" i="7"/>
  <c r="G267" i="7"/>
  <c r="H266" i="7"/>
  <c r="G266" i="7"/>
  <c r="H265" i="7"/>
  <c r="G265" i="7"/>
  <c r="H264" i="7"/>
  <c r="G264" i="7"/>
  <c r="H263" i="7"/>
  <c r="G263" i="7"/>
  <c r="H262" i="7"/>
  <c r="G262" i="7"/>
  <c r="H261" i="7"/>
  <c r="G261" i="7"/>
  <c r="H260" i="7"/>
  <c r="G260" i="7"/>
  <c r="H259" i="7"/>
  <c r="G259" i="7"/>
  <c r="H258" i="7"/>
  <c r="G258" i="7"/>
  <c r="H257" i="7"/>
  <c r="G257" i="7"/>
  <c r="H256" i="7"/>
  <c r="G256" i="7"/>
  <c r="H255" i="7"/>
  <c r="G255" i="7"/>
  <c r="H254" i="7"/>
  <c r="G254" i="7"/>
  <c r="H253" i="7"/>
  <c r="G253" i="7"/>
  <c r="H252" i="7"/>
  <c r="G252" i="7"/>
  <c r="H251" i="7"/>
  <c r="G251" i="7"/>
  <c r="H250" i="7"/>
  <c r="G250" i="7"/>
  <c r="H249" i="7"/>
  <c r="G249" i="7"/>
  <c r="H248" i="7"/>
  <c r="G248" i="7"/>
  <c r="H247" i="7"/>
  <c r="G247" i="7"/>
  <c r="H246" i="7"/>
  <c r="G246" i="7"/>
  <c r="H245" i="7"/>
  <c r="G245" i="7"/>
  <c r="H244" i="7"/>
  <c r="G244" i="7"/>
  <c r="H243" i="7"/>
  <c r="G243" i="7"/>
  <c r="H242" i="7"/>
  <c r="G242" i="7"/>
  <c r="H241" i="7"/>
  <c r="G241" i="7"/>
  <c r="H240" i="7"/>
  <c r="H239" i="7"/>
  <c r="G239" i="7"/>
  <c r="H238" i="7"/>
  <c r="G238" i="7"/>
  <c r="H237" i="7"/>
  <c r="G237" i="7"/>
  <c r="H236" i="7"/>
  <c r="G236" i="7"/>
  <c r="H235" i="7"/>
  <c r="G235" i="7"/>
  <c r="H234" i="7"/>
  <c r="H233" i="7"/>
  <c r="G233" i="7"/>
  <c r="H232" i="7"/>
  <c r="G232" i="7"/>
  <c r="H231" i="7"/>
  <c r="G231" i="7"/>
  <c r="H230" i="7"/>
  <c r="G230" i="7"/>
  <c r="H229" i="7"/>
  <c r="G229" i="7"/>
  <c r="H228" i="7"/>
  <c r="G228" i="7"/>
  <c r="H227" i="7"/>
  <c r="G227" i="7"/>
  <c r="H226" i="7"/>
  <c r="G226" i="7"/>
  <c r="G225" i="7"/>
  <c r="H224" i="7"/>
  <c r="G224" i="7"/>
  <c r="H223" i="7"/>
  <c r="G223" i="7"/>
  <c r="H222" i="7"/>
  <c r="G222" i="7"/>
  <c r="H221" i="7"/>
  <c r="G221" i="7"/>
  <c r="H220" i="7"/>
  <c r="G220" i="7"/>
  <c r="H219" i="7"/>
  <c r="G219" i="7"/>
  <c r="H218" i="7"/>
  <c r="G218" i="7"/>
  <c r="H217" i="7"/>
  <c r="G217" i="7"/>
  <c r="H216" i="7"/>
  <c r="G216" i="7"/>
  <c r="H215" i="7"/>
  <c r="G215" i="7"/>
  <c r="H214" i="7"/>
  <c r="G214" i="7"/>
  <c r="H213" i="7"/>
  <c r="G213" i="7"/>
  <c r="H212" i="7"/>
  <c r="G212" i="7"/>
  <c r="H211" i="7"/>
  <c r="G211" i="7"/>
  <c r="H210" i="7"/>
  <c r="G210" i="7"/>
  <c r="H209" i="7"/>
  <c r="G209" i="7"/>
  <c r="H208" i="7"/>
  <c r="G208" i="7"/>
  <c r="H207" i="7"/>
  <c r="G207" i="7"/>
  <c r="H206" i="7"/>
  <c r="G206" i="7"/>
  <c r="H205" i="7"/>
  <c r="G205" i="7"/>
  <c r="H204" i="7"/>
  <c r="G204" i="7"/>
  <c r="H203" i="7"/>
  <c r="G203" i="7"/>
  <c r="H202" i="7"/>
  <c r="G202" i="7"/>
  <c r="H201" i="7"/>
  <c r="G201" i="7"/>
  <c r="H200" i="7"/>
  <c r="G200" i="7"/>
  <c r="H199" i="7"/>
  <c r="H198" i="7"/>
  <c r="G198" i="7"/>
  <c r="H197" i="7"/>
  <c r="G197" i="7"/>
  <c r="H196" i="7"/>
  <c r="G196" i="7"/>
  <c r="H195" i="7"/>
  <c r="G195" i="7"/>
  <c r="H194" i="7"/>
  <c r="G194" i="7"/>
  <c r="H193" i="7"/>
  <c r="G193" i="7"/>
  <c r="H192" i="7"/>
  <c r="G192" i="7"/>
  <c r="G191" i="7"/>
  <c r="H190" i="7"/>
  <c r="G190" i="7"/>
  <c r="H189" i="7"/>
  <c r="G189" i="7"/>
  <c r="H188" i="7"/>
  <c r="G188" i="7"/>
  <c r="H187" i="7"/>
  <c r="G187" i="7"/>
  <c r="H186" i="7"/>
  <c r="G186" i="7"/>
  <c r="G185" i="7"/>
  <c r="H184" i="7"/>
  <c r="G184" i="7"/>
  <c r="H183" i="7"/>
  <c r="G183" i="7"/>
  <c r="H182" i="7"/>
  <c r="G182" i="7"/>
  <c r="H181" i="7"/>
  <c r="G181" i="7"/>
  <c r="G180" i="7"/>
  <c r="H179" i="7"/>
  <c r="G179" i="7"/>
  <c r="H178" i="7"/>
  <c r="G178" i="7"/>
  <c r="H177" i="7"/>
  <c r="G177" i="7"/>
  <c r="G176" i="7"/>
  <c r="H175" i="7"/>
  <c r="G175" i="7"/>
  <c r="H174" i="7"/>
  <c r="G174" i="7"/>
  <c r="H173" i="7"/>
  <c r="G173" i="7"/>
  <c r="H172" i="7"/>
  <c r="G172" i="7"/>
  <c r="H171" i="7"/>
  <c r="G171" i="7"/>
  <c r="H170" i="7"/>
  <c r="G170" i="7"/>
  <c r="H169" i="7"/>
  <c r="H168" i="7"/>
  <c r="G168" i="7"/>
  <c r="H167" i="7"/>
  <c r="G167" i="7"/>
  <c r="H166" i="7"/>
  <c r="G166" i="7"/>
  <c r="H165" i="7"/>
  <c r="G165" i="7"/>
  <c r="H164" i="7"/>
  <c r="G164" i="7"/>
  <c r="H163" i="7"/>
  <c r="G163" i="7"/>
  <c r="H162" i="7"/>
  <c r="H161" i="7"/>
  <c r="G161" i="7"/>
  <c r="H160" i="7"/>
  <c r="G160" i="7"/>
  <c r="H159" i="7"/>
  <c r="G159" i="7"/>
  <c r="H158" i="7"/>
  <c r="G158" i="7"/>
  <c r="H157" i="7"/>
  <c r="G157" i="7"/>
  <c r="H156" i="7"/>
  <c r="G156" i="7"/>
  <c r="H155" i="7"/>
  <c r="G155" i="7"/>
  <c r="H154" i="7"/>
  <c r="H153" i="7"/>
  <c r="G153" i="7"/>
  <c r="H152" i="7"/>
  <c r="G152" i="7"/>
  <c r="H151" i="7"/>
  <c r="G151" i="7"/>
  <c r="H150" i="7"/>
  <c r="H149" i="7"/>
  <c r="G149" i="7"/>
  <c r="H148" i="7"/>
  <c r="G148" i="7"/>
  <c r="H147" i="7"/>
  <c r="G147" i="7"/>
  <c r="H146" i="7"/>
  <c r="G146" i="7"/>
  <c r="H145" i="7"/>
  <c r="G145" i="7"/>
  <c r="H144" i="7"/>
  <c r="H143" i="7"/>
  <c r="G143" i="7"/>
  <c r="H142" i="7"/>
  <c r="G142" i="7"/>
  <c r="H141" i="7"/>
  <c r="G141" i="7"/>
  <c r="H140" i="7"/>
  <c r="G140" i="7"/>
  <c r="H139" i="7"/>
  <c r="G139" i="7"/>
  <c r="H138" i="7"/>
  <c r="G138" i="7"/>
  <c r="H137" i="7"/>
  <c r="G137" i="7"/>
  <c r="H136" i="7"/>
  <c r="G136" i="7"/>
  <c r="H135" i="7"/>
  <c r="G135" i="7"/>
  <c r="H134" i="7"/>
  <c r="G134" i="7"/>
  <c r="H133" i="7"/>
  <c r="G133" i="7"/>
  <c r="H132" i="7"/>
  <c r="G132" i="7"/>
  <c r="H131" i="7"/>
  <c r="G131" i="7"/>
  <c r="H130" i="7"/>
  <c r="G130" i="7"/>
  <c r="H129" i="7"/>
  <c r="G129" i="7"/>
  <c r="H128" i="7"/>
  <c r="G128" i="7"/>
  <c r="H127" i="7"/>
  <c r="G127" i="7"/>
  <c r="H126" i="7"/>
  <c r="G126" i="7"/>
  <c r="H125" i="7"/>
  <c r="G125" i="7"/>
  <c r="H124" i="7"/>
  <c r="G124" i="7"/>
  <c r="H123" i="7"/>
  <c r="G123" i="7"/>
  <c r="H122" i="7"/>
  <c r="G122" i="7"/>
  <c r="H121" i="7"/>
  <c r="G121" i="7"/>
  <c r="H120" i="7"/>
  <c r="G120" i="7"/>
  <c r="H119" i="7"/>
  <c r="G119" i="7"/>
  <c r="H118" i="7"/>
  <c r="G118" i="7"/>
  <c r="H117" i="7"/>
  <c r="H116" i="7"/>
  <c r="G116" i="7"/>
  <c r="H115" i="7"/>
  <c r="G115" i="7"/>
  <c r="H114" i="7"/>
  <c r="G114" i="7"/>
  <c r="H113" i="7"/>
  <c r="G113" i="7"/>
  <c r="H112" i="7"/>
  <c r="G112" i="7"/>
  <c r="H111" i="7"/>
  <c r="G111" i="7"/>
  <c r="H110" i="7"/>
  <c r="G110" i="7"/>
  <c r="H109" i="7"/>
  <c r="G109" i="7"/>
  <c r="H108" i="7"/>
  <c r="G108" i="7"/>
  <c r="H107" i="7"/>
  <c r="G107" i="7"/>
  <c r="H106" i="7"/>
  <c r="G106" i="7"/>
  <c r="H105" i="7"/>
  <c r="G105" i="7"/>
  <c r="H104" i="7"/>
  <c r="G104" i="7"/>
  <c r="H103" i="7"/>
  <c r="H102" i="7"/>
  <c r="G102" i="7"/>
  <c r="H101" i="7"/>
  <c r="G101" i="7"/>
  <c r="H100" i="7"/>
  <c r="G100" i="7"/>
  <c r="H99" i="7"/>
  <c r="G99" i="7"/>
  <c r="H98" i="7"/>
  <c r="G98" i="7"/>
  <c r="H97" i="7"/>
  <c r="G97" i="7"/>
  <c r="H96" i="7"/>
  <c r="H95" i="7"/>
  <c r="G95" i="7"/>
  <c r="H94" i="7"/>
  <c r="G94" i="7"/>
  <c r="H93" i="7"/>
  <c r="G93" i="7"/>
  <c r="H92" i="7"/>
  <c r="G92" i="7"/>
  <c r="H91" i="7"/>
  <c r="G91" i="7"/>
  <c r="G90" i="7"/>
  <c r="H89" i="7"/>
  <c r="G89" i="7"/>
  <c r="H88" i="7"/>
  <c r="G88" i="7"/>
  <c r="H87" i="7"/>
  <c r="G87" i="7"/>
  <c r="H86" i="7"/>
  <c r="G86" i="7"/>
  <c r="H85" i="7"/>
  <c r="G85" i="7"/>
  <c r="G84" i="7"/>
  <c r="H83" i="7"/>
  <c r="G83" i="7"/>
  <c r="H82" i="7"/>
  <c r="G82" i="7"/>
  <c r="H81" i="7"/>
  <c r="G81" i="7"/>
  <c r="H80" i="7"/>
  <c r="G80" i="7"/>
  <c r="H79" i="7"/>
  <c r="G79" i="7"/>
  <c r="G78" i="7"/>
  <c r="H77" i="7"/>
  <c r="G77" i="7"/>
  <c r="H76" i="7"/>
  <c r="G76" i="7"/>
  <c r="H75" i="7"/>
  <c r="G75" i="7"/>
  <c r="H74" i="7"/>
  <c r="G74" i="7"/>
  <c r="H73" i="7"/>
  <c r="H72" i="7"/>
  <c r="G72" i="7"/>
  <c r="H71" i="7"/>
  <c r="G71" i="7"/>
  <c r="H70" i="7"/>
  <c r="G70" i="7"/>
  <c r="H69" i="7"/>
  <c r="G69" i="7"/>
  <c r="H68" i="7"/>
  <c r="G68" i="7"/>
  <c r="H67" i="7"/>
  <c r="G67" i="7"/>
  <c r="G66" i="7"/>
  <c r="H65" i="7"/>
  <c r="G65" i="7"/>
  <c r="G64" i="7"/>
  <c r="H63" i="7"/>
  <c r="G62" i="7"/>
  <c r="H61" i="7"/>
  <c r="G61" i="7"/>
  <c r="H60" i="7"/>
  <c r="G60" i="7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H47" i="7"/>
  <c r="G47" i="7"/>
  <c r="H46" i="7"/>
  <c r="G46" i="7"/>
  <c r="H45" i="7"/>
  <c r="G45" i="7"/>
  <c r="H44" i="7"/>
  <c r="G44" i="7"/>
  <c r="H43" i="7"/>
  <c r="G43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H33" i="7"/>
  <c r="G33" i="7"/>
  <c r="H32" i="7"/>
  <c r="G32" i="7"/>
  <c r="H31" i="7"/>
  <c r="G31" i="7"/>
  <c r="H30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Z385" i="7"/>
  <c r="Y385" i="7"/>
  <c r="X385" i="7"/>
  <c r="U385" i="7"/>
  <c r="T385" i="7"/>
  <c r="S385" i="7"/>
  <c r="R385" i="7"/>
  <c r="Q385" i="7"/>
  <c r="P385" i="7"/>
  <c r="O385" i="7"/>
  <c r="N385" i="7"/>
  <c r="M385" i="7"/>
  <c r="L385" i="7"/>
  <c r="K385" i="7"/>
  <c r="J385" i="7"/>
  <c r="D194" i="7"/>
  <c r="E194" i="7"/>
  <c r="F8" i="7"/>
  <c r="F10" i="7"/>
  <c r="F11" i="7"/>
  <c r="F13" i="7"/>
  <c r="F15" i="7"/>
  <c r="F16" i="7"/>
  <c r="F17" i="7"/>
  <c r="F18" i="7"/>
  <c r="F20" i="7"/>
  <c r="F21" i="7"/>
  <c r="F22" i="7"/>
  <c r="F23" i="7"/>
  <c r="F25" i="7"/>
  <c r="F26" i="7"/>
  <c r="F27" i="7"/>
  <c r="F28" i="7"/>
  <c r="F30" i="7"/>
  <c r="F32" i="7"/>
  <c r="F33" i="7"/>
  <c r="F34" i="7"/>
  <c r="F35" i="7"/>
  <c r="F37" i="7"/>
  <c r="F40" i="7"/>
  <c r="F42" i="7"/>
  <c r="F43" i="7"/>
  <c r="F45" i="7"/>
  <c r="F46" i="7"/>
  <c r="F47" i="7"/>
  <c r="F48" i="7"/>
  <c r="F50" i="7"/>
  <c r="F51" i="7"/>
  <c r="F52" i="7"/>
  <c r="F53" i="7"/>
  <c r="F54" i="7"/>
  <c r="F56" i="7"/>
  <c r="F57" i="7"/>
  <c r="F59" i="7"/>
  <c r="F69" i="7"/>
  <c r="F74" i="7"/>
  <c r="F76" i="7"/>
  <c r="F77" i="7"/>
  <c r="F79" i="7"/>
  <c r="F80" i="7"/>
  <c r="F82" i="7"/>
  <c r="F83" i="7"/>
  <c r="F85" i="7"/>
  <c r="F87" i="7"/>
  <c r="F88" i="7"/>
  <c r="F89" i="7"/>
  <c r="F91" i="7"/>
  <c r="F92" i="7"/>
  <c r="F93" i="7"/>
  <c r="F94" i="7"/>
  <c r="F95" i="7"/>
  <c r="F97" i="7"/>
  <c r="F99" i="7"/>
  <c r="F100" i="7"/>
  <c r="F104" i="7"/>
  <c r="F105" i="7"/>
  <c r="F106" i="7"/>
  <c r="F108" i="7"/>
  <c r="F109" i="7"/>
  <c r="F111" i="7"/>
  <c r="F112" i="7"/>
  <c r="F113" i="7"/>
  <c r="F114" i="7"/>
  <c r="F115" i="7"/>
  <c r="F116" i="7"/>
  <c r="F117" i="7"/>
  <c r="F118" i="7"/>
  <c r="F120" i="7"/>
  <c r="F121" i="7"/>
  <c r="F123" i="7"/>
  <c r="F124" i="7"/>
  <c r="F125" i="7"/>
  <c r="F129" i="7"/>
  <c r="F130" i="7"/>
  <c r="F131" i="7"/>
  <c r="F134" i="7"/>
  <c r="F135" i="7"/>
  <c r="F136" i="7"/>
  <c r="F137" i="7"/>
  <c r="F138" i="7"/>
  <c r="F141" i="7"/>
  <c r="F142" i="7"/>
  <c r="F143" i="7"/>
  <c r="F145" i="7"/>
  <c r="F146" i="7"/>
  <c r="F147" i="7"/>
  <c r="F148" i="7"/>
  <c r="F149" i="7"/>
  <c r="F151" i="7"/>
  <c r="F152" i="7"/>
  <c r="F153" i="7"/>
  <c r="F154" i="7"/>
  <c r="F157" i="7"/>
  <c r="F158" i="7"/>
  <c r="F159" i="7"/>
  <c r="F161" i="7"/>
  <c r="F166" i="7"/>
  <c r="F167" i="7"/>
  <c r="F168" i="7"/>
  <c r="F170" i="7"/>
  <c r="F172" i="7"/>
  <c r="F174" i="7"/>
  <c r="F175" i="7"/>
  <c r="F178" i="7"/>
  <c r="F179" i="7"/>
  <c r="F181" i="7"/>
  <c r="F183" i="7"/>
  <c r="F184" i="7"/>
  <c r="F186" i="7"/>
  <c r="F188" i="7"/>
  <c r="F189" i="7"/>
  <c r="F193" i="7"/>
  <c r="F194" i="7"/>
  <c r="F196" i="7"/>
  <c r="F197" i="7"/>
  <c r="F200" i="7"/>
  <c r="F204" i="7"/>
  <c r="F205" i="7"/>
  <c r="F209" i="7"/>
  <c r="F210" i="7"/>
  <c r="F213" i="7"/>
  <c r="F215" i="7"/>
  <c r="F216" i="7"/>
  <c r="F217" i="7"/>
  <c r="F219" i="7"/>
  <c r="F222" i="7"/>
  <c r="F224" i="7"/>
  <c r="F229" i="7"/>
  <c r="F230" i="7"/>
  <c r="F232" i="7"/>
  <c r="F237" i="7"/>
  <c r="F238" i="7"/>
  <c r="F239" i="7"/>
  <c r="F242" i="7"/>
  <c r="F244" i="7"/>
  <c r="F246" i="7"/>
  <c r="F248" i="7"/>
  <c r="F250" i="7"/>
  <c r="F251" i="7"/>
  <c r="F252" i="7"/>
  <c r="F254" i="7"/>
  <c r="F255" i="7"/>
  <c r="F259" i="7"/>
  <c r="F261" i="7"/>
  <c r="F263" i="7"/>
  <c r="F265" i="7"/>
  <c r="F266" i="7"/>
  <c r="F267" i="7"/>
  <c r="F268" i="7"/>
  <c r="F269" i="7"/>
  <c r="F270" i="7"/>
  <c r="F272" i="7"/>
  <c r="F274" i="7"/>
  <c r="F275" i="7"/>
  <c r="F276" i="7"/>
  <c r="F279" i="7"/>
  <c r="F281" i="7"/>
  <c r="F282" i="7"/>
  <c r="F283" i="7"/>
  <c r="F284" i="7"/>
  <c r="F288" i="7"/>
  <c r="F289" i="7"/>
  <c r="F291" i="7"/>
  <c r="F293" i="7"/>
  <c r="F295" i="7"/>
  <c r="F296" i="7"/>
  <c r="F297" i="7"/>
  <c r="F298" i="7"/>
  <c r="F299" i="7"/>
  <c r="F302" i="7"/>
  <c r="F306" i="7"/>
  <c r="F308" i="7"/>
  <c r="F309" i="7"/>
  <c r="F310" i="7"/>
  <c r="F312" i="7"/>
  <c r="F313" i="7"/>
  <c r="F315" i="7"/>
  <c r="F317" i="7"/>
  <c r="F318" i="7"/>
  <c r="F319" i="7"/>
  <c r="F322" i="7"/>
  <c r="F323" i="7"/>
  <c r="F325" i="7"/>
  <c r="F326" i="7"/>
  <c r="F328" i="7"/>
  <c r="F330" i="7"/>
  <c r="F331" i="7"/>
  <c r="F332" i="7"/>
  <c r="F333" i="7"/>
  <c r="F334" i="7"/>
  <c r="F339" i="7"/>
  <c r="F341" i="7"/>
  <c r="F345" i="7"/>
  <c r="F346" i="7"/>
  <c r="F347" i="7"/>
  <c r="F349" i="7"/>
  <c r="F351" i="7"/>
  <c r="F352" i="7"/>
  <c r="F354" i="7"/>
  <c r="F355" i="7"/>
  <c r="F356" i="7"/>
  <c r="F357" i="7"/>
  <c r="F359" i="7"/>
  <c r="F360" i="7"/>
  <c r="F362" i="7"/>
  <c r="F365" i="7"/>
  <c r="F366" i="7"/>
  <c r="F367" i="7"/>
  <c r="F368" i="7"/>
  <c r="F370" i="7"/>
  <c r="F372" i="7"/>
  <c r="F373" i="7"/>
  <c r="F376" i="7"/>
  <c r="F377" i="7"/>
  <c r="F378" i="7"/>
  <c r="F380" i="7"/>
  <c r="F381" i="7"/>
  <c r="F382" i="7"/>
  <c r="F383" i="7"/>
  <c r="F384" i="7"/>
  <c r="C194" i="7"/>
  <c r="A4" i="2"/>
  <c r="A3" i="2"/>
  <c r="A2" i="2"/>
  <c r="G10" i="15"/>
  <c r="J10" i="15"/>
  <c r="O10" i="15"/>
  <c r="R10" i="15"/>
  <c r="U10" i="15"/>
  <c r="X10" i="15"/>
  <c r="G23" i="15"/>
  <c r="J23" i="15"/>
  <c r="O23" i="15"/>
  <c r="R23" i="15"/>
  <c r="U23" i="15"/>
  <c r="X23" i="15"/>
  <c r="G24" i="15"/>
  <c r="J24" i="15"/>
  <c r="O24" i="15"/>
  <c r="R24" i="15"/>
  <c r="U24" i="15"/>
  <c r="X24" i="15"/>
  <c r="O37" i="15"/>
  <c r="R37" i="15"/>
  <c r="U37" i="15"/>
  <c r="X37" i="15"/>
  <c r="G10" i="13"/>
  <c r="J10" i="13"/>
  <c r="N10" i="13"/>
  <c r="Q10" i="13"/>
  <c r="T10" i="13"/>
  <c r="W10" i="13"/>
  <c r="G23" i="13"/>
  <c r="J23" i="13"/>
  <c r="N23" i="13"/>
  <c r="Q23" i="13"/>
  <c r="T23" i="13"/>
  <c r="W23" i="13"/>
  <c r="G24" i="13"/>
  <c r="J24" i="13"/>
  <c r="N24" i="13"/>
  <c r="Q24" i="13"/>
  <c r="T24" i="13"/>
  <c r="W24" i="13"/>
  <c r="N37" i="13"/>
  <c r="Q37" i="13"/>
  <c r="T37" i="13"/>
  <c r="W37" i="13"/>
  <c r="C15" i="9"/>
  <c r="B36" i="12"/>
  <c r="H2" i="12"/>
  <c r="C38" i="12"/>
  <c r="C40" i="12"/>
  <c r="B39" i="12"/>
  <c r="B40" i="12"/>
  <c r="D46" i="12"/>
  <c r="H12" i="12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C4" i="4"/>
  <c r="D4" i="4" s="1"/>
  <c r="F4" i="4"/>
  <c r="G4" i="4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B10" i="12"/>
  <c r="C10" i="12"/>
  <c r="D10" i="12" s="1"/>
  <c r="H194" i="4"/>
  <c r="R194" i="4"/>
  <c r="S194" i="4" s="1"/>
  <c r="N194" i="4"/>
  <c r="P194" i="4" s="1"/>
  <c r="D47" i="12"/>
  <c r="C36" i="12"/>
  <c r="J311" i="4" l="1"/>
  <c r="R277" i="4"/>
  <c r="J282" i="4"/>
  <c r="R282" i="4"/>
  <c r="J141" i="4"/>
  <c r="R141" i="4"/>
  <c r="R308" i="4"/>
  <c r="R378" i="4"/>
  <c r="R58" i="4"/>
  <c r="J308" i="4"/>
  <c r="J58" i="4"/>
  <c r="J65" i="4"/>
  <c r="J274" i="4"/>
  <c r="J152" i="4"/>
  <c r="J310" i="4"/>
  <c r="R152" i="4"/>
  <c r="R65" i="4"/>
  <c r="N344" i="4"/>
  <c r="F190" i="7"/>
  <c r="H176" i="7"/>
  <c r="F286" i="7"/>
  <c r="D169" i="7"/>
  <c r="F169" i="7" s="1"/>
  <c r="D64" i="7"/>
  <c r="F64" i="7" s="1"/>
  <c r="D240" i="7"/>
  <c r="F240" i="7" s="1"/>
  <c r="D73" i="7"/>
  <c r="F73" i="7" s="1"/>
  <c r="D155" i="7"/>
  <c r="F155" i="7" s="1"/>
  <c r="D163" i="7"/>
  <c r="F163" i="7" s="1"/>
  <c r="D192" i="7"/>
  <c r="F192" i="7" s="1"/>
  <c r="F36" i="7"/>
  <c r="H225" i="7"/>
  <c r="D90" i="7"/>
  <c r="F90" i="7" s="1"/>
  <c r="D191" i="7"/>
  <c r="F191" i="7" s="1"/>
  <c r="D187" i="7"/>
  <c r="F187" i="7" s="1"/>
  <c r="D40" i="12"/>
  <c r="D180" i="7"/>
  <c r="F180" i="7" s="1"/>
  <c r="D119" i="7"/>
  <c r="F119" i="7" s="1"/>
  <c r="D164" i="7"/>
  <c r="F164" i="7" s="1"/>
  <c r="D171" i="7"/>
  <c r="F171" i="7" s="1"/>
  <c r="D177" i="7"/>
  <c r="F177" i="7" s="1"/>
  <c r="F336" i="7"/>
  <c r="D96" i="7"/>
  <c r="F96" i="7" s="1"/>
  <c r="D231" i="7"/>
  <c r="F231" i="7" s="1"/>
  <c r="G144" i="7"/>
  <c r="G150" i="7"/>
  <c r="G162" i="7"/>
  <c r="G234" i="7"/>
  <c r="D199" i="7"/>
  <c r="F199" i="7" s="1"/>
  <c r="H66" i="7"/>
  <c r="H84" i="7"/>
  <c r="H385" i="7" s="1"/>
  <c r="D103" i="7"/>
  <c r="F103" i="7" s="1"/>
  <c r="F379" i="7"/>
  <c r="N257" i="4"/>
  <c r="R185" i="4"/>
  <c r="J185" i="4"/>
  <c r="R255" i="4"/>
  <c r="J255" i="4"/>
  <c r="J262" i="4"/>
  <c r="R42" i="4"/>
  <c r="R363" i="4"/>
  <c r="J42" i="4"/>
  <c r="J334" i="4"/>
  <c r="R262" i="4"/>
  <c r="J363" i="4"/>
  <c r="R334" i="4"/>
  <c r="N135" i="4"/>
  <c r="R238" i="4"/>
  <c r="J238" i="4"/>
  <c r="J135" i="4"/>
  <c r="N271" i="4"/>
  <c r="R382" i="4"/>
  <c r="J382" i="4"/>
  <c r="J271" i="4"/>
  <c r="R39" i="4"/>
  <c r="S39" i="4" s="1"/>
  <c r="G385" i="4"/>
  <c r="J288" i="4"/>
  <c r="R244" i="4"/>
  <c r="J244" i="4"/>
  <c r="R288" i="4"/>
  <c r="J39" i="4"/>
  <c r="K39" i="4" s="1"/>
  <c r="T194" i="4"/>
  <c r="J246" i="4"/>
  <c r="J344" i="4"/>
  <c r="R370" i="4"/>
  <c r="J370" i="4"/>
  <c r="R276" i="4"/>
  <c r="J276" i="4"/>
  <c r="R246" i="4"/>
  <c r="J315" i="4"/>
  <c r="N249" i="4"/>
  <c r="J335" i="4"/>
  <c r="R311" i="4"/>
  <c r="R284" i="4"/>
  <c r="J351" i="4"/>
  <c r="J88" i="4"/>
  <c r="K194" i="4"/>
  <c r="R335" i="4"/>
  <c r="J284" i="4"/>
  <c r="R315" i="4"/>
  <c r="R351" i="4"/>
  <c r="N78" i="4"/>
  <c r="R78" i="4"/>
  <c r="J78" i="4"/>
  <c r="N294" i="4"/>
  <c r="J294" i="4"/>
  <c r="R294" i="4"/>
  <c r="N265" i="4"/>
  <c r="J265" i="4"/>
  <c r="R265" i="4"/>
  <c r="N145" i="4"/>
  <c r="J145" i="4"/>
  <c r="R145" i="4"/>
  <c r="N362" i="4"/>
  <c r="R362" i="4"/>
  <c r="J362" i="4"/>
  <c r="N345" i="4"/>
  <c r="J345" i="4"/>
  <c r="R345" i="4"/>
  <c r="N295" i="4"/>
  <c r="J295" i="4"/>
  <c r="R295" i="4"/>
  <c r="N252" i="4"/>
  <c r="R252" i="4"/>
  <c r="J252" i="4"/>
  <c r="R189" i="4"/>
  <c r="N189" i="4"/>
  <c r="J189" i="4"/>
  <c r="N210" i="4"/>
  <c r="R210" i="4"/>
  <c r="J210" i="4"/>
  <c r="N40" i="4"/>
  <c r="J40" i="4"/>
  <c r="K40" i="4" s="1"/>
  <c r="R40" i="4"/>
  <c r="S40" i="4" s="1"/>
  <c r="N46" i="4"/>
  <c r="J46" i="4"/>
  <c r="R46" i="4"/>
  <c r="H385" i="4"/>
  <c r="F364" i="4"/>
  <c r="N364" i="4" s="1"/>
  <c r="R129" i="4"/>
  <c r="F253" i="4"/>
  <c r="F291" i="4"/>
  <c r="F221" i="4"/>
  <c r="J221" i="4" s="1"/>
  <c r="F153" i="4"/>
  <c r="R153" i="4" s="1"/>
  <c r="F162" i="4"/>
  <c r="R162" i="4" s="1"/>
  <c r="F155" i="4"/>
  <c r="F287" i="4"/>
  <c r="N359" i="4"/>
  <c r="G40" i="4"/>
  <c r="J323" i="4"/>
  <c r="F197" i="4"/>
  <c r="J197" i="4" s="1"/>
  <c r="R269" i="4"/>
  <c r="F191" i="4"/>
  <c r="R310" i="4"/>
  <c r="J104" i="4"/>
  <c r="F130" i="4"/>
  <c r="J130" i="4" s="1"/>
  <c r="F159" i="4"/>
  <c r="J159" i="4" s="1"/>
  <c r="F247" i="4"/>
  <c r="N247" i="4" s="1"/>
  <c r="F237" i="4"/>
  <c r="N237" i="4" s="1"/>
  <c r="R323" i="4"/>
  <c r="F201" i="4"/>
  <c r="J120" i="4"/>
  <c r="F136" i="4"/>
  <c r="N136" i="4" s="1"/>
  <c r="F341" i="4"/>
  <c r="F225" i="4"/>
  <c r="F49" i="4"/>
  <c r="N49" i="4" s="1"/>
  <c r="F256" i="4"/>
  <c r="N256" i="4" s="1"/>
  <c r="T385" i="4"/>
  <c r="J340" i="4"/>
  <c r="F314" i="4"/>
  <c r="N314" i="4" s="1"/>
  <c r="J129" i="4"/>
  <c r="N104" i="4"/>
  <c r="F357" i="4"/>
  <c r="F331" i="4"/>
  <c r="F24" i="4"/>
  <c r="F30" i="4"/>
  <c r="F36" i="4"/>
  <c r="F280" i="4"/>
  <c r="N280" i="4" s="1"/>
  <c r="F354" i="4"/>
  <c r="J354" i="4" s="1"/>
  <c r="K354" i="4" s="1"/>
  <c r="F356" i="4"/>
  <c r="F220" i="4"/>
  <c r="N220" i="4" s="1"/>
  <c r="F170" i="4"/>
  <c r="J170" i="4" s="1"/>
  <c r="F181" i="4"/>
  <c r="R181" i="4" s="1"/>
  <c r="F355" i="4"/>
  <c r="F296" i="4"/>
  <c r="F268" i="4"/>
  <c r="R340" i="4"/>
  <c r="G103" i="4"/>
  <c r="G104" i="4" s="1"/>
  <c r="A9" i="7"/>
  <c r="O194" i="4"/>
  <c r="N385" i="4"/>
  <c r="J269" i="4"/>
  <c r="J385" i="4"/>
  <c r="R274" i="4"/>
  <c r="F358" i="4"/>
  <c r="N358" i="4" s="1"/>
  <c r="F96" i="4"/>
  <c r="N96" i="4" s="1"/>
  <c r="R120" i="4"/>
  <c r="F342" i="4"/>
  <c r="R342" i="4" s="1"/>
  <c r="F55" i="4"/>
  <c r="R55" i="4" s="1"/>
  <c r="F82" i="4"/>
  <c r="N82" i="4" s="1"/>
  <c r="N248" i="4"/>
  <c r="J248" i="4"/>
  <c r="R248" i="4"/>
  <c r="F52" i="4"/>
  <c r="F68" i="4"/>
  <c r="F177" i="4"/>
  <c r="F229" i="4"/>
  <c r="G354" i="4"/>
  <c r="G355" i="4" s="1"/>
  <c r="G356" i="4" s="1"/>
  <c r="G357" i="4" s="1"/>
  <c r="G358" i="4" s="1"/>
  <c r="G359" i="4" s="1"/>
  <c r="G360" i="4" s="1"/>
  <c r="F175" i="4"/>
  <c r="R302" i="4"/>
  <c r="J302" i="4"/>
  <c r="N239" i="4"/>
  <c r="R239" i="4"/>
  <c r="J239" i="4"/>
  <c r="N320" i="4"/>
  <c r="R320" i="4"/>
  <c r="J320" i="4"/>
  <c r="F215" i="4"/>
  <c r="F368" i="4"/>
  <c r="F312" i="4"/>
  <c r="F273" i="4"/>
  <c r="F216" i="4"/>
  <c r="F43" i="4"/>
  <c r="F45" i="4"/>
  <c r="R272" i="4"/>
  <c r="N272" i="4"/>
  <c r="J272" i="4"/>
  <c r="N302" i="4"/>
  <c r="A5" i="1"/>
  <c r="A5" i="3" s="1"/>
  <c r="A10" i="13"/>
  <c r="A10" i="4"/>
  <c r="A10" i="7"/>
  <c r="A4" i="3"/>
  <c r="A10" i="15"/>
  <c r="N275" i="4"/>
  <c r="J275" i="4"/>
  <c r="R275" i="4"/>
  <c r="F146" i="4"/>
  <c r="N348" i="4"/>
  <c r="J348" i="4"/>
  <c r="R348" i="4"/>
  <c r="F346" i="4"/>
  <c r="N305" i="4"/>
  <c r="J305" i="4"/>
  <c r="R305" i="4"/>
  <c r="N259" i="4"/>
  <c r="O259" i="4" s="1"/>
  <c r="G259" i="4"/>
  <c r="J259" i="4"/>
  <c r="K259" i="4" s="1"/>
  <c r="R259" i="4"/>
  <c r="S259" i="4" s="1"/>
  <c r="N59" i="4"/>
  <c r="J59" i="4"/>
  <c r="R59" i="4"/>
  <c r="F87" i="4"/>
  <c r="R87" i="4" s="1"/>
  <c r="F327" i="4"/>
  <c r="F240" i="4"/>
  <c r="F350" i="4"/>
  <c r="F80" i="4"/>
  <c r="F84" i="4"/>
  <c r="J84" i="4" s="1"/>
  <c r="F64" i="4"/>
  <c r="F236" i="4"/>
  <c r="F360" i="4"/>
  <c r="F289" i="4"/>
  <c r="F372" i="4"/>
  <c r="R372" i="4" s="1"/>
  <c r="R88" i="4"/>
  <c r="F233" i="4"/>
  <c r="N233" i="4" s="1"/>
  <c r="F329" i="4"/>
  <c r="F371" i="4"/>
  <c r="J371" i="4" s="1"/>
  <c r="F86" i="4"/>
  <c r="R86" i="4" s="1"/>
  <c r="F260" i="4"/>
  <c r="F299" i="4"/>
  <c r="F13" i="4"/>
  <c r="F37" i="4"/>
  <c r="F51" i="4"/>
  <c r="F187" i="4"/>
  <c r="J187" i="4" s="1"/>
  <c r="F376" i="4"/>
  <c r="N376" i="4" s="1"/>
  <c r="F81" i="4"/>
  <c r="N81" i="4" s="1"/>
  <c r="F144" i="4"/>
  <c r="N144" i="4" s="1"/>
  <c r="F176" i="4"/>
  <c r="J176" i="4" s="1"/>
  <c r="F16" i="4"/>
  <c r="J16" i="4" s="1"/>
  <c r="F137" i="4"/>
  <c r="R137" i="4" s="1"/>
  <c r="F116" i="4"/>
  <c r="J116" i="4" s="1"/>
  <c r="F218" i="4"/>
  <c r="F223" i="4"/>
  <c r="F224" i="4"/>
  <c r="F383" i="4"/>
  <c r="F54" i="4"/>
  <c r="F44" i="4"/>
  <c r="F69" i="4"/>
  <c r="F380" i="4"/>
  <c r="F205" i="4"/>
  <c r="N205" i="4" s="1"/>
  <c r="F365" i="4"/>
  <c r="F90" i="4"/>
  <c r="F113" i="4"/>
  <c r="F85" i="4"/>
  <c r="R85" i="4" s="1"/>
  <c r="F347" i="4"/>
  <c r="F326" i="4"/>
  <c r="F91" i="4"/>
  <c r="R91" i="4" s="1"/>
  <c r="F48" i="4"/>
  <c r="F173" i="4"/>
  <c r="F261" i="4"/>
  <c r="F367" i="4"/>
  <c r="F317" i="4"/>
  <c r="F264" i="4"/>
  <c r="N264" i="4" s="1"/>
  <c r="F293" i="4"/>
  <c r="N293" i="4" s="1"/>
  <c r="F375" i="4"/>
  <c r="F212" i="4"/>
  <c r="F108" i="4"/>
  <c r="R108" i="4" s="1"/>
  <c r="F234" i="4"/>
  <c r="F92" i="4"/>
  <c r="F158" i="4"/>
  <c r="F174" i="4"/>
  <c r="F319" i="4"/>
  <c r="F283" i="4"/>
  <c r="F251" i="4"/>
  <c r="F245" i="4"/>
  <c r="N245" i="4" s="1"/>
  <c r="F95" i="4"/>
  <c r="R95" i="4" s="1"/>
  <c r="F132" i="4"/>
  <c r="F157" i="4"/>
  <c r="J157" i="4" s="1"/>
  <c r="F98" i="4"/>
  <c r="F10" i="4"/>
  <c r="F34" i="4"/>
  <c r="F381" i="4"/>
  <c r="F250" i="4"/>
  <c r="F322" i="4"/>
  <c r="F114" i="4"/>
  <c r="F213" i="4"/>
  <c r="N213" i="4" s="1"/>
  <c r="F110" i="4"/>
  <c r="J110" i="4" s="1"/>
  <c r="F148" i="4"/>
  <c r="R148" i="4" s="1"/>
  <c r="F292" i="4"/>
  <c r="F19" i="4"/>
  <c r="F200" i="4"/>
  <c r="D36" i="12"/>
  <c r="F12" i="7"/>
  <c r="D63" i="7"/>
  <c r="F63" i="7" s="1"/>
  <c r="V385" i="7"/>
  <c r="G63" i="7"/>
  <c r="J303" i="4"/>
  <c r="R303" i="4"/>
  <c r="N303" i="4"/>
  <c r="F343" i="4"/>
  <c r="F343" i="7"/>
  <c r="G385" i="7"/>
  <c r="J377" i="4"/>
  <c r="R377" i="4"/>
  <c r="F301" i="4"/>
  <c r="F301" i="7"/>
  <c r="R374" i="4"/>
  <c r="J374" i="4"/>
  <c r="F379" i="4"/>
  <c r="F286" i="4"/>
  <c r="J228" i="4"/>
  <c r="R228" i="4"/>
  <c r="J207" i="4"/>
  <c r="R207" i="4"/>
  <c r="F203" i="4"/>
  <c r="C385" i="7"/>
  <c r="J202" i="4"/>
  <c r="R202" i="4"/>
  <c r="F230" i="4"/>
  <c r="G230" i="4" s="1"/>
  <c r="F214" i="4"/>
  <c r="G228" i="4"/>
  <c r="G229" i="4" s="1"/>
  <c r="R249" i="4"/>
  <c r="R318" i="4"/>
  <c r="J318" i="4"/>
  <c r="F338" i="7"/>
  <c r="J235" i="4"/>
  <c r="R235" i="4"/>
  <c r="F243" i="4"/>
  <c r="J257" i="4"/>
  <c r="J359" i="4"/>
  <c r="F278" i="4"/>
  <c r="F304" i="4"/>
  <c r="F330" i="4"/>
  <c r="F337" i="4"/>
  <c r="F199" i="4"/>
  <c r="F206" i="4"/>
  <c r="F306" i="4"/>
  <c r="F324" i="4"/>
  <c r="F338" i="4"/>
  <c r="F336" i="4"/>
  <c r="B48" i="12"/>
  <c r="F307" i="4"/>
  <c r="F325" i="4"/>
  <c r="F241" i="4"/>
  <c r="F285" i="4"/>
  <c r="F373" i="4"/>
  <c r="F300" i="4"/>
  <c r="F211" i="4"/>
  <c r="F169" i="4"/>
  <c r="R111" i="4"/>
  <c r="J111" i="4"/>
  <c r="N111" i="4"/>
  <c r="F126" i="4"/>
  <c r="F198" i="4"/>
  <c r="F209" i="4"/>
  <c r="R73" i="4"/>
  <c r="N73" i="4"/>
  <c r="J73" i="4"/>
  <c r="J75" i="4"/>
  <c r="R75" i="4"/>
  <c r="N75" i="4"/>
  <c r="N103" i="4"/>
  <c r="R103" i="4"/>
  <c r="J103" i="4"/>
  <c r="F208" i="4"/>
  <c r="R89" i="4"/>
  <c r="N89" i="4"/>
  <c r="F167" i="4"/>
  <c r="R160" i="4"/>
  <c r="N160" i="4"/>
  <c r="R190" i="4"/>
  <c r="N190" i="4"/>
  <c r="F107" i="4"/>
  <c r="J125" i="4"/>
  <c r="N8" i="4"/>
  <c r="F8" i="4"/>
  <c r="R8" i="4"/>
  <c r="S8" i="4" s="1"/>
  <c r="F12" i="4"/>
  <c r="R93" i="4"/>
  <c r="N93" i="4"/>
  <c r="J93" i="4"/>
  <c r="F123" i="4"/>
  <c r="R138" i="4"/>
  <c r="J138" i="4"/>
  <c r="N138" i="4"/>
  <c r="N125" i="4"/>
  <c r="F112" i="4"/>
  <c r="F117" i="4"/>
  <c r="F140" i="4"/>
  <c r="F186" i="4"/>
  <c r="F254" i="4"/>
  <c r="F156" i="4"/>
  <c r="F154" i="4"/>
  <c r="F182" i="4"/>
  <c r="N76" i="4"/>
  <c r="R76" i="4"/>
  <c r="F349" i="4"/>
  <c r="F328" i="4"/>
  <c r="N102" i="4"/>
  <c r="R102" i="4"/>
  <c r="F333" i="4"/>
  <c r="F99" i="4"/>
  <c r="F72" i="4"/>
  <c r="F131" i="4"/>
  <c r="F147" i="4"/>
  <c r="N178" i="4"/>
  <c r="R178" i="4"/>
  <c r="F184" i="4"/>
  <c r="F79" i="4"/>
  <c r="F109" i="4"/>
  <c r="F134" i="4"/>
  <c r="F313" i="4"/>
  <c r="F94" i="4"/>
  <c r="F74" i="4"/>
  <c r="F118" i="4"/>
  <c r="F161" i="4"/>
  <c r="F163" i="4"/>
  <c r="F168" i="4"/>
  <c r="F83" i="4"/>
  <c r="F105" i="4"/>
  <c r="F242" i="4"/>
  <c r="F106" i="4"/>
  <c r="F77" i="4"/>
  <c r="F339" i="4"/>
  <c r="F297" i="4"/>
  <c r="F139" i="4"/>
  <c r="F332" i="4"/>
  <c r="F270" i="4"/>
  <c r="F352" i="4"/>
  <c r="N171" i="4"/>
  <c r="R171" i="4"/>
  <c r="F179" i="4"/>
  <c r="F222" i="4"/>
  <c r="F60" i="4"/>
  <c r="F219" i="4"/>
  <c r="F309" i="4"/>
  <c r="F298" i="4"/>
  <c r="F124" i="4"/>
  <c r="F196" i="4"/>
  <c r="F226" i="4"/>
  <c r="F183" i="4"/>
  <c r="F97" i="4"/>
  <c r="O39" i="4"/>
  <c r="F180" i="4"/>
  <c r="F71" i="4"/>
  <c r="F100" i="4"/>
  <c r="F263" i="4"/>
  <c r="F21" i="4"/>
  <c r="F57" i="4"/>
  <c r="F15" i="4"/>
  <c r="F22" i="4"/>
  <c r="F26" i="4"/>
  <c r="D62" i="7"/>
  <c r="F62" i="7" s="1"/>
  <c r="F119" i="4"/>
  <c r="F193" i="4"/>
  <c r="F17" i="4"/>
  <c r="F28" i="4"/>
  <c r="F32" i="4"/>
  <c r="F366" i="4"/>
  <c r="F23" i="4"/>
  <c r="F63" i="4"/>
  <c r="F41" i="4"/>
  <c r="F50" i="4"/>
  <c r="F14" i="4"/>
  <c r="F27" i="4"/>
  <c r="F53" i="4"/>
  <c r="F151" i="4"/>
  <c r="F143" i="4"/>
  <c r="F122" i="4"/>
  <c r="F188" i="4"/>
  <c r="F232" i="4"/>
  <c r="F9" i="4"/>
  <c r="F25" i="4"/>
  <c r="F29" i="4"/>
  <c r="F66" i="4"/>
  <c r="F231" i="4"/>
  <c r="F18" i="4"/>
  <c r="F33" i="4"/>
  <c r="F56" i="4"/>
  <c r="F150" i="4"/>
  <c r="F128" i="4"/>
  <c r="F166" i="4"/>
  <c r="F31" i="4"/>
  <c r="F35" i="4"/>
  <c r="F47" i="4"/>
  <c r="F361" i="4"/>
  <c r="F11" i="4"/>
  <c r="F20" i="4"/>
  <c r="F149" i="4"/>
  <c r="F115" i="4"/>
  <c r="F121" i="4"/>
  <c r="F172" i="4"/>
  <c r="F217" i="4"/>
  <c r="D67" i="7"/>
  <c r="F67" i="7" s="1"/>
  <c r="F127" i="4"/>
  <c r="F142" i="4"/>
  <c r="F164" i="4"/>
  <c r="F204" i="4"/>
  <c r="F192" i="4"/>
  <c r="F369" i="4"/>
  <c r="F267" i="4"/>
  <c r="F384" i="4"/>
  <c r="F266" i="4"/>
  <c r="F279" i="4"/>
  <c r="F316" i="4"/>
  <c r="F281" i="4"/>
  <c r="N170" i="4" l="1"/>
  <c r="R170" i="4"/>
  <c r="R84" i="4"/>
  <c r="R364" i="4"/>
  <c r="J314" i="4"/>
  <c r="F385" i="7"/>
  <c r="J96" i="4"/>
  <c r="N159" i="4"/>
  <c r="R314" i="4"/>
  <c r="R96" i="4"/>
  <c r="R159" i="4"/>
  <c r="J364" i="4"/>
  <c r="R233" i="4"/>
  <c r="R144" i="4"/>
  <c r="J233" i="4"/>
  <c r="R358" i="4"/>
  <c r="J162" i="4"/>
  <c r="N162" i="4"/>
  <c r="N130" i="4"/>
  <c r="J358" i="4"/>
  <c r="R130" i="4"/>
  <c r="J220" i="4"/>
  <c r="R220" i="4"/>
  <c r="J86" i="4"/>
  <c r="A11" i="13"/>
  <c r="A6" i="1"/>
  <c r="A7" i="1" s="1"/>
  <c r="N157" i="4"/>
  <c r="R157" i="4"/>
  <c r="O40" i="4"/>
  <c r="R264" i="4"/>
  <c r="N84" i="4"/>
  <c r="J49" i="4"/>
  <c r="J144" i="4"/>
  <c r="J264" i="4"/>
  <c r="J245" i="4"/>
  <c r="R245" i="4"/>
  <c r="J213" i="4"/>
  <c r="J181" i="4"/>
  <c r="N137" i="4"/>
  <c r="J55" i="4"/>
  <c r="N55" i="4"/>
  <c r="N86" i="4"/>
  <c r="R16" i="4"/>
  <c r="J136" i="4"/>
  <c r="N342" i="4"/>
  <c r="R176" i="4"/>
  <c r="R136" i="4"/>
  <c r="N110" i="4"/>
  <c r="J137" i="4"/>
  <c r="N148" i="4"/>
  <c r="N181" i="4"/>
  <c r="N16" i="4"/>
  <c r="J148" i="4"/>
  <c r="R293" i="4"/>
  <c r="S293" i="4" s="1"/>
  <c r="S294" i="4" s="1"/>
  <c r="S295" i="4" s="1"/>
  <c r="J82" i="4"/>
  <c r="R82" i="4"/>
  <c r="N176" i="4"/>
  <c r="R247" i="4"/>
  <c r="R110" i="4"/>
  <c r="J247" i="4"/>
  <c r="J237" i="4"/>
  <c r="J81" i="4"/>
  <c r="J376" i="4"/>
  <c r="R237" i="4"/>
  <c r="R376" i="4"/>
  <c r="J280" i="4"/>
  <c r="R280" i="4"/>
  <c r="J205" i="4"/>
  <c r="J95" i="4"/>
  <c r="R81" i="4"/>
  <c r="R187" i="4"/>
  <c r="J256" i="4"/>
  <c r="R49" i="4"/>
  <c r="N187" i="4"/>
  <c r="R256" i="4"/>
  <c r="N87" i="4"/>
  <c r="N108" i="4"/>
  <c r="R354" i="4"/>
  <c r="S354" i="4" s="1"/>
  <c r="R221" i="4"/>
  <c r="N221" i="4"/>
  <c r="N191" i="4"/>
  <c r="J191" i="4"/>
  <c r="N36" i="4"/>
  <c r="R36" i="4"/>
  <c r="J36" i="4"/>
  <c r="N291" i="4"/>
  <c r="O291" i="4" s="1"/>
  <c r="R291" i="4"/>
  <c r="S291" i="4" s="1"/>
  <c r="J291" i="4"/>
  <c r="K291" i="4" s="1"/>
  <c r="R116" i="4"/>
  <c r="J293" i="4"/>
  <c r="K293" i="4" s="1"/>
  <c r="K294" i="4" s="1"/>
  <c r="K295" i="4" s="1"/>
  <c r="N354" i="4"/>
  <c r="O354" i="4" s="1"/>
  <c r="N30" i="4"/>
  <c r="R30" i="4"/>
  <c r="J30" i="4"/>
  <c r="N253" i="4"/>
  <c r="R253" i="4"/>
  <c r="J253" i="4"/>
  <c r="J108" i="4"/>
  <c r="N116" i="4"/>
  <c r="N24" i="4"/>
  <c r="J24" i="4"/>
  <c r="R24" i="4"/>
  <c r="N268" i="4"/>
  <c r="J268" i="4"/>
  <c r="R268" i="4"/>
  <c r="N331" i="4"/>
  <c r="J331" i="4"/>
  <c r="R331" i="4"/>
  <c r="N225" i="4"/>
  <c r="J225" i="4"/>
  <c r="R225" i="4"/>
  <c r="L385" i="4"/>
  <c r="K385" i="4"/>
  <c r="R191" i="4"/>
  <c r="N296" i="4"/>
  <c r="J296" i="4"/>
  <c r="R296" i="4"/>
  <c r="N357" i="4"/>
  <c r="R357" i="4"/>
  <c r="J357" i="4"/>
  <c r="N341" i="4"/>
  <c r="R341" i="4"/>
  <c r="J341" i="4"/>
  <c r="O385" i="4"/>
  <c r="P385" i="4"/>
  <c r="R355" i="4"/>
  <c r="J355" i="4"/>
  <c r="K355" i="4" s="1"/>
  <c r="N355" i="4"/>
  <c r="N95" i="4"/>
  <c r="N153" i="4"/>
  <c r="J87" i="4"/>
  <c r="J342" i="4"/>
  <c r="N201" i="4"/>
  <c r="J201" i="4"/>
  <c r="R201" i="4"/>
  <c r="R197" i="4"/>
  <c r="N197" i="4"/>
  <c r="N287" i="4"/>
  <c r="R287" i="4"/>
  <c r="J287" i="4"/>
  <c r="J153" i="4"/>
  <c r="R213" i="4"/>
  <c r="N356" i="4"/>
  <c r="R356" i="4"/>
  <c r="J356" i="4"/>
  <c r="N155" i="4"/>
  <c r="R155" i="4"/>
  <c r="J155" i="4"/>
  <c r="G291" i="4"/>
  <c r="N34" i="4"/>
  <c r="J34" i="4"/>
  <c r="R34" i="4"/>
  <c r="N251" i="4"/>
  <c r="J251" i="4"/>
  <c r="R251" i="4"/>
  <c r="N317" i="4"/>
  <c r="J317" i="4"/>
  <c r="R317" i="4"/>
  <c r="J223" i="4"/>
  <c r="R223" i="4"/>
  <c r="N223" i="4"/>
  <c r="N360" i="4"/>
  <c r="R360" i="4"/>
  <c r="J360" i="4"/>
  <c r="N43" i="4"/>
  <c r="J43" i="4"/>
  <c r="R43" i="4"/>
  <c r="N177" i="4"/>
  <c r="J177" i="4"/>
  <c r="R177" i="4"/>
  <c r="N10" i="4"/>
  <c r="J10" i="4"/>
  <c r="R10" i="4"/>
  <c r="N283" i="4"/>
  <c r="R283" i="4"/>
  <c r="J283" i="4"/>
  <c r="N367" i="4"/>
  <c r="R367" i="4"/>
  <c r="J367" i="4"/>
  <c r="N218" i="4"/>
  <c r="J218" i="4"/>
  <c r="R218" i="4"/>
  <c r="N236" i="4"/>
  <c r="J236" i="4"/>
  <c r="R236" i="4"/>
  <c r="N312" i="4"/>
  <c r="R312" i="4"/>
  <c r="J312" i="4"/>
  <c r="N98" i="4"/>
  <c r="J98" i="4"/>
  <c r="R98" i="4"/>
  <c r="N319" i="4"/>
  <c r="R319" i="4"/>
  <c r="J319" i="4"/>
  <c r="N261" i="4"/>
  <c r="J261" i="4"/>
  <c r="R261" i="4"/>
  <c r="N64" i="4"/>
  <c r="J64" i="4"/>
  <c r="R64" i="4"/>
  <c r="R368" i="4"/>
  <c r="J368" i="4"/>
  <c r="N368" i="4"/>
  <c r="N114" i="4"/>
  <c r="R114" i="4"/>
  <c r="J114" i="4"/>
  <c r="N174" i="4"/>
  <c r="J174" i="4"/>
  <c r="R174" i="4"/>
  <c r="N173" i="4"/>
  <c r="J173" i="4"/>
  <c r="R173" i="4"/>
  <c r="N51" i="4"/>
  <c r="J51" i="4"/>
  <c r="R51" i="4"/>
  <c r="N216" i="4"/>
  <c r="J216" i="4"/>
  <c r="R216" i="4"/>
  <c r="N322" i="4"/>
  <c r="O322" i="4" s="1"/>
  <c r="O323" i="4" s="1"/>
  <c r="R322" i="4"/>
  <c r="S322" i="4" s="1"/>
  <c r="S323" i="4" s="1"/>
  <c r="G322" i="4"/>
  <c r="G323" i="4" s="1"/>
  <c r="J322" i="4"/>
  <c r="K322" i="4" s="1"/>
  <c r="K323" i="4" s="1"/>
  <c r="R132" i="4"/>
  <c r="N132" i="4"/>
  <c r="J132" i="4"/>
  <c r="N158" i="4"/>
  <c r="R158" i="4"/>
  <c r="J158" i="4"/>
  <c r="N48" i="4"/>
  <c r="J48" i="4"/>
  <c r="R48" i="4"/>
  <c r="N37" i="4"/>
  <c r="R37" i="4"/>
  <c r="J37" i="4"/>
  <c r="R80" i="4"/>
  <c r="N80" i="4"/>
  <c r="J80" i="4"/>
  <c r="N92" i="4"/>
  <c r="R92" i="4"/>
  <c r="J92" i="4"/>
  <c r="N91" i="4"/>
  <c r="J91" i="4"/>
  <c r="N13" i="4"/>
  <c r="J13" i="4"/>
  <c r="R13" i="4"/>
  <c r="R350" i="4"/>
  <c r="J350" i="4"/>
  <c r="N350" i="4"/>
  <c r="N327" i="4"/>
  <c r="R327" i="4"/>
  <c r="J327" i="4"/>
  <c r="N215" i="4"/>
  <c r="J215" i="4"/>
  <c r="R215" i="4"/>
  <c r="N68" i="4"/>
  <c r="J68" i="4"/>
  <c r="R68" i="4"/>
  <c r="N200" i="4"/>
  <c r="J200" i="4"/>
  <c r="R200" i="4"/>
  <c r="N234" i="4"/>
  <c r="R234" i="4"/>
  <c r="J234" i="4"/>
  <c r="N326" i="4"/>
  <c r="R326" i="4"/>
  <c r="J326" i="4"/>
  <c r="N380" i="4"/>
  <c r="R380" i="4"/>
  <c r="J380" i="4"/>
  <c r="N299" i="4"/>
  <c r="J299" i="4"/>
  <c r="R299" i="4"/>
  <c r="N175" i="4"/>
  <c r="J175" i="4"/>
  <c r="R175" i="4"/>
  <c r="N19" i="4"/>
  <c r="J19" i="4"/>
  <c r="R19" i="4"/>
  <c r="N347" i="4"/>
  <c r="J347" i="4"/>
  <c r="R347" i="4"/>
  <c r="N69" i="4"/>
  <c r="J69" i="4"/>
  <c r="R69" i="4"/>
  <c r="N260" i="4"/>
  <c r="O260" i="4" s="1"/>
  <c r="G260" i="4"/>
  <c r="G261" i="4" s="1"/>
  <c r="G262" i="4" s="1"/>
  <c r="J260" i="4"/>
  <c r="K260" i="4" s="1"/>
  <c r="R260" i="4"/>
  <c r="S260" i="4" s="1"/>
  <c r="J146" i="4"/>
  <c r="R146" i="4"/>
  <c r="N146" i="4"/>
  <c r="R52" i="4"/>
  <c r="N52" i="4"/>
  <c r="J52" i="4"/>
  <c r="N292" i="4"/>
  <c r="O292" i="4" s="1"/>
  <c r="G292" i="4"/>
  <c r="G293" i="4" s="1"/>
  <c r="G294" i="4" s="1"/>
  <c r="G295" i="4" s="1"/>
  <c r="G296" i="4" s="1"/>
  <c r="R292" i="4"/>
  <c r="S292" i="4" s="1"/>
  <c r="J292" i="4"/>
  <c r="K292" i="4" s="1"/>
  <c r="N212" i="4"/>
  <c r="R212" i="4"/>
  <c r="J212" i="4"/>
  <c r="N85" i="4"/>
  <c r="J85" i="4"/>
  <c r="N44" i="4"/>
  <c r="J44" i="4"/>
  <c r="R44" i="4"/>
  <c r="N240" i="4"/>
  <c r="R240" i="4"/>
  <c r="J240" i="4"/>
  <c r="R205" i="4"/>
  <c r="R375" i="4"/>
  <c r="J375" i="4"/>
  <c r="N375" i="4"/>
  <c r="R113" i="4"/>
  <c r="J113" i="4"/>
  <c r="N113" i="4"/>
  <c r="N54" i="4"/>
  <c r="R54" i="4"/>
  <c r="J54" i="4"/>
  <c r="R371" i="4"/>
  <c r="N371" i="4"/>
  <c r="N250" i="4"/>
  <c r="R250" i="4"/>
  <c r="J250" i="4"/>
  <c r="O293" i="4"/>
  <c r="O294" i="4" s="1"/>
  <c r="O295" i="4" s="1"/>
  <c r="R90" i="4"/>
  <c r="N90" i="4"/>
  <c r="J90" i="4"/>
  <c r="N383" i="4"/>
  <c r="R383" i="4"/>
  <c r="J383" i="4"/>
  <c r="R329" i="4"/>
  <c r="J329" i="4"/>
  <c r="N329" i="4"/>
  <c r="J372" i="4"/>
  <c r="N372" i="4"/>
  <c r="N273" i="4"/>
  <c r="R273" i="4"/>
  <c r="J273" i="4"/>
  <c r="N229" i="4"/>
  <c r="O229" i="4" s="1"/>
  <c r="R229" i="4"/>
  <c r="J229" i="4"/>
  <c r="N381" i="4"/>
  <c r="R381" i="4"/>
  <c r="J381" i="4"/>
  <c r="R365" i="4"/>
  <c r="J365" i="4"/>
  <c r="N365" i="4"/>
  <c r="N224" i="4"/>
  <c r="J224" i="4"/>
  <c r="R224" i="4"/>
  <c r="N289" i="4"/>
  <c r="R289" i="4"/>
  <c r="J289" i="4"/>
  <c r="N346" i="4"/>
  <c r="J346" i="4"/>
  <c r="R346" i="4"/>
  <c r="A11" i="15"/>
  <c r="A11" i="7"/>
  <c r="A5" i="2"/>
  <c r="A11" i="4"/>
  <c r="N45" i="4"/>
  <c r="J45" i="4"/>
  <c r="R45" i="4"/>
  <c r="N122" i="4"/>
  <c r="R122" i="4"/>
  <c r="J122" i="4"/>
  <c r="R72" i="4"/>
  <c r="J72" i="4"/>
  <c r="N72" i="4"/>
  <c r="J301" i="4"/>
  <c r="R301" i="4"/>
  <c r="N301" i="4"/>
  <c r="N150" i="4"/>
  <c r="R150" i="4"/>
  <c r="J150" i="4"/>
  <c r="N63" i="4"/>
  <c r="J63" i="4"/>
  <c r="R63" i="4"/>
  <c r="N142" i="4"/>
  <c r="R142" i="4"/>
  <c r="J142" i="4"/>
  <c r="N270" i="4"/>
  <c r="R270" i="4"/>
  <c r="J270" i="4"/>
  <c r="R182" i="4"/>
  <c r="J182" i="4"/>
  <c r="N182" i="4"/>
  <c r="N143" i="4"/>
  <c r="R143" i="4"/>
  <c r="J143" i="4"/>
  <c r="N219" i="4"/>
  <c r="R219" i="4"/>
  <c r="J219" i="4"/>
  <c r="N20" i="4"/>
  <c r="J20" i="4"/>
  <c r="R20" i="4"/>
  <c r="N33" i="4"/>
  <c r="R33" i="4"/>
  <c r="J33" i="4"/>
  <c r="N151" i="4"/>
  <c r="J151" i="4"/>
  <c r="R151" i="4"/>
  <c r="N57" i="4"/>
  <c r="J57" i="4"/>
  <c r="R57" i="4"/>
  <c r="R139" i="4"/>
  <c r="J139" i="4"/>
  <c r="N139" i="4"/>
  <c r="R134" i="4"/>
  <c r="N134" i="4"/>
  <c r="J134" i="4"/>
  <c r="G134" i="4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N99" i="4"/>
  <c r="J99" i="4"/>
  <c r="R99" i="4"/>
  <c r="N140" i="4"/>
  <c r="R140" i="4"/>
  <c r="J140" i="4"/>
  <c r="J107" i="4"/>
  <c r="R107" i="4"/>
  <c r="N107" i="4"/>
  <c r="N126" i="4"/>
  <c r="J126" i="4"/>
  <c r="R126" i="4"/>
  <c r="J169" i="4"/>
  <c r="R169" i="4"/>
  <c r="N169" i="4"/>
  <c r="R373" i="4"/>
  <c r="J373" i="4"/>
  <c r="N373" i="4"/>
  <c r="R336" i="4"/>
  <c r="J336" i="4"/>
  <c r="N336" i="4"/>
  <c r="N180" i="4"/>
  <c r="R180" i="4"/>
  <c r="J180" i="4"/>
  <c r="J131" i="4"/>
  <c r="R131" i="4"/>
  <c r="N131" i="4"/>
  <c r="R196" i="4"/>
  <c r="N196" i="4"/>
  <c r="J196" i="4"/>
  <c r="G196" i="4"/>
  <c r="G197" i="4" s="1"/>
  <c r="N56" i="4"/>
  <c r="R56" i="4"/>
  <c r="J56" i="4"/>
  <c r="R154" i="4"/>
  <c r="N154" i="4"/>
  <c r="J154" i="4"/>
  <c r="N11" i="4"/>
  <c r="R11" i="4"/>
  <c r="J11" i="4"/>
  <c r="N18" i="4"/>
  <c r="R18" i="4"/>
  <c r="J18" i="4"/>
  <c r="N53" i="4"/>
  <c r="R53" i="4"/>
  <c r="J53" i="4"/>
  <c r="F62" i="4"/>
  <c r="N21" i="4"/>
  <c r="R21" i="4"/>
  <c r="J21" i="4"/>
  <c r="N60" i="4"/>
  <c r="R60" i="4"/>
  <c r="J60" i="4"/>
  <c r="N297" i="4"/>
  <c r="R297" i="4"/>
  <c r="J297" i="4"/>
  <c r="G297" i="4"/>
  <c r="N242" i="4"/>
  <c r="R242" i="4"/>
  <c r="J242" i="4"/>
  <c r="J109" i="4"/>
  <c r="R109" i="4"/>
  <c r="N109" i="4"/>
  <c r="N333" i="4"/>
  <c r="R333" i="4"/>
  <c r="J333" i="4"/>
  <c r="N117" i="4"/>
  <c r="R117" i="4"/>
  <c r="J117" i="4"/>
  <c r="R285" i="4"/>
  <c r="J285" i="4"/>
  <c r="N285" i="4"/>
  <c r="N74" i="4"/>
  <c r="R74" i="4"/>
  <c r="J74" i="4"/>
  <c r="N309" i="4"/>
  <c r="R309" i="4"/>
  <c r="J309" i="4"/>
  <c r="N127" i="4"/>
  <c r="R127" i="4"/>
  <c r="J127" i="4"/>
  <c r="N332" i="4"/>
  <c r="R332" i="4"/>
  <c r="J332" i="4"/>
  <c r="N279" i="4"/>
  <c r="J279" i="4"/>
  <c r="R279" i="4"/>
  <c r="N361" i="4"/>
  <c r="R361" i="4"/>
  <c r="J361" i="4"/>
  <c r="G361" i="4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N231" i="4"/>
  <c r="R231" i="4"/>
  <c r="J231" i="4"/>
  <c r="G231" i="4"/>
  <c r="N27" i="4"/>
  <c r="R27" i="4"/>
  <c r="J27" i="4"/>
  <c r="N32" i="4"/>
  <c r="J32" i="4"/>
  <c r="R32" i="4"/>
  <c r="N97" i="4"/>
  <c r="R97" i="4"/>
  <c r="J97" i="4"/>
  <c r="N339" i="4"/>
  <c r="R339" i="4"/>
  <c r="J339" i="4"/>
  <c r="R105" i="4"/>
  <c r="N105" i="4"/>
  <c r="J105" i="4"/>
  <c r="G105" i="4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S102" i="4"/>
  <c r="S103" i="4" s="1"/>
  <c r="S104" i="4" s="1"/>
  <c r="K103" i="4"/>
  <c r="K104" i="4" s="1"/>
  <c r="N209" i="4"/>
  <c r="R209" i="4"/>
  <c r="J209" i="4"/>
  <c r="J241" i="4"/>
  <c r="R241" i="4"/>
  <c r="N241" i="4"/>
  <c r="J124" i="4"/>
  <c r="R124" i="4"/>
  <c r="N124" i="4"/>
  <c r="N266" i="4"/>
  <c r="J266" i="4"/>
  <c r="R266" i="4"/>
  <c r="N47" i="4"/>
  <c r="R47" i="4"/>
  <c r="J47" i="4"/>
  <c r="N14" i="4"/>
  <c r="R14" i="4"/>
  <c r="J14" i="4"/>
  <c r="N28" i="4"/>
  <c r="R28" i="4"/>
  <c r="J28" i="4"/>
  <c r="N263" i="4"/>
  <c r="R263" i="4"/>
  <c r="J263" i="4"/>
  <c r="G263" i="4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N183" i="4"/>
  <c r="J183" i="4"/>
  <c r="R183" i="4"/>
  <c r="N222" i="4"/>
  <c r="R222" i="4"/>
  <c r="J222" i="4"/>
  <c r="N77" i="4"/>
  <c r="J77" i="4"/>
  <c r="R77" i="4"/>
  <c r="N83" i="4"/>
  <c r="R83" i="4"/>
  <c r="J83" i="4"/>
  <c r="N79" i="4"/>
  <c r="R79" i="4"/>
  <c r="J79" i="4"/>
  <c r="O102" i="4"/>
  <c r="O103" i="4" s="1"/>
  <c r="O104" i="4" s="1"/>
  <c r="J338" i="4"/>
  <c r="R338" i="4"/>
  <c r="N338" i="4"/>
  <c r="R214" i="4"/>
  <c r="J214" i="4"/>
  <c r="N214" i="4"/>
  <c r="N204" i="4"/>
  <c r="J204" i="4"/>
  <c r="R204" i="4"/>
  <c r="R337" i="4"/>
  <c r="J337" i="4"/>
  <c r="N337" i="4"/>
  <c r="N352" i="4"/>
  <c r="R352" i="4"/>
  <c r="J352" i="4"/>
  <c r="N254" i="4"/>
  <c r="R254" i="4"/>
  <c r="J254" i="4"/>
  <c r="J278" i="4"/>
  <c r="R278" i="4"/>
  <c r="N278" i="4"/>
  <c r="R184" i="4"/>
  <c r="J184" i="4"/>
  <c r="N184" i="4"/>
  <c r="R324" i="4"/>
  <c r="G324" i="4"/>
  <c r="J324" i="4"/>
  <c r="N324" i="4"/>
  <c r="R379" i="4"/>
  <c r="J379" i="4"/>
  <c r="N379" i="4"/>
  <c r="D385" i="7"/>
  <c r="N316" i="4"/>
  <c r="R316" i="4"/>
  <c r="J316" i="4"/>
  <c r="N226" i="4"/>
  <c r="J226" i="4"/>
  <c r="R226" i="4"/>
  <c r="N121" i="4"/>
  <c r="R121" i="4"/>
  <c r="J121" i="4"/>
  <c r="N298" i="4"/>
  <c r="R298" i="4"/>
  <c r="G298" i="4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J298" i="4"/>
  <c r="J8" i="4"/>
  <c r="L8" i="4" s="1"/>
  <c r="H8" i="4"/>
  <c r="G8" i="4"/>
  <c r="R330" i="4"/>
  <c r="J330" i="4"/>
  <c r="N330" i="4"/>
  <c r="N115" i="4"/>
  <c r="R115" i="4"/>
  <c r="J115" i="4"/>
  <c r="J106" i="4"/>
  <c r="N106" i="4"/>
  <c r="R106" i="4"/>
  <c r="N366" i="4"/>
  <c r="J366" i="4"/>
  <c r="R366" i="4"/>
  <c r="N199" i="4"/>
  <c r="R199" i="4"/>
  <c r="J199" i="4"/>
  <c r="N35" i="4"/>
  <c r="R35" i="4"/>
  <c r="J35" i="4"/>
  <c r="N17" i="4"/>
  <c r="R17" i="4"/>
  <c r="J17" i="4"/>
  <c r="N267" i="4"/>
  <c r="J267" i="4"/>
  <c r="R267" i="4"/>
  <c r="N31" i="4"/>
  <c r="R31" i="4"/>
  <c r="J31" i="4"/>
  <c r="N29" i="4"/>
  <c r="R29" i="4"/>
  <c r="J29" i="4"/>
  <c r="N193" i="4"/>
  <c r="J193" i="4"/>
  <c r="R193" i="4"/>
  <c r="N71" i="4"/>
  <c r="R71" i="4"/>
  <c r="J71" i="4"/>
  <c r="G71" i="4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R163" i="4"/>
  <c r="N163" i="4"/>
  <c r="J163" i="4"/>
  <c r="N349" i="4"/>
  <c r="R349" i="4"/>
  <c r="J349" i="4"/>
  <c r="N156" i="4"/>
  <c r="R156" i="4"/>
  <c r="J156" i="4"/>
  <c r="R211" i="4"/>
  <c r="N211" i="4"/>
  <c r="J211" i="4"/>
  <c r="R307" i="4"/>
  <c r="J307" i="4"/>
  <c r="N307" i="4"/>
  <c r="R306" i="4"/>
  <c r="J306" i="4"/>
  <c r="N306" i="4"/>
  <c r="R230" i="4"/>
  <c r="J230" i="4"/>
  <c r="N230" i="4"/>
  <c r="N172" i="4"/>
  <c r="R172" i="4"/>
  <c r="J172" i="4"/>
  <c r="N188" i="4"/>
  <c r="J188" i="4"/>
  <c r="R188" i="4"/>
  <c r="N208" i="4"/>
  <c r="R208" i="4"/>
  <c r="J208" i="4"/>
  <c r="N22" i="4"/>
  <c r="R22" i="4"/>
  <c r="J22" i="4"/>
  <c r="R304" i="4"/>
  <c r="J304" i="4"/>
  <c r="N304" i="4"/>
  <c r="N149" i="4"/>
  <c r="J149" i="4"/>
  <c r="R149" i="4"/>
  <c r="N384" i="4"/>
  <c r="R384" i="4"/>
  <c r="J384" i="4"/>
  <c r="N66" i="4"/>
  <c r="R66" i="4"/>
  <c r="J66" i="4"/>
  <c r="N100" i="4"/>
  <c r="R100" i="4"/>
  <c r="J100" i="4"/>
  <c r="J179" i="4"/>
  <c r="R179" i="4"/>
  <c r="N179" i="4"/>
  <c r="R325" i="4"/>
  <c r="J325" i="4"/>
  <c r="G325" i="4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N325" i="4"/>
  <c r="N369" i="4"/>
  <c r="R369" i="4"/>
  <c r="J369" i="4"/>
  <c r="N166" i="4"/>
  <c r="R166" i="4"/>
  <c r="J166" i="4"/>
  <c r="G166" i="4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N25" i="4"/>
  <c r="J25" i="4"/>
  <c r="R25" i="4"/>
  <c r="N119" i="4"/>
  <c r="J119" i="4"/>
  <c r="R119" i="4"/>
  <c r="R161" i="4"/>
  <c r="J161" i="4"/>
  <c r="N161" i="4"/>
  <c r="J112" i="4"/>
  <c r="R112" i="4"/>
  <c r="N112" i="4"/>
  <c r="N123" i="4"/>
  <c r="R123" i="4"/>
  <c r="J123" i="4"/>
  <c r="N12" i="4"/>
  <c r="J12" i="4"/>
  <c r="R12" i="4"/>
  <c r="R167" i="4"/>
  <c r="J167" i="4"/>
  <c r="N167" i="4"/>
  <c r="J206" i="4"/>
  <c r="R206" i="4"/>
  <c r="N206" i="4"/>
  <c r="S228" i="4"/>
  <c r="N232" i="4"/>
  <c r="R232" i="4"/>
  <c r="J232" i="4"/>
  <c r="G232" i="4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R203" i="4"/>
  <c r="J203" i="4"/>
  <c r="N203" i="4"/>
  <c r="R343" i="4"/>
  <c r="J343" i="4"/>
  <c r="N343" i="4"/>
  <c r="N164" i="4"/>
  <c r="R164" i="4"/>
  <c r="J164" i="4"/>
  <c r="N26" i="4"/>
  <c r="R26" i="4"/>
  <c r="J26" i="4"/>
  <c r="N94" i="4"/>
  <c r="R94" i="4"/>
  <c r="J94" i="4"/>
  <c r="N23" i="4"/>
  <c r="R23" i="4"/>
  <c r="J23" i="4"/>
  <c r="N313" i="4"/>
  <c r="R313" i="4"/>
  <c r="J313" i="4"/>
  <c r="P8" i="4"/>
  <c r="O8" i="4"/>
  <c r="R300" i="4"/>
  <c r="J300" i="4"/>
  <c r="N300" i="4"/>
  <c r="N15" i="4"/>
  <c r="R15" i="4"/>
  <c r="J15" i="4"/>
  <c r="R186" i="4"/>
  <c r="J186" i="4"/>
  <c r="N186" i="4"/>
  <c r="N50" i="4"/>
  <c r="J50" i="4"/>
  <c r="R50" i="4"/>
  <c r="R168" i="4"/>
  <c r="J168" i="4"/>
  <c r="N168" i="4"/>
  <c r="N328" i="4"/>
  <c r="J328" i="4"/>
  <c r="R328" i="4"/>
  <c r="N281" i="4"/>
  <c r="R281" i="4"/>
  <c r="J281" i="4"/>
  <c r="N192" i="4"/>
  <c r="R192" i="4"/>
  <c r="J192" i="4"/>
  <c r="N217" i="4"/>
  <c r="J217" i="4"/>
  <c r="R217" i="4"/>
  <c r="N128" i="4"/>
  <c r="R128" i="4"/>
  <c r="J128" i="4"/>
  <c r="N9" i="4"/>
  <c r="R9" i="4"/>
  <c r="H9" i="4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J9" i="4"/>
  <c r="G9" i="4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N41" i="4"/>
  <c r="R41" i="4"/>
  <c r="J41" i="4"/>
  <c r="G41" i="4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F67" i="4"/>
  <c r="N118" i="4"/>
  <c r="R118" i="4"/>
  <c r="J118" i="4"/>
  <c r="R147" i="4"/>
  <c r="N147" i="4"/>
  <c r="J147" i="4"/>
  <c r="T8" i="4"/>
  <c r="N198" i="4"/>
  <c r="R198" i="4"/>
  <c r="J198" i="4"/>
  <c r="G198" i="4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R243" i="4"/>
  <c r="J243" i="4"/>
  <c r="N243" i="4"/>
  <c r="K228" i="4"/>
  <c r="R286" i="4"/>
  <c r="N286" i="4"/>
  <c r="J286" i="4"/>
  <c r="A12" i="13" l="1"/>
  <c r="A12" i="4"/>
  <c r="A12" i="15"/>
  <c r="A6" i="2"/>
  <c r="A12" i="7"/>
  <c r="A6" i="3"/>
  <c r="K296" i="4"/>
  <c r="S296" i="4"/>
  <c r="K229" i="4"/>
  <c r="O296" i="4"/>
  <c r="K356" i="4"/>
  <c r="S229" i="4"/>
  <c r="K357" i="4"/>
  <c r="K358" i="4" s="1"/>
  <c r="K359" i="4" s="1"/>
  <c r="K360" i="4" s="1"/>
  <c r="O355" i="4"/>
  <c r="O356" i="4" s="1"/>
  <c r="O357" i="4" s="1"/>
  <c r="O358" i="4" s="1"/>
  <c r="O359" i="4" s="1"/>
  <c r="O360" i="4" s="1"/>
  <c r="S355" i="4"/>
  <c r="S356" i="4" s="1"/>
  <c r="S357" i="4" s="1"/>
  <c r="S358" i="4" s="1"/>
  <c r="S359" i="4" s="1"/>
  <c r="S360" i="4" s="1"/>
  <c r="S261" i="4"/>
  <c r="S262" i="4" s="1"/>
  <c r="K261" i="4"/>
  <c r="K262" i="4" s="1"/>
  <c r="O261" i="4"/>
  <c r="O262" i="4" s="1"/>
  <c r="O263" i="4" s="1"/>
  <c r="O264" i="4" s="1"/>
  <c r="O265" i="4" s="1"/>
  <c r="O266" i="4" s="1"/>
  <c r="O267" i="4" s="1"/>
  <c r="O268" i="4" s="1"/>
  <c r="O269" i="4" s="1"/>
  <c r="O270" i="4" s="1"/>
  <c r="O271" i="4" s="1"/>
  <c r="O272" i="4" s="1"/>
  <c r="O273" i="4" s="1"/>
  <c r="O274" i="4" s="1"/>
  <c r="O275" i="4" s="1"/>
  <c r="O276" i="4" s="1"/>
  <c r="O277" i="4" s="1"/>
  <c r="O278" i="4" s="1"/>
  <c r="O279" i="4" s="1"/>
  <c r="O280" i="4" s="1"/>
  <c r="O281" i="4" s="1"/>
  <c r="O282" i="4" s="1"/>
  <c r="O283" i="4" s="1"/>
  <c r="O284" i="4" s="1"/>
  <c r="O285" i="4" s="1"/>
  <c r="O286" i="4" s="1"/>
  <c r="O287" i="4" s="1"/>
  <c r="O288" i="4" s="1"/>
  <c r="O289" i="4" s="1"/>
  <c r="S263" i="4"/>
  <c r="S264" i="4" s="1"/>
  <c r="S265" i="4" s="1"/>
  <c r="S266" i="4" s="1"/>
  <c r="S267" i="4" s="1"/>
  <c r="S268" i="4" s="1"/>
  <c r="S269" i="4" s="1"/>
  <c r="S270" i="4" s="1"/>
  <c r="S271" i="4" s="1"/>
  <c r="S272" i="4" s="1"/>
  <c r="S273" i="4" s="1"/>
  <c r="S274" i="4" s="1"/>
  <c r="S275" i="4" s="1"/>
  <c r="S276" i="4" s="1"/>
  <c r="S277" i="4" s="1"/>
  <c r="S278" i="4" s="1"/>
  <c r="S279" i="4" s="1"/>
  <c r="S280" i="4" s="1"/>
  <c r="S281" i="4" s="1"/>
  <c r="S282" i="4" s="1"/>
  <c r="S283" i="4" s="1"/>
  <c r="S284" i="4" s="1"/>
  <c r="S285" i="4" s="1"/>
  <c r="S286" i="4" s="1"/>
  <c r="S287" i="4" s="1"/>
  <c r="S288" i="4" s="1"/>
  <c r="S289" i="4" s="1"/>
  <c r="O41" i="4"/>
  <c r="O42" i="4" s="1"/>
  <c r="O43" i="4" s="1"/>
  <c r="O44" i="4" s="1"/>
  <c r="O45" i="4" s="1"/>
  <c r="O46" i="4" s="1"/>
  <c r="S230" i="4"/>
  <c r="S231" i="4" s="1"/>
  <c r="S232" i="4" s="1"/>
  <c r="S233" i="4" s="1"/>
  <c r="S234" i="4" s="1"/>
  <c r="S235" i="4" s="1"/>
  <c r="S236" i="4" s="1"/>
  <c r="S237" i="4" s="1"/>
  <c r="S238" i="4" s="1"/>
  <c r="S239" i="4" s="1"/>
  <c r="S240" i="4" s="1"/>
  <c r="S241" i="4" s="1"/>
  <c r="S242" i="4" s="1"/>
  <c r="S243" i="4" s="1"/>
  <c r="S244" i="4" s="1"/>
  <c r="S245" i="4" s="1"/>
  <c r="S246" i="4" s="1"/>
  <c r="S247" i="4" s="1"/>
  <c r="S248" i="4" s="1"/>
  <c r="S249" i="4" s="1"/>
  <c r="S250" i="4" s="1"/>
  <c r="S251" i="4" s="1"/>
  <c r="S252" i="4" s="1"/>
  <c r="S253" i="4" s="1"/>
  <c r="S254" i="4" s="1"/>
  <c r="S255" i="4" s="1"/>
  <c r="S256" i="4" s="1"/>
  <c r="S257" i="4" s="1"/>
  <c r="S71" i="4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K166" i="4"/>
  <c r="O71" i="4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S324" i="4"/>
  <c r="K263" i="4"/>
  <c r="K264" i="4" s="1"/>
  <c r="K265" i="4" s="1"/>
  <c r="O105" i="4"/>
  <c r="K297" i="4"/>
  <c r="K298" i="4" s="1"/>
  <c r="K299" i="4" s="1"/>
  <c r="K300" i="4" s="1"/>
  <c r="K301" i="4" s="1"/>
  <c r="K302" i="4" s="1"/>
  <c r="K303" i="4" s="1"/>
  <c r="K304" i="4" s="1"/>
  <c r="K305" i="4" s="1"/>
  <c r="K306" i="4" s="1"/>
  <c r="K307" i="4" s="1"/>
  <c r="K308" i="4" s="1"/>
  <c r="K309" i="4" s="1"/>
  <c r="K310" i="4" s="1"/>
  <c r="K311" i="4" s="1"/>
  <c r="K312" i="4" s="1"/>
  <c r="K313" i="4" s="1"/>
  <c r="K314" i="4" s="1"/>
  <c r="K315" i="4" s="1"/>
  <c r="K316" i="4" s="1"/>
  <c r="K317" i="4" s="1"/>
  <c r="K318" i="4" s="1"/>
  <c r="K319" i="4" s="1"/>
  <c r="K320" i="4" s="1"/>
  <c r="L9" i="4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K8" i="4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105" i="4"/>
  <c r="S105" i="4"/>
  <c r="S297" i="4"/>
  <c r="S298" i="4" s="1"/>
  <c r="S299" i="4" s="1"/>
  <c r="S300" i="4" s="1"/>
  <c r="S301" i="4" s="1"/>
  <c r="S302" i="4" s="1"/>
  <c r="S303" i="4" s="1"/>
  <c r="S304" i="4" s="1"/>
  <c r="S305" i="4" s="1"/>
  <c r="S306" i="4" s="1"/>
  <c r="S307" i="4" s="1"/>
  <c r="S308" i="4" s="1"/>
  <c r="S309" i="4" s="1"/>
  <c r="S310" i="4" s="1"/>
  <c r="S311" i="4" s="1"/>
  <c r="S312" i="4" s="1"/>
  <c r="S313" i="4" s="1"/>
  <c r="S314" i="4" s="1"/>
  <c r="S315" i="4" s="1"/>
  <c r="S316" i="4" s="1"/>
  <c r="S317" i="4" s="1"/>
  <c r="S318" i="4" s="1"/>
  <c r="S319" i="4" s="1"/>
  <c r="S320" i="4" s="1"/>
  <c r="O196" i="4"/>
  <c r="O197" i="4" s="1"/>
  <c r="O198" i="4" s="1"/>
  <c r="O199" i="4" s="1"/>
  <c r="O200" i="4" s="1"/>
  <c r="O201" i="4" s="1"/>
  <c r="O202" i="4" s="1"/>
  <c r="O203" i="4" s="1"/>
  <c r="O204" i="4" s="1"/>
  <c r="O205" i="4" s="1"/>
  <c r="O206" i="4" s="1"/>
  <c r="O207" i="4" s="1"/>
  <c r="O208" i="4" s="1"/>
  <c r="O209" i="4" s="1"/>
  <c r="O210" i="4" s="1"/>
  <c r="O211" i="4" s="1"/>
  <c r="O212" i="4" s="1"/>
  <c r="O213" i="4" s="1"/>
  <c r="O214" i="4" s="1"/>
  <c r="O215" i="4" s="1"/>
  <c r="O216" i="4" s="1"/>
  <c r="O217" i="4" s="1"/>
  <c r="O218" i="4" s="1"/>
  <c r="O219" i="4" s="1"/>
  <c r="O220" i="4" s="1"/>
  <c r="O221" i="4" s="1"/>
  <c r="O222" i="4" s="1"/>
  <c r="O223" i="4" s="1"/>
  <c r="O224" i="4" s="1"/>
  <c r="O225" i="4" s="1"/>
  <c r="O226" i="4" s="1"/>
  <c r="P9" i="4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O9" i="4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N62" i="4"/>
  <c r="J62" i="4"/>
  <c r="H62" i="4"/>
  <c r="H63" i="4" s="1"/>
  <c r="H64" i="4" s="1"/>
  <c r="H65" i="4" s="1"/>
  <c r="H66" i="4" s="1"/>
  <c r="H67" i="4" s="1"/>
  <c r="H68" i="4" s="1"/>
  <c r="H69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R62" i="4"/>
  <c r="G62" i="4"/>
  <c r="G63" i="4" s="1"/>
  <c r="G64" i="4" s="1"/>
  <c r="G65" i="4" s="1"/>
  <c r="G66" i="4" s="1"/>
  <c r="G67" i="4" s="1"/>
  <c r="G68" i="4" s="1"/>
  <c r="G69" i="4" s="1"/>
  <c r="S196" i="4"/>
  <c r="S197" i="4" s="1"/>
  <c r="S198" i="4" s="1"/>
  <c r="S199" i="4" s="1"/>
  <c r="S200" i="4" s="1"/>
  <c r="S201" i="4" s="1"/>
  <c r="S202" i="4" s="1"/>
  <c r="S203" i="4" s="1"/>
  <c r="S204" i="4" s="1"/>
  <c r="S205" i="4" s="1"/>
  <c r="S206" i="4" s="1"/>
  <c r="S207" i="4" s="1"/>
  <c r="O297" i="4"/>
  <c r="N67" i="4"/>
  <c r="J67" i="4"/>
  <c r="R67" i="4"/>
  <c r="S166" i="4"/>
  <c r="S208" i="4"/>
  <c r="S209" i="4" s="1"/>
  <c r="S210" i="4" s="1"/>
  <c r="S211" i="4" s="1"/>
  <c r="S212" i="4" s="1"/>
  <c r="S213" i="4" s="1"/>
  <c r="S214" i="4" s="1"/>
  <c r="S215" i="4" s="1"/>
  <c r="S216" i="4" s="1"/>
  <c r="S217" i="4" s="1"/>
  <c r="S218" i="4" s="1"/>
  <c r="S219" i="4" s="1"/>
  <c r="S220" i="4" s="1"/>
  <c r="S221" i="4" s="1"/>
  <c r="S222" i="4" s="1"/>
  <c r="S223" i="4" s="1"/>
  <c r="S224" i="4" s="1"/>
  <c r="S225" i="4" s="1"/>
  <c r="S226" i="4" s="1"/>
  <c r="O47" i="4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K361" i="4"/>
  <c r="K362" i="4" s="1"/>
  <c r="K363" i="4" s="1"/>
  <c r="K364" i="4" s="1"/>
  <c r="K365" i="4" s="1"/>
  <c r="K366" i="4" s="1"/>
  <c r="K367" i="4" s="1"/>
  <c r="K368" i="4" s="1"/>
  <c r="K369" i="4" s="1"/>
  <c r="K370" i="4" s="1"/>
  <c r="K371" i="4" s="1"/>
  <c r="K372" i="4" s="1"/>
  <c r="K373" i="4" s="1"/>
  <c r="K374" i="4" s="1"/>
  <c r="K375" i="4" s="1"/>
  <c r="K376" i="4" s="1"/>
  <c r="K377" i="4" s="1"/>
  <c r="K378" i="4" s="1"/>
  <c r="K379" i="4" s="1"/>
  <c r="K380" i="4" s="1"/>
  <c r="K381" i="4" s="1"/>
  <c r="K382" i="4" s="1"/>
  <c r="K383" i="4" s="1"/>
  <c r="K384" i="4" s="1"/>
  <c r="K134" i="4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96" i="4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218" i="4" s="1"/>
  <c r="K219" i="4" s="1"/>
  <c r="K220" i="4" s="1"/>
  <c r="K221" i="4" s="1"/>
  <c r="K222" i="4" s="1"/>
  <c r="K223" i="4" s="1"/>
  <c r="K224" i="4" s="1"/>
  <c r="K225" i="4" s="1"/>
  <c r="K226" i="4" s="1"/>
  <c r="O166" i="4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O192" i="4" s="1"/>
  <c r="O193" i="4" s="1"/>
  <c r="S106" i="4"/>
  <c r="S107" i="4" s="1"/>
  <c r="S108" i="4" s="1"/>
  <c r="S109" i="4" s="1"/>
  <c r="S110" i="4" s="1"/>
  <c r="S111" i="4" s="1"/>
  <c r="S112" i="4" s="1"/>
  <c r="S113" i="4" s="1"/>
  <c r="S114" i="4" s="1"/>
  <c r="S115" i="4" s="1"/>
  <c r="S116" i="4" s="1"/>
  <c r="S117" i="4" s="1"/>
  <c r="S118" i="4" s="1"/>
  <c r="S119" i="4" s="1"/>
  <c r="S120" i="4" s="1"/>
  <c r="S121" i="4" s="1"/>
  <c r="S122" i="4" s="1"/>
  <c r="S123" i="4" s="1"/>
  <c r="S124" i="4" s="1"/>
  <c r="S125" i="4" s="1"/>
  <c r="S126" i="4" s="1"/>
  <c r="S127" i="4" s="1"/>
  <c r="S128" i="4" s="1"/>
  <c r="S129" i="4" s="1"/>
  <c r="S130" i="4" s="1"/>
  <c r="S131" i="4" s="1"/>
  <c r="S132" i="4" s="1"/>
  <c r="T9" i="4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S9" i="4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O230" i="4"/>
  <c r="O231" i="4" s="1"/>
  <c r="O232" i="4" s="1"/>
  <c r="O233" i="4" s="1"/>
  <c r="O234" i="4" s="1"/>
  <c r="O235" i="4" s="1"/>
  <c r="O236" i="4" s="1"/>
  <c r="O237" i="4" s="1"/>
  <c r="O238" i="4" s="1"/>
  <c r="O239" i="4" s="1"/>
  <c r="O240" i="4" s="1"/>
  <c r="O241" i="4" s="1"/>
  <c r="O242" i="4" s="1"/>
  <c r="O243" i="4" s="1"/>
  <c r="O244" i="4" s="1"/>
  <c r="O245" i="4" s="1"/>
  <c r="O246" i="4" s="1"/>
  <c r="O247" i="4" s="1"/>
  <c r="O248" i="4" s="1"/>
  <c r="O249" i="4" s="1"/>
  <c r="O250" i="4" s="1"/>
  <c r="O251" i="4" s="1"/>
  <c r="O252" i="4" s="1"/>
  <c r="O253" i="4" s="1"/>
  <c r="O254" i="4" s="1"/>
  <c r="O255" i="4" s="1"/>
  <c r="O256" i="4" s="1"/>
  <c r="O257" i="4" s="1"/>
  <c r="O106" i="4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298" i="4"/>
  <c r="O299" i="4" s="1"/>
  <c r="O300" i="4" s="1"/>
  <c r="O301" i="4" s="1"/>
  <c r="O302" i="4" s="1"/>
  <c r="O303" i="4" s="1"/>
  <c r="O304" i="4" s="1"/>
  <c r="O305" i="4" s="1"/>
  <c r="O306" i="4" s="1"/>
  <c r="O307" i="4" s="1"/>
  <c r="O308" i="4" s="1"/>
  <c r="O309" i="4" s="1"/>
  <c r="O310" i="4" s="1"/>
  <c r="O311" i="4" s="1"/>
  <c r="O312" i="4" s="1"/>
  <c r="O313" i="4" s="1"/>
  <c r="O314" i="4" s="1"/>
  <c r="O315" i="4" s="1"/>
  <c r="O316" i="4" s="1"/>
  <c r="O317" i="4" s="1"/>
  <c r="O318" i="4" s="1"/>
  <c r="O319" i="4" s="1"/>
  <c r="O320" i="4" s="1"/>
  <c r="O324" i="4"/>
  <c r="O325" i="4" s="1"/>
  <c r="O326" i="4" s="1"/>
  <c r="O327" i="4" s="1"/>
  <c r="O328" i="4" s="1"/>
  <c r="O329" i="4" s="1"/>
  <c r="O330" i="4" s="1"/>
  <c r="O331" i="4" s="1"/>
  <c r="O332" i="4" s="1"/>
  <c r="O333" i="4" s="1"/>
  <c r="O334" i="4" s="1"/>
  <c r="O335" i="4" s="1"/>
  <c r="O336" i="4" s="1"/>
  <c r="O337" i="4" s="1"/>
  <c r="O338" i="4" s="1"/>
  <c r="O339" i="4" s="1"/>
  <c r="O340" i="4" s="1"/>
  <c r="O341" i="4" s="1"/>
  <c r="O342" i="4" s="1"/>
  <c r="O343" i="4" s="1"/>
  <c r="O344" i="4" s="1"/>
  <c r="O345" i="4" s="1"/>
  <c r="O346" i="4" s="1"/>
  <c r="O347" i="4" s="1"/>
  <c r="O348" i="4" s="1"/>
  <c r="O349" i="4" s="1"/>
  <c r="O350" i="4" s="1"/>
  <c r="O351" i="4" s="1"/>
  <c r="O352" i="4" s="1"/>
  <c r="S361" i="4"/>
  <c r="S362" i="4" s="1"/>
  <c r="S363" i="4" s="1"/>
  <c r="S364" i="4" s="1"/>
  <c r="S365" i="4" s="1"/>
  <c r="S366" i="4" s="1"/>
  <c r="S367" i="4" s="1"/>
  <c r="S368" i="4" s="1"/>
  <c r="S369" i="4" s="1"/>
  <c r="S370" i="4" s="1"/>
  <c r="S371" i="4" s="1"/>
  <c r="S372" i="4" s="1"/>
  <c r="S373" i="4" s="1"/>
  <c r="S374" i="4" s="1"/>
  <c r="S375" i="4" s="1"/>
  <c r="S376" i="4" s="1"/>
  <c r="S377" i="4" s="1"/>
  <c r="S378" i="4" s="1"/>
  <c r="S379" i="4" s="1"/>
  <c r="S380" i="4" s="1"/>
  <c r="S381" i="4" s="1"/>
  <c r="S382" i="4" s="1"/>
  <c r="S383" i="4" s="1"/>
  <c r="S384" i="4" s="1"/>
  <c r="O134" i="4"/>
  <c r="O135" i="4" s="1"/>
  <c r="O136" i="4" s="1"/>
  <c r="O137" i="4" s="1"/>
  <c r="O138" i="4" s="1"/>
  <c r="O139" i="4" s="1"/>
  <c r="K41" i="4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167" i="4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06" i="4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324" i="4"/>
  <c r="K325" i="4" s="1"/>
  <c r="K326" i="4" s="1"/>
  <c r="K327" i="4" s="1"/>
  <c r="K328" i="4" s="1"/>
  <c r="K329" i="4" s="1"/>
  <c r="K330" i="4" s="1"/>
  <c r="K331" i="4" s="1"/>
  <c r="K332" i="4" s="1"/>
  <c r="K333" i="4" s="1"/>
  <c r="K334" i="4" s="1"/>
  <c r="K335" i="4" s="1"/>
  <c r="K336" i="4" s="1"/>
  <c r="K337" i="4" s="1"/>
  <c r="K338" i="4" s="1"/>
  <c r="K339" i="4" s="1"/>
  <c r="K340" i="4" s="1"/>
  <c r="K341" i="4" s="1"/>
  <c r="K342" i="4" s="1"/>
  <c r="K343" i="4" s="1"/>
  <c r="K344" i="4" s="1"/>
  <c r="K345" i="4" s="1"/>
  <c r="K346" i="4" s="1"/>
  <c r="K347" i="4" s="1"/>
  <c r="K348" i="4" s="1"/>
  <c r="K349" i="4" s="1"/>
  <c r="K350" i="4" s="1"/>
  <c r="K351" i="4" s="1"/>
  <c r="K352" i="4" s="1"/>
  <c r="A13" i="15"/>
  <c r="A8" i="1"/>
  <c r="A13" i="13"/>
  <c r="A7" i="3"/>
  <c r="A13" i="7"/>
  <c r="A13" i="4"/>
  <c r="A7" i="2"/>
  <c r="O361" i="4"/>
  <c r="O362" i="4" s="1"/>
  <c r="O363" i="4" s="1"/>
  <c r="O364" i="4" s="1"/>
  <c r="O365" i="4" s="1"/>
  <c r="O366" i="4" s="1"/>
  <c r="O367" i="4" s="1"/>
  <c r="O368" i="4" s="1"/>
  <c r="O369" i="4" s="1"/>
  <c r="O370" i="4" s="1"/>
  <c r="O371" i="4" s="1"/>
  <c r="O372" i="4" s="1"/>
  <c r="O373" i="4" s="1"/>
  <c r="O374" i="4" s="1"/>
  <c r="O375" i="4" s="1"/>
  <c r="O376" i="4" s="1"/>
  <c r="O377" i="4" s="1"/>
  <c r="O378" i="4" s="1"/>
  <c r="O379" i="4" s="1"/>
  <c r="O380" i="4" s="1"/>
  <c r="O381" i="4" s="1"/>
  <c r="O382" i="4" s="1"/>
  <c r="O383" i="4" s="1"/>
  <c r="O384" i="4" s="1"/>
  <c r="O140" i="4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S134" i="4"/>
  <c r="S135" i="4" s="1"/>
  <c r="S136" i="4" s="1"/>
  <c r="S137" i="4" s="1"/>
  <c r="S138" i="4" s="1"/>
  <c r="S139" i="4" s="1"/>
  <c r="S140" i="4" s="1"/>
  <c r="S141" i="4" s="1"/>
  <c r="S142" i="4" s="1"/>
  <c r="S143" i="4" s="1"/>
  <c r="S144" i="4" s="1"/>
  <c r="S145" i="4" s="1"/>
  <c r="S146" i="4" s="1"/>
  <c r="S147" i="4" s="1"/>
  <c r="S148" i="4" s="1"/>
  <c r="S149" i="4" s="1"/>
  <c r="S150" i="4" s="1"/>
  <c r="S151" i="4" s="1"/>
  <c r="S152" i="4" s="1"/>
  <c r="S153" i="4" s="1"/>
  <c r="S154" i="4" s="1"/>
  <c r="S155" i="4" s="1"/>
  <c r="S156" i="4" s="1"/>
  <c r="S157" i="4" s="1"/>
  <c r="S158" i="4" s="1"/>
  <c r="S159" i="4" s="1"/>
  <c r="S160" i="4" s="1"/>
  <c r="S161" i="4" s="1"/>
  <c r="S162" i="4" s="1"/>
  <c r="S163" i="4" s="1"/>
  <c r="S164" i="4" s="1"/>
  <c r="S325" i="4"/>
  <c r="S326" i="4" s="1"/>
  <c r="S327" i="4" s="1"/>
  <c r="S328" i="4" s="1"/>
  <c r="S329" i="4" s="1"/>
  <c r="S330" i="4" s="1"/>
  <c r="S331" i="4" s="1"/>
  <c r="S332" i="4" s="1"/>
  <c r="S333" i="4" s="1"/>
  <c r="S334" i="4" s="1"/>
  <c r="S335" i="4" s="1"/>
  <c r="S336" i="4" s="1"/>
  <c r="S337" i="4" s="1"/>
  <c r="S338" i="4" s="1"/>
  <c r="S339" i="4" s="1"/>
  <c r="S340" i="4" s="1"/>
  <c r="S341" i="4" s="1"/>
  <c r="S342" i="4" s="1"/>
  <c r="S343" i="4" s="1"/>
  <c r="S344" i="4" s="1"/>
  <c r="S345" i="4" s="1"/>
  <c r="S346" i="4" s="1"/>
  <c r="S347" i="4" s="1"/>
  <c r="S348" i="4" s="1"/>
  <c r="S349" i="4" s="1"/>
  <c r="S350" i="4" s="1"/>
  <c r="S351" i="4" s="1"/>
  <c r="S352" i="4" s="1"/>
  <c r="S41" i="4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167" i="4"/>
  <c r="S168" i="4" s="1"/>
  <c r="S169" i="4" s="1"/>
  <c r="S170" i="4" s="1"/>
  <c r="S171" i="4" s="1"/>
  <c r="S172" i="4" s="1"/>
  <c r="S173" i="4" s="1"/>
  <c r="S174" i="4" s="1"/>
  <c r="S175" i="4" s="1"/>
  <c r="S176" i="4" s="1"/>
  <c r="S177" i="4" s="1"/>
  <c r="S178" i="4" s="1"/>
  <c r="S179" i="4" s="1"/>
  <c r="S180" i="4" s="1"/>
  <c r="S181" i="4" s="1"/>
  <c r="S182" i="4" s="1"/>
  <c r="S183" i="4" s="1"/>
  <c r="S184" i="4" s="1"/>
  <c r="S185" i="4" s="1"/>
  <c r="S186" i="4" s="1"/>
  <c r="S187" i="4" s="1"/>
  <c r="S188" i="4" s="1"/>
  <c r="S189" i="4" s="1"/>
  <c r="S190" i="4" s="1"/>
  <c r="S191" i="4" s="1"/>
  <c r="S192" i="4" s="1"/>
  <c r="S193" i="4" s="1"/>
  <c r="K230" i="4"/>
  <c r="K231" i="4" s="1"/>
  <c r="K232" i="4" s="1"/>
  <c r="K233" i="4" s="1"/>
  <c r="K234" i="4" s="1"/>
  <c r="K235" i="4" s="1"/>
  <c r="K236" i="4" s="1"/>
  <c r="K237" i="4" s="1"/>
  <c r="K238" i="4" s="1"/>
  <c r="K239" i="4" s="1"/>
  <c r="K240" i="4" s="1"/>
  <c r="K241" i="4" s="1"/>
  <c r="K242" i="4" s="1"/>
  <c r="K243" i="4" s="1"/>
  <c r="K244" i="4" s="1"/>
  <c r="K245" i="4" s="1"/>
  <c r="K246" i="4" s="1"/>
  <c r="K247" i="4" s="1"/>
  <c r="K248" i="4" s="1"/>
  <c r="K249" i="4" s="1"/>
  <c r="K250" i="4" s="1"/>
  <c r="K251" i="4" s="1"/>
  <c r="K252" i="4" s="1"/>
  <c r="K253" i="4" s="1"/>
  <c r="K254" i="4" s="1"/>
  <c r="K255" i="4" s="1"/>
  <c r="K256" i="4" s="1"/>
  <c r="K257" i="4" s="1"/>
  <c r="K71" i="4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266" i="4"/>
  <c r="K267" i="4" s="1"/>
  <c r="K268" i="4" s="1"/>
  <c r="K269" i="4" s="1"/>
  <c r="K270" i="4" s="1"/>
  <c r="K271" i="4" s="1"/>
  <c r="K272" i="4" s="1"/>
  <c r="K273" i="4" s="1"/>
  <c r="K274" i="4" s="1"/>
  <c r="K275" i="4" s="1"/>
  <c r="K276" i="4" s="1"/>
  <c r="K277" i="4" s="1"/>
  <c r="K278" i="4" s="1"/>
  <c r="K279" i="4" s="1"/>
  <c r="K280" i="4" s="1"/>
  <c r="K281" i="4" s="1"/>
  <c r="K282" i="4" s="1"/>
  <c r="K283" i="4" s="1"/>
  <c r="K284" i="4" s="1"/>
  <c r="K285" i="4" s="1"/>
  <c r="K286" i="4" s="1"/>
  <c r="K287" i="4" s="1"/>
  <c r="K288" i="4" s="1"/>
  <c r="K289" i="4" s="1"/>
  <c r="S20" i="4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L62" i="4" l="1"/>
  <c r="L63" i="4" s="1"/>
  <c r="L64" i="4" s="1"/>
  <c r="L65" i="4" s="1"/>
  <c r="L66" i="4" s="1"/>
  <c r="L67" i="4" s="1"/>
  <c r="L68" i="4" s="1"/>
  <c r="L69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K62" i="4"/>
  <c r="K63" i="4" s="1"/>
  <c r="K64" i="4" s="1"/>
  <c r="K65" i="4" s="1"/>
  <c r="K66" i="4" s="1"/>
  <c r="K67" i="4" s="1"/>
  <c r="K68" i="4" s="1"/>
  <c r="K69" i="4" s="1"/>
  <c r="O62" i="4"/>
  <c r="O63" i="4" s="1"/>
  <c r="O64" i="4" s="1"/>
  <c r="O65" i="4" s="1"/>
  <c r="O66" i="4" s="1"/>
  <c r="O67" i="4" s="1"/>
  <c r="O68" i="4" s="1"/>
  <c r="O69" i="4" s="1"/>
  <c r="P62" i="4"/>
  <c r="P63" i="4" s="1"/>
  <c r="P64" i="4" s="1"/>
  <c r="P65" i="4" s="1"/>
  <c r="P66" i="4" s="1"/>
  <c r="P67" i="4" s="1"/>
  <c r="P68" i="4" s="1"/>
  <c r="P69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P218" i="4" s="1"/>
  <c r="P219" i="4" s="1"/>
  <c r="P220" i="4" s="1"/>
  <c r="P221" i="4" s="1"/>
  <c r="P222" i="4" s="1"/>
  <c r="P223" i="4" s="1"/>
  <c r="P224" i="4" s="1"/>
  <c r="P225" i="4" s="1"/>
  <c r="P226" i="4" s="1"/>
  <c r="P228" i="4" s="1"/>
  <c r="P229" i="4" s="1"/>
  <c r="P230" i="4" s="1"/>
  <c r="P231" i="4" s="1"/>
  <c r="P232" i="4" s="1"/>
  <c r="P233" i="4" s="1"/>
  <c r="P234" i="4" s="1"/>
  <c r="P235" i="4" s="1"/>
  <c r="P236" i="4" s="1"/>
  <c r="P237" i="4" s="1"/>
  <c r="P238" i="4" s="1"/>
  <c r="P239" i="4" s="1"/>
  <c r="P240" i="4" s="1"/>
  <c r="P241" i="4" s="1"/>
  <c r="P242" i="4" s="1"/>
  <c r="P243" i="4" s="1"/>
  <c r="P244" i="4" s="1"/>
  <c r="P245" i="4" s="1"/>
  <c r="P246" i="4" s="1"/>
  <c r="P247" i="4" s="1"/>
  <c r="P248" i="4" s="1"/>
  <c r="P249" i="4" s="1"/>
  <c r="P250" i="4" s="1"/>
  <c r="P251" i="4" s="1"/>
  <c r="P252" i="4" s="1"/>
  <c r="P253" i="4" s="1"/>
  <c r="P254" i="4" s="1"/>
  <c r="P255" i="4" s="1"/>
  <c r="P256" i="4" s="1"/>
  <c r="P257" i="4" s="1"/>
  <c r="P259" i="4" s="1"/>
  <c r="P260" i="4" s="1"/>
  <c r="P261" i="4" s="1"/>
  <c r="P262" i="4" s="1"/>
  <c r="P263" i="4" s="1"/>
  <c r="P264" i="4" s="1"/>
  <c r="P265" i="4" s="1"/>
  <c r="P266" i="4" s="1"/>
  <c r="P267" i="4" s="1"/>
  <c r="P268" i="4" s="1"/>
  <c r="P269" i="4" s="1"/>
  <c r="P270" i="4" s="1"/>
  <c r="P271" i="4" s="1"/>
  <c r="P272" i="4" s="1"/>
  <c r="P273" i="4" s="1"/>
  <c r="P274" i="4" s="1"/>
  <c r="P275" i="4" s="1"/>
  <c r="P276" i="4" s="1"/>
  <c r="P277" i="4" s="1"/>
  <c r="P278" i="4" s="1"/>
  <c r="P279" i="4" s="1"/>
  <c r="P280" i="4" s="1"/>
  <c r="P281" i="4" s="1"/>
  <c r="P282" i="4" s="1"/>
  <c r="P283" i="4" s="1"/>
  <c r="P284" i="4" s="1"/>
  <c r="P285" i="4" s="1"/>
  <c r="P286" i="4" s="1"/>
  <c r="P287" i="4" s="1"/>
  <c r="P288" i="4" s="1"/>
  <c r="P289" i="4" s="1"/>
  <c r="P291" i="4" s="1"/>
  <c r="P292" i="4" s="1"/>
  <c r="P293" i="4" s="1"/>
  <c r="P294" i="4" s="1"/>
  <c r="P295" i="4" s="1"/>
  <c r="P296" i="4" s="1"/>
  <c r="P297" i="4" s="1"/>
  <c r="P298" i="4" s="1"/>
  <c r="P299" i="4" s="1"/>
  <c r="P300" i="4" s="1"/>
  <c r="P301" i="4" s="1"/>
  <c r="P302" i="4" s="1"/>
  <c r="P303" i="4" s="1"/>
  <c r="P304" i="4" s="1"/>
  <c r="P305" i="4" s="1"/>
  <c r="P306" i="4" s="1"/>
  <c r="P307" i="4" s="1"/>
  <c r="P308" i="4" s="1"/>
  <c r="P309" i="4" s="1"/>
  <c r="P310" i="4" s="1"/>
  <c r="P311" i="4" s="1"/>
  <c r="P312" i="4" s="1"/>
  <c r="P313" i="4" s="1"/>
  <c r="P314" i="4" s="1"/>
  <c r="P315" i="4" s="1"/>
  <c r="P316" i="4" s="1"/>
  <c r="P317" i="4" s="1"/>
  <c r="P318" i="4" s="1"/>
  <c r="P319" i="4" s="1"/>
  <c r="P320" i="4" s="1"/>
  <c r="P322" i="4" s="1"/>
  <c r="P323" i="4" s="1"/>
  <c r="P324" i="4" s="1"/>
  <c r="P325" i="4" s="1"/>
  <c r="P326" i="4" s="1"/>
  <c r="P327" i="4" s="1"/>
  <c r="P328" i="4" s="1"/>
  <c r="P329" i="4" s="1"/>
  <c r="P330" i="4" s="1"/>
  <c r="P331" i="4" s="1"/>
  <c r="P332" i="4" s="1"/>
  <c r="P333" i="4" s="1"/>
  <c r="P334" i="4" s="1"/>
  <c r="P335" i="4" s="1"/>
  <c r="P336" i="4" s="1"/>
  <c r="P337" i="4" s="1"/>
  <c r="P338" i="4" s="1"/>
  <c r="P339" i="4" s="1"/>
  <c r="P340" i="4" s="1"/>
  <c r="P341" i="4" s="1"/>
  <c r="P342" i="4" s="1"/>
  <c r="P343" i="4" s="1"/>
  <c r="P344" i="4" s="1"/>
  <c r="P345" i="4" s="1"/>
  <c r="P346" i="4" s="1"/>
  <c r="P347" i="4" s="1"/>
  <c r="P348" i="4" s="1"/>
  <c r="P349" i="4" s="1"/>
  <c r="P350" i="4" s="1"/>
  <c r="P351" i="4" s="1"/>
  <c r="P352" i="4" s="1"/>
  <c r="P354" i="4" s="1"/>
  <c r="P355" i="4" s="1"/>
  <c r="P356" i="4" s="1"/>
  <c r="P357" i="4" s="1"/>
  <c r="P358" i="4" s="1"/>
  <c r="P359" i="4" s="1"/>
  <c r="P360" i="4" s="1"/>
  <c r="P361" i="4" s="1"/>
  <c r="P362" i="4" s="1"/>
  <c r="P363" i="4" s="1"/>
  <c r="P364" i="4" s="1"/>
  <c r="P365" i="4" s="1"/>
  <c r="P366" i="4" s="1"/>
  <c r="P367" i="4" s="1"/>
  <c r="P368" i="4" s="1"/>
  <c r="P369" i="4" s="1"/>
  <c r="P370" i="4" s="1"/>
  <c r="P371" i="4" s="1"/>
  <c r="P372" i="4" s="1"/>
  <c r="P373" i="4" s="1"/>
  <c r="P374" i="4" s="1"/>
  <c r="P375" i="4" s="1"/>
  <c r="P376" i="4" s="1"/>
  <c r="P377" i="4" s="1"/>
  <c r="P378" i="4" s="1"/>
  <c r="P379" i="4" s="1"/>
  <c r="P380" i="4" s="1"/>
  <c r="P381" i="4" s="1"/>
  <c r="P382" i="4" s="1"/>
  <c r="P383" i="4" s="1"/>
  <c r="P384" i="4" s="1"/>
  <c r="A14" i="15"/>
  <c r="A9" i="1"/>
  <c r="A14" i="13"/>
  <c r="A14" i="4"/>
  <c r="A14" i="7"/>
  <c r="A8" i="2"/>
  <c r="A8" i="3"/>
  <c r="T67" i="4"/>
  <c r="T68" i="4" s="1"/>
  <c r="T69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T218" i="4" s="1"/>
  <c r="T219" i="4" s="1"/>
  <c r="T220" i="4" s="1"/>
  <c r="T221" i="4" s="1"/>
  <c r="T222" i="4" s="1"/>
  <c r="T223" i="4" s="1"/>
  <c r="T224" i="4" s="1"/>
  <c r="T225" i="4" s="1"/>
  <c r="T226" i="4" s="1"/>
  <c r="T228" i="4" s="1"/>
  <c r="T229" i="4" s="1"/>
  <c r="T230" i="4" s="1"/>
  <c r="T231" i="4" s="1"/>
  <c r="T232" i="4" s="1"/>
  <c r="T233" i="4" s="1"/>
  <c r="T234" i="4" s="1"/>
  <c r="T235" i="4" s="1"/>
  <c r="T236" i="4" s="1"/>
  <c r="T237" i="4" s="1"/>
  <c r="T238" i="4" s="1"/>
  <c r="T239" i="4" s="1"/>
  <c r="T240" i="4" s="1"/>
  <c r="T241" i="4" s="1"/>
  <c r="T242" i="4" s="1"/>
  <c r="T243" i="4" s="1"/>
  <c r="T244" i="4" s="1"/>
  <c r="T245" i="4" s="1"/>
  <c r="T246" i="4" s="1"/>
  <c r="T247" i="4" s="1"/>
  <c r="T248" i="4" s="1"/>
  <c r="T249" i="4" s="1"/>
  <c r="T250" i="4" s="1"/>
  <c r="T251" i="4" s="1"/>
  <c r="T252" i="4" s="1"/>
  <c r="T253" i="4" s="1"/>
  <c r="T254" i="4" s="1"/>
  <c r="T255" i="4" s="1"/>
  <c r="T256" i="4" s="1"/>
  <c r="T257" i="4" s="1"/>
  <c r="T259" i="4" s="1"/>
  <c r="T260" i="4" s="1"/>
  <c r="T261" i="4" s="1"/>
  <c r="T262" i="4" s="1"/>
  <c r="T263" i="4" s="1"/>
  <c r="T264" i="4" s="1"/>
  <c r="T265" i="4" s="1"/>
  <c r="T266" i="4" s="1"/>
  <c r="T267" i="4" s="1"/>
  <c r="T268" i="4" s="1"/>
  <c r="T269" i="4" s="1"/>
  <c r="T270" i="4" s="1"/>
  <c r="T271" i="4" s="1"/>
  <c r="T272" i="4" s="1"/>
  <c r="T273" i="4" s="1"/>
  <c r="T274" i="4" s="1"/>
  <c r="T275" i="4" s="1"/>
  <c r="T276" i="4" s="1"/>
  <c r="T277" i="4" s="1"/>
  <c r="T278" i="4" s="1"/>
  <c r="T279" i="4" s="1"/>
  <c r="T280" i="4" s="1"/>
  <c r="T281" i="4" s="1"/>
  <c r="T282" i="4" s="1"/>
  <c r="T283" i="4" s="1"/>
  <c r="T284" i="4" s="1"/>
  <c r="T285" i="4" s="1"/>
  <c r="T286" i="4" s="1"/>
  <c r="T287" i="4" s="1"/>
  <c r="T288" i="4" s="1"/>
  <c r="T289" i="4" s="1"/>
  <c r="T291" i="4" s="1"/>
  <c r="T292" i="4" s="1"/>
  <c r="T293" i="4" s="1"/>
  <c r="T294" i="4" s="1"/>
  <c r="T295" i="4" s="1"/>
  <c r="T296" i="4" s="1"/>
  <c r="T297" i="4" s="1"/>
  <c r="T298" i="4" s="1"/>
  <c r="T299" i="4" s="1"/>
  <c r="T300" i="4" s="1"/>
  <c r="T301" i="4" s="1"/>
  <c r="T302" i="4" s="1"/>
  <c r="T303" i="4" s="1"/>
  <c r="T304" i="4" s="1"/>
  <c r="T305" i="4" s="1"/>
  <c r="T306" i="4" s="1"/>
  <c r="T307" i="4" s="1"/>
  <c r="T308" i="4" s="1"/>
  <c r="T309" i="4" s="1"/>
  <c r="T310" i="4" s="1"/>
  <c r="T311" i="4" s="1"/>
  <c r="T312" i="4" s="1"/>
  <c r="T313" i="4" s="1"/>
  <c r="T314" i="4" s="1"/>
  <c r="T315" i="4" s="1"/>
  <c r="T316" i="4" s="1"/>
  <c r="T317" i="4" s="1"/>
  <c r="T318" i="4" s="1"/>
  <c r="T319" i="4" s="1"/>
  <c r="T320" i="4" s="1"/>
  <c r="T322" i="4" s="1"/>
  <c r="T323" i="4" s="1"/>
  <c r="T324" i="4" s="1"/>
  <c r="T325" i="4" s="1"/>
  <c r="T326" i="4" s="1"/>
  <c r="T327" i="4" s="1"/>
  <c r="T328" i="4" s="1"/>
  <c r="T329" i="4" s="1"/>
  <c r="T330" i="4" s="1"/>
  <c r="T331" i="4" s="1"/>
  <c r="T332" i="4" s="1"/>
  <c r="T333" i="4" s="1"/>
  <c r="T334" i="4" s="1"/>
  <c r="T335" i="4" s="1"/>
  <c r="T336" i="4" s="1"/>
  <c r="T337" i="4" s="1"/>
  <c r="T338" i="4" s="1"/>
  <c r="T339" i="4" s="1"/>
  <c r="T340" i="4" s="1"/>
  <c r="T341" i="4" s="1"/>
  <c r="T342" i="4" s="1"/>
  <c r="T343" i="4" s="1"/>
  <c r="T344" i="4" s="1"/>
  <c r="T345" i="4" s="1"/>
  <c r="T346" i="4" s="1"/>
  <c r="T347" i="4" s="1"/>
  <c r="T348" i="4" s="1"/>
  <c r="T349" i="4" s="1"/>
  <c r="T350" i="4" s="1"/>
  <c r="T351" i="4" s="1"/>
  <c r="T352" i="4" s="1"/>
  <c r="T354" i="4" s="1"/>
  <c r="T355" i="4" s="1"/>
  <c r="T356" i="4" s="1"/>
  <c r="T357" i="4" s="1"/>
  <c r="T358" i="4" s="1"/>
  <c r="T359" i="4" s="1"/>
  <c r="T360" i="4" s="1"/>
  <c r="T361" i="4" s="1"/>
  <c r="T362" i="4" s="1"/>
  <c r="T363" i="4" s="1"/>
  <c r="T364" i="4" s="1"/>
  <c r="T365" i="4" s="1"/>
  <c r="T366" i="4" s="1"/>
  <c r="T367" i="4" s="1"/>
  <c r="T368" i="4" s="1"/>
  <c r="T369" i="4" s="1"/>
  <c r="T370" i="4" s="1"/>
  <c r="T371" i="4" s="1"/>
  <c r="T372" i="4" s="1"/>
  <c r="T373" i="4" s="1"/>
  <c r="T374" i="4" s="1"/>
  <c r="T375" i="4" s="1"/>
  <c r="T376" i="4" s="1"/>
  <c r="T377" i="4" s="1"/>
  <c r="T378" i="4" s="1"/>
  <c r="T379" i="4" s="1"/>
  <c r="T380" i="4" s="1"/>
  <c r="T381" i="4" s="1"/>
  <c r="T382" i="4" s="1"/>
  <c r="T383" i="4" s="1"/>
  <c r="T384" i="4" s="1"/>
  <c r="T62" i="4"/>
  <c r="T63" i="4" s="1"/>
  <c r="T64" i="4" s="1"/>
  <c r="T65" i="4" s="1"/>
  <c r="T66" i="4" s="1"/>
  <c r="S62" i="4"/>
  <c r="S63" i="4" s="1"/>
  <c r="S64" i="4" s="1"/>
  <c r="S65" i="4" s="1"/>
  <c r="S66" i="4" s="1"/>
  <c r="S67" i="4" s="1"/>
  <c r="S68" i="4" s="1"/>
  <c r="S69" i="4" s="1"/>
  <c r="A15" i="15" l="1"/>
  <c r="A10" i="1"/>
  <c r="A15" i="13"/>
  <c r="A9" i="3"/>
  <c r="A15" i="4"/>
  <c r="A15" i="7"/>
  <c r="A9" i="2"/>
  <c r="A16" i="13" l="1"/>
  <c r="A10" i="3"/>
  <c r="A16" i="15"/>
  <c r="A11" i="1"/>
  <c r="A16" i="4"/>
  <c r="A16" i="7"/>
  <c r="A10" i="2"/>
  <c r="A17" i="13" l="1"/>
  <c r="A11" i="3"/>
  <c r="A12" i="1"/>
  <c r="A17" i="7"/>
  <c r="A11" i="2"/>
  <c r="A17" i="15"/>
  <c r="A17" i="4"/>
  <c r="A18" i="13" l="1"/>
  <c r="A12" i="3"/>
  <c r="A13" i="1"/>
  <c r="A18" i="7"/>
  <c r="A12" i="2"/>
  <c r="A18" i="4"/>
  <c r="A18" i="15"/>
  <c r="A19" i="15" l="1"/>
  <c r="A14" i="1"/>
  <c r="A19" i="13"/>
  <c r="A13" i="3"/>
  <c r="A19" i="7"/>
  <c r="A13" i="2"/>
  <c r="A19" i="4"/>
  <c r="A20" i="15" l="1"/>
  <c r="A15" i="1"/>
  <c r="A20" i="13"/>
  <c r="A14" i="3"/>
  <c r="A20" i="7"/>
  <c r="A14" i="2"/>
  <c r="A20" i="4"/>
  <c r="A21" i="15" l="1"/>
  <c r="A16" i="1"/>
  <c r="A21" i="13"/>
  <c r="A15" i="3"/>
  <c r="A21" i="7"/>
  <c r="A15" i="2"/>
  <c r="A21" i="4"/>
  <c r="A22" i="15" l="1"/>
  <c r="A22" i="13"/>
  <c r="A16" i="3"/>
  <c r="A17" i="1"/>
  <c r="A22" i="4"/>
  <c r="A22" i="7"/>
  <c r="A16" i="2"/>
  <c r="A23" i="13" l="1"/>
  <c r="A17" i="3"/>
  <c r="A18" i="1"/>
  <c r="A23" i="4"/>
  <c r="A23" i="7"/>
  <c r="A17" i="2"/>
  <c r="A23" i="15"/>
  <c r="A19" i="1" l="1"/>
  <c r="A24" i="15"/>
  <c r="A24" i="13"/>
  <c r="A24" i="7"/>
  <c r="A18" i="2"/>
  <c r="A18" i="3"/>
  <c r="A24" i="4"/>
  <c r="A25" i="15" l="1"/>
  <c r="A20" i="1"/>
  <c r="A25" i="13"/>
  <c r="A19" i="3"/>
  <c r="A25" i="7"/>
  <c r="A19" i="2"/>
  <c r="A25" i="4"/>
  <c r="A26" i="15" l="1"/>
  <c r="A21" i="1"/>
  <c r="A26" i="4"/>
  <c r="A26" i="13"/>
  <c r="A26" i="7"/>
  <c r="A20" i="2"/>
  <c r="A20" i="3"/>
  <c r="A27" i="15" l="1"/>
  <c r="A22" i="1"/>
  <c r="A27" i="13"/>
  <c r="A21" i="3"/>
  <c r="A27" i="4"/>
  <c r="A27" i="7"/>
  <c r="A21" i="2"/>
  <c r="A28" i="13" l="1"/>
  <c r="A22" i="3"/>
  <c r="A28" i="15"/>
  <c r="A23" i="1"/>
  <c r="A28" i="7"/>
  <c r="A28" i="4"/>
  <c r="A22" i="2"/>
  <c r="A29" i="13" l="1"/>
  <c r="A23" i="3"/>
  <c r="A24" i="1"/>
  <c r="A29" i="7"/>
  <c r="A23" i="2"/>
  <c r="A29" i="15"/>
  <c r="A29" i="4"/>
  <c r="A30" i="13" l="1"/>
  <c r="A24" i="3"/>
  <c r="A25" i="1"/>
  <c r="A30" i="7"/>
  <c r="A24" i="2"/>
  <c r="A30" i="15"/>
  <c r="A30" i="4"/>
  <c r="A31" i="15" l="1"/>
  <c r="A26" i="1"/>
  <c r="A31" i="13"/>
  <c r="A25" i="3"/>
  <c r="A31" i="7"/>
  <c r="A25" i="2"/>
  <c r="A31" i="4"/>
  <c r="A32" i="15" l="1"/>
  <c r="A27" i="1"/>
  <c r="A32" i="13"/>
  <c r="A26" i="3"/>
  <c r="A32" i="7"/>
  <c r="A26" i="2"/>
  <c r="A32" i="4"/>
  <c r="A33" i="15" l="1"/>
  <c r="A28" i="1"/>
  <c r="A33" i="13"/>
  <c r="A27" i="3"/>
  <c r="A33" i="7"/>
  <c r="A27" i="2"/>
  <c r="A33" i="4"/>
  <c r="A34" i="15" l="1"/>
  <c r="A34" i="13"/>
  <c r="A28" i="3"/>
  <c r="A29" i="1"/>
  <c r="A34" i="4"/>
  <c r="A34" i="7"/>
  <c r="A28" i="2"/>
  <c r="A35" i="13" l="1"/>
  <c r="A29" i="3"/>
  <c r="A30" i="1"/>
  <c r="A35" i="4"/>
  <c r="A35" i="15"/>
  <c r="A35" i="7"/>
  <c r="A29" i="2"/>
  <c r="A31" i="1" l="1"/>
  <c r="A36" i="15"/>
  <c r="A36" i="13"/>
  <c r="A36" i="7"/>
  <c r="A30" i="2"/>
  <c r="A30" i="3"/>
  <c r="A36" i="4"/>
  <c r="A37" i="15" l="1"/>
  <c r="A32" i="1"/>
  <c r="A37" i="13"/>
  <c r="A31" i="3"/>
  <c r="A37" i="4"/>
  <c r="A31" i="2"/>
  <c r="A37" i="7"/>
  <c r="A39" i="15" l="1"/>
  <c r="A33" i="1"/>
  <c r="A32" i="3"/>
  <c r="A39" i="4"/>
  <c r="A39" i="7"/>
  <c r="A39" i="13"/>
  <c r="A32" i="2"/>
  <c r="A40" i="15" l="1"/>
  <c r="A34" i="1"/>
  <c r="A40" i="13"/>
  <c r="A33" i="3"/>
  <c r="A40" i="4"/>
  <c r="A33" i="2"/>
  <c r="A40" i="7"/>
  <c r="A41" i="13" l="1"/>
  <c r="A34" i="3"/>
  <c r="A41" i="15"/>
  <c r="A35" i="1"/>
  <c r="A34" i="2"/>
  <c r="A41" i="4"/>
  <c r="A41" i="7"/>
  <c r="A42" i="13" l="1"/>
  <c r="A35" i="3"/>
  <c r="A36" i="1"/>
  <c r="A42" i="7"/>
  <c r="A35" i="2"/>
  <c r="A42" i="15"/>
  <c r="A42" i="4"/>
  <c r="A43" i="13" l="1"/>
  <c r="A36" i="3"/>
  <c r="A37" i="1"/>
  <c r="A43" i="7"/>
  <c r="A36" i="2"/>
  <c r="A43" i="15"/>
  <c r="A43" i="4"/>
  <c r="A44" i="15" l="1"/>
  <c r="A38" i="1"/>
  <c r="A44" i="13"/>
  <c r="A37" i="3"/>
  <c r="A44" i="7"/>
  <c r="A37" i="2"/>
  <c r="A44" i="4"/>
  <c r="A45" i="15" l="1"/>
  <c r="A39" i="1"/>
  <c r="A45" i="13"/>
  <c r="A38" i="3"/>
  <c r="A45" i="7"/>
  <c r="A38" i="2"/>
  <c r="A45" i="4"/>
  <c r="A46" i="15" l="1"/>
  <c r="A40" i="1"/>
  <c r="A46" i="13"/>
  <c r="A39" i="3"/>
  <c r="A46" i="7"/>
  <c r="A39" i="2"/>
  <c r="A46" i="4"/>
  <c r="A47" i="15" l="1"/>
  <c r="A47" i="13"/>
  <c r="A40" i="3"/>
  <c r="A41" i="1"/>
  <c r="A47" i="4"/>
  <c r="A47" i="7"/>
  <c r="A40" i="2"/>
  <c r="A48" i="13" l="1"/>
  <c r="A41" i="3"/>
  <c r="A42" i="1"/>
  <c r="A48" i="4"/>
  <c r="A48" i="7"/>
  <c r="A41" i="2"/>
  <c r="A48" i="15"/>
  <c r="A43" i="1" l="1"/>
  <c r="A42" i="3"/>
  <c r="A49" i="7"/>
  <c r="A42" i="2"/>
  <c r="A49" i="13"/>
  <c r="A49" i="4"/>
  <c r="A49" i="15"/>
  <c r="A50" i="15" l="1"/>
  <c r="A44" i="1"/>
  <c r="A50" i="13"/>
  <c r="A43" i="3"/>
  <c r="A43" i="2"/>
  <c r="A50" i="4"/>
  <c r="A50" i="7"/>
  <c r="A51" i="15" l="1"/>
  <c r="A45" i="1"/>
  <c r="A44" i="3"/>
  <c r="A51" i="4"/>
  <c r="A51" i="7"/>
  <c r="A44" i="2"/>
  <c r="A51" i="13"/>
  <c r="A52" i="15" l="1"/>
  <c r="A46" i="1"/>
  <c r="A52" i="13"/>
  <c r="A45" i="3"/>
  <c r="A52" i="4"/>
  <c r="A45" i="2"/>
  <c r="A52" i="7"/>
  <c r="A53" i="13" l="1"/>
  <c r="A46" i="3"/>
  <c r="A53" i="15"/>
  <c r="A47" i="1"/>
  <c r="A53" i="7"/>
  <c r="A53" i="4"/>
  <c r="A46" i="2"/>
  <c r="A54" i="13" l="1"/>
  <c r="A47" i="3"/>
  <c r="A48" i="1"/>
  <c r="A54" i="7"/>
  <c r="A47" i="2"/>
  <c r="A54" i="15"/>
  <c r="A54" i="4"/>
  <c r="A55" i="13" l="1"/>
  <c r="A48" i="3"/>
  <c r="A49" i="1"/>
  <c r="A55" i="7"/>
  <c r="A48" i="2"/>
  <c r="A55" i="4"/>
  <c r="A55" i="15"/>
  <c r="A56" i="15" l="1"/>
  <c r="A50" i="1"/>
  <c r="A56" i="13"/>
  <c r="A49" i="3"/>
  <c r="A56" i="7"/>
  <c r="A49" i="2"/>
  <c r="A56" i="4"/>
  <c r="A57" i="15" l="1"/>
  <c r="A51" i="1"/>
  <c r="A57" i="13"/>
  <c r="A50" i="3"/>
  <c r="A57" i="7"/>
  <c r="A50" i="2"/>
  <c r="A57" i="4"/>
  <c r="A58" i="15" l="1"/>
  <c r="A52" i="1"/>
  <c r="A58" i="13"/>
  <c r="A51" i="3"/>
  <c r="A58" i="7"/>
  <c r="A51" i="2"/>
  <c r="A58" i="4"/>
  <c r="A59" i="15" l="1"/>
  <c r="A59" i="13"/>
  <c r="A52" i="3"/>
  <c r="A53" i="1"/>
  <c r="A59" i="4"/>
  <c r="A59" i="7"/>
  <c r="A52" i="2"/>
  <c r="A60" i="13" l="1"/>
  <c r="A53" i="3"/>
  <c r="A54" i="1"/>
  <c r="A60" i="4"/>
  <c r="A60" i="7"/>
  <c r="A53" i="2"/>
  <c r="A60" i="15"/>
  <c r="A55" i="1" l="1"/>
  <c r="A61" i="15"/>
  <c r="A54" i="3"/>
  <c r="A61" i="7"/>
  <c r="A54" i="2"/>
  <c r="A61" i="13"/>
  <c r="A61" i="4"/>
  <c r="A62" i="15" l="1"/>
  <c r="A56" i="1"/>
  <c r="A62" i="13"/>
  <c r="A55" i="3"/>
  <c r="A62" i="7"/>
  <c r="A55" i="2"/>
  <c r="A62" i="4"/>
  <c r="A63" i="15" l="1"/>
  <c r="A57" i="1"/>
  <c r="A63" i="13"/>
  <c r="A56" i="3"/>
  <c r="A63" i="4"/>
  <c r="A63" i="7"/>
  <c r="A56" i="2"/>
  <c r="A64" i="15" l="1"/>
  <c r="A58" i="1"/>
  <c r="A64" i="13"/>
  <c r="A57" i="3"/>
  <c r="A64" i="4"/>
  <c r="A64" i="7"/>
  <c r="A57" i="2"/>
  <c r="A65" i="13" l="1"/>
  <c r="A58" i="3"/>
  <c r="A65" i="15"/>
  <c r="A59" i="1"/>
  <c r="A65" i="7"/>
  <c r="A58" i="2"/>
  <c r="A65" i="4"/>
  <c r="A66" i="13" l="1"/>
  <c r="A59" i="3"/>
  <c r="A60" i="1"/>
  <c r="A66" i="7"/>
  <c r="A59" i="2"/>
  <c r="A66" i="15"/>
  <c r="A66" i="4"/>
  <c r="A67" i="13" l="1"/>
  <c r="A60" i="3"/>
  <c r="A61" i="1"/>
  <c r="A67" i="7"/>
  <c r="A60" i="2"/>
  <c r="A67" i="15"/>
  <c r="A67" i="4"/>
  <c r="A68" i="15" l="1"/>
  <c r="A62" i="1"/>
  <c r="A68" i="13"/>
  <c r="A61" i="3"/>
  <c r="A68" i="7"/>
  <c r="A61" i="2"/>
  <c r="A68" i="4"/>
  <c r="A69" i="15" l="1"/>
  <c r="A63" i="1"/>
  <c r="A69" i="13"/>
  <c r="A62" i="3"/>
  <c r="A69" i="7"/>
  <c r="A62" i="2"/>
  <c r="A69" i="4"/>
  <c r="A71" i="15" l="1"/>
  <c r="A64" i="1"/>
  <c r="A71" i="13"/>
  <c r="A63" i="3"/>
  <c r="A71" i="7"/>
  <c r="A63" i="2"/>
  <c r="A71" i="4"/>
  <c r="A72" i="15" l="1"/>
  <c r="A72" i="13"/>
  <c r="A64" i="3"/>
  <c r="A65" i="1"/>
  <c r="A72" i="4"/>
  <c r="A72" i="7"/>
  <c r="A64" i="2"/>
  <c r="A73" i="13" l="1"/>
  <c r="A65" i="3"/>
  <c r="A66" i="1"/>
  <c r="A73" i="4"/>
  <c r="A73" i="15"/>
  <c r="A73" i="7"/>
  <c r="A65" i="2"/>
  <c r="A67" i="1" l="1"/>
  <c r="A74" i="13"/>
  <c r="A74" i="15"/>
  <c r="A66" i="3"/>
  <c r="A74" i="7"/>
  <c r="A66" i="2"/>
  <c r="A74" i="4"/>
  <c r="A75" i="15" l="1"/>
  <c r="A68" i="1"/>
  <c r="A75" i="13"/>
  <c r="A67" i="3"/>
  <c r="A75" i="7"/>
  <c r="A75" i="4"/>
  <c r="A67" i="2"/>
  <c r="A76" i="15" l="1"/>
  <c r="A69" i="1"/>
  <c r="A76" i="13"/>
  <c r="A76" i="4"/>
  <c r="A68" i="3"/>
  <c r="A76" i="7"/>
  <c r="A68" i="2"/>
  <c r="A77" i="15" l="1"/>
  <c r="A70" i="1"/>
  <c r="A77" i="13"/>
  <c r="A69" i="3"/>
  <c r="A77" i="4"/>
  <c r="A77" i="7"/>
  <c r="A69" i="2"/>
  <c r="A78" i="13" l="1"/>
  <c r="A70" i="3"/>
  <c r="A78" i="15"/>
  <c r="A71" i="1"/>
  <c r="A70" i="2"/>
  <c r="A78" i="7"/>
  <c r="A78" i="4"/>
  <c r="A79" i="13" l="1"/>
  <c r="A71" i="3"/>
  <c r="A72" i="1"/>
  <c r="A79" i="7"/>
  <c r="A71" i="2"/>
  <c r="A79" i="15"/>
  <c r="A79" i="4"/>
  <c r="A80" i="13" l="1"/>
  <c r="A72" i="3"/>
  <c r="A73" i="1"/>
  <c r="A80" i="7"/>
  <c r="A72" i="2"/>
  <c r="A80" i="15"/>
  <c r="A80" i="4"/>
  <c r="A81" i="15" l="1"/>
  <c r="A74" i="1"/>
  <c r="A81" i="13"/>
  <c r="A73" i="3"/>
  <c r="A81" i="7"/>
  <c r="A73" i="2"/>
  <c r="A81" i="4"/>
  <c r="A82" i="15" l="1"/>
  <c r="A75" i="1"/>
  <c r="A82" i="13"/>
  <c r="A74" i="3"/>
  <c r="A82" i="7"/>
  <c r="A74" i="2"/>
  <c r="A82" i="4"/>
  <c r="A83" i="15" l="1"/>
  <c r="A76" i="1"/>
  <c r="A83" i="13"/>
  <c r="A75" i="3"/>
  <c r="A83" i="7"/>
  <c r="A75" i="2"/>
  <c r="A83" i="4"/>
  <c r="A84" i="15" l="1"/>
  <c r="A84" i="13"/>
  <c r="A76" i="3"/>
  <c r="A77" i="1"/>
  <c r="A84" i="4"/>
  <c r="A84" i="7"/>
  <c r="A76" i="2"/>
  <c r="A85" i="13" l="1"/>
  <c r="A77" i="3"/>
  <c r="A78" i="1"/>
  <c r="A85" i="4"/>
  <c r="A85" i="7"/>
  <c r="A77" i="2"/>
  <c r="A85" i="15"/>
  <c r="A79" i="1" l="1"/>
  <c r="A86" i="13"/>
  <c r="A78" i="3"/>
  <c r="A86" i="7"/>
  <c r="A78" i="2"/>
  <c r="A86" i="15"/>
  <c r="A86" i="4"/>
  <c r="A87" i="15" l="1"/>
  <c r="A80" i="1"/>
  <c r="A87" i="13"/>
  <c r="A79" i="3"/>
  <c r="A87" i="4"/>
  <c r="A79" i="2"/>
  <c r="A87" i="7"/>
  <c r="A88" i="15" l="1"/>
  <c r="A81" i="1"/>
  <c r="A88" i="13"/>
  <c r="A88" i="4"/>
  <c r="A88" i="7"/>
  <c r="A80" i="3"/>
  <c r="A80" i="2"/>
  <c r="A89" i="15" l="1"/>
  <c r="A82" i="1"/>
  <c r="A89" i="13"/>
  <c r="A81" i="3"/>
  <c r="A89" i="4"/>
  <c r="A81" i="2"/>
  <c r="A89" i="7"/>
  <c r="A90" i="13" l="1"/>
  <c r="A82" i="3"/>
  <c r="A90" i="15"/>
  <c r="A83" i="1"/>
  <c r="A90" i="4"/>
  <c r="A82" i="2"/>
  <c r="A90" i="7"/>
  <c r="A91" i="13" l="1"/>
  <c r="A83" i="3"/>
  <c r="A84" i="1"/>
  <c r="A91" i="7"/>
  <c r="A83" i="2"/>
  <c r="A91" i="15"/>
  <c r="A91" i="4"/>
  <c r="A92" i="13" l="1"/>
  <c r="A84" i="3"/>
  <c r="A85" i="1"/>
  <c r="A92" i="7"/>
  <c r="A84" i="2"/>
  <c r="A92" i="15"/>
  <c r="A92" i="4"/>
  <c r="A93" i="15" l="1"/>
  <c r="A86" i="1"/>
  <c r="A93" i="13"/>
  <c r="A85" i="3"/>
  <c r="A93" i="7"/>
  <c r="A85" i="2"/>
  <c r="A93" i="4"/>
  <c r="A94" i="15" l="1"/>
  <c r="A87" i="1"/>
  <c r="A94" i="13"/>
  <c r="A86" i="3"/>
  <c r="A94" i="7"/>
  <c r="A86" i="2"/>
  <c r="A94" i="4"/>
  <c r="A95" i="15" l="1"/>
  <c r="A88" i="1"/>
  <c r="A95" i="13"/>
  <c r="A87" i="3"/>
  <c r="A95" i="7"/>
  <c r="A87" i="2"/>
  <c r="A95" i="4"/>
  <c r="A96" i="15" l="1"/>
  <c r="A96" i="13"/>
  <c r="A88" i="3"/>
  <c r="A89" i="1"/>
  <c r="A96" i="4"/>
  <c r="A96" i="7"/>
  <c r="A88" i="2"/>
  <c r="A97" i="13" l="1"/>
  <c r="A89" i="3"/>
  <c r="A90" i="1"/>
  <c r="A97" i="4"/>
  <c r="A97" i="7"/>
  <c r="A89" i="2"/>
  <c r="A97" i="15"/>
  <c r="A91" i="1" l="1"/>
  <c r="A98" i="15"/>
  <c r="A98" i="13"/>
  <c r="A98" i="7"/>
  <c r="A90" i="2"/>
  <c r="A90" i="3"/>
  <c r="A98" i="4"/>
  <c r="A99" i="15" l="1"/>
  <c r="A92" i="1"/>
  <c r="A99" i="13"/>
  <c r="A91" i="3"/>
  <c r="A99" i="4"/>
  <c r="A99" i="7"/>
  <c r="A91" i="2"/>
  <c r="A100" i="15" l="1"/>
  <c r="A93" i="1"/>
  <c r="A100" i="4"/>
  <c r="A100" i="13"/>
  <c r="A100" i="7"/>
  <c r="A92" i="3"/>
  <c r="A92" i="2"/>
  <c r="A102" i="15" l="1"/>
  <c r="A94" i="1"/>
  <c r="A102" i="13"/>
  <c r="A93" i="3"/>
  <c r="A102" i="4"/>
  <c r="A93" i="2"/>
  <c r="A102" i="7"/>
  <c r="A103" i="13" l="1"/>
  <c r="A94" i="3"/>
  <c r="A103" i="15"/>
  <c r="A95" i="1"/>
  <c r="A103" i="7"/>
  <c r="A94" i="2"/>
  <c r="A103" i="4"/>
  <c r="A104" i="13" l="1"/>
  <c r="A95" i="3"/>
  <c r="A96" i="1"/>
  <c r="A104" i="7"/>
  <c r="A95" i="2"/>
  <c r="A104" i="15"/>
  <c r="A104" i="4"/>
  <c r="A105" i="13" l="1"/>
  <c r="A96" i="3"/>
  <c r="A97" i="1"/>
  <c r="A105" i="7"/>
  <c r="A96" i="2"/>
  <c r="A105" i="15"/>
  <c r="A105" i="4"/>
  <c r="A106" i="15" l="1"/>
  <c r="A98" i="1"/>
  <c r="A106" i="13"/>
  <c r="A97" i="3"/>
  <c r="A106" i="7"/>
  <c r="A97" i="2"/>
  <c r="A106" i="4"/>
  <c r="A107" i="15" l="1"/>
  <c r="A99" i="1"/>
  <c r="A107" i="13"/>
  <c r="A98" i="3"/>
  <c r="A107" i="7"/>
  <c r="A107" i="4"/>
  <c r="A98" i="2"/>
  <c r="A108" i="15" l="1"/>
  <c r="A100" i="1"/>
  <c r="A108" i="13"/>
  <c r="A99" i="3"/>
  <c r="A108" i="7"/>
  <c r="A99" i="2"/>
  <c r="A108" i="4"/>
  <c r="A109" i="15" l="1"/>
  <c r="A109" i="13"/>
  <c r="A100" i="3"/>
  <c r="A101" i="1"/>
  <c r="A109" i="4"/>
  <c r="A109" i="7"/>
  <c r="A100" i="2"/>
  <c r="A110" i="13" l="1"/>
  <c r="A101" i="3"/>
  <c r="A102" i="1"/>
  <c r="A110" i="4"/>
  <c r="A110" i="15"/>
  <c r="A110" i="7"/>
  <c r="A101" i="2"/>
  <c r="A103" i="1" l="1"/>
  <c r="A111" i="15"/>
  <c r="A111" i="13"/>
  <c r="A111" i="7"/>
  <c r="A102" i="2"/>
  <c r="A111" i="4"/>
  <c r="A102" i="3"/>
  <c r="A112" i="15" l="1"/>
  <c r="A104" i="1"/>
  <c r="A112" i="13"/>
  <c r="A103" i="3"/>
  <c r="A103" i="2"/>
  <c r="A112" i="7"/>
  <c r="A112" i="4"/>
  <c r="A113" i="15" l="1"/>
  <c r="A105" i="1"/>
  <c r="A104" i="3"/>
  <c r="A113" i="4"/>
  <c r="A113" i="7"/>
  <c r="A104" i="2"/>
  <c r="A113" i="13"/>
  <c r="A114" i="15" l="1"/>
  <c r="A106" i="1"/>
  <c r="A114" i="13"/>
  <c r="A105" i="3"/>
  <c r="A114" i="4"/>
  <c r="A114" i="7"/>
  <c r="A105" i="2"/>
  <c r="A115" i="13" l="1"/>
  <c r="A106" i="3"/>
  <c r="A115" i="15"/>
  <c r="A107" i="1"/>
  <c r="A115" i="7"/>
  <c r="A106" i="2"/>
  <c r="A115" i="4"/>
  <c r="A116" i="13" l="1"/>
  <c r="A107" i="3"/>
  <c r="A108" i="1"/>
  <c r="A116" i="7"/>
  <c r="A107" i="2"/>
  <c r="A116" i="15"/>
  <c r="A116" i="4"/>
  <c r="A117" i="13" l="1"/>
  <c r="A108" i="3"/>
  <c r="A109" i="1"/>
  <c r="A117" i="7"/>
  <c r="A108" i="2"/>
  <c r="A117" i="15"/>
  <c r="A117" i="4"/>
  <c r="A118" i="15" l="1"/>
  <c r="A110" i="1"/>
  <c r="A118" i="13"/>
  <c r="A109" i="3"/>
  <c r="A118" i="7"/>
  <c r="A109" i="2"/>
  <c r="A118" i="4"/>
  <c r="A119" i="15" l="1"/>
  <c r="A111" i="1"/>
  <c r="A119" i="13"/>
  <c r="A110" i="3"/>
  <c r="A119" i="7"/>
  <c r="A110" i="2"/>
  <c r="A119" i="4"/>
  <c r="A120" i="15" l="1"/>
  <c r="A112" i="1"/>
  <c r="A120" i="13"/>
  <c r="A111" i="3"/>
  <c r="A120" i="7"/>
  <c r="A111" i="2"/>
  <c r="A120" i="4"/>
  <c r="A121" i="15" l="1"/>
  <c r="A121" i="13"/>
  <c r="A112" i="3"/>
  <c r="A113" i="1"/>
  <c r="A121" i="4"/>
  <c r="A121" i="7"/>
  <c r="A112" i="2"/>
  <c r="A122" i="13" l="1"/>
  <c r="A113" i="3"/>
  <c r="A114" i="1"/>
  <c r="A122" i="4"/>
  <c r="A122" i="7"/>
  <c r="A122" i="15"/>
  <c r="A113" i="2"/>
  <c r="A115" i="1" l="1"/>
  <c r="A114" i="3"/>
  <c r="A123" i="7"/>
  <c r="A123" i="13"/>
  <c r="A123" i="4"/>
  <c r="A123" i="15"/>
  <c r="A114" i="2"/>
  <c r="A124" i="15" l="1"/>
  <c r="A116" i="1"/>
  <c r="A124" i="13"/>
  <c r="A115" i="3"/>
  <c r="A124" i="4"/>
  <c r="A124" i="7"/>
  <c r="A115" i="2"/>
  <c r="A125" i="15" l="1"/>
  <c r="A117" i="1"/>
  <c r="A116" i="3"/>
  <c r="A125" i="4"/>
  <c r="A125" i="7"/>
  <c r="A125" i="13"/>
  <c r="A116" i="2"/>
  <c r="A126" i="15" l="1"/>
  <c r="A118" i="1"/>
  <c r="A126" i="13"/>
  <c r="A117" i="3"/>
  <c r="A126" i="4"/>
  <c r="A126" i="7"/>
  <c r="A117" i="2"/>
  <c r="A127" i="13" l="1"/>
  <c r="A118" i="3"/>
  <c r="A127" i="15"/>
  <c r="A119" i="1"/>
  <c r="A127" i="4"/>
  <c r="A127" i="7"/>
  <c r="A118" i="2"/>
  <c r="A128" i="13" l="1"/>
  <c r="A119" i="3"/>
  <c r="A120" i="1"/>
  <c r="A128" i="7"/>
  <c r="A119" i="2"/>
  <c r="A128" i="15"/>
  <c r="A128" i="4"/>
  <c r="A129" i="13" l="1"/>
  <c r="A120" i="3"/>
  <c r="A121" i="1"/>
  <c r="A129" i="7"/>
  <c r="A120" i="2"/>
  <c r="A129" i="15"/>
  <c r="A129" i="4"/>
  <c r="A130" i="15" l="1"/>
  <c r="A122" i="1"/>
  <c r="A130" i="13"/>
  <c r="A121" i="3"/>
  <c r="A130" i="7"/>
  <c r="A130" i="4"/>
  <c r="A121" i="2"/>
  <c r="A131" i="15" l="1"/>
  <c r="A123" i="1"/>
  <c r="A131" i="13"/>
  <c r="A122" i="3"/>
  <c r="A131" i="7"/>
  <c r="A122" i="2"/>
  <c r="A131" i="4"/>
  <c r="A132" i="15" l="1"/>
  <c r="A124" i="1"/>
  <c r="A132" i="13"/>
  <c r="A123" i="3"/>
  <c r="A132" i="7"/>
  <c r="A123" i="2"/>
  <c r="A132" i="4"/>
  <c r="A134" i="15" l="1"/>
  <c r="A134" i="13"/>
  <c r="A124" i="3"/>
  <c r="A125" i="1"/>
  <c r="A134" i="4"/>
  <c r="A134" i="7"/>
  <c r="A124" i="2"/>
  <c r="A135" i="13" l="1"/>
  <c r="A125" i="3"/>
  <c r="A126" i="1"/>
  <c r="A135" i="4"/>
  <c r="A135" i="7"/>
  <c r="A125" i="2"/>
  <c r="A135" i="15"/>
  <c r="A127" i="1" l="1"/>
  <c r="A136" i="15"/>
  <c r="A126" i="3"/>
  <c r="A136" i="7"/>
  <c r="A126" i="2"/>
  <c r="A136" i="13"/>
  <c r="A136" i="4"/>
  <c r="A137" i="15" l="1"/>
  <c r="A128" i="1"/>
  <c r="A137" i="13"/>
  <c r="A127" i="3"/>
  <c r="A127" i="2"/>
  <c r="A137" i="4"/>
  <c r="A137" i="7"/>
  <c r="A138" i="15" l="1"/>
  <c r="A129" i="1"/>
  <c r="A138" i="13"/>
  <c r="A128" i="3"/>
  <c r="A138" i="4"/>
  <c r="A138" i="7"/>
  <c r="A128" i="2"/>
  <c r="A139" i="15" l="1"/>
  <c r="A130" i="1"/>
  <c r="A139" i="13"/>
  <c r="A129" i="3"/>
  <c r="A129" i="2"/>
  <c r="A139" i="4"/>
  <c r="A139" i="7"/>
  <c r="A140" i="13" l="1"/>
  <c r="A130" i="3"/>
  <c r="A140" i="15"/>
  <c r="A131" i="1"/>
  <c r="A130" i="2"/>
  <c r="A140" i="7"/>
  <c r="A140" i="4"/>
  <c r="A141" i="13" l="1"/>
  <c r="A131" i="3"/>
  <c r="A132" i="1"/>
  <c r="A141" i="7"/>
  <c r="A131" i="2"/>
  <c r="A141" i="15"/>
  <c r="A141" i="4"/>
  <c r="A142" i="13" l="1"/>
  <c r="A132" i="3"/>
  <c r="A133" i="1"/>
  <c r="A142" i="7"/>
  <c r="A132" i="2"/>
  <c r="A142" i="15"/>
  <c r="A142" i="4"/>
  <c r="A143" i="15" l="1"/>
  <c r="A134" i="1"/>
  <c r="A143" i="13"/>
  <c r="A133" i="3"/>
  <c r="A143" i="7"/>
  <c r="A143" i="4"/>
  <c r="A133" i="2"/>
  <c r="A144" i="15" l="1"/>
  <c r="A135" i="1"/>
  <c r="A144" i="13"/>
  <c r="A134" i="3"/>
  <c r="A144" i="7"/>
  <c r="A144" i="4"/>
  <c r="A134" i="2"/>
  <c r="A145" i="15" l="1"/>
  <c r="A136" i="1"/>
  <c r="A145" i="13"/>
  <c r="A135" i="3"/>
  <c r="A145" i="7"/>
  <c r="A135" i="2"/>
  <c r="A145" i="4"/>
  <c r="A146" i="15" l="1"/>
  <c r="A146" i="13"/>
  <c r="A137" i="1"/>
  <c r="A146" i="4"/>
  <c r="A136" i="3"/>
  <c r="A146" i="7"/>
  <c r="A136" i="2"/>
  <c r="A147" i="13" l="1"/>
  <c r="A137" i="3"/>
  <c r="A138" i="1"/>
  <c r="A147" i="4"/>
  <c r="A147" i="15"/>
  <c r="A147" i="7"/>
  <c r="A137" i="2"/>
  <c r="A139" i="1" l="1"/>
  <c r="A148" i="13"/>
  <c r="A148" i="15"/>
  <c r="A138" i="3"/>
  <c r="A148" i="7"/>
  <c r="A148" i="4"/>
  <c r="A138" i="2"/>
  <c r="A149" i="15" l="1"/>
  <c r="A140" i="1"/>
  <c r="A149" i="13"/>
  <c r="A139" i="3"/>
  <c r="A149" i="4"/>
  <c r="A139" i="2"/>
  <c r="A149" i="7"/>
  <c r="A150" i="15" l="1"/>
  <c r="A141" i="1"/>
  <c r="A150" i="13"/>
  <c r="A150" i="4"/>
  <c r="A140" i="3"/>
  <c r="A150" i="7"/>
  <c r="A140" i="2"/>
  <c r="A151" i="15" l="1"/>
  <c r="A142" i="1"/>
  <c r="A151" i="13"/>
  <c r="A141" i="3"/>
  <c r="A141" i="2"/>
  <c r="A151" i="7"/>
  <c r="A151" i="4"/>
  <c r="A152" i="13" l="1"/>
  <c r="A142" i="3"/>
  <c r="A152" i="15"/>
  <c r="A143" i="1"/>
  <c r="A152" i="7"/>
  <c r="A142" i="2"/>
  <c r="A152" i="4"/>
  <c r="A153" i="13" l="1"/>
  <c r="A143" i="3"/>
  <c r="A144" i="1"/>
  <c r="A153" i="7"/>
  <c r="A143" i="2"/>
  <c r="A153" i="15"/>
  <c r="A153" i="4"/>
  <c r="A154" i="13" l="1"/>
  <c r="A144" i="3"/>
  <c r="A145" i="1"/>
  <c r="A154" i="7"/>
  <c r="A144" i="2"/>
  <c r="A154" i="15"/>
  <c r="A154" i="4"/>
  <c r="A155" i="15" l="1"/>
  <c r="A146" i="1"/>
  <c r="A155" i="13"/>
  <c r="A145" i="3"/>
  <c r="A155" i="7"/>
  <c r="A145" i="2"/>
  <c r="A155" i="4"/>
  <c r="A156" i="15" l="1"/>
  <c r="A147" i="1"/>
  <c r="A156" i="13"/>
  <c r="A146" i="3"/>
  <c r="A156" i="7"/>
  <c r="A156" i="4"/>
  <c r="A146" i="2"/>
  <c r="A157" i="15" l="1"/>
  <c r="A148" i="1"/>
  <c r="A157" i="13"/>
  <c r="A147" i="3"/>
  <c r="A157" i="7"/>
  <c r="A147" i="2"/>
  <c r="A157" i="4"/>
  <c r="A158" i="15" l="1"/>
  <c r="A158" i="13"/>
  <c r="A149" i="1"/>
  <c r="A158" i="4"/>
  <c r="A158" i="7"/>
  <c r="A148" i="2"/>
  <c r="A148" i="3"/>
  <c r="A159" i="13" l="1"/>
  <c r="A149" i="3"/>
  <c r="A150" i="1"/>
  <c r="A159" i="4"/>
  <c r="A159" i="7"/>
  <c r="A159" i="15"/>
  <c r="A149" i="2"/>
  <c r="A151" i="1" l="1"/>
  <c r="A160" i="13"/>
  <c r="A160" i="7"/>
  <c r="A150" i="3"/>
  <c r="A160" i="4"/>
  <c r="A160" i="15"/>
  <c r="A150" i="2"/>
  <c r="A161" i="15" l="1"/>
  <c r="A152" i="1"/>
  <c r="A161" i="13"/>
  <c r="A151" i="3"/>
  <c r="A161" i="7"/>
  <c r="A161" i="4"/>
  <c r="A151" i="2"/>
  <c r="A162" i="15" l="1"/>
  <c r="A153" i="1"/>
  <c r="A162" i="13"/>
  <c r="A162" i="4"/>
  <c r="A162" i="7"/>
  <c r="A152" i="3"/>
  <c r="A152" i="2"/>
  <c r="A163" i="15" l="1"/>
  <c r="A154" i="1"/>
  <c r="A163" i="13"/>
  <c r="A153" i="3"/>
  <c r="A163" i="7"/>
  <c r="A163" i="4"/>
  <c r="A153" i="2"/>
  <c r="A164" i="13" l="1"/>
  <c r="A154" i="3"/>
  <c r="A164" i="15"/>
  <c r="A155" i="1"/>
  <c r="A164" i="7"/>
  <c r="A164" i="4"/>
  <c r="A154" i="2"/>
  <c r="A166" i="13" l="1"/>
  <c r="A155" i="3"/>
  <c r="A156" i="1"/>
  <c r="A166" i="7"/>
  <c r="A155" i="2"/>
  <c r="A166" i="15"/>
  <c r="A166" i="4"/>
  <c r="A167" i="13" l="1"/>
  <c r="A156" i="3"/>
  <c r="A157" i="1"/>
  <c r="A167" i="7"/>
  <c r="A156" i="2"/>
  <c r="A167" i="4"/>
  <c r="A167" i="15"/>
  <c r="A168" i="15" l="1"/>
  <c r="A158" i="1"/>
  <c r="A168" i="13"/>
  <c r="A157" i="3"/>
  <c r="A168" i="7"/>
  <c r="A157" i="2"/>
  <c r="A168" i="4"/>
  <c r="A169" i="15" l="1"/>
  <c r="A159" i="1"/>
  <c r="A169" i="13"/>
  <c r="A158" i="3"/>
  <c r="A169" i="7"/>
  <c r="A158" i="2"/>
  <c r="A169" i="4"/>
  <c r="A170" i="15" l="1"/>
  <c r="A160" i="1"/>
  <c r="A170" i="13"/>
  <c r="A159" i="3"/>
  <c r="A170" i="7"/>
  <c r="A159" i="2"/>
  <c r="A170" i="4"/>
  <c r="A171" i="15" l="1"/>
  <c r="A171" i="13"/>
  <c r="A161" i="1"/>
  <c r="A171" i="7"/>
  <c r="A160" i="2"/>
  <c r="A171" i="4"/>
  <c r="A160" i="3"/>
  <c r="A172" i="13" l="1"/>
  <c r="A161" i="3"/>
  <c r="A162" i="1"/>
  <c r="A172" i="4"/>
  <c r="A172" i="7"/>
  <c r="A161" i="2"/>
  <c r="A172" i="15"/>
  <c r="A163" i="1" l="1"/>
  <c r="A173" i="15"/>
  <c r="A162" i="3"/>
  <c r="A173" i="13"/>
  <c r="A173" i="7"/>
  <c r="A173" i="4"/>
  <c r="A162" i="2"/>
  <c r="A174" i="15" l="1"/>
  <c r="A164" i="1"/>
  <c r="A174" i="13"/>
  <c r="A163" i="3"/>
  <c r="A174" i="4"/>
  <c r="A163" i="2"/>
  <c r="A174" i="7"/>
  <c r="A175" i="15" l="1"/>
  <c r="A165" i="1"/>
  <c r="A164" i="3"/>
  <c r="A175" i="4"/>
  <c r="A175" i="13"/>
  <c r="A175" i="7"/>
  <c r="A164" i="2"/>
  <c r="A176" i="15" l="1"/>
  <c r="A166" i="1"/>
  <c r="A176" i="13"/>
  <c r="A165" i="3"/>
  <c r="A176" i="4"/>
  <c r="A176" i="7"/>
  <c r="A165" i="2"/>
  <c r="A177" i="13" l="1"/>
  <c r="A166" i="3"/>
  <c r="A177" i="15"/>
  <c r="A167" i="1"/>
  <c r="A177" i="4"/>
  <c r="A177" i="7"/>
  <c r="A166" i="2"/>
  <c r="A178" i="13" l="1"/>
  <c r="A167" i="3"/>
  <c r="A168" i="1"/>
  <c r="A178" i="7"/>
  <c r="A167" i="2"/>
  <c r="A178" i="15"/>
  <c r="A178" i="4"/>
  <c r="A179" i="13" l="1"/>
  <c r="A168" i="3"/>
  <c r="A169" i="1"/>
  <c r="A179" i="7"/>
  <c r="A168" i="2"/>
  <c r="A179" i="15"/>
  <c r="A179" i="4"/>
  <c r="A180" i="15" l="1"/>
  <c r="A170" i="1"/>
  <c r="A180" i="13"/>
  <c r="A169" i="3"/>
  <c r="A180" i="7"/>
  <c r="A180" i="4"/>
  <c r="A169" i="2"/>
  <c r="A181" i="15" l="1"/>
  <c r="A171" i="1"/>
  <c r="A181" i="13"/>
  <c r="A170" i="3"/>
  <c r="A181" i="7"/>
  <c r="A170" i="2"/>
  <c r="A181" i="4"/>
  <c r="A182" i="15" l="1"/>
  <c r="A172" i="1"/>
  <c r="A182" i="13"/>
  <c r="A171" i="3"/>
  <c r="A182" i="7"/>
  <c r="A171" i="2"/>
  <c r="A182" i="4"/>
  <c r="A183" i="15" l="1"/>
  <c r="A183" i="13"/>
  <c r="A173" i="1"/>
  <c r="A172" i="3"/>
  <c r="A183" i="7"/>
  <c r="A172" i="2"/>
  <c r="A183" i="4"/>
  <c r="A184" i="13" l="1"/>
  <c r="A173" i="3"/>
  <c r="A174" i="1"/>
  <c r="A184" i="15"/>
  <c r="A184" i="7"/>
  <c r="A173" i="2"/>
  <c r="A184" i="4"/>
  <c r="A175" i="1" l="1"/>
  <c r="A185" i="15"/>
  <c r="A174" i="3"/>
  <c r="A185" i="13"/>
  <c r="A185" i="7"/>
  <c r="A185" i="4"/>
  <c r="A174" i="2"/>
  <c r="A186" i="15" l="1"/>
  <c r="A176" i="1"/>
  <c r="A186" i="13"/>
  <c r="A175" i="3"/>
  <c r="A186" i="4"/>
  <c r="A175" i="2"/>
  <c r="A186" i="7"/>
  <c r="A187" i="15" l="1"/>
  <c r="A177" i="1"/>
  <c r="A176" i="3"/>
  <c r="A187" i="7"/>
  <c r="A176" i="2"/>
  <c r="A187" i="4"/>
  <c r="A187" i="13"/>
  <c r="A188" i="15" l="1"/>
  <c r="A178" i="1"/>
  <c r="A188" i="13"/>
  <c r="A177" i="3"/>
  <c r="A177" i="2"/>
  <c r="A188" i="4"/>
  <c r="A188" i="7"/>
  <c r="A189" i="13" l="1"/>
  <c r="A178" i="3"/>
  <c r="A189" i="15"/>
  <c r="A179" i="1"/>
  <c r="A178" i="2"/>
  <c r="A189" i="4"/>
  <c r="A189" i="7"/>
  <c r="A190" i="13" l="1"/>
  <c r="A179" i="3"/>
  <c r="A180" i="1"/>
  <c r="A190" i="7"/>
  <c r="A179" i="2"/>
  <c r="A190" i="15"/>
  <c r="A190" i="4"/>
  <c r="A191" i="13" l="1"/>
  <c r="A180" i="3"/>
  <c r="A181" i="1"/>
  <c r="A191" i="7"/>
  <c r="A180" i="2"/>
  <c r="A191" i="15"/>
  <c r="A191" i="4"/>
  <c r="A192" i="15" l="1"/>
  <c r="A182" i="1"/>
  <c r="A192" i="13"/>
  <c r="A181" i="3"/>
  <c r="A192" i="7"/>
  <c r="A181" i="2"/>
  <c r="A192" i="4"/>
  <c r="A193" i="15" l="1"/>
  <c r="A183" i="1"/>
  <c r="A193" i="13"/>
  <c r="A182" i="3"/>
  <c r="A193" i="7"/>
  <c r="A182" i="2"/>
  <c r="A193" i="4"/>
  <c r="A196" i="15" l="1"/>
  <c r="A184" i="1"/>
  <c r="A196" i="13"/>
  <c r="A196" i="7"/>
  <c r="A183" i="2"/>
  <c r="A183" i="3"/>
  <c r="A196" i="4"/>
  <c r="A197" i="15" l="1"/>
  <c r="A197" i="13"/>
  <c r="A185" i="1"/>
  <c r="A197" i="7"/>
  <c r="A184" i="2"/>
  <c r="A184" i="3"/>
  <c r="A197" i="4"/>
  <c r="A198" i="13" l="1"/>
  <c r="A185" i="3"/>
  <c r="A186" i="1"/>
  <c r="A198" i="7"/>
  <c r="A198" i="15"/>
  <c r="A185" i="2"/>
  <c r="A198" i="4"/>
  <c r="A187" i="1" l="1"/>
  <c r="A199" i="7"/>
  <c r="A199" i="13"/>
  <c r="A186" i="2"/>
  <c r="A199" i="15"/>
  <c r="A186" i="3"/>
  <c r="A199" i="4"/>
  <c r="A200" i="15" l="1"/>
  <c r="A188" i="1"/>
  <c r="A200" i="13"/>
  <c r="A187" i="3"/>
  <c r="A200" i="4"/>
  <c r="A187" i="2"/>
  <c r="A200" i="7"/>
  <c r="A201" i="15" l="1"/>
  <c r="A189" i="1"/>
  <c r="A188" i="3"/>
  <c r="A201" i="7"/>
  <c r="A201" i="4"/>
  <c r="A201" i="13"/>
  <c r="A188" i="2"/>
  <c r="A202" i="15" l="1"/>
  <c r="A190" i="1"/>
  <c r="A202" i="13"/>
  <c r="A189" i="3"/>
  <c r="A202" i="4"/>
  <c r="A189" i="2"/>
  <c r="A202" i="7"/>
  <c r="A203" i="13" l="1"/>
  <c r="A190" i="3"/>
  <c r="A203" i="15"/>
  <c r="A191" i="1"/>
  <c r="A203" i="7"/>
  <c r="A203" i="4"/>
  <c r="A190" i="2"/>
  <c r="A204" i="13" l="1"/>
  <c r="A191" i="3"/>
  <c r="A192" i="1"/>
  <c r="A204" i="7"/>
  <c r="A191" i="2"/>
  <c r="A204" i="15"/>
  <c r="A204" i="4"/>
  <c r="A205" i="13" l="1"/>
  <c r="A192" i="3"/>
  <c r="A193" i="1"/>
  <c r="A205" i="7"/>
  <c r="A192" i="2"/>
  <c r="A205" i="4"/>
  <c r="A205" i="15"/>
  <c r="A206" i="15" l="1"/>
  <c r="A194" i="1"/>
  <c r="A206" i="13"/>
  <c r="A193" i="3"/>
  <c r="A206" i="7"/>
  <c r="A206" i="4"/>
  <c r="A193" i="2"/>
  <c r="A207" i="15" l="1"/>
  <c r="A195" i="1"/>
  <c r="A207" i="13"/>
  <c r="A194" i="3"/>
  <c r="A207" i="7"/>
  <c r="A194" i="2"/>
  <c r="A207" i="4"/>
  <c r="A208" i="15" l="1"/>
  <c r="A196" i="1"/>
  <c r="A208" i="13"/>
  <c r="A208" i="7"/>
  <c r="A195" i="2"/>
  <c r="A195" i="3"/>
  <c r="A208" i="4"/>
  <c r="A209" i="15" l="1"/>
  <c r="A209" i="13"/>
  <c r="A197" i="1"/>
  <c r="A209" i="7"/>
  <c r="A196" i="2"/>
  <c r="A209" i="4"/>
  <c r="A196" i="3"/>
  <c r="A210" i="13" l="1"/>
  <c r="A197" i="3"/>
  <c r="A198" i="1"/>
  <c r="A210" i="7"/>
  <c r="A197" i="2"/>
  <c r="A210" i="15"/>
  <c r="A210" i="4"/>
  <c r="A199" i="1" l="1"/>
  <c r="A211" i="15"/>
  <c r="A198" i="3"/>
  <c r="A211" i="7"/>
  <c r="A198" i="2"/>
  <c r="A211" i="13"/>
  <c r="A211" i="4"/>
  <c r="A212" i="15" l="1"/>
  <c r="A200" i="1"/>
  <c r="A212" i="13"/>
  <c r="A199" i="3"/>
  <c r="A212" i="4"/>
  <c r="A212" i="7"/>
  <c r="A199" i="2"/>
  <c r="A213" i="15" l="1"/>
  <c r="A201" i="1"/>
  <c r="A213" i="13"/>
  <c r="A200" i="3"/>
  <c r="A213" i="7"/>
  <c r="A213" i="4"/>
  <c r="A200" i="2"/>
  <c r="A214" i="15" l="1"/>
  <c r="A202" i="1"/>
  <c r="A214" i="13"/>
  <c r="A201" i="3"/>
  <c r="A214" i="7"/>
  <c r="A214" i="4"/>
  <c r="A201" i="2"/>
  <c r="A215" i="13" l="1"/>
  <c r="A202" i="3"/>
  <c r="A215" i="15"/>
  <c r="A203" i="1"/>
  <c r="A215" i="7"/>
  <c r="A215" i="4"/>
  <c r="A202" i="2"/>
  <c r="A216" i="13" l="1"/>
  <c r="A203" i="3"/>
  <c r="A204" i="1"/>
  <c r="A216" i="7"/>
  <c r="A203" i="2"/>
  <c r="A216" i="15"/>
  <c r="A216" i="4"/>
  <c r="A217" i="13" l="1"/>
  <c r="A204" i="3"/>
  <c r="A205" i="1"/>
  <c r="A217" i="7"/>
  <c r="A204" i="2"/>
  <c r="A217" i="15"/>
  <c r="A217" i="4"/>
  <c r="A218" i="15" l="1"/>
  <c r="A206" i="1"/>
  <c r="A218" i="13"/>
  <c r="A205" i="3"/>
  <c r="A218" i="7"/>
  <c r="A218" i="4"/>
  <c r="A205" i="2"/>
  <c r="A219" i="15" l="1"/>
  <c r="A207" i="1"/>
  <c r="A219" i="13"/>
  <c r="A206" i="3"/>
  <c r="A219" i="7"/>
  <c r="A219" i="4"/>
  <c r="A206" i="2"/>
  <c r="A220" i="15" l="1"/>
  <c r="A208" i="1"/>
  <c r="A220" i="13"/>
  <c r="A207" i="3"/>
  <c r="A220" i="7"/>
  <c r="A207" i="2"/>
  <c r="A220" i="4"/>
  <c r="A221" i="15" l="1"/>
  <c r="A221" i="13"/>
  <c r="A209" i="1"/>
  <c r="A208" i="3"/>
  <c r="A221" i="7"/>
  <c r="A208" i="2"/>
  <c r="A221" i="4"/>
  <c r="A222" i="13" l="1"/>
  <c r="A209" i="3"/>
  <c r="A210" i="1"/>
  <c r="A222" i="15"/>
  <c r="A222" i="7"/>
  <c r="A209" i="2"/>
  <c r="A222" i="4"/>
  <c r="A211" i="1" l="1"/>
  <c r="A223" i="13"/>
  <c r="A223" i="15"/>
  <c r="A210" i="3"/>
  <c r="A223" i="7"/>
  <c r="A223" i="4"/>
  <c r="A210" i="2"/>
  <c r="A224" i="15" l="1"/>
  <c r="A212" i="1"/>
  <c r="A224" i="13"/>
  <c r="A211" i="3"/>
  <c r="A224" i="4"/>
  <c r="A224" i="7"/>
  <c r="A211" i="2"/>
  <c r="A225" i="15" l="1"/>
  <c r="A213" i="1"/>
  <c r="A225" i="13"/>
  <c r="A212" i="3"/>
  <c r="A225" i="7"/>
  <c r="A212" i="2"/>
  <c r="A225" i="4"/>
  <c r="A226" i="15" l="1"/>
  <c r="A214" i="1"/>
  <c r="A226" i="13"/>
  <c r="A213" i="3"/>
  <c r="A213" i="2"/>
  <c r="A226" i="4"/>
  <c r="A226" i="7"/>
  <c r="A228" i="13" l="1"/>
  <c r="A214" i="3"/>
  <c r="A228" i="15"/>
  <c r="A215" i="1"/>
  <c r="A214" i="2"/>
  <c r="A228" i="4"/>
  <c r="A228" i="7"/>
  <c r="A229" i="13" l="1"/>
  <c r="A215" i="3"/>
  <c r="A216" i="1"/>
  <c r="A229" i="7"/>
  <c r="A215" i="2"/>
  <c r="A229" i="15"/>
  <c r="A229" i="4"/>
  <c r="A230" i="13" l="1"/>
  <c r="A216" i="3"/>
  <c r="A217" i="1"/>
  <c r="A230" i="7"/>
  <c r="A216" i="2"/>
  <c r="A230" i="15"/>
  <c r="A230" i="4"/>
  <c r="A231" i="15" l="1"/>
  <c r="A218" i="1"/>
  <c r="A231" i="13"/>
  <c r="A217" i="3"/>
  <c r="A231" i="7"/>
  <c r="A217" i="2"/>
  <c r="A231" i="4"/>
  <c r="A232" i="15" l="1"/>
  <c r="A219" i="1"/>
  <c r="A232" i="13"/>
  <c r="A218" i="3"/>
  <c r="A232" i="7"/>
  <c r="A218" i="2"/>
  <c r="A232" i="4"/>
  <c r="A233" i="15" l="1"/>
  <c r="A220" i="1"/>
  <c r="A233" i="13"/>
  <c r="A233" i="7"/>
  <c r="A219" i="2"/>
  <c r="A219" i="3"/>
  <c r="A233" i="4"/>
  <c r="A234" i="15" l="1"/>
  <c r="A234" i="13"/>
  <c r="A221" i="1"/>
  <c r="A234" i="7"/>
  <c r="A220" i="2"/>
  <c r="A220" i="3"/>
  <c r="A234" i="4"/>
  <c r="A235" i="13" l="1"/>
  <c r="A221" i="3"/>
  <c r="A222" i="1"/>
  <c r="A235" i="7"/>
  <c r="A235" i="15"/>
  <c r="A221" i="2"/>
  <c r="A235" i="4"/>
  <c r="A223" i="1" l="1"/>
  <c r="A236" i="13"/>
  <c r="A236" i="7"/>
  <c r="A236" i="15"/>
  <c r="A222" i="3"/>
  <c r="A222" i="2"/>
  <c r="A236" i="4"/>
  <c r="A237" i="15" l="1"/>
  <c r="A224" i="1"/>
  <c r="A237" i="13"/>
  <c r="A223" i="3"/>
  <c r="A237" i="4"/>
  <c r="A237" i="7"/>
  <c r="A223" i="2"/>
  <c r="A238" i="15" l="1"/>
  <c r="A225" i="1"/>
  <c r="A238" i="13"/>
  <c r="A224" i="3"/>
  <c r="A238" i="7"/>
  <c r="A238" i="4"/>
  <c r="A224" i="2"/>
  <c r="A239" i="15" l="1"/>
  <c r="A226" i="1"/>
  <c r="A239" i="13"/>
  <c r="A225" i="3"/>
  <c r="A239" i="4"/>
  <c r="A225" i="2"/>
  <c r="A239" i="7"/>
  <c r="A240" i="13" l="1"/>
  <c r="A226" i="3"/>
  <c r="A240" i="15"/>
  <c r="A227" i="1"/>
  <c r="A240" i="4"/>
  <c r="A240" i="7"/>
  <c r="A226" i="2"/>
  <c r="A241" i="13" l="1"/>
  <c r="A227" i="3"/>
  <c r="A228" i="1"/>
  <c r="A241" i="7"/>
  <c r="A227" i="2"/>
  <c r="A241" i="15"/>
  <c r="A241" i="4"/>
  <c r="A242" i="13" l="1"/>
  <c r="A229" i="1"/>
  <c r="A242" i="7"/>
  <c r="A242" i="15"/>
  <c r="A228" i="3"/>
  <c r="A242" i="4"/>
  <c r="A228" i="2"/>
  <c r="A243" i="15" l="1"/>
  <c r="A230" i="1"/>
  <c r="A243" i="13"/>
  <c r="A243" i="7"/>
  <c r="A229" i="3"/>
  <c r="A243" i="4"/>
  <c r="A229" i="2"/>
  <c r="A244" i="15" l="1"/>
  <c r="A231" i="1"/>
  <c r="A244" i="13"/>
  <c r="A230" i="3"/>
  <c r="A244" i="7"/>
  <c r="A230" i="2"/>
  <c r="A244" i="4"/>
  <c r="A245" i="15" l="1"/>
  <c r="A232" i="1"/>
  <c r="A245" i="13"/>
  <c r="A231" i="3"/>
  <c r="A245" i="7"/>
  <c r="A231" i="2"/>
  <c r="A245" i="4"/>
  <c r="A246" i="15" l="1"/>
  <c r="A246" i="13"/>
  <c r="A233" i="1"/>
  <c r="A232" i="3"/>
  <c r="A246" i="7"/>
  <c r="A232" i="2"/>
  <c r="A246" i="4"/>
  <c r="A247" i="13" l="1"/>
  <c r="A234" i="1"/>
  <c r="A233" i="3"/>
  <c r="A247" i="7"/>
  <c r="A247" i="15"/>
  <c r="A233" i="2"/>
  <c r="A247" i="4"/>
  <c r="A235" i="1" l="1"/>
  <c r="A248" i="15"/>
  <c r="A234" i="3"/>
  <c r="A248" i="13"/>
  <c r="A248" i="7"/>
  <c r="A234" i="2"/>
  <c r="A248" i="4"/>
  <c r="A249" i="15" l="1"/>
  <c r="A236" i="1"/>
  <c r="A249" i="13"/>
  <c r="A235" i="3"/>
  <c r="A249" i="4"/>
  <c r="A235" i="2"/>
  <c r="A249" i="7"/>
  <c r="A250" i="15" l="1"/>
  <c r="A237" i="1"/>
  <c r="A236" i="3"/>
  <c r="A250" i="13"/>
  <c r="A250" i="7"/>
  <c r="A250" i="4"/>
  <c r="A236" i="2"/>
  <c r="A251" i="15" l="1"/>
  <c r="A238" i="1"/>
  <c r="A251" i="13"/>
  <c r="A237" i="3"/>
  <c r="A251" i="4"/>
  <c r="A237" i="2"/>
  <c r="A251" i="7"/>
  <c r="A252" i="13" l="1"/>
  <c r="A252" i="15"/>
  <c r="A239" i="1"/>
  <c r="A238" i="3"/>
  <c r="A252" i="7"/>
  <c r="A252" i="4"/>
  <c r="A238" i="2"/>
  <c r="A253" i="13" l="1"/>
  <c r="A240" i="1"/>
  <c r="A253" i="7"/>
  <c r="A253" i="15"/>
  <c r="A239" i="3"/>
  <c r="A253" i="4"/>
  <c r="A239" i="2"/>
  <c r="A254" i="13" l="1"/>
  <c r="A241" i="1"/>
  <c r="A254" i="7"/>
  <c r="A254" i="15"/>
  <c r="A240" i="3"/>
  <c r="A254" i="4"/>
  <c r="A240" i="2"/>
  <c r="A255" i="15" l="1"/>
  <c r="A242" i="1"/>
  <c r="A255" i="13"/>
  <c r="A255" i="7"/>
  <c r="A241" i="3"/>
  <c r="A255" i="4"/>
  <c r="A241" i="2"/>
  <c r="A256" i="15" l="1"/>
  <c r="A243" i="1"/>
  <c r="A256" i="13"/>
  <c r="A242" i="3"/>
  <c r="A256" i="7"/>
  <c r="A242" i="2"/>
  <c r="A256" i="4"/>
  <c r="A257" i="15" l="1"/>
  <c r="A244" i="1"/>
  <c r="A257" i="13"/>
  <c r="A257" i="7"/>
  <c r="A243" i="3"/>
  <c r="A243" i="2"/>
  <c r="A257" i="4"/>
  <c r="A259" i="15" l="1"/>
  <c r="A259" i="13"/>
  <c r="A245" i="1"/>
  <c r="A259" i="7"/>
  <c r="A259" i="4"/>
  <c r="A244" i="3"/>
  <c r="A244" i="2"/>
  <c r="A246" i="1" l="1"/>
  <c r="A260" i="4"/>
  <c r="A260" i="7"/>
  <c r="A245" i="3"/>
  <c r="A260" i="13"/>
  <c r="A260" i="15"/>
  <c r="A245" i="2"/>
  <c r="A247" i="1" l="1"/>
  <c r="A261" i="7"/>
  <c r="A261" i="4"/>
  <c r="A246" i="3"/>
  <c r="A261" i="15"/>
  <c r="A261" i="13"/>
  <c r="A246" i="2"/>
  <c r="A248" i="1" l="1"/>
  <c r="A262" i="7"/>
  <c r="A262" i="4"/>
  <c r="A247" i="3"/>
  <c r="A262" i="13"/>
  <c r="A262" i="15"/>
  <c r="A247" i="2"/>
  <c r="A263" i="7" l="1"/>
  <c r="A249" i="1"/>
  <c r="A263" i="4"/>
  <c r="A248" i="3"/>
  <c r="A263" i="13"/>
  <c r="A263" i="15"/>
  <c r="A248" i="2"/>
  <c r="A264" i="7" l="1"/>
  <c r="A250" i="1"/>
  <c r="A264" i="4"/>
  <c r="A249" i="3"/>
  <c r="A264" i="15"/>
  <c r="A264" i="13"/>
  <c r="A249" i="2"/>
  <c r="A265" i="7" l="1"/>
  <c r="A265" i="4"/>
  <c r="A251" i="1"/>
  <c r="A265" i="15"/>
  <c r="A265" i="13"/>
  <c r="A250" i="3"/>
  <c r="A250" i="2"/>
  <c r="A252" i="1" l="1"/>
  <c r="A266" i="4"/>
  <c r="A266" i="7"/>
  <c r="A251" i="3"/>
  <c r="A266" i="15"/>
  <c r="A266" i="13"/>
  <c r="A251" i="2"/>
  <c r="A253" i="1" l="1"/>
  <c r="A267" i="7"/>
  <c r="A267" i="4"/>
  <c r="A252" i="3"/>
  <c r="A267" i="15"/>
  <c r="A267" i="13"/>
  <c r="A252" i="2"/>
  <c r="A254" i="1" l="1"/>
  <c r="A268" i="4"/>
  <c r="A268" i="7"/>
  <c r="A253" i="3"/>
  <c r="A268" i="15"/>
  <c r="A268" i="13"/>
  <c r="A253" i="2"/>
  <c r="A255" i="1" l="1"/>
  <c r="A269" i="4"/>
  <c r="A269" i="7"/>
  <c r="A254" i="3"/>
  <c r="A269" i="15"/>
  <c r="A269" i="13"/>
  <c r="A254" i="2"/>
  <c r="A270" i="7" l="1"/>
  <c r="A270" i="4"/>
  <c r="A256" i="1"/>
  <c r="A255" i="3"/>
  <c r="A270" i="15"/>
  <c r="A270" i="13"/>
  <c r="A255" i="2"/>
  <c r="A271" i="7" l="1"/>
  <c r="A257" i="1"/>
  <c r="A271" i="4"/>
  <c r="A256" i="3"/>
  <c r="A271" i="15"/>
  <c r="A271" i="13"/>
  <c r="A256" i="2"/>
  <c r="A272" i="7" l="1"/>
  <c r="A272" i="4"/>
  <c r="A258" i="1"/>
  <c r="A257" i="3"/>
  <c r="A272" i="13"/>
  <c r="A272" i="15"/>
  <c r="A257" i="2"/>
  <c r="A259" i="1" l="1"/>
  <c r="A273" i="7"/>
  <c r="A273" i="4"/>
  <c r="A258" i="3"/>
  <c r="A273" i="15"/>
  <c r="A273" i="13"/>
  <c r="A258" i="2"/>
  <c r="A260" i="1" l="1"/>
  <c r="A274" i="4"/>
  <c r="A274" i="7"/>
  <c r="A259" i="3"/>
  <c r="A274" i="13"/>
  <c r="A274" i="15"/>
  <c r="A259" i="2"/>
  <c r="A261" i="1" l="1"/>
  <c r="A275" i="7"/>
  <c r="A275" i="4"/>
  <c r="A260" i="3"/>
  <c r="A275" i="13"/>
  <c r="A275" i="15"/>
  <c r="A260" i="2"/>
  <c r="A262" i="1" l="1"/>
  <c r="A276" i="4"/>
  <c r="A276" i="7"/>
  <c r="A261" i="3"/>
  <c r="A276" i="15"/>
  <c r="A276" i="13"/>
  <c r="A261" i="2"/>
  <c r="A277" i="7" l="1"/>
  <c r="A263" i="1"/>
  <c r="A277" i="4"/>
  <c r="A277" i="15"/>
  <c r="A262" i="3"/>
  <c r="A277" i="13"/>
  <c r="A262" i="2"/>
  <c r="A278" i="7" l="1"/>
  <c r="A264" i="1"/>
  <c r="A278" i="4"/>
  <c r="A278" i="15"/>
  <c r="A263" i="3"/>
  <c r="A278" i="13"/>
  <c r="A263" i="2"/>
  <c r="A279" i="7" l="1"/>
  <c r="A265" i="1"/>
  <c r="A279" i="4"/>
  <c r="A264" i="3"/>
  <c r="A279" i="15"/>
  <c r="A279" i="13"/>
  <c r="A264" i="2"/>
  <c r="A280" i="7" l="1"/>
  <c r="A266" i="1"/>
  <c r="A280" i="4"/>
  <c r="A265" i="3"/>
  <c r="A280" i="15"/>
  <c r="A280" i="13"/>
  <c r="A265" i="2"/>
  <c r="A281" i="4" l="1"/>
  <c r="A281" i="7"/>
  <c r="A267" i="1"/>
  <c r="A266" i="3"/>
  <c r="A281" i="15"/>
  <c r="A281" i="13"/>
  <c r="A266" i="2"/>
  <c r="A268" i="1" l="1"/>
  <c r="A282" i="4"/>
  <c r="A282" i="7"/>
  <c r="A267" i="3"/>
  <c r="A282" i="15"/>
  <c r="A282" i="13"/>
  <c r="A267" i="2"/>
  <c r="A269" i="1" l="1"/>
  <c r="A283" i="7"/>
  <c r="A283" i="4"/>
  <c r="A268" i="3"/>
  <c r="A283" i="13"/>
  <c r="A283" i="15"/>
  <c r="A268" i="2"/>
  <c r="A270" i="1" l="1"/>
  <c r="A284" i="7"/>
  <c r="A284" i="4"/>
  <c r="A269" i="3"/>
  <c r="A284" i="13"/>
  <c r="A284" i="15"/>
  <c r="A269" i="2"/>
  <c r="A285" i="7" l="1"/>
  <c r="A271" i="1"/>
  <c r="A285" i="4"/>
  <c r="A270" i="3"/>
  <c r="A285" i="15"/>
  <c r="A285" i="13"/>
  <c r="A270" i="2"/>
  <c r="A286" i="7" l="1"/>
  <c r="A272" i="1"/>
  <c r="A286" i="4"/>
  <c r="A271" i="3"/>
  <c r="A286" i="13"/>
  <c r="A286" i="15"/>
  <c r="A271" i="2"/>
  <c r="A287" i="7" l="1"/>
  <c r="A287" i="4"/>
  <c r="A273" i="1"/>
  <c r="A272" i="3"/>
  <c r="A287" i="13"/>
  <c r="A287" i="15"/>
  <c r="A272" i="2"/>
  <c r="A288" i="7" l="1"/>
  <c r="A274" i="1"/>
  <c r="A288" i="4"/>
  <c r="A273" i="3"/>
  <c r="A288" i="15"/>
  <c r="A288" i="13"/>
  <c r="A273" i="2"/>
  <c r="A275" i="1" l="1"/>
  <c r="A289" i="7"/>
  <c r="A289" i="4"/>
  <c r="A289" i="15"/>
  <c r="A289" i="13"/>
  <c r="A274" i="3"/>
  <c r="A274" i="2"/>
  <c r="A291" i="7" l="1"/>
  <c r="A276" i="1"/>
  <c r="A291" i="4"/>
  <c r="A291" i="15"/>
  <c r="A291" i="13"/>
  <c r="A275" i="3"/>
  <c r="A275" i="2"/>
  <c r="A277" i="1" l="1"/>
  <c r="A292" i="4"/>
  <c r="A292" i="7"/>
  <c r="A276" i="3"/>
  <c r="A292" i="15"/>
  <c r="A292" i="13"/>
  <c r="A276" i="2"/>
  <c r="A278" i="1" l="1"/>
  <c r="A293" i="7"/>
  <c r="A293" i="4"/>
  <c r="A293" i="15"/>
  <c r="A293" i="13"/>
  <c r="A277" i="3"/>
  <c r="A277" i="2"/>
  <c r="A294" i="7" l="1"/>
  <c r="A279" i="1"/>
  <c r="A294" i="4"/>
  <c r="A278" i="3"/>
  <c r="A294" i="15"/>
  <c r="A294" i="13"/>
  <c r="A278" i="2"/>
  <c r="A295" i="7" l="1"/>
  <c r="A280" i="1"/>
  <c r="A295" i="4"/>
  <c r="A279" i="3"/>
  <c r="A295" i="15"/>
  <c r="A295" i="13"/>
  <c r="A279" i="2"/>
  <c r="A296" i="7" l="1"/>
  <c r="A281" i="1"/>
  <c r="A296" i="4"/>
  <c r="A280" i="3"/>
  <c r="A296" i="13"/>
  <c r="A296" i="15"/>
  <c r="A280" i="2"/>
  <c r="A297" i="7" l="1"/>
  <c r="A282" i="1"/>
  <c r="A297" i="4"/>
  <c r="A281" i="3"/>
  <c r="A297" i="13"/>
  <c r="A297" i="15"/>
  <c r="A281" i="2"/>
  <c r="A298" i="4" l="1"/>
  <c r="A283" i="1"/>
  <c r="A298" i="7"/>
  <c r="A282" i="3"/>
  <c r="A298" i="15"/>
  <c r="A298" i="13"/>
  <c r="A282" i="2"/>
  <c r="A284" i="1" l="1"/>
  <c r="A299" i="4"/>
  <c r="A299" i="7"/>
  <c r="A283" i="3"/>
  <c r="A299" i="13"/>
  <c r="A299" i="15"/>
  <c r="A283" i="2"/>
  <c r="A300" i="7" l="1"/>
  <c r="A285" i="1"/>
  <c r="A300" i="4"/>
  <c r="A284" i="3"/>
  <c r="A300" i="13"/>
  <c r="A300" i="15"/>
  <c r="A284" i="2"/>
  <c r="A286" i="1" l="1"/>
  <c r="A301" i="7"/>
  <c r="A301" i="4"/>
  <c r="A285" i="3"/>
  <c r="A301" i="15"/>
  <c r="A301" i="13"/>
  <c r="A285" i="2"/>
  <c r="A287" i="1" l="1"/>
  <c r="A302" i="7"/>
  <c r="A302" i="4"/>
  <c r="A302" i="15"/>
  <c r="A302" i="13"/>
  <c r="A286" i="3"/>
  <c r="A286" i="2"/>
  <c r="A303" i="7" l="1"/>
  <c r="A288" i="1"/>
  <c r="A303" i="4"/>
  <c r="A303" i="15"/>
  <c r="A303" i="13"/>
  <c r="A287" i="3"/>
  <c r="A287" i="2"/>
  <c r="A304" i="7" l="1"/>
  <c r="A289" i="1"/>
  <c r="A304" i="4"/>
  <c r="A288" i="3"/>
  <c r="A304" i="15"/>
  <c r="A304" i="13"/>
  <c r="A288" i="2"/>
  <c r="A305" i="7" l="1"/>
  <c r="A290" i="1"/>
  <c r="A305" i="4"/>
  <c r="A305" i="15"/>
  <c r="A305" i="13"/>
  <c r="A289" i="3"/>
  <c r="A289" i="2"/>
  <c r="A306" i="7" l="1"/>
  <c r="A291" i="1"/>
  <c r="A306" i="4"/>
  <c r="A290" i="3"/>
  <c r="A306" i="15"/>
  <c r="A306" i="13"/>
  <c r="A290" i="2"/>
  <c r="A307" i="7" l="1"/>
  <c r="A292" i="1"/>
  <c r="A307" i="4"/>
  <c r="A291" i="3"/>
  <c r="A307" i="15"/>
  <c r="A307" i="13"/>
  <c r="A291" i="2"/>
  <c r="A308" i="7" l="1"/>
  <c r="A308" i="4"/>
  <c r="A293" i="1"/>
  <c r="A292" i="3"/>
  <c r="A308" i="15"/>
  <c r="A308" i="13"/>
  <c r="A292" i="2"/>
  <c r="A309" i="4" l="1"/>
  <c r="A309" i="7"/>
  <c r="A294" i="1"/>
  <c r="A293" i="3"/>
  <c r="A309" i="13"/>
  <c r="A309" i="15"/>
  <c r="A293" i="2"/>
  <c r="A310" i="7" l="1"/>
  <c r="A310" i="4"/>
  <c r="A295" i="1"/>
  <c r="A294" i="3"/>
  <c r="A310" i="15"/>
  <c r="A310" i="13"/>
  <c r="A294" i="2"/>
  <c r="A296" i="1" l="1"/>
  <c r="A311" i="4"/>
  <c r="A311" i="7"/>
  <c r="A295" i="3"/>
  <c r="A311" i="13"/>
  <c r="A311" i="15"/>
  <c r="A295" i="2"/>
  <c r="A312" i="7" l="1"/>
  <c r="A297" i="1"/>
  <c r="A312" i="4"/>
  <c r="A296" i="3"/>
  <c r="A312" i="13"/>
  <c r="A312" i="15"/>
  <c r="A296" i="2"/>
  <c r="A313" i="7" l="1"/>
  <c r="A298" i="1"/>
  <c r="A313" i="4"/>
  <c r="A297" i="3"/>
  <c r="A313" i="15"/>
  <c r="A313" i="13"/>
  <c r="A297" i="2"/>
  <c r="A314" i="7" l="1"/>
  <c r="A299" i="1"/>
  <c r="A314" i="4"/>
  <c r="A314" i="15"/>
  <c r="A314" i="13"/>
  <c r="A298" i="3"/>
  <c r="A298" i="2"/>
  <c r="A315" i="7" l="1"/>
  <c r="A300" i="1"/>
  <c r="A315" i="4"/>
  <c r="A299" i="3"/>
  <c r="A315" i="15"/>
  <c r="A315" i="13"/>
  <c r="A299" i="2"/>
  <c r="A316" i="7" l="1"/>
  <c r="A301" i="1"/>
  <c r="A316" i="4"/>
  <c r="A300" i="3"/>
  <c r="A316" i="15"/>
  <c r="A316" i="13"/>
  <c r="A300" i="2"/>
  <c r="A302" i="1" l="1"/>
  <c r="A317" i="4"/>
  <c r="A317" i="7"/>
  <c r="A301" i="3"/>
  <c r="A317" i="15"/>
  <c r="A317" i="13"/>
  <c r="A301" i="2"/>
  <c r="A318" i="4" l="1"/>
  <c r="A303" i="1"/>
  <c r="A318" i="7"/>
  <c r="A302" i="3"/>
  <c r="A318" i="15"/>
  <c r="A318" i="13"/>
  <c r="A302" i="2"/>
  <c r="A304" i="1" l="1"/>
  <c r="A319" i="7"/>
  <c r="A319" i="4"/>
  <c r="A303" i="3"/>
  <c r="A319" i="15"/>
  <c r="A319" i="13"/>
  <c r="A303" i="2"/>
  <c r="A320" i="7" l="1"/>
  <c r="A305" i="1"/>
  <c r="A320" i="4"/>
  <c r="A304" i="3"/>
  <c r="A320" i="15"/>
  <c r="A320" i="13"/>
  <c r="A304" i="2"/>
  <c r="A322" i="7" l="1"/>
  <c r="A306" i="1"/>
  <c r="A322" i="4"/>
  <c r="A305" i="3"/>
  <c r="A322" i="13"/>
  <c r="A322" i="15"/>
  <c r="A305" i="2"/>
  <c r="A323" i="7" l="1"/>
  <c r="A307" i="1"/>
  <c r="A323" i="4"/>
  <c r="A306" i="3"/>
  <c r="A323" i="15"/>
  <c r="A323" i="13"/>
  <c r="A306" i="2"/>
  <c r="A324" i="7" l="1"/>
  <c r="A308" i="1"/>
  <c r="A324" i="4"/>
  <c r="A307" i="3"/>
  <c r="A324" i="13"/>
  <c r="A324" i="15"/>
  <c r="A307" i="2"/>
  <c r="A325" i="7" l="1"/>
  <c r="A325" i="4"/>
  <c r="A309" i="1"/>
  <c r="A308" i="3"/>
  <c r="A325" i="13"/>
  <c r="A325" i="15"/>
  <c r="A308" i="2"/>
  <c r="A326" i="7" l="1"/>
  <c r="A326" i="4"/>
  <c r="A310" i="1"/>
  <c r="A309" i="3"/>
  <c r="A326" i="15"/>
  <c r="A326" i="13"/>
  <c r="A309" i="2"/>
  <c r="A311" i="1" l="1"/>
  <c r="A327" i="7"/>
  <c r="A327" i="4"/>
  <c r="A327" i="15"/>
  <c r="A310" i="3"/>
  <c r="A327" i="13"/>
  <c r="A310" i="2"/>
  <c r="A328" i="7" l="1"/>
  <c r="A312" i="1"/>
  <c r="A328" i="4"/>
  <c r="A328" i="15"/>
  <c r="A311" i="3"/>
  <c r="A328" i="13"/>
  <c r="A311" i="2"/>
  <c r="A313" i="1" l="1"/>
  <c r="A329" i="7"/>
  <c r="A329" i="4"/>
  <c r="A312" i="3"/>
  <c r="A329" i="15"/>
  <c r="A329" i="13"/>
  <c r="A312" i="2"/>
  <c r="A314" i="1" l="1"/>
  <c r="A330" i="7"/>
  <c r="A330" i="4"/>
  <c r="A313" i="3"/>
  <c r="A330" i="15"/>
  <c r="A330" i="13"/>
  <c r="A313" i="2"/>
  <c r="A331" i="7" l="1"/>
  <c r="A315" i="1"/>
  <c r="A331" i="4"/>
  <c r="A314" i="3"/>
  <c r="A331" i="15"/>
  <c r="A331" i="13"/>
  <c r="A314" i="2"/>
  <c r="A332" i="7" l="1"/>
  <c r="A316" i="1"/>
  <c r="A332" i="4"/>
  <c r="A315" i="3"/>
  <c r="A332" i="15"/>
  <c r="A332" i="13"/>
  <c r="A315" i="2"/>
  <c r="A333" i="7" l="1"/>
  <c r="A317" i="1"/>
  <c r="A333" i="4"/>
  <c r="A316" i="3"/>
  <c r="A333" i="13"/>
  <c r="A333" i="15"/>
  <c r="A316" i="2"/>
  <c r="A334" i="7" l="1"/>
  <c r="A318" i="1"/>
  <c r="A334" i="4"/>
  <c r="A317" i="3"/>
  <c r="A334" i="13"/>
  <c r="A334" i="15"/>
  <c r="A317" i="2"/>
  <c r="A335" i="7" l="1"/>
  <c r="A319" i="1"/>
  <c r="A335" i="4"/>
  <c r="A318" i="3"/>
  <c r="A335" i="15"/>
  <c r="A335" i="13"/>
  <c r="A318" i="2"/>
  <c r="A336" i="7" l="1"/>
  <c r="A320" i="1"/>
  <c r="A336" i="4"/>
  <c r="A319" i="3"/>
  <c r="A336" i="13"/>
  <c r="A336" i="15"/>
  <c r="A319" i="2"/>
  <c r="A337" i="7" l="1"/>
  <c r="A337" i="4"/>
  <c r="A321" i="1"/>
  <c r="A320" i="3"/>
  <c r="A337" i="13"/>
  <c r="A337" i="15"/>
  <c r="A320" i="2"/>
  <c r="A322" i="1" l="1"/>
  <c r="A338" i="7"/>
  <c r="A338" i="4"/>
  <c r="A321" i="3"/>
  <c r="A338" i="15"/>
  <c r="A338" i="13"/>
  <c r="A321" i="2"/>
  <c r="A323" i="1" l="1"/>
  <c r="A339" i="7"/>
  <c r="A339" i="4"/>
  <c r="A339" i="15"/>
  <c r="A339" i="13"/>
  <c r="A322" i="3"/>
  <c r="A322" i="2"/>
  <c r="A340" i="7" l="1"/>
  <c r="A324" i="1"/>
  <c r="A340" i="4"/>
  <c r="A340" i="15"/>
  <c r="A340" i="13"/>
  <c r="A323" i="3"/>
  <c r="A323" i="2"/>
  <c r="A325" i="1" l="1"/>
  <c r="A341" i="4"/>
  <c r="A341" i="7"/>
  <c r="A324" i="3"/>
  <c r="A341" i="15"/>
  <c r="A341" i="13"/>
  <c r="A324" i="2"/>
  <c r="A326" i="1" l="1"/>
  <c r="A342" i="7"/>
  <c r="A342" i="4"/>
  <c r="A342" i="15"/>
  <c r="A342" i="13"/>
  <c r="A325" i="3"/>
  <c r="A325" i="2"/>
  <c r="A343" i="7" l="1"/>
  <c r="A327" i="1"/>
  <c r="A343" i="4"/>
  <c r="A326" i="3"/>
  <c r="A343" i="15"/>
  <c r="A343" i="13"/>
  <c r="A326" i="2"/>
  <c r="A344" i="7" l="1"/>
  <c r="A328" i="1"/>
  <c r="A344" i="4"/>
  <c r="A327" i="3"/>
  <c r="A344" i="15"/>
  <c r="A344" i="13"/>
  <c r="A327" i="2"/>
  <c r="A345" i="7" l="1"/>
  <c r="A329" i="1"/>
  <c r="A345" i="4"/>
  <c r="A328" i="3"/>
  <c r="A345" i="13"/>
  <c r="A345" i="15"/>
  <c r="A328" i="2"/>
  <c r="A330" i="1" l="1"/>
  <c r="A346" i="7"/>
  <c r="A346" i="4"/>
  <c r="A329" i="3"/>
  <c r="A346" i="13"/>
  <c r="A346" i="15"/>
  <c r="A329" i="2"/>
  <c r="A331" i="1" l="1"/>
  <c r="A347" i="7"/>
  <c r="A347" i="4"/>
  <c r="A330" i="3"/>
  <c r="A347" i="15"/>
  <c r="A347" i="13"/>
  <c r="A330" i="2"/>
  <c r="A332" i="1" l="1"/>
  <c r="A348" i="7"/>
  <c r="A348" i="4"/>
  <c r="A331" i="3"/>
  <c r="A348" i="13"/>
  <c r="A348" i="15"/>
  <c r="A331" i="2"/>
  <c r="A333" i="1" l="1"/>
  <c r="A349" i="4"/>
  <c r="A349" i="7"/>
  <c r="A332" i="3"/>
  <c r="A349" i="13"/>
  <c r="A349" i="15"/>
  <c r="A332" i="2"/>
  <c r="A334" i="1" l="1"/>
  <c r="A350" i="4"/>
  <c r="A350" i="7"/>
  <c r="A333" i="3"/>
  <c r="A350" i="15"/>
  <c r="A350" i="13"/>
  <c r="A333" i="2"/>
  <c r="A351" i="7" l="1"/>
  <c r="A335" i="1"/>
  <c r="A351" i="4"/>
  <c r="A351" i="15"/>
  <c r="A351" i="13"/>
  <c r="A334" i="2"/>
  <c r="A334" i="3"/>
  <c r="A336" i="1" l="1"/>
  <c r="A352" i="7"/>
  <c r="A352" i="4"/>
  <c r="A352" i="15"/>
  <c r="A352" i="13"/>
  <c r="A335" i="3"/>
  <c r="A335" i="2"/>
  <c r="A337" i="1" l="1"/>
  <c r="A354" i="7"/>
  <c r="A354" i="4"/>
  <c r="A336" i="3"/>
  <c r="A354" i="15"/>
  <c r="A354" i="13"/>
  <c r="A336" i="2"/>
  <c r="A338" i="1" l="1"/>
  <c r="A355" i="7"/>
  <c r="A355" i="4"/>
  <c r="A355" i="15"/>
  <c r="A355" i="13"/>
  <c r="A337" i="3"/>
  <c r="A337" i="2"/>
  <c r="A339" i="1" l="1"/>
  <c r="A356" i="7"/>
  <c r="A356" i="4"/>
  <c r="A338" i="3"/>
  <c r="A356" i="15"/>
  <c r="A356" i="13"/>
  <c r="A338" i="2"/>
  <c r="A340" i="1" l="1"/>
  <c r="A357" i="7"/>
  <c r="A357" i="4"/>
  <c r="A339" i="3"/>
  <c r="A357" i="15"/>
  <c r="A357" i="13"/>
  <c r="A339" i="2"/>
  <c r="A341" i="1" l="1"/>
  <c r="A358" i="4"/>
  <c r="A358" i="7"/>
  <c r="A340" i="3"/>
  <c r="A358" i="15"/>
  <c r="A358" i="13"/>
  <c r="A340" i="2"/>
  <c r="A359" i="4" l="1"/>
  <c r="A359" i="7"/>
  <c r="A342" i="1"/>
  <c r="A341" i="3"/>
  <c r="A359" i="13"/>
  <c r="A359" i="15"/>
  <c r="A341" i="2"/>
  <c r="A360" i="7" l="1"/>
  <c r="A360" i="4"/>
  <c r="A343" i="1"/>
  <c r="A342" i="3"/>
  <c r="A360" i="15"/>
  <c r="A360" i="13"/>
  <c r="A342" i="2"/>
  <c r="A361" i="7" l="1"/>
  <c r="A344" i="1"/>
  <c r="A361" i="4"/>
  <c r="A343" i="3"/>
  <c r="A361" i="13"/>
  <c r="A361" i="15"/>
  <c r="A343" i="2"/>
  <c r="A362" i="7" l="1"/>
  <c r="A362" i="4"/>
  <c r="A345" i="1"/>
  <c r="A344" i="3"/>
  <c r="A362" i="13"/>
  <c r="A362" i="15"/>
  <c r="A344" i="2"/>
  <c r="A346" i="1" l="1"/>
  <c r="A363" i="4"/>
  <c r="A363" i="7"/>
  <c r="A345" i="3"/>
  <c r="A363" i="15"/>
  <c r="A363" i="13"/>
  <c r="A345" i="2"/>
  <c r="A347" i="1" l="1"/>
  <c r="A364" i="7"/>
  <c r="A364" i="4"/>
  <c r="A364" i="15"/>
  <c r="A364" i="13"/>
  <c r="A346" i="3"/>
  <c r="A346" i="2"/>
  <c r="A348" i="1" l="1"/>
  <c r="A365" i="7"/>
  <c r="A365" i="4"/>
  <c r="A347" i="3"/>
  <c r="A365" i="15"/>
  <c r="A365" i="13"/>
  <c r="A347" i="2"/>
  <c r="A349" i="1" l="1"/>
  <c r="A366" i="7"/>
  <c r="A366" i="4"/>
  <c r="A348" i="3"/>
  <c r="A366" i="15"/>
  <c r="A366" i="13"/>
  <c r="A348" i="2"/>
  <c r="A350" i="1" l="1"/>
  <c r="A367" i="7"/>
  <c r="A367" i="4"/>
  <c r="A349" i="3"/>
  <c r="A367" i="15"/>
  <c r="A367" i="13"/>
  <c r="A349" i="2"/>
  <c r="A368" i="7" l="1"/>
  <c r="A351" i="1"/>
  <c r="A368" i="4"/>
  <c r="A350" i="3"/>
  <c r="A368" i="15"/>
  <c r="A368" i="13"/>
  <c r="A350" i="2"/>
  <c r="A369" i="7" l="1"/>
  <c r="A352" i="1"/>
  <c r="A369" i="4"/>
  <c r="A351" i="3"/>
  <c r="A369" i="15"/>
  <c r="A369" i="13"/>
  <c r="A351" i="2"/>
  <c r="A353" i="1" l="1"/>
  <c r="A370" i="4"/>
  <c r="A370" i="7"/>
  <c r="A352" i="3"/>
  <c r="A370" i="15"/>
  <c r="A370" i="13"/>
  <c r="A352" i="2"/>
  <c r="A354" i="1" l="1"/>
  <c r="A371" i="7"/>
  <c r="A371" i="4"/>
  <c r="A353" i="3"/>
  <c r="A371" i="13"/>
  <c r="A371" i="15"/>
  <c r="A353" i="2"/>
  <c r="A355" i="1" l="1"/>
  <c r="A372" i="7"/>
  <c r="A372" i="4"/>
  <c r="A354" i="3"/>
  <c r="A372" i="15"/>
  <c r="A372" i="13"/>
  <c r="A354" i="2"/>
  <c r="A356" i="1" l="1"/>
  <c r="A373" i="7"/>
  <c r="A373" i="4"/>
  <c r="A355" i="3"/>
  <c r="A373" i="13"/>
  <c r="A373" i="15"/>
  <c r="A355" i="2"/>
  <c r="A357" i="1" l="1"/>
  <c r="A374" i="7"/>
  <c r="A374" i="4"/>
  <c r="A356" i="3"/>
  <c r="A374" i="13"/>
  <c r="A374" i="15"/>
  <c r="A356" i="2"/>
  <c r="A358" i="1" l="1"/>
  <c r="A375" i="7"/>
  <c r="A375" i="4"/>
  <c r="A357" i="3"/>
  <c r="A375" i="15"/>
  <c r="A375" i="13"/>
  <c r="A357" i="2"/>
  <c r="A359" i="1" l="1"/>
  <c r="A376" i="7"/>
  <c r="A376" i="4"/>
  <c r="A376" i="15"/>
  <c r="A358" i="3"/>
  <c r="A376" i="13"/>
  <c r="A358" i="2"/>
  <c r="A360" i="1" l="1"/>
  <c r="A377" i="7"/>
  <c r="A377" i="4"/>
  <c r="A377" i="15"/>
  <c r="A359" i="3"/>
  <c r="A377" i="13"/>
  <c r="A359" i="2"/>
  <c r="A378" i="7" l="1"/>
  <c r="A361" i="1"/>
  <c r="A378" i="4"/>
  <c r="A360" i="3"/>
  <c r="A378" i="15"/>
  <c r="A378" i="13"/>
  <c r="A360" i="2"/>
  <c r="A379" i="7" l="1"/>
  <c r="A379" i="4"/>
  <c r="A362" i="1"/>
  <c r="A361" i="3"/>
  <c r="A379" i="15"/>
  <c r="A379" i="13"/>
  <c r="A361" i="2"/>
  <c r="A380" i="7" l="1"/>
  <c r="A380" i="4"/>
  <c r="A363" i="1"/>
  <c r="A362" i="3"/>
  <c r="A380" i="15"/>
  <c r="A380" i="13"/>
  <c r="A362" i="2"/>
  <c r="A381" i="7" l="1"/>
  <c r="A364" i="1"/>
  <c r="A381" i="4"/>
  <c r="A363" i="3"/>
  <c r="A381" i="15"/>
  <c r="A381" i="13"/>
  <c r="A363" i="2"/>
  <c r="A365" i="1" l="1"/>
  <c r="A382" i="7"/>
  <c r="A382" i="4"/>
  <c r="A364" i="3"/>
  <c r="A382" i="13"/>
  <c r="A382" i="15"/>
  <c r="A364" i="2"/>
  <c r="A366" i="1" l="1"/>
  <c r="A383" i="7"/>
  <c r="A383" i="4"/>
  <c r="A365" i="3"/>
  <c r="A383" i="13"/>
  <c r="A383" i="15"/>
  <c r="A365" i="2"/>
  <c r="A384" i="4" l="1"/>
  <c r="A384" i="7"/>
  <c r="A366" i="3"/>
  <c r="A384" i="15"/>
  <c r="A384" i="13"/>
  <c r="A366" i="2"/>
  <c r="I10" i="12"/>
  <c r="I11" i="12"/>
  <c r="I12" i="12" s="1"/>
  <c r="I11" i="11"/>
  <c r="H10" i="12"/>
  <c r="H11" i="11"/>
  <c r="H10" i="11"/>
  <c r="I10" i="11"/>
  <c r="H11" i="12"/>
  <c r="H13" i="12" l="1"/>
  <c r="H62" i="12" s="1"/>
  <c r="I21" i="12"/>
  <c r="I20" i="11"/>
  <c r="I21" i="11"/>
  <c r="H21" i="11"/>
  <c r="I20" i="12"/>
  <c r="H20" i="12"/>
  <c r="H21" i="12"/>
  <c r="H20" i="11"/>
  <c r="G73" i="11"/>
  <c r="D73" i="11"/>
  <c r="I73" i="11"/>
  <c r="C73" i="11"/>
  <c r="E73" i="11"/>
  <c r="H73" i="11"/>
  <c r="F73" i="11"/>
  <c r="H71" i="11"/>
  <c r="F71" i="11"/>
  <c r="E71" i="11"/>
  <c r="G71" i="11"/>
  <c r="D71" i="11"/>
  <c r="I71" i="11"/>
  <c r="C71" i="11"/>
  <c r="I43" i="11"/>
  <c r="I43" i="12"/>
  <c r="H34" i="11"/>
  <c r="G46" i="11"/>
  <c r="I52" i="11"/>
  <c r="F49" i="11"/>
  <c r="H49" i="11"/>
  <c r="H43" i="11"/>
  <c r="F26" i="11"/>
  <c r="I46" i="11"/>
  <c r="F52" i="11"/>
  <c r="H43" i="12"/>
  <c r="G34" i="11"/>
  <c r="H52" i="11"/>
  <c r="G35" i="11"/>
  <c r="I34" i="11"/>
  <c r="I35" i="11"/>
  <c r="I49" i="11"/>
  <c r="G52" i="11"/>
  <c r="H35" i="11"/>
  <c r="F28" i="11"/>
  <c r="F46" i="11"/>
  <c r="H46" i="11"/>
  <c r="G43" i="11"/>
  <c r="G49" i="11"/>
  <c r="F43" i="11"/>
  <c r="G43" i="12"/>
  <c r="I62" i="11"/>
  <c r="E60" i="11"/>
  <c r="G61" i="11"/>
  <c r="E62" i="11"/>
  <c r="B61" i="11"/>
  <c r="E58" i="11"/>
  <c r="H58" i="12"/>
  <c r="H59" i="12"/>
  <c r="E59" i="11"/>
  <c r="I58" i="11"/>
  <c r="G58" i="11"/>
  <c r="E61" i="11"/>
  <c r="G60" i="11"/>
  <c r="B60" i="11"/>
  <c r="G62" i="11"/>
  <c r="H60" i="12"/>
  <c r="I60" i="11"/>
  <c r="I59" i="11"/>
  <c r="I61" i="11"/>
  <c r="G59" i="11"/>
  <c r="B62" i="11"/>
  <c r="B17" i="12"/>
  <c r="C22" i="11"/>
  <c r="C23" i="11"/>
  <c r="B23" i="11"/>
  <c r="C21" i="11"/>
  <c r="C17" i="12"/>
  <c r="B22" i="11"/>
  <c r="H12" i="11"/>
  <c r="B63" i="11" s="1"/>
  <c r="C47" i="11"/>
  <c r="H57" i="12"/>
  <c r="B44" i="11"/>
  <c r="B48" i="11"/>
  <c r="C39" i="12"/>
  <c r="D39" i="12" s="1"/>
  <c r="B45" i="11"/>
  <c r="B46" i="11"/>
  <c r="C43" i="11"/>
  <c r="D43" i="11" s="1"/>
  <c r="D54" i="11"/>
  <c r="C37" i="12"/>
  <c r="B41" i="12"/>
  <c r="C44" i="11"/>
  <c r="B59" i="11"/>
  <c r="B47" i="11"/>
  <c r="C41" i="11"/>
  <c r="C42" i="12"/>
  <c r="B43" i="12"/>
  <c r="B38" i="12"/>
  <c r="D38" i="12" s="1"/>
  <c r="C45" i="11"/>
  <c r="B42" i="12"/>
  <c r="C41" i="12"/>
  <c r="C48" i="11"/>
  <c r="B49" i="11"/>
  <c r="D53" i="11"/>
  <c r="D52" i="11"/>
  <c r="B41" i="11"/>
  <c r="C43" i="12"/>
  <c r="C49" i="11"/>
  <c r="C42" i="11"/>
  <c r="D42" i="11" s="1"/>
  <c r="C46" i="11"/>
  <c r="D23" i="11" l="1"/>
  <c r="D22" i="11"/>
  <c r="D17" i="12"/>
  <c r="D44" i="11"/>
  <c r="D47" i="11"/>
  <c r="B32" i="11" s="1"/>
  <c r="D42" i="12"/>
  <c r="B50" i="11"/>
  <c r="D41" i="11"/>
  <c r="C50" i="11"/>
  <c r="I12" i="11"/>
  <c r="C30" i="11" s="1"/>
  <c r="D49" i="11"/>
  <c r="D41" i="12"/>
  <c r="B58" i="11"/>
  <c r="B30" i="11" s="1"/>
  <c r="D37" i="12"/>
  <c r="C44" i="12"/>
  <c r="D46" i="11"/>
  <c r="B31" i="11" s="1"/>
  <c r="D45" i="11"/>
  <c r="C32" i="11"/>
  <c r="D32" i="11" s="1"/>
  <c r="D43" i="12"/>
  <c r="H56" i="12"/>
  <c r="D48" i="11"/>
  <c r="B33" i="11" s="1"/>
  <c r="I13" i="12"/>
  <c r="D44" i="12" l="1"/>
  <c r="D30" i="11"/>
  <c r="B35" i="11"/>
  <c r="C33" i="11"/>
  <c r="D33" i="11" s="1"/>
  <c r="D50" i="11"/>
  <c r="C31" i="11"/>
  <c r="D31" i="11" s="1"/>
  <c r="B11" i="11" l="1"/>
  <c r="B13" i="11"/>
  <c r="B12" i="11"/>
  <c r="D35" i="11"/>
  <c r="B21" i="11" l="1"/>
  <c r="D21" i="11" s="1"/>
  <c r="C35" i="11"/>
  <c r="C13" i="11"/>
  <c r="D13" i="11" s="1"/>
  <c r="C11" i="11"/>
  <c r="D11" i="11" s="1"/>
  <c r="C12" i="11"/>
  <c r="D12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dleonard</author>
  </authors>
  <commentList>
    <comment ref="A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CHANGE DATE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MHiggins</author>
  </authors>
  <commentList>
    <comment ref="O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MHiggins:</t>
        </r>
        <r>
          <rPr>
            <sz val="8"/>
            <color indexed="81"/>
            <rFont val="Tahoma"/>
            <family val="2"/>
          </rPr>
          <t xml:space="preserve">
Recalibrated tank again</t>
        </r>
      </text>
    </comment>
    <comment ref="X97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MHiggins:</t>
        </r>
        <r>
          <rPr>
            <sz val="8"/>
            <color indexed="81"/>
            <rFont val="Tahoma"/>
            <family val="2"/>
          </rPr>
          <t xml:space="preserve">
on sheet
</t>
        </r>
      </text>
    </comment>
    <comment ref="X101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MHiggins:</t>
        </r>
        <r>
          <rPr>
            <sz val="8"/>
            <color indexed="81"/>
            <rFont val="Tahoma"/>
            <family val="2"/>
          </rPr>
          <t xml:space="preserve">
no samples taken …Harry was not informed they were even vaporizing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dleonard</author>
  </authors>
  <commentList>
    <comment ref="C7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INPUT DATA FROM PRIOR FISCAL YEAR
WORKSHEET - SENDOUT
COLUMN       - THIS YEAR DAILY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INFORMATION PROVIDED BY GAS PLANNING
INPUT FROM DEGREE DAY WORKBOOK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MHiggins</author>
  </authors>
  <commentList>
    <comment ref="K202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MHiggins:</t>
        </r>
        <r>
          <rPr>
            <sz val="8"/>
            <color indexed="81"/>
            <rFont val="Tahoma"/>
            <family val="2"/>
          </rPr>
          <t xml:space="preserve">
Called 2 times for sheet</t>
        </r>
      </text>
    </comment>
    <comment ref="Y239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MHiggins:</t>
        </r>
        <r>
          <rPr>
            <sz val="8"/>
            <color indexed="81"/>
            <rFont val="Tahoma"/>
            <family val="2"/>
          </rPr>
          <t xml:space="preserve">
Decimal point was changed ( was incorrect 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2DF850-CB13-44AF-9D19-770A522C791C}" keepAlive="1" name="Query - LNG" description="Connection to the 'LNG' query in the workbook." type="5" refreshedVersion="8" background="1" saveData="1">
    <dbPr connection="Provider=Microsoft.Mashup.OleDb.1;Data Source=$Workbook$;Location=LNG;Extended Properties=&quot;&quot;" command="SELECT * FROM [LNG]"/>
  </connection>
  <connection id="2" xr16:uid="{09908BB1-98D1-45D1-95D5-1380825FAFC3}" keepAlive="1" name="Query - pipeline_2007" description="Connection to the 'pipeline_2007' query in the workbook." type="5" refreshedVersion="0" background="1" saveData="1">
    <dbPr connection="Provider=Microsoft.Mashup.OleDb.1;Data Source=$Workbook$;Location=pipeline_2007;Extended Properties=&quot;&quot;" command="SELECT * FROM [pipeline_2007]"/>
  </connection>
  <connection id="3" xr16:uid="{49DD10A6-FC3F-4120-B0AC-D62DB83835EC}" keepAlive="1" name="Query - pipeline_2007 (2)" description="Connection to the 'pipeline_2007 (2)' query in the workbook." type="5" refreshedVersion="8" background="1" saveData="1">
    <dbPr connection="Provider=Microsoft.Mashup.OleDb.1;Data Source=$Workbook$;Location=&quot;pipeline_2007 (2)&quot;;Extended Properties=&quot;&quot;" command="SELECT * FROM [pipeline_2007 (2)]"/>
  </connection>
  <connection id="4" xr16:uid="{00000000-0015-0000-FFFF-FFFF00000000}" keepAlive="1" name="Query - stations_2007" description="Connection to the 'stations_2007' query in the workbook." type="5" refreshedVersion="8" background="1" saveData="1">
    <dbPr connection="Provider=Microsoft.Mashup.OleDb.1;Data Source=$Workbook$;Location=stations_2007;Extended Properties=&quot;&quot;" command="SELECT * FROM [stations_2007]"/>
  </connection>
  <connection id="5" xr16:uid="{24D756C3-641D-42F2-B71E-AEDC7BD79459}" keepAlive="1" name="Query - weather_2007" description="Connection to the 'weather_2007' query in the workbook." type="5" refreshedVersion="8" background="1" saveData="1">
    <dbPr connection="Provider=Microsoft.Mashup.OleDb.1;Data Source=$Workbook$;Location=weather_2007;Extended Properties=&quot;&quot;" command="SELECT * FROM [weather_2007]"/>
  </connection>
</connections>
</file>

<file path=xl/sharedStrings.xml><?xml version="1.0" encoding="utf-8"?>
<sst xmlns="http://schemas.openxmlformats.org/spreadsheetml/2006/main" count="59574" uniqueCount="414">
  <si>
    <t>(ALL VOLUMES ARE REPORTED IN MCF UNLESS OTHERWISE NOTED)</t>
  </si>
  <si>
    <t>DAY:</t>
  </si>
  <si>
    <t>DATE:</t>
  </si>
  <si>
    <t>SENDOUT</t>
  </si>
  <si>
    <t>THIS DAY</t>
  </si>
  <si>
    <t>MONTH-TO-DATE</t>
  </si>
  <si>
    <t>THIS YEAR</t>
  </si>
  <si>
    <t>LAST YEAR</t>
  </si>
  <si>
    <t>CURRENT YEAR</t>
  </si>
  <si>
    <t>+ OR (-)</t>
  </si>
  <si>
    <t>BUDGET</t>
  </si>
  <si>
    <t>ACTUAL</t>
  </si>
  <si>
    <t>FY -TO-DATE</t>
  </si>
  <si>
    <t>MCF</t>
  </si>
  <si>
    <t>BTU</t>
  </si>
  <si>
    <t>DTH</t>
  </si>
  <si>
    <t>NATURAL GAS</t>
  </si>
  <si>
    <t>TOTAL</t>
  </si>
  <si>
    <t>BUDGET COMPARISON (DTH)</t>
  </si>
  <si>
    <t>PASSYUNK</t>
  </si>
  <si>
    <t>RICHMOND</t>
  </si>
  <si>
    <t>BEGINNING INV.</t>
  </si>
  <si>
    <t>LNG SHIPPED</t>
  </si>
  <si>
    <t>LNG RECEIVED</t>
  </si>
  <si>
    <t>VAPORIZATION</t>
  </si>
  <si>
    <t xml:space="preserve">BOILOFF </t>
  </si>
  <si>
    <t>ENDING LNG INV.</t>
  </si>
  <si>
    <t>NATURAL GAS UTILIZED</t>
  </si>
  <si>
    <t xml:space="preserve">    SENDOUT</t>
  </si>
  <si>
    <t xml:space="preserve">    LNG FUEL</t>
  </si>
  <si>
    <t xml:space="preserve">    N.G. FUEL</t>
  </si>
  <si>
    <t xml:space="preserve">    OTHER FUEL</t>
  </si>
  <si>
    <t xml:space="preserve">    TOTAL</t>
  </si>
  <si>
    <t>NATURAL GAS RECEIPTS</t>
  </si>
  <si>
    <t>TETCO</t>
  </si>
  <si>
    <t>TRANSCO</t>
  </si>
  <si>
    <t>STORAGE UTILIZATION</t>
  </si>
  <si>
    <t>SENDOUT (MCF)</t>
  </si>
  <si>
    <t>TEMPERATURES</t>
  </si>
  <si>
    <t>HIGH</t>
  </si>
  <si>
    <t>LOW</t>
  </si>
  <si>
    <t>AVERAGE</t>
  </si>
  <si>
    <t>NUMBER OF DEGREE DAYS</t>
  </si>
  <si>
    <t>THIS</t>
  </si>
  <si>
    <t>YEAR</t>
  </si>
  <si>
    <t>LAST</t>
  </si>
  <si>
    <t>NORMAL</t>
  </si>
  <si>
    <t>DAY</t>
  </si>
  <si>
    <t>MONTH</t>
  </si>
  <si>
    <t>TO-DATE</t>
  </si>
  <si>
    <t>TO MAR 31</t>
  </si>
  <si>
    <t>NOV 1</t>
  </si>
  <si>
    <t xml:space="preserve">    LIQUEFIED</t>
  </si>
  <si>
    <t>DAILY GAS PROCESSING DEPARTMENTAL REPORT</t>
  </si>
  <si>
    <t>COMPOSITION OF SENDOUT</t>
  </si>
  <si>
    <t>LIQUEFIED NATURAL GAS</t>
  </si>
  <si>
    <t>N.G. LIQUEFIED</t>
  </si>
  <si>
    <t>FY</t>
  </si>
  <si>
    <t>DATE</t>
  </si>
  <si>
    <t>EQUIT INJ</t>
  </si>
  <si>
    <t>FTS-2</t>
  </si>
  <si>
    <t>SS1-A INJ</t>
  </si>
  <si>
    <t>SS1-A WD</t>
  </si>
  <si>
    <t>CNG INJ</t>
  </si>
  <si>
    <t>FT7/FT8 WD</t>
  </si>
  <si>
    <t>BD INJ</t>
  </si>
  <si>
    <t>BD WD</t>
  </si>
  <si>
    <t>ANR INJ</t>
  </si>
  <si>
    <t>ANR WD</t>
  </si>
  <si>
    <t>FT-1</t>
  </si>
  <si>
    <t>IT</t>
  </si>
  <si>
    <t>S2 INJ</t>
  </si>
  <si>
    <t>S2 WD</t>
  </si>
  <si>
    <t>GSS INJ</t>
  </si>
  <si>
    <t>GSS WD</t>
  </si>
  <si>
    <t>WSS INJ</t>
  </si>
  <si>
    <t>WSS WD</t>
  </si>
  <si>
    <t>EMM INJ</t>
  </si>
  <si>
    <t>EMM WD</t>
  </si>
  <si>
    <t>FT</t>
  </si>
  <si>
    <t>INJ FUEL</t>
  </si>
  <si>
    <t>0-30</t>
  </si>
  <si>
    <t>0-34</t>
  </si>
  <si>
    <t>0-60</t>
  </si>
  <si>
    <t>PENROSE</t>
  </si>
  <si>
    <t>WHITMAN</t>
  </si>
  <si>
    <t>ASHMEAD</t>
  </si>
  <si>
    <t>SOMERTON</t>
  </si>
  <si>
    <t>IVYHILL</t>
  </si>
  <si>
    <t>LIQUEFACTION</t>
  </si>
  <si>
    <t>BOILOFF</t>
  </si>
  <si>
    <t>SALES</t>
  </si>
  <si>
    <t>MONTH TO DATE</t>
  </si>
  <si>
    <t>FY TO DATE</t>
  </si>
  <si>
    <t>DAILY</t>
  </si>
  <si>
    <t>LNG</t>
  </si>
  <si>
    <t>RICHMOND PLANT NG UTILIZATION</t>
  </si>
  <si>
    <t>CATERPILLAR</t>
  </si>
  <si>
    <t>H1 HEATER</t>
  </si>
  <si>
    <t>HEATER</t>
  </si>
  <si>
    <t>BOILERS</t>
  </si>
  <si>
    <t>HEATERS</t>
  </si>
  <si>
    <t>COMPRESSOR</t>
  </si>
  <si>
    <t>NG</t>
  </si>
  <si>
    <t>GAS</t>
  </si>
  <si>
    <t>MAIN</t>
  </si>
  <si>
    <t>GENERATORS</t>
  </si>
  <si>
    <t>RICHMOND PLANT</t>
  </si>
  <si>
    <t>PASSYUNK PLANT</t>
  </si>
  <si>
    <t>NEBRASKA</t>
  </si>
  <si>
    <t>PASSYUNK PLANT NG UTILIZATION</t>
  </si>
  <si>
    <t>COMPRESSORS</t>
  </si>
  <si>
    <t>CLARK LNG</t>
  </si>
  <si>
    <t>RIVER WATER</t>
  </si>
  <si>
    <t>PUMPS</t>
  </si>
  <si>
    <t xml:space="preserve">UNDER </t>
  </si>
  <si>
    <t>TANK</t>
  </si>
  <si>
    <t>UTILIZATION</t>
  </si>
  <si>
    <t>SERVICES</t>
  </si>
  <si>
    <t>WITHDRAWALS</t>
  </si>
  <si>
    <t>SS1-B INJ</t>
  </si>
  <si>
    <t>SS1-B WD</t>
  </si>
  <si>
    <t>LNG SALES</t>
  </si>
  <si>
    <t>LNG SERVICES</t>
  </si>
  <si>
    <t>BUDGET YEAR</t>
  </si>
  <si>
    <t xml:space="preserve">LNG SALES </t>
  </si>
  <si>
    <t>LNG - VAPORIZED</t>
  </si>
  <si>
    <t>Other</t>
  </si>
  <si>
    <t>M&amp;R</t>
  </si>
  <si>
    <t>STATIONS</t>
  </si>
  <si>
    <t>OTHER</t>
  </si>
  <si>
    <t>TOTAL UTILIZATION</t>
  </si>
  <si>
    <t>LNG - BOILOFF</t>
  </si>
  <si>
    <t>THIS YEAR  -  MCF</t>
  </si>
  <si>
    <t>ACTUAL YEAR  -  DTH</t>
  </si>
  <si>
    <t>=&gt;</t>
  </si>
  <si>
    <t>INJECTIONS</t>
  </si>
  <si>
    <t>ADJUSTED SENDOUT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</si>
  <si>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</si>
  <si>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</si>
  <si>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</si>
  <si>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</si>
  <si>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</si>
  <si>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</si>
  <si>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</si>
  <si>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</si>
  <si>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</si>
  <si>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</si>
  <si>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</si>
  <si>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</si>
  <si>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FACILITIES</t>
  </si>
  <si>
    <r>
      <t>GTS</t>
    </r>
    <r>
      <rPr>
        <i/>
        <u/>
        <sz val="10"/>
        <rFont val="Times New Roman"/>
        <family val="1"/>
      </rPr>
      <t xml:space="preserve"> (Sales &amp; Services)</t>
    </r>
  </si>
  <si>
    <t xml:space="preserve"> ELECTRIC</t>
  </si>
  <si>
    <t>SOLAR</t>
  </si>
  <si>
    <t>PLANT</t>
  </si>
  <si>
    <t>USAGE</t>
  </si>
  <si>
    <t xml:space="preserve">EXPANDER = </t>
  </si>
  <si>
    <t>TETC</t>
  </si>
  <si>
    <t>CITY</t>
  </si>
  <si>
    <t>ALLEGHENY</t>
  </si>
  <si>
    <t>MIXED</t>
  </si>
  <si>
    <t xml:space="preserve">CASCADE as of 4/17/03= </t>
  </si>
  <si>
    <t>LNG VAPORIZED FY TO DATE</t>
  </si>
  <si>
    <t>LNG LIQUEFIED FY TO DATE</t>
  </si>
  <si>
    <t xml:space="preserve"> BARTON TITRATOR READINGS (LBS PER MMCF)</t>
  </si>
  <si>
    <t>STORAGE UTILIZATION (MCF)</t>
  </si>
  <si>
    <t>YEARLY GAS PROCESSING DEPARTMENTAL REPORT</t>
  </si>
  <si>
    <t xml:space="preserve"> YEARLY</t>
  </si>
  <si>
    <t>YEARLY LIQUEFIED NATURAL GAS</t>
  </si>
  <si>
    <t>AVERAGE YEARLY</t>
  </si>
  <si>
    <t>AVERAGE YEARLY ODOR TEST - % OF GAS IN AIR</t>
  </si>
  <si>
    <t>E-165 HEATER</t>
  </si>
  <si>
    <t>EXPANDER</t>
  </si>
  <si>
    <t>ALLEG</t>
  </si>
  <si>
    <t>NG FUEL UTILIZATION</t>
  </si>
  <si>
    <t>ODORANT TEST (% of gas in air)</t>
  </si>
  <si>
    <t>BARTON TITRATOR (lbs per mmcf)</t>
  </si>
  <si>
    <r>
      <t xml:space="preserve">GAS CONDITIONING DATA </t>
    </r>
    <r>
      <rPr>
        <sz val="8"/>
        <rFont val="Times New Roman"/>
        <family val="1"/>
      </rPr>
      <t>(AVERAGE DAILY AMOUNT)</t>
    </r>
  </si>
  <si>
    <t/>
  </si>
  <si>
    <t>BARTON TITRATOR READINGS</t>
  </si>
  <si>
    <t>ODOR TEST - % GAS IN AIR</t>
  </si>
  <si>
    <t xml:space="preserve">CITY </t>
  </si>
  <si>
    <t xml:space="preserve">ODORANT </t>
  </si>
  <si>
    <t>NATURAL</t>
  </si>
  <si>
    <t>USED (LBS)</t>
  </si>
  <si>
    <t>Date</t>
  </si>
  <si>
    <t>Max.</t>
  </si>
  <si>
    <t>Min.</t>
  </si>
  <si>
    <t>Avg.</t>
  </si>
  <si>
    <t>PACKAGE</t>
  </si>
  <si>
    <t>DAILY SENDOUT INFORMATION</t>
  </si>
  <si>
    <t>NEW FISCAL YEAR</t>
  </si>
  <si>
    <t>CLICK ZERO BUTTON (DELETES ALL BLUE CELLS)</t>
  </si>
  <si>
    <t>H3</t>
  </si>
  <si>
    <t>REGEN</t>
  </si>
  <si>
    <t>H2</t>
  </si>
  <si>
    <t xml:space="preserve">C-5RA SOLAR </t>
  </si>
  <si>
    <t xml:space="preserve">C-5RB SOLAR </t>
  </si>
  <si>
    <t>SHIPPED</t>
  </si>
  <si>
    <t>RECEIVED</t>
  </si>
  <si>
    <t>LIQUEFIED - CASCADE</t>
  </si>
  <si>
    <t>LIQUEFIED - EXPANDER</t>
  </si>
  <si>
    <t>GAS DAY BEGINS AT 10:00 AM AND ENDS AT 9:59 AM</t>
  </si>
  <si>
    <t>NG HEATERS-R</t>
  </si>
  <si>
    <t>NG HEATERS-P</t>
  </si>
  <si>
    <t>M&amp;R HEATERS</t>
  </si>
  <si>
    <t>ENTER LAST YEAR'S SENDOUT DATA (SENDOUT WORKSHEET - ORANGE CELLS)</t>
  </si>
  <si>
    <t>ENTER BUDGET SENDOUT DATA (SENDOUT WORKSHEET - GREEN CELLS)</t>
  </si>
  <si>
    <t>CHANGE THE FIRST DAY OF NEW FISCAL YEAR (M&amp;R STATION WORKSHEET - CELL A8)</t>
  </si>
  <si>
    <t>ENTER RICHMOND PLANT'S ENDING INVENTORY ON 8/31 (LNG FACILITIES WORKSHEET - ORANGE CELLS)</t>
  </si>
  <si>
    <t>ENTER PASSYUNK PLANT'S ENDING INVENTORY ON 8/31 (LNG FACILITIES WORKSHEET - ORANGE CELLS)</t>
  </si>
  <si>
    <t>ENTER LAST YEAR'S TEMPERATURE DATA (WEATHER WORKSHEET - ORANGE CELLS)</t>
  </si>
  <si>
    <t>ENTER BUDGET DEGREE DAY DATA (WEATHER WORKSHEET - GREEN CELLS)</t>
  </si>
  <si>
    <t>MERGE GSD REPORT FOR EMAIL</t>
  </si>
  <si>
    <t>CLICK MERGE BUTTON</t>
  </si>
  <si>
    <t>DELETE OTHER WORKSHEETS IN THE WORKBOOK LABELED EMAIL - GSD REPORT</t>
  </si>
  <si>
    <t>OFF</t>
  </si>
  <si>
    <t>GAS DAY:</t>
  </si>
  <si>
    <r>
      <t xml:space="preserve">LNG LIQUEFIED FY TO DATE - </t>
    </r>
    <r>
      <rPr>
        <sz val="8"/>
        <color indexed="12"/>
        <rFont val="Times New Roman"/>
        <family val="1"/>
      </rPr>
      <t>CASCADE</t>
    </r>
  </si>
  <si>
    <r>
      <t xml:space="preserve">LNG LIQUIFIED FY TO DATE - </t>
    </r>
    <r>
      <rPr>
        <sz val="8"/>
        <color indexed="12"/>
        <rFont val="Times New Roman"/>
        <family val="1"/>
      </rPr>
      <t>EXPANDER</t>
    </r>
  </si>
  <si>
    <t>OOS</t>
  </si>
  <si>
    <t>LNG SHIPPED BY TRUCK</t>
  </si>
  <si>
    <t>LNG RECEIVED BY TRUCK</t>
  </si>
  <si>
    <t xml:space="preserve">DESIGN </t>
  </si>
  <si>
    <t>RWP ENGINES - R</t>
  </si>
  <si>
    <t>UNDERTANK HEATERS - R</t>
  </si>
  <si>
    <t>H1 HEATERS - R</t>
  </si>
  <si>
    <t>LNG COMPRESSORS - R</t>
  </si>
  <si>
    <t>PACKAGE HTG BOILER - R</t>
  </si>
  <si>
    <t>H2 HEATER - R</t>
  </si>
  <si>
    <t>H3 HEATER - R</t>
  </si>
  <si>
    <t xml:space="preserve"> LNG BOILERS - P</t>
  </si>
  <si>
    <t>E165 HEATER - R</t>
  </si>
  <si>
    <t>C-5RA B.O. - R</t>
  </si>
  <si>
    <t xml:space="preserve">C-5RB B.O - R. </t>
  </si>
  <si>
    <t xml:space="preserve"> GENERATORS - R</t>
  </si>
  <si>
    <t xml:space="preserve"> ( Kewanee )</t>
  </si>
  <si>
    <t>EAST</t>
  </si>
  <si>
    <t>MOSTLY CLOUDY / SHOWERS</t>
  </si>
  <si>
    <t>RAIN</t>
  </si>
  <si>
    <t>NORTHWEST</t>
  </si>
  <si>
    <t>PARTLY CLOUDY</t>
  </si>
  <si>
    <t>WEST</t>
  </si>
  <si>
    <t>SUNNY</t>
  </si>
  <si>
    <t>AM RAIN / PM CLEARING</t>
  </si>
  <si>
    <t>SOUTHWEST</t>
  </si>
  <si>
    <t>NORTHEAST</t>
  </si>
  <si>
    <t xml:space="preserve">SOUTH </t>
  </si>
  <si>
    <t>MOSTLY CLOUDY / PM SHOWERS</t>
  </si>
  <si>
    <t>SOUTHEAST</t>
  </si>
  <si>
    <t>NORTH</t>
  </si>
  <si>
    <t>CLOUDY</t>
  </si>
  <si>
    <t>SOUTH</t>
  </si>
  <si>
    <t>CLOUDY / SHOWERS</t>
  </si>
  <si>
    <t>AM RAIN / PM SUNNY</t>
  </si>
  <si>
    <t>MOSTLY CLOUDY / RAIN</t>
  </si>
  <si>
    <t>AM CLOUDS / PM SUNNY</t>
  </si>
  <si>
    <t>MOSTLY SUNNY</t>
  </si>
  <si>
    <t>INCREASING CLOUDS</t>
  </si>
  <si>
    <t>MOSTLY CLOUDY</t>
  </si>
  <si>
    <t>AM RAIN / PM CLOUDY</t>
  </si>
  <si>
    <t>MOSTLY CLOUDY/RAIN</t>
  </si>
  <si>
    <t>CALM</t>
  </si>
  <si>
    <t xml:space="preserve"> CLOUDY/RAIN/ PM WINDS</t>
  </si>
  <si>
    <t>SUN &amp; CLOUDS</t>
  </si>
  <si>
    <t xml:space="preserve">NORTH </t>
  </si>
  <si>
    <t>AM RAIN THEN SUNNY</t>
  </si>
  <si>
    <t>SUN ENDING PM RAIN</t>
  </si>
  <si>
    <t>RAIN / AFT SUN</t>
  </si>
  <si>
    <t>SUN / CLOUDS</t>
  </si>
  <si>
    <t>AM SNOW THEN SUNSHINE</t>
  </si>
  <si>
    <t>CLOUDY / PM SNOW</t>
  </si>
  <si>
    <t>CLOUDY / SNOW / RAIN</t>
  </si>
  <si>
    <t>FLURRIES / CLOUDS / SUN</t>
  </si>
  <si>
    <t>NORHWEST</t>
  </si>
  <si>
    <t>CLOUDY / FLURRIES</t>
  </si>
  <si>
    <t>RAIN / SNOW</t>
  </si>
  <si>
    <t>SNOW</t>
  </si>
  <si>
    <t>FREEZING RAIN / SNOW</t>
  </si>
  <si>
    <t xml:space="preserve">CLOUDY </t>
  </si>
  <si>
    <t>CLOUDS / THUNDER STRM / SUN</t>
  </si>
  <si>
    <t>SNOW / FREEZING RAIN</t>
  </si>
  <si>
    <t>AM RAIN THEN CLEARING</t>
  </si>
  <si>
    <t xml:space="preserve">CLOUDY / PM HEAVY RAIN </t>
  </si>
  <si>
    <t>AM SUN / AFT CLOUDS</t>
  </si>
  <si>
    <t>CLOUDY/PM RAIN</t>
  </si>
  <si>
    <t>CLOUDY/CH.RAIN/SNOW</t>
  </si>
  <si>
    <t>CLOUDS/RAIN/SNOW</t>
  </si>
  <si>
    <t>CLOUDS/CH. SNOW</t>
  </si>
  <si>
    <t>CLOUDY/CH.RAIN</t>
  </si>
  <si>
    <t>CLOUDS,CH.OF RAIN</t>
  </si>
  <si>
    <t>CLOUDS, SHOWERS</t>
  </si>
  <si>
    <t>HEAVY RAIN</t>
  </si>
  <si>
    <t>SNOW, RAIN</t>
  </si>
  <si>
    <t>CLOUDS,SCAT.SHOWERS</t>
  </si>
  <si>
    <t>CLOUDY,SCAT.SHOWERS</t>
  </si>
  <si>
    <t>CLOUDY,SHOWERS</t>
  </si>
  <si>
    <t>AM RAIN / PM SUNSHINE</t>
  </si>
  <si>
    <t>ALL SUNSHINE</t>
  </si>
  <si>
    <t>SUNSHINE</t>
  </si>
  <si>
    <t>AM SUN / PM THUNDER STORMS</t>
  </si>
  <si>
    <t>SUNSHINE / PM T-STORMS</t>
  </si>
  <si>
    <t>PARTLY CLOUDY / SHOWERS</t>
  </si>
  <si>
    <t>CLOUDY / RAIN</t>
  </si>
  <si>
    <t>SUNNY / HOT / HUMID</t>
  </si>
  <si>
    <t>EARLY SHOWERS TO SUNSHINE</t>
  </si>
  <si>
    <t>MOSTLY CLOUDY/SHOWERS</t>
  </si>
  <si>
    <t>RAIN / CLOUDY</t>
  </si>
  <si>
    <t>HOT / HUMID / PM RAIN</t>
  </si>
  <si>
    <t>PARTLY SUNNY</t>
  </si>
  <si>
    <t>CLOUDS/SHOWERS</t>
  </si>
  <si>
    <t>PARTLY CLOUDY/SHOWERS</t>
  </si>
  <si>
    <t>MOSTLY CLOUDY/CH.SHOWERS</t>
  </si>
  <si>
    <t>PARTLY CLOUDY/SCT.SHOWERS</t>
  </si>
  <si>
    <t>PARTLY SUNNY/CH.SHOWERS</t>
  </si>
  <si>
    <t>PARTLY CLOUDY/CH.SHOWERS</t>
  </si>
  <si>
    <t>PARTLY CLOUDY/SC.SHOWERS</t>
  </si>
  <si>
    <t>SUN / HOT / HUMID</t>
  </si>
  <si>
    <t>SUNNY / HOT</t>
  </si>
  <si>
    <t xml:space="preserve">CLOUDY  </t>
  </si>
  <si>
    <t xml:space="preserve">SUNNY </t>
  </si>
  <si>
    <t>CLOUDS/CH.OF RAIN</t>
  </si>
  <si>
    <t>SHOWERS / PM SUN</t>
  </si>
  <si>
    <t>PARTLY CLOUDY / HOT / HUMID</t>
  </si>
  <si>
    <t>c_0-34</t>
  </si>
  <si>
    <t>c_0-30</t>
  </si>
  <si>
    <t>c_PENROSE</t>
  </si>
  <si>
    <t>c_0-60</t>
  </si>
  <si>
    <t>c_BTU</t>
  </si>
  <si>
    <t>t_RICHMOND</t>
  </si>
  <si>
    <t>t_WHITMAN</t>
  </si>
  <si>
    <t>t_ASHMEAD</t>
  </si>
  <si>
    <t>t_SOMERTON</t>
  </si>
  <si>
    <t>t_IVYHILL</t>
  </si>
  <si>
    <t>t_BTU</t>
  </si>
  <si>
    <t>Attribute.1</t>
  </si>
  <si>
    <t>Attribute.2</t>
  </si>
  <si>
    <t>Value</t>
  </si>
  <si>
    <t>tetco</t>
  </si>
  <si>
    <t>transco</t>
  </si>
  <si>
    <t>WIND SPEED</t>
  </si>
  <si>
    <t>HIGH TEMP</t>
  </si>
  <si>
    <t>LOW TEMP</t>
  </si>
  <si>
    <t>AVG TEMP</t>
  </si>
  <si>
    <t>WIND DIRECTION</t>
  </si>
  <si>
    <t>WEATHER CONDITIONS</t>
  </si>
  <si>
    <t>Attribute</t>
  </si>
  <si>
    <t>tetco_EQUIT INJ</t>
  </si>
  <si>
    <t>tetco_FTS-2</t>
  </si>
  <si>
    <t>tetco_SS1-A INJ</t>
  </si>
  <si>
    <t>tetco_SS1-A WD</t>
  </si>
  <si>
    <t>tetco_CNG INJ</t>
  </si>
  <si>
    <t>tetco_FT7/FT8 WD</t>
  </si>
  <si>
    <t>tetco_BD INJ</t>
  </si>
  <si>
    <t>tetco_BD WD</t>
  </si>
  <si>
    <t>tetco_SS1-B INJ</t>
  </si>
  <si>
    <t>tetco_SS1-B WD</t>
  </si>
  <si>
    <t>tetco_ANR INJ</t>
  </si>
  <si>
    <t>tetco_ANR WD</t>
  </si>
  <si>
    <t>tetco_FT-1</t>
  </si>
  <si>
    <t>tetco_IT</t>
  </si>
  <si>
    <t>tetco_INJ FUEL</t>
  </si>
  <si>
    <t>transco_S2 INJ</t>
  </si>
  <si>
    <t>transco_S2 WD</t>
  </si>
  <si>
    <t>transco_GSS INJ</t>
  </si>
  <si>
    <t>transco_GSS WD</t>
  </si>
  <si>
    <t>transco_WSS INJ</t>
  </si>
  <si>
    <t>transco_WSS WD</t>
  </si>
  <si>
    <t>transco_EMM INJ</t>
  </si>
  <si>
    <t>transco_EMM WD</t>
  </si>
  <si>
    <t>transco_FT</t>
  </si>
  <si>
    <t>transco_IT</t>
  </si>
  <si>
    <t>transco_CNG INJ</t>
  </si>
  <si>
    <t>transco_INJ FUEL</t>
  </si>
  <si>
    <t>pipeline</t>
  </si>
  <si>
    <t>attribute</t>
  </si>
  <si>
    <t>value</t>
  </si>
  <si>
    <t>category</t>
  </si>
  <si>
    <t>injection</t>
  </si>
  <si>
    <t>contract</t>
  </si>
  <si>
    <t>withdraw</t>
  </si>
  <si>
    <t>r_BEGINNING INVENTORY</t>
  </si>
  <si>
    <t>r_LIQUEFACTION</t>
  </si>
  <si>
    <t>r_SHIPPED</t>
  </si>
  <si>
    <t>r_RECEIVED</t>
  </si>
  <si>
    <t>r_BOILOFF</t>
  </si>
  <si>
    <t>r_VAPORIZATION</t>
  </si>
  <si>
    <t>r_SALES</t>
  </si>
  <si>
    <t>r_SERVICES</t>
  </si>
  <si>
    <t>r_ENDING INVENTORY</t>
  </si>
  <si>
    <t>r_BOIL BTU</t>
  </si>
  <si>
    <t>r_VAPOR BTU</t>
  </si>
  <si>
    <t>r_LIQUEFACTION BTU</t>
  </si>
  <si>
    <t>r_TRUCK BTU</t>
  </si>
  <si>
    <t>p_BEGINNING INVENTORY</t>
  </si>
  <si>
    <t>p_SHIPPED</t>
  </si>
  <si>
    <t>p_RECEIVED</t>
  </si>
  <si>
    <t>p_BOILOFF</t>
  </si>
  <si>
    <t>p_VAPORIZATION</t>
  </si>
  <si>
    <t>p_SALES</t>
  </si>
  <si>
    <t>p_SERVICES</t>
  </si>
  <si>
    <t>p_ENDING INVENTORY</t>
  </si>
  <si>
    <t>p_BOILOFF BTU</t>
  </si>
  <si>
    <t>p_VAPOR BTU</t>
  </si>
  <si>
    <t>plant</t>
  </si>
  <si>
    <t>richmond</t>
  </si>
  <si>
    <t>BEGINNING INVENTORY</t>
  </si>
  <si>
    <t>ENDING INVENTORY</t>
  </si>
  <si>
    <t>BOIL BTU</t>
  </si>
  <si>
    <t>VAPOR BTU</t>
  </si>
  <si>
    <t>TRUCK BTU</t>
  </si>
  <si>
    <t>passyunk</t>
  </si>
  <si>
    <t>BOILOFF BTU</t>
  </si>
  <si>
    <t>LIQUEFACTION 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</si>
</sst>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dddd"/>
    <numFmt numFmtId="165" formatCode="0.000"/>
    <numFmt numFmtId="166" formatCode="_(* #,##0.0_);_(* \(#,##0.0\);_(* &quot;-&quot;??_);_(@_)"/>
    <numFmt numFmtId="167" formatCode="_(* #,##0_);_(* \(#,##0\);_(* &quot;-&quot;??_);_(@_)"/>
    <numFmt numFmtId="168" formatCode="#,##0.000_);[Red]\(#,##0.000\)"/>
    <numFmt numFmtId="169" formatCode="mmmm\ d\,\ yyyy"/>
    <numFmt numFmtId="170" formatCode="0_);[Red]\(0\)"/>
    <numFmt numFmtId="171" formatCode="#,##0.0"/>
    <numFmt numFmtId="172" formatCode="mm/dd/yy;@"/>
  </numFmts>
  <fonts count="48" x14ac:knownFonts="1">
    <font>
      <sz val="12"/>
      <name val="Times New Roman"/>
    </font>
    <font>
      <sz val="12"/>
      <name val="Times New Roman"/>
      <family val="1"/>
    </font>
    <font>
      <sz val="10"/>
      <name val="Times New Roman"/>
      <family val="1"/>
    </font>
    <font>
      <sz val="12"/>
      <color indexed="12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u val="doubleAccounting"/>
      <sz val="10"/>
      <name val="Times New Roman"/>
      <family val="1"/>
    </font>
    <font>
      <b/>
      <u/>
      <sz val="10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4"/>
      <color indexed="9"/>
      <name val="Times New Roman"/>
      <family val="1"/>
    </font>
    <font>
      <b/>
      <sz val="12"/>
      <color indexed="9"/>
      <name val="Times New Roman"/>
      <family val="1"/>
    </font>
    <font>
      <sz val="8"/>
      <color indexed="81"/>
      <name val="Tahoma"/>
      <family val="2"/>
    </font>
    <font>
      <sz val="12"/>
      <color indexed="8"/>
      <name val="Times New Roman"/>
      <family val="1"/>
    </font>
    <font>
      <sz val="8"/>
      <color indexed="10"/>
      <name val="Times New Roman"/>
      <family val="1"/>
    </font>
    <font>
      <b/>
      <sz val="12"/>
      <color indexed="8"/>
      <name val="Times New Roman"/>
      <family val="1"/>
    </font>
    <font>
      <sz val="8"/>
      <color indexed="8"/>
      <name val="Times New Roman"/>
      <family val="1"/>
    </font>
    <font>
      <sz val="10"/>
      <color indexed="12"/>
      <name val="Times New Roman"/>
      <family val="1"/>
    </font>
    <font>
      <b/>
      <u/>
      <sz val="12"/>
      <color indexed="8"/>
      <name val="Times New Roman"/>
      <family val="1"/>
    </font>
    <font>
      <b/>
      <sz val="8"/>
      <color indexed="8"/>
      <name val="Times New Roman"/>
      <family val="1"/>
    </font>
    <font>
      <b/>
      <i/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sz val="14"/>
      <color indexed="8"/>
      <name val="Times New Roman"/>
      <family val="1"/>
    </font>
    <font>
      <sz val="12"/>
      <color indexed="10"/>
      <name val="Times New Roman"/>
      <family val="1"/>
    </font>
    <font>
      <b/>
      <sz val="12"/>
      <color indexed="12"/>
      <name val="Times New Roman"/>
      <family val="1"/>
    </font>
    <font>
      <sz val="10"/>
      <color indexed="8"/>
      <name val="Times New Roman"/>
      <family val="1"/>
    </font>
    <font>
      <b/>
      <sz val="12"/>
      <color indexed="10"/>
      <name val="Times New Roman"/>
      <family val="1"/>
    </font>
    <font>
      <b/>
      <sz val="14"/>
      <color indexed="8"/>
      <name val="Times New Roman"/>
      <family val="1"/>
    </font>
    <font>
      <b/>
      <i/>
      <sz val="12"/>
      <name val="Times New Roman"/>
      <family val="1"/>
    </font>
    <font>
      <b/>
      <u/>
      <sz val="12"/>
      <color indexed="10"/>
      <name val="Times New Roman"/>
      <family val="1"/>
    </font>
    <font>
      <u/>
      <sz val="10"/>
      <name val="Times New Roman"/>
      <family val="1"/>
    </font>
    <font>
      <i/>
      <u/>
      <sz val="10"/>
      <name val="Times New Roman"/>
      <family val="1"/>
    </font>
    <font>
      <b/>
      <sz val="12"/>
      <color indexed="48"/>
      <name val="Times New Roman"/>
      <family val="1"/>
    </font>
    <font>
      <i/>
      <sz val="10"/>
      <color indexed="12"/>
      <name val="Times New Roman"/>
      <family val="1"/>
    </font>
    <font>
      <b/>
      <u/>
      <sz val="10"/>
      <color indexed="8"/>
      <name val="Times New Roman"/>
      <family val="1"/>
    </font>
    <font>
      <b/>
      <sz val="8"/>
      <color indexed="81"/>
      <name val="Tahoma"/>
      <family val="2"/>
    </font>
    <font>
      <b/>
      <sz val="10"/>
      <color indexed="12"/>
      <name val="Times New Roman"/>
      <family val="1"/>
    </font>
    <font>
      <u/>
      <sz val="10"/>
      <color indexed="8"/>
      <name val="Times New Roman"/>
      <family val="1"/>
    </font>
    <font>
      <sz val="8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b/>
      <sz val="10"/>
      <color indexed="9"/>
      <name val="Times New Roman"/>
      <family val="1"/>
    </font>
    <font>
      <sz val="8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u/>
      <sz val="12"/>
      <color theme="0"/>
      <name val="Times New Roman"/>
      <family val="1"/>
    </font>
    <font>
      <sz val="12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0" fillId="0" borderId="0"/>
    <xf numFmtId="0" fontId="1" fillId="0" borderId="0"/>
  </cellStyleXfs>
  <cellXfs count="310">
    <xf numFmtId="0" fontId="0" fillId="0" borderId="0" xfId="0"/>
    <xf numFmtId="0" fontId="11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quotePrefix="1" applyFont="1" applyAlignment="1">
      <alignment horizontal="center"/>
    </xf>
    <xf numFmtId="0" fontId="5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6" fillId="2" borderId="0" xfId="0" applyFont="1" applyFill="1" applyAlignment="1">
      <alignment horizontal="center"/>
    </xf>
    <xf numFmtId="0" fontId="17" fillId="0" borderId="0" xfId="0" quotePrefix="1" applyFont="1" applyAlignment="1">
      <alignment horizontal="center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2" borderId="0" xfId="0" applyFill="1"/>
    <xf numFmtId="0" fontId="15" fillId="2" borderId="0" xfId="0" applyFont="1" applyFill="1" applyAlignment="1">
      <alignment horizontal="center"/>
    </xf>
    <xf numFmtId="0" fontId="15" fillId="2" borderId="0" xfId="0" quotePrefix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0" xfId="0" quotePrefix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38" fontId="3" fillId="2" borderId="0" xfId="0" applyNumberFormat="1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3" fillId="2" borderId="0" xfId="0" applyFont="1" applyFill="1"/>
    <xf numFmtId="0" fontId="16" fillId="0" borderId="0" xfId="0" quotePrefix="1" applyFont="1" applyAlignment="1">
      <alignment horizontal="center"/>
    </xf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10" fillId="0" borderId="0" xfId="0" quotePrefix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/>
    <xf numFmtId="3" fontId="19" fillId="0" borderId="0" xfId="0" applyNumberFormat="1" applyFont="1" applyAlignment="1">
      <alignment horizontal="center"/>
    </xf>
    <xf numFmtId="0" fontId="14" fillId="2" borderId="0" xfId="0" applyFont="1" applyFill="1" applyAlignment="1">
      <alignment horizontal="center"/>
    </xf>
    <xf numFmtId="0" fontId="0" fillId="0" borderId="0" xfId="0" quotePrefix="1" applyAlignment="1">
      <alignment horizontal="left"/>
    </xf>
    <xf numFmtId="3" fontId="3" fillId="2" borderId="0" xfId="0" applyNumberFormat="1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4" fillId="2" borderId="0" xfId="0" applyFont="1" applyFill="1"/>
    <xf numFmtId="0" fontId="19" fillId="2" borderId="0" xfId="0" applyFont="1" applyFill="1" applyAlignment="1">
      <alignment horizontal="center"/>
    </xf>
    <xf numFmtId="0" fontId="19" fillId="2" borderId="0" xfId="0" quotePrefix="1" applyFont="1" applyFill="1" applyAlignment="1">
      <alignment horizontal="center"/>
    </xf>
    <xf numFmtId="3" fontId="3" fillId="2" borderId="0" xfId="0" applyNumberFormat="1" applyFont="1" applyFill="1"/>
    <xf numFmtId="3" fontId="0" fillId="2" borderId="0" xfId="0" applyNumberFormat="1" applyFill="1"/>
    <xf numFmtId="0" fontId="23" fillId="0" borderId="0" xfId="0" applyFont="1" applyAlignment="1">
      <alignment horizontal="center"/>
    </xf>
    <xf numFmtId="165" fontId="23" fillId="0" borderId="0" xfId="0" applyNumberFormat="1" applyFont="1" applyAlignment="1">
      <alignment horizontal="center"/>
    </xf>
    <xf numFmtId="165" fontId="23" fillId="2" borderId="0" xfId="0" quotePrefix="1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165" fontId="11" fillId="2" borderId="0" xfId="0" quotePrefix="1" applyNumberFormat="1" applyFont="1" applyFill="1" applyAlignment="1">
      <alignment horizontal="center"/>
    </xf>
    <xf numFmtId="3" fontId="25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0" fontId="20" fillId="0" borderId="0" xfId="0" quotePrefix="1" applyFont="1" applyAlignment="1">
      <alignment horizontal="center"/>
    </xf>
    <xf numFmtId="167" fontId="3" fillId="2" borderId="0" xfId="1" applyNumberFormat="1" applyFont="1" applyFill="1" applyAlignment="1">
      <alignment horizontal="center"/>
    </xf>
    <xf numFmtId="167" fontId="0" fillId="2" borderId="0" xfId="1" applyNumberFormat="1" applyFont="1" applyFill="1"/>
    <xf numFmtId="167" fontId="14" fillId="0" borderId="0" xfId="1" applyNumberFormat="1" applyFont="1" applyFill="1" applyAlignment="1">
      <alignment horizontal="right"/>
    </xf>
    <xf numFmtId="167" fontId="0" fillId="0" borderId="0" xfId="1" applyNumberFormat="1" applyFont="1" applyFill="1" applyAlignment="1">
      <alignment horizontal="right"/>
    </xf>
    <xf numFmtId="167" fontId="0" fillId="2" borderId="0" xfId="1" applyNumberFormat="1" applyFont="1" applyFill="1" applyAlignment="1">
      <alignment horizontal="right"/>
    </xf>
    <xf numFmtId="167" fontId="3" fillId="2" borderId="0" xfId="1" applyNumberFormat="1" applyFont="1" applyFill="1" applyAlignment="1">
      <alignment horizontal="right"/>
    </xf>
    <xf numFmtId="167" fontId="0" fillId="2" borderId="0" xfId="1" applyNumberFormat="1" applyFont="1" applyFill="1" applyAlignment="1">
      <alignment horizontal="center"/>
    </xf>
    <xf numFmtId="3" fontId="0" fillId="0" borderId="0" xfId="1" applyNumberFormat="1" applyFont="1" applyFill="1" applyAlignment="1">
      <alignment horizontal="center"/>
    </xf>
    <xf numFmtId="3" fontId="14" fillId="0" borderId="0" xfId="1" applyNumberFormat="1" applyFont="1" applyFill="1" applyAlignment="1">
      <alignment horizontal="center"/>
    </xf>
    <xf numFmtId="3" fontId="0" fillId="2" borderId="0" xfId="1" applyNumberFormat="1" applyFont="1" applyFill="1" applyAlignment="1">
      <alignment horizontal="center"/>
    </xf>
    <xf numFmtId="3" fontId="3" fillId="2" borderId="0" xfId="1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4" fontId="25" fillId="2" borderId="0" xfId="0" applyNumberFormat="1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3" fontId="22" fillId="0" borderId="0" xfId="0" applyNumberFormat="1" applyFont="1"/>
    <xf numFmtId="165" fontId="23" fillId="2" borderId="0" xfId="0" applyNumberFormat="1" applyFont="1" applyFill="1" applyAlignment="1">
      <alignment horizontal="center"/>
    </xf>
    <xf numFmtId="167" fontId="14" fillId="0" borderId="0" xfId="1" quotePrefix="1" applyNumberFormat="1" applyFont="1" applyFill="1" applyAlignment="1">
      <alignment horizontal="left"/>
    </xf>
    <xf numFmtId="167" fontId="0" fillId="0" borderId="0" xfId="1" quotePrefix="1" applyNumberFormat="1" applyFont="1" applyFill="1" applyAlignment="1">
      <alignment horizontal="left"/>
    </xf>
    <xf numFmtId="0" fontId="28" fillId="2" borderId="0" xfId="0" applyFont="1" applyFill="1" applyAlignment="1">
      <alignment horizontal="center"/>
    </xf>
    <xf numFmtId="3" fontId="25" fillId="2" borderId="0" xfId="0" applyNumberFormat="1" applyFont="1" applyFill="1"/>
    <xf numFmtId="3" fontId="25" fillId="2" borderId="0" xfId="1" applyNumberFormat="1" applyFont="1" applyFill="1" applyAlignment="1">
      <alignment horizontal="center"/>
    </xf>
    <xf numFmtId="167" fontId="25" fillId="2" borderId="0" xfId="1" applyNumberFormat="1" applyFont="1" applyFill="1" applyAlignment="1">
      <alignment horizontal="center"/>
    </xf>
    <xf numFmtId="167" fontId="9" fillId="2" borderId="0" xfId="1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67" fontId="25" fillId="2" borderId="0" xfId="1" applyNumberFormat="1" applyFont="1" applyFill="1" applyAlignment="1">
      <alignment horizontal="right"/>
    </xf>
    <xf numFmtId="167" fontId="9" fillId="2" borderId="0" xfId="1" applyNumberFormat="1" applyFont="1" applyFill="1" applyAlignment="1">
      <alignment horizontal="right"/>
    </xf>
    <xf numFmtId="167" fontId="16" fillId="2" borderId="0" xfId="1" applyNumberFormat="1" applyFont="1" applyFill="1" applyAlignment="1">
      <alignment horizontal="right"/>
    </xf>
    <xf numFmtId="38" fontId="16" fillId="2" borderId="0" xfId="0" applyNumberFormat="1" applyFont="1" applyFill="1" applyAlignment="1">
      <alignment horizontal="center"/>
    </xf>
    <xf numFmtId="38" fontId="14" fillId="2" borderId="0" xfId="0" applyNumberFormat="1" applyFont="1" applyFill="1" applyAlignment="1">
      <alignment horizontal="center"/>
    </xf>
    <xf numFmtId="167" fontId="14" fillId="2" borderId="0" xfId="1" applyNumberFormat="1" applyFont="1" applyFill="1" applyAlignment="1">
      <alignment horizontal="right"/>
    </xf>
    <xf numFmtId="171" fontId="25" fillId="2" borderId="0" xfId="0" applyNumberFormat="1" applyFont="1" applyFill="1" applyAlignment="1">
      <alignment horizontal="center"/>
    </xf>
    <xf numFmtId="171" fontId="0" fillId="2" borderId="0" xfId="0" applyNumberFormat="1" applyFill="1" applyAlignment="1">
      <alignment horizontal="center"/>
    </xf>
    <xf numFmtId="3" fontId="25" fillId="0" borderId="0" xfId="0" applyNumberFormat="1" applyFont="1" applyAlignment="1" applyProtection="1">
      <alignment horizontal="center"/>
      <protection locked="0"/>
    </xf>
    <xf numFmtId="3" fontId="0" fillId="0" borderId="0" xfId="1" applyNumberFormat="1" applyFont="1" applyFill="1" applyAlignment="1" applyProtection="1">
      <alignment horizontal="center"/>
      <protection locked="0"/>
    </xf>
    <xf numFmtId="3" fontId="14" fillId="0" borderId="0" xfId="1" applyNumberFormat="1" applyFont="1" applyFill="1" applyAlignment="1" applyProtection="1">
      <alignment horizontal="center"/>
    </xf>
    <xf numFmtId="3" fontId="3" fillId="2" borderId="0" xfId="1" applyNumberFormat="1" applyFont="1" applyFill="1" applyAlignment="1" applyProtection="1">
      <alignment horizontal="center"/>
    </xf>
    <xf numFmtId="165" fontId="23" fillId="0" borderId="0" xfId="0" quotePrefix="1" applyNumberFormat="1" applyFont="1" applyAlignment="1">
      <alignment horizontal="center"/>
    </xf>
    <xf numFmtId="3" fontId="29" fillId="0" borderId="0" xfId="0" applyNumberFormat="1" applyFont="1"/>
    <xf numFmtId="3" fontId="25" fillId="3" borderId="0" xfId="0" applyNumberFormat="1" applyFont="1" applyFill="1" applyAlignment="1" applyProtection="1">
      <alignment horizontal="center"/>
      <protection locked="0"/>
    </xf>
    <xf numFmtId="14" fontId="0" fillId="3" borderId="0" xfId="0" applyNumberFormat="1" applyFill="1" applyAlignment="1">
      <alignment horizontal="center"/>
    </xf>
    <xf numFmtId="0" fontId="0" fillId="3" borderId="0" xfId="0" applyFill="1"/>
    <xf numFmtId="3" fontId="25" fillId="3" borderId="0" xfId="0" applyNumberFormat="1" applyFont="1" applyFill="1" applyProtection="1">
      <protection locked="0"/>
    </xf>
    <xf numFmtId="167" fontId="14" fillId="3" borderId="0" xfId="1" quotePrefix="1" applyNumberFormat="1" applyFont="1" applyFill="1" applyAlignment="1">
      <alignment horizontal="left"/>
    </xf>
    <xf numFmtId="167" fontId="0" fillId="3" borderId="0" xfId="1" applyNumberFormat="1" applyFont="1" applyFill="1" applyAlignment="1">
      <alignment horizontal="right"/>
    </xf>
    <xf numFmtId="167" fontId="14" fillId="3" borderId="0" xfId="1" applyNumberFormat="1" applyFont="1" applyFill="1" applyAlignment="1">
      <alignment horizontal="right"/>
    </xf>
    <xf numFmtId="167" fontId="0" fillId="3" borderId="0" xfId="1" quotePrefix="1" applyNumberFormat="1" applyFont="1" applyFill="1" applyAlignment="1">
      <alignment horizontal="left"/>
    </xf>
    <xf numFmtId="0" fontId="24" fillId="2" borderId="0" xfId="0" applyFont="1" applyFill="1"/>
    <xf numFmtId="0" fontId="30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3" fontId="21" fillId="0" borderId="0" xfId="0" applyNumberFormat="1" applyFont="1"/>
    <xf numFmtId="3" fontId="25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1" xfId="0" applyBorder="1" applyAlignment="1">
      <alignment horizontal="left"/>
    </xf>
    <xf numFmtId="3" fontId="0" fillId="0" borderId="1" xfId="0" applyNumberFormat="1" applyBorder="1"/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3" fillId="0" borderId="0" xfId="0" applyNumberFormat="1" applyFont="1"/>
    <xf numFmtId="3" fontId="3" fillId="0" borderId="1" xfId="0" applyNumberFormat="1" applyFont="1" applyBorder="1"/>
    <xf numFmtId="3" fontId="16" fillId="0" borderId="0" xfId="0" applyNumberFormat="1" applyFont="1" applyAlignment="1">
      <alignment horizontal="center"/>
    </xf>
    <xf numFmtId="14" fontId="9" fillId="2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4" borderId="0" xfId="0" applyFont="1" applyFill="1"/>
    <xf numFmtId="0" fontId="7" fillId="4" borderId="0" xfId="0" applyFont="1" applyFill="1" applyAlignment="1">
      <alignment horizontal="center"/>
    </xf>
    <xf numFmtId="0" fontId="7" fillId="4" borderId="0" xfId="0" quotePrefix="1" applyFont="1" applyFill="1" applyAlignment="1">
      <alignment horizontal="center"/>
    </xf>
    <xf numFmtId="0" fontId="6" fillId="4" borderId="0" xfId="0" quotePrefix="1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38" fontId="26" fillId="4" borderId="0" xfId="1" applyNumberFormat="1" applyFont="1" applyFill="1" applyBorder="1" applyAlignment="1">
      <alignment horizontal="center"/>
    </xf>
    <xf numFmtId="0" fontId="26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left"/>
    </xf>
    <xf numFmtId="38" fontId="26" fillId="4" borderId="0" xfId="1" applyNumberFormat="1" applyFont="1" applyFill="1" applyBorder="1"/>
    <xf numFmtId="0" fontId="4" fillId="4" borderId="0" xfId="0" applyFont="1" applyFill="1"/>
    <xf numFmtId="0" fontId="26" fillId="4" borderId="0" xfId="0" applyFont="1" applyFill="1"/>
    <xf numFmtId="38" fontId="2" fillId="4" borderId="0" xfId="0" applyNumberFormat="1" applyFont="1" applyFill="1"/>
    <xf numFmtId="38" fontId="26" fillId="4" borderId="0" xfId="0" applyNumberFormat="1" applyFont="1" applyFill="1"/>
    <xf numFmtId="0" fontId="31" fillId="4" borderId="0" xfId="0" applyFont="1" applyFill="1"/>
    <xf numFmtId="38" fontId="31" fillId="4" borderId="0" xfId="0" applyNumberFormat="1" applyFont="1" applyFill="1"/>
    <xf numFmtId="167" fontId="2" fillId="4" borderId="0" xfId="1" applyNumberFormat="1" applyFont="1" applyFill="1" applyBorder="1"/>
    <xf numFmtId="38" fontId="2" fillId="4" borderId="0" xfId="0" applyNumberFormat="1" applyFont="1" applyFill="1" applyAlignment="1">
      <alignment horizontal="right"/>
    </xf>
    <xf numFmtId="170" fontId="26" fillId="4" borderId="0" xfId="0" applyNumberFormat="1" applyFont="1" applyFill="1" applyAlignment="1">
      <alignment horizontal="right"/>
    </xf>
    <xf numFmtId="1" fontId="2" fillId="4" borderId="0" xfId="0" applyNumberFormat="1" applyFont="1" applyFill="1"/>
    <xf numFmtId="170" fontId="26" fillId="4" borderId="0" xfId="0" quotePrefix="1" applyNumberFormat="1" applyFont="1" applyFill="1" applyAlignment="1">
      <alignment horizontal="right"/>
    </xf>
    <xf numFmtId="0" fontId="2" fillId="4" borderId="0" xfId="0" applyFont="1" applyFill="1" applyAlignment="1">
      <alignment horizontal="center"/>
    </xf>
    <xf numFmtId="170" fontId="18" fillId="4" borderId="0" xfId="0" applyNumberFormat="1" applyFont="1" applyFill="1" applyAlignment="1">
      <alignment horizontal="right"/>
    </xf>
    <xf numFmtId="38" fontId="26" fillId="4" borderId="0" xfId="1" applyNumberFormat="1" applyFont="1" applyFill="1" applyBorder="1" applyAlignment="1">
      <alignment horizontal="right"/>
    </xf>
    <xf numFmtId="16" fontId="2" fillId="4" borderId="0" xfId="0" quotePrefix="1" applyNumberFormat="1" applyFont="1" applyFill="1" applyAlignment="1">
      <alignment horizontal="left"/>
    </xf>
    <xf numFmtId="38" fontId="2" fillId="4" borderId="0" xfId="0" quotePrefix="1" applyNumberFormat="1" applyFont="1" applyFill="1" applyAlignment="1">
      <alignment horizontal="right"/>
    </xf>
    <xf numFmtId="38" fontId="18" fillId="4" borderId="0" xfId="0" applyNumberFormat="1" applyFont="1" applyFill="1"/>
    <xf numFmtId="38" fontId="18" fillId="4" borderId="0" xfId="1" applyNumberFormat="1" applyFont="1" applyFill="1" applyBorder="1"/>
    <xf numFmtId="0" fontId="2" fillId="4" borderId="0" xfId="0" applyFont="1" applyFill="1" applyAlignment="1">
      <alignment horizontal="left"/>
    </xf>
    <xf numFmtId="38" fontId="6" fillId="4" borderId="0" xfId="1" applyNumberFormat="1" applyFont="1" applyFill="1" applyBorder="1" applyAlignment="1">
      <alignment horizontal="center"/>
    </xf>
    <xf numFmtId="0" fontId="9" fillId="4" borderId="0" xfId="0" applyFont="1" applyFill="1"/>
    <xf numFmtId="0" fontId="5" fillId="4" borderId="0" xfId="0" applyFont="1" applyFill="1"/>
    <xf numFmtId="0" fontId="4" fillId="4" borderId="0" xfId="0" quotePrefix="1" applyFont="1" applyFill="1" applyAlignment="1">
      <alignment horizontal="left"/>
    </xf>
    <xf numFmtId="1" fontId="2" fillId="4" borderId="0" xfId="0" applyNumberFormat="1" applyFont="1" applyFill="1" applyAlignment="1">
      <alignment horizontal="center"/>
    </xf>
    <xf numFmtId="0" fontId="18" fillId="4" borderId="0" xfId="0" quotePrefix="1" applyFont="1" applyFill="1" applyAlignment="1">
      <alignment horizontal="left"/>
    </xf>
    <xf numFmtId="0" fontId="8" fillId="2" borderId="0" xfId="0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26" fillId="2" borderId="0" xfId="0" applyFont="1" applyFill="1"/>
    <xf numFmtId="38" fontId="2" fillId="2" borderId="0" xfId="0" applyNumberFormat="1" applyFont="1" applyFill="1"/>
    <xf numFmtId="0" fontId="2" fillId="4" borderId="2" xfId="0" applyFont="1" applyFill="1" applyBorder="1"/>
    <xf numFmtId="0" fontId="8" fillId="4" borderId="0" xfId="0" applyFont="1" applyFill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8" fillId="4" borderId="0" xfId="3" applyFont="1" applyFill="1" applyAlignment="1">
      <alignment horizontal="center"/>
    </xf>
    <xf numFmtId="2" fontId="2" fillId="4" borderId="0" xfId="3" applyNumberFormat="1" applyFont="1" applyFill="1" applyAlignment="1">
      <alignment horizontal="center"/>
    </xf>
    <xf numFmtId="0" fontId="2" fillId="4" borderId="0" xfId="3" applyFont="1" applyFill="1" applyAlignment="1">
      <alignment horizontal="center"/>
    </xf>
    <xf numFmtId="0" fontId="34" fillId="4" borderId="3" xfId="0" applyFont="1" applyFill="1" applyBorder="1" applyAlignment="1">
      <alignment horizontal="right"/>
    </xf>
    <xf numFmtId="3" fontId="34" fillId="4" borderId="3" xfId="0" applyNumberFormat="1" applyFont="1" applyFill="1" applyBorder="1" applyAlignment="1">
      <alignment horizontal="left"/>
    </xf>
    <xf numFmtId="38" fontId="34" fillId="4" borderId="3" xfId="0" applyNumberFormat="1" applyFont="1" applyFill="1" applyBorder="1" applyAlignment="1">
      <alignment horizontal="left"/>
    </xf>
    <xf numFmtId="3" fontId="14" fillId="0" borderId="1" xfId="1" applyNumberFormat="1" applyFont="1" applyFill="1" applyBorder="1" applyAlignment="1" applyProtection="1">
      <alignment horizontal="center"/>
    </xf>
    <xf numFmtId="0" fontId="6" fillId="4" borderId="0" xfId="0" quotePrefix="1" applyFont="1" applyFill="1" applyAlignment="1">
      <alignment horizontal="left"/>
    </xf>
    <xf numFmtId="169" fontId="26" fillId="4" borderId="0" xfId="1" applyNumberFormat="1" applyFont="1" applyFill="1" applyBorder="1" applyAlignment="1">
      <alignment horizontal="left"/>
    </xf>
    <xf numFmtId="0" fontId="26" fillId="4" borderId="0" xfId="1" applyNumberFormat="1" applyFont="1" applyFill="1" applyBorder="1" applyAlignment="1">
      <alignment horizontal="left"/>
    </xf>
    <xf numFmtId="38" fontId="2" fillId="4" borderId="0" xfId="0" applyNumberFormat="1" applyFont="1" applyFill="1" applyAlignment="1">
      <alignment horizontal="center"/>
    </xf>
    <xf numFmtId="0" fontId="38" fillId="4" borderId="0" xfId="0" applyFont="1" applyFill="1"/>
    <xf numFmtId="0" fontId="2" fillId="4" borderId="4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" fontId="26" fillId="4" borderId="0" xfId="1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2" fontId="2" fillId="4" borderId="0" xfId="0" quotePrefix="1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3" fontId="25" fillId="5" borderId="0" xfId="0" applyNumberFormat="1" applyFont="1" applyFill="1" applyAlignment="1" applyProtection="1">
      <alignment horizontal="center"/>
      <protection locked="0"/>
    </xf>
    <xf numFmtId="14" fontId="0" fillId="5" borderId="0" xfId="0" applyNumberFormat="1" applyFill="1" applyAlignment="1">
      <alignment horizontal="center"/>
    </xf>
    <xf numFmtId="167" fontId="14" fillId="5" borderId="0" xfId="1" quotePrefix="1" applyNumberFormat="1" applyFont="1" applyFill="1" applyAlignment="1">
      <alignment horizontal="left"/>
    </xf>
    <xf numFmtId="167" fontId="0" fillId="5" borderId="0" xfId="1" applyNumberFormat="1" applyFont="1" applyFill="1" applyAlignment="1">
      <alignment horizontal="right"/>
    </xf>
    <xf numFmtId="167" fontId="14" fillId="5" borderId="0" xfId="1" applyNumberFormat="1" applyFont="1" applyFill="1" applyAlignment="1">
      <alignment horizontal="right"/>
    </xf>
    <xf numFmtId="167" fontId="0" fillId="5" borderId="0" xfId="1" quotePrefix="1" applyNumberFormat="1" applyFont="1" applyFill="1" applyAlignment="1">
      <alignment horizontal="left"/>
    </xf>
    <xf numFmtId="166" fontId="3" fillId="0" borderId="0" xfId="1" applyNumberFormat="1" applyFont="1" applyFill="1" applyAlignment="1">
      <alignment horizontal="center"/>
    </xf>
    <xf numFmtId="166" fontId="0" fillId="0" borderId="0" xfId="1" applyNumberFormat="1" applyFont="1" applyFill="1" applyAlignment="1">
      <alignment horizontal="center"/>
    </xf>
    <xf numFmtId="166" fontId="0" fillId="3" borderId="0" xfId="1" applyNumberFormat="1" applyFont="1" applyFill="1" applyAlignment="1">
      <alignment horizontal="center"/>
    </xf>
    <xf numFmtId="166" fontId="0" fillId="5" borderId="0" xfId="1" applyNumberFormat="1" applyFont="1" applyFill="1" applyAlignment="1">
      <alignment horizontal="center"/>
    </xf>
    <xf numFmtId="166" fontId="0" fillId="2" borderId="0" xfId="1" applyNumberFormat="1" applyFont="1" applyFill="1" applyAlignment="1">
      <alignment horizontal="center"/>
    </xf>
    <xf numFmtId="166" fontId="0" fillId="2" borderId="0" xfId="1" applyNumberFormat="1" applyFont="1" applyFill="1"/>
    <xf numFmtId="3" fontId="14" fillId="2" borderId="0" xfId="0" applyNumberFormat="1" applyFont="1" applyFill="1" applyAlignment="1">
      <alignment horizontal="center"/>
    </xf>
    <xf numFmtId="0" fontId="11" fillId="0" borderId="0" xfId="0" applyFont="1" applyAlignment="1">
      <alignment horizontal="left"/>
    </xf>
    <xf numFmtId="0" fontId="6" fillId="0" borderId="0" xfId="2" applyFont="1" applyAlignment="1">
      <alignment horizontal="center"/>
    </xf>
    <xf numFmtId="0" fontId="42" fillId="2" borderId="0" xfId="2" applyFont="1" applyFill="1" applyAlignment="1">
      <alignment horizontal="center"/>
    </xf>
    <xf numFmtId="0" fontId="2" fillId="0" borderId="0" xfId="2" applyFont="1" applyAlignment="1">
      <alignment horizontal="center"/>
    </xf>
    <xf numFmtId="0" fontId="6" fillId="0" borderId="5" xfId="2" applyFont="1" applyBorder="1" applyAlignment="1">
      <alignment horizontal="center"/>
    </xf>
    <xf numFmtId="0" fontId="2" fillId="2" borderId="0" xfId="2" applyFont="1" applyFill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6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2" fontId="2" fillId="0" borderId="0" xfId="2" applyNumberFormat="1" applyFont="1" applyAlignment="1">
      <alignment horizontal="center"/>
    </xf>
    <xf numFmtId="2" fontId="2" fillId="0" borderId="9" xfId="2" applyNumberFormat="1" applyFont="1" applyBorder="1" applyAlignment="1">
      <alignment horizontal="center"/>
    </xf>
    <xf numFmtId="2" fontId="18" fillId="3" borderId="4" xfId="2" applyNumberFormat="1" applyFont="1" applyFill="1" applyBorder="1" applyAlignment="1" applyProtection="1">
      <alignment horizontal="center"/>
      <protection locked="0"/>
    </xf>
    <xf numFmtId="2" fontId="18" fillId="3" borderId="0" xfId="2" applyNumberFormat="1" applyFont="1" applyFill="1" applyAlignment="1" applyProtection="1">
      <alignment horizontal="center"/>
      <protection locked="0"/>
    </xf>
    <xf numFmtId="2" fontId="2" fillId="3" borderId="0" xfId="2" applyNumberFormat="1" applyFont="1" applyFill="1" applyAlignment="1">
      <alignment horizontal="center"/>
    </xf>
    <xf numFmtId="2" fontId="2" fillId="3" borderId="9" xfId="2" applyNumberFormat="1" applyFont="1" applyFill="1" applyBorder="1" applyAlignment="1">
      <alignment horizontal="center"/>
    </xf>
    <xf numFmtId="0" fontId="2" fillId="3" borderId="0" xfId="2" applyFont="1" applyFill="1" applyAlignment="1">
      <alignment horizontal="center"/>
    </xf>
    <xf numFmtId="2" fontId="18" fillId="3" borderId="10" xfId="2" applyNumberFormat="1" applyFont="1" applyFill="1" applyBorder="1" applyAlignment="1" applyProtection="1">
      <alignment horizontal="center"/>
      <protection locked="0"/>
    </xf>
    <xf numFmtId="0" fontId="11" fillId="2" borderId="0" xfId="0" applyFont="1" applyFill="1" applyAlignment="1">
      <alignment horizontal="left"/>
    </xf>
    <xf numFmtId="14" fontId="25" fillId="0" borderId="0" xfId="0" applyNumberFormat="1" applyFont="1" applyAlignment="1">
      <alignment horizontal="center"/>
    </xf>
    <xf numFmtId="172" fontId="2" fillId="0" borderId="0" xfId="2" applyNumberFormat="1" applyFont="1" applyAlignment="1">
      <alignment horizontal="center"/>
    </xf>
    <xf numFmtId="172" fontId="2" fillId="2" borderId="0" xfId="2" applyNumberFormat="1" applyFont="1" applyFill="1" applyAlignment="1">
      <alignment horizontal="center"/>
    </xf>
    <xf numFmtId="0" fontId="28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14" fontId="9" fillId="0" borderId="0" xfId="0" applyNumberFormat="1" applyFont="1" applyAlignment="1">
      <alignment horizontal="center"/>
    </xf>
    <xf numFmtId="3" fontId="25" fillId="6" borderId="0" xfId="0" applyNumberFormat="1" applyFont="1" applyFill="1" applyAlignment="1" applyProtection="1">
      <alignment horizontal="center"/>
      <protection locked="0"/>
    </xf>
    <xf numFmtId="1" fontId="25" fillId="6" borderId="0" xfId="0" applyNumberFormat="1" applyFont="1" applyFill="1" applyAlignment="1" applyProtection="1">
      <alignment horizontal="center"/>
      <protection locked="0"/>
    </xf>
    <xf numFmtId="1" fontId="33" fillId="6" borderId="0" xfId="0" applyNumberFormat="1" applyFont="1" applyFill="1" applyAlignment="1" applyProtection="1">
      <alignment horizontal="center"/>
      <protection locked="0"/>
    </xf>
    <xf numFmtId="3" fontId="25" fillId="6" borderId="1" xfId="0" applyNumberFormat="1" applyFont="1" applyFill="1" applyBorder="1" applyAlignment="1" applyProtection="1">
      <alignment horizontal="center"/>
      <protection locked="0"/>
    </xf>
    <xf numFmtId="1" fontId="25" fillId="6" borderId="1" xfId="0" applyNumberFormat="1" applyFont="1" applyFill="1" applyBorder="1" applyAlignment="1" applyProtection="1">
      <alignment horizontal="center"/>
      <protection locked="0"/>
    </xf>
    <xf numFmtId="171" fontId="25" fillId="6" borderId="0" xfId="0" applyNumberFormat="1" applyFont="1" applyFill="1" applyAlignment="1" applyProtection="1">
      <alignment horizont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14" fontId="25" fillId="6" borderId="0" xfId="0" quotePrefix="1" applyNumberFormat="1" applyFont="1" applyFill="1" applyAlignment="1" applyProtection="1">
      <alignment horizontal="center"/>
      <protection locked="0"/>
    </xf>
    <xf numFmtId="167" fontId="25" fillId="8" borderId="0" xfId="1" applyNumberFormat="1" applyFont="1" applyFill="1" applyProtection="1">
      <protection locked="0"/>
    </xf>
    <xf numFmtId="3" fontId="25" fillId="8" borderId="0" xfId="0" applyNumberFormat="1" applyFont="1" applyFill="1" applyAlignment="1" applyProtection="1">
      <alignment horizontal="center"/>
      <protection locked="0"/>
    </xf>
    <xf numFmtId="0" fontId="16" fillId="0" borderId="0" xfId="0" applyFont="1"/>
    <xf numFmtId="3" fontId="25" fillId="7" borderId="0" xfId="0" applyNumberFormat="1" applyFont="1" applyFill="1" applyAlignment="1" applyProtection="1">
      <alignment horizontal="center"/>
      <protection locked="0"/>
    </xf>
    <xf numFmtId="165" fontId="11" fillId="2" borderId="0" xfId="0" quotePrefix="1" applyNumberFormat="1" applyFont="1" applyFill="1"/>
    <xf numFmtId="3" fontId="0" fillId="0" borderId="1" xfId="1" applyNumberFormat="1" applyFont="1" applyFill="1" applyBorder="1" applyAlignment="1">
      <alignment horizontal="center"/>
    </xf>
    <xf numFmtId="3" fontId="0" fillId="0" borderId="1" xfId="1" applyNumberFormat="1" applyFont="1" applyFill="1" applyBorder="1" applyAlignment="1" applyProtection="1">
      <alignment horizontal="center"/>
      <protection locked="0"/>
    </xf>
    <xf numFmtId="3" fontId="14" fillId="0" borderId="1" xfId="1" applyNumberFormat="1" applyFont="1" applyFill="1" applyBorder="1" applyAlignment="1">
      <alignment horizontal="center"/>
    </xf>
    <xf numFmtId="1" fontId="14" fillId="0" borderId="0" xfId="0" applyNumberFormat="1" applyFont="1" applyAlignment="1" applyProtection="1">
      <alignment horizontal="center"/>
      <protection locked="0"/>
    </xf>
    <xf numFmtId="1" fontId="14" fillId="0" borderId="1" xfId="0" applyNumberFormat="1" applyFont="1" applyBorder="1" applyAlignment="1" applyProtection="1">
      <alignment horizontal="center"/>
      <protection locked="0"/>
    </xf>
    <xf numFmtId="1" fontId="14" fillId="2" borderId="0" xfId="0" applyNumberFormat="1" applyFont="1" applyFill="1" applyAlignment="1">
      <alignment horizontal="center"/>
    </xf>
    <xf numFmtId="165" fontId="14" fillId="2" borderId="0" xfId="0" applyNumberFormat="1" applyFont="1" applyFill="1" applyAlignment="1">
      <alignment horizontal="center"/>
    </xf>
    <xf numFmtId="3" fontId="25" fillId="6" borderId="0" xfId="1" applyNumberFormat="1" applyFont="1" applyFill="1" applyAlignment="1" applyProtection="1">
      <alignment horizontal="center"/>
      <protection locked="0"/>
    </xf>
    <xf numFmtId="3" fontId="33" fillId="6" borderId="0" xfId="1" applyNumberFormat="1" applyFont="1" applyFill="1" applyAlignment="1" applyProtection="1">
      <alignment horizontal="center"/>
      <protection locked="0"/>
    </xf>
    <xf numFmtId="3" fontId="25" fillId="6" borderId="1" xfId="1" applyNumberFormat="1" applyFont="1" applyFill="1" applyBorder="1" applyAlignment="1" applyProtection="1">
      <alignment horizontal="center"/>
      <protection locked="0"/>
    </xf>
    <xf numFmtId="38" fontId="35" fillId="4" borderId="0" xfId="1" applyNumberFormat="1" applyFont="1" applyFill="1" applyBorder="1" applyAlignment="1">
      <alignment horizontal="center"/>
    </xf>
    <xf numFmtId="2" fontId="18" fillId="6" borderId="4" xfId="2" applyNumberFormat="1" applyFont="1" applyFill="1" applyBorder="1" applyAlignment="1" applyProtection="1">
      <alignment horizontal="center"/>
      <protection locked="0"/>
    </xf>
    <xf numFmtId="2" fontId="18" fillId="6" borderId="0" xfId="2" applyNumberFormat="1" applyFont="1" applyFill="1" applyAlignment="1" applyProtection="1">
      <alignment horizontal="center"/>
      <protection locked="0"/>
    </xf>
    <xf numFmtId="2" fontId="18" fillId="6" borderId="10" xfId="2" applyNumberFormat="1" applyFont="1" applyFill="1" applyBorder="1" applyAlignment="1" applyProtection="1">
      <alignment horizontal="center"/>
      <protection locked="0"/>
    </xf>
    <xf numFmtId="2" fontId="18" fillId="6" borderId="11" xfId="2" applyNumberFormat="1" applyFont="1" applyFill="1" applyBorder="1" applyAlignment="1" applyProtection="1">
      <alignment horizontal="center"/>
      <protection locked="0"/>
    </xf>
    <xf numFmtId="2" fontId="18" fillId="6" borderId="1" xfId="2" applyNumberFormat="1" applyFont="1" applyFill="1" applyBorder="1" applyAlignment="1" applyProtection="1">
      <alignment horizontal="center"/>
      <protection locked="0"/>
    </xf>
    <xf numFmtId="2" fontId="18" fillId="6" borderId="12" xfId="2" applyNumberFormat="1" applyFont="1" applyFill="1" applyBorder="1" applyAlignment="1" applyProtection="1">
      <alignment horizontal="center"/>
      <protection locked="0"/>
    </xf>
    <xf numFmtId="0" fontId="0" fillId="0" borderId="1" xfId="0" applyBorder="1"/>
    <xf numFmtId="3" fontId="22" fillId="0" borderId="1" xfId="0" applyNumberFormat="1" applyFont="1" applyBorder="1"/>
    <xf numFmtId="3" fontId="29" fillId="0" borderId="1" xfId="0" applyNumberFormat="1" applyFont="1" applyBorder="1"/>
    <xf numFmtId="0" fontId="0" fillId="2" borderId="1" xfId="0" applyFill="1" applyBorder="1"/>
    <xf numFmtId="3" fontId="25" fillId="2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2" borderId="0" xfId="0" applyFont="1" applyFill="1"/>
    <xf numFmtId="3" fontId="9" fillId="2" borderId="0" xfId="0" applyNumberFormat="1" applyFont="1" applyFill="1"/>
    <xf numFmtId="3" fontId="16" fillId="0" borderId="0" xfId="0" applyNumberFormat="1" applyFont="1"/>
    <xf numFmtId="3" fontId="25" fillId="2" borderId="0" xfId="0" applyNumberFormat="1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4" fillId="4" borderId="0" xfId="0" applyFont="1" applyFill="1" applyAlignment="1">
      <alignment horizontal="left"/>
    </xf>
    <xf numFmtId="3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right"/>
    </xf>
    <xf numFmtId="0" fontId="2" fillId="0" borderId="10" xfId="2" applyFont="1" applyBorder="1" applyAlignment="1">
      <alignment horizontal="center"/>
    </xf>
    <xf numFmtId="38" fontId="2" fillId="4" borderId="3" xfId="0" quotePrefix="1" applyNumberFormat="1" applyFont="1" applyFill="1" applyBorder="1" applyAlignment="1">
      <alignment horizontal="right"/>
    </xf>
    <xf numFmtId="0" fontId="10" fillId="4" borderId="0" xfId="0" applyFont="1" applyFill="1"/>
    <xf numFmtId="0" fontId="6" fillId="4" borderId="0" xfId="0" applyFont="1" applyFill="1"/>
    <xf numFmtId="38" fontId="8" fillId="4" borderId="0" xfId="0" applyNumberFormat="1" applyFont="1" applyFill="1"/>
    <xf numFmtId="16" fontId="2" fillId="4" borderId="0" xfId="0" quotePrefix="1" applyNumberFormat="1" applyFont="1" applyFill="1" applyAlignment="1">
      <alignment horizontal="right"/>
    </xf>
    <xf numFmtId="0" fontId="6" fillId="4" borderId="13" xfId="0" applyFont="1" applyFill="1" applyBorder="1" applyAlignment="1" applyProtection="1">
      <alignment horizontal="center"/>
      <protection locked="0"/>
    </xf>
    <xf numFmtId="3" fontId="27" fillId="0" borderId="0" xfId="1" applyNumberFormat="1" applyFont="1" applyFill="1" applyAlignment="1" applyProtection="1">
      <alignment horizontal="center"/>
      <protection locked="0"/>
    </xf>
    <xf numFmtId="38" fontId="2" fillId="4" borderId="0" xfId="1" applyNumberFormat="1" applyFont="1" applyFill="1" applyBorder="1" applyAlignment="1">
      <alignment horizontal="right"/>
    </xf>
    <xf numFmtId="0" fontId="44" fillId="4" borderId="0" xfId="0" applyFont="1" applyFill="1" applyAlignment="1">
      <alignment horizontal="center"/>
    </xf>
    <xf numFmtId="3" fontId="27" fillId="6" borderId="0" xfId="1" applyNumberFormat="1" applyFont="1" applyFill="1" applyAlignment="1" applyProtection="1">
      <alignment horizontal="center"/>
      <protection locked="0"/>
    </xf>
    <xf numFmtId="2" fontId="45" fillId="6" borderId="10" xfId="2" applyNumberFormat="1" applyFont="1" applyFill="1" applyBorder="1" applyAlignment="1" applyProtection="1">
      <alignment horizontal="center"/>
      <protection locked="0"/>
    </xf>
    <xf numFmtId="0" fontId="2" fillId="3" borderId="10" xfId="2" applyFont="1" applyFill="1" applyBorder="1" applyAlignment="1">
      <alignment horizontal="center"/>
    </xf>
    <xf numFmtId="0" fontId="27" fillId="6" borderId="0" xfId="0" applyFont="1" applyFill="1" applyAlignment="1" applyProtection="1">
      <alignment horizontal="center"/>
      <protection locked="0"/>
    </xf>
    <xf numFmtId="16" fontId="2" fillId="0" borderId="0" xfId="2" applyNumberFormat="1" applyFont="1" applyAlignment="1">
      <alignment horizontal="center"/>
    </xf>
    <xf numFmtId="0" fontId="46" fillId="9" borderId="14" xfId="0" applyFont="1" applyFill="1" applyBorder="1" applyAlignment="1">
      <alignment horizontal="center"/>
    </xf>
    <xf numFmtId="0" fontId="46" fillId="9" borderId="15" xfId="0" applyFont="1" applyFill="1" applyBorder="1" applyAlignment="1">
      <alignment horizontal="center"/>
    </xf>
    <xf numFmtId="1" fontId="46" fillId="9" borderId="15" xfId="0" applyNumberFormat="1" applyFont="1" applyFill="1" applyBorder="1" applyAlignment="1">
      <alignment horizontal="center"/>
    </xf>
    <xf numFmtId="1" fontId="46" fillId="9" borderId="16" xfId="0" applyNumberFormat="1" applyFont="1" applyFill="1" applyBorder="1" applyAlignment="1">
      <alignment horizontal="center"/>
    </xf>
    <xf numFmtId="22" fontId="0" fillId="0" borderId="0" xfId="0" applyNumberFormat="1"/>
    <xf numFmtId="0" fontId="19" fillId="9" borderId="15" xfId="0" applyFont="1" applyFill="1" applyBorder="1" applyAlignment="1">
      <alignment horizontal="center"/>
    </xf>
    <xf numFmtId="0" fontId="19" fillId="9" borderId="16" xfId="0" applyFont="1" applyFill="1" applyBorder="1" applyAlignment="1">
      <alignment horizontal="center"/>
    </xf>
    <xf numFmtId="165" fontId="11" fillId="2" borderId="0" xfId="0" quotePrefix="1" applyNumberFormat="1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2" borderId="0" xfId="0" applyFont="1" applyFill="1" applyAlignment="1">
      <alignment horizontal="center"/>
    </xf>
    <xf numFmtId="0" fontId="12" fillId="2" borderId="0" xfId="0" quotePrefix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6" fillId="2" borderId="0" xfId="0" quotePrefix="1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16" fillId="0" borderId="0" xfId="0" quotePrefix="1" applyFont="1" applyAlignment="1">
      <alignment horizontal="center"/>
    </xf>
    <xf numFmtId="0" fontId="42" fillId="2" borderId="0" xfId="2" applyFont="1" applyFill="1" applyAlignment="1">
      <alignment horizontal="center"/>
    </xf>
    <xf numFmtId="0" fontId="9" fillId="0" borderId="0" xfId="2" applyFont="1"/>
    <xf numFmtId="0" fontId="6" fillId="0" borderId="0" xfId="2" applyFont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0" xfId="0" quotePrefix="1" applyFont="1" applyFill="1" applyAlignment="1">
      <alignment horizontal="center"/>
    </xf>
    <xf numFmtId="38" fontId="35" fillId="4" borderId="0" xfId="1" applyNumberFormat="1" applyFont="1" applyFill="1" applyBorder="1" applyAlignment="1">
      <alignment horizontal="center"/>
    </xf>
    <xf numFmtId="169" fontId="26" fillId="4" borderId="0" xfId="1" applyNumberFormat="1" applyFont="1" applyFill="1" applyBorder="1" applyAlignment="1">
      <alignment horizontal="left"/>
    </xf>
    <xf numFmtId="0" fontId="26" fillId="4" borderId="0" xfId="1" applyNumberFormat="1" applyFont="1" applyFill="1" applyBorder="1" applyAlignment="1">
      <alignment horizontal="left"/>
    </xf>
    <xf numFmtId="169" fontId="25" fillId="4" borderId="0" xfId="0" applyNumberFormat="1" applyFont="1" applyFill="1" applyAlignment="1">
      <alignment horizontal="left"/>
    </xf>
    <xf numFmtId="164" fontId="9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8" fillId="0" borderId="0" xfId="0" quotePrefix="1" applyFont="1" applyAlignment="1">
      <alignment horizontal="center"/>
    </xf>
    <xf numFmtId="0" fontId="8" fillId="4" borderId="0" xfId="3" applyFont="1" applyFill="1" applyAlignment="1">
      <alignment horizontal="center"/>
    </xf>
    <xf numFmtId="0" fontId="35" fillId="4" borderId="0" xfId="3" applyFont="1" applyFill="1" applyAlignment="1">
      <alignment horizontal="center"/>
    </xf>
    <xf numFmtId="0" fontId="35" fillId="4" borderId="0" xfId="3" quotePrefix="1" applyFont="1" applyFill="1" applyAlignment="1">
      <alignment horizontal="center"/>
    </xf>
    <xf numFmtId="169" fontId="37" fillId="4" borderId="0" xfId="0" applyNumberFormat="1" applyFont="1" applyFill="1" applyAlignment="1">
      <alignment horizontal="left"/>
    </xf>
    <xf numFmtId="164" fontId="6" fillId="4" borderId="0" xfId="0" applyNumberFormat="1" applyFont="1" applyFill="1" applyAlignment="1">
      <alignment horizontal="left"/>
    </xf>
    <xf numFmtId="0" fontId="0" fillId="0" borderId="0" xfId="0" applyNumberFormat="1"/>
  </cellXfs>
  <cellStyles count="4">
    <cellStyle name="Comma" xfId="1" builtinId="3"/>
    <cellStyle name="Normal" xfId="0" builtinId="0"/>
    <cellStyle name="Normal_Barton-Odor2005" xfId="2" xr:uid="{00000000-0005-0000-0000-000002000000}"/>
    <cellStyle name="Normal_Sheet1" xfId="3" xr:uid="{00000000-0005-0000-0000-000003000000}"/>
  </cellStyles>
  <dxfs count="69">
    <dxf>
      <numFmt numFmtId="0" formatCode="General"/>
    </dxf>
    <dxf>
      <numFmt numFmtId="0" formatCode="General"/>
    </dxf>
    <dxf>
      <numFmt numFmtId="27" formatCode="m/d/yyyy\ 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171" formatCode="#,##0.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9" formatCode="m/d/yyyy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indexed="8"/>
        <name val="Times New Roman"/>
        <family val="1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9" formatCode="m/d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1" formatCode="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1" formatCode="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numFmt numFmtId="3" formatCode="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Times New Roman"/>
        <family val="1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Times New Roman"/>
        <family val="1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FFCC99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142875</xdr:rowOff>
        </xdr:from>
        <xdr:to>
          <xdr:col>8</xdr:col>
          <xdr:colOff>171450</xdr:colOff>
          <xdr:row>2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ZERO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133350</xdr:rowOff>
        </xdr:from>
        <xdr:to>
          <xdr:col>5</xdr:col>
          <xdr:colOff>419100</xdr:colOff>
          <xdr:row>13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MERGE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SD/General/GSD%20WorkSheets/0)%20Calculation%20Worksheets/Degree%20Days%2006%20I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"/>
      <sheetName val="OCT"/>
      <sheetName val="NOV"/>
      <sheetName val="DEC"/>
      <sheetName val="JAN"/>
      <sheetName val="FEB"/>
      <sheetName val="MAR"/>
      <sheetName val="APR"/>
      <sheetName val="MAY"/>
      <sheetName val="JUN"/>
      <sheetName val="JUL"/>
      <sheetName val="AUG"/>
      <sheetName val="Lookup"/>
      <sheetName val="Instru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38">
          <cell r="B138">
            <v>15</v>
          </cell>
          <cell r="C138">
            <v>50</v>
          </cell>
          <cell r="D138">
            <v>525349</v>
          </cell>
          <cell r="E138">
            <v>46.672280000000001</v>
          </cell>
          <cell r="F138">
            <v>21548.34</v>
          </cell>
          <cell r="G138">
            <v>6716.1329999999998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553660.19999999995</v>
          </cell>
        </row>
        <row r="139">
          <cell r="B139">
            <v>20</v>
          </cell>
          <cell r="C139">
            <v>45</v>
          </cell>
          <cell r="D139">
            <v>477178</v>
          </cell>
          <cell r="E139">
            <v>46.672280000000001</v>
          </cell>
          <cell r="F139">
            <v>19489.5</v>
          </cell>
          <cell r="G139">
            <v>6214.1760000000004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502928.3</v>
          </cell>
        </row>
        <row r="140">
          <cell r="B140">
            <v>22</v>
          </cell>
          <cell r="C140">
            <v>43</v>
          </cell>
          <cell r="D140">
            <v>457909.6</v>
          </cell>
          <cell r="E140">
            <v>46.672280000000001</v>
          </cell>
          <cell r="F140">
            <v>18665.96</v>
          </cell>
          <cell r="G140">
            <v>6013.3940000000002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482635.6</v>
          </cell>
        </row>
        <row r="141">
          <cell r="B141">
            <v>23</v>
          </cell>
          <cell r="C141">
            <v>42</v>
          </cell>
          <cell r="D141">
            <v>448275.4</v>
          </cell>
          <cell r="E141">
            <v>46.672280000000001</v>
          </cell>
          <cell r="F141">
            <v>18254.189999999999</v>
          </cell>
          <cell r="G141">
            <v>5913.0020000000004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472489.2</v>
          </cell>
        </row>
        <row r="142">
          <cell r="B142">
            <v>24</v>
          </cell>
          <cell r="C142">
            <v>41</v>
          </cell>
          <cell r="D142">
            <v>438641.1</v>
          </cell>
          <cell r="E142">
            <v>46.672280000000001</v>
          </cell>
          <cell r="F142">
            <v>17842.43</v>
          </cell>
          <cell r="G142">
            <v>5812.6109999999999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462342.9</v>
          </cell>
        </row>
        <row r="143">
          <cell r="B143">
            <v>25</v>
          </cell>
          <cell r="C143">
            <v>40</v>
          </cell>
          <cell r="D143">
            <v>429006.9</v>
          </cell>
          <cell r="E143">
            <v>46.672280000000001</v>
          </cell>
          <cell r="F143">
            <v>17430.66</v>
          </cell>
          <cell r="G143">
            <v>5712.22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452196.5</v>
          </cell>
        </row>
        <row r="144">
          <cell r="B144">
            <v>26</v>
          </cell>
          <cell r="C144">
            <v>39</v>
          </cell>
          <cell r="D144">
            <v>419372.7</v>
          </cell>
          <cell r="E144">
            <v>46.672280000000001</v>
          </cell>
          <cell r="F144">
            <v>17018.89</v>
          </cell>
          <cell r="G144">
            <v>5611.8289999999997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442050.1</v>
          </cell>
        </row>
        <row r="145">
          <cell r="B145">
            <v>27</v>
          </cell>
          <cell r="C145">
            <v>38</v>
          </cell>
          <cell r="D145">
            <v>409738.5</v>
          </cell>
          <cell r="E145">
            <v>46.672280000000001</v>
          </cell>
          <cell r="F145">
            <v>16607.12</v>
          </cell>
          <cell r="G145">
            <v>5511.4369999999999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431903.8</v>
          </cell>
        </row>
        <row r="146">
          <cell r="B146">
            <v>28</v>
          </cell>
          <cell r="C146">
            <v>37</v>
          </cell>
          <cell r="D146">
            <v>400104.3</v>
          </cell>
          <cell r="E146">
            <v>46.672280000000001</v>
          </cell>
          <cell r="F146">
            <v>16195.35</v>
          </cell>
          <cell r="G146">
            <v>5411.0460000000003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421757.4</v>
          </cell>
        </row>
        <row r="147">
          <cell r="B147">
            <v>30</v>
          </cell>
          <cell r="C147">
            <v>35</v>
          </cell>
          <cell r="D147">
            <v>380835.9</v>
          </cell>
          <cell r="E147">
            <v>46.672280000000001</v>
          </cell>
          <cell r="F147">
            <v>15371.81</v>
          </cell>
          <cell r="G147">
            <v>5210.2629999999999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401464.6</v>
          </cell>
        </row>
        <row r="148">
          <cell r="B148">
            <v>31</v>
          </cell>
          <cell r="C148">
            <v>34</v>
          </cell>
          <cell r="D148">
            <v>371201.7</v>
          </cell>
          <cell r="E148">
            <v>46.672280000000001</v>
          </cell>
          <cell r="F148">
            <v>14960.04</v>
          </cell>
          <cell r="G148">
            <v>5109.8720000000003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391318.3</v>
          </cell>
        </row>
        <row r="149">
          <cell r="B149">
            <v>32</v>
          </cell>
          <cell r="C149">
            <v>33</v>
          </cell>
          <cell r="D149">
            <v>361567.5</v>
          </cell>
          <cell r="E149">
            <v>46.672280000000001</v>
          </cell>
          <cell r="F149">
            <v>14548.27</v>
          </cell>
          <cell r="G149">
            <v>5009.4809999999998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381171.9</v>
          </cell>
        </row>
        <row r="150">
          <cell r="B150">
            <v>32</v>
          </cell>
          <cell r="C150">
            <v>33</v>
          </cell>
          <cell r="D150">
            <v>361567.5</v>
          </cell>
          <cell r="E150">
            <v>46.672280000000001</v>
          </cell>
          <cell r="F150">
            <v>14548.27</v>
          </cell>
          <cell r="G150">
            <v>5009.4809999999998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381171.9</v>
          </cell>
        </row>
        <row r="151">
          <cell r="B151">
            <v>32</v>
          </cell>
          <cell r="C151">
            <v>33</v>
          </cell>
          <cell r="D151">
            <v>361567.5</v>
          </cell>
          <cell r="E151">
            <v>46.672280000000001</v>
          </cell>
          <cell r="F151">
            <v>14548.27</v>
          </cell>
          <cell r="G151">
            <v>5009.4809999999998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381171.9</v>
          </cell>
        </row>
        <row r="152">
          <cell r="B152">
            <v>33</v>
          </cell>
          <cell r="C152">
            <v>32</v>
          </cell>
          <cell r="D152">
            <v>351933.3</v>
          </cell>
          <cell r="E152">
            <v>46.672280000000001</v>
          </cell>
          <cell r="F152">
            <v>14136.51</v>
          </cell>
          <cell r="G152">
            <v>4909.0889999999999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371025.5</v>
          </cell>
        </row>
        <row r="153">
          <cell r="B153">
            <v>33</v>
          </cell>
          <cell r="C153">
            <v>32</v>
          </cell>
          <cell r="D153">
            <v>351933.3</v>
          </cell>
          <cell r="E153">
            <v>46.672280000000001</v>
          </cell>
          <cell r="F153">
            <v>14136.51</v>
          </cell>
          <cell r="G153">
            <v>4909.0889999999999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371025.5</v>
          </cell>
        </row>
        <row r="154">
          <cell r="B154">
            <v>34</v>
          </cell>
          <cell r="C154">
            <v>31</v>
          </cell>
          <cell r="D154">
            <v>342299.1</v>
          </cell>
          <cell r="E154">
            <v>46.672280000000001</v>
          </cell>
          <cell r="F154">
            <v>13724.74</v>
          </cell>
          <cell r="G154">
            <v>4808.6980000000003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360879.2</v>
          </cell>
        </row>
        <row r="155">
          <cell r="B155">
            <v>34</v>
          </cell>
          <cell r="C155">
            <v>31</v>
          </cell>
          <cell r="D155">
            <v>342299.1</v>
          </cell>
          <cell r="E155">
            <v>46.672280000000001</v>
          </cell>
          <cell r="F155">
            <v>13724.74</v>
          </cell>
          <cell r="G155">
            <v>4808.6980000000003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360879.2</v>
          </cell>
        </row>
        <row r="156">
          <cell r="B156">
            <v>35</v>
          </cell>
          <cell r="C156">
            <v>30</v>
          </cell>
          <cell r="D156">
            <v>332664.90000000002</v>
          </cell>
          <cell r="E156">
            <v>46.672280000000001</v>
          </cell>
          <cell r="F156">
            <v>13312.97</v>
          </cell>
          <cell r="G156">
            <v>4708.3069999999998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350732.79999999999</v>
          </cell>
        </row>
        <row r="157">
          <cell r="B157">
            <v>35</v>
          </cell>
          <cell r="C157">
            <v>30</v>
          </cell>
          <cell r="D157">
            <v>332664.90000000002</v>
          </cell>
          <cell r="E157">
            <v>46.672280000000001</v>
          </cell>
          <cell r="F157">
            <v>13312.97</v>
          </cell>
          <cell r="G157">
            <v>4708.3069999999998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350732.79999999999</v>
          </cell>
        </row>
        <row r="158">
          <cell r="B158">
            <v>36</v>
          </cell>
          <cell r="C158">
            <v>29</v>
          </cell>
          <cell r="D158">
            <v>323030.7</v>
          </cell>
          <cell r="E158">
            <v>46.672280000000001</v>
          </cell>
          <cell r="F158">
            <v>12901.2</v>
          </cell>
          <cell r="G158">
            <v>4607.915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340586.4</v>
          </cell>
        </row>
        <row r="159">
          <cell r="B159">
            <v>36</v>
          </cell>
          <cell r="C159">
            <v>29</v>
          </cell>
          <cell r="D159">
            <v>323030.7</v>
          </cell>
          <cell r="E159">
            <v>46.672280000000001</v>
          </cell>
          <cell r="F159">
            <v>12901.2</v>
          </cell>
          <cell r="G159">
            <v>4607.915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340586.4</v>
          </cell>
        </row>
        <row r="160">
          <cell r="B160">
            <v>37</v>
          </cell>
          <cell r="C160">
            <v>28</v>
          </cell>
          <cell r="D160">
            <v>313396.5</v>
          </cell>
          <cell r="E160">
            <v>46.672280000000001</v>
          </cell>
          <cell r="F160">
            <v>12489.43</v>
          </cell>
          <cell r="G160">
            <v>4507.5240000000003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330440.09999999998</v>
          </cell>
        </row>
        <row r="161">
          <cell r="B161">
            <v>38</v>
          </cell>
          <cell r="C161">
            <v>27</v>
          </cell>
          <cell r="D161">
            <v>303762.2</v>
          </cell>
          <cell r="E161">
            <v>46.672280000000001</v>
          </cell>
          <cell r="F161">
            <v>12077.66</v>
          </cell>
          <cell r="G161">
            <v>4407.1329999999998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320293.7</v>
          </cell>
        </row>
        <row r="162">
          <cell r="B162">
            <v>38</v>
          </cell>
          <cell r="C162">
            <v>27</v>
          </cell>
          <cell r="D162">
            <v>303762.2</v>
          </cell>
          <cell r="E162">
            <v>46.672280000000001</v>
          </cell>
          <cell r="F162">
            <v>12077.66</v>
          </cell>
          <cell r="G162">
            <v>4407.1329999999998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320293.7</v>
          </cell>
        </row>
        <row r="163">
          <cell r="B163">
            <v>39</v>
          </cell>
          <cell r="C163">
            <v>26</v>
          </cell>
          <cell r="D163">
            <v>294128</v>
          </cell>
          <cell r="E163">
            <v>46.672280000000001</v>
          </cell>
          <cell r="F163">
            <v>11665.89</v>
          </cell>
          <cell r="G163">
            <v>4306.741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310147.3</v>
          </cell>
        </row>
        <row r="164">
          <cell r="B164">
            <v>42</v>
          </cell>
          <cell r="C164">
            <v>23</v>
          </cell>
          <cell r="D164">
            <v>265225.40000000002</v>
          </cell>
          <cell r="E164">
            <v>46.672280000000001</v>
          </cell>
          <cell r="F164">
            <v>10430.59</v>
          </cell>
          <cell r="G164">
            <v>4005.5680000000002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279708.2</v>
          </cell>
        </row>
        <row r="165">
          <cell r="B165">
            <v>42</v>
          </cell>
          <cell r="C165">
            <v>23</v>
          </cell>
          <cell r="D165">
            <v>265225.40000000002</v>
          </cell>
          <cell r="E165">
            <v>46.672280000000001</v>
          </cell>
          <cell r="F165">
            <v>10430.59</v>
          </cell>
          <cell r="G165">
            <v>4005.5680000000002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279708.2</v>
          </cell>
        </row>
        <row r="166">
          <cell r="B166">
            <v>44</v>
          </cell>
          <cell r="C166">
            <v>21</v>
          </cell>
          <cell r="D166">
            <v>245957</v>
          </cell>
          <cell r="E166">
            <v>46.672280000000001</v>
          </cell>
          <cell r="F166">
            <v>9607.0499999999993</v>
          </cell>
          <cell r="G166">
            <v>3804.7849999999999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259415.5</v>
          </cell>
        </row>
        <row r="167">
          <cell r="B167">
            <v>46</v>
          </cell>
          <cell r="C167">
            <v>19</v>
          </cell>
          <cell r="D167">
            <v>226688.6</v>
          </cell>
          <cell r="E167">
            <v>46.672280000000001</v>
          </cell>
          <cell r="F167">
            <v>8783.5120000000006</v>
          </cell>
          <cell r="G167">
            <v>3604.002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239122.8</v>
          </cell>
        </row>
        <row r="168">
          <cell r="B168">
            <v>52</v>
          </cell>
          <cell r="C168">
            <v>13</v>
          </cell>
          <cell r="D168">
            <v>168883.3</v>
          </cell>
          <cell r="E168">
            <v>46.672280000000001</v>
          </cell>
          <cell r="F168">
            <v>6312.8990000000003</v>
          </cell>
          <cell r="G168">
            <v>3001.654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178244.6</v>
          </cell>
        </row>
        <row r="201">
          <cell r="B201">
            <v>26</v>
          </cell>
          <cell r="C201">
            <v>39</v>
          </cell>
          <cell r="D201">
            <v>402820.7</v>
          </cell>
          <cell r="E201">
            <v>46.672280000000001</v>
          </cell>
          <cell r="F201">
            <v>17644.52</v>
          </cell>
          <cell r="G201">
            <v>5596.9690000000001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426108.8</v>
          </cell>
        </row>
        <row r="202">
          <cell r="B202">
            <v>30</v>
          </cell>
          <cell r="C202">
            <v>35</v>
          </cell>
          <cell r="D202">
            <v>365974.7</v>
          </cell>
          <cell r="E202">
            <v>46.672280000000001</v>
          </cell>
          <cell r="F202">
            <v>15952.86</v>
          </cell>
          <cell r="G202">
            <v>5196.308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387170.6</v>
          </cell>
        </row>
        <row r="203">
          <cell r="B203">
            <v>31</v>
          </cell>
          <cell r="C203">
            <v>34</v>
          </cell>
          <cell r="D203">
            <v>356763.2</v>
          </cell>
          <cell r="E203">
            <v>46.672280000000001</v>
          </cell>
          <cell r="F203">
            <v>15529.95</v>
          </cell>
          <cell r="G203">
            <v>5096.143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377436</v>
          </cell>
        </row>
        <row r="204">
          <cell r="B204">
            <v>34</v>
          </cell>
          <cell r="C204">
            <v>31</v>
          </cell>
          <cell r="D204">
            <v>329128.8</v>
          </cell>
          <cell r="E204">
            <v>46.672280000000001</v>
          </cell>
          <cell r="F204">
            <v>14261.2</v>
          </cell>
          <cell r="G204">
            <v>4795.6480000000001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348232.3</v>
          </cell>
        </row>
        <row r="205">
          <cell r="B205">
            <v>34</v>
          </cell>
          <cell r="C205">
            <v>31</v>
          </cell>
          <cell r="D205">
            <v>329128.8</v>
          </cell>
          <cell r="E205">
            <v>46.672280000000001</v>
          </cell>
          <cell r="F205">
            <v>14261.2</v>
          </cell>
          <cell r="G205">
            <v>4795.6480000000001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348232.3</v>
          </cell>
        </row>
        <row r="206">
          <cell r="B206">
            <v>35</v>
          </cell>
          <cell r="C206">
            <v>30</v>
          </cell>
          <cell r="D206">
            <v>319917.3</v>
          </cell>
          <cell r="E206">
            <v>46.672280000000001</v>
          </cell>
          <cell r="F206">
            <v>13838.29</v>
          </cell>
          <cell r="G206">
            <v>4695.4830000000002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338497.7</v>
          </cell>
        </row>
        <row r="207">
          <cell r="B207">
            <v>36</v>
          </cell>
          <cell r="C207">
            <v>29</v>
          </cell>
          <cell r="D207">
            <v>310705.8</v>
          </cell>
          <cell r="E207">
            <v>46.672280000000001</v>
          </cell>
          <cell r="F207">
            <v>13415.37</v>
          </cell>
          <cell r="G207">
            <v>4595.3180000000002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328763.2</v>
          </cell>
        </row>
        <row r="208">
          <cell r="B208">
            <v>37</v>
          </cell>
          <cell r="C208">
            <v>28</v>
          </cell>
          <cell r="D208">
            <v>301494.3</v>
          </cell>
          <cell r="E208">
            <v>46.672280000000001</v>
          </cell>
          <cell r="F208">
            <v>12992.46</v>
          </cell>
          <cell r="G208">
            <v>4495.1530000000002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319028.59999999998</v>
          </cell>
        </row>
        <row r="209">
          <cell r="B209">
            <v>39</v>
          </cell>
          <cell r="C209">
            <v>26</v>
          </cell>
          <cell r="D209">
            <v>283071.3</v>
          </cell>
          <cell r="E209">
            <v>46.672280000000001</v>
          </cell>
          <cell r="F209">
            <v>12146.63</v>
          </cell>
          <cell r="G209">
            <v>4294.8230000000003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299559.5</v>
          </cell>
        </row>
        <row r="210">
          <cell r="B210">
            <v>40</v>
          </cell>
          <cell r="C210">
            <v>25</v>
          </cell>
          <cell r="D210">
            <v>273859.90000000002</v>
          </cell>
          <cell r="E210">
            <v>46.672280000000001</v>
          </cell>
          <cell r="F210">
            <v>11723.72</v>
          </cell>
          <cell r="G210">
            <v>4194.6580000000004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289824.90000000002</v>
          </cell>
        </row>
        <row r="211">
          <cell r="B211">
            <v>41</v>
          </cell>
          <cell r="C211">
            <v>24</v>
          </cell>
          <cell r="D211">
            <v>264648.40000000002</v>
          </cell>
          <cell r="E211">
            <v>46.672280000000001</v>
          </cell>
          <cell r="F211">
            <v>11300.8</v>
          </cell>
          <cell r="G211">
            <v>4094.4929999999999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280090.3</v>
          </cell>
        </row>
        <row r="212">
          <cell r="B212">
            <v>42</v>
          </cell>
          <cell r="C212">
            <v>23</v>
          </cell>
          <cell r="D212">
            <v>255436.9</v>
          </cell>
          <cell r="E212">
            <v>46.672280000000001</v>
          </cell>
          <cell r="F212">
            <v>10877.89</v>
          </cell>
          <cell r="G212">
            <v>3994.3270000000002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270355.8</v>
          </cell>
        </row>
        <row r="213">
          <cell r="B213">
            <v>42</v>
          </cell>
          <cell r="C213">
            <v>23</v>
          </cell>
          <cell r="D213">
            <v>255436.9</v>
          </cell>
          <cell r="E213">
            <v>46.672280000000001</v>
          </cell>
          <cell r="F213">
            <v>10877.89</v>
          </cell>
          <cell r="G213">
            <v>3994.3270000000002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270355.8</v>
          </cell>
        </row>
        <row r="214">
          <cell r="B214">
            <v>43</v>
          </cell>
          <cell r="C214">
            <v>22</v>
          </cell>
          <cell r="D214">
            <v>246225.4</v>
          </cell>
          <cell r="E214">
            <v>46.672280000000001</v>
          </cell>
          <cell r="F214">
            <v>10454.969999999999</v>
          </cell>
          <cell r="G214">
            <v>3894.1619999999998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260621.2</v>
          </cell>
        </row>
        <row r="215">
          <cell r="B215">
            <v>43</v>
          </cell>
          <cell r="C215">
            <v>22</v>
          </cell>
          <cell r="D215">
            <v>246225.4</v>
          </cell>
          <cell r="E215">
            <v>46.672280000000001</v>
          </cell>
          <cell r="F215">
            <v>10454.969999999999</v>
          </cell>
          <cell r="G215">
            <v>3894.1619999999998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260621.2</v>
          </cell>
        </row>
        <row r="216">
          <cell r="B216">
            <v>44</v>
          </cell>
          <cell r="C216">
            <v>21</v>
          </cell>
          <cell r="D216">
            <v>237013.9</v>
          </cell>
          <cell r="E216">
            <v>46.672280000000001</v>
          </cell>
          <cell r="F216">
            <v>10032.06</v>
          </cell>
          <cell r="G216">
            <v>3793.9969999999998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250886.6</v>
          </cell>
        </row>
        <row r="217">
          <cell r="B217">
            <v>44</v>
          </cell>
          <cell r="C217">
            <v>21</v>
          </cell>
          <cell r="D217">
            <v>237013.9</v>
          </cell>
          <cell r="E217">
            <v>46.672280000000001</v>
          </cell>
          <cell r="F217">
            <v>10032.06</v>
          </cell>
          <cell r="G217">
            <v>3793.9969999999998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250886.6</v>
          </cell>
        </row>
        <row r="218">
          <cell r="B218">
            <v>45</v>
          </cell>
          <cell r="C218">
            <v>20</v>
          </cell>
          <cell r="D218">
            <v>227802.4</v>
          </cell>
          <cell r="E218">
            <v>46.672280000000001</v>
          </cell>
          <cell r="F218">
            <v>9609.143</v>
          </cell>
          <cell r="G218">
            <v>3693.8319999999999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241152.1</v>
          </cell>
        </row>
        <row r="219">
          <cell r="B219">
            <v>46</v>
          </cell>
          <cell r="C219">
            <v>19</v>
          </cell>
          <cell r="D219">
            <v>218590.9</v>
          </cell>
          <cell r="E219">
            <v>46.672280000000001</v>
          </cell>
          <cell r="F219">
            <v>9186.2289999999994</v>
          </cell>
          <cell r="G219">
            <v>3593.6669999999999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231417.5</v>
          </cell>
        </row>
        <row r="220">
          <cell r="B220">
            <v>47</v>
          </cell>
          <cell r="C220">
            <v>18</v>
          </cell>
          <cell r="D220">
            <v>209379.5</v>
          </cell>
          <cell r="E220">
            <v>46.672280000000001</v>
          </cell>
          <cell r="F220">
            <v>8763.3140000000003</v>
          </cell>
          <cell r="G220">
            <v>3493.502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221682.9</v>
          </cell>
        </row>
        <row r="221">
          <cell r="B221">
            <v>48</v>
          </cell>
          <cell r="C221">
            <v>17</v>
          </cell>
          <cell r="D221">
            <v>200168</v>
          </cell>
          <cell r="E221">
            <v>46.672280000000001</v>
          </cell>
          <cell r="F221">
            <v>8340.4</v>
          </cell>
          <cell r="G221">
            <v>3393.337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211948.4</v>
          </cell>
        </row>
        <row r="222">
          <cell r="B222">
            <v>49</v>
          </cell>
          <cell r="C222">
            <v>16</v>
          </cell>
          <cell r="D222">
            <v>190956.5</v>
          </cell>
          <cell r="E222">
            <v>46.672280000000001</v>
          </cell>
          <cell r="F222">
            <v>7917.4849999999997</v>
          </cell>
          <cell r="G222">
            <v>3293.172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202213.8</v>
          </cell>
        </row>
        <row r="223">
          <cell r="B223">
            <v>50</v>
          </cell>
          <cell r="C223">
            <v>15</v>
          </cell>
          <cell r="D223">
            <v>181745</v>
          </cell>
          <cell r="E223">
            <v>46.672280000000001</v>
          </cell>
          <cell r="F223">
            <v>7494.5709999999999</v>
          </cell>
          <cell r="G223">
            <v>3193.0070000000001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192479.2</v>
          </cell>
        </row>
        <row r="224">
          <cell r="B224">
            <v>51</v>
          </cell>
          <cell r="C224">
            <v>14</v>
          </cell>
          <cell r="D224">
            <v>172533.5</v>
          </cell>
          <cell r="E224">
            <v>46.672280000000001</v>
          </cell>
          <cell r="F224">
            <v>7071.6559999999999</v>
          </cell>
          <cell r="G224">
            <v>3092.8420000000001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182744.7</v>
          </cell>
        </row>
        <row r="225">
          <cell r="B225">
            <v>51</v>
          </cell>
          <cell r="C225">
            <v>14</v>
          </cell>
          <cell r="D225">
            <v>172533.5</v>
          </cell>
          <cell r="E225">
            <v>46.672280000000001</v>
          </cell>
          <cell r="F225">
            <v>7071.6559999999999</v>
          </cell>
          <cell r="G225">
            <v>3092.8420000000001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182744.7</v>
          </cell>
        </row>
        <row r="226">
          <cell r="B226">
            <v>52</v>
          </cell>
          <cell r="C226">
            <v>13</v>
          </cell>
          <cell r="D226">
            <v>163322</v>
          </cell>
          <cell r="E226">
            <v>46.672280000000001</v>
          </cell>
          <cell r="F226">
            <v>6648.7420000000002</v>
          </cell>
          <cell r="G226">
            <v>2992.6770000000001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173010.1</v>
          </cell>
        </row>
        <row r="227">
          <cell r="B227">
            <v>53</v>
          </cell>
          <cell r="C227">
            <v>12</v>
          </cell>
          <cell r="D227">
            <v>154110.5</v>
          </cell>
          <cell r="E227">
            <v>46.672280000000001</v>
          </cell>
          <cell r="F227">
            <v>6225.8270000000002</v>
          </cell>
          <cell r="G227">
            <v>2892.511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163275.5</v>
          </cell>
        </row>
        <row r="228">
          <cell r="B228">
            <v>55</v>
          </cell>
          <cell r="C228">
            <v>10</v>
          </cell>
          <cell r="D228">
            <v>135687.6</v>
          </cell>
          <cell r="E228">
            <v>46.672280000000001</v>
          </cell>
          <cell r="F228">
            <v>5379.9979999999996</v>
          </cell>
          <cell r="G228">
            <v>2692.181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143806.39999999999</v>
          </cell>
        </row>
        <row r="229">
          <cell r="B229">
            <v>56</v>
          </cell>
          <cell r="C229">
            <v>9</v>
          </cell>
          <cell r="D229">
            <v>126476.1</v>
          </cell>
          <cell r="E229">
            <v>46.672280000000001</v>
          </cell>
          <cell r="F229">
            <v>4957.0839999999998</v>
          </cell>
          <cell r="G229">
            <v>2592.0160000000001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134071.9</v>
          </cell>
        </row>
        <row r="230">
          <cell r="B230">
            <v>59</v>
          </cell>
          <cell r="C230">
            <v>6</v>
          </cell>
          <cell r="D230">
            <v>98841.62</v>
          </cell>
          <cell r="E230">
            <v>46.672280000000001</v>
          </cell>
          <cell r="F230">
            <v>3688.34</v>
          </cell>
          <cell r="G230">
            <v>2291.5210000000002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104868.2</v>
          </cell>
        </row>
        <row r="231">
          <cell r="B231">
            <v>63</v>
          </cell>
          <cell r="C231">
            <v>2</v>
          </cell>
          <cell r="D231">
            <v>61995.68</v>
          </cell>
          <cell r="E231">
            <v>46.672280000000001</v>
          </cell>
          <cell r="F231">
            <v>1996.682</v>
          </cell>
          <cell r="G231">
            <v>1890.8610000000001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65929.899999999994</v>
          </cell>
        </row>
      </sheetData>
      <sheetData sheetId="1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1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Attribute.1" tableColumnId="2"/>
      <queryTableField id="3" name="Attribute.2" tableColumnId="3"/>
      <queryTableField id="4" name="Valu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1B9A8CF-D127-40F3-BD7A-98A977A16956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Attribute" tableColumnId="2"/>
      <queryTableField id="3" name="Valu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4B0CF4-7B3F-4962-B846-12408D45CCDE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pipeline" tableColumnId="2"/>
      <queryTableField id="3" name="attribute" tableColumnId="3"/>
      <queryTableField id="4" name="value" tableColumnId="4"/>
      <queryTableField id="5" name="category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638050D-2974-4ADB-BE37-C66D5528DEAD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lant" tableColumnId="2"/>
      <queryTableField id="3" name="attribute" tableColumnId="3"/>
      <queryTableField id="4" name="valu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ations_2007" displayName="stations_2007" ref="A1:D4016" tableType="queryTable" totalsRowShown="0">
  <autoFilter ref="A1:D4016" xr:uid="{00000000-0009-0000-0100-000002000000}"/>
  <tableColumns count="4">
    <tableColumn id="1" xr3:uid="{00000000-0010-0000-0000-000001000000}" uniqueName="1" name="DATE" queryTableFieldId="1" dataDxfId="68"/>
    <tableColumn id="2" xr3:uid="{00000000-0010-0000-0000-000002000000}" uniqueName="2" name="Attribute.1" queryTableFieldId="2" dataDxfId="67"/>
    <tableColumn id="3" xr3:uid="{00000000-0010-0000-0000-000003000000}" uniqueName="3" name="Attribute.2" queryTableFieldId="3" dataDxfId="66"/>
    <tableColumn id="4" xr3:uid="{00000000-0010-0000-0000-000004000000}" uniqueName="4" name="Valu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9C07F2-5AA0-4762-BE30-A1A54F61F763}" name="weather_2007" displayName="weather_2007" ref="A1:C2191" tableType="queryTable" totalsRowShown="0">
  <autoFilter ref="A1:C2191" xr:uid="{619C07F2-5AA0-4762-BE30-A1A54F61F763}"/>
  <tableColumns count="3">
    <tableColumn id="1" xr3:uid="{E1E29C94-8469-428B-8DB6-159CEBB80041}" uniqueName="1" name="DATE" queryTableFieldId="1" dataDxfId="65"/>
    <tableColumn id="2" xr3:uid="{0EEF230C-4662-4706-BB92-A2462DE3CB71}" uniqueName="2" name="Attribute" queryTableFieldId="2" dataDxfId="64"/>
    <tableColumn id="3" xr3:uid="{42673D09-8123-4A77-883F-EA16E2180D04}" uniqueName="3" name="Valu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D39355F-EAB9-4DDC-9C5D-444783946F32}" name="pipeline_2007__2" displayName="pipeline_2007__2" ref="A1:E9856" tableType="queryTable" totalsRowShown="0">
  <autoFilter ref="A1:E9856" xr:uid="{1D39355F-EAB9-4DDC-9C5D-444783946F32}"/>
  <tableColumns count="5">
    <tableColumn id="1" xr3:uid="{EFFAC674-C6BE-462C-8C9F-C6B2DE788112}" uniqueName="1" name="DATE" queryTableFieldId="1" dataDxfId="63"/>
    <tableColumn id="2" xr3:uid="{0E9E21BF-7BF6-46D4-9612-6A3B1A75611C}" uniqueName="2" name="pipeline" queryTableFieldId="2" dataDxfId="62"/>
    <tableColumn id="3" xr3:uid="{6D79E465-6FAA-43FE-9E2E-792CEF141C02}" uniqueName="3" name="attribute" queryTableFieldId="3" dataDxfId="61"/>
    <tableColumn id="4" xr3:uid="{3F11F471-9E12-4ADF-B84D-C641B389B4D7}" uniqueName="4" name="value" queryTableFieldId="4"/>
    <tableColumn id="5" xr3:uid="{9061CA6D-839B-4E6E-ACAB-397FE67C2EB9}" uniqueName="5" name="category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A771EB-D385-4042-AAC5-6A945C6F57BB}" name="LNG_1" displayName="LNG_1" ref="A1:D8036" tableType="queryTable" totalsRowShown="0">
  <autoFilter ref="A1:D8036" xr:uid="{C4A771EB-D385-4042-AAC5-6A945C6F57BB}"/>
  <tableColumns count="4">
    <tableColumn id="1" xr3:uid="{636A5236-19D9-45E9-ACC2-44F259ABB1C6}" uniqueName="1" name="DATE" queryTableFieldId="1" dataDxfId="2"/>
    <tableColumn id="2" xr3:uid="{3ED411F7-449C-4AAA-B01F-C2A1C44C4B14}" uniqueName="2" name="plant" queryTableFieldId="2" dataDxfId="1"/>
    <tableColumn id="3" xr3:uid="{95A3A50B-44E7-4FCA-93AF-A421B742DEA6}" uniqueName="3" name="attribute" queryTableFieldId="3" dataDxfId="0"/>
    <tableColumn id="4" xr3:uid="{CDBBAFAF-36E4-48AE-A566-12460B2C7D30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L366" totalsRowShown="0" headerRowDxfId="60" dataDxfId="58" headerRowBorderDxfId="59" tableBorderDxfId="57">
  <autoFilter ref="A1:L366" xr:uid="{00000000-0009-0000-0100-000001000000}"/>
  <tableColumns count="12">
    <tableColumn id="1" xr3:uid="{00000000-0010-0000-0100-000001000000}" name="DATE" dataDxfId="56">
      <calculatedColumnFormula>1+A1</calculatedColumnFormula>
    </tableColumn>
    <tableColumn id="2" xr3:uid="{00000000-0010-0000-0100-000002000000}" name="c_0-30" dataDxfId="55"/>
    <tableColumn id="3" xr3:uid="{00000000-0010-0000-0100-000003000000}" name="c_0-34" dataDxfId="54"/>
    <tableColumn id="4" xr3:uid="{00000000-0010-0000-0100-000004000000}" name="c_PENROSE" dataDxfId="53"/>
    <tableColumn id="5" xr3:uid="{00000000-0010-0000-0100-000005000000}" name="c_0-60" dataDxfId="52"/>
    <tableColumn id="6" xr3:uid="{00000000-0010-0000-0100-000006000000}" name="c_BTU" dataDxfId="51"/>
    <tableColumn id="7" xr3:uid="{00000000-0010-0000-0100-000007000000}" name="t_RICHMOND" dataDxfId="50"/>
    <tableColumn id="8" xr3:uid="{00000000-0010-0000-0100-000008000000}" name="t_WHITMAN" dataDxfId="49"/>
    <tableColumn id="9" xr3:uid="{00000000-0010-0000-0100-000009000000}" name="t_ASHMEAD" dataDxfId="48"/>
    <tableColumn id="10" xr3:uid="{00000000-0010-0000-0100-00000A000000}" name="t_SOMERTON" dataDxfId="47"/>
    <tableColumn id="11" xr3:uid="{00000000-0010-0000-0100-00000B000000}" name="t_IVYHILL" dataDxfId="46"/>
    <tableColumn id="12" xr3:uid="{00000000-0010-0000-0100-00000C000000}" name="t_BTU" dataDxfId="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899EE3-D063-40CE-A91F-E51BFFA31806}" name="Table5" displayName="Table5" ref="A1:AB366" totalsRowShown="0" headerRowDxfId="44" dataDxfId="43" tableBorderDxfId="42">
  <autoFilter ref="A1:AB366" xr:uid="{C6899EE3-D063-40CE-A91F-E51BFFA31806}"/>
  <tableColumns count="28">
    <tableColumn id="1" xr3:uid="{AA81EA4E-5388-475D-B914-EA52C080D673}" name="DATE" dataDxfId="41">
      <calculatedColumnFormula>'M&amp;R Stations'!A2</calculatedColumnFormula>
    </tableColumn>
    <tableColumn id="2" xr3:uid="{9EDE063B-3B28-45A8-824B-12C8F87D699C}" name="tetco_EQUIT INJ" dataDxfId="40"/>
    <tableColumn id="3" xr3:uid="{F411BCB3-DF13-4551-AFB3-442A252D7082}" name="tetco_FTS-2" dataDxfId="39"/>
    <tableColumn id="4" xr3:uid="{2623F0E3-C6A2-4444-9992-7B64A8F00769}" name="tetco_SS1-A INJ" dataDxfId="38"/>
    <tableColumn id="5" xr3:uid="{B7C86B07-CE92-4F03-81A8-71ACAE1D307A}" name="tetco_SS1-A WD" dataDxfId="37"/>
    <tableColumn id="6" xr3:uid="{5831156D-4F1A-438B-A3F3-3D75EBF216F5}" name="tetco_CNG INJ" dataDxfId="36"/>
    <tableColumn id="7" xr3:uid="{05BEDAB9-2C54-4CCB-93FE-A6AE982C9B03}" name="tetco_FT7/FT8 WD" dataDxfId="35"/>
    <tableColumn id="8" xr3:uid="{12910137-C21E-4B51-A7F5-BC6E8DB1252C}" name="tetco_BD INJ" dataDxfId="34"/>
    <tableColumn id="9" xr3:uid="{99942311-9D20-41A3-B6FF-B9BD55E22A98}" name="tetco_BD WD" dataDxfId="33"/>
    <tableColumn id="10" xr3:uid="{412B4832-41E4-4F9F-A5FA-800B25941E45}" name="tetco_SS1-B INJ" dataDxfId="32"/>
    <tableColumn id="11" xr3:uid="{96B3C8E9-9DAD-4678-8204-14BBEA748585}" name="tetco_SS1-B WD" dataDxfId="31"/>
    <tableColumn id="12" xr3:uid="{35F84300-039B-4DE3-8F31-4689DD5F15AE}" name="tetco_ANR INJ" dataDxfId="30"/>
    <tableColumn id="13" xr3:uid="{F24873DA-EAA1-405B-BCC9-342B5FB6F38C}" name="tetco_ANR WD" dataDxfId="29"/>
    <tableColumn id="14" xr3:uid="{93683E3B-0771-4C00-964B-EF9D4E176300}" name="tetco_FT-1" dataDxfId="28"/>
    <tableColumn id="15" xr3:uid="{3708A207-C0E2-4240-981C-C9D5CB2EC17D}" name="tetco_IT" dataDxfId="27"/>
    <tableColumn id="16" xr3:uid="{1A9FDB71-32C3-44E7-939F-AC722A10065B}" name="tetco_INJ FUEL" dataDxfId="26"/>
    <tableColumn id="17" xr3:uid="{0EB7A1AF-7200-48C6-8725-2D8755552CA8}" name="transco_S2 INJ" dataDxfId="25"/>
    <tableColumn id="18" xr3:uid="{9D811984-3640-4141-9CC3-5CAE2E3F830C}" name="transco_S2 WD" dataDxfId="24"/>
    <tableColumn id="19" xr3:uid="{A7301621-CAA8-4949-8BEC-818A70982662}" name="transco_GSS INJ" dataDxfId="23"/>
    <tableColumn id="20" xr3:uid="{27DB13B7-6D90-4300-B7B1-E7DD99985CCA}" name="transco_GSS WD" dataDxfId="22"/>
    <tableColumn id="21" xr3:uid="{D4844856-29E0-44D0-AC6F-8A954D2B030F}" name="transco_WSS INJ" dataDxfId="21"/>
    <tableColumn id="22" xr3:uid="{4DEEA93D-373E-4DC7-8043-E86193C69FC7}" name="transco_WSS WD" dataDxfId="20"/>
    <tableColumn id="23" xr3:uid="{5E9F13D6-A2B2-4D87-990B-0BD4185B1DAC}" name="transco_EMM INJ" dataDxfId="19"/>
    <tableColumn id="24" xr3:uid="{0628AD01-15BF-463C-BF51-F7E7626904FB}" name="transco_EMM WD" dataDxfId="18"/>
    <tableColumn id="25" xr3:uid="{58B4734D-F1F2-48CA-98B2-41DB312013A7}" name="transco_FT" dataDxfId="17"/>
    <tableColumn id="26" xr3:uid="{C1909115-EFC8-4A8D-90DE-E55D18E3C0DB}" name="transco_IT" dataDxfId="16"/>
    <tableColumn id="27" xr3:uid="{B6BF932D-5EEE-4BC0-8199-FC749DAA7378}" name="transco_CNG INJ" dataDxfId="15"/>
    <tableColumn id="28" xr3:uid="{09733EB1-29CE-46D6-B54B-0E84078DF40C}" name="transco_INJ FUEL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BD7C3C-B3B9-4DC7-9438-F48D0767640D}" name="Table3" displayName="Table3" ref="A1:G366" totalsRowShown="0" headerRowDxfId="13" dataDxfId="11" headerRowBorderDxfId="12" tableBorderDxfId="10">
  <autoFilter ref="A1:G366" xr:uid="{BCBD7C3C-B3B9-4DC7-9438-F48D0767640D}"/>
  <tableColumns count="7">
    <tableColumn id="1" xr3:uid="{6EA8F943-1725-420C-856B-CAF34C571D2F}" name="DATE" dataDxfId="9">
      <calculatedColumnFormula>'M&amp;R Stations'!A2</calculatedColumnFormula>
    </tableColumn>
    <tableColumn id="2" xr3:uid="{A10FCFD4-CA8E-4354-A496-EAA0651B8789}" name="WIND SPEED" dataDxfId="8"/>
    <tableColumn id="3" xr3:uid="{66670A4A-2D5C-40E1-BAD2-057828757E61}" name="HIGH TEMP" dataDxfId="7"/>
    <tableColumn id="4" xr3:uid="{4EC89B3C-75E2-4DF6-A993-47EE383D2864}" name="LOW TEMP" dataDxfId="6"/>
    <tableColumn id="5" xr3:uid="{8931E84C-7ED0-45B9-B5D4-1BD167A67F84}" name="AVG TEMP" dataDxfId="5"/>
    <tableColumn id="6" xr3:uid="{5F086081-FA4A-46EF-A6AC-15D4CEFB9E33}" name="WIND DIRECTION" dataDxfId="4"/>
    <tableColumn id="7" xr3:uid="{8F4E2F7D-3EFA-4A69-9164-A6669648D1F8}" name="WEATHER CONDITION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14"/>
  <sheetViews>
    <sheetView workbookViewId="0">
      <selection activeCell="E14" sqref="E14"/>
    </sheetView>
  </sheetViews>
  <sheetFormatPr defaultRowHeight="15.75" x14ac:dyDescent="0.25"/>
  <sheetData>
    <row r="1" spans="1:2" x14ac:dyDescent="0.25">
      <c r="A1" t="s">
        <v>191</v>
      </c>
    </row>
    <row r="2" spans="1:2" x14ac:dyDescent="0.25">
      <c r="A2">
        <v>1</v>
      </c>
      <c r="B2" t="s">
        <v>192</v>
      </c>
    </row>
    <row r="4" spans="1:2" x14ac:dyDescent="0.25">
      <c r="A4">
        <v>2</v>
      </c>
      <c r="B4" t="s">
        <v>208</v>
      </c>
    </row>
    <row r="5" spans="1:2" x14ac:dyDescent="0.25">
      <c r="A5">
        <v>3</v>
      </c>
      <c r="B5" t="s">
        <v>211</v>
      </c>
    </row>
    <row r="6" spans="1:2" x14ac:dyDescent="0.25">
      <c r="A6">
        <v>4</v>
      </c>
      <c r="B6" t="s">
        <v>212</v>
      </c>
    </row>
    <row r="7" spans="1:2" x14ac:dyDescent="0.25">
      <c r="A7">
        <v>5</v>
      </c>
      <c r="B7" t="s">
        <v>206</v>
      </c>
    </row>
    <row r="8" spans="1:2" x14ac:dyDescent="0.25">
      <c r="A8">
        <v>6</v>
      </c>
      <c r="B8" t="s">
        <v>207</v>
      </c>
    </row>
    <row r="9" spans="1:2" x14ac:dyDescent="0.25">
      <c r="A9">
        <v>7</v>
      </c>
      <c r="B9" t="s">
        <v>209</v>
      </c>
    </row>
    <row r="10" spans="1:2" x14ac:dyDescent="0.25">
      <c r="A10">
        <v>8</v>
      </c>
      <c r="B10" t="s">
        <v>210</v>
      </c>
    </row>
    <row r="12" spans="1:2" x14ac:dyDescent="0.25">
      <c r="A12" t="s">
        <v>213</v>
      </c>
    </row>
    <row r="13" spans="1:2" x14ac:dyDescent="0.25">
      <c r="A13">
        <v>1</v>
      </c>
      <c r="B13" t="s">
        <v>214</v>
      </c>
    </row>
    <row r="14" spans="1:2" x14ac:dyDescent="0.25">
      <c r="A14">
        <v>2</v>
      </c>
      <c r="B14" t="s">
        <v>215</v>
      </c>
    </row>
  </sheetData>
  <phoneticPr fontId="39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ZeroGSDReport">
                <anchor moveWithCells="1" sizeWithCells="1"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8</xdr:col>
                    <xdr:colOff>171450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5">
                <anchor moveWithCells="1" sizeWithCells="1">
                  <from>
                    <xdr:col>4</xdr:col>
                    <xdr:colOff>19050</xdr:colOff>
                    <xdr:row>11</xdr:row>
                    <xdr:rowOff>133350</xdr:rowOff>
                  </from>
                  <to>
                    <xdr:col>5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016"/>
  <sheetViews>
    <sheetView topLeftCell="A7" workbookViewId="0"/>
  </sheetViews>
  <sheetFormatPr defaultRowHeight="15.75" x14ac:dyDescent="0.25"/>
  <cols>
    <col min="1" max="1" width="14.25" bestFit="1" customWidth="1"/>
    <col min="2" max="3" width="12.25" bestFit="1" customWidth="1"/>
    <col min="4" max="4" width="7.75" bestFit="1" customWidth="1"/>
  </cols>
  <sheetData>
    <row r="1" spans="1:4" x14ac:dyDescent="0.25">
      <c r="A1" t="s">
        <v>58</v>
      </c>
      <c r="B1" t="s">
        <v>335</v>
      </c>
      <c r="C1" t="s">
        <v>336</v>
      </c>
      <c r="D1" t="s">
        <v>337</v>
      </c>
    </row>
    <row r="2" spans="1:4" x14ac:dyDescent="0.25">
      <c r="A2" s="279">
        <v>38961</v>
      </c>
      <c r="B2" t="s">
        <v>338</v>
      </c>
      <c r="C2" t="s">
        <v>81</v>
      </c>
      <c r="D2">
        <v>0</v>
      </c>
    </row>
    <row r="3" spans="1:4" x14ac:dyDescent="0.25">
      <c r="A3" s="279">
        <v>38961</v>
      </c>
      <c r="B3" t="s">
        <v>338</v>
      </c>
      <c r="C3" t="s">
        <v>82</v>
      </c>
      <c r="D3">
        <v>0</v>
      </c>
    </row>
    <row r="4" spans="1:4" x14ac:dyDescent="0.25">
      <c r="A4" s="279">
        <v>38961</v>
      </c>
      <c r="B4" t="s">
        <v>338</v>
      </c>
      <c r="C4" t="s">
        <v>84</v>
      </c>
      <c r="D4">
        <v>280</v>
      </c>
    </row>
    <row r="5" spans="1:4" x14ac:dyDescent="0.25">
      <c r="A5" s="279">
        <v>38961</v>
      </c>
      <c r="B5" t="s">
        <v>338</v>
      </c>
      <c r="C5" t="s">
        <v>83</v>
      </c>
      <c r="D5">
        <v>0</v>
      </c>
    </row>
    <row r="6" spans="1:4" x14ac:dyDescent="0.25">
      <c r="A6" s="279">
        <v>38961</v>
      </c>
      <c r="B6" t="s">
        <v>338</v>
      </c>
      <c r="C6" t="s">
        <v>14</v>
      </c>
      <c r="D6">
        <v>1035</v>
      </c>
    </row>
    <row r="7" spans="1:4" x14ac:dyDescent="0.25">
      <c r="A7" s="279">
        <v>38961</v>
      </c>
      <c r="B7" t="s">
        <v>339</v>
      </c>
      <c r="C7" t="s">
        <v>20</v>
      </c>
      <c r="D7">
        <v>46048</v>
      </c>
    </row>
    <row r="8" spans="1:4" x14ac:dyDescent="0.25">
      <c r="A8" s="279">
        <v>38961</v>
      </c>
      <c r="B8" t="s">
        <v>339</v>
      </c>
      <c r="C8" t="s">
        <v>85</v>
      </c>
      <c r="D8">
        <v>19422</v>
      </c>
    </row>
    <row r="9" spans="1:4" x14ac:dyDescent="0.25">
      <c r="A9" s="279">
        <v>38961</v>
      </c>
      <c r="B9" t="s">
        <v>339</v>
      </c>
      <c r="C9" t="s">
        <v>86</v>
      </c>
      <c r="D9">
        <v>0</v>
      </c>
    </row>
    <row r="10" spans="1:4" x14ac:dyDescent="0.25">
      <c r="A10" s="279">
        <v>38961</v>
      </c>
      <c r="B10" t="s">
        <v>339</v>
      </c>
      <c r="C10" t="s">
        <v>87</v>
      </c>
      <c r="D10">
        <v>0</v>
      </c>
    </row>
    <row r="11" spans="1:4" x14ac:dyDescent="0.25">
      <c r="A11" s="279">
        <v>38961</v>
      </c>
      <c r="B11" t="s">
        <v>339</v>
      </c>
      <c r="C11" t="s">
        <v>88</v>
      </c>
      <c r="D11">
        <v>0</v>
      </c>
    </row>
    <row r="12" spans="1:4" x14ac:dyDescent="0.25">
      <c r="A12" s="279">
        <v>38961</v>
      </c>
      <c r="B12" t="s">
        <v>339</v>
      </c>
      <c r="C12" t="s">
        <v>14</v>
      </c>
      <c r="D12">
        <v>1040</v>
      </c>
    </row>
    <row r="13" spans="1:4" x14ac:dyDescent="0.25">
      <c r="A13" s="279">
        <v>38962</v>
      </c>
      <c r="B13" t="s">
        <v>338</v>
      </c>
      <c r="C13" t="s">
        <v>81</v>
      </c>
      <c r="D13">
        <v>0</v>
      </c>
    </row>
    <row r="14" spans="1:4" x14ac:dyDescent="0.25">
      <c r="A14" s="279">
        <v>38962</v>
      </c>
      <c r="B14" t="s">
        <v>338</v>
      </c>
      <c r="C14" t="s">
        <v>82</v>
      </c>
      <c r="D14">
        <v>0</v>
      </c>
    </row>
    <row r="15" spans="1:4" x14ac:dyDescent="0.25">
      <c r="A15" s="279">
        <v>38962</v>
      </c>
      <c r="B15" t="s">
        <v>338</v>
      </c>
      <c r="C15" t="s">
        <v>84</v>
      </c>
      <c r="D15">
        <v>220</v>
      </c>
    </row>
    <row r="16" spans="1:4" x14ac:dyDescent="0.25">
      <c r="A16" s="279">
        <v>38962</v>
      </c>
      <c r="B16" t="s">
        <v>338</v>
      </c>
      <c r="C16" t="s">
        <v>83</v>
      </c>
      <c r="D16">
        <v>0</v>
      </c>
    </row>
    <row r="17" spans="1:4" x14ac:dyDescent="0.25">
      <c r="A17" s="279">
        <v>38962</v>
      </c>
      <c r="B17" t="s">
        <v>338</v>
      </c>
      <c r="C17" t="s">
        <v>14</v>
      </c>
      <c r="D17">
        <v>1033</v>
      </c>
    </row>
    <row r="18" spans="1:4" x14ac:dyDescent="0.25">
      <c r="A18" s="279">
        <v>38962</v>
      </c>
      <c r="B18" t="s">
        <v>339</v>
      </c>
      <c r="C18" t="s">
        <v>20</v>
      </c>
      <c r="D18">
        <v>40239</v>
      </c>
    </row>
    <row r="19" spans="1:4" x14ac:dyDescent="0.25">
      <c r="A19" s="279">
        <v>38962</v>
      </c>
      <c r="B19" t="s">
        <v>339</v>
      </c>
      <c r="C19" t="s">
        <v>85</v>
      </c>
      <c r="D19">
        <v>21799</v>
      </c>
    </row>
    <row r="20" spans="1:4" x14ac:dyDescent="0.25">
      <c r="A20" s="279">
        <v>38962</v>
      </c>
      <c r="B20" t="s">
        <v>339</v>
      </c>
      <c r="C20" t="s">
        <v>86</v>
      </c>
      <c r="D20">
        <v>0</v>
      </c>
    </row>
    <row r="21" spans="1:4" x14ac:dyDescent="0.25">
      <c r="A21" s="279">
        <v>38962</v>
      </c>
      <c r="B21" t="s">
        <v>339</v>
      </c>
      <c r="C21" t="s">
        <v>87</v>
      </c>
      <c r="D21">
        <v>5</v>
      </c>
    </row>
    <row r="22" spans="1:4" x14ac:dyDescent="0.25">
      <c r="A22" s="279">
        <v>38962</v>
      </c>
      <c r="B22" t="s">
        <v>339</v>
      </c>
      <c r="C22" t="s">
        <v>88</v>
      </c>
      <c r="D22">
        <v>0</v>
      </c>
    </row>
    <row r="23" spans="1:4" x14ac:dyDescent="0.25">
      <c r="A23" s="279">
        <v>38962</v>
      </c>
      <c r="B23" t="s">
        <v>339</v>
      </c>
      <c r="C23" t="s">
        <v>14</v>
      </c>
      <c r="D23">
        <v>1037</v>
      </c>
    </row>
    <row r="24" spans="1:4" x14ac:dyDescent="0.25">
      <c r="A24" s="279">
        <v>38963</v>
      </c>
      <c r="B24" t="s">
        <v>338</v>
      </c>
      <c r="C24" t="s">
        <v>81</v>
      </c>
      <c r="D24">
        <v>0</v>
      </c>
    </row>
    <row r="25" spans="1:4" x14ac:dyDescent="0.25">
      <c r="A25" s="279">
        <v>38963</v>
      </c>
      <c r="B25" t="s">
        <v>338</v>
      </c>
      <c r="C25" t="s">
        <v>82</v>
      </c>
      <c r="D25">
        <v>0</v>
      </c>
    </row>
    <row r="26" spans="1:4" x14ac:dyDescent="0.25">
      <c r="A26" s="279">
        <v>38963</v>
      </c>
      <c r="B26" t="s">
        <v>338</v>
      </c>
      <c r="C26" t="s">
        <v>84</v>
      </c>
      <c r="D26">
        <v>210</v>
      </c>
    </row>
    <row r="27" spans="1:4" x14ac:dyDescent="0.25">
      <c r="A27" s="279">
        <v>38963</v>
      </c>
      <c r="B27" t="s">
        <v>338</v>
      </c>
      <c r="C27" t="s">
        <v>83</v>
      </c>
      <c r="D27">
        <v>0</v>
      </c>
    </row>
    <row r="28" spans="1:4" x14ac:dyDescent="0.25">
      <c r="A28" s="279">
        <v>38963</v>
      </c>
      <c r="B28" t="s">
        <v>338</v>
      </c>
      <c r="C28" t="s">
        <v>14</v>
      </c>
      <c r="D28">
        <v>1033</v>
      </c>
    </row>
    <row r="29" spans="1:4" x14ac:dyDescent="0.25">
      <c r="A29" s="279">
        <v>38963</v>
      </c>
      <c r="B29" t="s">
        <v>339</v>
      </c>
      <c r="C29" t="s">
        <v>20</v>
      </c>
      <c r="D29">
        <v>37210</v>
      </c>
    </row>
    <row r="30" spans="1:4" x14ac:dyDescent="0.25">
      <c r="A30" s="279">
        <v>38963</v>
      </c>
      <c r="B30" t="s">
        <v>339</v>
      </c>
      <c r="C30" t="s">
        <v>85</v>
      </c>
      <c r="D30">
        <v>24418</v>
      </c>
    </row>
    <row r="31" spans="1:4" x14ac:dyDescent="0.25">
      <c r="A31" s="279">
        <v>38963</v>
      </c>
      <c r="B31" t="s">
        <v>339</v>
      </c>
      <c r="C31" t="s">
        <v>86</v>
      </c>
      <c r="D31">
        <v>0</v>
      </c>
    </row>
    <row r="32" spans="1:4" x14ac:dyDescent="0.25">
      <c r="A32" s="279">
        <v>38963</v>
      </c>
      <c r="B32" t="s">
        <v>339</v>
      </c>
      <c r="C32" t="s">
        <v>87</v>
      </c>
      <c r="D32">
        <v>0</v>
      </c>
    </row>
    <row r="33" spans="1:4" x14ac:dyDescent="0.25">
      <c r="A33" s="279">
        <v>38963</v>
      </c>
      <c r="B33" t="s">
        <v>339</v>
      </c>
      <c r="C33" t="s">
        <v>88</v>
      </c>
      <c r="D33">
        <v>0</v>
      </c>
    </row>
    <row r="34" spans="1:4" x14ac:dyDescent="0.25">
      <c r="A34" s="279">
        <v>38963</v>
      </c>
      <c r="B34" t="s">
        <v>339</v>
      </c>
      <c r="C34" t="s">
        <v>14</v>
      </c>
      <c r="D34">
        <v>1037</v>
      </c>
    </row>
    <row r="35" spans="1:4" x14ac:dyDescent="0.25">
      <c r="A35" s="279">
        <v>38964</v>
      </c>
      <c r="B35" t="s">
        <v>338</v>
      </c>
      <c r="C35" t="s">
        <v>81</v>
      </c>
      <c r="D35">
        <v>0</v>
      </c>
    </row>
    <row r="36" spans="1:4" x14ac:dyDescent="0.25">
      <c r="A36" s="279">
        <v>38964</v>
      </c>
      <c r="B36" t="s">
        <v>338</v>
      </c>
      <c r="C36" t="s">
        <v>82</v>
      </c>
      <c r="D36">
        <v>0</v>
      </c>
    </row>
    <row r="37" spans="1:4" x14ac:dyDescent="0.25">
      <c r="A37" s="279">
        <v>38964</v>
      </c>
      <c r="B37" t="s">
        <v>338</v>
      </c>
      <c r="C37" t="s">
        <v>84</v>
      </c>
      <c r="D37">
        <v>210</v>
      </c>
    </row>
    <row r="38" spans="1:4" x14ac:dyDescent="0.25">
      <c r="A38" s="279">
        <v>38964</v>
      </c>
      <c r="B38" t="s">
        <v>338</v>
      </c>
      <c r="C38" t="s">
        <v>83</v>
      </c>
      <c r="D38">
        <v>0</v>
      </c>
    </row>
    <row r="39" spans="1:4" x14ac:dyDescent="0.25">
      <c r="A39" s="279">
        <v>38964</v>
      </c>
      <c r="B39" t="s">
        <v>338</v>
      </c>
      <c r="C39" t="s">
        <v>14</v>
      </c>
      <c r="D39">
        <v>1033</v>
      </c>
    </row>
    <row r="40" spans="1:4" x14ac:dyDescent="0.25">
      <c r="A40" s="279">
        <v>38964</v>
      </c>
      <c r="B40" t="s">
        <v>339</v>
      </c>
      <c r="C40" t="s">
        <v>20</v>
      </c>
      <c r="D40">
        <v>39008</v>
      </c>
    </row>
    <row r="41" spans="1:4" x14ac:dyDescent="0.25">
      <c r="A41" s="279">
        <v>38964</v>
      </c>
      <c r="B41" t="s">
        <v>339</v>
      </c>
      <c r="C41" t="s">
        <v>85</v>
      </c>
      <c r="D41">
        <v>27913</v>
      </c>
    </row>
    <row r="42" spans="1:4" x14ac:dyDescent="0.25">
      <c r="A42" s="279">
        <v>38964</v>
      </c>
      <c r="B42" t="s">
        <v>339</v>
      </c>
      <c r="C42" t="s">
        <v>86</v>
      </c>
      <c r="D42">
        <v>0</v>
      </c>
    </row>
    <row r="43" spans="1:4" x14ac:dyDescent="0.25">
      <c r="A43" s="279">
        <v>38964</v>
      </c>
      <c r="B43" t="s">
        <v>339</v>
      </c>
      <c r="C43" t="s">
        <v>87</v>
      </c>
      <c r="D43">
        <v>0</v>
      </c>
    </row>
    <row r="44" spans="1:4" x14ac:dyDescent="0.25">
      <c r="A44" s="279">
        <v>38964</v>
      </c>
      <c r="B44" t="s">
        <v>339</v>
      </c>
      <c r="C44" t="s">
        <v>88</v>
      </c>
      <c r="D44">
        <v>0</v>
      </c>
    </row>
    <row r="45" spans="1:4" x14ac:dyDescent="0.25">
      <c r="A45" s="279">
        <v>38964</v>
      </c>
      <c r="B45" t="s">
        <v>339</v>
      </c>
      <c r="C45" t="s">
        <v>14</v>
      </c>
      <c r="D45">
        <v>1039</v>
      </c>
    </row>
    <row r="46" spans="1:4" x14ac:dyDescent="0.25">
      <c r="A46" s="279">
        <v>38965</v>
      </c>
      <c r="B46" t="s">
        <v>338</v>
      </c>
      <c r="C46" t="s">
        <v>81</v>
      </c>
      <c r="D46">
        <v>0</v>
      </c>
    </row>
    <row r="47" spans="1:4" x14ac:dyDescent="0.25">
      <c r="A47" s="279">
        <v>38965</v>
      </c>
      <c r="B47" t="s">
        <v>338</v>
      </c>
      <c r="C47" t="s">
        <v>82</v>
      </c>
      <c r="D47">
        <v>0</v>
      </c>
    </row>
    <row r="48" spans="1:4" x14ac:dyDescent="0.25">
      <c r="A48" s="279">
        <v>38965</v>
      </c>
      <c r="B48" t="s">
        <v>338</v>
      </c>
      <c r="C48" t="s">
        <v>84</v>
      </c>
      <c r="D48">
        <v>270</v>
      </c>
    </row>
    <row r="49" spans="1:4" x14ac:dyDescent="0.25">
      <c r="A49" s="279">
        <v>38965</v>
      </c>
      <c r="B49" t="s">
        <v>338</v>
      </c>
      <c r="C49" t="s">
        <v>83</v>
      </c>
      <c r="D49">
        <v>0</v>
      </c>
    </row>
    <row r="50" spans="1:4" x14ac:dyDescent="0.25">
      <c r="A50" s="279">
        <v>38965</v>
      </c>
      <c r="B50" t="s">
        <v>338</v>
      </c>
      <c r="C50" t="s">
        <v>14</v>
      </c>
      <c r="D50">
        <v>1033</v>
      </c>
    </row>
    <row r="51" spans="1:4" x14ac:dyDescent="0.25">
      <c r="A51" s="279">
        <v>38965</v>
      </c>
      <c r="B51" t="s">
        <v>339</v>
      </c>
      <c r="C51" t="s">
        <v>20</v>
      </c>
      <c r="D51">
        <v>51951</v>
      </c>
    </row>
    <row r="52" spans="1:4" x14ac:dyDescent="0.25">
      <c r="A52" s="279">
        <v>38965</v>
      </c>
      <c r="B52" t="s">
        <v>339</v>
      </c>
      <c r="C52" t="s">
        <v>85</v>
      </c>
      <c r="D52">
        <v>32952</v>
      </c>
    </row>
    <row r="53" spans="1:4" x14ac:dyDescent="0.25">
      <c r="A53" s="279">
        <v>38965</v>
      </c>
      <c r="B53" t="s">
        <v>339</v>
      </c>
      <c r="C53" t="s">
        <v>86</v>
      </c>
      <c r="D53">
        <v>0</v>
      </c>
    </row>
    <row r="54" spans="1:4" x14ac:dyDescent="0.25">
      <c r="A54" s="279">
        <v>38965</v>
      </c>
      <c r="B54" t="s">
        <v>339</v>
      </c>
      <c r="C54" t="s">
        <v>87</v>
      </c>
      <c r="D54">
        <v>0</v>
      </c>
    </row>
    <row r="55" spans="1:4" x14ac:dyDescent="0.25">
      <c r="A55" s="279">
        <v>38965</v>
      </c>
      <c r="B55" t="s">
        <v>339</v>
      </c>
      <c r="C55" t="s">
        <v>88</v>
      </c>
      <c r="D55">
        <v>0</v>
      </c>
    </row>
    <row r="56" spans="1:4" x14ac:dyDescent="0.25">
      <c r="A56" s="279">
        <v>38965</v>
      </c>
      <c r="B56" t="s">
        <v>339</v>
      </c>
      <c r="C56" t="s">
        <v>14</v>
      </c>
      <c r="D56">
        <v>1035</v>
      </c>
    </row>
    <row r="57" spans="1:4" x14ac:dyDescent="0.25">
      <c r="A57" s="279">
        <v>38966</v>
      </c>
      <c r="B57" t="s">
        <v>338</v>
      </c>
      <c r="C57" t="s">
        <v>81</v>
      </c>
      <c r="D57">
        <v>0</v>
      </c>
    </row>
    <row r="58" spans="1:4" x14ac:dyDescent="0.25">
      <c r="A58" s="279">
        <v>38966</v>
      </c>
      <c r="B58" t="s">
        <v>338</v>
      </c>
      <c r="C58" t="s">
        <v>82</v>
      </c>
      <c r="D58">
        <v>0</v>
      </c>
    </row>
    <row r="59" spans="1:4" x14ac:dyDescent="0.25">
      <c r="A59" s="279">
        <v>38966</v>
      </c>
      <c r="B59" t="s">
        <v>338</v>
      </c>
      <c r="C59" t="s">
        <v>84</v>
      </c>
      <c r="D59">
        <v>270</v>
      </c>
    </row>
    <row r="60" spans="1:4" x14ac:dyDescent="0.25">
      <c r="A60" s="279">
        <v>38966</v>
      </c>
      <c r="B60" t="s">
        <v>338</v>
      </c>
      <c r="C60" t="s">
        <v>83</v>
      </c>
      <c r="D60">
        <v>0</v>
      </c>
    </row>
    <row r="61" spans="1:4" x14ac:dyDescent="0.25">
      <c r="A61" s="279">
        <v>38966</v>
      </c>
      <c r="B61" t="s">
        <v>338</v>
      </c>
      <c r="C61" t="s">
        <v>14</v>
      </c>
      <c r="D61">
        <v>1032</v>
      </c>
    </row>
    <row r="62" spans="1:4" x14ac:dyDescent="0.25">
      <c r="A62" s="279">
        <v>38966</v>
      </c>
      <c r="B62" t="s">
        <v>339</v>
      </c>
      <c r="C62" t="s">
        <v>20</v>
      </c>
      <c r="D62">
        <v>47757</v>
      </c>
    </row>
    <row r="63" spans="1:4" x14ac:dyDescent="0.25">
      <c r="A63" s="279">
        <v>38966</v>
      </c>
      <c r="B63" t="s">
        <v>339</v>
      </c>
      <c r="C63" t="s">
        <v>85</v>
      </c>
      <c r="D63">
        <v>39741</v>
      </c>
    </row>
    <row r="64" spans="1:4" x14ac:dyDescent="0.25">
      <c r="A64" s="279">
        <v>38966</v>
      </c>
      <c r="B64" t="s">
        <v>339</v>
      </c>
      <c r="C64" t="s">
        <v>86</v>
      </c>
      <c r="D64">
        <v>0</v>
      </c>
    </row>
    <row r="65" spans="1:4" x14ac:dyDescent="0.25">
      <c r="A65" s="279">
        <v>38966</v>
      </c>
      <c r="B65" t="s">
        <v>339</v>
      </c>
      <c r="C65" t="s">
        <v>87</v>
      </c>
      <c r="D65">
        <v>0</v>
      </c>
    </row>
    <row r="66" spans="1:4" x14ac:dyDescent="0.25">
      <c r="A66" s="279">
        <v>38966</v>
      </c>
      <c r="B66" t="s">
        <v>339</v>
      </c>
      <c r="C66" t="s">
        <v>88</v>
      </c>
      <c r="D66">
        <v>0</v>
      </c>
    </row>
    <row r="67" spans="1:4" x14ac:dyDescent="0.25">
      <c r="A67" s="279">
        <v>38966</v>
      </c>
      <c r="B67" t="s">
        <v>339</v>
      </c>
      <c r="C67" t="s">
        <v>14</v>
      </c>
      <c r="D67">
        <v>1035</v>
      </c>
    </row>
    <row r="68" spans="1:4" x14ac:dyDescent="0.25">
      <c r="A68" s="279">
        <v>38967</v>
      </c>
      <c r="B68" t="s">
        <v>338</v>
      </c>
      <c r="C68" t="s">
        <v>81</v>
      </c>
      <c r="D68">
        <v>0</v>
      </c>
    </row>
    <row r="69" spans="1:4" x14ac:dyDescent="0.25">
      <c r="A69" s="279">
        <v>38967</v>
      </c>
      <c r="B69" t="s">
        <v>338</v>
      </c>
      <c r="C69" t="s">
        <v>82</v>
      </c>
      <c r="D69">
        <v>0</v>
      </c>
    </row>
    <row r="70" spans="1:4" x14ac:dyDescent="0.25">
      <c r="A70" s="279">
        <v>38967</v>
      </c>
      <c r="B70" t="s">
        <v>338</v>
      </c>
      <c r="C70" t="s">
        <v>84</v>
      </c>
      <c r="D70">
        <v>15</v>
      </c>
    </row>
    <row r="71" spans="1:4" x14ac:dyDescent="0.25">
      <c r="A71" s="279">
        <v>38967</v>
      </c>
      <c r="B71" t="s">
        <v>338</v>
      </c>
      <c r="C71" t="s">
        <v>83</v>
      </c>
      <c r="D71">
        <v>0</v>
      </c>
    </row>
    <row r="72" spans="1:4" x14ac:dyDescent="0.25">
      <c r="A72" s="279">
        <v>38967</v>
      </c>
      <c r="B72" t="s">
        <v>338</v>
      </c>
      <c r="C72" t="s">
        <v>14</v>
      </c>
      <c r="D72">
        <v>1032</v>
      </c>
    </row>
    <row r="73" spans="1:4" x14ac:dyDescent="0.25">
      <c r="A73" s="279">
        <v>38967</v>
      </c>
      <c r="B73" t="s">
        <v>339</v>
      </c>
      <c r="C73" t="s">
        <v>20</v>
      </c>
      <c r="D73">
        <v>52934</v>
      </c>
    </row>
    <row r="74" spans="1:4" x14ac:dyDescent="0.25">
      <c r="A74" s="279">
        <v>38967</v>
      </c>
      <c r="B74" t="s">
        <v>339</v>
      </c>
      <c r="C74" t="s">
        <v>85</v>
      </c>
      <c r="D74">
        <v>33541</v>
      </c>
    </row>
    <row r="75" spans="1:4" x14ac:dyDescent="0.25">
      <c r="A75" s="279">
        <v>38967</v>
      </c>
      <c r="B75" t="s">
        <v>339</v>
      </c>
      <c r="C75" t="s">
        <v>86</v>
      </c>
      <c r="D75">
        <v>0</v>
      </c>
    </row>
    <row r="76" spans="1:4" x14ac:dyDescent="0.25">
      <c r="A76" s="279">
        <v>38967</v>
      </c>
      <c r="B76" t="s">
        <v>339</v>
      </c>
      <c r="C76" t="s">
        <v>87</v>
      </c>
      <c r="D76">
        <v>0</v>
      </c>
    </row>
    <row r="77" spans="1:4" x14ac:dyDescent="0.25">
      <c r="A77" s="279">
        <v>38967</v>
      </c>
      <c r="B77" t="s">
        <v>339</v>
      </c>
      <c r="C77" t="s">
        <v>88</v>
      </c>
      <c r="D77">
        <v>0</v>
      </c>
    </row>
    <row r="78" spans="1:4" x14ac:dyDescent="0.25">
      <c r="A78" s="279">
        <v>38967</v>
      </c>
      <c r="B78" t="s">
        <v>339</v>
      </c>
      <c r="C78" t="s">
        <v>14</v>
      </c>
      <c r="D78">
        <v>1032</v>
      </c>
    </row>
    <row r="79" spans="1:4" x14ac:dyDescent="0.25">
      <c r="A79" s="279">
        <v>38968</v>
      </c>
      <c r="B79" t="s">
        <v>338</v>
      </c>
      <c r="C79" t="s">
        <v>81</v>
      </c>
      <c r="D79">
        <v>0</v>
      </c>
    </row>
    <row r="80" spans="1:4" x14ac:dyDescent="0.25">
      <c r="A80" s="279">
        <v>38968</v>
      </c>
      <c r="B80" t="s">
        <v>338</v>
      </c>
      <c r="C80" t="s">
        <v>82</v>
      </c>
      <c r="D80">
        <v>0</v>
      </c>
    </row>
    <row r="81" spans="1:4" x14ac:dyDescent="0.25">
      <c r="A81" s="279">
        <v>38968</v>
      </c>
      <c r="B81" t="s">
        <v>338</v>
      </c>
      <c r="C81" t="s">
        <v>84</v>
      </c>
      <c r="D81">
        <v>0</v>
      </c>
    </row>
    <row r="82" spans="1:4" x14ac:dyDescent="0.25">
      <c r="A82" s="279">
        <v>38968</v>
      </c>
      <c r="B82" t="s">
        <v>338</v>
      </c>
      <c r="C82" t="s">
        <v>83</v>
      </c>
      <c r="D82">
        <v>0</v>
      </c>
    </row>
    <row r="83" spans="1:4" x14ac:dyDescent="0.25">
      <c r="A83" s="279">
        <v>38968</v>
      </c>
      <c r="B83" t="s">
        <v>338</v>
      </c>
      <c r="C83" t="s">
        <v>14</v>
      </c>
      <c r="D83">
        <v>1033</v>
      </c>
    </row>
    <row r="84" spans="1:4" x14ac:dyDescent="0.25">
      <c r="A84" s="279">
        <v>38968</v>
      </c>
      <c r="B84" t="s">
        <v>339</v>
      </c>
      <c r="C84" t="s">
        <v>20</v>
      </c>
      <c r="D84">
        <v>44966</v>
      </c>
    </row>
    <row r="85" spans="1:4" x14ac:dyDescent="0.25">
      <c r="A85" s="279">
        <v>38968</v>
      </c>
      <c r="B85" t="s">
        <v>339</v>
      </c>
      <c r="C85" t="s">
        <v>85</v>
      </c>
      <c r="D85">
        <v>31501</v>
      </c>
    </row>
    <row r="86" spans="1:4" x14ac:dyDescent="0.25">
      <c r="A86" s="279">
        <v>38968</v>
      </c>
      <c r="B86" t="s">
        <v>339</v>
      </c>
      <c r="C86" t="s">
        <v>86</v>
      </c>
      <c r="D86">
        <v>0</v>
      </c>
    </row>
    <row r="87" spans="1:4" x14ac:dyDescent="0.25">
      <c r="A87" s="279">
        <v>38968</v>
      </c>
      <c r="B87" t="s">
        <v>339</v>
      </c>
      <c r="C87" t="s">
        <v>87</v>
      </c>
      <c r="D87">
        <v>10011</v>
      </c>
    </row>
    <row r="88" spans="1:4" x14ac:dyDescent="0.25">
      <c r="A88" s="279">
        <v>38968</v>
      </c>
      <c r="B88" t="s">
        <v>339</v>
      </c>
      <c r="C88" t="s">
        <v>88</v>
      </c>
      <c r="D88">
        <v>0</v>
      </c>
    </row>
    <row r="89" spans="1:4" x14ac:dyDescent="0.25">
      <c r="A89" s="279">
        <v>38968</v>
      </c>
      <c r="B89" t="s">
        <v>339</v>
      </c>
      <c r="C89" t="s">
        <v>14</v>
      </c>
      <c r="D89">
        <v>1037</v>
      </c>
    </row>
    <row r="90" spans="1:4" x14ac:dyDescent="0.25">
      <c r="A90" s="279">
        <v>38969</v>
      </c>
      <c r="B90" t="s">
        <v>338</v>
      </c>
      <c r="C90" t="s">
        <v>81</v>
      </c>
      <c r="D90">
        <v>0</v>
      </c>
    </row>
    <row r="91" spans="1:4" x14ac:dyDescent="0.25">
      <c r="A91" s="279">
        <v>38969</v>
      </c>
      <c r="B91" t="s">
        <v>338</v>
      </c>
      <c r="C91" t="s">
        <v>82</v>
      </c>
      <c r="D91">
        <v>0</v>
      </c>
    </row>
    <row r="92" spans="1:4" x14ac:dyDescent="0.25">
      <c r="A92" s="279">
        <v>38969</v>
      </c>
      <c r="B92" t="s">
        <v>338</v>
      </c>
      <c r="C92" t="s">
        <v>84</v>
      </c>
      <c r="D92">
        <v>0</v>
      </c>
    </row>
    <row r="93" spans="1:4" x14ac:dyDescent="0.25">
      <c r="A93" s="279">
        <v>38969</v>
      </c>
      <c r="B93" t="s">
        <v>338</v>
      </c>
      <c r="C93" t="s">
        <v>83</v>
      </c>
      <c r="D93">
        <v>0</v>
      </c>
    </row>
    <row r="94" spans="1:4" x14ac:dyDescent="0.25">
      <c r="A94" s="279">
        <v>38969</v>
      </c>
      <c r="B94" t="s">
        <v>338</v>
      </c>
      <c r="C94" t="s">
        <v>14</v>
      </c>
      <c r="D94">
        <v>1034</v>
      </c>
    </row>
    <row r="95" spans="1:4" x14ac:dyDescent="0.25">
      <c r="A95" s="279">
        <v>38969</v>
      </c>
      <c r="B95" t="s">
        <v>339</v>
      </c>
      <c r="C95" t="s">
        <v>20</v>
      </c>
      <c r="D95">
        <v>45040</v>
      </c>
    </row>
    <row r="96" spans="1:4" x14ac:dyDescent="0.25">
      <c r="A96" s="279">
        <v>38969</v>
      </c>
      <c r="B96" t="s">
        <v>339</v>
      </c>
      <c r="C96" t="s">
        <v>85</v>
      </c>
      <c r="D96">
        <v>27347</v>
      </c>
    </row>
    <row r="97" spans="1:4" x14ac:dyDescent="0.25">
      <c r="A97" s="279">
        <v>38969</v>
      </c>
      <c r="B97" t="s">
        <v>339</v>
      </c>
      <c r="C97" t="s">
        <v>86</v>
      </c>
      <c r="D97">
        <v>0</v>
      </c>
    </row>
    <row r="98" spans="1:4" x14ac:dyDescent="0.25">
      <c r="A98" s="279">
        <v>38969</v>
      </c>
      <c r="B98" t="s">
        <v>339</v>
      </c>
      <c r="C98" t="s">
        <v>87</v>
      </c>
      <c r="D98">
        <v>12100</v>
      </c>
    </row>
    <row r="99" spans="1:4" x14ac:dyDescent="0.25">
      <c r="A99" s="279">
        <v>38969</v>
      </c>
      <c r="B99" t="s">
        <v>339</v>
      </c>
      <c r="C99" t="s">
        <v>88</v>
      </c>
      <c r="D99">
        <v>0</v>
      </c>
    </row>
    <row r="100" spans="1:4" x14ac:dyDescent="0.25">
      <c r="A100" s="279">
        <v>38969</v>
      </c>
      <c r="B100" t="s">
        <v>339</v>
      </c>
      <c r="C100" t="s">
        <v>14</v>
      </c>
      <c r="D100">
        <v>1034</v>
      </c>
    </row>
    <row r="101" spans="1:4" x14ac:dyDescent="0.25">
      <c r="A101" s="279">
        <v>38970</v>
      </c>
      <c r="B101" t="s">
        <v>338</v>
      </c>
      <c r="C101" t="s">
        <v>81</v>
      </c>
      <c r="D101">
        <v>0</v>
      </c>
    </row>
    <row r="102" spans="1:4" x14ac:dyDescent="0.25">
      <c r="A102" s="279">
        <v>38970</v>
      </c>
      <c r="B102" t="s">
        <v>338</v>
      </c>
      <c r="C102" t="s">
        <v>82</v>
      </c>
      <c r="D102">
        <v>0</v>
      </c>
    </row>
    <row r="103" spans="1:4" x14ac:dyDescent="0.25">
      <c r="A103" s="279">
        <v>38970</v>
      </c>
      <c r="B103" t="s">
        <v>338</v>
      </c>
      <c r="C103" t="s">
        <v>84</v>
      </c>
      <c r="D103">
        <v>0</v>
      </c>
    </row>
    <row r="104" spans="1:4" x14ac:dyDescent="0.25">
      <c r="A104" s="279">
        <v>38970</v>
      </c>
      <c r="B104" t="s">
        <v>338</v>
      </c>
      <c r="C104" t="s">
        <v>83</v>
      </c>
      <c r="D104">
        <v>0</v>
      </c>
    </row>
    <row r="105" spans="1:4" x14ac:dyDescent="0.25">
      <c r="A105" s="279">
        <v>38970</v>
      </c>
      <c r="B105" t="s">
        <v>338</v>
      </c>
      <c r="C105" t="s">
        <v>14</v>
      </c>
      <c r="D105">
        <v>1034</v>
      </c>
    </row>
    <row r="106" spans="1:4" x14ac:dyDescent="0.25">
      <c r="A106" s="279">
        <v>38970</v>
      </c>
      <c r="B106" t="s">
        <v>339</v>
      </c>
      <c r="C106" t="s">
        <v>20</v>
      </c>
      <c r="D106">
        <v>54573</v>
      </c>
    </row>
    <row r="107" spans="1:4" x14ac:dyDescent="0.25">
      <c r="A107" s="279">
        <v>38970</v>
      </c>
      <c r="B107" t="s">
        <v>339</v>
      </c>
      <c r="C107" t="s">
        <v>85</v>
      </c>
      <c r="D107">
        <v>33310</v>
      </c>
    </row>
    <row r="108" spans="1:4" x14ac:dyDescent="0.25">
      <c r="A108" s="279">
        <v>38970</v>
      </c>
      <c r="B108" t="s">
        <v>339</v>
      </c>
      <c r="C108" t="s">
        <v>86</v>
      </c>
      <c r="D108">
        <v>0</v>
      </c>
    </row>
    <row r="109" spans="1:4" x14ac:dyDescent="0.25">
      <c r="A109" s="279">
        <v>38970</v>
      </c>
      <c r="B109" t="s">
        <v>339</v>
      </c>
      <c r="C109" t="s">
        <v>87</v>
      </c>
      <c r="D109">
        <v>2855</v>
      </c>
    </row>
    <row r="110" spans="1:4" x14ac:dyDescent="0.25">
      <c r="A110" s="279">
        <v>38970</v>
      </c>
      <c r="B110" t="s">
        <v>339</v>
      </c>
      <c r="C110" t="s">
        <v>88</v>
      </c>
      <c r="D110">
        <v>0</v>
      </c>
    </row>
    <row r="111" spans="1:4" x14ac:dyDescent="0.25">
      <c r="A111" s="279">
        <v>38970</v>
      </c>
      <c r="B111" t="s">
        <v>339</v>
      </c>
      <c r="C111" t="s">
        <v>14</v>
      </c>
      <c r="D111">
        <v>1032</v>
      </c>
    </row>
    <row r="112" spans="1:4" x14ac:dyDescent="0.25">
      <c r="A112" s="279">
        <v>38971</v>
      </c>
      <c r="B112" t="s">
        <v>338</v>
      </c>
      <c r="C112" t="s">
        <v>81</v>
      </c>
      <c r="D112">
        <v>0</v>
      </c>
    </row>
    <row r="113" spans="1:4" x14ac:dyDescent="0.25">
      <c r="A113" s="279">
        <v>38971</v>
      </c>
      <c r="B113" t="s">
        <v>338</v>
      </c>
      <c r="C113" t="s">
        <v>82</v>
      </c>
      <c r="D113">
        <v>0</v>
      </c>
    </row>
    <row r="114" spans="1:4" x14ac:dyDescent="0.25">
      <c r="A114" s="279">
        <v>38971</v>
      </c>
      <c r="B114" t="s">
        <v>338</v>
      </c>
      <c r="C114" t="s">
        <v>84</v>
      </c>
      <c r="D114">
        <v>0</v>
      </c>
    </row>
    <row r="115" spans="1:4" x14ac:dyDescent="0.25">
      <c r="A115" s="279">
        <v>38971</v>
      </c>
      <c r="B115" t="s">
        <v>338</v>
      </c>
      <c r="C115" t="s">
        <v>83</v>
      </c>
      <c r="D115">
        <v>0</v>
      </c>
    </row>
    <row r="116" spans="1:4" x14ac:dyDescent="0.25">
      <c r="A116" s="279">
        <v>38971</v>
      </c>
      <c r="B116" t="s">
        <v>338</v>
      </c>
      <c r="C116" t="s">
        <v>14</v>
      </c>
      <c r="D116">
        <v>1033</v>
      </c>
    </row>
    <row r="117" spans="1:4" x14ac:dyDescent="0.25">
      <c r="A117" s="279">
        <v>38971</v>
      </c>
      <c r="B117" t="s">
        <v>339</v>
      </c>
      <c r="C117" t="s">
        <v>20</v>
      </c>
      <c r="D117">
        <v>50196</v>
      </c>
    </row>
    <row r="118" spans="1:4" x14ac:dyDescent="0.25">
      <c r="A118" s="279">
        <v>38971</v>
      </c>
      <c r="B118" t="s">
        <v>339</v>
      </c>
      <c r="C118" t="s">
        <v>85</v>
      </c>
      <c r="D118">
        <v>34672</v>
      </c>
    </row>
    <row r="119" spans="1:4" x14ac:dyDescent="0.25">
      <c r="A119" s="279">
        <v>38971</v>
      </c>
      <c r="B119" t="s">
        <v>339</v>
      </c>
      <c r="C119" t="s">
        <v>86</v>
      </c>
      <c r="D119">
        <v>0</v>
      </c>
    </row>
    <row r="120" spans="1:4" x14ac:dyDescent="0.25">
      <c r="A120" s="279">
        <v>38971</v>
      </c>
      <c r="B120" t="s">
        <v>339</v>
      </c>
      <c r="C120" t="s">
        <v>87</v>
      </c>
      <c r="D120">
        <v>0</v>
      </c>
    </row>
    <row r="121" spans="1:4" x14ac:dyDescent="0.25">
      <c r="A121" s="279">
        <v>38971</v>
      </c>
      <c r="B121" t="s">
        <v>339</v>
      </c>
      <c r="C121" t="s">
        <v>88</v>
      </c>
      <c r="D121">
        <v>0</v>
      </c>
    </row>
    <row r="122" spans="1:4" x14ac:dyDescent="0.25">
      <c r="A122" s="279">
        <v>38971</v>
      </c>
      <c r="B122" t="s">
        <v>339</v>
      </c>
      <c r="C122" t="s">
        <v>14</v>
      </c>
      <c r="D122">
        <v>1030</v>
      </c>
    </row>
    <row r="123" spans="1:4" x14ac:dyDescent="0.25">
      <c r="A123" s="279">
        <v>38972</v>
      </c>
      <c r="B123" t="s">
        <v>338</v>
      </c>
      <c r="C123" t="s">
        <v>81</v>
      </c>
      <c r="D123">
        <v>0</v>
      </c>
    </row>
    <row r="124" spans="1:4" x14ac:dyDescent="0.25">
      <c r="A124" s="279">
        <v>38972</v>
      </c>
      <c r="B124" t="s">
        <v>338</v>
      </c>
      <c r="C124" t="s">
        <v>82</v>
      </c>
      <c r="D124">
        <v>0</v>
      </c>
    </row>
    <row r="125" spans="1:4" x14ac:dyDescent="0.25">
      <c r="A125" s="279">
        <v>38972</v>
      </c>
      <c r="B125" t="s">
        <v>338</v>
      </c>
      <c r="C125" t="s">
        <v>84</v>
      </c>
      <c r="D125">
        <v>0</v>
      </c>
    </row>
    <row r="126" spans="1:4" x14ac:dyDescent="0.25">
      <c r="A126" s="279">
        <v>38972</v>
      </c>
      <c r="B126" t="s">
        <v>338</v>
      </c>
      <c r="C126" t="s">
        <v>83</v>
      </c>
      <c r="D126">
        <v>0</v>
      </c>
    </row>
    <row r="127" spans="1:4" x14ac:dyDescent="0.25">
      <c r="A127" s="279">
        <v>38972</v>
      </c>
      <c r="B127" t="s">
        <v>338</v>
      </c>
      <c r="C127" t="s">
        <v>14</v>
      </c>
      <c r="D127">
        <v>1033</v>
      </c>
    </row>
    <row r="128" spans="1:4" x14ac:dyDescent="0.25">
      <c r="A128" s="279">
        <v>38972</v>
      </c>
      <c r="B128" t="s">
        <v>339</v>
      </c>
      <c r="C128" t="s">
        <v>20</v>
      </c>
      <c r="D128">
        <v>58790</v>
      </c>
    </row>
    <row r="129" spans="1:4" x14ac:dyDescent="0.25">
      <c r="A129" s="279">
        <v>38972</v>
      </c>
      <c r="B129" t="s">
        <v>339</v>
      </c>
      <c r="C129" t="s">
        <v>85</v>
      </c>
      <c r="D129">
        <v>38564</v>
      </c>
    </row>
    <row r="130" spans="1:4" x14ac:dyDescent="0.25">
      <c r="A130" s="279">
        <v>38972</v>
      </c>
      <c r="B130" t="s">
        <v>339</v>
      </c>
      <c r="C130" t="s">
        <v>86</v>
      </c>
      <c r="D130">
        <v>0</v>
      </c>
    </row>
    <row r="131" spans="1:4" x14ac:dyDescent="0.25">
      <c r="A131" s="279">
        <v>38972</v>
      </c>
      <c r="B131" t="s">
        <v>339</v>
      </c>
      <c r="C131" t="s">
        <v>87</v>
      </c>
      <c r="D131">
        <v>0</v>
      </c>
    </row>
    <row r="132" spans="1:4" x14ac:dyDescent="0.25">
      <c r="A132" s="279">
        <v>38972</v>
      </c>
      <c r="B132" t="s">
        <v>339</v>
      </c>
      <c r="C132" t="s">
        <v>88</v>
      </c>
      <c r="D132">
        <v>0</v>
      </c>
    </row>
    <row r="133" spans="1:4" x14ac:dyDescent="0.25">
      <c r="A133" s="279">
        <v>38972</v>
      </c>
      <c r="B133" t="s">
        <v>339</v>
      </c>
      <c r="C133" t="s">
        <v>14</v>
      </c>
      <c r="D133">
        <v>1033</v>
      </c>
    </row>
    <row r="134" spans="1:4" x14ac:dyDescent="0.25">
      <c r="A134" s="279">
        <v>38973</v>
      </c>
      <c r="B134" t="s">
        <v>338</v>
      </c>
      <c r="C134" t="s">
        <v>81</v>
      </c>
      <c r="D134">
        <v>0</v>
      </c>
    </row>
    <row r="135" spans="1:4" x14ac:dyDescent="0.25">
      <c r="A135" s="279">
        <v>38973</v>
      </c>
      <c r="B135" t="s">
        <v>338</v>
      </c>
      <c r="C135" t="s">
        <v>82</v>
      </c>
      <c r="D135">
        <v>0</v>
      </c>
    </row>
    <row r="136" spans="1:4" x14ac:dyDescent="0.25">
      <c r="A136" s="279">
        <v>38973</v>
      </c>
      <c r="B136" t="s">
        <v>338</v>
      </c>
      <c r="C136" t="s">
        <v>84</v>
      </c>
      <c r="D136">
        <v>0</v>
      </c>
    </row>
    <row r="137" spans="1:4" x14ac:dyDescent="0.25">
      <c r="A137" s="279">
        <v>38973</v>
      </c>
      <c r="B137" t="s">
        <v>338</v>
      </c>
      <c r="C137" t="s">
        <v>83</v>
      </c>
      <c r="D137">
        <v>0</v>
      </c>
    </row>
    <row r="138" spans="1:4" x14ac:dyDescent="0.25">
      <c r="A138" s="279">
        <v>38973</v>
      </c>
      <c r="B138" t="s">
        <v>338</v>
      </c>
      <c r="C138" t="s">
        <v>14</v>
      </c>
      <c r="D138">
        <v>1030</v>
      </c>
    </row>
    <row r="139" spans="1:4" x14ac:dyDescent="0.25">
      <c r="A139" s="279">
        <v>38973</v>
      </c>
      <c r="B139" t="s">
        <v>339</v>
      </c>
      <c r="C139" t="s">
        <v>20</v>
      </c>
      <c r="D139">
        <v>62229</v>
      </c>
    </row>
    <row r="140" spans="1:4" x14ac:dyDescent="0.25">
      <c r="A140" s="279">
        <v>38973</v>
      </c>
      <c r="B140" t="s">
        <v>339</v>
      </c>
      <c r="C140" t="s">
        <v>85</v>
      </c>
      <c r="D140">
        <v>34635</v>
      </c>
    </row>
    <row r="141" spans="1:4" x14ac:dyDescent="0.25">
      <c r="A141" s="279">
        <v>38973</v>
      </c>
      <c r="B141" t="s">
        <v>339</v>
      </c>
      <c r="C141" t="s">
        <v>86</v>
      </c>
      <c r="D141">
        <v>0</v>
      </c>
    </row>
    <row r="142" spans="1:4" x14ac:dyDescent="0.25">
      <c r="A142" s="279">
        <v>38973</v>
      </c>
      <c r="B142" t="s">
        <v>339</v>
      </c>
      <c r="C142" t="s">
        <v>87</v>
      </c>
      <c r="D142">
        <v>0</v>
      </c>
    </row>
    <row r="143" spans="1:4" x14ac:dyDescent="0.25">
      <c r="A143" s="279">
        <v>38973</v>
      </c>
      <c r="B143" t="s">
        <v>339</v>
      </c>
      <c r="C143" t="s">
        <v>88</v>
      </c>
      <c r="D143">
        <v>0</v>
      </c>
    </row>
    <row r="144" spans="1:4" x14ac:dyDescent="0.25">
      <c r="A144" s="279">
        <v>38973</v>
      </c>
      <c r="B144" t="s">
        <v>339</v>
      </c>
      <c r="C144" t="s">
        <v>14</v>
      </c>
      <c r="D144">
        <v>1032</v>
      </c>
    </row>
    <row r="145" spans="1:4" x14ac:dyDescent="0.25">
      <c r="A145" s="279">
        <v>38974</v>
      </c>
      <c r="B145" t="s">
        <v>338</v>
      </c>
      <c r="C145" t="s">
        <v>81</v>
      </c>
      <c r="D145">
        <v>0</v>
      </c>
    </row>
    <row r="146" spans="1:4" x14ac:dyDescent="0.25">
      <c r="A146" s="279">
        <v>38974</v>
      </c>
      <c r="B146" t="s">
        <v>338</v>
      </c>
      <c r="C146" t="s">
        <v>82</v>
      </c>
      <c r="D146">
        <v>0</v>
      </c>
    </row>
    <row r="147" spans="1:4" x14ac:dyDescent="0.25">
      <c r="A147" s="279">
        <v>38974</v>
      </c>
      <c r="B147" t="s">
        <v>338</v>
      </c>
      <c r="C147" t="s">
        <v>84</v>
      </c>
      <c r="D147">
        <v>0</v>
      </c>
    </row>
    <row r="148" spans="1:4" x14ac:dyDescent="0.25">
      <c r="A148" s="279">
        <v>38974</v>
      </c>
      <c r="B148" t="s">
        <v>338</v>
      </c>
      <c r="C148" t="s">
        <v>83</v>
      </c>
      <c r="D148">
        <v>0</v>
      </c>
    </row>
    <row r="149" spans="1:4" x14ac:dyDescent="0.25">
      <c r="A149" s="279">
        <v>38974</v>
      </c>
      <c r="B149" t="s">
        <v>338</v>
      </c>
      <c r="C149" t="s">
        <v>14</v>
      </c>
      <c r="D149">
        <v>1032</v>
      </c>
    </row>
    <row r="150" spans="1:4" x14ac:dyDescent="0.25">
      <c r="A150" s="279">
        <v>38974</v>
      </c>
      <c r="B150" t="s">
        <v>339</v>
      </c>
      <c r="C150" t="s">
        <v>20</v>
      </c>
      <c r="D150">
        <v>60815</v>
      </c>
    </row>
    <row r="151" spans="1:4" x14ac:dyDescent="0.25">
      <c r="A151" s="279">
        <v>38974</v>
      </c>
      <c r="B151" t="s">
        <v>339</v>
      </c>
      <c r="C151" t="s">
        <v>85</v>
      </c>
      <c r="D151">
        <v>34585</v>
      </c>
    </row>
    <row r="152" spans="1:4" x14ac:dyDescent="0.25">
      <c r="A152" s="279">
        <v>38974</v>
      </c>
      <c r="B152" t="s">
        <v>339</v>
      </c>
      <c r="C152" t="s">
        <v>86</v>
      </c>
      <c r="D152">
        <v>0</v>
      </c>
    </row>
    <row r="153" spans="1:4" x14ac:dyDescent="0.25">
      <c r="A153" s="279">
        <v>38974</v>
      </c>
      <c r="B153" t="s">
        <v>339</v>
      </c>
      <c r="C153" t="s">
        <v>87</v>
      </c>
      <c r="D153">
        <v>0</v>
      </c>
    </row>
    <row r="154" spans="1:4" x14ac:dyDescent="0.25">
      <c r="A154" s="279">
        <v>38974</v>
      </c>
      <c r="B154" t="s">
        <v>339</v>
      </c>
      <c r="C154" t="s">
        <v>88</v>
      </c>
      <c r="D154">
        <v>0</v>
      </c>
    </row>
    <row r="155" spans="1:4" x14ac:dyDescent="0.25">
      <c r="A155" s="279">
        <v>38974</v>
      </c>
      <c r="B155" t="s">
        <v>339</v>
      </c>
      <c r="C155" t="s">
        <v>14</v>
      </c>
      <c r="D155">
        <v>1034</v>
      </c>
    </row>
    <row r="156" spans="1:4" x14ac:dyDescent="0.25">
      <c r="A156" s="279">
        <v>38975</v>
      </c>
      <c r="B156" t="s">
        <v>338</v>
      </c>
      <c r="C156" t="s">
        <v>81</v>
      </c>
      <c r="D156">
        <v>0</v>
      </c>
    </row>
    <row r="157" spans="1:4" x14ac:dyDescent="0.25">
      <c r="A157" s="279">
        <v>38975</v>
      </c>
      <c r="B157" t="s">
        <v>338</v>
      </c>
      <c r="C157" t="s">
        <v>82</v>
      </c>
      <c r="D157">
        <v>0</v>
      </c>
    </row>
    <row r="158" spans="1:4" x14ac:dyDescent="0.25">
      <c r="A158" s="279">
        <v>38975</v>
      </c>
      <c r="B158" t="s">
        <v>338</v>
      </c>
      <c r="C158" t="s">
        <v>84</v>
      </c>
      <c r="D158">
        <v>0</v>
      </c>
    </row>
    <row r="159" spans="1:4" x14ac:dyDescent="0.25">
      <c r="A159" s="279">
        <v>38975</v>
      </c>
      <c r="B159" t="s">
        <v>338</v>
      </c>
      <c r="C159" t="s">
        <v>83</v>
      </c>
      <c r="D159">
        <v>0</v>
      </c>
    </row>
    <row r="160" spans="1:4" x14ac:dyDescent="0.25">
      <c r="A160" s="279">
        <v>38975</v>
      </c>
      <c r="B160" t="s">
        <v>338</v>
      </c>
      <c r="C160" t="s">
        <v>14</v>
      </c>
      <c r="D160">
        <v>1027</v>
      </c>
    </row>
    <row r="161" spans="1:4" x14ac:dyDescent="0.25">
      <c r="A161" s="279">
        <v>38975</v>
      </c>
      <c r="B161" t="s">
        <v>339</v>
      </c>
      <c r="C161" t="s">
        <v>20</v>
      </c>
      <c r="D161">
        <v>62655</v>
      </c>
    </row>
    <row r="162" spans="1:4" x14ac:dyDescent="0.25">
      <c r="A162" s="279">
        <v>38975</v>
      </c>
      <c r="B162" t="s">
        <v>339</v>
      </c>
      <c r="C162" t="s">
        <v>85</v>
      </c>
      <c r="D162">
        <v>36164</v>
      </c>
    </row>
    <row r="163" spans="1:4" x14ac:dyDescent="0.25">
      <c r="A163" s="279">
        <v>38975</v>
      </c>
      <c r="B163" t="s">
        <v>339</v>
      </c>
      <c r="C163" t="s">
        <v>86</v>
      </c>
      <c r="D163">
        <v>0</v>
      </c>
    </row>
    <row r="164" spans="1:4" x14ac:dyDescent="0.25">
      <c r="A164" s="279">
        <v>38975</v>
      </c>
      <c r="B164" t="s">
        <v>339</v>
      </c>
      <c r="C164" t="s">
        <v>87</v>
      </c>
      <c r="D164">
        <v>0</v>
      </c>
    </row>
    <row r="165" spans="1:4" x14ac:dyDescent="0.25">
      <c r="A165" s="279">
        <v>38975</v>
      </c>
      <c r="B165" t="s">
        <v>339</v>
      </c>
      <c r="C165" t="s">
        <v>88</v>
      </c>
      <c r="D165">
        <v>0</v>
      </c>
    </row>
    <row r="166" spans="1:4" x14ac:dyDescent="0.25">
      <c r="A166" s="279">
        <v>38975</v>
      </c>
      <c r="B166" t="s">
        <v>339</v>
      </c>
      <c r="C166" t="s">
        <v>14</v>
      </c>
      <c r="D166">
        <v>1034</v>
      </c>
    </row>
    <row r="167" spans="1:4" x14ac:dyDescent="0.25">
      <c r="A167" s="279">
        <v>38976</v>
      </c>
      <c r="B167" t="s">
        <v>338</v>
      </c>
      <c r="C167" t="s">
        <v>81</v>
      </c>
      <c r="D167">
        <v>0</v>
      </c>
    </row>
    <row r="168" spans="1:4" x14ac:dyDescent="0.25">
      <c r="A168" s="279">
        <v>38976</v>
      </c>
      <c r="B168" t="s">
        <v>338</v>
      </c>
      <c r="C168" t="s">
        <v>82</v>
      </c>
      <c r="D168">
        <v>0</v>
      </c>
    </row>
    <row r="169" spans="1:4" x14ac:dyDescent="0.25">
      <c r="A169" s="279">
        <v>38976</v>
      </c>
      <c r="B169" t="s">
        <v>338</v>
      </c>
      <c r="C169" t="s">
        <v>84</v>
      </c>
      <c r="D169">
        <v>0</v>
      </c>
    </row>
    <row r="170" spans="1:4" x14ac:dyDescent="0.25">
      <c r="A170" s="279">
        <v>38976</v>
      </c>
      <c r="B170" t="s">
        <v>338</v>
      </c>
      <c r="C170" t="s">
        <v>83</v>
      </c>
      <c r="D170">
        <v>0</v>
      </c>
    </row>
    <row r="171" spans="1:4" x14ac:dyDescent="0.25">
      <c r="A171" s="279">
        <v>38976</v>
      </c>
      <c r="B171" t="s">
        <v>338</v>
      </c>
      <c r="C171" t="s">
        <v>14</v>
      </c>
      <c r="D171">
        <v>1027</v>
      </c>
    </row>
    <row r="172" spans="1:4" x14ac:dyDescent="0.25">
      <c r="A172" s="279">
        <v>38976</v>
      </c>
      <c r="B172" t="s">
        <v>339</v>
      </c>
      <c r="C172" t="s">
        <v>20</v>
      </c>
      <c r="D172">
        <v>61286</v>
      </c>
    </row>
    <row r="173" spans="1:4" x14ac:dyDescent="0.25">
      <c r="A173" s="279">
        <v>38976</v>
      </c>
      <c r="B173" t="s">
        <v>339</v>
      </c>
      <c r="C173" t="s">
        <v>85</v>
      </c>
      <c r="D173">
        <v>37516</v>
      </c>
    </row>
    <row r="174" spans="1:4" x14ac:dyDescent="0.25">
      <c r="A174" s="279">
        <v>38976</v>
      </c>
      <c r="B174" t="s">
        <v>339</v>
      </c>
      <c r="C174" t="s">
        <v>86</v>
      </c>
      <c r="D174">
        <v>0</v>
      </c>
    </row>
    <row r="175" spans="1:4" x14ac:dyDescent="0.25">
      <c r="A175" s="279">
        <v>38976</v>
      </c>
      <c r="B175" t="s">
        <v>339</v>
      </c>
      <c r="C175" t="s">
        <v>87</v>
      </c>
      <c r="D175">
        <v>0</v>
      </c>
    </row>
    <row r="176" spans="1:4" x14ac:dyDescent="0.25">
      <c r="A176" s="279">
        <v>38976</v>
      </c>
      <c r="B176" t="s">
        <v>339</v>
      </c>
      <c r="C176" t="s">
        <v>88</v>
      </c>
      <c r="D176">
        <v>0</v>
      </c>
    </row>
    <row r="177" spans="1:4" x14ac:dyDescent="0.25">
      <c r="A177" s="279">
        <v>38976</v>
      </c>
      <c r="B177" t="s">
        <v>339</v>
      </c>
      <c r="C177" t="s">
        <v>14</v>
      </c>
      <c r="D177">
        <v>1032</v>
      </c>
    </row>
    <row r="178" spans="1:4" x14ac:dyDescent="0.25">
      <c r="A178" s="279">
        <v>38977</v>
      </c>
      <c r="B178" t="s">
        <v>338</v>
      </c>
      <c r="C178" t="s">
        <v>81</v>
      </c>
      <c r="D178">
        <v>0</v>
      </c>
    </row>
    <row r="179" spans="1:4" x14ac:dyDescent="0.25">
      <c r="A179" s="279">
        <v>38977</v>
      </c>
      <c r="B179" t="s">
        <v>338</v>
      </c>
      <c r="C179" t="s">
        <v>82</v>
      </c>
      <c r="D179">
        <v>0</v>
      </c>
    </row>
    <row r="180" spans="1:4" x14ac:dyDescent="0.25">
      <c r="A180" s="279">
        <v>38977</v>
      </c>
      <c r="B180" t="s">
        <v>338</v>
      </c>
      <c r="C180" t="s">
        <v>84</v>
      </c>
      <c r="D180">
        <v>0</v>
      </c>
    </row>
    <row r="181" spans="1:4" x14ac:dyDescent="0.25">
      <c r="A181" s="279">
        <v>38977</v>
      </c>
      <c r="B181" t="s">
        <v>338</v>
      </c>
      <c r="C181" t="s">
        <v>83</v>
      </c>
      <c r="D181">
        <v>0</v>
      </c>
    </row>
    <row r="182" spans="1:4" x14ac:dyDescent="0.25">
      <c r="A182" s="279">
        <v>38977</v>
      </c>
      <c r="B182" t="s">
        <v>338</v>
      </c>
      <c r="C182" t="s">
        <v>14</v>
      </c>
      <c r="D182">
        <v>1030</v>
      </c>
    </row>
    <row r="183" spans="1:4" x14ac:dyDescent="0.25">
      <c r="A183" s="279">
        <v>38977</v>
      </c>
      <c r="B183" t="s">
        <v>339</v>
      </c>
      <c r="C183" t="s">
        <v>20</v>
      </c>
      <c r="D183">
        <v>59071</v>
      </c>
    </row>
    <row r="184" spans="1:4" x14ac:dyDescent="0.25">
      <c r="A184" s="279">
        <v>38977</v>
      </c>
      <c r="B184" t="s">
        <v>339</v>
      </c>
      <c r="C184" t="s">
        <v>85</v>
      </c>
      <c r="D184">
        <v>39335</v>
      </c>
    </row>
    <row r="185" spans="1:4" x14ac:dyDescent="0.25">
      <c r="A185" s="279">
        <v>38977</v>
      </c>
      <c r="B185" t="s">
        <v>339</v>
      </c>
      <c r="C185" t="s">
        <v>86</v>
      </c>
      <c r="D185">
        <v>0</v>
      </c>
    </row>
    <row r="186" spans="1:4" x14ac:dyDescent="0.25">
      <c r="A186" s="279">
        <v>38977</v>
      </c>
      <c r="B186" t="s">
        <v>339</v>
      </c>
      <c r="C186" t="s">
        <v>87</v>
      </c>
      <c r="D186">
        <v>0</v>
      </c>
    </row>
    <row r="187" spans="1:4" x14ac:dyDescent="0.25">
      <c r="A187" s="279">
        <v>38977</v>
      </c>
      <c r="B187" t="s">
        <v>339</v>
      </c>
      <c r="C187" t="s">
        <v>88</v>
      </c>
      <c r="D187">
        <v>0</v>
      </c>
    </row>
    <row r="188" spans="1:4" x14ac:dyDescent="0.25">
      <c r="A188" s="279">
        <v>38977</v>
      </c>
      <c r="B188" t="s">
        <v>339</v>
      </c>
      <c r="C188" t="s">
        <v>14</v>
      </c>
      <c r="D188">
        <v>1033</v>
      </c>
    </row>
    <row r="189" spans="1:4" x14ac:dyDescent="0.25">
      <c r="A189" s="279">
        <v>38978</v>
      </c>
      <c r="B189" t="s">
        <v>338</v>
      </c>
      <c r="C189" t="s">
        <v>81</v>
      </c>
      <c r="D189">
        <v>0</v>
      </c>
    </row>
    <row r="190" spans="1:4" x14ac:dyDescent="0.25">
      <c r="A190" s="279">
        <v>38978</v>
      </c>
      <c r="B190" t="s">
        <v>338</v>
      </c>
      <c r="C190" t="s">
        <v>82</v>
      </c>
      <c r="D190">
        <v>0</v>
      </c>
    </row>
    <row r="191" spans="1:4" x14ac:dyDescent="0.25">
      <c r="A191" s="279">
        <v>38978</v>
      </c>
      <c r="B191" t="s">
        <v>338</v>
      </c>
      <c r="C191" t="s">
        <v>84</v>
      </c>
      <c r="D191">
        <v>0</v>
      </c>
    </row>
    <row r="192" spans="1:4" x14ac:dyDescent="0.25">
      <c r="A192" s="279">
        <v>38978</v>
      </c>
      <c r="B192" t="s">
        <v>338</v>
      </c>
      <c r="C192" t="s">
        <v>83</v>
      </c>
      <c r="D192">
        <v>0</v>
      </c>
    </row>
    <row r="193" spans="1:4" x14ac:dyDescent="0.25">
      <c r="A193" s="279">
        <v>38978</v>
      </c>
      <c r="B193" t="s">
        <v>338</v>
      </c>
      <c r="C193" t="s">
        <v>14</v>
      </c>
      <c r="D193">
        <v>1030</v>
      </c>
    </row>
    <row r="194" spans="1:4" x14ac:dyDescent="0.25">
      <c r="A194" s="279">
        <v>38978</v>
      </c>
      <c r="B194" t="s">
        <v>339</v>
      </c>
      <c r="C194" t="s">
        <v>20</v>
      </c>
      <c r="D194">
        <v>57079</v>
      </c>
    </row>
    <row r="195" spans="1:4" x14ac:dyDescent="0.25">
      <c r="A195" s="279">
        <v>38978</v>
      </c>
      <c r="B195" t="s">
        <v>339</v>
      </c>
      <c r="C195" t="s">
        <v>85</v>
      </c>
      <c r="D195">
        <v>38927</v>
      </c>
    </row>
    <row r="196" spans="1:4" x14ac:dyDescent="0.25">
      <c r="A196" s="279">
        <v>38978</v>
      </c>
      <c r="B196" t="s">
        <v>339</v>
      </c>
      <c r="C196" t="s">
        <v>86</v>
      </c>
      <c r="D196">
        <v>0</v>
      </c>
    </row>
    <row r="197" spans="1:4" x14ac:dyDescent="0.25">
      <c r="A197" s="279">
        <v>38978</v>
      </c>
      <c r="B197" t="s">
        <v>339</v>
      </c>
      <c r="C197" t="s">
        <v>87</v>
      </c>
      <c r="D197">
        <v>0</v>
      </c>
    </row>
    <row r="198" spans="1:4" x14ac:dyDescent="0.25">
      <c r="A198" s="279">
        <v>38978</v>
      </c>
      <c r="B198" t="s">
        <v>339</v>
      </c>
      <c r="C198" t="s">
        <v>88</v>
      </c>
      <c r="D198">
        <v>0</v>
      </c>
    </row>
    <row r="199" spans="1:4" x14ac:dyDescent="0.25">
      <c r="A199" s="279">
        <v>38978</v>
      </c>
      <c r="B199" t="s">
        <v>339</v>
      </c>
      <c r="C199" t="s">
        <v>14</v>
      </c>
      <c r="D199">
        <v>1033</v>
      </c>
    </row>
    <row r="200" spans="1:4" x14ac:dyDescent="0.25">
      <c r="A200" s="279">
        <v>38979</v>
      </c>
      <c r="B200" t="s">
        <v>338</v>
      </c>
      <c r="C200" t="s">
        <v>81</v>
      </c>
      <c r="D200">
        <v>0</v>
      </c>
    </row>
    <row r="201" spans="1:4" x14ac:dyDescent="0.25">
      <c r="A201" s="279">
        <v>38979</v>
      </c>
      <c r="B201" t="s">
        <v>338</v>
      </c>
      <c r="C201" t="s">
        <v>82</v>
      </c>
      <c r="D201">
        <v>0</v>
      </c>
    </row>
    <row r="202" spans="1:4" x14ac:dyDescent="0.25">
      <c r="A202" s="279">
        <v>38979</v>
      </c>
      <c r="B202" t="s">
        <v>338</v>
      </c>
      <c r="C202" t="s">
        <v>84</v>
      </c>
      <c r="D202">
        <v>0</v>
      </c>
    </row>
    <row r="203" spans="1:4" x14ac:dyDescent="0.25">
      <c r="A203" s="279">
        <v>38979</v>
      </c>
      <c r="B203" t="s">
        <v>338</v>
      </c>
      <c r="C203" t="s">
        <v>83</v>
      </c>
      <c r="D203">
        <v>0</v>
      </c>
    </row>
    <row r="204" spans="1:4" x14ac:dyDescent="0.25">
      <c r="A204" s="279">
        <v>38979</v>
      </c>
      <c r="B204" t="s">
        <v>338</v>
      </c>
      <c r="C204" t="s">
        <v>14</v>
      </c>
      <c r="D204">
        <v>1028</v>
      </c>
    </row>
    <row r="205" spans="1:4" x14ac:dyDescent="0.25">
      <c r="A205" s="279">
        <v>38979</v>
      </c>
      <c r="B205" t="s">
        <v>339</v>
      </c>
      <c r="C205" t="s">
        <v>20</v>
      </c>
      <c r="D205">
        <v>56063</v>
      </c>
    </row>
    <row r="206" spans="1:4" x14ac:dyDescent="0.25">
      <c r="A206" s="279">
        <v>38979</v>
      </c>
      <c r="B206" t="s">
        <v>339</v>
      </c>
      <c r="C206" t="s">
        <v>85</v>
      </c>
      <c r="D206">
        <v>38843</v>
      </c>
    </row>
    <row r="207" spans="1:4" x14ac:dyDescent="0.25">
      <c r="A207" s="279">
        <v>38979</v>
      </c>
      <c r="B207" t="s">
        <v>339</v>
      </c>
      <c r="C207" t="s">
        <v>86</v>
      </c>
      <c r="D207">
        <v>0</v>
      </c>
    </row>
    <row r="208" spans="1:4" x14ac:dyDescent="0.25">
      <c r="A208" s="279">
        <v>38979</v>
      </c>
      <c r="B208" t="s">
        <v>339</v>
      </c>
      <c r="C208" t="s">
        <v>87</v>
      </c>
      <c r="D208">
        <v>0</v>
      </c>
    </row>
    <row r="209" spans="1:4" x14ac:dyDescent="0.25">
      <c r="A209" s="279">
        <v>38979</v>
      </c>
      <c r="B209" t="s">
        <v>339</v>
      </c>
      <c r="C209" t="s">
        <v>88</v>
      </c>
      <c r="D209">
        <v>0</v>
      </c>
    </row>
    <row r="210" spans="1:4" x14ac:dyDescent="0.25">
      <c r="A210" s="279">
        <v>38979</v>
      </c>
      <c r="B210" t="s">
        <v>339</v>
      </c>
      <c r="C210" t="s">
        <v>14</v>
      </c>
      <c r="D210">
        <v>1033</v>
      </c>
    </row>
    <row r="211" spans="1:4" x14ac:dyDescent="0.25">
      <c r="A211" s="279">
        <v>38980</v>
      </c>
      <c r="B211" t="s">
        <v>338</v>
      </c>
      <c r="C211" t="s">
        <v>81</v>
      </c>
      <c r="D211">
        <v>0</v>
      </c>
    </row>
    <row r="212" spans="1:4" x14ac:dyDescent="0.25">
      <c r="A212" s="279">
        <v>38980</v>
      </c>
      <c r="B212" t="s">
        <v>338</v>
      </c>
      <c r="C212" t="s">
        <v>82</v>
      </c>
      <c r="D212">
        <v>0</v>
      </c>
    </row>
    <row r="213" spans="1:4" x14ac:dyDescent="0.25">
      <c r="A213" s="279">
        <v>38980</v>
      </c>
      <c r="B213" t="s">
        <v>338</v>
      </c>
      <c r="C213" t="s">
        <v>84</v>
      </c>
      <c r="D213">
        <v>0</v>
      </c>
    </row>
    <row r="214" spans="1:4" x14ac:dyDescent="0.25">
      <c r="A214" s="279">
        <v>38980</v>
      </c>
      <c r="B214" t="s">
        <v>338</v>
      </c>
      <c r="C214" t="s">
        <v>83</v>
      </c>
      <c r="D214">
        <v>0</v>
      </c>
    </row>
    <row r="215" spans="1:4" x14ac:dyDescent="0.25">
      <c r="A215" s="279">
        <v>38980</v>
      </c>
      <c r="B215" t="s">
        <v>338</v>
      </c>
      <c r="C215" t="s">
        <v>14</v>
      </c>
      <c r="D215">
        <v>1029</v>
      </c>
    </row>
    <row r="216" spans="1:4" x14ac:dyDescent="0.25">
      <c r="A216" s="279">
        <v>38980</v>
      </c>
      <c r="B216" t="s">
        <v>339</v>
      </c>
      <c r="C216" t="s">
        <v>20</v>
      </c>
      <c r="D216">
        <v>66346</v>
      </c>
    </row>
    <row r="217" spans="1:4" x14ac:dyDescent="0.25">
      <c r="A217" s="279">
        <v>38980</v>
      </c>
      <c r="B217" t="s">
        <v>339</v>
      </c>
      <c r="C217" t="s">
        <v>85</v>
      </c>
      <c r="D217">
        <v>33255</v>
      </c>
    </row>
    <row r="218" spans="1:4" x14ac:dyDescent="0.25">
      <c r="A218" s="279">
        <v>38980</v>
      </c>
      <c r="B218" t="s">
        <v>339</v>
      </c>
      <c r="C218" t="s">
        <v>86</v>
      </c>
      <c r="D218">
        <v>0</v>
      </c>
    </row>
    <row r="219" spans="1:4" x14ac:dyDescent="0.25">
      <c r="A219" s="279">
        <v>38980</v>
      </c>
      <c r="B219" t="s">
        <v>339</v>
      </c>
      <c r="C219" t="s">
        <v>87</v>
      </c>
      <c r="D219">
        <v>5</v>
      </c>
    </row>
    <row r="220" spans="1:4" x14ac:dyDescent="0.25">
      <c r="A220" s="279">
        <v>38980</v>
      </c>
      <c r="B220" t="s">
        <v>339</v>
      </c>
      <c r="C220" t="s">
        <v>88</v>
      </c>
      <c r="D220">
        <v>0</v>
      </c>
    </row>
    <row r="221" spans="1:4" x14ac:dyDescent="0.25">
      <c r="A221" s="279">
        <v>38980</v>
      </c>
      <c r="B221" t="s">
        <v>339</v>
      </c>
      <c r="C221" t="s">
        <v>14</v>
      </c>
      <c r="D221">
        <v>1032</v>
      </c>
    </row>
    <row r="222" spans="1:4" x14ac:dyDescent="0.25">
      <c r="A222" s="279">
        <v>38981</v>
      </c>
      <c r="B222" t="s">
        <v>338</v>
      </c>
      <c r="C222" t="s">
        <v>81</v>
      </c>
      <c r="D222">
        <v>0</v>
      </c>
    </row>
    <row r="223" spans="1:4" x14ac:dyDescent="0.25">
      <c r="A223" s="279">
        <v>38981</v>
      </c>
      <c r="B223" t="s">
        <v>338</v>
      </c>
      <c r="C223" t="s">
        <v>82</v>
      </c>
      <c r="D223">
        <v>0</v>
      </c>
    </row>
    <row r="224" spans="1:4" x14ac:dyDescent="0.25">
      <c r="A224" s="279">
        <v>38981</v>
      </c>
      <c r="B224" t="s">
        <v>338</v>
      </c>
      <c r="C224" t="s">
        <v>84</v>
      </c>
      <c r="D224">
        <v>0</v>
      </c>
    </row>
    <row r="225" spans="1:4" x14ac:dyDescent="0.25">
      <c r="A225" s="279">
        <v>38981</v>
      </c>
      <c r="B225" t="s">
        <v>338</v>
      </c>
      <c r="C225" t="s">
        <v>83</v>
      </c>
      <c r="D225">
        <v>0</v>
      </c>
    </row>
    <row r="226" spans="1:4" x14ac:dyDescent="0.25">
      <c r="A226" s="279">
        <v>38981</v>
      </c>
      <c r="B226" t="s">
        <v>338</v>
      </c>
      <c r="C226" t="s">
        <v>14</v>
      </c>
      <c r="D226">
        <v>1030</v>
      </c>
    </row>
    <row r="227" spans="1:4" x14ac:dyDescent="0.25">
      <c r="A227" s="279">
        <v>38981</v>
      </c>
      <c r="B227" t="s">
        <v>339</v>
      </c>
      <c r="C227" t="s">
        <v>20</v>
      </c>
      <c r="D227">
        <v>70756</v>
      </c>
    </row>
    <row r="228" spans="1:4" x14ac:dyDescent="0.25">
      <c r="A228" s="279">
        <v>38981</v>
      </c>
      <c r="B228" t="s">
        <v>339</v>
      </c>
      <c r="C228" t="s">
        <v>85</v>
      </c>
      <c r="D228">
        <v>33032</v>
      </c>
    </row>
    <row r="229" spans="1:4" x14ac:dyDescent="0.25">
      <c r="A229" s="279">
        <v>38981</v>
      </c>
      <c r="B229" t="s">
        <v>339</v>
      </c>
      <c r="C229" t="s">
        <v>86</v>
      </c>
      <c r="D229">
        <v>0</v>
      </c>
    </row>
    <row r="230" spans="1:4" x14ac:dyDescent="0.25">
      <c r="A230" s="279">
        <v>38981</v>
      </c>
      <c r="B230" t="s">
        <v>339</v>
      </c>
      <c r="C230" t="s">
        <v>87</v>
      </c>
      <c r="D230">
        <v>0</v>
      </c>
    </row>
    <row r="231" spans="1:4" x14ac:dyDescent="0.25">
      <c r="A231" s="279">
        <v>38981</v>
      </c>
      <c r="B231" t="s">
        <v>339</v>
      </c>
      <c r="C231" t="s">
        <v>88</v>
      </c>
      <c r="D231">
        <v>0</v>
      </c>
    </row>
    <row r="232" spans="1:4" x14ac:dyDescent="0.25">
      <c r="A232" s="279">
        <v>38981</v>
      </c>
      <c r="B232" t="s">
        <v>339</v>
      </c>
      <c r="C232" t="s">
        <v>14</v>
      </c>
      <c r="D232">
        <v>1032</v>
      </c>
    </row>
    <row r="233" spans="1:4" x14ac:dyDescent="0.25">
      <c r="A233" s="279">
        <v>38982</v>
      </c>
      <c r="B233" t="s">
        <v>338</v>
      </c>
      <c r="C233" t="s">
        <v>81</v>
      </c>
      <c r="D233">
        <v>0</v>
      </c>
    </row>
    <row r="234" spans="1:4" x14ac:dyDescent="0.25">
      <c r="A234" s="279">
        <v>38982</v>
      </c>
      <c r="B234" t="s">
        <v>338</v>
      </c>
      <c r="C234" t="s">
        <v>82</v>
      </c>
      <c r="D234">
        <v>0</v>
      </c>
    </row>
    <row r="235" spans="1:4" x14ac:dyDescent="0.25">
      <c r="A235" s="279">
        <v>38982</v>
      </c>
      <c r="B235" t="s">
        <v>338</v>
      </c>
      <c r="C235" t="s">
        <v>84</v>
      </c>
      <c r="D235">
        <v>0</v>
      </c>
    </row>
    <row r="236" spans="1:4" x14ac:dyDescent="0.25">
      <c r="A236" s="279">
        <v>38982</v>
      </c>
      <c r="B236" t="s">
        <v>338</v>
      </c>
      <c r="C236" t="s">
        <v>83</v>
      </c>
      <c r="D236">
        <v>0</v>
      </c>
    </row>
    <row r="237" spans="1:4" x14ac:dyDescent="0.25">
      <c r="A237" s="279">
        <v>38982</v>
      </c>
      <c r="B237" t="s">
        <v>338</v>
      </c>
      <c r="C237" t="s">
        <v>14</v>
      </c>
      <c r="D237">
        <v>1032</v>
      </c>
    </row>
    <row r="238" spans="1:4" x14ac:dyDescent="0.25">
      <c r="A238" s="279">
        <v>38982</v>
      </c>
      <c r="B238" t="s">
        <v>339</v>
      </c>
      <c r="C238" t="s">
        <v>20</v>
      </c>
      <c r="D238">
        <v>62254</v>
      </c>
    </row>
    <row r="239" spans="1:4" x14ac:dyDescent="0.25">
      <c r="A239" s="279">
        <v>38982</v>
      </c>
      <c r="B239" t="s">
        <v>339</v>
      </c>
      <c r="C239" t="s">
        <v>85</v>
      </c>
      <c r="D239">
        <v>33003</v>
      </c>
    </row>
    <row r="240" spans="1:4" x14ac:dyDescent="0.25">
      <c r="A240" s="279">
        <v>38982</v>
      </c>
      <c r="B240" t="s">
        <v>339</v>
      </c>
      <c r="C240" t="s">
        <v>86</v>
      </c>
      <c r="D240">
        <v>0</v>
      </c>
    </row>
    <row r="241" spans="1:4" x14ac:dyDescent="0.25">
      <c r="A241" s="279">
        <v>38982</v>
      </c>
      <c r="B241" t="s">
        <v>339</v>
      </c>
      <c r="C241" t="s">
        <v>87</v>
      </c>
      <c r="D241">
        <v>0</v>
      </c>
    </row>
    <row r="242" spans="1:4" x14ac:dyDescent="0.25">
      <c r="A242" s="279">
        <v>38982</v>
      </c>
      <c r="B242" t="s">
        <v>339</v>
      </c>
      <c r="C242" t="s">
        <v>88</v>
      </c>
      <c r="D242">
        <v>0</v>
      </c>
    </row>
    <row r="243" spans="1:4" x14ac:dyDescent="0.25">
      <c r="A243" s="279">
        <v>38982</v>
      </c>
      <c r="B243" t="s">
        <v>339</v>
      </c>
      <c r="C243" t="s">
        <v>14</v>
      </c>
      <c r="D243">
        <v>1031</v>
      </c>
    </row>
    <row r="244" spans="1:4" x14ac:dyDescent="0.25">
      <c r="A244" s="279">
        <v>38983</v>
      </c>
      <c r="B244" t="s">
        <v>338</v>
      </c>
      <c r="C244" t="s">
        <v>81</v>
      </c>
      <c r="D244">
        <v>0</v>
      </c>
    </row>
    <row r="245" spans="1:4" x14ac:dyDescent="0.25">
      <c r="A245" s="279">
        <v>38983</v>
      </c>
      <c r="B245" t="s">
        <v>338</v>
      </c>
      <c r="C245" t="s">
        <v>82</v>
      </c>
      <c r="D245">
        <v>0</v>
      </c>
    </row>
    <row r="246" spans="1:4" x14ac:dyDescent="0.25">
      <c r="A246" s="279">
        <v>38983</v>
      </c>
      <c r="B246" t="s">
        <v>338</v>
      </c>
      <c r="C246" t="s">
        <v>84</v>
      </c>
      <c r="D246">
        <v>0</v>
      </c>
    </row>
    <row r="247" spans="1:4" x14ac:dyDescent="0.25">
      <c r="A247" s="279">
        <v>38983</v>
      </c>
      <c r="B247" t="s">
        <v>338</v>
      </c>
      <c r="C247" t="s">
        <v>83</v>
      </c>
      <c r="D247">
        <v>0</v>
      </c>
    </row>
    <row r="248" spans="1:4" x14ac:dyDescent="0.25">
      <c r="A248" s="279">
        <v>38983</v>
      </c>
      <c r="B248" t="s">
        <v>338</v>
      </c>
      <c r="C248" t="s">
        <v>14</v>
      </c>
      <c r="D248">
        <v>1031</v>
      </c>
    </row>
    <row r="249" spans="1:4" x14ac:dyDescent="0.25">
      <c r="A249" s="279">
        <v>38983</v>
      </c>
      <c r="B249" t="s">
        <v>339</v>
      </c>
      <c r="C249" t="s">
        <v>20</v>
      </c>
      <c r="D249">
        <v>55296</v>
      </c>
    </row>
    <row r="250" spans="1:4" x14ac:dyDescent="0.25">
      <c r="A250" s="279">
        <v>38983</v>
      </c>
      <c r="B250" t="s">
        <v>339</v>
      </c>
      <c r="C250" t="s">
        <v>85</v>
      </c>
      <c r="D250">
        <v>34734</v>
      </c>
    </row>
    <row r="251" spans="1:4" x14ac:dyDescent="0.25">
      <c r="A251" s="279">
        <v>38983</v>
      </c>
      <c r="B251" t="s">
        <v>339</v>
      </c>
      <c r="C251" t="s">
        <v>86</v>
      </c>
      <c r="D251">
        <v>0</v>
      </c>
    </row>
    <row r="252" spans="1:4" x14ac:dyDescent="0.25">
      <c r="A252" s="279">
        <v>38983</v>
      </c>
      <c r="B252" t="s">
        <v>339</v>
      </c>
      <c r="C252" t="s">
        <v>87</v>
      </c>
      <c r="D252">
        <v>0</v>
      </c>
    </row>
    <row r="253" spans="1:4" x14ac:dyDescent="0.25">
      <c r="A253" s="279">
        <v>38983</v>
      </c>
      <c r="B253" t="s">
        <v>339</v>
      </c>
      <c r="C253" t="s">
        <v>88</v>
      </c>
      <c r="D253">
        <v>0</v>
      </c>
    </row>
    <row r="254" spans="1:4" x14ac:dyDescent="0.25">
      <c r="A254" s="279">
        <v>38983</v>
      </c>
      <c r="B254" t="s">
        <v>339</v>
      </c>
      <c r="C254" t="s">
        <v>14</v>
      </c>
      <c r="D254">
        <v>1031</v>
      </c>
    </row>
    <row r="255" spans="1:4" x14ac:dyDescent="0.25">
      <c r="A255" s="279">
        <v>38984</v>
      </c>
      <c r="B255" t="s">
        <v>338</v>
      </c>
      <c r="C255" t="s">
        <v>81</v>
      </c>
      <c r="D255">
        <v>0</v>
      </c>
    </row>
    <row r="256" spans="1:4" x14ac:dyDescent="0.25">
      <c r="A256" s="279">
        <v>38984</v>
      </c>
      <c r="B256" t="s">
        <v>338</v>
      </c>
      <c r="C256" t="s">
        <v>82</v>
      </c>
      <c r="D256">
        <v>0</v>
      </c>
    </row>
    <row r="257" spans="1:4" x14ac:dyDescent="0.25">
      <c r="A257" s="279">
        <v>38984</v>
      </c>
      <c r="B257" t="s">
        <v>338</v>
      </c>
      <c r="C257" t="s">
        <v>84</v>
      </c>
      <c r="D257">
        <v>0</v>
      </c>
    </row>
    <row r="258" spans="1:4" x14ac:dyDescent="0.25">
      <c r="A258" s="279">
        <v>38984</v>
      </c>
      <c r="B258" t="s">
        <v>338</v>
      </c>
      <c r="C258" t="s">
        <v>83</v>
      </c>
      <c r="D258">
        <v>0</v>
      </c>
    </row>
    <row r="259" spans="1:4" x14ac:dyDescent="0.25">
      <c r="A259" s="279">
        <v>38984</v>
      </c>
      <c r="B259" t="s">
        <v>338</v>
      </c>
      <c r="C259" t="s">
        <v>14</v>
      </c>
      <c r="D259">
        <v>1034</v>
      </c>
    </row>
    <row r="260" spans="1:4" x14ac:dyDescent="0.25">
      <c r="A260" s="279">
        <v>38984</v>
      </c>
      <c r="B260" t="s">
        <v>339</v>
      </c>
      <c r="C260" t="s">
        <v>20</v>
      </c>
      <c r="D260">
        <v>68207</v>
      </c>
    </row>
    <row r="261" spans="1:4" x14ac:dyDescent="0.25">
      <c r="A261" s="279">
        <v>38984</v>
      </c>
      <c r="B261" t="s">
        <v>339</v>
      </c>
      <c r="C261" t="s">
        <v>85</v>
      </c>
      <c r="D261">
        <v>26494</v>
      </c>
    </row>
    <row r="262" spans="1:4" x14ac:dyDescent="0.25">
      <c r="A262" s="279">
        <v>38984</v>
      </c>
      <c r="B262" t="s">
        <v>339</v>
      </c>
      <c r="C262" t="s">
        <v>86</v>
      </c>
      <c r="D262">
        <v>0</v>
      </c>
    </row>
    <row r="263" spans="1:4" x14ac:dyDescent="0.25">
      <c r="A263" s="279">
        <v>38984</v>
      </c>
      <c r="B263" t="s">
        <v>339</v>
      </c>
      <c r="C263" t="s">
        <v>87</v>
      </c>
      <c r="D263">
        <v>0</v>
      </c>
    </row>
    <row r="264" spans="1:4" x14ac:dyDescent="0.25">
      <c r="A264" s="279">
        <v>38984</v>
      </c>
      <c r="B264" t="s">
        <v>339</v>
      </c>
      <c r="C264" t="s">
        <v>88</v>
      </c>
      <c r="D264">
        <v>0</v>
      </c>
    </row>
    <row r="265" spans="1:4" x14ac:dyDescent="0.25">
      <c r="A265" s="279">
        <v>38984</v>
      </c>
      <c r="B265" t="s">
        <v>339</v>
      </c>
      <c r="C265" t="s">
        <v>14</v>
      </c>
      <c r="D265">
        <v>1034</v>
      </c>
    </row>
    <row r="266" spans="1:4" x14ac:dyDescent="0.25">
      <c r="A266" s="279">
        <v>38985</v>
      </c>
      <c r="B266" t="s">
        <v>338</v>
      </c>
      <c r="C266" t="s">
        <v>81</v>
      </c>
      <c r="D266">
        <v>0</v>
      </c>
    </row>
    <row r="267" spans="1:4" x14ac:dyDescent="0.25">
      <c r="A267" s="279">
        <v>38985</v>
      </c>
      <c r="B267" t="s">
        <v>338</v>
      </c>
      <c r="C267" t="s">
        <v>82</v>
      </c>
      <c r="D267">
        <v>0</v>
      </c>
    </row>
    <row r="268" spans="1:4" x14ac:dyDescent="0.25">
      <c r="A268" s="279">
        <v>38985</v>
      </c>
      <c r="B268" t="s">
        <v>338</v>
      </c>
      <c r="C268" t="s">
        <v>84</v>
      </c>
      <c r="D268">
        <v>0</v>
      </c>
    </row>
    <row r="269" spans="1:4" x14ac:dyDescent="0.25">
      <c r="A269" s="279">
        <v>38985</v>
      </c>
      <c r="B269" t="s">
        <v>338</v>
      </c>
      <c r="C269" t="s">
        <v>83</v>
      </c>
      <c r="D269">
        <v>0</v>
      </c>
    </row>
    <row r="270" spans="1:4" x14ac:dyDescent="0.25">
      <c r="A270" s="279">
        <v>38985</v>
      </c>
      <c r="B270" t="s">
        <v>338</v>
      </c>
      <c r="C270" t="s">
        <v>14</v>
      </c>
      <c r="D270">
        <v>1032</v>
      </c>
    </row>
    <row r="271" spans="1:4" x14ac:dyDescent="0.25">
      <c r="A271" s="279">
        <v>38985</v>
      </c>
      <c r="B271" t="s">
        <v>339</v>
      </c>
      <c r="C271" t="s">
        <v>20</v>
      </c>
      <c r="D271">
        <v>66893</v>
      </c>
    </row>
    <row r="272" spans="1:4" x14ac:dyDescent="0.25">
      <c r="A272" s="279">
        <v>38985</v>
      </c>
      <c r="B272" t="s">
        <v>339</v>
      </c>
      <c r="C272" t="s">
        <v>85</v>
      </c>
      <c r="D272">
        <v>31449</v>
      </c>
    </row>
    <row r="273" spans="1:4" x14ac:dyDescent="0.25">
      <c r="A273" s="279">
        <v>38985</v>
      </c>
      <c r="B273" t="s">
        <v>339</v>
      </c>
      <c r="C273" t="s">
        <v>86</v>
      </c>
      <c r="D273">
        <v>0</v>
      </c>
    </row>
    <row r="274" spans="1:4" x14ac:dyDescent="0.25">
      <c r="A274" s="279">
        <v>38985</v>
      </c>
      <c r="B274" t="s">
        <v>339</v>
      </c>
      <c r="C274" t="s">
        <v>87</v>
      </c>
      <c r="D274">
        <v>0</v>
      </c>
    </row>
    <row r="275" spans="1:4" x14ac:dyDescent="0.25">
      <c r="A275" s="279">
        <v>38985</v>
      </c>
      <c r="B275" t="s">
        <v>339</v>
      </c>
      <c r="C275" t="s">
        <v>88</v>
      </c>
      <c r="D275">
        <v>0</v>
      </c>
    </row>
    <row r="276" spans="1:4" x14ac:dyDescent="0.25">
      <c r="A276" s="279">
        <v>38985</v>
      </c>
      <c r="B276" t="s">
        <v>339</v>
      </c>
      <c r="C276" t="s">
        <v>14</v>
      </c>
      <c r="D276">
        <v>1033</v>
      </c>
    </row>
    <row r="277" spans="1:4" x14ac:dyDescent="0.25">
      <c r="A277" s="279">
        <v>38986</v>
      </c>
      <c r="B277" t="s">
        <v>338</v>
      </c>
      <c r="C277" t="s">
        <v>81</v>
      </c>
      <c r="D277">
        <v>0</v>
      </c>
    </row>
    <row r="278" spans="1:4" x14ac:dyDescent="0.25">
      <c r="A278" s="279">
        <v>38986</v>
      </c>
      <c r="B278" t="s">
        <v>338</v>
      </c>
      <c r="C278" t="s">
        <v>82</v>
      </c>
      <c r="D278">
        <v>0</v>
      </c>
    </row>
    <row r="279" spans="1:4" x14ac:dyDescent="0.25">
      <c r="A279" s="279">
        <v>38986</v>
      </c>
      <c r="B279" t="s">
        <v>338</v>
      </c>
      <c r="C279" t="s">
        <v>84</v>
      </c>
      <c r="D279">
        <v>11</v>
      </c>
    </row>
    <row r="280" spans="1:4" x14ac:dyDescent="0.25">
      <c r="A280" s="279">
        <v>38986</v>
      </c>
      <c r="B280" t="s">
        <v>338</v>
      </c>
      <c r="C280" t="s">
        <v>83</v>
      </c>
      <c r="D280">
        <v>0</v>
      </c>
    </row>
    <row r="281" spans="1:4" x14ac:dyDescent="0.25">
      <c r="A281" s="279">
        <v>38986</v>
      </c>
      <c r="B281" t="s">
        <v>338</v>
      </c>
      <c r="C281" t="s">
        <v>14</v>
      </c>
      <c r="D281">
        <v>1030</v>
      </c>
    </row>
    <row r="282" spans="1:4" x14ac:dyDescent="0.25">
      <c r="A282" s="279">
        <v>38986</v>
      </c>
      <c r="B282" t="s">
        <v>339</v>
      </c>
      <c r="C282" t="s">
        <v>20</v>
      </c>
      <c r="D282">
        <v>72142</v>
      </c>
    </row>
    <row r="283" spans="1:4" x14ac:dyDescent="0.25">
      <c r="A283" s="279">
        <v>38986</v>
      </c>
      <c r="B283" t="s">
        <v>339</v>
      </c>
      <c r="C283" t="s">
        <v>85</v>
      </c>
      <c r="D283">
        <v>30394</v>
      </c>
    </row>
    <row r="284" spans="1:4" x14ac:dyDescent="0.25">
      <c r="A284" s="279">
        <v>38986</v>
      </c>
      <c r="B284" t="s">
        <v>339</v>
      </c>
      <c r="C284" t="s">
        <v>86</v>
      </c>
      <c r="D284">
        <v>0</v>
      </c>
    </row>
    <row r="285" spans="1:4" x14ac:dyDescent="0.25">
      <c r="A285" s="279">
        <v>38986</v>
      </c>
      <c r="B285" t="s">
        <v>339</v>
      </c>
      <c r="C285" t="s">
        <v>87</v>
      </c>
      <c r="D285">
        <v>0</v>
      </c>
    </row>
    <row r="286" spans="1:4" x14ac:dyDescent="0.25">
      <c r="A286" s="279">
        <v>38986</v>
      </c>
      <c r="B286" t="s">
        <v>339</v>
      </c>
      <c r="C286" t="s">
        <v>88</v>
      </c>
      <c r="D286">
        <v>0</v>
      </c>
    </row>
    <row r="287" spans="1:4" x14ac:dyDescent="0.25">
      <c r="A287" s="279">
        <v>38986</v>
      </c>
      <c r="B287" t="s">
        <v>339</v>
      </c>
      <c r="C287" t="s">
        <v>14</v>
      </c>
      <c r="D287">
        <v>1033</v>
      </c>
    </row>
    <row r="288" spans="1:4" x14ac:dyDescent="0.25">
      <c r="A288" s="279">
        <v>38987</v>
      </c>
      <c r="B288" t="s">
        <v>338</v>
      </c>
      <c r="C288" t="s">
        <v>81</v>
      </c>
      <c r="D288">
        <v>0</v>
      </c>
    </row>
    <row r="289" spans="1:4" x14ac:dyDescent="0.25">
      <c r="A289" s="279">
        <v>38987</v>
      </c>
      <c r="B289" t="s">
        <v>338</v>
      </c>
      <c r="C289" t="s">
        <v>82</v>
      </c>
      <c r="D289">
        <v>0</v>
      </c>
    </row>
    <row r="290" spans="1:4" x14ac:dyDescent="0.25">
      <c r="A290" s="279">
        <v>38987</v>
      </c>
      <c r="B290" t="s">
        <v>338</v>
      </c>
      <c r="C290" t="s">
        <v>84</v>
      </c>
      <c r="D290">
        <v>260</v>
      </c>
    </row>
    <row r="291" spans="1:4" x14ac:dyDescent="0.25">
      <c r="A291" s="279">
        <v>38987</v>
      </c>
      <c r="B291" t="s">
        <v>338</v>
      </c>
      <c r="C291" t="s">
        <v>83</v>
      </c>
      <c r="D291">
        <v>0</v>
      </c>
    </row>
    <row r="292" spans="1:4" x14ac:dyDescent="0.25">
      <c r="A292" s="279">
        <v>38987</v>
      </c>
      <c r="B292" t="s">
        <v>338</v>
      </c>
      <c r="C292" t="s">
        <v>14</v>
      </c>
      <c r="D292">
        <v>1032</v>
      </c>
    </row>
    <row r="293" spans="1:4" x14ac:dyDescent="0.25">
      <c r="A293" s="279">
        <v>38987</v>
      </c>
      <c r="B293" t="s">
        <v>339</v>
      </c>
      <c r="C293" t="s">
        <v>20</v>
      </c>
      <c r="D293">
        <v>67175</v>
      </c>
    </row>
    <row r="294" spans="1:4" x14ac:dyDescent="0.25">
      <c r="A294" s="279">
        <v>38987</v>
      </c>
      <c r="B294" t="s">
        <v>339</v>
      </c>
      <c r="C294" t="s">
        <v>85</v>
      </c>
      <c r="D294">
        <v>31904</v>
      </c>
    </row>
    <row r="295" spans="1:4" x14ac:dyDescent="0.25">
      <c r="A295" s="279">
        <v>38987</v>
      </c>
      <c r="B295" t="s">
        <v>339</v>
      </c>
      <c r="C295" t="s">
        <v>86</v>
      </c>
      <c r="D295">
        <v>0</v>
      </c>
    </row>
    <row r="296" spans="1:4" x14ac:dyDescent="0.25">
      <c r="A296" s="279">
        <v>38987</v>
      </c>
      <c r="B296" t="s">
        <v>339</v>
      </c>
      <c r="C296" t="s">
        <v>87</v>
      </c>
      <c r="D296">
        <v>5</v>
      </c>
    </row>
    <row r="297" spans="1:4" x14ac:dyDescent="0.25">
      <c r="A297" s="279">
        <v>38987</v>
      </c>
      <c r="B297" t="s">
        <v>339</v>
      </c>
      <c r="C297" t="s">
        <v>88</v>
      </c>
      <c r="D297">
        <v>0</v>
      </c>
    </row>
    <row r="298" spans="1:4" x14ac:dyDescent="0.25">
      <c r="A298" s="279">
        <v>38987</v>
      </c>
      <c r="B298" t="s">
        <v>339</v>
      </c>
      <c r="C298" t="s">
        <v>14</v>
      </c>
      <c r="D298">
        <v>1033</v>
      </c>
    </row>
    <row r="299" spans="1:4" x14ac:dyDescent="0.25">
      <c r="A299" s="279">
        <v>38988</v>
      </c>
      <c r="B299" t="s">
        <v>338</v>
      </c>
      <c r="C299" t="s">
        <v>81</v>
      </c>
      <c r="D299">
        <v>0</v>
      </c>
    </row>
    <row r="300" spans="1:4" x14ac:dyDescent="0.25">
      <c r="A300" s="279">
        <v>38988</v>
      </c>
      <c r="B300" t="s">
        <v>338</v>
      </c>
      <c r="C300" t="s">
        <v>82</v>
      </c>
      <c r="D300">
        <v>0</v>
      </c>
    </row>
    <row r="301" spans="1:4" x14ac:dyDescent="0.25">
      <c r="A301" s="279">
        <v>38988</v>
      </c>
      <c r="B301" t="s">
        <v>338</v>
      </c>
      <c r="C301" t="s">
        <v>84</v>
      </c>
      <c r="D301">
        <v>300</v>
      </c>
    </row>
    <row r="302" spans="1:4" x14ac:dyDescent="0.25">
      <c r="A302" s="279">
        <v>38988</v>
      </c>
      <c r="B302" t="s">
        <v>338</v>
      </c>
      <c r="C302" t="s">
        <v>83</v>
      </c>
      <c r="D302">
        <v>0</v>
      </c>
    </row>
    <row r="303" spans="1:4" x14ac:dyDescent="0.25">
      <c r="A303" s="279">
        <v>38988</v>
      </c>
      <c r="B303" t="s">
        <v>338</v>
      </c>
      <c r="C303" t="s">
        <v>14</v>
      </c>
      <c r="D303">
        <v>1032</v>
      </c>
    </row>
    <row r="304" spans="1:4" x14ac:dyDescent="0.25">
      <c r="A304" s="279">
        <v>38988</v>
      </c>
      <c r="B304" t="s">
        <v>339</v>
      </c>
      <c r="C304" t="s">
        <v>20</v>
      </c>
      <c r="D304">
        <v>65927</v>
      </c>
    </row>
    <row r="305" spans="1:4" x14ac:dyDescent="0.25">
      <c r="A305" s="279">
        <v>38988</v>
      </c>
      <c r="B305" t="s">
        <v>339</v>
      </c>
      <c r="C305" t="s">
        <v>85</v>
      </c>
      <c r="D305">
        <v>29248</v>
      </c>
    </row>
    <row r="306" spans="1:4" x14ac:dyDescent="0.25">
      <c r="A306" s="279">
        <v>38988</v>
      </c>
      <c r="B306" t="s">
        <v>339</v>
      </c>
      <c r="C306" t="s">
        <v>86</v>
      </c>
      <c r="D306">
        <v>0</v>
      </c>
    </row>
    <row r="307" spans="1:4" x14ac:dyDescent="0.25">
      <c r="A307" s="279">
        <v>38988</v>
      </c>
      <c r="B307" t="s">
        <v>339</v>
      </c>
      <c r="C307" t="s">
        <v>87</v>
      </c>
      <c r="D307">
        <v>0</v>
      </c>
    </row>
    <row r="308" spans="1:4" x14ac:dyDescent="0.25">
      <c r="A308" s="279">
        <v>38988</v>
      </c>
      <c r="B308" t="s">
        <v>339</v>
      </c>
      <c r="C308" t="s">
        <v>88</v>
      </c>
      <c r="D308">
        <v>485</v>
      </c>
    </row>
    <row r="309" spans="1:4" x14ac:dyDescent="0.25">
      <c r="A309" s="279">
        <v>38988</v>
      </c>
      <c r="B309" t="s">
        <v>339</v>
      </c>
      <c r="C309" t="s">
        <v>14</v>
      </c>
      <c r="D309">
        <v>1035</v>
      </c>
    </row>
    <row r="310" spans="1:4" x14ac:dyDescent="0.25">
      <c r="A310" s="279">
        <v>38989</v>
      </c>
      <c r="B310" t="s">
        <v>338</v>
      </c>
      <c r="C310" t="s">
        <v>81</v>
      </c>
      <c r="D310">
        <v>0</v>
      </c>
    </row>
    <row r="311" spans="1:4" x14ac:dyDescent="0.25">
      <c r="A311" s="279">
        <v>38989</v>
      </c>
      <c r="B311" t="s">
        <v>338</v>
      </c>
      <c r="C311" t="s">
        <v>82</v>
      </c>
      <c r="D311">
        <v>0</v>
      </c>
    </row>
    <row r="312" spans="1:4" x14ac:dyDescent="0.25">
      <c r="A312" s="279">
        <v>38989</v>
      </c>
      <c r="B312" t="s">
        <v>338</v>
      </c>
      <c r="C312" t="s">
        <v>84</v>
      </c>
      <c r="D312">
        <v>310</v>
      </c>
    </row>
    <row r="313" spans="1:4" x14ac:dyDescent="0.25">
      <c r="A313" s="279">
        <v>38989</v>
      </c>
      <c r="B313" t="s">
        <v>338</v>
      </c>
      <c r="C313" t="s">
        <v>83</v>
      </c>
      <c r="D313">
        <v>0</v>
      </c>
    </row>
    <row r="314" spans="1:4" x14ac:dyDescent="0.25">
      <c r="A314" s="279">
        <v>38989</v>
      </c>
      <c r="B314" t="s">
        <v>338</v>
      </c>
      <c r="C314" t="s">
        <v>14</v>
      </c>
      <c r="D314">
        <v>1032</v>
      </c>
    </row>
    <row r="315" spans="1:4" x14ac:dyDescent="0.25">
      <c r="A315" s="279">
        <v>38989</v>
      </c>
      <c r="B315" t="s">
        <v>339</v>
      </c>
      <c r="C315" t="s">
        <v>20</v>
      </c>
      <c r="D315">
        <v>80113</v>
      </c>
    </row>
    <row r="316" spans="1:4" x14ac:dyDescent="0.25">
      <c r="A316" s="279">
        <v>38989</v>
      </c>
      <c r="B316" t="s">
        <v>339</v>
      </c>
      <c r="C316" t="s">
        <v>85</v>
      </c>
      <c r="D316">
        <v>23844</v>
      </c>
    </row>
    <row r="317" spans="1:4" x14ac:dyDescent="0.25">
      <c r="A317" s="279">
        <v>38989</v>
      </c>
      <c r="B317" t="s">
        <v>339</v>
      </c>
      <c r="C317" t="s">
        <v>86</v>
      </c>
      <c r="D317">
        <v>0</v>
      </c>
    </row>
    <row r="318" spans="1:4" x14ac:dyDescent="0.25">
      <c r="A318" s="279">
        <v>38989</v>
      </c>
      <c r="B318" t="s">
        <v>339</v>
      </c>
      <c r="C318" t="s">
        <v>87</v>
      </c>
      <c r="D318">
        <v>0</v>
      </c>
    </row>
    <row r="319" spans="1:4" x14ac:dyDescent="0.25">
      <c r="A319" s="279">
        <v>38989</v>
      </c>
      <c r="B319" t="s">
        <v>339</v>
      </c>
      <c r="C319" t="s">
        <v>88</v>
      </c>
      <c r="D319">
        <v>0</v>
      </c>
    </row>
    <row r="320" spans="1:4" x14ac:dyDescent="0.25">
      <c r="A320" s="279">
        <v>38989</v>
      </c>
      <c r="B320" t="s">
        <v>339</v>
      </c>
      <c r="C320" t="s">
        <v>14</v>
      </c>
      <c r="D320">
        <v>1033</v>
      </c>
    </row>
    <row r="321" spans="1:4" x14ac:dyDescent="0.25">
      <c r="A321" s="279">
        <v>38990</v>
      </c>
      <c r="B321" t="s">
        <v>338</v>
      </c>
      <c r="C321" t="s">
        <v>81</v>
      </c>
      <c r="D321">
        <v>0</v>
      </c>
    </row>
    <row r="322" spans="1:4" x14ac:dyDescent="0.25">
      <c r="A322" s="279">
        <v>38990</v>
      </c>
      <c r="B322" t="s">
        <v>338</v>
      </c>
      <c r="C322" t="s">
        <v>82</v>
      </c>
      <c r="D322">
        <v>0</v>
      </c>
    </row>
    <row r="323" spans="1:4" x14ac:dyDescent="0.25">
      <c r="A323" s="279">
        <v>38990</v>
      </c>
      <c r="B323" t="s">
        <v>338</v>
      </c>
      <c r="C323" t="s">
        <v>84</v>
      </c>
      <c r="D323">
        <v>280</v>
      </c>
    </row>
    <row r="324" spans="1:4" x14ac:dyDescent="0.25">
      <c r="A324" s="279">
        <v>38990</v>
      </c>
      <c r="B324" t="s">
        <v>338</v>
      </c>
      <c r="C324" t="s">
        <v>83</v>
      </c>
      <c r="D324">
        <v>0</v>
      </c>
    </row>
    <row r="325" spans="1:4" x14ac:dyDescent="0.25">
      <c r="A325" s="279">
        <v>38990</v>
      </c>
      <c r="B325" t="s">
        <v>338</v>
      </c>
      <c r="C325" t="s">
        <v>14</v>
      </c>
      <c r="D325">
        <v>1032</v>
      </c>
    </row>
    <row r="326" spans="1:4" x14ac:dyDescent="0.25">
      <c r="A326" s="279">
        <v>38990</v>
      </c>
      <c r="B326" t="s">
        <v>339</v>
      </c>
      <c r="C326" t="s">
        <v>20</v>
      </c>
      <c r="D326">
        <v>67899</v>
      </c>
    </row>
    <row r="327" spans="1:4" x14ac:dyDescent="0.25">
      <c r="A327" s="279">
        <v>38990</v>
      </c>
      <c r="B327" t="s">
        <v>339</v>
      </c>
      <c r="C327" t="s">
        <v>85</v>
      </c>
      <c r="D327">
        <v>28552</v>
      </c>
    </row>
    <row r="328" spans="1:4" x14ac:dyDescent="0.25">
      <c r="A328" s="279">
        <v>38990</v>
      </c>
      <c r="B328" t="s">
        <v>339</v>
      </c>
      <c r="C328" t="s">
        <v>86</v>
      </c>
      <c r="D328">
        <v>0</v>
      </c>
    </row>
    <row r="329" spans="1:4" x14ac:dyDescent="0.25">
      <c r="A329" s="279">
        <v>38990</v>
      </c>
      <c r="B329" t="s">
        <v>339</v>
      </c>
      <c r="C329" t="s">
        <v>87</v>
      </c>
      <c r="D329">
        <v>0</v>
      </c>
    </row>
    <row r="330" spans="1:4" x14ac:dyDescent="0.25">
      <c r="A330" s="279">
        <v>38990</v>
      </c>
      <c r="B330" t="s">
        <v>339</v>
      </c>
      <c r="C330" t="s">
        <v>88</v>
      </c>
      <c r="D330">
        <v>0</v>
      </c>
    </row>
    <row r="331" spans="1:4" x14ac:dyDescent="0.25">
      <c r="A331" s="279">
        <v>38990</v>
      </c>
      <c r="B331" t="s">
        <v>339</v>
      </c>
      <c r="C331" t="s">
        <v>14</v>
      </c>
      <c r="D331">
        <v>1032</v>
      </c>
    </row>
    <row r="332" spans="1:4" x14ac:dyDescent="0.25">
      <c r="A332" s="279">
        <v>38991</v>
      </c>
      <c r="B332" t="s">
        <v>338</v>
      </c>
      <c r="C332" t="s">
        <v>81</v>
      </c>
      <c r="D332">
        <v>0</v>
      </c>
    </row>
    <row r="333" spans="1:4" x14ac:dyDescent="0.25">
      <c r="A333" s="279">
        <v>38991</v>
      </c>
      <c r="B333" t="s">
        <v>338</v>
      </c>
      <c r="C333" t="s">
        <v>82</v>
      </c>
      <c r="D333">
        <v>0</v>
      </c>
    </row>
    <row r="334" spans="1:4" x14ac:dyDescent="0.25">
      <c r="A334" s="279">
        <v>38991</v>
      </c>
      <c r="B334" t="s">
        <v>338</v>
      </c>
      <c r="C334" t="s">
        <v>84</v>
      </c>
      <c r="D334">
        <v>330</v>
      </c>
    </row>
    <row r="335" spans="1:4" x14ac:dyDescent="0.25">
      <c r="A335" s="279">
        <v>38991</v>
      </c>
      <c r="B335" t="s">
        <v>338</v>
      </c>
      <c r="C335" t="s">
        <v>83</v>
      </c>
      <c r="D335">
        <v>0</v>
      </c>
    </row>
    <row r="336" spans="1:4" x14ac:dyDescent="0.25">
      <c r="A336" s="279">
        <v>38991</v>
      </c>
      <c r="B336" t="s">
        <v>338</v>
      </c>
      <c r="C336" t="s">
        <v>14</v>
      </c>
      <c r="D336">
        <v>1030</v>
      </c>
    </row>
    <row r="337" spans="1:4" x14ac:dyDescent="0.25">
      <c r="A337" s="279">
        <v>38991</v>
      </c>
      <c r="B337" t="s">
        <v>339</v>
      </c>
      <c r="C337" t="s">
        <v>20</v>
      </c>
      <c r="D337">
        <v>67317</v>
      </c>
    </row>
    <row r="338" spans="1:4" x14ac:dyDescent="0.25">
      <c r="A338" s="279">
        <v>38991</v>
      </c>
      <c r="B338" t="s">
        <v>339</v>
      </c>
      <c r="C338" t="s">
        <v>85</v>
      </c>
      <c r="D338">
        <v>21870</v>
      </c>
    </row>
    <row r="339" spans="1:4" x14ac:dyDescent="0.25">
      <c r="A339" s="279">
        <v>38991</v>
      </c>
      <c r="B339" t="s">
        <v>339</v>
      </c>
      <c r="C339" t="s">
        <v>86</v>
      </c>
      <c r="D339">
        <v>0</v>
      </c>
    </row>
    <row r="340" spans="1:4" x14ac:dyDescent="0.25">
      <c r="A340" s="279">
        <v>38991</v>
      </c>
      <c r="B340" t="s">
        <v>339</v>
      </c>
      <c r="C340" t="s">
        <v>87</v>
      </c>
      <c r="D340">
        <v>0</v>
      </c>
    </row>
    <row r="341" spans="1:4" x14ac:dyDescent="0.25">
      <c r="A341" s="279">
        <v>38991</v>
      </c>
      <c r="B341" t="s">
        <v>339</v>
      </c>
      <c r="C341" t="s">
        <v>88</v>
      </c>
      <c r="D341">
        <v>0</v>
      </c>
    </row>
    <row r="342" spans="1:4" x14ac:dyDescent="0.25">
      <c r="A342" s="279">
        <v>38991</v>
      </c>
      <c r="B342" t="s">
        <v>339</v>
      </c>
      <c r="C342" t="s">
        <v>14</v>
      </c>
      <c r="D342">
        <v>1029</v>
      </c>
    </row>
    <row r="343" spans="1:4" x14ac:dyDescent="0.25">
      <c r="A343" s="279">
        <v>38992</v>
      </c>
      <c r="B343" t="s">
        <v>338</v>
      </c>
      <c r="C343" t="s">
        <v>81</v>
      </c>
      <c r="D343">
        <v>0</v>
      </c>
    </row>
    <row r="344" spans="1:4" x14ac:dyDescent="0.25">
      <c r="A344" s="279">
        <v>38992</v>
      </c>
      <c r="B344" t="s">
        <v>338</v>
      </c>
      <c r="C344" t="s">
        <v>82</v>
      </c>
      <c r="D344">
        <v>0</v>
      </c>
    </row>
    <row r="345" spans="1:4" x14ac:dyDescent="0.25">
      <c r="A345" s="279">
        <v>38992</v>
      </c>
      <c r="B345" t="s">
        <v>338</v>
      </c>
      <c r="C345" t="s">
        <v>84</v>
      </c>
      <c r="D345">
        <v>350</v>
      </c>
    </row>
    <row r="346" spans="1:4" x14ac:dyDescent="0.25">
      <c r="A346" s="279">
        <v>38992</v>
      </c>
      <c r="B346" t="s">
        <v>338</v>
      </c>
      <c r="C346" t="s">
        <v>83</v>
      </c>
      <c r="D346">
        <v>0</v>
      </c>
    </row>
    <row r="347" spans="1:4" x14ac:dyDescent="0.25">
      <c r="A347" s="279">
        <v>38992</v>
      </c>
      <c r="B347" t="s">
        <v>338</v>
      </c>
      <c r="C347" t="s">
        <v>14</v>
      </c>
      <c r="D347">
        <v>1030</v>
      </c>
    </row>
    <row r="348" spans="1:4" x14ac:dyDescent="0.25">
      <c r="A348" s="279">
        <v>38992</v>
      </c>
      <c r="B348" t="s">
        <v>339</v>
      </c>
      <c r="C348" t="s">
        <v>20</v>
      </c>
      <c r="D348">
        <v>66007</v>
      </c>
    </row>
    <row r="349" spans="1:4" x14ac:dyDescent="0.25">
      <c r="A349" s="279">
        <v>38992</v>
      </c>
      <c r="B349" t="s">
        <v>339</v>
      </c>
      <c r="C349" t="s">
        <v>85</v>
      </c>
      <c r="D349">
        <v>22917</v>
      </c>
    </row>
    <row r="350" spans="1:4" x14ac:dyDescent="0.25">
      <c r="A350" s="279">
        <v>38992</v>
      </c>
      <c r="B350" t="s">
        <v>339</v>
      </c>
      <c r="C350" t="s">
        <v>86</v>
      </c>
      <c r="D350">
        <v>0</v>
      </c>
    </row>
    <row r="351" spans="1:4" x14ac:dyDescent="0.25">
      <c r="A351" s="279">
        <v>38992</v>
      </c>
      <c r="B351" t="s">
        <v>339</v>
      </c>
      <c r="C351" t="s">
        <v>87</v>
      </c>
      <c r="D351">
        <v>0</v>
      </c>
    </row>
    <row r="352" spans="1:4" x14ac:dyDescent="0.25">
      <c r="A352" s="279">
        <v>38992</v>
      </c>
      <c r="B352" t="s">
        <v>339</v>
      </c>
      <c r="C352" t="s">
        <v>88</v>
      </c>
      <c r="D352">
        <v>0</v>
      </c>
    </row>
    <row r="353" spans="1:4" x14ac:dyDescent="0.25">
      <c r="A353" s="279">
        <v>38992</v>
      </c>
      <c r="B353" t="s">
        <v>339</v>
      </c>
      <c r="C353" t="s">
        <v>14</v>
      </c>
      <c r="D353">
        <v>1033</v>
      </c>
    </row>
    <row r="354" spans="1:4" x14ac:dyDescent="0.25">
      <c r="A354" s="279">
        <v>38993</v>
      </c>
      <c r="B354" t="s">
        <v>338</v>
      </c>
      <c r="C354" t="s">
        <v>81</v>
      </c>
      <c r="D354">
        <v>0</v>
      </c>
    </row>
    <row r="355" spans="1:4" x14ac:dyDescent="0.25">
      <c r="A355" s="279">
        <v>38993</v>
      </c>
      <c r="B355" t="s">
        <v>338</v>
      </c>
      <c r="C355" t="s">
        <v>82</v>
      </c>
      <c r="D355">
        <v>0</v>
      </c>
    </row>
    <row r="356" spans="1:4" x14ac:dyDescent="0.25">
      <c r="A356" s="279">
        <v>38993</v>
      </c>
      <c r="B356" t="s">
        <v>338</v>
      </c>
      <c r="C356" t="s">
        <v>84</v>
      </c>
      <c r="D356">
        <v>330</v>
      </c>
    </row>
    <row r="357" spans="1:4" x14ac:dyDescent="0.25">
      <c r="A357" s="279">
        <v>38993</v>
      </c>
      <c r="B357" t="s">
        <v>338</v>
      </c>
      <c r="C357" t="s">
        <v>83</v>
      </c>
      <c r="D357">
        <v>0</v>
      </c>
    </row>
    <row r="358" spans="1:4" x14ac:dyDescent="0.25">
      <c r="A358" s="279">
        <v>38993</v>
      </c>
      <c r="B358" t="s">
        <v>338</v>
      </c>
      <c r="C358" t="s">
        <v>14</v>
      </c>
      <c r="D358">
        <v>1027</v>
      </c>
    </row>
    <row r="359" spans="1:4" x14ac:dyDescent="0.25">
      <c r="A359" s="279">
        <v>38993</v>
      </c>
      <c r="B359" t="s">
        <v>339</v>
      </c>
      <c r="C359" t="s">
        <v>20</v>
      </c>
      <c r="D359">
        <v>61679</v>
      </c>
    </row>
    <row r="360" spans="1:4" x14ac:dyDescent="0.25">
      <c r="A360" s="279">
        <v>38993</v>
      </c>
      <c r="B360" t="s">
        <v>339</v>
      </c>
      <c r="C360" t="s">
        <v>85</v>
      </c>
      <c r="D360">
        <v>19757</v>
      </c>
    </row>
    <row r="361" spans="1:4" x14ac:dyDescent="0.25">
      <c r="A361" s="279">
        <v>38993</v>
      </c>
      <c r="B361" t="s">
        <v>339</v>
      </c>
      <c r="C361" t="s">
        <v>86</v>
      </c>
      <c r="D361">
        <v>0</v>
      </c>
    </row>
    <row r="362" spans="1:4" x14ac:dyDescent="0.25">
      <c r="A362" s="279">
        <v>38993</v>
      </c>
      <c r="B362" t="s">
        <v>339</v>
      </c>
      <c r="C362" t="s">
        <v>87</v>
      </c>
      <c r="D362">
        <v>0</v>
      </c>
    </row>
    <row r="363" spans="1:4" x14ac:dyDescent="0.25">
      <c r="A363" s="279">
        <v>38993</v>
      </c>
      <c r="B363" t="s">
        <v>339</v>
      </c>
      <c r="C363" t="s">
        <v>88</v>
      </c>
      <c r="D363">
        <v>0</v>
      </c>
    </row>
    <row r="364" spans="1:4" x14ac:dyDescent="0.25">
      <c r="A364" s="279">
        <v>38993</v>
      </c>
      <c r="B364" t="s">
        <v>339</v>
      </c>
      <c r="C364" t="s">
        <v>14</v>
      </c>
      <c r="D364">
        <v>1036</v>
      </c>
    </row>
    <row r="365" spans="1:4" x14ac:dyDescent="0.25">
      <c r="A365" s="279">
        <v>38994</v>
      </c>
      <c r="B365" t="s">
        <v>338</v>
      </c>
      <c r="C365" t="s">
        <v>81</v>
      </c>
      <c r="D365">
        <v>0</v>
      </c>
    </row>
    <row r="366" spans="1:4" x14ac:dyDescent="0.25">
      <c r="A366" s="279">
        <v>38994</v>
      </c>
      <c r="B366" t="s">
        <v>338</v>
      </c>
      <c r="C366" t="s">
        <v>82</v>
      </c>
      <c r="D366">
        <v>0</v>
      </c>
    </row>
    <row r="367" spans="1:4" x14ac:dyDescent="0.25">
      <c r="A367" s="279">
        <v>38994</v>
      </c>
      <c r="B367" t="s">
        <v>338</v>
      </c>
      <c r="C367" t="s">
        <v>84</v>
      </c>
      <c r="D367">
        <v>610</v>
      </c>
    </row>
    <row r="368" spans="1:4" x14ac:dyDescent="0.25">
      <c r="A368" s="279">
        <v>38994</v>
      </c>
      <c r="B368" t="s">
        <v>338</v>
      </c>
      <c r="C368" t="s">
        <v>83</v>
      </c>
      <c r="D368">
        <v>0</v>
      </c>
    </row>
    <row r="369" spans="1:4" x14ac:dyDescent="0.25">
      <c r="A369" s="279">
        <v>38994</v>
      </c>
      <c r="B369" t="s">
        <v>338</v>
      </c>
      <c r="C369" t="s">
        <v>14</v>
      </c>
      <c r="D369">
        <v>1031</v>
      </c>
    </row>
    <row r="370" spans="1:4" x14ac:dyDescent="0.25">
      <c r="A370" s="279">
        <v>38994</v>
      </c>
      <c r="B370" t="s">
        <v>339</v>
      </c>
      <c r="C370" t="s">
        <v>20</v>
      </c>
      <c r="D370">
        <v>62460</v>
      </c>
    </row>
    <row r="371" spans="1:4" x14ac:dyDescent="0.25">
      <c r="A371" s="279">
        <v>38994</v>
      </c>
      <c r="B371" t="s">
        <v>339</v>
      </c>
      <c r="C371" t="s">
        <v>85</v>
      </c>
      <c r="D371">
        <v>17698</v>
      </c>
    </row>
    <row r="372" spans="1:4" x14ac:dyDescent="0.25">
      <c r="A372" s="279">
        <v>38994</v>
      </c>
      <c r="B372" t="s">
        <v>339</v>
      </c>
      <c r="C372" t="s">
        <v>86</v>
      </c>
      <c r="D372">
        <v>0</v>
      </c>
    </row>
    <row r="373" spans="1:4" x14ac:dyDescent="0.25">
      <c r="A373" s="279">
        <v>38994</v>
      </c>
      <c r="B373" t="s">
        <v>339</v>
      </c>
      <c r="C373" t="s">
        <v>87</v>
      </c>
      <c r="D373">
        <v>0</v>
      </c>
    </row>
    <row r="374" spans="1:4" x14ac:dyDescent="0.25">
      <c r="A374" s="279">
        <v>38994</v>
      </c>
      <c r="B374" t="s">
        <v>339</v>
      </c>
      <c r="C374" t="s">
        <v>88</v>
      </c>
      <c r="D374">
        <v>0</v>
      </c>
    </row>
    <row r="375" spans="1:4" x14ac:dyDescent="0.25">
      <c r="A375" s="279">
        <v>38994</v>
      </c>
      <c r="B375" t="s">
        <v>339</v>
      </c>
      <c r="C375" t="s">
        <v>14</v>
      </c>
      <c r="D375">
        <v>1035</v>
      </c>
    </row>
    <row r="376" spans="1:4" x14ac:dyDescent="0.25">
      <c r="A376" s="279">
        <v>38995</v>
      </c>
      <c r="B376" t="s">
        <v>338</v>
      </c>
      <c r="C376" t="s">
        <v>81</v>
      </c>
      <c r="D376">
        <v>0</v>
      </c>
    </row>
    <row r="377" spans="1:4" x14ac:dyDescent="0.25">
      <c r="A377" s="279">
        <v>38995</v>
      </c>
      <c r="B377" t="s">
        <v>338</v>
      </c>
      <c r="C377" t="s">
        <v>82</v>
      </c>
      <c r="D377">
        <v>0</v>
      </c>
    </row>
    <row r="378" spans="1:4" x14ac:dyDescent="0.25">
      <c r="A378" s="279">
        <v>38995</v>
      </c>
      <c r="B378" t="s">
        <v>338</v>
      </c>
      <c r="C378" t="s">
        <v>84</v>
      </c>
      <c r="D378">
        <v>800</v>
      </c>
    </row>
    <row r="379" spans="1:4" x14ac:dyDescent="0.25">
      <c r="A379" s="279">
        <v>38995</v>
      </c>
      <c r="B379" t="s">
        <v>338</v>
      </c>
      <c r="C379" t="s">
        <v>83</v>
      </c>
      <c r="D379">
        <v>0</v>
      </c>
    </row>
    <row r="380" spans="1:4" x14ac:dyDescent="0.25">
      <c r="A380" s="279">
        <v>38995</v>
      </c>
      <c r="B380" t="s">
        <v>338</v>
      </c>
      <c r="C380" t="s">
        <v>14</v>
      </c>
      <c r="D380">
        <v>1030</v>
      </c>
    </row>
    <row r="381" spans="1:4" x14ac:dyDescent="0.25">
      <c r="A381" s="279">
        <v>38995</v>
      </c>
      <c r="B381" t="s">
        <v>339</v>
      </c>
      <c r="C381" t="s">
        <v>20</v>
      </c>
      <c r="D381">
        <v>81251</v>
      </c>
    </row>
    <row r="382" spans="1:4" x14ac:dyDescent="0.25">
      <c r="A382" s="279">
        <v>38995</v>
      </c>
      <c r="B382" t="s">
        <v>339</v>
      </c>
      <c r="C382" t="s">
        <v>85</v>
      </c>
      <c r="D382">
        <v>10239</v>
      </c>
    </row>
    <row r="383" spans="1:4" x14ac:dyDescent="0.25">
      <c r="A383" s="279">
        <v>38995</v>
      </c>
      <c r="B383" t="s">
        <v>339</v>
      </c>
      <c r="C383" t="s">
        <v>86</v>
      </c>
      <c r="D383">
        <v>0</v>
      </c>
    </row>
    <row r="384" spans="1:4" x14ac:dyDescent="0.25">
      <c r="A384" s="279">
        <v>38995</v>
      </c>
      <c r="B384" t="s">
        <v>339</v>
      </c>
      <c r="C384" t="s">
        <v>87</v>
      </c>
      <c r="D384">
        <v>0</v>
      </c>
    </row>
    <row r="385" spans="1:4" x14ac:dyDescent="0.25">
      <c r="A385" s="279">
        <v>38995</v>
      </c>
      <c r="B385" t="s">
        <v>339</v>
      </c>
      <c r="C385" t="s">
        <v>88</v>
      </c>
      <c r="D385">
        <v>0</v>
      </c>
    </row>
    <row r="386" spans="1:4" x14ac:dyDescent="0.25">
      <c r="A386" s="279">
        <v>38995</v>
      </c>
      <c r="B386" t="s">
        <v>339</v>
      </c>
      <c r="C386" t="s">
        <v>14</v>
      </c>
      <c r="D386">
        <v>1031</v>
      </c>
    </row>
    <row r="387" spans="1:4" x14ac:dyDescent="0.25">
      <c r="A387" s="279">
        <v>38996</v>
      </c>
      <c r="B387" t="s">
        <v>338</v>
      </c>
      <c r="C387" t="s">
        <v>81</v>
      </c>
      <c r="D387">
        <v>0</v>
      </c>
    </row>
    <row r="388" spans="1:4" x14ac:dyDescent="0.25">
      <c r="A388" s="279">
        <v>38996</v>
      </c>
      <c r="B388" t="s">
        <v>338</v>
      </c>
      <c r="C388" t="s">
        <v>82</v>
      </c>
      <c r="D388">
        <v>0</v>
      </c>
    </row>
    <row r="389" spans="1:4" x14ac:dyDescent="0.25">
      <c r="A389" s="279">
        <v>38996</v>
      </c>
      <c r="B389" t="s">
        <v>338</v>
      </c>
      <c r="C389" t="s">
        <v>84</v>
      </c>
      <c r="D389">
        <v>1340</v>
      </c>
    </row>
    <row r="390" spans="1:4" x14ac:dyDescent="0.25">
      <c r="A390" s="279">
        <v>38996</v>
      </c>
      <c r="B390" t="s">
        <v>338</v>
      </c>
      <c r="C390" t="s">
        <v>83</v>
      </c>
      <c r="D390">
        <v>0</v>
      </c>
    </row>
    <row r="391" spans="1:4" x14ac:dyDescent="0.25">
      <c r="A391" s="279">
        <v>38996</v>
      </c>
      <c r="B391" t="s">
        <v>338</v>
      </c>
      <c r="C391" t="s">
        <v>14</v>
      </c>
      <c r="D391">
        <v>1031</v>
      </c>
    </row>
    <row r="392" spans="1:4" x14ac:dyDescent="0.25">
      <c r="A392" s="279">
        <v>38996</v>
      </c>
      <c r="B392" t="s">
        <v>339</v>
      </c>
      <c r="C392" t="s">
        <v>20</v>
      </c>
      <c r="D392">
        <v>95050</v>
      </c>
    </row>
    <row r="393" spans="1:4" x14ac:dyDescent="0.25">
      <c r="A393" s="279">
        <v>38996</v>
      </c>
      <c r="B393" t="s">
        <v>339</v>
      </c>
      <c r="C393" t="s">
        <v>85</v>
      </c>
      <c r="D393">
        <v>16155</v>
      </c>
    </row>
    <row r="394" spans="1:4" x14ac:dyDescent="0.25">
      <c r="A394" s="279">
        <v>38996</v>
      </c>
      <c r="B394" t="s">
        <v>339</v>
      </c>
      <c r="C394" t="s">
        <v>86</v>
      </c>
      <c r="D394">
        <v>0</v>
      </c>
    </row>
    <row r="395" spans="1:4" x14ac:dyDescent="0.25">
      <c r="A395" s="279">
        <v>38996</v>
      </c>
      <c r="B395" t="s">
        <v>339</v>
      </c>
      <c r="C395" t="s">
        <v>87</v>
      </c>
      <c r="D395">
        <v>0</v>
      </c>
    </row>
    <row r="396" spans="1:4" x14ac:dyDescent="0.25">
      <c r="A396" s="279">
        <v>38996</v>
      </c>
      <c r="B396" t="s">
        <v>339</v>
      </c>
      <c r="C396" t="s">
        <v>88</v>
      </c>
      <c r="D396">
        <v>0</v>
      </c>
    </row>
    <row r="397" spans="1:4" x14ac:dyDescent="0.25">
      <c r="A397" s="279">
        <v>38996</v>
      </c>
      <c r="B397" t="s">
        <v>339</v>
      </c>
      <c r="C397" t="s">
        <v>14</v>
      </c>
      <c r="D397">
        <v>1033</v>
      </c>
    </row>
    <row r="398" spans="1:4" x14ac:dyDescent="0.25">
      <c r="A398" s="279">
        <v>38997</v>
      </c>
      <c r="B398" t="s">
        <v>338</v>
      </c>
      <c r="C398" t="s">
        <v>81</v>
      </c>
      <c r="D398">
        <v>0</v>
      </c>
    </row>
    <row r="399" spans="1:4" x14ac:dyDescent="0.25">
      <c r="A399" s="279">
        <v>38997</v>
      </c>
      <c r="B399" t="s">
        <v>338</v>
      </c>
      <c r="C399" t="s">
        <v>82</v>
      </c>
      <c r="D399">
        <v>0</v>
      </c>
    </row>
    <row r="400" spans="1:4" x14ac:dyDescent="0.25">
      <c r="A400" s="279">
        <v>38997</v>
      </c>
      <c r="B400" t="s">
        <v>338</v>
      </c>
      <c r="C400" t="s">
        <v>84</v>
      </c>
      <c r="D400">
        <v>1140</v>
      </c>
    </row>
    <row r="401" spans="1:4" x14ac:dyDescent="0.25">
      <c r="A401" s="279">
        <v>38997</v>
      </c>
      <c r="B401" t="s">
        <v>338</v>
      </c>
      <c r="C401" t="s">
        <v>83</v>
      </c>
      <c r="D401">
        <v>0</v>
      </c>
    </row>
    <row r="402" spans="1:4" x14ac:dyDescent="0.25">
      <c r="A402" s="279">
        <v>38997</v>
      </c>
      <c r="B402" t="s">
        <v>338</v>
      </c>
      <c r="C402" t="s">
        <v>14</v>
      </c>
      <c r="D402">
        <v>1031</v>
      </c>
    </row>
    <row r="403" spans="1:4" x14ac:dyDescent="0.25">
      <c r="A403" s="279">
        <v>38997</v>
      </c>
      <c r="B403" t="s">
        <v>339</v>
      </c>
      <c r="C403" t="s">
        <v>20</v>
      </c>
      <c r="D403">
        <v>93734</v>
      </c>
    </row>
    <row r="404" spans="1:4" x14ac:dyDescent="0.25">
      <c r="A404" s="279">
        <v>38997</v>
      </c>
      <c r="B404" t="s">
        <v>339</v>
      </c>
      <c r="C404" t="s">
        <v>85</v>
      </c>
      <c r="D404">
        <v>18019</v>
      </c>
    </row>
    <row r="405" spans="1:4" x14ac:dyDescent="0.25">
      <c r="A405" s="279">
        <v>38997</v>
      </c>
      <c r="B405" t="s">
        <v>339</v>
      </c>
      <c r="C405" t="s">
        <v>86</v>
      </c>
      <c r="D405">
        <v>0</v>
      </c>
    </row>
    <row r="406" spans="1:4" x14ac:dyDescent="0.25">
      <c r="A406" s="279">
        <v>38997</v>
      </c>
      <c r="B406" t="s">
        <v>339</v>
      </c>
      <c r="C406" t="s">
        <v>87</v>
      </c>
      <c r="D406">
        <v>0</v>
      </c>
    </row>
    <row r="407" spans="1:4" x14ac:dyDescent="0.25">
      <c r="A407" s="279">
        <v>38997</v>
      </c>
      <c r="B407" t="s">
        <v>339</v>
      </c>
      <c r="C407" t="s">
        <v>88</v>
      </c>
      <c r="D407">
        <v>0</v>
      </c>
    </row>
    <row r="408" spans="1:4" x14ac:dyDescent="0.25">
      <c r="A408" s="279">
        <v>38997</v>
      </c>
      <c r="B408" t="s">
        <v>339</v>
      </c>
      <c r="C408" t="s">
        <v>14</v>
      </c>
      <c r="D408">
        <v>1033</v>
      </c>
    </row>
    <row r="409" spans="1:4" x14ac:dyDescent="0.25">
      <c r="A409" s="279">
        <v>38998</v>
      </c>
      <c r="B409" t="s">
        <v>338</v>
      </c>
      <c r="C409" t="s">
        <v>81</v>
      </c>
      <c r="D409">
        <v>0</v>
      </c>
    </row>
    <row r="410" spans="1:4" x14ac:dyDescent="0.25">
      <c r="A410" s="279">
        <v>38998</v>
      </c>
      <c r="B410" t="s">
        <v>338</v>
      </c>
      <c r="C410" t="s">
        <v>82</v>
      </c>
      <c r="D410">
        <v>0</v>
      </c>
    </row>
    <row r="411" spans="1:4" x14ac:dyDescent="0.25">
      <c r="A411" s="279">
        <v>38998</v>
      </c>
      <c r="B411" t="s">
        <v>338</v>
      </c>
      <c r="C411" t="s">
        <v>84</v>
      </c>
      <c r="D411">
        <v>840</v>
      </c>
    </row>
    <row r="412" spans="1:4" x14ac:dyDescent="0.25">
      <c r="A412" s="279">
        <v>38998</v>
      </c>
      <c r="B412" t="s">
        <v>338</v>
      </c>
      <c r="C412" t="s">
        <v>83</v>
      </c>
      <c r="D412">
        <v>0</v>
      </c>
    </row>
    <row r="413" spans="1:4" x14ac:dyDescent="0.25">
      <c r="A413" s="279">
        <v>38998</v>
      </c>
      <c r="B413" t="s">
        <v>338</v>
      </c>
      <c r="C413" t="s">
        <v>14</v>
      </c>
      <c r="D413">
        <v>1033</v>
      </c>
    </row>
    <row r="414" spans="1:4" x14ac:dyDescent="0.25">
      <c r="A414" s="279">
        <v>38998</v>
      </c>
      <c r="B414" t="s">
        <v>339</v>
      </c>
      <c r="C414" t="s">
        <v>20</v>
      </c>
      <c r="D414">
        <v>82980</v>
      </c>
    </row>
    <row r="415" spans="1:4" x14ac:dyDescent="0.25">
      <c r="A415" s="279">
        <v>38998</v>
      </c>
      <c r="B415" t="s">
        <v>339</v>
      </c>
      <c r="C415" t="s">
        <v>85</v>
      </c>
      <c r="D415">
        <v>13477</v>
      </c>
    </row>
    <row r="416" spans="1:4" x14ac:dyDescent="0.25">
      <c r="A416" s="279">
        <v>38998</v>
      </c>
      <c r="B416" t="s">
        <v>339</v>
      </c>
      <c r="C416" t="s">
        <v>86</v>
      </c>
      <c r="D416">
        <v>0</v>
      </c>
    </row>
    <row r="417" spans="1:4" x14ac:dyDescent="0.25">
      <c r="A417" s="279">
        <v>38998</v>
      </c>
      <c r="B417" t="s">
        <v>339</v>
      </c>
      <c r="C417" t="s">
        <v>87</v>
      </c>
      <c r="D417">
        <v>0</v>
      </c>
    </row>
    <row r="418" spans="1:4" x14ac:dyDescent="0.25">
      <c r="A418" s="279">
        <v>38998</v>
      </c>
      <c r="B418" t="s">
        <v>339</v>
      </c>
      <c r="C418" t="s">
        <v>88</v>
      </c>
      <c r="D418">
        <v>0</v>
      </c>
    </row>
    <row r="419" spans="1:4" x14ac:dyDescent="0.25">
      <c r="A419" s="279">
        <v>38998</v>
      </c>
      <c r="B419" t="s">
        <v>339</v>
      </c>
      <c r="C419" t="s">
        <v>14</v>
      </c>
      <c r="D419">
        <v>1035</v>
      </c>
    </row>
    <row r="420" spans="1:4" x14ac:dyDescent="0.25">
      <c r="A420" s="279">
        <v>38999</v>
      </c>
      <c r="B420" t="s">
        <v>338</v>
      </c>
      <c r="C420" t="s">
        <v>81</v>
      </c>
      <c r="D420">
        <v>0</v>
      </c>
    </row>
    <row r="421" spans="1:4" x14ac:dyDescent="0.25">
      <c r="A421" s="279">
        <v>38999</v>
      </c>
      <c r="B421" t="s">
        <v>338</v>
      </c>
      <c r="C421" t="s">
        <v>82</v>
      </c>
      <c r="D421">
        <v>0</v>
      </c>
    </row>
    <row r="422" spans="1:4" x14ac:dyDescent="0.25">
      <c r="A422" s="279">
        <v>38999</v>
      </c>
      <c r="B422" t="s">
        <v>338</v>
      </c>
      <c r="C422" t="s">
        <v>84</v>
      </c>
      <c r="D422">
        <v>660</v>
      </c>
    </row>
    <row r="423" spans="1:4" x14ac:dyDescent="0.25">
      <c r="A423" s="279">
        <v>38999</v>
      </c>
      <c r="B423" t="s">
        <v>338</v>
      </c>
      <c r="C423" t="s">
        <v>83</v>
      </c>
      <c r="D423">
        <v>0</v>
      </c>
    </row>
    <row r="424" spans="1:4" x14ac:dyDescent="0.25">
      <c r="A424" s="279">
        <v>38999</v>
      </c>
      <c r="B424" t="s">
        <v>338</v>
      </c>
      <c r="C424" t="s">
        <v>14</v>
      </c>
      <c r="D424">
        <v>1034</v>
      </c>
    </row>
    <row r="425" spans="1:4" x14ac:dyDescent="0.25">
      <c r="A425" s="279">
        <v>38999</v>
      </c>
      <c r="B425" t="s">
        <v>339</v>
      </c>
      <c r="C425" t="s">
        <v>20</v>
      </c>
      <c r="D425">
        <v>76604</v>
      </c>
    </row>
    <row r="426" spans="1:4" x14ac:dyDescent="0.25">
      <c r="A426" s="279">
        <v>38999</v>
      </c>
      <c r="B426" t="s">
        <v>339</v>
      </c>
      <c r="C426" t="s">
        <v>85</v>
      </c>
      <c r="D426">
        <v>13102</v>
      </c>
    </row>
    <row r="427" spans="1:4" x14ac:dyDescent="0.25">
      <c r="A427" s="279">
        <v>38999</v>
      </c>
      <c r="B427" t="s">
        <v>339</v>
      </c>
      <c r="C427" t="s">
        <v>86</v>
      </c>
      <c r="D427">
        <v>0</v>
      </c>
    </row>
    <row r="428" spans="1:4" x14ac:dyDescent="0.25">
      <c r="A428" s="279">
        <v>38999</v>
      </c>
      <c r="B428" t="s">
        <v>339</v>
      </c>
      <c r="C428" t="s">
        <v>87</v>
      </c>
      <c r="D428">
        <v>0</v>
      </c>
    </row>
    <row r="429" spans="1:4" x14ac:dyDescent="0.25">
      <c r="A429" s="279">
        <v>38999</v>
      </c>
      <c r="B429" t="s">
        <v>339</v>
      </c>
      <c r="C429" t="s">
        <v>88</v>
      </c>
      <c r="D429">
        <v>0</v>
      </c>
    </row>
    <row r="430" spans="1:4" x14ac:dyDescent="0.25">
      <c r="A430" s="279">
        <v>38999</v>
      </c>
      <c r="B430" t="s">
        <v>339</v>
      </c>
      <c r="C430" t="s">
        <v>14</v>
      </c>
      <c r="D430">
        <v>1035</v>
      </c>
    </row>
    <row r="431" spans="1:4" x14ac:dyDescent="0.25">
      <c r="A431" s="279">
        <v>39000</v>
      </c>
      <c r="B431" t="s">
        <v>338</v>
      </c>
      <c r="C431" t="s">
        <v>81</v>
      </c>
      <c r="D431">
        <v>0</v>
      </c>
    </row>
    <row r="432" spans="1:4" x14ac:dyDescent="0.25">
      <c r="A432" s="279">
        <v>39000</v>
      </c>
      <c r="B432" t="s">
        <v>338</v>
      </c>
      <c r="C432" t="s">
        <v>82</v>
      </c>
      <c r="D432">
        <v>0</v>
      </c>
    </row>
    <row r="433" spans="1:4" x14ac:dyDescent="0.25">
      <c r="A433" s="279">
        <v>39000</v>
      </c>
      <c r="B433" t="s">
        <v>338</v>
      </c>
      <c r="C433" t="s">
        <v>84</v>
      </c>
      <c r="D433">
        <v>560</v>
      </c>
    </row>
    <row r="434" spans="1:4" x14ac:dyDescent="0.25">
      <c r="A434" s="279">
        <v>39000</v>
      </c>
      <c r="B434" t="s">
        <v>338</v>
      </c>
      <c r="C434" t="s">
        <v>83</v>
      </c>
      <c r="D434">
        <v>0</v>
      </c>
    </row>
    <row r="435" spans="1:4" x14ac:dyDescent="0.25">
      <c r="A435" s="279">
        <v>39000</v>
      </c>
      <c r="B435" t="s">
        <v>338</v>
      </c>
      <c r="C435" t="s">
        <v>14</v>
      </c>
      <c r="D435">
        <v>1034</v>
      </c>
    </row>
    <row r="436" spans="1:4" x14ac:dyDescent="0.25">
      <c r="A436" s="279">
        <v>39000</v>
      </c>
      <c r="B436" t="s">
        <v>339</v>
      </c>
      <c r="C436" t="s">
        <v>20</v>
      </c>
      <c r="D436">
        <v>66672</v>
      </c>
    </row>
    <row r="437" spans="1:4" x14ac:dyDescent="0.25">
      <c r="A437" s="279">
        <v>39000</v>
      </c>
      <c r="B437" t="s">
        <v>339</v>
      </c>
      <c r="C437" t="s">
        <v>85</v>
      </c>
      <c r="D437">
        <v>15192</v>
      </c>
    </row>
    <row r="438" spans="1:4" x14ac:dyDescent="0.25">
      <c r="A438" s="279">
        <v>39000</v>
      </c>
      <c r="B438" t="s">
        <v>339</v>
      </c>
      <c r="C438" t="s">
        <v>86</v>
      </c>
      <c r="D438">
        <v>0</v>
      </c>
    </row>
    <row r="439" spans="1:4" x14ac:dyDescent="0.25">
      <c r="A439" s="279">
        <v>39000</v>
      </c>
      <c r="B439" t="s">
        <v>339</v>
      </c>
      <c r="C439" t="s">
        <v>87</v>
      </c>
      <c r="D439">
        <v>0</v>
      </c>
    </row>
    <row r="440" spans="1:4" x14ac:dyDescent="0.25">
      <c r="A440" s="279">
        <v>39000</v>
      </c>
      <c r="B440" t="s">
        <v>339</v>
      </c>
      <c r="C440" t="s">
        <v>88</v>
      </c>
      <c r="D440">
        <v>0</v>
      </c>
    </row>
    <row r="441" spans="1:4" x14ac:dyDescent="0.25">
      <c r="A441" s="279">
        <v>39000</v>
      </c>
      <c r="B441" t="s">
        <v>339</v>
      </c>
      <c r="C441" t="s">
        <v>14</v>
      </c>
      <c r="D441">
        <v>1034</v>
      </c>
    </row>
    <row r="442" spans="1:4" x14ac:dyDescent="0.25">
      <c r="A442" s="279">
        <v>39001</v>
      </c>
      <c r="B442" t="s">
        <v>338</v>
      </c>
      <c r="C442" t="s">
        <v>81</v>
      </c>
      <c r="D442">
        <v>0</v>
      </c>
    </row>
    <row r="443" spans="1:4" x14ac:dyDescent="0.25">
      <c r="A443" s="279">
        <v>39001</v>
      </c>
      <c r="B443" t="s">
        <v>338</v>
      </c>
      <c r="C443" t="s">
        <v>82</v>
      </c>
      <c r="D443">
        <v>0</v>
      </c>
    </row>
    <row r="444" spans="1:4" x14ac:dyDescent="0.25">
      <c r="A444" s="279">
        <v>39001</v>
      </c>
      <c r="B444" t="s">
        <v>338</v>
      </c>
      <c r="C444" t="s">
        <v>84</v>
      </c>
      <c r="D444">
        <v>620</v>
      </c>
    </row>
    <row r="445" spans="1:4" x14ac:dyDescent="0.25">
      <c r="A445" s="279">
        <v>39001</v>
      </c>
      <c r="B445" t="s">
        <v>338</v>
      </c>
      <c r="C445" t="s">
        <v>83</v>
      </c>
      <c r="D445">
        <v>0</v>
      </c>
    </row>
    <row r="446" spans="1:4" x14ac:dyDescent="0.25">
      <c r="A446" s="279">
        <v>39001</v>
      </c>
      <c r="B446" t="s">
        <v>338</v>
      </c>
      <c r="C446" t="s">
        <v>14</v>
      </c>
      <c r="D446">
        <v>1030</v>
      </c>
    </row>
    <row r="447" spans="1:4" x14ac:dyDescent="0.25">
      <c r="A447" s="279">
        <v>39001</v>
      </c>
      <c r="B447" t="s">
        <v>339</v>
      </c>
      <c r="C447" t="s">
        <v>20</v>
      </c>
      <c r="D447">
        <v>77120</v>
      </c>
    </row>
    <row r="448" spans="1:4" x14ac:dyDescent="0.25">
      <c r="A448" s="279">
        <v>39001</v>
      </c>
      <c r="B448" t="s">
        <v>339</v>
      </c>
      <c r="C448" t="s">
        <v>85</v>
      </c>
      <c r="D448">
        <v>12234</v>
      </c>
    </row>
    <row r="449" spans="1:4" x14ac:dyDescent="0.25">
      <c r="A449" s="279">
        <v>39001</v>
      </c>
      <c r="B449" t="s">
        <v>339</v>
      </c>
      <c r="C449" t="s">
        <v>86</v>
      </c>
      <c r="D449">
        <v>0</v>
      </c>
    </row>
    <row r="450" spans="1:4" x14ac:dyDescent="0.25">
      <c r="A450" s="279">
        <v>39001</v>
      </c>
      <c r="B450" t="s">
        <v>339</v>
      </c>
      <c r="C450" t="s">
        <v>87</v>
      </c>
      <c r="D450">
        <v>0</v>
      </c>
    </row>
    <row r="451" spans="1:4" x14ac:dyDescent="0.25">
      <c r="A451" s="279">
        <v>39001</v>
      </c>
      <c r="B451" t="s">
        <v>339</v>
      </c>
      <c r="C451" t="s">
        <v>88</v>
      </c>
      <c r="D451">
        <v>0</v>
      </c>
    </row>
    <row r="452" spans="1:4" x14ac:dyDescent="0.25">
      <c r="A452" s="279">
        <v>39001</v>
      </c>
      <c r="B452" t="s">
        <v>339</v>
      </c>
      <c r="C452" t="s">
        <v>14</v>
      </c>
      <c r="D452">
        <v>1035</v>
      </c>
    </row>
    <row r="453" spans="1:4" x14ac:dyDescent="0.25">
      <c r="A453" s="279">
        <v>39002</v>
      </c>
      <c r="B453" t="s">
        <v>338</v>
      </c>
      <c r="C453" t="s">
        <v>81</v>
      </c>
      <c r="D453">
        <v>0</v>
      </c>
    </row>
    <row r="454" spans="1:4" x14ac:dyDescent="0.25">
      <c r="A454" s="279">
        <v>39002</v>
      </c>
      <c r="B454" t="s">
        <v>338</v>
      </c>
      <c r="C454" t="s">
        <v>82</v>
      </c>
      <c r="D454">
        <v>0</v>
      </c>
    </row>
    <row r="455" spans="1:4" x14ac:dyDescent="0.25">
      <c r="A455" s="279">
        <v>39002</v>
      </c>
      <c r="B455" t="s">
        <v>338</v>
      </c>
      <c r="C455" t="s">
        <v>84</v>
      </c>
      <c r="D455">
        <v>919</v>
      </c>
    </row>
    <row r="456" spans="1:4" x14ac:dyDescent="0.25">
      <c r="A456" s="279">
        <v>39002</v>
      </c>
      <c r="B456" t="s">
        <v>338</v>
      </c>
      <c r="C456" t="s">
        <v>83</v>
      </c>
      <c r="D456">
        <v>0</v>
      </c>
    </row>
    <row r="457" spans="1:4" x14ac:dyDescent="0.25">
      <c r="A457" s="279">
        <v>39002</v>
      </c>
      <c r="B457" t="s">
        <v>338</v>
      </c>
      <c r="C457" t="s">
        <v>14</v>
      </c>
      <c r="D457">
        <v>1031</v>
      </c>
    </row>
    <row r="458" spans="1:4" x14ac:dyDescent="0.25">
      <c r="A458" s="279">
        <v>39002</v>
      </c>
      <c r="B458" t="s">
        <v>339</v>
      </c>
      <c r="C458" t="s">
        <v>20</v>
      </c>
      <c r="D458">
        <v>93410</v>
      </c>
    </row>
    <row r="459" spans="1:4" x14ac:dyDescent="0.25">
      <c r="A459" s="279">
        <v>39002</v>
      </c>
      <c r="B459" t="s">
        <v>339</v>
      </c>
      <c r="C459" t="s">
        <v>85</v>
      </c>
      <c r="D459">
        <v>15725</v>
      </c>
    </row>
    <row r="460" spans="1:4" x14ac:dyDescent="0.25">
      <c r="A460" s="279">
        <v>39002</v>
      </c>
      <c r="B460" t="s">
        <v>339</v>
      </c>
      <c r="C460" t="s">
        <v>86</v>
      </c>
      <c r="D460">
        <v>0</v>
      </c>
    </row>
    <row r="461" spans="1:4" x14ac:dyDescent="0.25">
      <c r="A461" s="279">
        <v>39002</v>
      </c>
      <c r="B461" t="s">
        <v>339</v>
      </c>
      <c r="C461" t="s">
        <v>87</v>
      </c>
      <c r="D461">
        <v>2674</v>
      </c>
    </row>
    <row r="462" spans="1:4" x14ac:dyDescent="0.25">
      <c r="A462" s="279">
        <v>39002</v>
      </c>
      <c r="B462" t="s">
        <v>339</v>
      </c>
      <c r="C462" t="s">
        <v>88</v>
      </c>
      <c r="D462">
        <v>0</v>
      </c>
    </row>
    <row r="463" spans="1:4" x14ac:dyDescent="0.25">
      <c r="A463" s="279">
        <v>39002</v>
      </c>
      <c r="B463" t="s">
        <v>339</v>
      </c>
      <c r="C463" t="s">
        <v>14</v>
      </c>
      <c r="D463">
        <v>1034</v>
      </c>
    </row>
    <row r="464" spans="1:4" x14ac:dyDescent="0.25">
      <c r="A464" s="279">
        <v>39003</v>
      </c>
      <c r="B464" t="s">
        <v>338</v>
      </c>
      <c r="C464" t="s">
        <v>81</v>
      </c>
      <c r="D464">
        <v>78</v>
      </c>
    </row>
    <row r="465" spans="1:4" x14ac:dyDescent="0.25">
      <c r="A465" s="279">
        <v>39003</v>
      </c>
      <c r="B465" t="s">
        <v>338</v>
      </c>
      <c r="C465" t="s">
        <v>82</v>
      </c>
      <c r="D465">
        <v>0</v>
      </c>
    </row>
    <row r="466" spans="1:4" x14ac:dyDescent="0.25">
      <c r="A466" s="279">
        <v>39003</v>
      </c>
      <c r="B466" t="s">
        <v>338</v>
      </c>
      <c r="C466" t="s">
        <v>84</v>
      </c>
      <c r="D466">
        <v>1235</v>
      </c>
    </row>
    <row r="467" spans="1:4" x14ac:dyDescent="0.25">
      <c r="A467" s="279">
        <v>39003</v>
      </c>
      <c r="B467" t="s">
        <v>338</v>
      </c>
      <c r="C467" t="s">
        <v>83</v>
      </c>
      <c r="D467">
        <v>0</v>
      </c>
    </row>
    <row r="468" spans="1:4" x14ac:dyDescent="0.25">
      <c r="A468" s="279">
        <v>39003</v>
      </c>
      <c r="B468" t="s">
        <v>338</v>
      </c>
      <c r="C468" t="s">
        <v>14</v>
      </c>
      <c r="D468">
        <v>1031</v>
      </c>
    </row>
    <row r="469" spans="1:4" x14ac:dyDescent="0.25">
      <c r="A469" s="279">
        <v>39003</v>
      </c>
      <c r="B469" t="s">
        <v>339</v>
      </c>
      <c r="C469" t="s">
        <v>20</v>
      </c>
      <c r="D469">
        <v>119025</v>
      </c>
    </row>
    <row r="470" spans="1:4" x14ac:dyDescent="0.25">
      <c r="A470" s="279">
        <v>39003</v>
      </c>
      <c r="B470" t="s">
        <v>339</v>
      </c>
      <c r="C470" t="s">
        <v>85</v>
      </c>
      <c r="D470">
        <v>24520</v>
      </c>
    </row>
    <row r="471" spans="1:4" x14ac:dyDescent="0.25">
      <c r="A471" s="279">
        <v>39003</v>
      </c>
      <c r="B471" t="s">
        <v>339</v>
      </c>
      <c r="C471" t="s">
        <v>86</v>
      </c>
      <c r="D471">
        <v>0</v>
      </c>
    </row>
    <row r="472" spans="1:4" x14ac:dyDescent="0.25">
      <c r="A472" s="279">
        <v>39003</v>
      </c>
      <c r="B472" t="s">
        <v>339</v>
      </c>
      <c r="C472" t="s">
        <v>87</v>
      </c>
      <c r="D472">
        <v>2483</v>
      </c>
    </row>
    <row r="473" spans="1:4" x14ac:dyDescent="0.25">
      <c r="A473" s="279">
        <v>39003</v>
      </c>
      <c r="B473" t="s">
        <v>339</v>
      </c>
      <c r="C473" t="s">
        <v>88</v>
      </c>
      <c r="D473">
        <v>0</v>
      </c>
    </row>
    <row r="474" spans="1:4" x14ac:dyDescent="0.25">
      <c r="A474" s="279">
        <v>39003</v>
      </c>
      <c r="B474" t="s">
        <v>339</v>
      </c>
      <c r="C474" t="s">
        <v>14</v>
      </c>
      <c r="D474">
        <v>1032</v>
      </c>
    </row>
    <row r="475" spans="1:4" x14ac:dyDescent="0.25">
      <c r="A475" s="279">
        <v>39004</v>
      </c>
      <c r="B475" t="s">
        <v>338</v>
      </c>
      <c r="C475" t="s">
        <v>81</v>
      </c>
      <c r="D475">
        <v>0</v>
      </c>
    </row>
    <row r="476" spans="1:4" x14ac:dyDescent="0.25">
      <c r="A476" s="279">
        <v>39004</v>
      </c>
      <c r="B476" t="s">
        <v>338</v>
      </c>
      <c r="C476" t="s">
        <v>82</v>
      </c>
      <c r="D476">
        <v>2957</v>
      </c>
    </row>
    <row r="477" spans="1:4" x14ac:dyDescent="0.25">
      <c r="A477" s="279">
        <v>39004</v>
      </c>
      <c r="B477" t="s">
        <v>338</v>
      </c>
      <c r="C477" t="s">
        <v>84</v>
      </c>
      <c r="D477">
        <v>1145</v>
      </c>
    </row>
    <row r="478" spans="1:4" x14ac:dyDescent="0.25">
      <c r="A478" s="279">
        <v>39004</v>
      </c>
      <c r="B478" t="s">
        <v>338</v>
      </c>
      <c r="C478" t="s">
        <v>83</v>
      </c>
      <c r="D478">
        <v>0</v>
      </c>
    </row>
    <row r="479" spans="1:4" x14ac:dyDescent="0.25">
      <c r="A479" s="279">
        <v>39004</v>
      </c>
      <c r="B479" t="s">
        <v>338</v>
      </c>
      <c r="C479" t="s">
        <v>14</v>
      </c>
      <c r="D479">
        <v>1034</v>
      </c>
    </row>
    <row r="480" spans="1:4" x14ac:dyDescent="0.25">
      <c r="A480" s="279">
        <v>39004</v>
      </c>
      <c r="B480" t="s">
        <v>339</v>
      </c>
      <c r="C480" t="s">
        <v>20</v>
      </c>
      <c r="D480">
        <v>128523</v>
      </c>
    </row>
    <row r="481" spans="1:4" x14ac:dyDescent="0.25">
      <c r="A481" s="279">
        <v>39004</v>
      </c>
      <c r="B481" t="s">
        <v>339</v>
      </c>
      <c r="C481" t="s">
        <v>85</v>
      </c>
      <c r="D481">
        <v>23725</v>
      </c>
    </row>
    <row r="482" spans="1:4" x14ac:dyDescent="0.25">
      <c r="A482" s="279">
        <v>39004</v>
      </c>
      <c r="B482" t="s">
        <v>339</v>
      </c>
      <c r="C482" t="s">
        <v>86</v>
      </c>
      <c r="D482">
        <v>0</v>
      </c>
    </row>
    <row r="483" spans="1:4" x14ac:dyDescent="0.25">
      <c r="A483" s="279">
        <v>39004</v>
      </c>
      <c r="B483" t="s">
        <v>339</v>
      </c>
      <c r="C483" t="s">
        <v>87</v>
      </c>
      <c r="D483">
        <v>0</v>
      </c>
    </row>
    <row r="484" spans="1:4" x14ac:dyDescent="0.25">
      <c r="A484" s="279">
        <v>39004</v>
      </c>
      <c r="B484" t="s">
        <v>339</v>
      </c>
      <c r="C484" t="s">
        <v>88</v>
      </c>
      <c r="D484">
        <v>0</v>
      </c>
    </row>
    <row r="485" spans="1:4" x14ac:dyDescent="0.25">
      <c r="A485" s="279">
        <v>39004</v>
      </c>
      <c r="B485" t="s">
        <v>339</v>
      </c>
      <c r="C485" t="s">
        <v>14</v>
      </c>
      <c r="D485">
        <v>1033</v>
      </c>
    </row>
    <row r="486" spans="1:4" x14ac:dyDescent="0.25">
      <c r="A486" s="279">
        <v>39005</v>
      </c>
      <c r="B486" t="s">
        <v>338</v>
      </c>
      <c r="C486" t="s">
        <v>81</v>
      </c>
      <c r="D486">
        <v>16770</v>
      </c>
    </row>
    <row r="487" spans="1:4" x14ac:dyDescent="0.25">
      <c r="A487" s="279">
        <v>39005</v>
      </c>
      <c r="B487" t="s">
        <v>338</v>
      </c>
      <c r="C487" t="s">
        <v>82</v>
      </c>
      <c r="D487">
        <v>0</v>
      </c>
    </row>
    <row r="488" spans="1:4" x14ac:dyDescent="0.25">
      <c r="A488" s="279">
        <v>39005</v>
      </c>
      <c r="B488" t="s">
        <v>338</v>
      </c>
      <c r="C488" t="s">
        <v>84</v>
      </c>
      <c r="D488">
        <v>1070</v>
      </c>
    </row>
    <row r="489" spans="1:4" x14ac:dyDescent="0.25">
      <c r="A489" s="279">
        <v>39005</v>
      </c>
      <c r="B489" t="s">
        <v>338</v>
      </c>
      <c r="C489" t="s">
        <v>83</v>
      </c>
      <c r="D489">
        <v>0</v>
      </c>
    </row>
    <row r="490" spans="1:4" x14ac:dyDescent="0.25">
      <c r="A490" s="279">
        <v>39005</v>
      </c>
      <c r="B490" t="s">
        <v>338</v>
      </c>
      <c r="C490" t="s">
        <v>14</v>
      </c>
      <c r="D490">
        <v>1034</v>
      </c>
    </row>
    <row r="491" spans="1:4" x14ac:dyDescent="0.25">
      <c r="A491" s="279">
        <v>39005</v>
      </c>
      <c r="B491" t="s">
        <v>339</v>
      </c>
      <c r="C491" t="s">
        <v>20</v>
      </c>
      <c r="D491">
        <v>122039</v>
      </c>
    </row>
    <row r="492" spans="1:4" x14ac:dyDescent="0.25">
      <c r="A492" s="279">
        <v>39005</v>
      </c>
      <c r="B492" t="s">
        <v>339</v>
      </c>
      <c r="C492" t="s">
        <v>85</v>
      </c>
      <c r="D492">
        <v>24831</v>
      </c>
    </row>
    <row r="493" spans="1:4" x14ac:dyDescent="0.25">
      <c r="A493" s="279">
        <v>39005</v>
      </c>
      <c r="B493" t="s">
        <v>339</v>
      </c>
      <c r="C493" t="s">
        <v>86</v>
      </c>
      <c r="D493">
        <v>0</v>
      </c>
    </row>
    <row r="494" spans="1:4" x14ac:dyDescent="0.25">
      <c r="A494" s="279">
        <v>39005</v>
      </c>
      <c r="B494" t="s">
        <v>339</v>
      </c>
      <c r="C494" t="s">
        <v>87</v>
      </c>
      <c r="D494">
        <v>4504</v>
      </c>
    </row>
    <row r="495" spans="1:4" x14ac:dyDescent="0.25">
      <c r="A495" s="279">
        <v>39005</v>
      </c>
      <c r="B495" t="s">
        <v>339</v>
      </c>
      <c r="C495" t="s">
        <v>88</v>
      </c>
      <c r="D495">
        <v>0</v>
      </c>
    </row>
    <row r="496" spans="1:4" x14ac:dyDescent="0.25">
      <c r="A496" s="279">
        <v>39005</v>
      </c>
      <c r="B496" t="s">
        <v>339</v>
      </c>
      <c r="C496" t="s">
        <v>14</v>
      </c>
      <c r="D496">
        <v>1033</v>
      </c>
    </row>
    <row r="497" spans="1:4" x14ac:dyDescent="0.25">
      <c r="A497" s="279">
        <v>39006</v>
      </c>
      <c r="B497" t="s">
        <v>338</v>
      </c>
      <c r="C497" t="s">
        <v>81</v>
      </c>
      <c r="D497">
        <v>0</v>
      </c>
    </row>
    <row r="498" spans="1:4" x14ac:dyDescent="0.25">
      <c r="A498" s="279">
        <v>39006</v>
      </c>
      <c r="B498" t="s">
        <v>338</v>
      </c>
      <c r="C498" t="s">
        <v>82</v>
      </c>
      <c r="D498">
        <v>0</v>
      </c>
    </row>
    <row r="499" spans="1:4" x14ac:dyDescent="0.25">
      <c r="A499" s="279">
        <v>39006</v>
      </c>
      <c r="B499" t="s">
        <v>338</v>
      </c>
      <c r="C499" t="s">
        <v>84</v>
      </c>
      <c r="D499">
        <v>980</v>
      </c>
    </row>
    <row r="500" spans="1:4" x14ac:dyDescent="0.25">
      <c r="A500" s="279">
        <v>39006</v>
      </c>
      <c r="B500" t="s">
        <v>338</v>
      </c>
      <c r="C500" t="s">
        <v>83</v>
      </c>
      <c r="D500">
        <v>0</v>
      </c>
    </row>
    <row r="501" spans="1:4" x14ac:dyDescent="0.25">
      <c r="A501" s="279">
        <v>39006</v>
      </c>
      <c r="B501" t="s">
        <v>338</v>
      </c>
      <c r="C501" t="s">
        <v>14</v>
      </c>
      <c r="D501">
        <v>1035</v>
      </c>
    </row>
    <row r="502" spans="1:4" x14ac:dyDescent="0.25">
      <c r="A502" s="279">
        <v>39006</v>
      </c>
      <c r="B502" t="s">
        <v>339</v>
      </c>
      <c r="C502" t="s">
        <v>20</v>
      </c>
      <c r="D502">
        <v>114394</v>
      </c>
    </row>
    <row r="503" spans="1:4" x14ac:dyDescent="0.25">
      <c r="A503" s="279">
        <v>39006</v>
      </c>
      <c r="B503" t="s">
        <v>339</v>
      </c>
      <c r="C503" t="s">
        <v>85</v>
      </c>
      <c r="D503">
        <v>27329</v>
      </c>
    </row>
    <row r="504" spans="1:4" x14ac:dyDescent="0.25">
      <c r="A504" s="279">
        <v>39006</v>
      </c>
      <c r="B504" t="s">
        <v>339</v>
      </c>
      <c r="C504" t="s">
        <v>86</v>
      </c>
      <c r="D504">
        <v>0</v>
      </c>
    </row>
    <row r="505" spans="1:4" x14ac:dyDescent="0.25">
      <c r="A505" s="279">
        <v>39006</v>
      </c>
      <c r="B505" t="s">
        <v>339</v>
      </c>
      <c r="C505" t="s">
        <v>87</v>
      </c>
      <c r="D505">
        <v>4563</v>
      </c>
    </row>
    <row r="506" spans="1:4" x14ac:dyDescent="0.25">
      <c r="A506" s="279">
        <v>39006</v>
      </c>
      <c r="B506" t="s">
        <v>339</v>
      </c>
      <c r="C506" t="s">
        <v>88</v>
      </c>
      <c r="D506">
        <v>0</v>
      </c>
    </row>
    <row r="507" spans="1:4" x14ac:dyDescent="0.25">
      <c r="A507" s="279">
        <v>39006</v>
      </c>
      <c r="B507" t="s">
        <v>339</v>
      </c>
      <c r="C507" t="s">
        <v>14</v>
      </c>
      <c r="D507">
        <v>1033</v>
      </c>
    </row>
    <row r="508" spans="1:4" x14ac:dyDescent="0.25">
      <c r="A508" s="279">
        <v>39007</v>
      </c>
      <c r="B508" t="s">
        <v>338</v>
      </c>
      <c r="C508" t="s">
        <v>81</v>
      </c>
      <c r="D508">
        <v>0</v>
      </c>
    </row>
    <row r="509" spans="1:4" x14ac:dyDescent="0.25">
      <c r="A509" s="279">
        <v>39007</v>
      </c>
      <c r="B509" t="s">
        <v>338</v>
      </c>
      <c r="C509" t="s">
        <v>82</v>
      </c>
      <c r="D509">
        <v>0</v>
      </c>
    </row>
    <row r="510" spans="1:4" x14ac:dyDescent="0.25">
      <c r="A510" s="279">
        <v>39007</v>
      </c>
      <c r="B510" t="s">
        <v>338</v>
      </c>
      <c r="C510" t="s">
        <v>84</v>
      </c>
      <c r="D510">
        <v>1000</v>
      </c>
    </row>
    <row r="511" spans="1:4" x14ac:dyDescent="0.25">
      <c r="A511" s="279">
        <v>39007</v>
      </c>
      <c r="B511" t="s">
        <v>338</v>
      </c>
      <c r="C511" t="s">
        <v>83</v>
      </c>
      <c r="D511">
        <v>0</v>
      </c>
    </row>
    <row r="512" spans="1:4" x14ac:dyDescent="0.25">
      <c r="A512" s="279">
        <v>39007</v>
      </c>
      <c r="B512" t="s">
        <v>338</v>
      </c>
      <c r="C512" t="s">
        <v>14</v>
      </c>
      <c r="D512">
        <v>1033</v>
      </c>
    </row>
    <row r="513" spans="1:4" x14ac:dyDescent="0.25">
      <c r="A513" s="279">
        <v>39007</v>
      </c>
      <c r="B513" t="s">
        <v>339</v>
      </c>
      <c r="C513" t="s">
        <v>20</v>
      </c>
      <c r="D513">
        <v>106811</v>
      </c>
    </row>
    <row r="514" spans="1:4" x14ac:dyDescent="0.25">
      <c r="A514" s="279">
        <v>39007</v>
      </c>
      <c r="B514" t="s">
        <v>339</v>
      </c>
      <c r="C514" t="s">
        <v>85</v>
      </c>
      <c r="D514">
        <v>18844</v>
      </c>
    </row>
    <row r="515" spans="1:4" x14ac:dyDescent="0.25">
      <c r="A515" s="279">
        <v>39007</v>
      </c>
      <c r="B515" t="s">
        <v>339</v>
      </c>
      <c r="C515" t="s">
        <v>86</v>
      </c>
      <c r="D515">
        <v>0</v>
      </c>
    </row>
    <row r="516" spans="1:4" x14ac:dyDescent="0.25">
      <c r="A516" s="279">
        <v>39007</v>
      </c>
      <c r="B516" t="s">
        <v>339</v>
      </c>
      <c r="C516" t="s">
        <v>87</v>
      </c>
      <c r="D516">
        <v>2500</v>
      </c>
    </row>
    <row r="517" spans="1:4" x14ac:dyDescent="0.25">
      <c r="A517" s="279">
        <v>39007</v>
      </c>
      <c r="B517" t="s">
        <v>339</v>
      </c>
      <c r="C517" t="s">
        <v>88</v>
      </c>
      <c r="D517">
        <v>0</v>
      </c>
    </row>
    <row r="518" spans="1:4" x14ac:dyDescent="0.25">
      <c r="A518" s="279">
        <v>39007</v>
      </c>
      <c r="B518" t="s">
        <v>339</v>
      </c>
      <c r="C518" t="s">
        <v>14</v>
      </c>
      <c r="D518">
        <v>1033</v>
      </c>
    </row>
    <row r="519" spans="1:4" x14ac:dyDescent="0.25">
      <c r="A519" s="279">
        <v>39008</v>
      </c>
      <c r="B519" t="s">
        <v>338</v>
      </c>
      <c r="C519" t="s">
        <v>81</v>
      </c>
      <c r="D519">
        <v>0</v>
      </c>
    </row>
    <row r="520" spans="1:4" x14ac:dyDescent="0.25">
      <c r="A520" s="279">
        <v>39008</v>
      </c>
      <c r="B520" t="s">
        <v>338</v>
      </c>
      <c r="C520" t="s">
        <v>82</v>
      </c>
      <c r="D520">
        <v>0</v>
      </c>
    </row>
    <row r="521" spans="1:4" x14ac:dyDescent="0.25">
      <c r="A521" s="279">
        <v>39008</v>
      </c>
      <c r="B521" t="s">
        <v>338</v>
      </c>
      <c r="C521" t="s">
        <v>84</v>
      </c>
      <c r="D521">
        <v>550</v>
      </c>
    </row>
    <row r="522" spans="1:4" x14ac:dyDescent="0.25">
      <c r="A522" s="279">
        <v>39008</v>
      </c>
      <c r="B522" t="s">
        <v>338</v>
      </c>
      <c r="C522" t="s">
        <v>83</v>
      </c>
      <c r="D522">
        <v>0</v>
      </c>
    </row>
    <row r="523" spans="1:4" x14ac:dyDescent="0.25">
      <c r="A523" s="279">
        <v>39008</v>
      </c>
      <c r="B523" t="s">
        <v>338</v>
      </c>
      <c r="C523" t="s">
        <v>14</v>
      </c>
      <c r="D523">
        <v>1035</v>
      </c>
    </row>
    <row r="524" spans="1:4" x14ac:dyDescent="0.25">
      <c r="A524" s="279">
        <v>39008</v>
      </c>
      <c r="B524" t="s">
        <v>339</v>
      </c>
      <c r="C524" t="s">
        <v>20</v>
      </c>
      <c r="D524">
        <v>90301</v>
      </c>
    </row>
    <row r="525" spans="1:4" x14ac:dyDescent="0.25">
      <c r="A525" s="279">
        <v>39008</v>
      </c>
      <c r="B525" t="s">
        <v>339</v>
      </c>
      <c r="C525" t="s">
        <v>85</v>
      </c>
      <c r="D525">
        <v>14828</v>
      </c>
    </row>
    <row r="526" spans="1:4" x14ac:dyDescent="0.25">
      <c r="A526" s="279">
        <v>39008</v>
      </c>
      <c r="B526" t="s">
        <v>339</v>
      </c>
      <c r="C526" t="s">
        <v>86</v>
      </c>
      <c r="D526">
        <v>0</v>
      </c>
    </row>
    <row r="527" spans="1:4" x14ac:dyDescent="0.25">
      <c r="A527" s="279">
        <v>39008</v>
      </c>
      <c r="B527" t="s">
        <v>339</v>
      </c>
      <c r="C527" t="s">
        <v>87</v>
      </c>
      <c r="D527">
        <v>0</v>
      </c>
    </row>
    <row r="528" spans="1:4" x14ac:dyDescent="0.25">
      <c r="A528" s="279">
        <v>39008</v>
      </c>
      <c r="B528" t="s">
        <v>339</v>
      </c>
      <c r="C528" t="s">
        <v>88</v>
      </c>
      <c r="D528">
        <v>0</v>
      </c>
    </row>
    <row r="529" spans="1:4" x14ac:dyDescent="0.25">
      <c r="A529" s="279">
        <v>39008</v>
      </c>
      <c r="B529" t="s">
        <v>339</v>
      </c>
      <c r="C529" t="s">
        <v>14</v>
      </c>
      <c r="D529">
        <v>1034</v>
      </c>
    </row>
    <row r="530" spans="1:4" x14ac:dyDescent="0.25">
      <c r="A530" s="279">
        <v>39009</v>
      </c>
      <c r="B530" t="s">
        <v>338</v>
      </c>
      <c r="C530" t="s">
        <v>81</v>
      </c>
      <c r="D530">
        <v>0</v>
      </c>
    </row>
    <row r="531" spans="1:4" x14ac:dyDescent="0.25">
      <c r="A531" s="279">
        <v>39009</v>
      </c>
      <c r="B531" t="s">
        <v>338</v>
      </c>
      <c r="C531" t="s">
        <v>82</v>
      </c>
      <c r="D531">
        <v>0</v>
      </c>
    </row>
    <row r="532" spans="1:4" x14ac:dyDescent="0.25">
      <c r="A532" s="279">
        <v>39009</v>
      </c>
      <c r="B532" t="s">
        <v>338</v>
      </c>
      <c r="C532" t="s">
        <v>84</v>
      </c>
      <c r="D532">
        <v>560</v>
      </c>
    </row>
    <row r="533" spans="1:4" x14ac:dyDescent="0.25">
      <c r="A533" s="279">
        <v>39009</v>
      </c>
      <c r="B533" t="s">
        <v>338</v>
      </c>
      <c r="C533" t="s">
        <v>83</v>
      </c>
      <c r="D533">
        <v>0</v>
      </c>
    </row>
    <row r="534" spans="1:4" x14ac:dyDescent="0.25">
      <c r="A534" s="279">
        <v>39009</v>
      </c>
      <c r="B534" t="s">
        <v>338</v>
      </c>
      <c r="C534" t="s">
        <v>14</v>
      </c>
      <c r="D534">
        <v>1037</v>
      </c>
    </row>
    <row r="535" spans="1:4" x14ac:dyDescent="0.25">
      <c r="A535" s="279">
        <v>39009</v>
      </c>
      <c r="B535" t="s">
        <v>339</v>
      </c>
      <c r="C535" t="s">
        <v>20</v>
      </c>
      <c r="D535">
        <v>89505</v>
      </c>
    </row>
    <row r="536" spans="1:4" x14ac:dyDescent="0.25">
      <c r="A536" s="279">
        <v>39009</v>
      </c>
      <c r="B536" t="s">
        <v>339</v>
      </c>
      <c r="C536" t="s">
        <v>85</v>
      </c>
      <c r="D536">
        <v>11733</v>
      </c>
    </row>
    <row r="537" spans="1:4" x14ac:dyDescent="0.25">
      <c r="A537" s="279">
        <v>39009</v>
      </c>
      <c r="B537" t="s">
        <v>339</v>
      </c>
      <c r="C537" t="s">
        <v>86</v>
      </c>
      <c r="D537">
        <v>0</v>
      </c>
    </row>
    <row r="538" spans="1:4" x14ac:dyDescent="0.25">
      <c r="A538" s="279">
        <v>39009</v>
      </c>
      <c r="B538" t="s">
        <v>339</v>
      </c>
      <c r="C538" t="s">
        <v>87</v>
      </c>
      <c r="D538">
        <v>0</v>
      </c>
    </row>
    <row r="539" spans="1:4" x14ac:dyDescent="0.25">
      <c r="A539" s="279">
        <v>39009</v>
      </c>
      <c r="B539" t="s">
        <v>339</v>
      </c>
      <c r="C539" t="s">
        <v>88</v>
      </c>
      <c r="D539">
        <v>0</v>
      </c>
    </row>
    <row r="540" spans="1:4" x14ac:dyDescent="0.25">
      <c r="A540" s="279">
        <v>39009</v>
      </c>
      <c r="B540" t="s">
        <v>339</v>
      </c>
      <c r="C540" t="s">
        <v>14</v>
      </c>
      <c r="D540">
        <v>1033</v>
      </c>
    </row>
    <row r="541" spans="1:4" x14ac:dyDescent="0.25">
      <c r="A541" s="279">
        <v>39010</v>
      </c>
      <c r="B541" t="s">
        <v>338</v>
      </c>
      <c r="C541" t="s">
        <v>81</v>
      </c>
      <c r="D541">
        <v>0</v>
      </c>
    </row>
    <row r="542" spans="1:4" x14ac:dyDescent="0.25">
      <c r="A542" s="279">
        <v>39010</v>
      </c>
      <c r="B542" t="s">
        <v>338</v>
      </c>
      <c r="C542" t="s">
        <v>82</v>
      </c>
      <c r="D542">
        <v>3959</v>
      </c>
    </row>
    <row r="543" spans="1:4" x14ac:dyDescent="0.25">
      <c r="A543" s="279">
        <v>39010</v>
      </c>
      <c r="B543" t="s">
        <v>338</v>
      </c>
      <c r="C543" t="s">
        <v>84</v>
      </c>
      <c r="D543">
        <v>1150</v>
      </c>
    </row>
    <row r="544" spans="1:4" x14ac:dyDescent="0.25">
      <c r="A544" s="279">
        <v>39010</v>
      </c>
      <c r="B544" t="s">
        <v>338</v>
      </c>
      <c r="C544" t="s">
        <v>83</v>
      </c>
      <c r="D544">
        <v>0</v>
      </c>
    </row>
    <row r="545" spans="1:4" x14ac:dyDescent="0.25">
      <c r="A545" s="279">
        <v>39010</v>
      </c>
      <c r="B545" t="s">
        <v>338</v>
      </c>
      <c r="C545" t="s">
        <v>14</v>
      </c>
      <c r="D545">
        <v>1037</v>
      </c>
    </row>
    <row r="546" spans="1:4" x14ac:dyDescent="0.25">
      <c r="A546" s="279">
        <v>39010</v>
      </c>
      <c r="B546" t="s">
        <v>339</v>
      </c>
      <c r="C546" t="s">
        <v>20</v>
      </c>
      <c r="D546">
        <v>115937</v>
      </c>
    </row>
    <row r="547" spans="1:4" x14ac:dyDescent="0.25">
      <c r="A547" s="279">
        <v>39010</v>
      </c>
      <c r="B547" t="s">
        <v>339</v>
      </c>
      <c r="C547" t="s">
        <v>85</v>
      </c>
      <c r="D547">
        <v>18082</v>
      </c>
    </row>
    <row r="548" spans="1:4" x14ac:dyDescent="0.25">
      <c r="A548" s="279">
        <v>39010</v>
      </c>
      <c r="B548" t="s">
        <v>339</v>
      </c>
      <c r="C548" t="s">
        <v>86</v>
      </c>
      <c r="D548">
        <v>0</v>
      </c>
    </row>
    <row r="549" spans="1:4" x14ac:dyDescent="0.25">
      <c r="A549" s="279">
        <v>39010</v>
      </c>
      <c r="B549" t="s">
        <v>339</v>
      </c>
      <c r="C549" t="s">
        <v>87</v>
      </c>
      <c r="D549">
        <v>781</v>
      </c>
    </row>
    <row r="550" spans="1:4" x14ac:dyDescent="0.25">
      <c r="A550" s="279">
        <v>39010</v>
      </c>
      <c r="B550" t="s">
        <v>339</v>
      </c>
      <c r="C550" t="s">
        <v>88</v>
      </c>
      <c r="D550">
        <v>0</v>
      </c>
    </row>
    <row r="551" spans="1:4" x14ac:dyDescent="0.25">
      <c r="A551" s="279">
        <v>39010</v>
      </c>
      <c r="B551" t="s">
        <v>339</v>
      </c>
      <c r="C551" t="s">
        <v>14</v>
      </c>
      <c r="D551">
        <v>1033</v>
      </c>
    </row>
    <row r="552" spans="1:4" x14ac:dyDescent="0.25">
      <c r="A552" s="279">
        <v>39011</v>
      </c>
      <c r="B552" t="s">
        <v>338</v>
      </c>
      <c r="C552" t="s">
        <v>81</v>
      </c>
      <c r="D552">
        <v>0</v>
      </c>
    </row>
    <row r="553" spans="1:4" x14ac:dyDescent="0.25">
      <c r="A553" s="279">
        <v>39011</v>
      </c>
      <c r="B553" t="s">
        <v>338</v>
      </c>
      <c r="C553" t="s">
        <v>82</v>
      </c>
      <c r="D553">
        <v>5616</v>
      </c>
    </row>
    <row r="554" spans="1:4" x14ac:dyDescent="0.25">
      <c r="A554" s="279">
        <v>39011</v>
      </c>
      <c r="B554" t="s">
        <v>338</v>
      </c>
      <c r="C554" t="s">
        <v>84</v>
      </c>
      <c r="D554">
        <v>1140</v>
      </c>
    </row>
    <row r="555" spans="1:4" x14ac:dyDescent="0.25">
      <c r="A555" s="279">
        <v>39011</v>
      </c>
      <c r="B555" t="s">
        <v>338</v>
      </c>
      <c r="C555" t="s">
        <v>83</v>
      </c>
      <c r="D555">
        <v>0</v>
      </c>
    </row>
    <row r="556" spans="1:4" x14ac:dyDescent="0.25">
      <c r="A556" s="279">
        <v>39011</v>
      </c>
      <c r="B556" t="s">
        <v>338</v>
      </c>
      <c r="C556" t="s">
        <v>14</v>
      </c>
      <c r="D556">
        <v>1036</v>
      </c>
    </row>
    <row r="557" spans="1:4" x14ac:dyDescent="0.25">
      <c r="A557" s="279">
        <v>39011</v>
      </c>
      <c r="B557" t="s">
        <v>339</v>
      </c>
      <c r="C557" t="s">
        <v>20</v>
      </c>
      <c r="D557">
        <v>124844</v>
      </c>
    </row>
    <row r="558" spans="1:4" x14ac:dyDescent="0.25">
      <c r="A558" s="279">
        <v>39011</v>
      </c>
      <c r="B558" t="s">
        <v>339</v>
      </c>
      <c r="C558" t="s">
        <v>85</v>
      </c>
      <c r="D558">
        <v>25361</v>
      </c>
    </row>
    <row r="559" spans="1:4" x14ac:dyDescent="0.25">
      <c r="A559" s="279">
        <v>39011</v>
      </c>
      <c r="B559" t="s">
        <v>339</v>
      </c>
      <c r="C559" t="s">
        <v>86</v>
      </c>
      <c r="D559">
        <v>0</v>
      </c>
    </row>
    <row r="560" spans="1:4" x14ac:dyDescent="0.25">
      <c r="A560" s="279">
        <v>39011</v>
      </c>
      <c r="B560" t="s">
        <v>339</v>
      </c>
      <c r="C560" t="s">
        <v>87</v>
      </c>
      <c r="D560">
        <v>3817</v>
      </c>
    </row>
    <row r="561" spans="1:4" x14ac:dyDescent="0.25">
      <c r="A561" s="279">
        <v>39011</v>
      </c>
      <c r="B561" t="s">
        <v>339</v>
      </c>
      <c r="C561" t="s">
        <v>88</v>
      </c>
      <c r="D561">
        <v>0</v>
      </c>
    </row>
    <row r="562" spans="1:4" x14ac:dyDescent="0.25">
      <c r="A562" s="279">
        <v>39011</v>
      </c>
      <c r="B562" t="s">
        <v>339</v>
      </c>
      <c r="C562" t="s">
        <v>14</v>
      </c>
      <c r="D562">
        <v>1034</v>
      </c>
    </row>
    <row r="563" spans="1:4" x14ac:dyDescent="0.25">
      <c r="A563" s="279">
        <v>39012</v>
      </c>
      <c r="B563" t="s">
        <v>338</v>
      </c>
      <c r="C563" t="s">
        <v>81</v>
      </c>
      <c r="D563">
        <v>0</v>
      </c>
    </row>
    <row r="564" spans="1:4" x14ac:dyDescent="0.25">
      <c r="A564" s="279">
        <v>39012</v>
      </c>
      <c r="B564" t="s">
        <v>338</v>
      </c>
      <c r="C564" t="s">
        <v>82</v>
      </c>
      <c r="D564">
        <v>4962</v>
      </c>
    </row>
    <row r="565" spans="1:4" x14ac:dyDescent="0.25">
      <c r="A565" s="279">
        <v>39012</v>
      </c>
      <c r="B565" t="s">
        <v>338</v>
      </c>
      <c r="C565" t="s">
        <v>84</v>
      </c>
      <c r="D565">
        <v>1170</v>
      </c>
    </row>
    <row r="566" spans="1:4" x14ac:dyDescent="0.25">
      <c r="A566" s="279">
        <v>39012</v>
      </c>
      <c r="B566" t="s">
        <v>338</v>
      </c>
      <c r="C566" t="s">
        <v>83</v>
      </c>
      <c r="D566">
        <v>0</v>
      </c>
    </row>
    <row r="567" spans="1:4" x14ac:dyDescent="0.25">
      <c r="A567" s="279">
        <v>39012</v>
      </c>
      <c r="B567" t="s">
        <v>338</v>
      </c>
      <c r="C567" t="s">
        <v>14</v>
      </c>
      <c r="D567">
        <v>1036</v>
      </c>
    </row>
    <row r="568" spans="1:4" x14ac:dyDescent="0.25">
      <c r="A568" s="279">
        <v>39012</v>
      </c>
      <c r="B568" t="s">
        <v>339</v>
      </c>
      <c r="C568" t="s">
        <v>20</v>
      </c>
      <c r="D568">
        <v>119810</v>
      </c>
    </row>
    <row r="569" spans="1:4" x14ac:dyDescent="0.25">
      <c r="A569" s="279">
        <v>39012</v>
      </c>
      <c r="B569" t="s">
        <v>339</v>
      </c>
      <c r="C569" t="s">
        <v>85</v>
      </c>
      <c r="D569">
        <v>21585</v>
      </c>
    </row>
    <row r="570" spans="1:4" x14ac:dyDescent="0.25">
      <c r="A570" s="279">
        <v>39012</v>
      </c>
      <c r="B570" t="s">
        <v>339</v>
      </c>
      <c r="C570" t="s">
        <v>86</v>
      </c>
      <c r="D570">
        <v>0</v>
      </c>
    </row>
    <row r="571" spans="1:4" x14ac:dyDescent="0.25">
      <c r="A571" s="279">
        <v>39012</v>
      </c>
      <c r="B571" t="s">
        <v>339</v>
      </c>
      <c r="C571" t="s">
        <v>87</v>
      </c>
      <c r="D571">
        <v>10832</v>
      </c>
    </row>
    <row r="572" spans="1:4" x14ac:dyDescent="0.25">
      <c r="A572" s="279">
        <v>39012</v>
      </c>
      <c r="B572" t="s">
        <v>339</v>
      </c>
      <c r="C572" t="s">
        <v>88</v>
      </c>
      <c r="D572">
        <v>0</v>
      </c>
    </row>
    <row r="573" spans="1:4" x14ac:dyDescent="0.25">
      <c r="A573" s="279">
        <v>39012</v>
      </c>
      <c r="B573" t="s">
        <v>339</v>
      </c>
      <c r="C573" t="s">
        <v>14</v>
      </c>
      <c r="D573">
        <v>1036</v>
      </c>
    </row>
    <row r="574" spans="1:4" x14ac:dyDescent="0.25">
      <c r="A574" s="279">
        <v>39013</v>
      </c>
      <c r="B574" t="s">
        <v>338</v>
      </c>
      <c r="C574" t="s">
        <v>81</v>
      </c>
      <c r="D574">
        <v>0</v>
      </c>
    </row>
    <row r="575" spans="1:4" x14ac:dyDescent="0.25">
      <c r="A575" s="279">
        <v>39013</v>
      </c>
      <c r="B575" t="s">
        <v>338</v>
      </c>
      <c r="C575" t="s">
        <v>82</v>
      </c>
      <c r="D575">
        <v>22384</v>
      </c>
    </row>
    <row r="576" spans="1:4" x14ac:dyDescent="0.25">
      <c r="A576" s="279">
        <v>39013</v>
      </c>
      <c r="B576" t="s">
        <v>338</v>
      </c>
      <c r="C576" t="s">
        <v>84</v>
      </c>
      <c r="D576">
        <v>1600</v>
      </c>
    </row>
    <row r="577" spans="1:4" x14ac:dyDescent="0.25">
      <c r="A577" s="279">
        <v>39013</v>
      </c>
      <c r="B577" t="s">
        <v>338</v>
      </c>
      <c r="C577" t="s">
        <v>83</v>
      </c>
      <c r="D577">
        <v>0</v>
      </c>
    </row>
    <row r="578" spans="1:4" x14ac:dyDescent="0.25">
      <c r="A578" s="279">
        <v>39013</v>
      </c>
      <c r="B578" t="s">
        <v>338</v>
      </c>
      <c r="C578" t="s">
        <v>14</v>
      </c>
      <c r="D578">
        <v>1036</v>
      </c>
    </row>
    <row r="579" spans="1:4" x14ac:dyDescent="0.25">
      <c r="A579" s="279">
        <v>39013</v>
      </c>
      <c r="B579" t="s">
        <v>339</v>
      </c>
      <c r="C579" t="s">
        <v>20</v>
      </c>
      <c r="D579">
        <v>108443</v>
      </c>
    </row>
    <row r="580" spans="1:4" x14ac:dyDescent="0.25">
      <c r="A580" s="279">
        <v>39013</v>
      </c>
      <c r="B580" t="s">
        <v>339</v>
      </c>
      <c r="C580" t="s">
        <v>85</v>
      </c>
      <c r="D580">
        <v>41575</v>
      </c>
    </row>
    <row r="581" spans="1:4" x14ac:dyDescent="0.25">
      <c r="A581" s="279">
        <v>39013</v>
      </c>
      <c r="B581" t="s">
        <v>339</v>
      </c>
      <c r="C581" t="s">
        <v>86</v>
      </c>
      <c r="D581">
        <v>22542</v>
      </c>
    </row>
    <row r="582" spans="1:4" x14ac:dyDescent="0.25">
      <c r="A582" s="279">
        <v>39013</v>
      </c>
      <c r="B582" t="s">
        <v>339</v>
      </c>
      <c r="C582" t="s">
        <v>87</v>
      </c>
      <c r="D582">
        <v>16880</v>
      </c>
    </row>
    <row r="583" spans="1:4" x14ac:dyDescent="0.25">
      <c r="A583" s="279">
        <v>39013</v>
      </c>
      <c r="B583" t="s">
        <v>339</v>
      </c>
      <c r="C583" t="s">
        <v>88</v>
      </c>
      <c r="D583">
        <v>0</v>
      </c>
    </row>
    <row r="584" spans="1:4" x14ac:dyDescent="0.25">
      <c r="A584" s="279">
        <v>39013</v>
      </c>
      <c r="B584" t="s">
        <v>339</v>
      </c>
      <c r="C584" t="s">
        <v>14</v>
      </c>
      <c r="D584">
        <v>1035</v>
      </c>
    </row>
    <row r="585" spans="1:4" x14ac:dyDescent="0.25">
      <c r="A585" s="279">
        <v>39014</v>
      </c>
      <c r="B585" t="s">
        <v>338</v>
      </c>
      <c r="C585" t="s">
        <v>81</v>
      </c>
      <c r="D585">
        <v>18325</v>
      </c>
    </row>
    <row r="586" spans="1:4" x14ac:dyDescent="0.25">
      <c r="A586" s="279">
        <v>39014</v>
      </c>
      <c r="B586" t="s">
        <v>338</v>
      </c>
      <c r="C586" t="s">
        <v>82</v>
      </c>
      <c r="D586">
        <v>32178</v>
      </c>
    </row>
    <row r="587" spans="1:4" x14ac:dyDescent="0.25">
      <c r="A587" s="279">
        <v>39014</v>
      </c>
      <c r="B587" t="s">
        <v>338</v>
      </c>
      <c r="C587" t="s">
        <v>84</v>
      </c>
      <c r="D587">
        <v>1910</v>
      </c>
    </row>
    <row r="588" spans="1:4" x14ac:dyDescent="0.25">
      <c r="A588" s="279">
        <v>39014</v>
      </c>
      <c r="B588" t="s">
        <v>338</v>
      </c>
      <c r="C588" t="s">
        <v>83</v>
      </c>
      <c r="D588">
        <v>0</v>
      </c>
    </row>
    <row r="589" spans="1:4" x14ac:dyDescent="0.25">
      <c r="A589" s="279">
        <v>39014</v>
      </c>
      <c r="B589" t="s">
        <v>338</v>
      </c>
      <c r="C589" t="s">
        <v>14</v>
      </c>
      <c r="D589">
        <v>1038</v>
      </c>
    </row>
    <row r="590" spans="1:4" x14ac:dyDescent="0.25">
      <c r="A590" s="279">
        <v>39014</v>
      </c>
      <c r="B590" t="s">
        <v>339</v>
      </c>
      <c r="C590" t="s">
        <v>20</v>
      </c>
      <c r="D590">
        <v>121087</v>
      </c>
    </row>
    <row r="591" spans="1:4" x14ac:dyDescent="0.25">
      <c r="A591" s="279">
        <v>39014</v>
      </c>
      <c r="B591" t="s">
        <v>339</v>
      </c>
      <c r="C591" t="s">
        <v>85</v>
      </c>
      <c r="D591">
        <v>30761</v>
      </c>
    </row>
    <row r="592" spans="1:4" x14ac:dyDescent="0.25">
      <c r="A592" s="279">
        <v>39014</v>
      </c>
      <c r="B592" t="s">
        <v>339</v>
      </c>
      <c r="C592" t="s">
        <v>86</v>
      </c>
      <c r="D592">
        <v>23251</v>
      </c>
    </row>
    <row r="593" spans="1:4" x14ac:dyDescent="0.25">
      <c r="A593" s="279">
        <v>39014</v>
      </c>
      <c r="B593" t="s">
        <v>339</v>
      </c>
      <c r="C593" t="s">
        <v>87</v>
      </c>
      <c r="D593">
        <v>18122</v>
      </c>
    </row>
    <row r="594" spans="1:4" x14ac:dyDescent="0.25">
      <c r="A594" s="279">
        <v>39014</v>
      </c>
      <c r="B594" t="s">
        <v>339</v>
      </c>
      <c r="C594" t="s">
        <v>88</v>
      </c>
      <c r="D594">
        <v>0</v>
      </c>
    </row>
    <row r="595" spans="1:4" x14ac:dyDescent="0.25">
      <c r="A595" s="279">
        <v>39014</v>
      </c>
      <c r="B595" t="s">
        <v>339</v>
      </c>
      <c r="C595" t="s">
        <v>14</v>
      </c>
      <c r="D595">
        <v>1034</v>
      </c>
    </row>
    <row r="596" spans="1:4" x14ac:dyDescent="0.25">
      <c r="A596" s="279">
        <v>39015</v>
      </c>
      <c r="B596" t="s">
        <v>338</v>
      </c>
      <c r="C596" t="s">
        <v>81</v>
      </c>
      <c r="D596">
        <v>29805</v>
      </c>
    </row>
    <row r="597" spans="1:4" x14ac:dyDescent="0.25">
      <c r="A597" s="279">
        <v>39015</v>
      </c>
      <c r="B597" t="s">
        <v>338</v>
      </c>
      <c r="C597" t="s">
        <v>82</v>
      </c>
      <c r="D597">
        <v>29367</v>
      </c>
    </row>
    <row r="598" spans="1:4" x14ac:dyDescent="0.25">
      <c r="A598" s="279">
        <v>39015</v>
      </c>
      <c r="B598" t="s">
        <v>338</v>
      </c>
      <c r="C598" t="s">
        <v>84</v>
      </c>
      <c r="D598">
        <v>1930</v>
      </c>
    </row>
    <row r="599" spans="1:4" x14ac:dyDescent="0.25">
      <c r="A599" s="279">
        <v>39015</v>
      </c>
      <c r="B599" t="s">
        <v>338</v>
      </c>
      <c r="C599" t="s">
        <v>83</v>
      </c>
      <c r="D599">
        <v>0</v>
      </c>
    </row>
    <row r="600" spans="1:4" x14ac:dyDescent="0.25">
      <c r="A600" s="279">
        <v>39015</v>
      </c>
      <c r="B600" t="s">
        <v>338</v>
      </c>
      <c r="C600" t="s">
        <v>14</v>
      </c>
      <c r="D600">
        <v>1039</v>
      </c>
    </row>
    <row r="601" spans="1:4" x14ac:dyDescent="0.25">
      <c r="A601" s="279">
        <v>39015</v>
      </c>
      <c r="B601" t="s">
        <v>339</v>
      </c>
      <c r="C601" t="s">
        <v>20</v>
      </c>
      <c r="D601">
        <v>120208</v>
      </c>
    </row>
    <row r="602" spans="1:4" x14ac:dyDescent="0.25">
      <c r="A602" s="279">
        <v>39015</v>
      </c>
      <c r="B602" t="s">
        <v>339</v>
      </c>
      <c r="C602" t="s">
        <v>85</v>
      </c>
      <c r="D602">
        <v>25706</v>
      </c>
    </row>
    <row r="603" spans="1:4" x14ac:dyDescent="0.25">
      <c r="A603" s="279">
        <v>39015</v>
      </c>
      <c r="B603" t="s">
        <v>339</v>
      </c>
      <c r="C603" t="s">
        <v>86</v>
      </c>
      <c r="D603">
        <v>23676</v>
      </c>
    </row>
    <row r="604" spans="1:4" x14ac:dyDescent="0.25">
      <c r="A604" s="279">
        <v>39015</v>
      </c>
      <c r="B604" t="s">
        <v>339</v>
      </c>
      <c r="C604" t="s">
        <v>87</v>
      </c>
      <c r="D604">
        <v>10410</v>
      </c>
    </row>
    <row r="605" spans="1:4" x14ac:dyDescent="0.25">
      <c r="A605" s="279">
        <v>39015</v>
      </c>
      <c r="B605" t="s">
        <v>339</v>
      </c>
      <c r="C605" t="s">
        <v>88</v>
      </c>
      <c r="D605">
        <v>0</v>
      </c>
    </row>
    <row r="606" spans="1:4" x14ac:dyDescent="0.25">
      <c r="A606" s="279">
        <v>39015</v>
      </c>
      <c r="B606" t="s">
        <v>339</v>
      </c>
      <c r="C606" t="s">
        <v>14</v>
      </c>
      <c r="D606">
        <v>1034</v>
      </c>
    </row>
    <row r="607" spans="1:4" x14ac:dyDescent="0.25">
      <c r="A607" s="279">
        <v>39016</v>
      </c>
      <c r="B607" t="s">
        <v>338</v>
      </c>
      <c r="C607" t="s">
        <v>81</v>
      </c>
      <c r="D607">
        <v>31136</v>
      </c>
    </row>
    <row r="608" spans="1:4" x14ac:dyDescent="0.25">
      <c r="A608" s="279">
        <v>39016</v>
      </c>
      <c r="B608" t="s">
        <v>338</v>
      </c>
      <c r="C608" t="s">
        <v>82</v>
      </c>
      <c r="D608">
        <v>48932</v>
      </c>
    </row>
    <row r="609" spans="1:4" x14ac:dyDescent="0.25">
      <c r="A609" s="279">
        <v>39016</v>
      </c>
      <c r="B609" t="s">
        <v>338</v>
      </c>
      <c r="C609" t="s">
        <v>84</v>
      </c>
      <c r="D609">
        <v>1870</v>
      </c>
    </row>
    <row r="610" spans="1:4" x14ac:dyDescent="0.25">
      <c r="A610" s="279">
        <v>39016</v>
      </c>
      <c r="B610" t="s">
        <v>338</v>
      </c>
      <c r="C610" t="s">
        <v>83</v>
      </c>
      <c r="D610">
        <v>0</v>
      </c>
    </row>
    <row r="611" spans="1:4" x14ac:dyDescent="0.25">
      <c r="A611" s="279">
        <v>39016</v>
      </c>
      <c r="B611" t="s">
        <v>338</v>
      </c>
      <c r="C611" t="s">
        <v>14</v>
      </c>
      <c r="D611">
        <v>1037</v>
      </c>
    </row>
    <row r="612" spans="1:4" x14ac:dyDescent="0.25">
      <c r="A612" s="279">
        <v>39016</v>
      </c>
      <c r="B612" t="s">
        <v>339</v>
      </c>
      <c r="C612" t="s">
        <v>20</v>
      </c>
      <c r="D612">
        <v>127356</v>
      </c>
    </row>
    <row r="613" spans="1:4" x14ac:dyDescent="0.25">
      <c r="A613" s="279">
        <v>39016</v>
      </c>
      <c r="B613" t="s">
        <v>339</v>
      </c>
      <c r="C613" t="s">
        <v>85</v>
      </c>
      <c r="D613">
        <v>28923</v>
      </c>
    </row>
    <row r="614" spans="1:4" x14ac:dyDescent="0.25">
      <c r="A614" s="279">
        <v>39016</v>
      </c>
      <c r="B614" t="s">
        <v>339</v>
      </c>
      <c r="C614" t="s">
        <v>86</v>
      </c>
      <c r="D614">
        <v>18320</v>
      </c>
    </row>
    <row r="615" spans="1:4" x14ac:dyDescent="0.25">
      <c r="A615" s="279">
        <v>39016</v>
      </c>
      <c r="B615" t="s">
        <v>339</v>
      </c>
      <c r="C615" t="s">
        <v>87</v>
      </c>
      <c r="D615">
        <v>0</v>
      </c>
    </row>
    <row r="616" spans="1:4" x14ac:dyDescent="0.25">
      <c r="A616" s="279">
        <v>39016</v>
      </c>
      <c r="B616" t="s">
        <v>339</v>
      </c>
      <c r="C616" t="s">
        <v>88</v>
      </c>
      <c r="D616">
        <v>0</v>
      </c>
    </row>
    <row r="617" spans="1:4" x14ac:dyDescent="0.25">
      <c r="A617" s="279">
        <v>39016</v>
      </c>
      <c r="B617" t="s">
        <v>339</v>
      </c>
      <c r="C617" t="s">
        <v>14</v>
      </c>
      <c r="D617">
        <v>1034</v>
      </c>
    </row>
    <row r="618" spans="1:4" x14ac:dyDescent="0.25">
      <c r="A618" s="279">
        <v>39017</v>
      </c>
      <c r="B618" t="s">
        <v>338</v>
      </c>
      <c r="C618" t="s">
        <v>81</v>
      </c>
      <c r="D618">
        <v>26142</v>
      </c>
    </row>
    <row r="619" spans="1:4" x14ac:dyDescent="0.25">
      <c r="A619" s="279">
        <v>39017</v>
      </c>
      <c r="B619" t="s">
        <v>338</v>
      </c>
      <c r="C619" t="s">
        <v>82</v>
      </c>
      <c r="D619">
        <v>28745</v>
      </c>
    </row>
    <row r="620" spans="1:4" x14ac:dyDescent="0.25">
      <c r="A620" s="279">
        <v>39017</v>
      </c>
      <c r="B620" t="s">
        <v>338</v>
      </c>
      <c r="C620" t="s">
        <v>84</v>
      </c>
      <c r="D620">
        <v>1790</v>
      </c>
    </row>
    <row r="621" spans="1:4" x14ac:dyDescent="0.25">
      <c r="A621" s="279">
        <v>39017</v>
      </c>
      <c r="B621" t="s">
        <v>338</v>
      </c>
      <c r="C621" t="s">
        <v>83</v>
      </c>
      <c r="D621">
        <v>0</v>
      </c>
    </row>
    <row r="622" spans="1:4" x14ac:dyDescent="0.25">
      <c r="A622" s="279">
        <v>39017</v>
      </c>
      <c r="B622" t="s">
        <v>338</v>
      </c>
      <c r="C622" t="s">
        <v>14</v>
      </c>
      <c r="D622">
        <v>1034</v>
      </c>
    </row>
    <row r="623" spans="1:4" x14ac:dyDescent="0.25">
      <c r="A623" s="279">
        <v>39017</v>
      </c>
      <c r="B623" t="s">
        <v>339</v>
      </c>
      <c r="C623" t="s">
        <v>20</v>
      </c>
      <c r="D623">
        <v>115346</v>
      </c>
    </row>
    <row r="624" spans="1:4" x14ac:dyDescent="0.25">
      <c r="A624" s="279">
        <v>39017</v>
      </c>
      <c r="B624" t="s">
        <v>339</v>
      </c>
      <c r="C624" t="s">
        <v>85</v>
      </c>
      <c r="D624">
        <v>24557</v>
      </c>
    </row>
    <row r="625" spans="1:4" x14ac:dyDescent="0.25">
      <c r="A625" s="279">
        <v>39017</v>
      </c>
      <c r="B625" t="s">
        <v>339</v>
      </c>
      <c r="C625" t="s">
        <v>86</v>
      </c>
      <c r="D625">
        <v>23729</v>
      </c>
    </row>
    <row r="626" spans="1:4" x14ac:dyDescent="0.25">
      <c r="A626" s="279">
        <v>39017</v>
      </c>
      <c r="B626" t="s">
        <v>339</v>
      </c>
      <c r="C626" t="s">
        <v>87</v>
      </c>
      <c r="D626">
        <v>0</v>
      </c>
    </row>
    <row r="627" spans="1:4" x14ac:dyDescent="0.25">
      <c r="A627" s="279">
        <v>39017</v>
      </c>
      <c r="B627" t="s">
        <v>339</v>
      </c>
      <c r="C627" t="s">
        <v>88</v>
      </c>
      <c r="D627">
        <v>0</v>
      </c>
    </row>
    <row r="628" spans="1:4" x14ac:dyDescent="0.25">
      <c r="A628" s="279">
        <v>39017</v>
      </c>
      <c r="B628" t="s">
        <v>339</v>
      </c>
      <c r="C628" t="s">
        <v>14</v>
      </c>
      <c r="D628">
        <v>1036</v>
      </c>
    </row>
    <row r="629" spans="1:4" x14ac:dyDescent="0.25">
      <c r="A629" s="279">
        <v>39018</v>
      </c>
      <c r="B629" t="s">
        <v>338</v>
      </c>
      <c r="C629" t="s">
        <v>81</v>
      </c>
      <c r="D629">
        <v>14883</v>
      </c>
    </row>
    <row r="630" spans="1:4" x14ac:dyDescent="0.25">
      <c r="A630" s="279">
        <v>39018</v>
      </c>
      <c r="B630" t="s">
        <v>338</v>
      </c>
      <c r="C630" t="s">
        <v>82</v>
      </c>
      <c r="D630">
        <v>24035</v>
      </c>
    </row>
    <row r="631" spans="1:4" x14ac:dyDescent="0.25">
      <c r="A631" s="279">
        <v>39018</v>
      </c>
      <c r="B631" t="s">
        <v>338</v>
      </c>
      <c r="C631" t="s">
        <v>84</v>
      </c>
      <c r="D631">
        <v>1700</v>
      </c>
    </row>
    <row r="632" spans="1:4" x14ac:dyDescent="0.25">
      <c r="A632" s="279">
        <v>39018</v>
      </c>
      <c r="B632" t="s">
        <v>338</v>
      </c>
      <c r="C632" t="s">
        <v>83</v>
      </c>
      <c r="D632">
        <v>0</v>
      </c>
    </row>
    <row r="633" spans="1:4" x14ac:dyDescent="0.25">
      <c r="A633" s="279">
        <v>39018</v>
      </c>
      <c r="B633" t="s">
        <v>338</v>
      </c>
      <c r="C633" t="s">
        <v>14</v>
      </c>
      <c r="D633">
        <v>1034</v>
      </c>
    </row>
    <row r="634" spans="1:4" x14ac:dyDescent="0.25">
      <c r="A634" s="279">
        <v>39018</v>
      </c>
      <c r="B634" t="s">
        <v>339</v>
      </c>
      <c r="C634" t="s">
        <v>20</v>
      </c>
      <c r="D634">
        <v>114627</v>
      </c>
    </row>
    <row r="635" spans="1:4" x14ac:dyDescent="0.25">
      <c r="A635" s="279">
        <v>39018</v>
      </c>
      <c r="B635" t="s">
        <v>339</v>
      </c>
      <c r="C635" t="s">
        <v>85</v>
      </c>
      <c r="D635">
        <v>22530</v>
      </c>
    </row>
    <row r="636" spans="1:4" x14ac:dyDescent="0.25">
      <c r="A636" s="279">
        <v>39018</v>
      </c>
      <c r="B636" t="s">
        <v>339</v>
      </c>
      <c r="C636" t="s">
        <v>86</v>
      </c>
      <c r="D636">
        <v>29353</v>
      </c>
    </row>
    <row r="637" spans="1:4" x14ac:dyDescent="0.25">
      <c r="A637" s="279">
        <v>39018</v>
      </c>
      <c r="B637" t="s">
        <v>339</v>
      </c>
      <c r="C637" t="s">
        <v>87</v>
      </c>
      <c r="D637">
        <v>0</v>
      </c>
    </row>
    <row r="638" spans="1:4" x14ac:dyDescent="0.25">
      <c r="A638" s="279">
        <v>39018</v>
      </c>
      <c r="B638" t="s">
        <v>339</v>
      </c>
      <c r="C638" t="s">
        <v>88</v>
      </c>
      <c r="D638">
        <v>0</v>
      </c>
    </row>
    <row r="639" spans="1:4" x14ac:dyDescent="0.25">
      <c r="A639" s="279">
        <v>39018</v>
      </c>
      <c r="B639" t="s">
        <v>339</v>
      </c>
      <c r="C639" t="s">
        <v>14</v>
      </c>
      <c r="D639">
        <v>1036</v>
      </c>
    </row>
    <row r="640" spans="1:4" x14ac:dyDescent="0.25">
      <c r="A640" s="279">
        <v>39019</v>
      </c>
      <c r="B640" t="s">
        <v>338</v>
      </c>
      <c r="C640" t="s">
        <v>81</v>
      </c>
      <c r="D640">
        <v>28142</v>
      </c>
    </row>
    <row r="641" spans="1:4" x14ac:dyDescent="0.25">
      <c r="A641" s="279">
        <v>39019</v>
      </c>
      <c r="B641" t="s">
        <v>338</v>
      </c>
      <c r="C641" t="s">
        <v>82</v>
      </c>
      <c r="D641">
        <v>37216</v>
      </c>
    </row>
    <row r="642" spans="1:4" x14ac:dyDescent="0.25">
      <c r="A642" s="279">
        <v>39019</v>
      </c>
      <c r="B642" t="s">
        <v>338</v>
      </c>
      <c r="C642" t="s">
        <v>84</v>
      </c>
      <c r="D642">
        <v>1770</v>
      </c>
    </row>
    <row r="643" spans="1:4" x14ac:dyDescent="0.25">
      <c r="A643" s="279">
        <v>39019</v>
      </c>
      <c r="B643" t="s">
        <v>338</v>
      </c>
      <c r="C643" t="s">
        <v>83</v>
      </c>
      <c r="D643">
        <v>0</v>
      </c>
    </row>
    <row r="644" spans="1:4" x14ac:dyDescent="0.25">
      <c r="A644" s="279">
        <v>39019</v>
      </c>
      <c r="B644" t="s">
        <v>338</v>
      </c>
      <c r="C644" t="s">
        <v>14</v>
      </c>
      <c r="D644">
        <v>1034</v>
      </c>
    </row>
    <row r="645" spans="1:4" x14ac:dyDescent="0.25">
      <c r="A645" s="279">
        <v>39019</v>
      </c>
      <c r="B645" t="s">
        <v>339</v>
      </c>
      <c r="C645" t="s">
        <v>20</v>
      </c>
      <c r="D645">
        <v>129141</v>
      </c>
    </row>
    <row r="646" spans="1:4" x14ac:dyDescent="0.25">
      <c r="A646" s="279">
        <v>39019</v>
      </c>
      <c r="B646" t="s">
        <v>339</v>
      </c>
      <c r="C646" t="s">
        <v>85</v>
      </c>
      <c r="D646">
        <v>21422</v>
      </c>
    </row>
    <row r="647" spans="1:4" x14ac:dyDescent="0.25">
      <c r="A647" s="279">
        <v>39019</v>
      </c>
      <c r="B647" t="s">
        <v>339</v>
      </c>
      <c r="C647" t="s">
        <v>86</v>
      </c>
      <c r="D647">
        <v>22938</v>
      </c>
    </row>
    <row r="648" spans="1:4" x14ac:dyDescent="0.25">
      <c r="A648" s="279">
        <v>39019</v>
      </c>
      <c r="B648" t="s">
        <v>339</v>
      </c>
      <c r="C648" t="s">
        <v>87</v>
      </c>
      <c r="D648">
        <v>0</v>
      </c>
    </row>
    <row r="649" spans="1:4" x14ac:dyDescent="0.25">
      <c r="A649" s="279">
        <v>39019</v>
      </c>
      <c r="B649" t="s">
        <v>339</v>
      </c>
      <c r="C649" t="s">
        <v>88</v>
      </c>
      <c r="D649">
        <v>0</v>
      </c>
    </row>
    <row r="650" spans="1:4" x14ac:dyDescent="0.25">
      <c r="A650" s="279">
        <v>39019</v>
      </c>
      <c r="B650" t="s">
        <v>339</v>
      </c>
      <c r="C650" t="s">
        <v>14</v>
      </c>
      <c r="D650">
        <v>1035</v>
      </c>
    </row>
    <row r="651" spans="1:4" x14ac:dyDescent="0.25">
      <c r="A651" s="279">
        <v>39020</v>
      </c>
      <c r="B651" t="s">
        <v>338</v>
      </c>
      <c r="C651" t="s">
        <v>81</v>
      </c>
      <c r="D651">
        <v>1111</v>
      </c>
    </row>
    <row r="652" spans="1:4" x14ac:dyDescent="0.25">
      <c r="A652" s="279">
        <v>39020</v>
      </c>
      <c r="B652" t="s">
        <v>338</v>
      </c>
      <c r="C652" t="s">
        <v>82</v>
      </c>
      <c r="D652">
        <v>31076</v>
      </c>
    </row>
    <row r="653" spans="1:4" x14ac:dyDescent="0.25">
      <c r="A653" s="279">
        <v>39020</v>
      </c>
      <c r="B653" t="s">
        <v>338</v>
      </c>
      <c r="C653" t="s">
        <v>84</v>
      </c>
      <c r="D653">
        <v>1500</v>
      </c>
    </row>
    <row r="654" spans="1:4" x14ac:dyDescent="0.25">
      <c r="A654" s="279">
        <v>39020</v>
      </c>
      <c r="B654" t="s">
        <v>338</v>
      </c>
      <c r="C654" t="s">
        <v>83</v>
      </c>
      <c r="D654">
        <v>0</v>
      </c>
    </row>
    <row r="655" spans="1:4" x14ac:dyDescent="0.25">
      <c r="A655" s="279">
        <v>39020</v>
      </c>
      <c r="B655" t="s">
        <v>338</v>
      </c>
      <c r="C655" t="s">
        <v>14</v>
      </c>
      <c r="D655">
        <v>1034</v>
      </c>
    </row>
    <row r="656" spans="1:4" x14ac:dyDescent="0.25">
      <c r="A656" s="279">
        <v>39020</v>
      </c>
      <c r="B656" t="s">
        <v>339</v>
      </c>
      <c r="C656" t="s">
        <v>20</v>
      </c>
      <c r="D656">
        <v>110508</v>
      </c>
    </row>
    <row r="657" spans="1:4" x14ac:dyDescent="0.25">
      <c r="A657" s="279">
        <v>39020</v>
      </c>
      <c r="B657" t="s">
        <v>339</v>
      </c>
      <c r="C657" t="s">
        <v>85</v>
      </c>
      <c r="D657">
        <v>24998</v>
      </c>
    </row>
    <row r="658" spans="1:4" x14ac:dyDescent="0.25">
      <c r="A658" s="279">
        <v>39020</v>
      </c>
      <c r="B658" t="s">
        <v>339</v>
      </c>
      <c r="C658" t="s">
        <v>86</v>
      </c>
      <c r="D658">
        <v>16016</v>
      </c>
    </row>
    <row r="659" spans="1:4" x14ac:dyDescent="0.25">
      <c r="A659" s="279">
        <v>39020</v>
      </c>
      <c r="B659" t="s">
        <v>339</v>
      </c>
      <c r="C659" t="s">
        <v>87</v>
      </c>
      <c r="D659">
        <v>0</v>
      </c>
    </row>
    <row r="660" spans="1:4" x14ac:dyDescent="0.25">
      <c r="A660" s="279">
        <v>39020</v>
      </c>
      <c r="B660" t="s">
        <v>339</v>
      </c>
      <c r="C660" t="s">
        <v>88</v>
      </c>
      <c r="D660">
        <v>0</v>
      </c>
    </row>
    <row r="661" spans="1:4" x14ac:dyDescent="0.25">
      <c r="A661" s="279">
        <v>39020</v>
      </c>
      <c r="B661" t="s">
        <v>339</v>
      </c>
      <c r="C661" t="s">
        <v>14</v>
      </c>
      <c r="D661">
        <v>1035</v>
      </c>
    </row>
    <row r="662" spans="1:4" x14ac:dyDescent="0.25">
      <c r="A662" s="279">
        <v>39021</v>
      </c>
      <c r="B662" t="s">
        <v>338</v>
      </c>
      <c r="C662" t="s">
        <v>81</v>
      </c>
      <c r="D662">
        <v>0</v>
      </c>
    </row>
    <row r="663" spans="1:4" x14ac:dyDescent="0.25">
      <c r="A663" s="279">
        <v>39021</v>
      </c>
      <c r="B663" t="s">
        <v>338</v>
      </c>
      <c r="C663" t="s">
        <v>82</v>
      </c>
      <c r="D663">
        <v>758</v>
      </c>
    </row>
    <row r="664" spans="1:4" x14ac:dyDescent="0.25">
      <c r="A664" s="279">
        <v>39021</v>
      </c>
      <c r="B664" t="s">
        <v>338</v>
      </c>
      <c r="C664" t="s">
        <v>84</v>
      </c>
      <c r="D664">
        <v>1080</v>
      </c>
    </row>
    <row r="665" spans="1:4" x14ac:dyDescent="0.25">
      <c r="A665" s="279">
        <v>39021</v>
      </c>
      <c r="B665" t="s">
        <v>338</v>
      </c>
      <c r="C665" t="s">
        <v>83</v>
      </c>
      <c r="D665">
        <v>0</v>
      </c>
    </row>
    <row r="666" spans="1:4" x14ac:dyDescent="0.25">
      <c r="A666" s="279">
        <v>39021</v>
      </c>
      <c r="B666" t="s">
        <v>338</v>
      </c>
      <c r="C666" t="s">
        <v>14</v>
      </c>
      <c r="D666">
        <v>1034</v>
      </c>
    </row>
    <row r="667" spans="1:4" x14ac:dyDescent="0.25">
      <c r="A667" s="279">
        <v>39021</v>
      </c>
      <c r="B667" t="s">
        <v>339</v>
      </c>
      <c r="C667" t="s">
        <v>20</v>
      </c>
      <c r="D667">
        <v>81177</v>
      </c>
    </row>
    <row r="668" spans="1:4" x14ac:dyDescent="0.25">
      <c r="A668" s="279">
        <v>39021</v>
      </c>
      <c r="B668" t="s">
        <v>339</v>
      </c>
      <c r="C668" t="s">
        <v>85</v>
      </c>
      <c r="D668">
        <v>20766</v>
      </c>
    </row>
    <row r="669" spans="1:4" x14ac:dyDescent="0.25">
      <c r="A669" s="279">
        <v>39021</v>
      </c>
      <c r="B669" t="s">
        <v>339</v>
      </c>
      <c r="C669" t="s">
        <v>86</v>
      </c>
      <c r="D669">
        <v>25820</v>
      </c>
    </row>
    <row r="670" spans="1:4" x14ac:dyDescent="0.25">
      <c r="A670" s="279">
        <v>39021</v>
      </c>
      <c r="B670" t="s">
        <v>339</v>
      </c>
      <c r="C670" t="s">
        <v>87</v>
      </c>
      <c r="D670">
        <v>0</v>
      </c>
    </row>
    <row r="671" spans="1:4" x14ac:dyDescent="0.25">
      <c r="A671" s="279">
        <v>39021</v>
      </c>
      <c r="B671" t="s">
        <v>339</v>
      </c>
      <c r="C671" t="s">
        <v>88</v>
      </c>
      <c r="D671">
        <v>0</v>
      </c>
    </row>
    <row r="672" spans="1:4" x14ac:dyDescent="0.25">
      <c r="A672" s="279">
        <v>39021</v>
      </c>
      <c r="B672" t="s">
        <v>339</v>
      </c>
      <c r="C672" t="s">
        <v>14</v>
      </c>
      <c r="D672">
        <v>1035</v>
      </c>
    </row>
    <row r="673" spans="1:4" x14ac:dyDescent="0.25">
      <c r="A673" s="279">
        <v>39022</v>
      </c>
      <c r="B673" t="s">
        <v>338</v>
      </c>
      <c r="C673" t="s">
        <v>81</v>
      </c>
      <c r="D673">
        <v>0</v>
      </c>
    </row>
    <row r="674" spans="1:4" x14ac:dyDescent="0.25">
      <c r="A674" s="279">
        <v>39022</v>
      </c>
      <c r="B674" t="s">
        <v>338</v>
      </c>
      <c r="C674" t="s">
        <v>82</v>
      </c>
      <c r="D674">
        <v>29555</v>
      </c>
    </row>
    <row r="675" spans="1:4" x14ac:dyDescent="0.25">
      <c r="A675" s="279">
        <v>39022</v>
      </c>
      <c r="B675" t="s">
        <v>338</v>
      </c>
      <c r="C675" t="s">
        <v>84</v>
      </c>
      <c r="D675">
        <v>1020</v>
      </c>
    </row>
    <row r="676" spans="1:4" x14ac:dyDescent="0.25">
      <c r="A676" s="279">
        <v>39022</v>
      </c>
      <c r="B676" t="s">
        <v>338</v>
      </c>
      <c r="C676" t="s">
        <v>83</v>
      </c>
      <c r="D676">
        <v>0</v>
      </c>
    </row>
    <row r="677" spans="1:4" x14ac:dyDescent="0.25">
      <c r="A677" s="279">
        <v>39022</v>
      </c>
      <c r="B677" t="s">
        <v>338</v>
      </c>
      <c r="C677" t="s">
        <v>14</v>
      </c>
      <c r="D677">
        <v>1035</v>
      </c>
    </row>
    <row r="678" spans="1:4" x14ac:dyDescent="0.25">
      <c r="A678" s="279">
        <v>39022</v>
      </c>
      <c r="B678" t="s">
        <v>339</v>
      </c>
      <c r="C678" t="s">
        <v>20</v>
      </c>
      <c r="D678">
        <v>57991</v>
      </c>
    </row>
    <row r="679" spans="1:4" x14ac:dyDescent="0.25">
      <c r="A679" s="279">
        <v>39022</v>
      </c>
      <c r="B679" t="s">
        <v>339</v>
      </c>
      <c r="C679" t="s">
        <v>85</v>
      </c>
      <c r="D679">
        <v>27618</v>
      </c>
    </row>
    <row r="680" spans="1:4" x14ac:dyDescent="0.25">
      <c r="A680" s="279">
        <v>39022</v>
      </c>
      <c r="B680" t="s">
        <v>339</v>
      </c>
      <c r="C680" t="s">
        <v>86</v>
      </c>
      <c r="D680">
        <v>2746</v>
      </c>
    </row>
    <row r="681" spans="1:4" x14ac:dyDescent="0.25">
      <c r="A681" s="279">
        <v>39022</v>
      </c>
      <c r="B681" t="s">
        <v>339</v>
      </c>
      <c r="C681" t="s">
        <v>87</v>
      </c>
      <c r="D681">
        <v>0</v>
      </c>
    </row>
    <row r="682" spans="1:4" x14ac:dyDescent="0.25">
      <c r="A682" s="279">
        <v>39022</v>
      </c>
      <c r="B682" t="s">
        <v>339</v>
      </c>
      <c r="C682" t="s">
        <v>88</v>
      </c>
      <c r="D682">
        <v>0</v>
      </c>
    </row>
    <row r="683" spans="1:4" x14ac:dyDescent="0.25">
      <c r="A683" s="279">
        <v>39022</v>
      </c>
      <c r="B683" t="s">
        <v>339</v>
      </c>
      <c r="C683" t="s">
        <v>14</v>
      </c>
      <c r="D683">
        <v>1035</v>
      </c>
    </row>
    <row r="684" spans="1:4" x14ac:dyDescent="0.25">
      <c r="A684" s="279">
        <v>39023</v>
      </c>
      <c r="B684" t="s">
        <v>338</v>
      </c>
      <c r="C684" t="s">
        <v>81</v>
      </c>
      <c r="D684">
        <v>16680</v>
      </c>
    </row>
    <row r="685" spans="1:4" x14ac:dyDescent="0.25">
      <c r="A685" s="279">
        <v>39023</v>
      </c>
      <c r="B685" t="s">
        <v>338</v>
      </c>
      <c r="C685" t="s">
        <v>82</v>
      </c>
      <c r="D685">
        <v>60208</v>
      </c>
    </row>
    <row r="686" spans="1:4" x14ac:dyDescent="0.25">
      <c r="A686" s="279">
        <v>39023</v>
      </c>
      <c r="B686" t="s">
        <v>338</v>
      </c>
      <c r="C686" t="s">
        <v>84</v>
      </c>
      <c r="D686">
        <v>1760</v>
      </c>
    </row>
    <row r="687" spans="1:4" x14ac:dyDescent="0.25">
      <c r="A687" s="279">
        <v>39023</v>
      </c>
      <c r="B687" t="s">
        <v>338</v>
      </c>
      <c r="C687" t="s">
        <v>83</v>
      </c>
      <c r="D687">
        <v>0</v>
      </c>
    </row>
    <row r="688" spans="1:4" x14ac:dyDescent="0.25">
      <c r="A688" s="279">
        <v>39023</v>
      </c>
      <c r="B688" t="s">
        <v>338</v>
      </c>
      <c r="C688" t="s">
        <v>14</v>
      </c>
      <c r="D688">
        <v>1035</v>
      </c>
    </row>
    <row r="689" spans="1:4" x14ac:dyDescent="0.25">
      <c r="A689" s="279">
        <v>39023</v>
      </c>
      <c r="B689" t="s">
        <v>339</v>
      </c>
      <c r="C689" t="s">
        <v>20</v>
      </c>
      <c r="D689">
        <v>67004</v>
      </c>
    </row>
    <row r="690" spans="1:4" x14ac:dyDescent="0.25">
      <c r="A690" s="279">
        <v>39023</v>
      </c>
      <c r="B690" t="s">
        <v>339</v>
      </c>
      <c r="C690" t="s">
        <v>85</v>
      </c>
      <c r="D690">
        <v>46847</v>
      </c>
    </row>
    <row r="691" spans="1:4" x14ac:dyDescent="0.25">
      <c r="A691" s="279">
        <v>39023</v>
      </c>
      <c r="B691" t="s">
        <v>339</v>
      </c>
      <c r="C691" t="s">
        <v>86</v>
      </c>
      <c r="D691">
        <v>14352</v>
      </c>
    </row>
    <row r="692" spans="1:4" x14ac:dyDescent="0.25">
      <c r="A692" s="279">
        <v>39023</v>
      </c>
      <c r="B692" t="s">
        <v>339</v>
      </c>
      <c r="C692" t="s">
        <v>87</v>
      </c>
      <c r="D692">
        <v>0</v>
      </c>
    </row>
    <row r="693" spans="1:4" x14ac:dyDescent="0.25">
      <c r="A693" s="279">
        <v>39023</v>
      </c>
      <c r="B693" t="s">
        <v>339</v>
      </c>
      <c r="C693" t="s">
        <v>88</v>
      </c>
      <c r="D693">
        <v>884</v>
      </c>
    </row>
    <row r="694" spans="1:4" x14ac:dyDescent="0.25">
      <c r="A694" s="279">
        <v>39023</v>
      </c>
      <c r="B694" t="s">
        <v>339</v>
      </c>
      <c r="C694" t="s">
        <v>14</v>
      </c>
      <c r="D694">
        <v>1035</v>
      </c>
    </row>
    <row r="695" spans="1:4" x14ac:dyDescent="0.25">
      <c r="A695" s="279">
        <v>39024</v>
      </c>
      <c r="B695" t="s">
        <v>338</v>
      </c>
      <c r="C695" t="s">
        <v>81</v>
      </c>
      <c r="D695">
        <v>60942</v>
      </c>
    </row>
    <row r="696" spans="1:4" x14ac:dyDescent="0.25">
      <c r="A696" s="279">
        <v>39024</v>
      </c>
      <c r="B696" t="s">
        <v>338</v>
      </c>
      <c r="C696" t="s">
        <v>82</v>
      </c>
      <c r="D696">
        <v>43711</v>
      </c>
    </row>
    <row r="697" spans="1:4" x14ac:dyDescent="0.25">
      <c r="A697" s="279">
        <v>39024</v>
      </c>
      <c r="B697" t="s">
        <v>338</v>
      </c>
      <c r="C697" t="s">
        <v>84</v>
      </c>
      <c r="D697">
        <v>2040</v>
      </c>
    </row>
    <row r="698" spans="1:4" x14ac:dyDescent="0.25">
      <c r="A698" s="279">
        <v>39024</v>
      </c>
      <c r="B698" t="s">
        <v>338</v>
      </c>
      <c r="C698" t="s">
        <v>83</v>
      </c>
      <c r="D698">
        <v>0</v>
      </c>
    </row>
    <row r="699" spans="1:4" x14ac:dyDescent="0.25">
      <c r="A699" s="279">
        <v>39024</v>
      </c>
      <c r="B699" t="s">
        <v>338</v>
      </c>
      <c r="C699" t="s">
        <v>14</v>
      </c>
      <c r="D699">
        <v>1030</v>
      </c>
    </row>
    <row r="700" spans="1:4" x14ac:dyDescent="0.25">
      <c r="A700" s="279">
        <v>39024</v>
      </c>
      <c r="B700" t="s">
        <v>339</v>
      </c>
      <c r="C700" t="s">
        <v>20</v>
      </c>
      <c r="D700">
        <v>77942</v>
      </c>
    </row>
    <row r="701" spans="1:4" x14ac:dyDescent="0.25">
      <c r="A701" s="279">
        <v>39024</v>
      </c>
      <c r="B701" t="s">
        <v>339</v>
      </c>
      <c r="C701" t="s">
        <v>85</v>
      </c>
      <c r="D701">
        <v>42135</v>
      </c>
    </row>
    <row r="702" spans="1:4" x14ac:dyDescent="0.25">
      <c r="A702" s="279">
        <v>39024</v>
      </c>
      <c r="B702" t="s">
        <v>339</v>
      </c>
      <c r="C702" t="s">
        <v>86</v>
      </c>
      <c r="D702">
        <v>16076</v>
      </c>
    </row>
    <row r="703" spans="1:4" x14ac:dyDescent="0.25">
      <c r="A703" s="279">
        <v>39024</v>
      </c>
      <c r="B703" t="s">
        <v>339</v>
      </c>
      <c r="C703" t="s">
        <v>87</v>
      </c>
      <c r="D703">
        <v>4853</v>
      </c>
    </row>
    <row r="704" spans="1:4" x14ac:dyDescent="0.25">
      <c r="A704" s="279">
        <v>39024</v>
      </c>
      <c r="B704" t="s">
        <v>339</v>
      </c>
      <c r="C704" t="s">
        <v>88</v>
      </c>
      <c r="D704">
        <v>23122</v>
      </c>
    </row>
    <row r="705" spans="1:4" x14ac:dyDescent="0.25">
      <c r="A705" s="279">
        <v>39024</v>
      </c>
      <c r="B705" t="s">
        <v>339</v>
      </c>
      <c r="C705" t="s">
        <v>14</v>
      </c>
      <c r="D705">
        <v>1031</v>
      </c>
    </row>
    <row r="706" spans="1:4" x14ac:dyDescent="0.25">
      <c r="A706" s="279">
        <v>39025</v>
      </c>
      <c r="B706" t="s">
        <v>338</v>
      </c>
      <c r="C706" t="s">
        <v>81</v>
      </c>
      <c r="D706">
        <v>72255</v>
      </c>
    </row>
    <row r="707" spans="1:4" x14ac:dyDescent="0.25">
      <c r="A707" s="279">
        <v>39025</v>
      </c>
      <c r="B707" t="s">
        <v>338</v>
      </c>
      <c r="C707" t="s">
        <v>82</v>
      </c>
      <c r="D707">
        <v>32530</v>
      </c>
    </row>
    <row r="708" spans="1:4" x14ac:dyDescent="0.25">
      <c r="A708" s="279">
        <v>39025</v>
      </c>
      <c r="B708" t="s">
        <v>338</v>
      </c>
      <c r="C708" t="s">
        <v>84</v>
      </c>
      <c r="D708">
        <v>2000</v>
      </c>
    </row>
    <row r="709" spans="1:4" x14ac:dyDescent="0.25">
      <c r="A709" s="279">
        <v>39025</v>
      </c>
      <c r="B709" t="s">
        <v>338</v>
      </c>
      <c r="C709" t="s">
        <v>83</v>
      </c>
      <c r="D709">
        <v>0</v>
      </c>
    </row>
    <row r="710" spans="1:4" x14ac:dyDescent="0.25">
      <c r="A710" s="279">
        <v>39025</v>
      </c>
      <c r="B710" t="s">
        <v>338</v>
      </c>
      <c r="C710" t="s">
        <v>14</v>
      </c>
      <c r="D710">
        <v>1035</v>
      </c>
    </row>
    <row r="711" spans="1:4" x14ac:dyDescent="0.25">
      <c r="A711" s="279">
        <v>39025</v>
      </c>
      <c r="B711" t="s">
        <v>339</v>
      </c>
      <c r="C711" t="s">
        <v>20</v>
      </c>
      <c r="D711">
        <v>78336</v>
      </c>
    </row>
    <row r="712" spans="1:4" x14ac:dyDescent="0.25">
      <c r="A712" s="279">
        <v>39025</v>
      </c>
      <c r="B712" t="s">
        <v>339</v>
      </c>
      <c r="C712" t="s">
        <v>85</v>
      </c>
      <c r="D712">
        <v>28455</v>
      </c>
    </row>
    <row r="713" spans="1:4" x14ac:dyDescent="0.25">
      <c r="A713" s="279">
        <v>39025</v>
      </c>
      <c r="B713" t="s">
        <v>339</v>
      </c>
      <c r="C713" t="s">
        <v>86</v>
      </c>
      <c r="D713">
        <v>31551</v>
      </c>
    </row>
    <row r="714" spans="1:4" x14ac:dyDescent="0.25">
      <c r="A714" s="279">
        <v>39025</v>
      </c>
      <c r="B714" t="s">
        <v>339</v>
      </c>
      <c r="C714" t="s">
        <v>87</v>
      </c>
      <c r="D714">
        <v>1218</v>
      </c>
    </row>
    <row r="715" spans="1:4" x14ac:dyDescent="0.25">
      <c r="A715" s="279">
        <v>39025</v>
      </c>
      <c r="B715" t="s">
        <v>339</v>
      </c>
      <c r="C715" t="s">
        <v>88</v>
      </c>
      <c r="D715">
        <v>17153</v>
      </c>
    </row>
    <row r="716" spans="1:4" x14ac:dyDescent="0.25">
      <c r="A716" s="279">
        <v>39025</v>
      </c>
      <c r="B716" t="s">
        <v>339</v>
      </c>
      <c r="C716" t="s">
        <v>14</v>
      </c>
      <c r="D716">
        <v>1031</v>
      </c>
    </row>
    <row r="717" spans="1:4" x14ac:dyDescent="0.25">
      <c r="A717" s="279">
        <v>39026</v>
      </c>
      <c r="B717" t="s">
        <v>338</v>
      </c>
      <c r="C717" t="s">
        <v>81</v>
      </c>
      <c r="D717">
        <v>66846</v>
      </c>
    </row>
    <row r="718" spans="1:4" x14ac:dyDescent="0.25">
      <c r="A718" s="279">
        <v>39026</v>
      </c>
      <c r="B718" t="s">
        <v>338</v>
      </c>
      <c r="C718" t="s">
        <v>82</v>
      </c>
      <c r="D718">
        <v>33714</v>
      </c>
    </row>
    <row r="719" spans="1:4" x14ac:dyDescent="0.25">
      <c r="A719" s="279">
        <v>39026</v>
      </c>
      <c r="B719" t="s">
        <v>338</v>
      </c>
      <c r="C719" t="s">
        <v>84</v>
      </c>
      <c r="D719">
        <v>1880</v>
      </c>
    </row>
    <row r="720" spans="1:4" x14ac:dyDescent="0.25">
      <c r="A720" s="279">
        <v>39026</v>
      </c>
      <c r="B720" t="s">
        <v>338</v>
      </c>
      <c r="C720" t="s">
        <v>83</v>
      </c>
      <c r="D720">
        <v>0</v>
      </c>
    </row>
    <row r="721" spans="1:4" x14ac:dyDescent="0.25">
      <c r="A721" s="279">
        <v>39026</v>
      </c>
      <c r="B721" t="s">
        <v>338</v>
      </c>
      <c r="C721" t="s">
        <v>14</v>
      </c>
      <c r="D721">
        <v>1034</v>
      </c>
    </row>
    <row r="722" spans="1:4" x14ac:dyDescent="0.25">
      <c r="A722" s="279">
        <v>39026</v>
      </c>
      <c r="B722" t="s">
        <v>339</v>
      </c>
      <c r="C722" t="s">
        <v>20</v>
      </c>
      <c r="D722">
        <v>77022</v>
      </c>
    </row>
    <row r="723" spans="1:4" x14ac:dyDescent="0.25">
      <c r="A723" s="279">
        <v>39026</v>
      </c>
      <c r="B723" t="s">
        <v>339</v>
      </c>
      <c r="C723" t="s">
        <v>85</v>
      </c>
      <c r="D723">
        <v>33405</v>
      </c>
    </row>
    <row r="724" spans="1:4" x14ac:dyDescent="0.25">
      <c r="A724" s="279">
        <v>39026</v>
      </c>
      <c r="B724" t="s">
        <v>339</v>
      </c>
      <c r="C724" t="s">
        <v>86</v>
      </c>
      <c r="D724">
        <v>30074</v>
      </c>
    </row>
    <row r="725" spans="1:4" x14ac:dyDescent="0.25">
      <c r="A725" s="279">
        <v>39026</v>
      </c>
      <c r="B725" t="s">
        <v>339</v>
      </c>
      <c r="C725" t="s">
        <v>87</v>
      </c>
      <c r="D725">
        <v>0</v>
      </c>
    </row>
    <row r="726" spans="1:4" x14ac:dyDescent="0.25">
      <c r="A726" s="279">
        <v>39026</v>
      </c>
      <c r="B726" t="s">
        <v>339</v>
      </c>
      <c r="C726" t="s">
        <v>88</v>
      </c>
      <c r="D726">
        <v>9336</v>
      </c>
    </row>
    <row r="727" spans="1:4" x14ac:dyDescent="0.25">
      <c r="A727" s="279">
        <v>39026</v>
      </c>
      <c r="B727" t="s">
        <v>339</v>
      </c>
      <c r="C727" t="s">
        <v>14</v>
      </c>
      <c r="D727">
        <v>1032</v>
      </c>
    </row>
    <row r="728" spans="1:4" x14ac:dyDescent="0.25">
      <c r="A728" s="279">
        <v>39027</v>
      </c>
      <c r="B728" t="s">
        <v>338</v>
      </c>
      <c r="C728" t="s">
        <v>81</v>
      </c>
      <c r="D728">
        <v>45726</v>
      </c>
    </row>
    <row r="729" spans="1:4" x14ac:dyDescent="0.25">
      <c r="A729" s="279">
        <v>39027</v>
      </c>
      <c r="B729" t="s">
        <v>338</v>
      </c>
      <c r="C729" t="s">
        <v>82</v>
      </c>
      <c r="D729">
        <v>34315</v>
      </c>
    </row>
    <row r="730" spans="1:4" x14ac:dyDescent="0.25">
      <c r="A730" s="279">
        <v>39027</v>
      </c>
      <c r="B730" t="s">
        <v>338</v>
      </c>
      <c r="C730" t="s">
        <v>84</v>
      </c>
      <c r="D730">
        <v>1630</v>
      </c>
    </row>
    <row r="731" spans="1:4" x14ac:dyDescent="0.25">
      <c r="A731" s="279">
        <v>39027</v>
      </c>
      <c r="B731" t="s">
        <v>338</v>
      </c>
      <c r="C731" t="s">
        <v>83</v>
      </c>
      <c r="D731">
        <v>0</v>
      </c>
    </row>
    <row r="732" spans="1:4" x14ac:dyDescent="0.25">
      <c r="A732" s="279">
        <v>39027</v>
      </c>
      <c r="B732" t="s">
        <v>338</v>
      </c>
      <c r="C732" t="s">
        <v>14</v>
      </c>
      <c r="D732">
        <v>1036</v>
      </c>
    </row>
    <row r="733" spans="1:4" x14ac:dyDescent="0.25">
      <c r="A733" s="279">
        <v>39027</v>
      </c>
      <c r="B733" t="s">
        <v>339</v>
      </c>
      <c r="C733" t="s">
        <v>20</v>
      </c>
      <c r="D733">
        <v>57387</v>
      </c>
    </row>
    <row r="734" spans="1:4" x14ac:dyDescent="0.25">
      <c r="A734" s="279">
        <v>39027</v>
      </c>
      <c r="B734" t="s">
        <v>339</v>
      </c>
      <c r="C734" t="s">
        <v>85</v>
      </c>
      <c r="D734">
        <v>37626</v>
      </c>
    </row>
    <row r="735" spans="1:4" x14ac:dyDescent="0.25">
      <c r="A735" s="279">
        <v>39027</v>
      </c>
      <c r="B735" t="s">
        <v>339</v>
      </c>
      <c r="C735" t="s">
        <v>86</v>
      </c>
      <c r="D735">
        <v>23600</v>
      </c>
    </row>
    <row r="736" spans="1:4" x14ac:dyDescent="0.25">
      <c r="A736" s="279">
        <v>39027</v>
      </c>
      <c r="B736" t="s">
        <v>339</v>
      </c>
      <c r="C736" t="s">
        <v>87</v>
      </c>
      <c r="D736">
        <v>0</v>
      </c>
    </row>
    <row r="737" spans="1:4" x14ac:dyDescent="0.25">
      <c r="A737" s="279">
        <v>39027</v>
      </c>
      <c r="B737" t="s">
        <v>339</v>
      </c>
      <c r="C737" t="s">
        <v>88</v>
      </c>
      <c r="D737">
        <v>3437</v>
      </c>
    </row>
    <row r="738" spans="1:4" x14ac:dyDescent="0.25">
      <c r="A738" s="279">
        <v>39027</v>
      </c>
      <c r="B738" t="s">
        <v>339</v>
      </c>
      <c r="C738" t="s">
        <v>14</v>
      </c>
      <c r="D738">
        <v>1033</v>
      </c>
    </row>
    <row r="739" spans="1:4" x14ac:dyDescent="0.25">
      <c r="A739" s="279">
        <v>39028</v>
      </c>
      <c r="B739" t="s">
        <v>338</v>
      </c>
      <c r="C739" t="s">
        <v>81</v>
      </c>
      <c r="D739">
        <v>18636</v>
      </c>
    </row>
    <row r="740" spans="1:4" x14ac:dyDescent="0.25">
      <c r="A740" s="279">
        <v>39028</v>
      </c>
      <c r="B740" t="s">
        <v>338</v>
      </c>
      <c r="C740" t="s">
        <v>82</v>
      </c>
      <c r="D740">
        <v>22274</v>
      </c>
    </row>
    <row r="741" spans="1:4" x14ac:dyDescent="0.25">
      <c r="A741" s="279">
        <v>39028</v>
      </c>
      <c r="B741" t="s">
        <v>338</v>
      </c>
      <c r="C741" t="s">
        <v>84</v>
      </c>
      <c r="D741">
        <v>1310</v>
      </c>
    </row>
    <row r="742" spans="1:4" x14ac:dyDescent="0.25">
      <c r="A742" s="279">
        <v>39028</v>
      </c>
      <c r="B742" t="s">
        <v>338</v>
      </c>
      <c r="C742" t="s">
        <v>83</v>
      </c>
      <c r="D742">
        <v>0</v>
      </c>
    </row>
    <row r="743" spans="1:4" x14ac:dyDescent="0.25">
      <c r="A743" s="279">
        <v>39028</v>
      </c>
      <c r="B743" t="s">
        <v>338</v>
      </c>
      <c r="C743" t="s">
        <v>14</v>
      </c>
      <c r="D743">
        <v>1038</v>
      </c>
    </row>
    <row r="744" spans="1:4" x14ac:dyDescent="0.25">
      <c r="A744" s="279">
        <v>39028</v>
      </c>
      <c r="B744" t="s">
        <v>339</v>
      </c>
      <c r="C744" t="s">
        <v>20</v>
      </c>
      <c r="D744">
        <v>43816</v>
      </c>
    </row>
    <row r="745" spans="1:4" x14ac:dyDescent="0.25">
      <c r="A745" s="279">
        <v>39028</v>
      </c>
      <c r="B745" t="s">
        <v>339</v>
      </c>
      <c r="C745" t="s">
        <v>85</v>
      </c>
      <c r="D745">
        <v>39818</v>
      </c>
    </row>
    <row r="746" spans="1:4" x14ac:dyDescent="0.25">
      <c r="A746" s="279">
        <v>39028</v>
      </c>
      <c r="B746" t="s">
        <v>339</v>
      </c>
      <c r="C746" t="s">
        <v>86</v>
      </c>
      <c r="D746">
        <v>19280</v>
      </c>
    </row>
    <row r="747" spans="1:4" x14ac:dyDescent="0.25">
      <c r="A747" s="279">
        <v>39028</v>
      </c>
      <c r="B747" t="s">
        <v>339</v>
      </c>
      <c r="C747" t="s">
        <v>87</v>
      </c>
      <c r="D747">
        <v>0</v>
      </c>
    </row>
    <row r="748" spans="1:4" x14ac:dyDescent="0.25">
      <c r="A748" s="279">
        <v>39028</v>
      </c>
      <c r="B748" t="s">
        <v>339</v>
      </c>
      <c r="C748" t="s">
        <v>88</v>
      </c>
      <c r="D748">
        <v>0</v>
      </c>
    </row>
    <row r="749" spans="1:4" x14ac:dyDescent="0.25">
      <c r="A749" s="279">
        <v>39028</v>
      </c>
      <c r="B749" t="s">
        <v>339</v>
      </c>
      <c r="C749" t="s">
        <v>14</v>
      </c>
      <c r="D749">
        <v>1036</v>
      </c>
    </row>
    <row r="750" spans="1:4" x14ac:dyDescent="0.25">
      <c r="A750" s="279">
        <v>39029</v>
      </c>
      <c r="B750" t="s">
        <v>338</v>
      </c>
      <c r="C750" t="s">
        <v>81</v>
      </c>
      <c r="D750">
        <v>21903</v>
      </c>
    </row>
    <row r="751" spans="1:4" x14ac:dyDescent="0.25">
      <c r="A751" s="279">
        <v>39029</v>
      </c>
      <c r="B751" t="s">
        <v>338</v>
      </c>
      <c r="C751" t="s">
        <v>82</v>
      </c>
      <c r="D751">
        <v>24121</v>
      </c>
    </row>
    <row r="752" spans="1:4" x14ac:dyDescent="0.25">
      <c r="A752" s="279">
        <v>39029</v>
      </c>
      <c r="B752" t="s">
        <v>338</v>
      </c>
      <c r="C752" t="s">
        <v>84</v>
      </c>
      <c r="D752">
        <v>1200</v>
      </c>
    </row>
    <row r="753" spans="1:4" x14ac:dyDescent="0.25">
      <c r="A753" s="279">
        <v>39029</v>
      </c>
      <c r="B753" t="s">
        <v>338</v>
      </c>
      <c r="C753" t="s">
        <v>83</v>
      </c>
      <c r="D753">
        <v>0</v>
      </c>
    </row>
    <row r="754" spans="1:4" x14ac:dyDescent="0.25">
      <c r="A754" s="279">
        <v>39029</v>
      </c>
      <c r="B754" t="s">
        <v>338</v>
      </c>
      <c r="C754" t="s">
        <v>14</v>
      </c>
      <c r="D754">
        <v>1040</v>
      </c>
    </row>
    <row r="755" spans="1:4" x14ac:dyDescent="0.25">
      <c r="A755" s="279">
        <v>39029</v>
      </c>
      <c r="B755" t="s">
        <v>339</v>
      </c>
      <c r="C755" t="s">
        <v>20</v>
      </c>
      <c r="D755">
        <v>50217</v>
      </c>
    </row>
    <row r="756" spans="1:4" x14ac:dyDescent="0.25">
      <c r="A756" s="279">
        <v>39029</v>
      </c>
      <c r="B756" t="s">
        <v>339</v>
      </c>
      <c r="C756" t="s">
        <v>85</v>
      </c>
      <c r="D756">
        <v>30715</v>
      </c>
    </row>
    <row r="757" spans="1:4" x14ac:dyDescent="0.25">
      <c r="A757" s="279">
        <v>39029</v>
      </c>
      <c r="B757" t="s">
        <v>339</v>
      </c>
      <c r="C757" t="s">
        <v>86</v>
      </c>
      <c r="D757">
        <v>3214</v>
      </c>
    </row>
    <row r="758" spans="1:4" x14ac:dyDescent="0.25">
      <c r="A758" s="279">
        <v>39029</v>
      </c>
      <c r="B758" t="s">
        <v>339</v>
      </c>
      <c r="C758" t="s">
        <v>87</v>
      </c>
      <c r="D758">
        <v>0</v>
      </c>
    </row>
    <row r="759" spans="1:4" x14ac:dyDescent="0.25">
      <c r="A759" s="279">
        <v>39029</v>
      </c>
      <c r="B759" t="s">
        <v>339</v>
      </c>
      <c r="C759" t="s">
        <v>88</v>
      </c>
      <c r="D759">
        <v>0</v>
      </c>
    </row>
    <row r="760" spans="1:4" x14ac:dyDescent="0.25">
      <c r="A760" s="279">
        <v>39029</v>
      </c>
      <c r="B760" t="s">
        <v>339</v>
      </c>
      <c r="C760" t="s">
        <v>14</v>
      </c>
      <c r="D760">
        <v>1033</v>
      </c>
    </row>
    <row r="761" spans="1:4" x14ac:dyDescent="0.25">
      <c r="A761" s="279">
        <v>39030</v>
      </c>
      <c r="B761" t="s">
        <v>338</v>
      </c>
      <c r="C761" t="s">
        <v>81</v>
      </c>
      <c r="D761">
        <v>20076</v>
      </c>
    </row>
    <row r="762" spans="1:4" x14ac:dyDescent="0.25">
      <c r="A762" s="279">
        <v>39030</v>
      </c>
      <c r="B762" t="s">
        <v>338</v>
      </c>
      <c r="C762" t="s">
        <v>82</v>
      </c>
      <c r="D762">
        <v>26957</v>
      </c>
    </row>
    <row r="763" spans="1:4" x14ac:dyDescent="0.25">
      <c r="A763" s="279">
        <v>39030</v>
      </c>
      <c r="B763" t="s">
        <v>338</v>
      </c>
      <c r="C763" t="s">
        <v>84</v>
      </c>
      <c r="D763">
        <v>1020</v>
      </c>
    </row>
    <row r="764" spans="1:4" x14ac:dyDescent="0.25">
      <c r="A764" s="279">
        <v>39030</v>
      </c>
      <c r="B764" t="s">
        <v>338</v>
      </c>
      <c r="C764" t="s">
        <v>83</v>
      </c>
      <c r="D764">
        <v>0</v>
      </c>
    </row>
    <row r="765" spans="1:4" x14ac:dyDescent="0.25">
      <c r="A765" s="279">
        <v>39030</v>
      </c>
      <c r="B765" t="s">
        <v>338</v>
      </c>
      <c r="C765" t="s">
        <v>14</v>
      </c>
      <c r="D765">
        <v>1041</v>
      </c>
    </row>
    <row r="766" spans="1:4" x14ac:dyDescent="0.25">
      <c r="A766" s="279">
        <v>39030</v>
      </c>
      <c r="B766" t="s">
        <v>339</v>
      </c>
      <c r="C766" t="s">
        <v>20</v>
      </c>
      <c r="D766">
        <v>49690</v>
      </c>
    </row>
    <row r="767" spans="1:4" x14ac:dyDescent="0.25">
      <c r="A767" s="279">
        <v>39030</v>
      </c>
      <c r="B767" t="s">
        <v>339</v>
      </c>
      <c r="C767" t="s">
        <v>85</v>
      </c>
      <c r="D767">
        <v>23814</v>
      </c>
    </row>
    <row r="768" spans="1:4" x14ac:dyDescent="0.25">
      <c r="A768" s="279">
        <v>39030</v>
      </c>
      <c r="B768" t="s">
        <v>339</v>
      </c>
      <c r="C768" t="s">
        <v>86</v>
      </c>
      <c r="D768">
        <v>184</v>
      </c>
    </row>
    <row r="769" spans="1:4" x14ac:dyDescent="0.25">
      <c r="A769" s="279">
        <v>39030</v>
      </c>
      <c r="B769" t="s">
        <v>339</v>
      </c>
      <c r="C769" t="s">
        <v>87</v>
      </c>
      <c r="D769">
        <v>0</v>
      </c>
    </row>
    <row r="770" spans="1:4" x14ac:dyDescent="0.25">
      <c r="A770" s="279">
        <v>39030</v>
      </c>
      <c r="B770" t="s">
        <v>339</v>
      </c>
      <c r="C770" t="s">
        <v>88</v>
      </c>
      <c r="D770">
        <v>0</v>
      </c>
    </row>
    <row r="771" spans="1:4" x14ac:dyDescent="0.25">
      <c r="A771" s="279">
        <v>39030</v>
      </c>
      <c r="B771" t="s">
        <v>339</v>
      </c>
      <c r="C771" t="s">
        <v>14</v>
      </c>
      <c r="D771">
        <v>1033</v>
      </c>
    </row>
    <row r="772" spans="1:4" x14ac:dyDescent="0.25">
      <c r="A772" s="279">
        <v>39031</v>
      </c>
      <c r="B772" t="s">
        <v>338</v>
      </c>
      <c r="C772" t="s">
        <v>81</v>
      </c>
      <c r="D772">
        <v>32480</v>
      </c>
    </row>
    <row r="773" spans="1:4" x14ac:dyDescent="0.25">
      <c r="A773" s="279">
        <v>39031</v>
      </c>
      <c r="B773" t="s">
        <v>338</v>
      </c>
      <c r="C773" t="s">
        <v>82</v>
      </c>
      <c r="D773">
        <v>18878</v>
      </c>
    </row>
    <row r="774" spans="1:4" x14ac:dyDescent="0.25">
      <c r="A774" s="279">
        <v>39031</v>
      </c>
      <c r="B774" t="s">
        <v>338</v>
      </c>
      <c r="C774" t="s">
        <v>84</v>
      </c>
      <c r="D774">
        <v>1070</v>
      </c>
    </row>
    <row r="775" spans="1:4" x14ac:dyDescent="0.25">
      <c r="A775" s="279">
        <v>39031</v>
      </c>
      <c r="B775" t="s">
        <v>338</v>
      </c>
      <c r="C775" t="s">
        <v>83</v>
      </c>
      <c r="D775">
        <v>0</v>
      </c>
    </row>
    <row r="776" spans="1:4" x14ac:dyDescent="0.25">
      <c r="A776" s="279">
        <v>39031</v>
      </c>
      <c r="B776" t="s">
        <v>338</v>
      </c>
      <c r="C776" t="s">
        <v>14</v>
      </c>
      <c r="D776">
        <v>1040</v>
      </c>
    </row>
    <row r="777" spans="1:4" x14ac:dyDescent="0.25">
      <c r="A777" s="279">
        <v>39031</v>
      </c>
      <c r="B777" t="s">
        <v>339</v>
      </c>
      <c r="C777" t="s">
        <v>20</v>
      </c>
      <c r="D777">
        <v>47106</v>
      </c>
    </row>
    <row r="778" spans="1:4" x14ac:dyDescent="0.25">
      <c r="A778" s="279">
        <v>39031</v>
      </c>
      <c r="B778" t="s">
        <v>339</v>
      </c>
      <c r="C778" t="s">
        <v>85</v>
      </c>
      <c r="D778">
        <v>26895</v>
      </c>
    </row>
    <row r="779" spans="1:4" x14ac:dyDescent="0.25">
      <c r="A779" s="279">
        <v>39031</v>
      </c>
      <c r="B779" t="s">
        <v>339</v>
      </c>
      <c r="C779" t="s">
        <v>86</v>
      </c>
      <c r="D779">
        <v>0</v>
      </c>
    </row>
    <row r="780" spans="1:4" x14ac:dyDescent="0.25">
      <c r="A780" s="279">
        <v>39031</v>
      </c>
      <c r="B780" t="s">
        <v>339</v>
      </c>
      <c r="C780" t="s">
        <v>87</v>
      </c>
      <c r="D780">
        <v>0</v>
      </c>
    </row>
    <row r="781" spans="1:4" x14ac:dyDescent="0.25">
      <c r="A781" s="279">
        <v>39031</v>
      </c>
      <c r="B781" t="s">
        <v>339</v>
      </c>
      <c r="C781" t="s">
        <v>88</v>
      </c>
      <c r="D781">
        <v>0</v>
      </c>
    </row>
    <row r="782" spans="1:4" x14ac:dyDescent="0.25">
      <c r="A782" s="279">
        <v>39031</v>
      </c>
      <c r="B782" t="s">
        <v>339</v>
      </c>
      <c r="C782" t="s">
        <v>14</v>
      </c>
      <c r="D782">
        <v>1034</v>
      </c>
    </row>
    <row r="783" spans="1:4" x14ac:dyDescent="0.25">
      <c r="A783" s="279">
        <v>39032</v>
      </c>
      <c r="B783" t="s">
        <v>338</v>
      </c>
      <c r="C783" t="s">
        <v>81</v>
      </c>
      <c r="D783">
        <v>15551</v>
      </c>
    </row>
    <row r="784" spans="1:4" x14ac:dyDescent="0.25">
      <c r="A784" s="279">
        <v>39032</v>
      </c>
      <c r="B784" t="s">
        <v>338</v>
      </c>
      <c r="C784" t="s">
        <v>82</v>
      </c>
      <c r="D784">
        <v>17897</v>
      </c>
    </row>
    <row r="785" spans="1:4" x14ac:dyDescent="0.25">
      <c r="A785" s="279">
        <v>39032</v>
      </c>
      <c r="B785" t="s">
        <v>338</v>
      </c>
      <c r="C785" t="s">
        <v>84</v>
      </c>
      <c r="D785">
        <v>680</v>
      </c>
    </row>
    <row r="786" spans="1:4" x14ac:dyDescent="0.25">
      <c r="A786" s="279">
        <v>39032</v>
      </c>
      <c r="B786" t="s">
        <v>338</v>
      </c>
      <c r="C786" t="s">
        <v>83</v>
      </c>
      <c r="D786">
        <v>0</v>
      </c>
    </row>
    <row r="787" spans="1:4" x14ac:dyDescent="0.25">
      <c r="A787" s="279">
        <v>39032</v>
      </c>
      <c r="B787" t="s">
        <v>338</v>
      </c>
      <c r="C787" t="s">
        <v>14</v>
      </c>
      <c r="D787">
        <v>1040</v>
      </c>
    </row>
    <row r="788" spans="1:4" x14ac:dyDescent="0.25">
      <c r="A788" s="279">
        <v>39032</v>
      </c>
      <c r="B788" t="s">
        <v>339</v>
      </c>
      <c r="C788" t="s">
        <v>20</v>
      </c>
      <c r="D788">
        <v>41290</v>
      </c>
    </row>
    <row r="789" spans="1:4" x14ac:dyDescent="0.25">
      <c r="A789" s="279">
        <v>39032</v>
      </c>
      <c r="B789" t="s">
        <v>339</v>
      </c>
      <c r="C789" t="s">
        <v>85</v>
      </c>
      <c r="D789">
        <v>29420</v>
      </c>
    </row>
    <row r="790" spans="1:4" x14ac:dyDescent="0.25">
      <c r="A790" s="279">
        <v>39032</v>
      </c>
      <c r="B790" t="s">
        <v>339</v>
      </c>
      <c r="C790" t="s">
        <v>86</v>
      </c>
      <c r="D790">
        <v>0</v>
      </c>
    </row>
    <row r="791" spans="1:4" x14ac:dyDescent="0.25">
      <c r="A791" s="279">
        <v>39032</v>
      </c>
      <c r="B791" t="s">
        <v>339</v>
      </c>
      <c r="C791" t="s">
        <v>87</v>
      </c>
      <c r="D791">
        <v>0</v>
      </c>
    </row>
    <row r="792" spans="1:4" x14ac:dyDescent="0.25">
      <c r="A792" s="279">
        <v>39032</v>
      </c>
      <c r="B792" t="s">
        <v>339</v>
      </c>
      <c r="C792" t="s">
        <v>88</v>
      </c>
      <c r="D792">
        <v>0</v>
      </c>
    </row>
    <row r="793" spans="1:4" x14ac:dyDescent="0.25">
      <c r="A793" s="279">
        <v>39032</v>
      </c>
      <c r="B793" t="s">
        <v>339</v>
      </c>
      <c r="C793" t="s">
        <v>14</v>
      </c>
      <c r="D793">
        <v>1034</v>
      </c>
    </row>
    <row r="794" spans="1:4" x14ac:dyDescent="0.25">
      <c r="A794" s="279">
        <v>39033</v>
      </c>
      <c r="B794" t="s">
        <v>338</v>
      </c>
      <c r="C794" t="s">
        <v>81</v>
      </c>
      <c r="D794">
        <v>7592</v>
      </c>
    </row>
    <row r="795" spans="1:4" x14ac:dyDescent="0.25">
      <c r="A795" s="279">
        <v>39033</v>
      </c>
      <c r="B795" t="s">
        <v>338</v>
      </c>
      <c r="C795" t="s">
        <v>82</v>
      </c>
      <c r="D795">
        <v>55790</v>
      </c>
    </row>
    <row r="796" spans="1:4" x14ac:dyDescent="0.25">
      <c r="A796" s="279">
        <v>39033</v>
      </c>
      <c r="B796" t="s">
        <v>338</v>
      </c>
      <c r="C796" t="s">
        <v>84</v>
      </c>
      <c r="D796">
        <v>1340</v>
      </c>
    </row>
    <row r="797" spans="1:4" x14ac:dyDescent="0.25">
      <c r="A797" s="279">
        <v>39033</v>
      </c>
      <c r="B797" t="s">
        <v>338</v>
      </c>
      <c r="C797" t="s">
        <v>83</v>
      </c>
      <c r="D797">
        <v>0</v>
      </c>
    </row>
    <row r="798" spans="1:4" x14ac:dyDescent="0.25">
      <c r="A798" s="279">
        <v>39033</v>
      </c>
      <c r="B798" t="s">
        <v>338</v>
      </c>
      <c r="C798" t="s">
        <v>14</v>
      </c>
      <c r="D798">
        <v>1040</v>
      </c>
    </row>
    <row r="799" spans="1:4" x14ac:dyDescent="0.25">
      <c r="A799" s="279">
        <v>39033</v>
      </c>
      <c r="B799" t="s">
        <v>339</v>
      </c>
      <c r="C799" t="s">
        <v>20</v>
      </c>
      <c r="D799">
        <v>40344</v>
      </c>
    </row>
    <row r="800" spans="1:4" x14ac:dyDescent="0.25">
      <c r="A800" s="279">
        <v>39033</v>
      </c>
      <c r="B800" t="s">
        <v>339</v>
      </c>
      <c r="C800" t="s">
        <v>85</v>
      </c>
      <c r="D800">
        <v>31537</v>
      </c>
    </row>
    <row r="801" spans="1:4" x14ac:dyDescent="0.25">
      <c r="A801" s="279">
        <v>39033</v>
      </c>
      <c r="B801" t="s">
        <v>339</v>
      </c>
      <c r="C801" t="s">
        <v>86</v>
      </c>
      <c r="D801">
        <v>0</v>
      </c>
    </row>
    <row r="802" spans="1:4" x14ac:dyDescent="0.25">
      <c r="A802" s="279">
        <v>39033</v>
      </c>
      <c r="B802" t="s">
        <v>339</v>
      </c>
      <c r="C802" t="s">
        <v>87</v>
      </c>
      <c r="D802">
        <v>0</v>
      </c>
    </row>
    <row r="803" spans="1:4" x14ac:dyDescent="0.25">
      <c r="A803" s="279">
        <v>39033</v>
      </c>
      <c r="B803" t="s">
        <v>339</v>
      </c>
      <c r="C803" t="s">
        <v>88</v>
      </c>
      <c r="D803">
        <v>0</v>
      </c>
    </row>
    <row r="804" spans="1:4" x14ac:dyDescent="0.25">
      <c r="A804" s="279">
        <v>39033</v>
      </c>
      <c r="B804" t="s">
        <v>339</v>
      </c>
      <c r="C804" t="s">
        <v>14</v>
      </c>
      <c r="D804">
        <v>1031</v>
      </c>
    </row>
    <row r="805" spans="1:4" x14ac:dyDescent="0.25">
      <c r="A805" s="279">
        <v>39034</v>
      </c>
      <c r="B805" t="s">
        <v>338</v>
      </c>
      <c r="C805" t="s">
        <v>81</v>
      </c>
      <c r="D805">
        <v>26409</v>
      </c>
    </row>
    <row r="806" spans="1:4" x14ac:dyDescent="0.25">
      <c r="A806" s="279">
        <v>39034</v>
      </c>
      <c r="B806" t="s">
        <v>338</v>
      </c>
      <c r="C806" t="s">
        <v>82</v>
      </c>
      <c r="D806">
        <v>34380</v>
      </c>
    </row>
    <row r="807" spans="1:4" x14ac:dyDescent="0.25">
      <c r="A807" s="279">
        <v>39034</v>
      </c>
      <c r="B807" t="s">
        <v>338</v>
      </c>
      <c r="C807" t="s">
        <v>84</v>
      </c>
      <c r="D807">
        <v>1390</v>
      </c>
    </row>
    <row r="808" spans="1:4" x14ac:dyDescent="0.25">
      <c r="A808" s="279">
        <v>39034</v>
      </c>
      <c r="B808" t="s">
        <v>338</v>
      </c>
      <c r="C808" t="s">
        <v>83</v>
      </c>
      <c r="D808">
        <v>0</v>
      </c>
    </row>
    <row r="809" spans="1:4" x14ac:dyDescent="0.25">
      <c r="A809" s="279">
        <v>39034</v>
      </c>
      <c r="B809" t="s">
        <v>338</v>
      </c>
      <c r="C809" t="s">
        <v>14</v>
      </c>
      <c r="D809">
        <v>1040</v>
      </c>
    </row>
    <row r="810" spans="1:4" x14ac:dyDescent="0.25">
      <c r="A810" s="279">
        <v>39034</v>
      </c>
      <c r="B810" t="s">
        <v>339</v>
      </c>
      <c r="C810" t="s">
        <v>20</v>
      </c>
      <c r="D810">
        <v>52261</v>
      </c>
    </row>
    <row r="811" spans="1:4" x14ac:dyDescent="0.25">
      <c r="A811" s="279">
        <v>39034</v>
      </c>
      <c r="B811" t="s">
        <v>339</v>
      </c>
      <c r="C811" t="s">
        <v>85</v>
      </c>
      <c r="D811">
        <v>19505</v>
      </c>
    </row>
    <row r="812" spans="1:4" x14ac:dyDescent="0.25">
      <c r="A812" s="279">
        <v>39034</v>
      </c>
      <c r="B812" t="s">
        <v>339</v>
      </c>
      <c r="C812" t="s">
        <v>86</v>
      </c>
      <c r="D812">
        <v>0</v>
      </c>
    </row>
    <row r="813" spans="1:4" x14ac:dyDescent="0.25">
      <c r="A813" s="279">
        <v>39034</v>
      </c>
      <c r="B813" t="s">
        <v>339</v>
      </c>
      <c r="C813" t="s">
        <v>87</v>
      </c>
      <c r="D813">
        <v>0</v>
      </c>
    </row>
    <row r="814" spans="1:4" x14ac:dyDescent="0.25">
      <c r="A814" s="279">
        <v>39034</v>
      </c>
      <c r="B814" t="s">
        <v>339</v>
      </c>
      <c r="C814" t="s">
        <v>88</v>
      </c>
      <c r="D814">
        <v>0</v>
      </c>
    </row>
    <row r="815" spans="1:4" x14ac:dyDescent="0.25">
      <c r="A815" s="279">
        <v>39034</v>
      </c>
      <c r="B815" t="s">
        <v>339</v>
      </c>
      <c r="C815" t="s">
        <v>14</v>
      </c>
      <c r="D815">
        <v>1031</v>
      </c>
    </row>
    <row r="816" spans="1:4" x14ac:dyDescent="0.25">
      <c r="A816" s="279">
        <v>39035</v>
      </c>
      <c r="B816" t="s">
        <v>338</v>
      </c>
      <c r="C816" t="s">
        <v>81</v>
      </c>
      <c r="D816">
        <v>18474</v>
      </c>
    </row>
    <row r="817" spans="1:4" x14ac:dyDescent="0.25">
      <c r="A817" s="279">
        <v>39035</v>
      </c>
      <c r="B817" t="s">
        <v>338</v>
      </c>
      <c r="C817" t="s">
        <v>82</v>
      </c>
      <c r="D817">
        <v>32878</v>
      </c>
    </row>
    <row r="818" spans="1:4" x14ac:dyDescent="0.25">
      <c r="A818" s="279">
        <v>39035</v>
      </c>
      <c r="B818" t="s">
        <v>338</v>
      </c>
      <c r="C818" t="s">
        <v>84</v>
      </c>
      <c r="D818">
        <v>1170</v>
      </c>
    </row>
    <row r="819" spans="1:4" x14ac:dyDescent="0.25">
      <c r="A819" s="279">
        <v>39035</v>
      </c>
      <c r="B819" t="s">
        <v>338</v>
      </c>
      <c r="C819" t="s">
        <v>83</v>
      </c>
      <c r="D819">
        <v>0</v>
      </c>
    </row>
    <row r="820" spans="1:4" x14ac:dyDescent="0.25">
      <c r="A820" s="279">
        <v>39035</v>
      </c>
      <c r="B820" t="s">
        <v>338</v>
      </c>
      <c r="C820" t="s">
        <v>14</v>
      </c>
      <c r="D820">
        <v>1040</v>
      </c>
    </row>
    <row r="821" spans="1:4" x14ac:dyDescent="0.25">
      <c r="A821" s="279">
        <v>39035</v>
      </c>
      <c r="B821" t="s">
        <v>339</v>
      </c>
      <c r="C821" t="s">
        <v>20</v>
      </c>
      <c r="D821">
        <v>50794</v>
      </c>
    </row>
    <row r="822" spans="1:4" x14ac:dyDescent="0.25">
      <c r="A822" s="279">
        <v>39035</v>
      </c>
      <c r="B822" t="s">
        <v>339</v>
      </c>
      <c r="C822" t="s">
        <v>85</v>
      </c>
      <c r="D822">
        <v>25884</v>
      </c>
    </row>
    <row r="823" spans="1:4" x14ac:dyDescent="0.25">
      <c r="A823" s="279">
        <v>39035</v>
      </c>
      <c r="B823" t="s">
        <v>339</v>
      </c>
      <c r="C823" t="s">
        <v>86</v>
      </c>
      <c r="D823">
        <v>0</v>
      </c>
    </row>
    <row r="824" spans="1:4" x14ac:dyDescent="0.25">
      <c r="A824" s="279">
        <v>39035</v>
      </c>
      <c r="B824" t="s">
        <v>339</v>
      </c>
      <c r="C824" t="s">
        <v>87</v>
      </c>
      <c r="D824">
        <v>0</v>
      </c>
    </row>
    <row r="825" spans="1:4" x14ac:dyDescent="0.25">
      <c r="A825" s="279">
        <v>39035</v>
      </c>
      <c r="B825" t="s">
        <v>339</v>
      </c>
      <c r="C825" t="s">
        <v>88</v>
      </c>
      <c r="D825">
        <v>0</v>
      </c>
    </row>
    <row r="826" spans="1:4" x14ac:dyDescent="0.25">
      <c r="A826" s="279">
        <v>39035</v>
      </c>
      <c r="B826" t="s">
        <v>339</v>
      </c>
      <c r="C826" t="s">
        <v>14</v>
      </c>
      <c r="D826">
        <v>1031</v>
      </c>
    </row>
    <row r="827" spans="1:4" x14ac:dyDescent="0.25">
      <c r="A827" s="279">
        <v>39036</v>
      </c>
      <c r="B827" t="s">
        <v>338</v>
      </c>
      <c r="C827" t="s">
        <v>81</v>
      </c>
      <c r="D827">
        <v>14665</v>
      </c>
    </row>
    <row r="828" spans="1:4" x14ac:dyDescent="0.25">
      <c r="A828" s="279">
        <v>39036</v>
      </c>
      <c r="B828" t="s">
        <v>338</v>
      </c>
      <c r="C828" t="s">
        <v>82</v>
      </c>
      <c r="D828">
        <v>28269</v>
      </c>
    </row>
    <row r="829" spans="1:4" x14ac:dyDescent="0.25">
      <c r="A829" s="279">
        <v>39036</v>
      </c>
      <c r="B829" t="s">
        <v>338</v>
      </c>
      <c r="C829" t="s">
        <v>84</v>
      </c>
      <c r="D829">
        <v>950</v>
      </c>
    </row>
    <row r="830" spans="1:4" x14ac:dyDescent="0.25">
      <c r="A830" s="279">
        <v>39036</v>
      </c>
      <c r="B830" t="s">
        <v>338</v>
      </c>
      <c r="C830" t="s">
        <v>83</v>
      </c>
      <c r="D830">
        <v>0</v>
      </c>
    </row>
    <row r="831" spans="1:4" x14ac:dyDescent="0.25">
      <c r="A831" s="279">
        <v>39036</v>
      </c>
      <c r="B831" t="s">
        <v>338</v>
      </c>
      <c r="C831" t="s">
        <v>14</v>
      </c>
      <c r="D831">
        <v>1040</v>
      </c>
    </row>
    <row r="832" spans="1:4" x14ac:dyDescent="0.25">
      <c r="A832" s="279">
        <v>39036</v>
      </c>
      <c r="B832" t="s">
        <v>339</v>
      </c>
      <c r="C832" t="s">
        <v>20</v>
      </c>
      <c r="D832">
        <v>44148</v>
      </c>
    </row>
    <row r="833" spans="1:4" x14ac:dyDescent="0.25">
      <c r="A833" s="279">
        <v>39036</v>
      </c>
      <c r="B833" t="s">
        <v>339</v>
      </c>
      <c r="C833" t="s">
        <v>85</v>
      </c>
      <c r="D833">
        <v>22844</v>
      </c>
    </row>
    <row r="834" spans="1:4" x14ac:dyDescent="0.25">
      <c r="A834" s="279">
        <v>39036</v>
      </c>
      <c r="B834" t="s">
        <v>339</v>
      </c>
      <c r="C834" t="s">
        <v>86</v>
      </c>
      <c r="D834">
        <v>0</v>
      </c>
    </row>
    <row r="835" spans="1:4" x14ac:dyDescent="0.25">
      <c r="A835" s="279">
        <v>39036</v>
      </c>
      <c r="B835" t="s">
        <v>339</v>
      </c>
      <c r="C835" t="s">
        <v>87</v>
      </c>
      <c r="D835">
        <v>0</v>
      </c>
    </row>
    <row r="836" spans="1:4" x14ac:dyDescent="0.25">
      <c r="A836" s="279">
        <v>39036</v>
      </c>
      <c r="B836" t="s">
        <v>339</v>
      </c>
      <c r="C836" t="s">
        <v>88</v>
      </c>
      <c r="D836">
        <v>0</v>
      </c>
    </row>
    <row r="837" spans="1:4" x14ac:dyDescent="0.25">
      <c r="A837" s="279">
        <v>39036</v>
      </c>
      <c r="B837" t="s">
        <v>339</v>
      </c>
      <c r="C837" t="s">
        <v>14</v>
      </c>
      <c r="D837">
        <v>1031</v>
      </c>
    </row>
    <row r="838" spans="1:4" x14ac:dyDescent="0.25">
      <c r="A838" s="279">
        <v>39037</v>
      </c>
      <c r="B838" t="s">
        <v>338</v>
      </c>
      <c r="C838" t="s">
        <v>81</v>
      </c>
      <c r="D838">
        <v>11642</v>
      </c>
    </row>
    <row r="839" spans="1:4" x14ac:dyDescent="0.25">
      <c r="A839" s="279">
        <v>39037</v>
      </c>
      <c r="B839" t="s">
        <v>338</v>
      </c>
      <c r="C839" t="s">
        <v>82</v>
      </c>
      <c r="D839">
        <v>19369</v>
      </c>
    </row>
    <row r="840" spans="1:4" x14ac:dyDescent="0.25">
      <c r="A840" s="279">
        <v>39037</v>
      </c>
      <c r="B840" t="s">
        <v>338</v>
      </c>
      <c r="C840" t="s">
        <v>84</v>
      </c>
      <c r="D840">
        <v>810</v>
      </c>
    </row>
    <row r="841" spans="1:4" x14ac:dyDescent="0.25">
      <c r="A841" s="279">
        <v>39037</v>
      </c>
      <c r="B841" t="s">
        <v>338</v>
      </c>
      <c r="C841" t="s">
        <v>83</v>
      </c>
      <c r="D841">
        <v>0</v>
      </c>
    </row>
    <row r="842" spans="1:4" x14ac:dyDescent="0.25">
      <c r="A842" s="279">
        <v>39037</v>
      </c>
      <c r="B842" t="s">
        <v>338</v>
      </c>
      <c r="C842" t="s">
        <v>14</v>
      </c>
      <c r="D842">
        <v>1044</v>
      </c>
    </row>
    <row r="843" spans="1:4" x14ac:dyDescent="0.25">
      <c r="A843" s="279">
        <v>39037</v>
      </c>
      <c r="B843" t="s">
        <v>339</v>
      </c>
      <c r="C843" t="s">
        <v>20</v>
      </c>
      <c r="D843">
        <v>47941</v>
      </c>
    </row>
    <row r="844" spans="1:4" x14ac:dyDescent="0.25">
      <c r="A844" s="279">
        <v>39037</v>
      </c>
      <c r="B844" t="s">
        <v>339</v>
      </c>
      <c r="C844" t="s">
        <v>85</v>
      </c>
      <c r="D844">
        <v>26416</v>
      </c>
    </row>
    <row r="845" spans="1:4" x14ac:dyDescent="0.25">
      <c r="A845" s="279">
        <v>39037</v>
      </c>
      <c r="B845" t="s">
        <v>339</v>
      </c>
      <c r="C845" t="s">
        <v>86</v>
      </c>
      <c r="D845">
        <v>0</v>
      </c>
    </row>
    <row r="846" spans="1:4" x14ac:dyDescent="0.25">
      <c r="A846" s="279">
        <v>39037</v>
      </c>
      <c r="B846" t="s">
        <v>339</v>
      </c>
      <c r="C846" t="s">
        <v>87</v>
      </c>
      <c r="D846">
        <v>0</v>
      </c>
    </row>
    <row r="847" spans="1:4" x14ac:dyDescent="0.25">
      <c r="A847" s="279">
        <v>39037</v>
      </c>
      <c r="B847" t="s">
        <v>339</v>
      </c>
      <c r="C847" t="s">
        <v>88</v>
      </c>
      <c r="D847">
        <v>0</v>
      </c>
    </row>
    <row r="848" spans="1:4" x14ac:dyDescent="0.25">
      <c r="A848" s="279">
        <v>39037</v>
      </c>
      <c r="B848" t="s">
        <v>339</v>
      </c>
      <c r="C848" t="s">
        <v>14</v>
      </c>
      <c r="D848">
        <v>1029</v>
      </c>
    </row>
    <row r="849" spans="1:4" x14ac:dyDescent="0.25">
      <c r="A849" s="279">
        <v>39038</v>
      </c>
      <c r="B849" t="s">
        <v>338</v>
      </c>
      <c r="C849" t="s">
        <v>81</v>
      </c>
      <c r="D849">
        <v>34773</v>
      </c>
    </row>
    <row r="850" spans="1:4" x14ac:dyDescent="0.25">
      <c r="A850" s="279">
        <v>39038</v>
      </c>
      <c r="B850" t="s">
        <v>338</v>
      </c>
      <c r="C850" t="s">
        <v>82</v>
      </c>
      <c r="D850">
        <v>36452</v>
      </c>
    </row>
    <row r="851" spans="1:4" x14ac:dyDescent="0.25">
      <c r="A851" s="279">
        <v>39038</v>
      </c>
      <c r="B851" t="s">
        <v>338</v>
      </c>
      <c r="C851" t="s">
        <v>84</v>
      </c>
      <c r="D851">
        <v>1430</v>
      </c>
    </row>
    <row r="852" spans="1:4" x14ac:dyDescent="0.25">
      <c r="A852" s="279">
        <v>39038</v>
      </c>
      <c r="B852" t="s">
        <v>338</v>
      </c>
      <c r="C852" t="s">
        <v>83</v>
      </c>
      <c r="D852">
        <v>0</v>
      </c>
    </row>
    <row r="853" spans="1:4" x14ac:dyDescent="0.25">
      <c r="A853" s="279">
        <v>39038</v>
      </c>
      <c r="B853" t="s">
        <v>338</v>
      </c>
      <c r="C853" t="s">
        <v>14</v>
      </c>
      <c r="D853">
        <v>1041</v>
      </c>
    </row>
    <row r="854" spans="1:4" x14ac:dyDescent="0.25">
      <c r="A854" s="279">
        <v>39038</v>
      </c>
      <c r="B854" t="s">
        <v>339</v>
      </c>
      <c r="C854" t="s">
        <v>20</v>
      </c>
      <c r="D854">
        <v>70153</v>
      </c>
    </row>
    <row r="855" spans="1:4" x14ac:dyDescent="0.25">
      <c r="A855" s="279">
        <v>39038</v>
      </c>
      <c r="B855" t="s">
        <v>339</v>
      </c>
      <c r="C855" t="s">
        <v>85</v>
      </c>
      <c r="D855">
        <v>23019</v>
      </c>
    </row>
    <row r="856" spans="1:4" x14ac:dyDescent="0.25">
      <c r="A856" s="279">
        <v>39038</v>
      </c>
      <c r="B856" t="s">
        <v>339</v>
      </c>
      <c r="C856" t="s">
        <v>86</v>
      </c>
      <c r="D856">
        <v>0</v>
      </c>
    </row>
    <row r="857" spans="1:4" x14ac:dyDescent="0.25">
      <c r="A857" s="279">
        <v>39038</v>
      </c>
      <c r="B857" t="s">
        <v>339</v>
      </c>
      <c r="C857" t="s">
        <v>87</v>
      </c>
      <c r="D857">
        <v>5</v>
      </c>
    </row>
    <row r="858" spans="1:4" x14ac:dyDescent="0.25">
      <c r="A858" s="279">
        <v>39038</v>
      </c>
      <c r="B858" t="s">
        <v>339</v>
      </c>
      <c r="C858" t="s">
        <v>88</v>
      </c>
      <c r="D858">
        <v>0</v>
      </c>
    </row>
    <row r="859" spans="1:4" x14ac:dyDescent="0.25">
      <c r="A859" s="279">
        <v>39038</v>
      </c>
      <c r="B859" t="s">
        <v>339</v>
      </c>
      <c r="C859" t="s">
        <v>14</v>
      </c>
      <c r="D859">
        <v>1029</v>
      </c>
    </row>
    <row r="860" spans="1:4" x14ac:dyDescent="0.25">
      <c r="A860" s="279">
        <v>39039</v>
      </c>
      <c r="B860" t="s">
        <v>338</v>
      </c>
      <c r="C860" t="s">
        <v>81</v>
      </c>
      <c r="D860">
        <v>35751</v>
      </c>
    </row>
    <row r="861" spans="1:4" x14ac:dyDescent="0.25">
      <c r="A861" s="279">
        <v>39039</v>
      </c>
      <c r="B861" t="s">
        <v>338</v>
      </c>
      <c r="C861" t="s">
        <v>82</v>
      </c>
      <c r="D861">
        <v>58679</v>
      </c>
    </row>
    <row r="862" spans="1:4" x14ac:dyDescent="0.25">
      <c r="A862" s="279">
        <v>39039</v>
      </c>
      <c r="B862" t="s">
        <v>338</v>
      </c>
      <c r="C862" t="s">
        <v>84</v>
      </c>
      <c r="D862">
        <v>1660</v>
      </c>
    </row>
    <row r="863" spans="1:4" x14ac:dyDescent="0.25">
      <c r="A863" s="279">
        <v>39039</v>
      </c>
      <c r="B863" t="s">
        <v>338</v>
      </c>
      <c r="C863" t="s">
        <v>83</v>
      </c>
      <c r="D863">
        <v>0</v>
      </c>
    </row>
    <row r="864" spans="1:4" x14ac:dyDescent="0.25">
      <c r="A864" s="279">
        <v>39039</v>
      </c>
      <c r="B864" t="s">
        <v>338</v>
      </c>
      <c r="C864" t="s">
        <v>14</v>
      </c>
      <c r="D864">
        <v>1037</v>
      </c>
    </row>
    <row r="865" spans="1:4" x14ac:dyDescent="0.25">
      <c r="A865" s="279">
        <v>39039</v>
      </c>
      <c r="B865" t="s">
        <v>339</v>
      </c>
      <c r="C865" t="s">
        <v>20</v>
      </c>
      <c r="D865">
        <v>82714</v>
      </c>
    </row>
    <row r="866" spans="1:4" x14ac:dyDescent="0.25">
      <c r="A866" s="279">
        <v>39039</v>
      </c>
      <c r="B866" t="s">
        <v>339</v>
      </c>
      <c r="C866" t="s">
        <v>85</v>
      </c>
      <c r="D866">
        <v>35621</v>
      </c>
    </row>
    <row r="867" spans="1:4" x14ac:dyDescent="0.25">
      <c r="A867" s="279">
        <v>39039</v>
      </c>
      <c r="B867" t="s">
        <v>339</v>
      </c>
      <c r="C867" t="s">
        <v>86</v>
      </c>
      <c r="D867">
        <v>0</v>
      </c>
    </row>
    <row r="868" spans="1:4" x14ac:dyDescent="0.25">
      <c r="A868" s="279">
        <v>39039</v>
      </c>
      <c r="B868" t="s">
        <v>339</v>
      </c>
      <c r="C868" t="s">
        <v>87</v>
      </c>
      <c r="D868">
        <v>0</v>
      </c>
    </row>
    <row r="869" spans="1:4" x14ac:dyDescent="0.25">
      <c r="A869" s="279">
        <v>39039</v>
      </c>
      <c r="B869" t="s">
        <v>339</v>
      </c>
      <c r="C869" t="s">
        <v>88</v>
      </c>
      <c r="D869">
        <v>1699</v>
      </c>
    </row>
    <row r="870" spans="1:4" x14ac:dyDescent="0.25">
      <c r="A870" s="279">
        <v>39039</v>
      </c>
      <c r="B870" t="s">
        <v>339</v>
      </c>
      <c r="C870" t="s">
        <v>14</v>
      </c>
      <c r="D870">
        <v>1029</v>
      </c>
    </row>
    <row r="871" spans="1:4" x14ac:dyDescent="0.25">
      <c r="A871" s="279">
        <v>39040</v>
      </c>
      <c r="B871" t="s">
        <v>338</v>
      </c>
      <c r="C871" t="s">
        <v>81</v>
      </c>
      <c r="D871">
        <v>53414</v>
      </c>
    </row>
    <row r="872" spans="1:4" x14ac:dyDescent="0.25">
      <c r="A872" s="279">
        <v>39040</v>
      </c>
      <c r="B872" t="s">
        <v>338</v>
      </c>
      <c r="C872" t="s">
        <v>82</v>
      </c>
      <c r="D872">
        <v>60450</v>
      </c>
    </row>
    <row r="873" spans="1:4" x14ac:dyDescent="0.25">
      <c r="A873" s="279">
        <v>39040</v>
      </c>
      <c r="B873" t="s">
        <v>338</v>
      </c>
      <c r="C873" t="s">
        <v>84</v>
      </c>
      <c r="D873">
        <v>1630</v>
      </c>
    </row>
    <row r="874" spans="1:4" x14ac:dyDescent="0.25">
      <c r="A874" s="279">
        <v>39040</v>
      </c>
      <c r="B874" t="s">
        <v>338</v>
      </c>
      <c r="C874" t="s">
        <v>83</v>
      </c>
      <c r="D874">
        <v>0</v>
      </c>
    </row>
    <row r="875" spans="1:4" x14ac:dyDescent="0.25">
      <c r="A875" s="279">
        <v>39040</v>
      </c>
      <c r="B875" t="s">
        <v>338</v>
      </c>
      <c r="C875" t="s">
        <v>14</v>
      </c>
      <c r="D875">
        <v>1037</v>
      </c>
    </row>
    <row r="876" spans="1:4" x14ac:dyDescent="0.25">
      <c r="A876" s="279">
        <v>39040</v>
      </c>
      <c r="B876" t="s">
        <v>339</v>
      </c>
      <c r="C876" t="s">
        <v>20</v>
      </c>
      <c r="D876">
        <v>92220</v>
      </c>
    </row>
    <row r="877" spans="1:4" x14ac:dyDescent="0.25">
      <c r="A877" s="279">
        <v>39040</v>
      </c>
      <c r="B877" t="s">
        <v>339</v>
      </c>
      <c r="C877" t="s">
        <v>85</v>
      </c>
      <c r="D877">
        <v>26405</v>
      </c>
    </row>
    <row r="878" spans="1:4" x14ac:dyDescent="0.25">
      <c r="A878" s="279">
        <v>39040</v>
      </c>
      <c r="B878" t="s">
        <v>339</v>
      </c>
      <c r="C878" t="s">
        <v>86</v>
      </c>
      <c r="D878">
        <v>0</v>
      </c>
    </row>
    <row r="879" spans="1:4" x14ac:dyDescent="0.25">
      <c r="A879" s="279">
        <v>39040</v>
      </c>
      <c r="B879" t="s">
        <v>339</v>
      </c>
      <c r="C879" t="s">
        <v>87</v>
      </c>
      <c r="D879">
        <v>0</v>
      </c>
    </row>
    <row r="880" spans="1:4" x14ac:dyDescent="0.25">
      <c r="A880" s="279">
        <v>39040</v>
      </c>
      <c r="B880" t="s">
        <v>339</v>
      </c>
      <c r="C880" t="s">
        <v>88</v>
      </c>
      <c r="D880">
        <v>5943</v>
      </c>
    </row>
    <row r="881" spans="1:4" x14ac:dyDescent="0.25">
      <c r="A881" s="279">
        <v>39040</v>
      </c>
      <c r="B881" t="s">
        <v>339</v>
      </c>
      <c r="C881" t="s">
        <v>14</v>
      </c>
      <c r="D881">
        <v>1030</v>
      </c>
    </row>
    <row r="882" spans="1:4" x14ac:dyDescent="0.25">
      <c r="A882" s="279">
        <v>39041</v>
      </c>
      <c r="B882" t="s">
        <v>338</v>
      </c>
      <c r="C882" t="s">
        <v>81</v>
      </c>
      <c r="D882">
        <v>63822</v>
      </c>
    </row>
    <row r="883" spans="1:4" x14ac:dyDescent="0.25">
      <c r="A883" s="279">
        <v>39041</v>
      </c>
      <c r="B883" t="s">
        <v>338</v>
      </c>
      <c r="C883" t="s">
        <v>82</v>
      </c>
      <c r="D883">
        <v>77173</v>
      </c>
    </row>
    <row r="884" spans="1:4" x14ac:dyDescent="0.25">
      <c r="A884" s="279">
        <v>39041</v>
      </c>
      <c r="B884" t="s">
        <v>338</v>
      </c>
      <c r="C884" t="s">
        <v>84</v>
      </c>
      <c r="D884">
        <v>2070</v>
      </c>
    </row>
    <row r="885" spans="1:4" x14ac:dyDescent="0.25">
      <c r="A885" s="279">
        <v>39041</v>
      </c>
      <c r="B885" t="s">
        <v>338</v>
      </c>
      <c r="C885" t="s">
        <v>83</v>
      </c>
      <c r="D885">
        <v>0</v>
      </c>
    </row>
    <row r="886" spans="1:4" x14ac:dyDescent="0.25">
      <c r="A886" s="279">
        <v>39041</v>
      </c>
      <c r="B886" t="s">
        <v>338</v>
      </c>
      <c r="C886" t="s">
        <v>14</v>
      </c>
      <c r="D886">
        <v>1037</v>
      </c>
    </row>
    <row r="887" spans="1:4" x14ac:dyDescent="0.25">
      <c r="A887" s="279">
        <v>39041</v>
      </c>
      <c r="B887" t="s">
        <v>339</v>
      </c>
      <c r="C887" t="s">
        <v>20</v>
      </c>
      <c r="D887">
        <v>91318</v>
      </c>
    </row>
    <row r="888" spans="1:4" x14ac:dyDescent="0.25">
      <c r="A888" s="279">
        <v>39041</v>
      </c>
      <c r="B888" t="s">
        <v>339</v>
      </c>
      <c r="C888" t="s">
        <v>85</v>
      </c>
      <c r="D888">
        <v>36659</v>
      </c>
    </row>
    <row r="889" spans="1:4" x14ac:dyDescent="0.25">
      <c r="A889" s="279">
        <v>39041</v>
      </c>
      <c r="B889" t="s">
        <v>339</v>
      </c>
      <c r="C889" t="s">
        <v>86</v>
      </c>
      <c r="D889">
        <v>0</v>
      </c>
    </row>
    <row r="890" spans="1:4" x14ac:dyDescent="0.25">
      <c r="A890" s="279">
        <v>39041</v>
      </c>
      <c r="B890" t="s">
        <v>339</v>
      </c>
      <c r="C890" t="s">
        <v>87</v>
      </c>
      <c r="D890">
        <v>4083</v>
      </c>
    </row>
    <row r="891" spans="1:4" x14ac:dyDescent="0.25">
      <c r="A891" s="279">
        <v>39041</v>
      </c>
      <c r="B891" t="s">
        <v>339</v>
      </c>
      <c r="C891" t="s">
        <v>88</v>
      </c>
      <c r="D891">
        <v>16563</v>
      </c>
    </row>
    <row r="892" spans="1:4" x14ac:dyDescent="0.25">
      <c r="A892" s="279">
        <v>39041</v>
      </c>
      <c r="B892" t="s">
        <v>339</v>
      </c>
      <c r="C892" t="s">
        <v>14</v>
      </c>
      <c r="D892">
        <v>1031</v>
      </c>
    </row>
    <row r="893" spans="1:4" x14ac:dyDescent="0.25">
      <c r="A893" s="279">
        <v>39042</v>
      </c>
      <c r="B893" t="s">
        <v>338</v>
      </c>
      <c r="C893" t="s">
        <v>81</v>
      </c>
      <c r="D893">
        <v>69507</v>
      </c>
    </row>
    <row r="894" spans="1:4" x14ac:dyDescent="0.25">
      <c r="A894" s="279">
        <v>39042</v>
      </c>
      <c r="B894" t="s">
        <v>338</v>
      </c>
      <c r="C894" t="s">
        <v>82</v>
      </c>
      <c r="D894">
        <v>72265</v>
      </c>
    </row>
    <row r="895" spans="1:4" x14ac:dyDescent="0.25">
      <c r="A895" s="279">
        <v>39042</v>
      </c>
      <c r="B895" t="s">
        <v>338</v>
      </c>
      <c r="C895" t="s">
        <v>84</v>
      </c>
      <c r="D895">
        <v>1940</v>
      </c>
    </row>
    <row r="896" spans="1:4" x14ac:dyDescent="0.25">
      <c r="A896" s="279">
        <v>39042</v>
      </c>
      <c r="B896" t="s">
        <v>338</v>
      </c>
      <c r="C896" t="s">
        <v>83</v>
      </c>
      <c r="D896">
        <v>0</v>
      </c>
    </row>
    <row r="897" spans="1:4" x14ac:dyDescent="0.25">
      <c r="A897" s="279">
        <v>39042</v>
      </c>
      <c r="B897" t="s">
        <v>338</v>
      </c>
      <c r="C897" t="s">
        <v>14</v>
      </c>
      <c r="D897">
        <v>1038</v>
      </c>
    </row>
    <row r="898" spans="1:4" x14ac:dyDescent="0.25">
      <c r="A898" s="279">
        <v>39042</v>
      </c>
      <c r="B898" t="s">
        <v>339</v>
      </c>
      <c r="C898" t="s">
        <v>20</v>
      </c>
      <c r="D898">
        <v>87381</v>
      </c>
    </row>
    <row r="899" spans="1:4" x14ac:dyDescent="0.25">
      <c r="A899" s="279">
        <v>39042</v>
      </c>
      <c r="B899" t="s">
        <v>339</v>
      </c>
      <c r="C899" t="s">
        <v>85</v>
      </c>
      <c r="D899">
        <v>30665</v>
      </c>
    </row>
    <row r="900" spans="1:4" x14ac:dyDescent="0.25">
      <c r="A900" s="279">
        <v>39042</v>
      </c>
      <c r="B900" t="s">
        <v>339</v>
      </c>
      <c r="C900" t="s">
        <v>86</v>
      </c>
      <c r="D900">
        <v>0</v>
      </c>
    </row>
    <row r="901" spans="1:4" x14ac:dyDescent="0.25">
      <c r="A901" s="279">
        <v>39042</v>
      </c>
      <c r="B901" t="s">
        <v>339</v>
      </c>
      <c r="C901" t="s">
        <v>87</v>
      </c>
      <c r="D901">
        <v>453</v>
      </c>
    </row>
    <row r="902" spans="1:4" x14ac:dyDescent="0.25">
      <c r="A902" s="279">
        <v>39042</v>
      </c>
      <c r="B902" t="s">
        <v>339</v>
      </c>
      <c r="C902" t="s">
        <v>88</v>
      </c>
      <c r="D902">
        <v>22248</v>
      </c>
    </row>
    <row r="903" spans="1:4" x14ac:dyDescent="0.25">
      <c r="A903" s="279">
        <v>39042</v>
      </c>
      <c r="B903" t="s">
        <v>339</v>
      </c>
      <c r="C903" t="s">
        <v>14</v>
      </c>
      <c r="D903">
        <v>1031</v>
      </c>
    </row>
    <row r="904" spans="1:4" x14ac:dyDescent="0.25">
      <c r="A904" s="279">
        <v>39043</v>
      </c>
      <c r="B904" t="s">
        <v>338</v>
      </c>
      <c r="C904" t="s">
        <v>81</v>
      </c>
      <c r="D904">
        <v>59797</v>
      </c>
    </row>
    <row r="905" spans="1:4" x14ac:dyDescent="0.25">
      <c r="A905" s="279">
        <v>39043</v>
      </c>
      <c r="B905" t="s">
        <v>338</v>
      </c>
      <c r="C905" t="s">
        <v>82</v>
      </c>
      <c r="D905">
        <v>56761</v>
      </c>
    </row>
    <row r="906" spans="1:4" x14ac:dyDescent="0.25">
      <c r="A906" s="279">
        <v>39043</v>
      </c>
      <c r="B906" t="s">
        <v>338</v>
      </c>
      <c r="C906" t="s">
        <v>84</v>
      </c>
      <c r="D906">
        <v>2300</v>
      </c>
    </row>
    <row r="907" spans="1:4" x14ac:dyDescent="0.25">
      <c r="A907" s="279">
        <v>39043</v>
      </c>
      <c r="B907" t="s">
        <v>338</v>
      </c>
      <c r="C907" t="s">
        <v>83</v>
      </c>
      <c r="D907">
        <v>0</v>
      </c>
    </row>
    <row r="908" spans="1:4" x14ac:dyDescent="0.25">
      <c r="A908" s="279">
        <v>39043</v>
      </c>
      <c r="B908" t="s">
        <v>338</v>
      </c>
      <c r="C908" t="s">
        <v>14</v>
      </c>
      <c r="D908">
        <v>1038</v>
      </c>
    </row>
    <row r="909" spans="1:4" x14ac:dyDescent="0.25">
      <c r="A909" s="279">
        <v>39043</v>
      </c>
      <c r="B909" t="s">
        <v>339</v>
      </c>
      <c r="C909" t="s">
        <v>20</v>
      </c>
      <c r="D909">
        <v>90893</v>
      </c>
    </row>
    <row r="910" spans="1:4" x14ac:dyDescent="0.25">
      <c r="A910" s="279">
        <v>39043</v>
      </c>
      <c r="B910" t="s">
        <v>339</v>
      </c>
      <c r="C910" t="s">
        <v>85</v>
      </c>
      <c r="D910">
        <v>40830</v>
      </c>
    </row>
    <row r="911" spans="1:4" x14ac:dyDescent="0.25">
      <c r="A911" s="279">
        <v>39043</v>
      </c>
      <c r="B911" t="s">
        <v>339</v>
      </c>
      <c r="C911" t="s">
        <v>86</v>
      </c>
      <c r="D911">
        <v>26432</v>
      </c>
    </row>
    <row r="912" spans="1:4" x14ac:dyDescent="0.25">
      <c r="A912" s="279">
        <v>39043</v>
      </c>
      <c r="B912" t="s">
        <v>339</v>
      </c>
      <c r="C912" t="s">
        <v>87</v>
      </c>
      <c r="D912">
        <v>0</v>
      </c>
    </row>
    <row r="913" spans="1:4" x14ac:dyDescent="0.25">
      <c r="A913" s="279">
        <v>39043</v>
      </c>
      <c r="B913" t="s">
        <v>339</v>
      </c>
      <c r="C913" t="s">
        <v>88</v>
      </c>
      <c r="D913">
        <v>24413</v>
      </c>
    </row>
    <row r="914" spans="1:4" x14ac:dyDescent="0.25">
      <c r="A914" s="279">
        <v>39043</v>
      </c>
      <c r="B914" t="s">
        <v>339</v>
      </c>
      <c r="C914" t="s">
        <v>14</v>
      </c>
      <c r="D914">
        <v>1032</v>
      </c>
    </row>
    <row r="915" spans="1:4" x14ac:dyDescent="0.25">
      <c r="A915" s="279">
        <v>39044</v>
      </c>
      <c r="B915" t="s">
        <v>338</v>
      </c>
      <c r="C915" t="s">
        <v>81</v>
      </c>
      <c r="D915">
        <v>46537</v>
      </c>
    </row>
    <row r="916" spans="1:4" x14ac:dyDescent="0.25">
      <c r="A916" s="279">
        <v>39044</v>
      </c>
      <c r="B916" t="s">
        <v>338</v>
      </c>
      <c r="C916" t="s">
        <v>82</v>
      </c>
      <c r="D916">
        <v>37048</v>
      </c>
    </row>
    <row r="917" spans="1:4" x14ac:dyDescent="0.25">
      <c r="A917" s="279">
        <v>39044</v>
      </c>
      <c r="B917" t="s">
        <v>338</v>
      </c>
      <c r="C917" t="s">
        <v>84</v>
      </c>
      <c r="D917">
        <v>1930</v>
      </c>
    </row>
    <row r="918" spans="1:4" x14ac:dyDescent="0.25">
      <c r="A918" s="279">
        <v>39044</v>
      </c>
      <c r="B918" t="s">
        <v>338</v>
      </c>
      <c r="C918" t="s">
        <v>83</v>
      </c>
      <c r="D918">
        <v>0</v>
      </c>
    </row>
    <row r="919" spans="1:4" x14ac:dyDescent="0.25">
      <c r="A919" s="279">
        <v>39044</v>
      </c>
      <c r="B919" t="s">
        <v>338</v>
      </c>
      <c r="C919" t="s">
        <v>14</v>
      </c>
      <c r="D919">
        <v>1038</v>
      </c>
    </row>
    <row r="920" spans="1:4" x14ac:dyDescent="0.25">
      <c r="A920" s="279">
        <v>39044</v>
      </c>
      <c r="B920" t="s">
        <v>339</v>
      </c>
      <c r="C920" t="s">
        <v>20</v>
      </c>
      <c r="D920">
        <v>77848</v>
      </c>
    </row>
    <row r="921" spans="1:4" x14ac:dyDescent="0.25">
      <c r="A921" s="279">
        <v>39044</v>
      </c>
      <c r="B921" t="s">
        <v>339</v>
      </c>
      <c r="C921" t="s">
        <v>85</v>
      </c>
      <c r="D921">
        <v>42818</v>
      </c>
    </row>
    <row r="922" spans="1:4" x14ac:dyDescent="0.25">
      <c r="A922" s="279">
        <v>39044</v>
      </c>
      <c r="B922" t="s">
        <v>339</v>
      </c>
      <c r="C922" t="s">
        <v>86</v>
      </c>
      <c r="D922">
        <v>30554</v>
      </c>
    </row>
    <row r="923" spans="1:4" x14ac:dyDescent="0.25">
      <c r="A923" s="279">
        <v>39044</v>
      </c>
      <c r="B923" t="s">
        <v>339</v>
      </c>
      <c r="C923" t="s">
        <v>87</v>
      </c>
      <c r="D923">
        <v>0</v>
      </c>
    </row>
    <row r="924" spans="1:4" x14ac:dyDescent="0.25">
      <c r="A924" s="279">
        <v>39044</v>
      </c>
      <c r="B924" t="s">
        <v>339</v>
      </c>
      <c r="C924" t="s">
        <v>88</v>
      </c>
      <c r="D924">
        <v>23513</v>
      </c>
    </row>
    <row r="925" spans="1:4" x14ac:dyDescent="0.25">
      <c r="A925" s="279">
        <v>39044</v>
      </c>
      <c r="B925" t="s">
        <v>339</v>
      </c>
      <c r="C925" t="s">
        <v>14</v>
      </c>
      <c r="D925">
        <v>1032</v>
      </c>
    </row>
    <row r="926" spans="1:4" x14ac:dyDescent="0.25">
      <c r="A926" s="279">
        <v>39045</v>
      </c>
      <c r="B926" t="s">
        <v>338</v>
      </c>
      <c r="C926" t="s">
        <v>81</v>
      </c>
      <c r="D926">
        <v>42138</v>
      </c>
    </row>
    <row r="927" spans="1:4" x14ac:dyDescent="0.25">
      <c r="A927" s="279">
        <v>39045</v>
      </c>
      <c r="B927" t="s">
        <v>338</v>
      </c>
      <c r="C927" t="s">
        <v>82</v>
      </c>
      <c r="D927">
        <v>42714</v>
      </c>
    </row>
    <row r="928" spans="1:4" x14ac:dyDescent="0.25">
      <c r="A928" s="279">
        <v>39045</v>
      </c>
      <c r="B928" t="s">
        <v>338</v>
      </c>
      <c r="C928" t="s">
        <v>84</v>
      </c>
      <c r="D928">
        <v>1440</v>
      </c>
    </row>
    <row r="929" spans="1:4" x14ac:dyDescent="0.25">
      <c r="A929" s="279">
        <v>39045</v>
      </c>
      <c r="B929" t="s">
        <v>338</v>
      </c>
      <c r="C929" t="s">
        <v>83</v>
      </c>
      <c r="D929">
        <v>0</v>
      </c>
    </row>
    <row r="930" spans="1:4" x14ac:dyDescent="0.25">
      <c r="A930" s="279">
        <v>39045</v>
      </c>
      <c r="B930" t="s">
        <v>338</v>
      </c>
      <c r="C930" t="s">
        <v>14</v>
      </c>
      <c r="D930">
        <v>1037</v>
      </c>
    </row>
    <row r="931" spans="1:4" x14ac:dyDescent="0.25">
      <c r="A931" s="279">
        <v>39045</v>
      </c>
      <c r="B931" t="s">
        <v>339</v>
      </c>
      <c r="C931" t="s">
        <v>20</v>
      </c>
      <c r="D931">
        <v>69399</v>
      </c>
    </row>
    <row r="932" spans="1:4" x14ac:dyDescent="0.25">
      <c r="A932" s="279">
        <v>39045</v>
      </c>
      <c r="B932" t="s">
        <v>339</v>
      </c>
      <c r="C932" t="s">
        <v>85</v>
      </c>
      <c r="D932">
        <v>37662</v>
      </c>
    </row>
    <row r="933" spans="1:4" x14ac:dyDescent="0.25">
      <c r="A933" s="279">
        <v>39045</v>
      </c>
      <c r="B933" t="s">
        <v>339</v>
      </c>
      <c r="C933" t="s">
        <v>86</v>
      </c>
      <c r="D933">
        <v>6923</v>
      </c>
    </row>
    <row r="934" spans="1:4" x14ac:dyDescent="0.25">
      <c r="A934" s="279">
        <v>39045</v>
      </c>
      <c r="B934" t="s">
        <v>339</v>
      </c>
      <c r="C934" t="s">
        <v>87</v>
      </c>
      <c r="D934">
        <v>0</v>
      </c>
    </row>
    <row r="935" spans="1:4" x14ac:dyDescent="0.25">
      <c r="A935" s="279">
        <v>39045</v>
      </c>
      <c r="B935" t="s">
        <v>339</v>
      </c>
      <c r="C935" t="s">
        <v>88</v>
      </c>
      <c r="D935">
        <v>12375</v>
      </c>
    </row>
    <row r="936" spans="1:4" x14ac:dyDescent="0.25">
      <c r="A936" s="279">
        <v>39045</v>
      </c>
      <c r="B936" t="s">
        <v>339</v>
      </c>
      <c r="C936" t="s">
        <v>14</v>
      </c>
      <c r="D936">
        <v>1032</v>
      </c>
    </row>
    <row r="937" spans="1:4" x14ac:dyDescent="0.25">
      <c r="A937" s="279">
        <v>39046</v>
      </c>
      <c r="B937" t="s">
        <v>338</v>
      </c>
      <c r="C937" t="s">
        <v>81</v>
      </c>
      <c r="D937">
        <v>36536</v>
      </c>
    </row>
    <row r="938" spans="1:4" x14ac:dyDescent="0.25">
      <c r="A938" s="279">
        <v>39046</v>
      </c>
      <c r="B938" t="s">
        <v>338</v>
      </c>
      <c r="C938" t="s">
        <v>82</v>
      </c>
      <c r="D938">
        <v>48415</v>
      </c>
    </row>
    <row r="939" spans="1:4" x14ac:dyDescent="0.25">
      <c r="A939" s="279">
        <v>39046</v>
      </c>
      <c r="B939" t="s">
        <v>338</v>
      </c>
      <c r="C939" t="s">
        <v>84</v>
      </c>
      <c r="D939">
        <v>1620</v>
      </c>
    </row>
    <row r="940" spans="1:4" x14ac:dyDescent="0.25">
      <c r="A940" s="279">
        <v>39046</v>
      </c>
      <c r="B940" t="s">
        <v>338</v>
      </c>
      <c r="C940" t="s">
        <v>83</v>
      </c>
      <c r="D940">
        <v>0</v>
      </c>
    </row>
    <row r="941" spans="1:4" x14ac:dyDescent="0.25">
      <c r="A941" s="279">
        <v>39046</v>
      </c>
      <c r="B941" t="s">
        <v>338</v>
      </c>
      <c r="C941" t="s">
        <v>14</v>
      </c>
      <c r="D941">
        <v>1035</v>
      </c>
    </row>
    <row r="942" spans="1:4" x14ac:dyDescent="0.25">
      <c r="A942" s="279">
        <v>39046</v>
      </c>
      <c r="B942" t="s">
        <v>339</v>
      </c>
      <c r="C942" t="s">
        <v>20</v>
      </c>
      <c r="D942">
        <v>77611</v>
      </c>
    </row>
    <row r="943" spans="1:4" x14ac:dyDescent="0.25">
      <c r="A943" s="279">
        <v>39046</v>
      </c>
      <c r="B943" t="s">
        <v>339</v>
      </c>
      <c r="C943" t="s">
        <v>85</v>
      </c>
      <c r="D943">
        <v>40286</v>
      </c>
    </row>
    <row r="944" spans="1:4" x14ac:dyDescent="0.25">
      <c r="A944" s="279">
        <v>39046</v>
      </c>
      <c r="B944" t="s">
        <v>339</v>
      </c>
      <c r="C944" t="s">
        <v>86</v>
      </c>
      <c r="D944">
        <v>2052</v>
      </c>
    </row>
    <row r="945" spans="1:4" x14ac:dyDescent="0.25">
      <c r="A945" s="279">
        <v>39046</v>
      </c>
      <c r="B945" t="s">
        <v>339</v>
      </c>
      <c r="C945" t="s">
        <v>87</v>
      </c>
      <c r="D945">
        <v>0</v>
      </c>
    </row>
    <row r="946" spans="1:4" x14ac:dyDescent="0.25">
      <c r="A946" s="279">
        <v>39046</v>
      </c>
      <c r="B946" t="s">
        <v>339</v>
      </c>
      <c r="C946" t="s">
        <v>88</v>
      </c>
      <c r="D946">
        <v>7356</v>
      </c>
    </row>
    <row r="947" spans="1:4" x14ac:dyDescent="0.25">
      <c r="A947" s="279">
        <v>39046</v>
      </c>
      <c r="B947" t="s">
        <v>339</v>
      </c>
      <c r="C947" t="s">
        <v>14</v>
      </c>
      <c r="D947">
        <v>1032</v>
      </c>
    </row>
    <row r="948" spans="1:4" x14ac:dyDescent="0.25">
      <c r="A948" s="279">
        <v>39047</v>
      </c>
      <c r="B948" t="s">
        <v>338</v>
      </c>
      <c r="C948" t="s">
        <v>81</v>
      </c>
      <c r="D948">
        <v>34763</v>
      </c>
    </row>
    <row r="949" spans="1:4" x14ac:dyDescent="0.25">
      <c r="A949" s="279">
        <v>39047</v>
      </c>
      <c r="B949" t="s">
        <v>338</v>
      </c>
      <c r="C949" t="s">
        <v>82</v>
      </c>
      <c r="D949">
        <v>45494</v>
      </c>
    </row>
    <row r="950" spans="1:4" x14ac:dyDescent="0.25">
      <c r="A950" s="279">
        <v>39047</v>
      </c>
      <c r="B950" t="s">
        <v>338</v>
      </c>
      <c r="C950" t="s">
        <v>84</v>
      </c>
      <c r="D950">
        <v>1500</v>
      </c>
    </row>
    <row r="951" spans="1:4" x14ac:dyDescent="0.25">
      <c r="A951" s="279">
        <v>39047</v>
      </c>
      <c r="B951" t="s">
        <v>338</v>
      </c>
      <c r="C951" t="s">
        <v>83</v>
      </c>
      <c r="D951">
        <v>0</v>
      </c>
    </row>
    <row r="952" spans="1:4" x14ac:dyDescent="0.25">
      <c r="A952" s="279">
        <v>39047</v>
      </c>
      <c r="B952" t="s">
        <v>338</v>
      </c>
      <c r="C952" t="s">
        <v>14</v>
      </c>
      <c r="D952">
        <v>1035</v>
      </c>
    </row>
    <row r="953" spans="1:4" x14ac:dyDescent="0.25">
      <c r="A953" s="279">
        <v>39047</v>
      </c>
      <c r="B953" t="s">
        <v>339</v>
      </c>
      <c r="C953" t="s">
        <v>20</v>
      </c>
      <c r="D953">
        <v>77178</v>
      </c>
    </row>
    <row r="954" spans="1:4" x14ac:dyDescent="0.25">
      <c r="A954" s="279">
        <v>39047</v>
      </c>
      <c r="B954" t="s">
        <v>339</v>
      </c>
      <c r="C954" t="s">
        <v>85</v>
      </c>
      <c r="D954">
        <v>39741</v>
      </c>
    </row>
    <row r="955" spans="1:4" x14ac:dyDescent="0.25">
      <c r="A955" s="279">
        <v>39047</v>
      </c>
      <c r="B955" t="s">
        <v>339</v>
      </c>
      <c r="C955" t="s">
        <v>86</v>
      </c>
      <c r="D955">
        <v>0</v>
      </c>
    </row>
    <row r="956" spans="1:4" x14ac:dyDescent="0.25">
      <c r="A956" s="279">
        <v>39047</v>
      </c>
      <c r="B956" t="s">
        <v>339</v>
      </c>
      <c r="C956" t="s">
        <v>87</v>
      </c>
      <c r="D956">
        <v>0</v>
      </c>
    </row>
    <row r="957" spans="1:4" x14ac:dyDescent="0.25">
      <c r="A957" s="279">
        <v>39047</v>
      </c>
      <c r="B957" t="s">
        <v>339</v>
      </c>
      <c r="C957" t="s">
        <v>88</v>
      </c>
      <c r="D957">
        <v>6329</v>
      </c>
    </row>
    <row r="958" spans="1:4" x14ac:dyDescent="0.25">
      <c r="A958" s="279">
        <v>39047</v>
      </c>
      <c r="B958" t="s">
        <v>339</v>
      </c>
      <c r="C958" t="s">
        <v>14</v>
      </c>
      <c r="D958">
        <v>1031</v>
      </c>
    </row>
    <row r="959" spans="1:4" x14ac:dyDescent="0.25">
      <c r="A959" s="279">
        <v>39048</v>
      </c>
      <c r="B959" t="s">
        <v>338</v>
      </c>
      <c r="C959" t="s">
        <v>81</v>
      </c>
      <c r="D959">
        <v>32063</v>
      </c>
    </row>
    <row r="960" spans="1:4" x14ac:dyDescent="0.25">
      <c r="A960" s="279">
        <v>39048</v>
      </c>
      <c r="B960" t="s">
        <v>338</v>
      </c>
      <c r="C960" t="s">
        <v>82</v>
      </c>
      <c r="D960">
        <v>36203</v>
      </c>
    </row>
    <row r="961" spans="1:4" x14ac:dyDescent="0.25">
      <c r="A961" s="279">
        <v>39048</v>
      </c>
      <c r="B961" t="s">
        <v>338</v>
      </c>
      <c r="C961" t="s">
        <v>84</v>
      </c>
      <c r="D961">
        <v>1490</v>
      </c>
    </row>
    <row r="962" spans="1:4" x14ac:dyDescent="0.25">
      <c r="A962" s="279">
        <v>39048</v>
      </c>
      <c r="B962" t="s">
        <v>338</v>
      </c>
      <c r="C962" t="s">
        <v>83</v>
      </c>
      <c r="D962">
        <v>0</v>
      </c>
    </row>
    <row r="963" spans="1:4" x14ac:dyDescent="0.25">
      <c r="A963" s="279">
        <v>39048</v>
      </c>
      <c r="B963" t="s">
        <v>338</v>
      </c>
      <c r="C963" t="s">
        <v>14</v>
      </c>
      <c r="D963">
        <v>1036</v>
      </c>
    </row>
    <row r="964" spans="1:4" x14ac:dyDescent="0.25">
      <c r="A964" s="279">
        <v>39048</v>
      </c>
      <c r="B964" t="s">
        <v>339</v>
      </c>
      <c r="C964" t="s">
        <v>20</v>
      </c>
      <c r="D964">
        <v>76195</v>
      </c>
    </row>
    <row r="965" spans="1:4" x14ac:dyDescent="0.25">
      <c r="A965" s="279">
        <v>39048</v>
      </c>
      <c r="B965" t="s">
        <v>339</v>
      </c>
      <c r="C965" t="s">
        <v>85</v>
      </c>
      <c r="D965">
        <v>38658</v>
      </c>
    </row>
    <row r="966" spans="1:4" x14ac:dyDescent="0.25">
      <c r="A966" s="279">
        <v>39048</v>
      </c>
      <c r="B966" t="s">
        <v>339</v>
      </c>
      <c r="C966" t="s">
        <v>86</v>
      </c>
      <c r="D966">
        <v>10715</v>
      </c>
    </row>
    <row r="967" spans="1:4" x14ac:dyDescent="0.25">
      <c r="A967" s="279">
        <v>39048</v>
      </c>
      <c r="B967" t="s">
        <v>339</v>
      </c>
      <c r="C967" t="s">
        <v>87</v>
      </c>
      <c r="D967">
        <v>0</v>
      </c>
    </row>
    <row r="968" spans="1:4" x14ac:dyDescent="0.25">
      <c r="A968" s="279">
        <v>39048</v>
      </c>
      <c r="B968" t="s">
        <v>339</v>
      </c>
      <c r="C968" t="s">
        <v>88</v>
      </c>
      <c r="D968">
        <v>245</v>
      </c>
    </row>
    <row r="969" spans="1:4" x14ac:dyDescent="0.25">
      <c r="A969" s="279">
        <v>39048</v>
      </c>
      <c r="B969" t="s">
        <v>339</v>
      </c>
      <c r="C969" t="s">
        <v>14</v>
      </c>
      <c r="D969">
        <v>1029</v>
      </c>
    </row>
    <row r="970" spans="1:4" x14ac:dyDescent="0.25">
      <c r="A970" s="279">
        <v>39049</v>
      </c>
      <c r="B970" t="s">
        <v>338</v>
      </c>
      <c r="C970" t="s">
        <v>81</v>
      </c>
      <c r="D970">
        <v>35054</v>
      </c>
    </row>
    <row r="971" spans="1:4" x14ac:dyDescent="0.25">
      <c r="A971" s="279">
        <v>39049</v>
      </c>
      <c r="B971" t="s">
        <v>338</v>
      </c>
      <c r="C971" t="s">
        <v>82</v>
      </c>
      <c r="D971">
        <v>34219</v>
      </c>
    </row>
    <row r="972" spans="1:4" x14ac:dyDescent="0.25">
      <c r="A972" s="279">
        <v>39049</v>
      </c>
      <c r="B972" t="s">
        <v>338</v>
      </c>
      <c r="C972" t="s">
        <v>84</v>
      </c>
      <c r="D972">
        <v>1470</v>
      </c>
    </row>
    <row r="973" spans="1:4" x14ac:dyDescent="0.25">
      <c r="A973" s="279">
        <v>39049</v>
      </c>
      <c r="B973" t="s">
        <v>338</v>
      </c>
      <c r="C973" t="s">
        <v>83</v>
      </c>
      <c r="D973">
        <v>0</v>
      </c>
    </row>
    <row r="974" spans="1:4" x14ac:dyDescent="0.25">
      <c r="A974" s="279">
        <v>39049</v>
      </c>
      <c r="B974" t="s">
        <v>338</v>
      </c>
      <c r="C974" t="s">
        <v>14</v>
      </c>
      <c r="D974">
        <v>1035</v>
      </c>
    </row>
    <row r="975" spans="1:4" x14ac:dyDescent="0.25">
      <c r="A975" s="279">
        <v>39049</v>
      </c>
      <c r="B975" t="s">
        <v>339</v>
      </c>
      <c r="C975" t="s">
        <v>20</v>
      </c>
      <c r="D975">
        <v>66446</v>
      </c>
    </row>
    <row r="976" spans="1:4" x14ac:dyDescent="0.25">
      <c r="A976" s="279">
        <v>39049</v>
      </c>
      <c r="B976" t="s">
        <v>339</v>
      </c>
      <c r="C976" t="s">
        <v>85</v>
      </c>
      <c r="D976">
        <v>29400</v>
      </c>
    </row>
    <row r="977" spans="1:4" x14ac:dyDescent="0.25">
      <c r="A977" s="279">
        <v>39049</v>
      </c>
      <c r="B977" t="s">
        <v>339</v>
      </c>
      <c r="C977" t="s">
        <v>86</v>
      </c>
      <c r="D977">
        <v>139</v>
      </c>
    </row>
    <row r="978" spans="1:4" x14ac:dyDescent="0.25">
      <c r="A978" s="279">
        <v>39049</v>
      </c>
      <c r="B978" t="s">
        <v>339</v>
      </c>
      <c r="C978" t="s">
        <v>87</v>
      </c>
      <c r="D978">
        <v>0</v>
      </c>
    </row>
    <row r="979" spans="1:4" x14ac:dyDescent="0.25">
      <c r="A979" s="279">
        <v>39049</v>
      </c>
      <c r="B979" t="s">
        <v>339</v>
      </c>
      <c r="C979" t="s">
        <v>88</v>
      </c>
      <c r="D979">
        <v>0</v>
      </c>
    </row>
    <row r="980" spans="1:4" x14ac:dyDescent="0.25">
      <c r="A980" s="279">
        <v>39049</v>
      </c>
      <c r="B980" t="s">
        <v>339</v>
      </c>
      <c r="C980" t="s">
        <v>14</v>
      </c>
      <c r="D980">
        <v>1028</v>
      </c>
    </row>
    <row r="981" spans="1:4" x14ac:dyDescent="0.25">
      <c r="A981" s="279">
        <v>39050</v>
      </c>
      <c r="B981" t="s">
        <v>338</v>
      </c>
      <c r="C981" t="s">
        <v>81</v>
      </c>
      <c r="D981">
        <v>32513</v>
      </c>
    </row>
    <row r="982" spans="1:4" x14ac:dyDescent="0.25">
      <c r="A982" s="279">
        <v>39050</v>
      </c>
      <c r="B982" t="s">
        <v>338</v>
      </c>
      <c r="C982" t="s">
        <v>82</v>
      </c>
      <c r="D982">
        <v>29437</v>
      </c>
    </row>
    <row r="983" spans="1:4" x14ac:dyDescent="0.25">
      <c r="A983" s="279">
        <v>39050</v>
      </c>
      <c r="B983" t="s">
        <v>338</v>
      </c>
      <c r="C983" t="s">
        <v>84</v>
      </c>
      <c r="D983">
        <v>1220</v>
      </c>
    </row>
    <row r="984" spans="1:4" x14ac:dyDescent="0.25">
      <c r="A984" s="279">
        <v>39050</v>
      </c>
      <c r="B984" t="s">
        <v>338</v>
      </c>
      <c r="C984" t="s">
        <v>83</v>
      </c>
      <c r="D984">
        <v>0</v>
      </c>
    </row>
    <row r="985" spans="1:4" x14ac:dyDescent="0.25">
      <c r="A985" s="279">
        <v>39050</v>
      </c>
      <c r="B985" t="s">
        <v>338</v>
      </c>
      <c r="C985" t="s">
        <v>14</v>
      </c>
      <c r="D985">
        <v>1035</v>
      </c>
    </row>
    <row r="986" spans="1:4" x14ac:dyDescent="0.25">
      <c r="A986" s="279">
        <v>39050</v>
      </c>
      <c r="B986" t="s">
        <v>339</v>
      </c>
      <c r="C986" t="s">
        <v>20</v>
      </c>
      <c r="D986">
        <v>49988</v>
      </c>
    </row>
    <row r="987" spans="1:4" x14ac:dyDescent="0.25">
      <c r="A987" s="279">
        <v>39050</v>
      </c>
      <c r="B987" t="s">
        <v>339</v>
      </c>
      <c r="C987" t="s">
        <v>85</v>
      </c>
      <c r="D987">
        <v>27063</v>
      </c>
    </row>
    <row r="988" spans="1:4" x14ac:dyDescent="0.25">
      <c r="A988" s="279">
        <v>39050</v>
      </c>
      <c r="B988" t="s">
        <v>339</v>
      </c>
      <c r="C988" t="s">
        <v>86</v>
      </c>
      <c r="D988">
        <v>0</v>
      </c>
    </row>
    <row r="989" spans="1:4" x14ac:dyDescent="0.25">
      <c r="A989" s="279">
        <v>39050</v>
      </c>
      <c r="B989" t="s">
        <v>339</v>
      </c>
      <c r="C989" t="s">
        <v>87</v>
      </c>
      <c r="D989">
        <v>0</v>
      </c>
    </row>
    <row r="990" spans="1:4" x14ac:dyDescent="0.25">
      <c r="A990" s="279">
        <v>39050</v>
      </c>
      <c r="B990" t="s">
        <v>339</v>
      </c>
      <c r="C990" t="s">
        <v>88</v>
      </c>
      <c r="D990">
        <v>0</v>
      </c>
    </row>
    <row r="991" spans="1:4" x14ac:dyDescent="0.25">
      <c r="A991" s="279">
        <v>39050</v>
      </c>
      <c r="B991" t="s">
        <v>339</v>
      </c>
      <c r="C991" t="s">
        <v>14</v>
      </c>
      <c r="D991">
        <v>1029</v>
      </c>
    </row>
    <row r="992" spans="1:4" x14ac:dyDescent="0.25">
      <c r="A992" s="279">
        <v>39051</v>
      </c>
      <c r="B992" t="s">
        <v>338</v>
      </c>
      <c r="C992" t="s">
        <v>81</v>
      </c>
      <c r="D992">
        <v>16511</v>
      </c>
    </row>
    <row r="993" spans="1:4" x14ac:dyDescent="0.25">
      <c r="A993" s="279">
        <v>39051</v>
      </c>
      <c r="B993" t="s">
        <v>338</v>
      </c>
      <c r="C993" t="s">
        <v>82</v>
      </c>
      <c r="D993">
        <v>16127</v>
      </c>
    </row>
    <row r="994" spans="1:4" x14ac:dyDescent="0.25">
      <c r="A994" s="279">
        <v>39051</v>
      </c>
      <c r="B994" t="s">
        <v>338</v>
      </c>
      <c r="C994" t="s">
        <v>84</v>
      </c>
      <c r="D994">
        <v>750</v>
      </c>
    </row>
    <row r="995" spans="1:4" x14ac:dyDescent="0.25">
      <c r="A995" s="279">
        <v>39051</v>
      </c>
      <c r="B995" t="s">
        <v>338</v>
      </c>
      <c r="C995" t="s">
        <v>83</v>
      </c>
      <c r="D995">
        <v>0</v>
      </c>
    </row>
    <row r="996" spans="1:4" x14ac:dyDescent="0.25">
      <c r="A996" s="279">
        <v>39051</v>
      </c>
      <c r="B996" t="s">
        <v>338</v>
      </c>
      <c r="C996" t="s">
        <v>14</v>
      </c>
      <c r="D996">
        <v>1033</v>
      </c>
    </row>
    <row r="997" spans="1:4" x14ac:dyDescent="0.25">
      <c r="A997" s="279">
        <v>39051</v>
      </c>
      <c r="B997" t="s">
        <v>339</v>
      </c>
      <c r="C997" t="s">
        <v>20</v>
      </c>
      <c r="D997">
        <v>45639</v>
      </c>
    </row>
    <row r="998" spans="1:4" x14ac:dyDescent="0.25">
      <c r="A998" s="279">
        <v>39051</v>
      </c>
      <c r="B998" t="s">
        <v>339</v>
      </c>
      <c r="C998" t="s">
        <v>85</v>
      </c>
      <c r="D998">
        <v>29808</v>
      </c>
    </row>
    <row r="999" spans="1:4" x14ac:dyDescent="0.25">
      <c r="A999" s="279">
        <v>39051</v>
      </c>
      <c r="B999" t="s">
        <v>339</v>
      </c>
      <c r="C999" t="s">
        <v>86</v>
      </c>
      <c r="D999">
        <v>0</v>
      </c>
    </row>
    <row r="1000" spans="1:4" x14ac:dyDescent="0.25">
      <c r="A1000" s="279">
        <v>39051</v>
      </c>
      <c r="B1000" t="s">
        <v>339</v>
      </c>
      <c r="C1000" t="s">
        <v>87</v>
      </c>
      <c r="D1000">
        <v>0</v>
      </c>
    </row>
    <row r="1001" spans="1:4" x14ac:dyDescent="0.25">
      <c r="A1001" s="279">
        <v>39051</v>
      </c>
      <c r="B1001" t="s">
        <v>339</v>
      </c>
      <c r="C1001" t="s">
        <v>88</v>
      </c>
      <c r="D1001">
        <v>0</v>
      </c>
    </row>
    <row r="1002" spans="1:4" x14ac:dyDescent="0.25">
      <c r="A1002" s="279">
        <v>39051</v>
      </c>
      <c r="B1002" t="s">
        <v>339</v>
      </c>
      <c r="C1002" t="s">
        <v>14</v>
      </c>
      <c r="D1002">
        <v>1029</v>
      </c>
    </row>
    <row r="1003" spans="1:4" x14ac:dyDescent="0.25">
      <c r="A1003" s="279">
        <v>39052</v>
      </c>
      <c r="B1003" t="s">
        <v>338</v>
      </c>
      <c r="C1003" t="s">
        <v>81</v>
      </c>
      <c r="D1003">
        <v>30195</v>
      </c>
    </row>
    <row r="1004" spans="1:4" x14ac:dyDescent="0.25">
      <c r="A1004" s="279">
        <v>39052</v>
      </c>
      <c r="B1004" t="s">
        <v>338</v>
      </c>
      <c r="C1004" t="s">
        <v>82</v>
      </c>
      <c r="D1004">
        <v>35485</v>
      </c>
    </row>
    <row r="1005" spans="1:4" x14ac:dyDescent="0.25">
      <c r="A1005" s="279">
        <v>39052</v>
      </c>
      <c r="B1005" t="s">
        <v>338</v>
      </c>
      <c r="C1005" t="s">
        <v>84</v>
      </c>
      <c r="D1005">
        <v>1150</v>
      </c>
    </row>
    <row r="1006" spans="1:4" x14ac:dyDescent="0.25">
      <c r="A1006" s="279">
        <v>39052</v>
      </c>
      <c r="B1006" t="s">
        <v>338</v>
      </c>
      <c r="C1006" t="s">
        <v>83</v>
      </c>
      <c r="D1006">
        <v>0</v>
      </c>
    </row>
    <row r="1007" spans="1:4" x14ac:dyDescent="0.25">
      <c r="A1007" s="279">
        <v>39052</v>
      </c>
      <c r="B1007" t="s">
        <v>338</v>
      </c>
      <c r="C1007" t="s">
        <v>14</v>
      </c>
      <c r="D1007">
        <v>1033</v>
      </c>
    </row>
    <row r="1008" spans="1:4" x14ac:dyDescent="0.25">
      <c r="A1008" s="279">
        <v>39052</v>
      </c>
      <c r="B1008" t="s">
        <v>339</v>
      </c>
      <c r="C1008" t="s">
        <v>20</v>
      </c>
      <c r="D1008">
        <v>42367</v>
      </c>
    </row>
    <row r="1009" spans="1:4" x14ac:dyDescent="0.25">
      <c r="A1009" s="279">
        <v>39052</v>
      </c>
      <c r="B1009" t="s">
        <v>339</v>
      </c>
      <c r="C1009" t="s">
        <v>85</v>
      </c>
      <c r="D1009">
        <v>31382</v>
      </c>
    </row>
    <row r="1010" spans="1:4" x14ac:dyDescent="0.25">
      <c r="A1010" s="279">
        <v>39052</v>
      </c>
      <c r="B1010" t="s">
        <v>339</v>
      </c>
      <c r="C1010" t="s">
        <v>86</v>
      </c>
      <c r="D1010">
        <v>0</v>
      </c>
    </row>
    <row r="1011" spans="1:4" x14ac:dyDescent="0.25">
      <c r="A1011" s="279">
        <v>39052</v>
      </c>
      <c r="B1011" t="s">
        <v>339</v>
      </c>
      <c r="C1011" t="s">
        <v>87</v>
      </c>
      <c r="D1011">
        <v>0</v>
      </c>
    </row>
    <row r="1012" spans="1:4" x14ac:dyDescent="0.25">
      <c r="A1012" s="279">
        <v>39052</v>
      </c>
      <c r="B1012" t="s">
        <v>339</v>
      </c>
      <c r="C1012" t="s">
        <v>88</v>
      </c>
      <c r="D1012">
        <v>0</v>
      </c>
    </row>
    <row r="1013" spans="1:4" x14ac:dyDescent="0.25">
      <c r="A1013" s="279">
        <v>39052</v>
      </c>
      <c r="B1013" t="s">
        <v>339</v>
      </c>
      <c r="C1013" t="s">
        <v>14</v>
      </c>
      <c r="D1013">
        <v>1028</v>
      </c>
    </row>
    <row r="1014" spans="1:4" x14ac:dyDescent="0.25">
      <c r="A1014" s="279">
        <v>39053</v>
      </c>
      <c r="B1014" t="s">
        <v>338</v>
      </c>
      <c r="C1014" t="s">
        <v>81</v>
      </c>
      <c r="D1014">
        <v>51160</v>
      </c>
    </row>
    <row r="1015" spans="1:4" x14ac:dyDescent="0.25">
      <c r="A1015" s="279">
        <v>39053</v>
      </c>
      <c r="B1015" t="s">
        <v>338</v>
      </c>
      <c r="C1015" t="s">
        <v>82</v>
      </c>
      <c r="D1015">
        <v>54521</v>
      </c>
    </row>
    <row r="1016" spans="1:4" x14ac:dyDescent="0.25">
      <c r="A1016" s="279">
        <v>39053</v>
      </c>
      <c r="B1016" t="s">
        <v>338</v>
      </c>
      <c r="C1016" t="s">
        <v>84</v>
      </c>
      <c r="D1016">
        <v>1940</v>
      </c>
    </row>
    <row r="1017" spans="1:4" x14ac:dyDescent="0.25">
      <c r="A1017" s="279">
        <v>39053</v>
      </c>
      <c r="B1017" t="s">
        <v>338</v>
      </c>
      <c r="C1017" t="s">
        <v>83</v>
      </c>
      <c r="D1017">
        <v>0</v>
      </c>
    </row>
    <row r="1018" spans="1:4" x14ac:dyDescent="0.25">
      <c r="A1018" s="279">
        <v>39053</v>
      </c>
      <c r="B1018" t="s">
        <v>338</v>
      </c>
      <c r="C1018" t="s">
        <v>14</v>
      </c>
      <c r="D1018">
        <v>1034</v>
      </c>
    </row>
    <row r="1019" spans="1:4" x14ac:dyDescent="0.25">
      <c r="A1019" s="279">
        <v>39053</v>
      </c>
      <c r="B1019" t="s">
        <v>339</v>
      </c>
      <c r="C1019" t="s">
        <v>20</v>
      </c>
      <c r="D1019">
        <v>89401</v>
      </c>
    </row>
    <row r="1020" spans="1:4" x14ac:dyDescent="0.25">
      <c r="A1020" s="279">
        <v>39053</v>
      </c>
      <c r="B1020" t="s">
        <v>339</v>
      </c>
      <c r="C1020" t="s">
        <v>85</v>
      </c>
      <c r="D1020">
        <v>42646</v>
      </c>
    </row>
    <row r="1021" spans="1:4" x14ac:dyDescent="0.25">
      <c r="A1021" s="279">
        <v>39053</v>
      </c>
      <c r="B1021" t="s">
        <v>339</v>
      </c>
      <c r="C1021" t="s">
        <v>86</v>
      </c>
      <c r="D1021">
        <v>5946</v>
      </c>
    </row>
    <row r="1022" spans="1:4" x14ac:dyDescent="0.25">
      <c r="A1022" s="279">
        <v>39053</v>
      </c>
      <c r="B1022" t="s">
        <v>339</v>
      </c>
      <c r="C1022" t="s">
        <v>87</v>
      </c>
      <c r="D1022">
        <v>0</v>
      </c>
    </row>
    <row r="1023" spans="1:4" x14ac:dyDescent="0.25">
      <c r="A1023" s="279">
        <v>39053</v>
      </c>
      <c r="B1023" t="s">
        <v>339</v>
      </c>
      <c r="C1023" t="s">
        <v>88</v>
      </c>
      <c r="D1023">
        <v>17484</v>
      </c>
    </row>
    <row r="1024" spans="1:4" x14ac:dyDescent="0.25">
      <c r="A1024" s="279">
        <v>39053</v>
      </c>
      <c r="B1024" t="s">
        <v>339</v>
      </c>
      <c r="C1024" t="s">
        <v>14</v>
      </c>
      <c r="D1024">
        <v>1030</v>
      </c>
    </row>
    <row r="1025" spans="1:4" x14ac:dyDescent="0.25">
      <c r="A1025" s="279">
        <v>39054</v>
      </c>
      <c r="B1025" t="s">
        <v>338</v>
      </c>
      <c r="C1025" t="s">
        <v>81</v>
      </c>
      <c r="D1025">
        <v>72501</v>
      </c>
    </row>
    <row r="1026" spans="1:4" x14ac:dyDescent="0.25">
      <c r="A1026" s="279">
        <v>39054</v>
      </c>
      <c r="B1026" t="s">
        <v>338</v>
      </c>
      <c r="C1026" t="s">
        <v>82</v>
      </c>
      <c r="D1026">
        <v>69555</v>
      </c>
    </row>
    <row r="1027" spans="1:4" x14ac:dyDescent="0.25">
      <c r="A1027" s="279">
        <v>39054</v>
      </c>
      <c r="B1027" t="s">
        <v>338</v>
      </c>
      <c r="C1027" t="s">
        <v>84</v>
      </c>
      <c r="D1027">
        <v>1829</v>
      </c>
    </row>
    <row r="1028" spans="1:4" x14ac:dyDescent="0.25">
      <c r="A1028" s="279">
        <v>39054</v>
      </c>
      <c r="B1028" t="s">
        <v>338</v>
      </c>
      <c r="C1028" t="s">
        <v>83</v>
      </c>
      <c r="D1028">
        <v>0</v>
      </c>
    </row>
    <row r="1029" spans="1:4" x14ac:dyDescent="0.25">
      <c r="A1029" s="279">
        <v>39054</v>
      </c>
      <c r="B1029" t="s">
        <v>338</v>
      </c>
      <c r="C1029" t="s">
        <v>14</v>
      </c>
      <c r="D1029">
        <v>1030</v>
      </c>
    </row>
    <row r="1030" spans="1:4" x14ac:dyDescent="0.25">
      <c r="A1030" s="279">
        <v>39054</v>
      </c>
      <c r="B1030" t="s">
        <v>339</v>
      </c>
      <c r="C1030" t="s">
        <v>20</v>
      </c>
      <c r="D1030">
        <v>75606</v>
      </c>
    </row>
    <row r="1031" spans="1:4" x14ac:dyDescent="0.25">
      <c r="A1031" s="279">
        <v>39054</v>
      </c>
      <c r="B1031" t="s">
        <v>339</v>
      </c>
      <c r="C1031" t="s">
        <v>85</v>
      </c>
      <c r="D1031">
        <v>29221</v>
      </c>
    </row>
    <row r="1032" spans="1:4" x14ac:dyDescent="0.25">
      <c r="A1032" s="279">
        <v>39054</v>
      </c>
      <c r="B1032" t="s">
        <v>339</v>
      </c>
      <c r="C1032" t="s">
        <v>86</v>
      </c>
      <c r="D1032">
        <v>3257</v>
      </c>
    </row>
    <row r="1033" spans="1:4" x14ac:dyDescent="0.25">
      <c r="A1033" s="279">
        <v>39054</v>
      </c>
      <c r="B1033" t="s">
        <v>339</v>
      </c>
      <c r="C1033" t="s">
        <v>87</v>
      </c>
      <c r="D1033">
        <v>4610</v>
      </c>
    </row>
    <row r="1034" spans="1:4" x14ac:dyDescent="0.25">
      <c r="A1034" s="279">
        <v>39054</v>
      </c>
      <c r="B1034" t="s">
        <v>339</v>
      </c>
      <c r="C1034" t="s">
        <v>88</v>
      </c>
      <c r="D1034">
        <v>21634</v>
      </c>
    </row>
    <row r="1035" spans="1:4" x14ac:dyDescent="0.25">
      <c r="A1035" s="279">
        <v>39054</v>
      </c>
      <c r="B1035" t="s">
        <v>339</v>
      </c>
      <c r="C1035" t="s">
        <v>14</v>
      </c>
      <c r="D1035">
        <v>1029</v>
      </c>
    </row>
    <row r="1036" spans="1:4" x14ac:dyDescent="0.25">
      <c r="A1036" s="279">
        <v>39055</v>
      </c>
      <c r="B1036" t="s">
        <v>338</v>
      </c>
      <c r="C1036" t="s">
        <v>81</v>
      </c>
      <c r="D1036">
        <v>76579</v>
      </c>
    </row>
    <row r="1037" spans="1:4" x14ac:dyDescent="0.25">
      <c r="A1037" s="279">
        <v>39055</v>
      </c>
      <c r="B1037" t="s">
        <v>338</v>
      </c>
      <c r="C1037" t="s">
        <v>82</v>
      </c>
      <c r="D1037">
        <v>68352</v>
      </c>
    </row>
    <row r="1038" spans="1:4" x14ac:dyDescent="0.25">
      <c r="A1038" s="279">
        <v>39055</v>
      </c>
      <c r="B1038" t="s">
        <v>338</v>
      </c>
      <c r="C1038" t="s">
        <v>84</v>
      </c>
      <c r="D1038">
        <v>1740</v>
      </c>
    </row>
    <row r="1039" spans="1:4" x14ac:dyDescent="0.25">
      <c r="A1039" s="279">
        <v>39055</v>
      </c>
      <c r="B1039" t="s">
        <v>338</v>
      </c>
      <c r="C1039" t="s">
        <v>83</v>
      </c>
      <c r="D1039">
        <v>0</v>
      </c>
    </row>
    <row r="1040" spans="1:4" x14ac:dyDescent="0.25">
      <c r="A1040" s="279">
        <v>39055</v>
      </c>
      <c r="B1040" t="s">
        <v>338</v>
      </c>
      <c r="C1040" t="s">
        <v>14</v>
      </c>
      <c r="D1040">
        <v>1020</v>
      </c>
    </row>
    <row r="1041" spans="1:4" x14ac:dyDescent="0.25">
      <c r="A1041" s="279">
        <v>39055</v>
      </c>
      <c r="B1041" t="s">
        <v>339</v>
      </c>
      <c r="C1041" t="s">
        <v>20</v>
      </c>
      <c r="D1041">
        <v>89015</v>
      </c>
    </row>
    <row r="1042" spans="1:4" x14ac:dyDescent="0.25">
      <c r="A1042" s="279">
        <v>39055</v>
      </c>
      <c r="B1042" t="s">
        <v>339</v>
      </c>
      <c r="C1042" t="s">
        <v>85</v>
      </c>
      <c r="D1042">
        <v>45384</v>
      </c>
    </row>
    <row r="1043" spans="1:4" x14ac:dyDescent="0.25">
      <c r="A1043" s="279">
        <v>39055</v>
      </c>
      <c r="B1043" t="s">
        <v>339</v>
      </c>
      <c r="C1043" t="s">
        <v>86</v>
      </c>
      <c r="D1043">
        <v>14379</v>
      </c>
    </row>
    <row r="1044" spans="1:4" x14ac:dyDescent="0.25">
      <c r="A1044" s="279">
        <v>39055</v>
      </c>
      <c r="B1044" t="s">
        <v>339</v>
      </c>
      <c r="C1044" t="s">
        <v>87</v>
      </c>
      <c r="D1044">
        <v>23019</v>
      </c>
    </row>
    <row r="1045" spans="1:4" x14ac:dyDescent="0.25">
      <c r="A1045" s="279">
        <v>39055</v>
      </c>
      <c r="B1045" t="s">
        <v>339</v>
      </c>
      <c r="C1045" t="s">
        <v>88</v>
      </c>
      <c r="D1045">
        <v>26865</v>
      </c>
    </row>
    <row r="1046" spans="1:4" x14ac:dyDescent="0.25">
      <c r="A1046" s="279">
        <v>39055</v>
      </c>
      <c r="B1046" t="s">
        <v>339</v>
      </c>
      <c r="C1046" t="s">
        <v>14</v>
      </c>
      <c r="D1046">
        <v>1031</v>
      </c>
    </row>
    <row r="1047" spans="1:4" x14ac:dyDescent="0.25">
      <c r="A1047" s="279">
        <v>39056</v>
      </c>
      <c r="B1047" t="s">
        <v>338</v>
      </c>
      <c r="C1047" t="s">
        <v>81</v>
      </c>
      <c r="D1047">
        <v>80290</v>
      </c>
    </row>
    <row r="1048" spans="1:4" x14ac:dyDescent="0.25">
      <c r="A1048" s="279">
        <v>39056</v>
      </c>
      <c r="B1048" t="s">
        <v>338</v>
      </c>
      <c r="C1048" t="s">
        <v>82</v>
      </c>
      <c r="D1048">
        <v>71449</v>
      </c>
    </row>
    <row r="1049" spans="1:4" x14ac:dyDescent="0.25">
      <c r="A1049" s="279">
        <v>39056</v>
      </c>
      <c r="B1049" t="s">
        <v>338</v>
      </c>
      <c r="C1049" t="s">
        <v>84</v>
      </c>
      <c r="D1049">
        <v>1790</v>
      </c>
    </row>
    <row r="1050" spans="1:4" x14ac:dyDescent="0.25">
      <c r="A1050" s="279">
        <v>39056</v>
      </c>
      <c r="B1050" t="s">
        <v>338</v>
      </c>
      <c r="C1050" t="s">
        <v>83</v>
      </c>
      <c r="D1050">
        <v>0</v>
      </c>
    </row>
    <row r="1051" spans="1:4" x14ac:dyDescent="0.25">
      <c r="A1051" s="279">
        <v>39056</v>
      </c>
      <c r="B1051" t="s">
        <v>338</v>
      </c>
      <c r="C1051" t="s">
        <v>14</v>
      </c>
      <c r="D1051">
        <v>1034</v>
      </c>
    </row>
    <row r="1052" spans="1:4" x14ac:dyDescent="0.25">
      <c r="A1052" s="279">
        <v>39056</v>
      </c>
      <c r="B1052" t="s">
        <v>339</v>
      </c>
      <c r="C1052" t="s">
        <v>20</v>
      </c>
      <c r="D1052">
        <v>84678</v>
      </c>
    </row>
    <row r="1053" spans="1:4" x14ac:dyDescent="0.25">
      <c r="A1053" s="279">
        <v>39056</v>
      </c>
      <c r="B1053" t="s">
        <v>339</v>
      </c>
      <c r="C1053" t="s">
        <v>85</v>
      </c>
      <c r="D1053">
        <v>49591</v>
      </c>
    </row>
    <row r="1054" spans="1:4" x14ac:dyDescent="0.25">
      <c r="A1054" s="279">
        <v>39056</v>
      </c>
      <c r="B1054" t="s">
        <v>339</v>
      </c>
      <c r="C1054" t="s">
        <v>86</v>
      </c>
      <c r="D1054">
        <v>19785</v>
      </c>
    </row>
    <row r="1055" spans="1:4" x14ac:dyDescent="0.25">
      <c r="A1055" s="279">
        <v>39056</v>
      </c>
      <c r="B1055" t="s">
        <v>339</v>
      </c>
      <c r="C1055" t="s">
        <v>87</v>
      </c>
      <c r="D1055">
        <v>21703</v>
      </c>
    </row>
    <row r="1056" spans="1:4" x14ac:dyDescent="0.25">
      <c r="A1056" s="279">
        <v>39056</v>
      </c>
      <c r="B1056" t="s">
        <v>339</v>
      </c>
      <c r="C1056" t="s">
        <v>88</v>
      </c>
      <c r="D1056">
        <v>26566</v>
      </c>
    </row>
    <row r="1057" spans="1:4" x14ac:dyDescent="0.25">
      <c r="A1057" s="279">
        <v>39056</v>
      </c>
      <c r="B1057" t="s">
        <v>339</v>
      </c>
      <c r="C1057" t="s">
        <v>14</v>
      </c>
      <c r="D1057">
        <v>1033</v>
      </c>
    </row>
    <row r="1058" spans="1:4" x14ac:dyDescent="0.25">
      <c r="A1058" s="279">
        <v>39057</v>
      </c>
      <c r="B1058" t="s">
        <v>338</v>
      </c>
      <c r="C1058" t="s">
        <v>81</v>
      </c>
      <c r="D1058">
        <v>54984</v>
      </c>
    </row>
    <row r="1059" spans="1:4" x14ac:dyDescent="0.25">
      <c r="A1059" s="279">
        <v>39057</v>
      </c>
      <c r="B1059" t="s">
        <v>338</v>
      </c>
      <c r="C1059" t="s">
        <v>82</v>
      </c>
      <c r="D1059">
        <v>53722</v>
      </c>
    </row>
    <row r="1060" spans="1:4" x14ac:dyDescent="0.25">
      <c r="A1060" s="279">
        <v>39057</v>
      </c>
      <c r="B1060" t="s">
        <v>338</v>
      </c>
      <c r="C1060" t="s">
        <v>84</v>
      </c>
      <c r="D1060">
        <v>1520</v>
      </c>
    </row>
    <row r="1061" spans="1:4" x14ac:dyDescent="0.25">
      <c r="A1061" s="279">
        <v>39057</v>
      </c>
      <c r="B1061" t="s">
        <v>338</v>
      </c>
      <c r="C1061" t="s">
        <v>83</v>
      </c>
      <c r="D1061">
        <v>0</v>
      </c>
    </row>
    <row r="1062" spans="1:4" x14ac:dyDescent="0.25">
      <c r="A1062" s="279">
        <v>39057</v>
      </c>
      <c r="B1062" t="s">
        <v>338</v>
      </c>
      <c r="C1062" t="s">
        <v>14</v>
      </c>
      <c r="D1062">
        <v>1030</v>
      </c>
    </row>
    <row r="1063" spans="1:4" x14ac:dyDescent="0.25">
      <c r="A1063" s="279">
        <v>39057</v>
      </c>
      <c r="B1063" t="s">
        <v>339</v>
      </c>
      <c r="C1063" t="s">
        <v>20</v>
      </c>
      <c r="D1063">
        <v>56411</v>
      </c>
    </row>
    <row r="1064" spans="1:4" x14ac:dyDescent="0.25">
      <c r="A1064" s="279">
        <v>39057</v>
      </c>
      <c r="B1064" t="s">
        <v>339</v>
      </c>
      <c r="C1064" t="s">
        <v>85</v>
      </c>
      <c r="D1064">
        <v>41447</v>
      </c>
    </row>
    <row r="1065" spans="1:4" x14ac:dyDescent="0.25">
      <c r="A1065" s="279">
        <v>39057</v>
      </c>
      <c r="B1065" t="s">
        <v>339</v>
      </c>
      <c r="C1065" t="s">
        <v>86</v>
      </c>
      <c r="D1065">
        <v>30472</v>
      </c>
    </row>
    <row r="1066" spans="1:4" x14ac:dyDescent="0.25">
      <c r="A1066" s="279">
        <v>39057</v>
      </c>
      <c r="B1066" t="s">
        <v>339</v>
      </c>
      <c r="C1066" t="s">
        <v>87</v>
      </c>
      <c r="D1066">
        <v>438</v>
      </c>
    </row>
    <row r="1067" spans="1:4" x14ac:dyDescent="0.25">
      <c r="A1067" s="279">
        <v>39057</v>
      </c>
      <c r="B1067" t="s">
        <v>339</v>
      </c>
      <c r="C1067" t="s">
        <v>88</v>
      </c>
      <c r="D1067">
        <v>21125</v>
      </c>
    </row>
    <row r="1068" spans="1:4" x14ac:dyDescent="0.25">
      <c r="A1068" s="279">
        <v>39057</v>
      </c>
      <c r="B1068" t="s">
        <v>339</v>
      </c>
      <c r="C1068" t="s">
        <v>14</v>
      </c>
      <c r="D1068">
        <v>1033</v>
      </c>
    </row>
    <row r="1069" spans="1:4" x14ac:dyDescent="0.25">
      <c r="A1069" s="279">
        <v>39058</v>
      </c>
      <c r="B1069" t="s">
        <v>338</v>
      </c>
      <c r="C1069" t="s">
        <v>81</v>
      </c>
      <c r="D1069">
        <v>65813</v>
      </c>
    </row>
    <row r="1070" spans="1:4" x14ac:dyDescent="0.25">
      <c r="A1070" s="279">
        <v>39058</v>
      </c>
      <c r="B1070" t="s">
        <v>338</v>
      </c>
      <c r="C1070" t="s">
        <v>82</v>
      </c>
      <c r="D1070">
        <v>72672</v>
      </c>
    </row>
    <row r="1071" spans="1:4" x14ac:dyDescent="0.25">
      <c r="A1071" s="279">
        <v>39058</v>
      </c>
      <c r="B1071" t="s">
        <v>338</v>
      </c>
      <c r="C1071" t="s">
        <v>84</v>
      </c>
      <c r="D1071">
        <v>1851</v>
      </c>
    </row>
    <row r="1072" spans="1:4" x14ac:dyDescent="0.25">
      <c r="A1072" s="279">
        <v>39058</v>
      </c>
      <c r="B1072" t="s">
        <v>338</v>
      </c>
      <c r="C1072" t="s">
        <v>83</v>
      </c>
      <c r="D1072">
        <v>0</v>
      </c>
    </row>
    <row r="1073" spans="1:4" x14ac:dyDescent="0.25">
      <c r="A1073" s="279">
        <v>39058</v>
      </c>
      <c r="B1073" t="s">
        <v>338</v>
      </c>
      <c r="C1073" t="s">
        <v>14</v>
      </c>
      <c r="D1073">
        <v>1030</v>
      </c>
    </row>
    <row r="1074" spans="1:4" x14ac:dyDescent="0.25">
      <c r="A1074" s="279">
        <v>39058</v>
      </c>
      <c r="B1074" t="s">
        <v>339</v>
      </c>
      <c r="C1074" t="s">
        <v>20</v>
      </c>
      <c r="D1074">
        <v>82333</v>
      </c>
    </row>
    <row r="1075" spans="1:4" x14ac:dyDescent="0.25">
      <c r="A1075" s="279">
        <v>39058</v>
      </c>
      <c r="B1075" t="s">
        <v>339</v>
      </c>
      <c r="C1075" t="s">
        <v>85</v>
      </c>
      <c r="D1075">
        <v>55799</v>
      </c>
    </row>
    <row r="1076" spans="1:4" x14ac:dyDescent="0.25">
      <c r="A1076" s="279">
        <v>39058</v>
      </c>
      <c r="B1076" t="s">
        <v>339</v>
      </c>
      <c r="C1076" t="s">
        <v>86</v>
      </c>
      <c r="D1076">
        <v>19439</v>
      </c>
    </row>
    <row r="1077" spans="1:4" x14ac:dyDescent="0.25">
      <c r="A1077" s="279">
        <v>39058</v>
      </c>
      <c r="B1077" t="s">
        <v>339</v>
      </c>
      <c r="C1077" t="s">
        <v>87</v>
      </c>
      <c r="D1077">
        <v>9356</v>
      </c>
    </row>
    <row r="1078" spans="1:4" x14ac:dyDescent="0.25">
      <c r="A1078" s="279">
        <v>39058</v>
      </c>
      <c r="B1078" t="s">
        <v>339</v>
      </c>
      <c r="C1078" t="s">
        <v>88</v>
      </c>
      <c r="D1078">
        <v>20770</v>
      </c>
    </row>
    <row r="1079" spans="1:4" x14ac:dyDescent="0.25">
      <c r="A1079" s="279">
        <v>39058</v>
      </c>
      <c r="B1079" t="s">
        <v>339</v>
      </c>
      <c r="C1079" t="s">
        <v>14</v>
      </c>
      <c r="D1079">
        <v>1031</v>
      </c>
    </row>
    <row r="1080" spans="1:4" x14ac:dyDescent="0.25">
      <c r="A1080" s="279">
        <v>39059</v>
      </c>
      <c r="B1080" t="s">
        <v>338</v>
      </c>
      <c r="C1080" t="s">
        <v>81</v>
      </c>
      <c r="D1080">
        <v>84280</v>
      </c>
    </row>
    <row r="1081" spans="1:4" x14ac:dyDescent="0.25">
      <c r="A1081" s="279">
        <v>39059</v>
      </c>
      <c r="B1081" t="s">
        <v>338</v>
      </c>
      <c r="C1081" t="s">
        <v>82</v>
      </c>
      <c r="D1081">
        <v>93738</v>
      </c>
    </row>
    <row r="1082" spans="1:4" x14ac:dyDescent="0.25">
      <c r="A1082" s="279">
        <v>39059</v>
      </c>
      <c r="B1082" t="s">
        <v>338</v>
      </c>
      <c r="C1082" t="s">
        <v>84</v>
      </c>
      <c r="D1082">
        <v>2169</v>
      </c>
    </row>
    <row r="1083" spans="1:4" x14ac:dyDescent="0.25">
      <c r="A1083" s="279">
        <v>39059</v>
      </c>
      <c r="B1083" t="s">
        <v>338</v>
      </c>
      <c r="C1083" t="s">
        <v>83</v>
      </c>
      <c r="D1083">
        <v>0</v>
      </c>
    </row>
    <row r="1084" spans="1:4" x14ac:dyDescent="0.25">
      <c r="A1084" s="279">
        <v>39059</v>
      </c>
      <c r="B1084" t="s">
        <v>338</v>
      </c>
      <c r="C1084" t="s">
        <v>14</v>
      </c>
      <c r="D1084">
        <v>1030</v>
      </c>
    </row>
    <row r="1085" spans="1:4" x14ac:dyDescent="0.25">
      <c r="A1085" s="279">
        <v>39059</v>
      </c>
      <c r="B1085" t="s">
        <v>339</v>
      </c>
      <c r="C1085" t="s">
        <v>20</v>
      </c>
      <c r="D1085">
        <v>93044</v>
      </c>
    </row>
    <row r="1086" spans="1:4" x14ac:dyDescent="0.25">
      <c r="A1086" s="279">
        <v>39059</v>
      </c>
      <c r="B1086" t="s">
        <v>339</v>
      </c>
      <c r="C1086" t="s">
        <v>85</v>
      </c>
      <c r="D1086">
        <v>51970</v>
      </c>
    </row>
    <row r="1087" spans="1:4" x14ac:dyDescent="0.25">
      <c r="A1087" s="279">
        <v>39059</v>
      </c>
      <c r="B1087" t="s">
        <v>339</v>
      </c>
      <c r="C1087" t="s">
        <v>86</v>
      </c>
      <c r="D1087">
        <v>30880</v>
      </c>
    </row>
    <row r="1088" spans="1:4" x14ac:dyDescent="0.25">
      <c r="A1088" s="279">
        <v>39059</v>
      </c>
      <c r="B1088" t="s">
        <v>339</v>
      </c>
      <c r="C1088" t="s">
        <v>87</v>
      </c>
      <c r="D1088">
        <v>27591</v>
      </c>
    </row>
    <row r="1089" spans="1:4" x14ac:dyDescent="0.25">
      <c r="A1089" s="279">
        <v>39059</v>
      </c>
      <c r="B1089" t="s">
        <v>339</v>
      </c>
      <c r="C1089" t="s">
        <v>88</v>
      </c>
      <c r="D1089">
        <v>28524</v>
      </c>
    </row>
    <row r="1090" spans="1:4" x14ac:dyDescent="0.25">
      <c r="A1090" s="279">
        <v>39059</v>
      </c>
      <c r="B1090" t="s">
        <v>339</v>
      </c>
      <c r="C1090" t="s">
        <v>14</v>
      </c>
      <c r="D1090">
        <v>1034</v>
      </c>
    </row>
    <row r="1091" spans="1:4" x14ac:dyDescent="0.25">
      <c r="A1091" s="279">
        <v>39060</v>
      </c>
      <c r="B1091" t="s">
        <v>338</v>
      </c>
      <c r="C1091" t="s">
        <v>81</v>
      </c>
      <c r="D1091">
        <v>80401</v>
      </c>
    </row>
    <row r="1092" spans="1:4" x14ac:dyDescent="0.25">
      <c r="A1092" s="279">
        <v>39060</v>
      </c>
      <c r="B1092" t="s">
        <v>338</v>
      </c>
      <c r="C1092" t="s">
        <v>82</v>
      </c>
      <c r="D1092">
        <v>74494</v>
      </c>
    </row>
    <row r="1093" spans="1:4" x14ac:dyDescent="0.25">
      <c r="A1093" s="279">
        <v>39060</v>
      </c>
      <c r="B1093" t="s">
        <v>338</v>
      </c>
      <c r="C1093" t="s">
        <v>84</v>
      </c>
      <c r="D1093">
        <v>1800</v>
      </c>
    </row>
    <row r="1094" spans="1:4" x14ac:dyDescent="0.25">
      <c r="A1094" s="279">
        <v>39060</v>
      </c>
      <c r="B1094" t="s">
        <v>338</v>
      </c>
      <c r="C1094" t="s">
        <v>83</v>
      </c>
      <c r="D1094">
        <v>0</v>
      </c>
    </row>
    <row r="1095" spans="1:4" x14ac:dyDescent="0.25">
      <c r="A1095" s="279">
        <v>39060</v>
      </c>
      <c r="B1095" t="s">
        <v>338</v>
      </c>
      <c r="C1095" t="s">
        <v>14</v>
      </c>
      <c r="D1095">
        <v>1043</v>
      </c>
    </row>
    <row r="1096" spans="1:4" x14ac:dyDescent="0.25">
      <c r="A1096" s="279">
        <v>39060</v>
      </c>
      <c r="B1096" t="s">
        <v>339</v>
      </c>
      <c r="C1096" t="s">
        <v>20</v>
      </c>
      <c r="D1096">
        <v>82440</v>
      </c>
    </row>
    <row r="1097" spans="1:4" x14ac:dyDescent="0.25">
      <c r="A1097" s="279">
        <v>39060</v>
      </c>
      <c r="B1097" t="s">
        <v>339</v>
      </c>
      <c r="C1097" t="s">
        <v>85</v>
      </c>
      <c r="D1097">
        <v>40964</v>
      </c>
    </row>
    <row r="1098" spans="1:4" x14ac:dyDescent="0.25">
      <c r="A1098" s="279">
        <v>39060</v>
      </c>
      <c r="B1098" t="s">
        <v>339</v>
      </c>
      <c r="C1098" t="s">
        <v>86</v>
      </c>
      <c r="D1098">
        <v>28798</v>
      </c>
    </row>
    <row r="1099" spans="1:4" x14ac:dyDescent="0.25">
      <c r="A1099" s="279">
        <v>39060</v>
      </c>
      <c r="B1099" t="s">
        <v>339</v>
      </c>
      <c r="C1099" t="s">
        <v>87</v>
      </c>
      <c r="D1099">
        <v>17640</v>
      </c>
    </row>
    <row r="1100" spans="1:4" x14ac:dyDescent="0.25">
      <c r="A1100" s="279">
        <v>39060</v>
      </c>
      <c r="B1100" t="s">
        <v>339</v>
      </c>
      <c r="C1100" t="s">
        <v>88</v>
      </c>
      <c r="D1100">
        <v>24142</v>
      </c>
    </row>
    <row r="1101" spans="1:4" x14ac:dyDescent="0.25">
      <c r="A1101" s="279">
        <v>39060</v>
      </c>
      <c r="B1101" t="s">
        <v>339</v>
      </c>
      <c r="C1101" t="s">
        <v>14</v>
      </c>
      <c r="D1101">
        <v>1034</v>
      </c>
    </row>
    <row r="1102" spans="1:4" x14ac:dyDescent="0.25">
      <c r="A1102" s="279">
        <v>39061</v>
      </c>
      <c r="B1102" t="s">
        <v>338</v>
      </c>
      <c r="C1102" t="s">
        <v>81</v>
      </c>
      <c r="D1102">
        <v>60789</v>
      </c>
    </row>
    <row r="1103" spans="1:4" x14ac:dyDescent="0.25">
      <c r="A1103" s="279">
        <v>39061</v>
      </c>
      <c r="B1103" t="s">
        <v>338</v>
      </c>
      <c r="C1103" t="s">
        <v>82</v>
      </c>
      <c r="D1103">
        <v>58690</v>
      </c>
    </row>
    <row r="1104" spans="1:4" x14ac:dyDescent="0.25">
      <c r="A1104" s="279">
        <v>39061</v>
      </c>
      <c r="B1104" t="s">
        <v>338</v>
      </c>
      <c r="C1104" t="s">
        <v>84</v>
      </c>
      <c r="D1104">
        <v>1430</v>
      </c>
    </row>
    <row r="1105" spans="1:4" x14ac:dyDescent="0.25">
      <c r="A1105" s="279">
        <v>39061</v>
      </c>
      <c r="B1105" t="s">
        <v>338</v>
      </c>
      <c r="C1105" t="s">
        <v>83</v>
      </c>
      <c r="D1105">
        <v>0</v>
      </c>
    </row>
    <row r="1106" spans="1:4" x14ac:dyDescent="0.25">
      <c r="A1106" s="279">
        <v>39061</v>
      </c>
      <c r="B1106" t="s">
        <v>338</v>
      </c>
      <c r="C1106" t="s">
        <v>14</v>
      </c>
      <c r="D1106">
        <v>1039</v>
      </c>
    </row>
    <row r="1107" spans="1:4" x14ac:dyDescent="0.25">
      <c r="A1107" s="279">
        <v>39061</v>
      </c>
      <c r="B1107" t="s">
        <v>339</v>
      </c>
      <c r="C1107" t="s">
        <v>20</v>
      </c>
      <c r="D1107">
        <v>53454</v>
      </c>
    </row>
    <row r="1108" spans="1:4" x14ac:dyDescent="0.25">
      <c r="A1108" s="279">
        <v>39061</v>
      </c>
      <c r="B1108" t="s">
        <v>339</v>
      </c>
      <c r="C1108" t="s">
        <v>85</v>
      </c>
      <c r="D1108">
        <v>34008</v>
      </c>
    </row>
    <row r="1109" spans="1:4" x14ac:dyDescent="0.25">
      <c r="A1109" s="279">
        <v>39061</v>
      </c>
      <c r="B1109" t="s">
        <v>339</v>
      </c>
      <c r="C1109" t="s">
        <v>86</v>
      </c>
      <c r="D1109">
        <v>24362</v>
      </c>
    </row>
    <row r="1110" spans="1:4" x14ac:dyDescent="0.25">
      <c r="A1110" s="279">
        <v>39061</v>
      </c>
      <c r="B1110" t="s">
        <v>339</v>
      </c>
      <c r="C1110" t="s">
        <v>87</v>
      </c>
      <c r="D1110">
        <v>1109</v>
      </c>
    </row>
    <row r="1111" spans="1:4" x14ac:dyDescent="0.25">
      <c r="A1111" s="279">
        <v>39061</v>
      </c>
      <c r="B1111" t="s">
        <v>339</v>
      </c>
      <c r="C1111" t="s">
        <v>88</v>
      </c>
      <c r="D1111">
        <v>21023</v>
      </c>
    </row>
    <row r="1112" spans="1:4" x14ac:dyDescent="0.25">
      <c r="A1112" s="279">
        <v>39061</v>
      </c>
      <c r="B1112" t="s">
        <v>339</v>
      </c>
      <c r="C1112" t="s">
        <v>14</v>
      </c>
      <c r="D1112">
        <v>1032</v>
      </c>
    </row>
    <row r="1113" spans="1:4" x14ac:dyDescent="0.25">
      <c r="A1113" s="279">
        <v>39062</v>
      </c>
      <c r="B1113" t="s">
        <v>338</v>
      </c>
      <c r="C1113" t="s">
        <v>81</v>
      </c>
      <c r="D1113">
        <v>41827</v>
      </c>
    </row>
    <row r="1114" spans="1:4" x14ac:dyDescent="0.25">
      <c r="A1114" s="279">
        <v>39062</v>
      </c>
      <c r="B1114" t="s">
        <v>338</v>
      </c>
      <c r="C1114" t="s">
        <v>82</v>
      </c>
      <c r="D1114">
        <v>60957</v>
      </c>
    </row>
    <row r="1115" spans="1:4" x14ac:dyDescent="0.25">
      <c r="A1115" s="279">
        <v>39062</v>
      </c>
      <c r="B1115" t="s">
        <v>338</v>
      </c>
      <c r="C1115" t="s">
        <v>84</v>
      </c>
      <c r="D1115">
        <v>1220</v>
      </c>
    </row>
    <row r="1116" spans="1:4" x14ac:dyDescent="0.25">
      <c r="A1116" s="279">
        <v>39062</v>
      </c>
      <c r="B1116" t="s">
        <v>338</v>
      </c>
      <c r="C1116" t="s">
        <v>83</v>
      </c>
      <c r="D1116">
        <v>0</v>
      </c>
    </row>
    <row r="1117" spans="1:4" x14ac:dyDescent="0.25">
      <c r="A1117" s="279">
        <v>39062</v>
      </c>
      <c r="B1117" t="s">
        <v>338</v>
      </c>
      <c r="C1117" t="s">
        <v>14</v>
      </c>
      <c r="D1117">
        <v>1041</v>
      </c>
    </row>
    <row r="1118" spans="1:4" x14ac:dyDescent="0.25">
      <c r="A1118" s="279">
        <v>39062</v>
      </c>
      <c r="B1118" t="s">
        <v>339</v>
      </c>
      <c r="C1118" t="s">
        <v>20</v>
      </c>
      <c r="D1118">
        <v>59501</v>
      </c>
    </row>
    <row r="1119" spans="1:4" x14ac:dyDescent="0.25">
      <c r="A1119" s="279">
        <v>39062</v>
      </c>
      <c r="B1119" t="s">
        <v>339</v>
      </c>
      <c r="C1119" t="s">
        <v>85</v>
      </c>
      <c r="D1119">
        <v>39729</v>
      </c>
    </row>
    <row r="1120" spans="1:4" x14ac:dyDescent="0.25">
      <c r="A1120" s="279">
        <v>39062</v>
      </c>
      <c r="B1120" t="s">
        <v>339</v>
      </c>
      <c r="C1120" t="s">
        <v>86</v>
      </c>
      <c r="D1120">
        <v>341</v>
      </c>
    </row>
    <row r="1121" spans="1:4" x14ac:dyDescent="0.25">
      <c r="A1121" s="279">
        <v>39062</v>
      </c>
      <c r="B1121" t="s">
        <v>339</v>
      </c>
      <c r="C1121" t="s">
        <v>87</v>
      </c>
      <c r="D1121">
        <v>0</v>
      </c>
    </row>
    <row r="1122" spans="1:4" x14ac:dyDescent="0.25">
      <c r="A1122" s="279">
        <v>39062</v>
      </c>
      <c r="B1122" t="s">
        <v>339</v>
      </c>
      <c r="C1122" t="s">
        <v>88</v>
      </c>
      <c r="D1122">
        <v>1702</v>
      </c>
    </row>
    <row r="1123" spans="1:4" x14ac:dyDescent="0.25">
      <c r="A1123" s="279">
        <v>39062</v>
      </c>
      <c r="B1123" t="s">
        <v>339</v>
      </c>
      <c r="C1123" t="s">
        <v>14</v>
      </c>
      <c r="D1123">
        <v>1032</v>
      </c>
    </row>
    <row r="1124" spans="1:4" x14ac:dyDescent="0.25">
      <c r="A1124" s="279">
        <v>39063</v>
      </c>
      <c r="B1124" t="s">
        <v>338</v>
      </c>
      <c r="C1124" t="s">
        <v>81</v>
      </c>
      <c r="D1124">
        <v>35878</v>
      </c>
    </row>
    <row r="1125" spans="1:4" x14ac:dyDescent="0.25">
      <c r="A1125" s="279">
        <v>39063</v>
      </c>
      <c r="B1125" t="s">
        <v>338</v>
      </c>
      <c r="C1125" t="s">
        <v>82</v>
      </c>
      <c r="D1125">
        <v>45815</v>
      </c>
    </row>
    <row r="1126" spans="1:4" x14ac:dyDescent="0.25">
      <c r="A1126" s="279">
        <v>39063</v>
      </c>
      <c r="B1126" t="s">
        <v>338</v>
      </c>
      <c r="C1126" t="s">
        <v>84</v>
      </c>
      <c r="D1126">
        <v>1350</v>
      </c>
    </row>
    <row r="1127" spans="1:4" x14ac:dyDescent="0.25">
      <c r="A1127" s="279">
        <v>39063</v>
      </c>
      <c r="B1127" t="s">
        <v>338</v>
      </c>
      <c r="C1127" t="s">
        <v>83</v>
      </c>
      <c r="D1127">
        <v>0</v>
      </c>
    </row>
    <row r="1128" spans="1:4" x14ac:dyDescent="0.25">
      <c r="A1128" s="279">
        <v>39063</v>
      </c>
      <c r="B1128" t="s">
        <v>338</v>
      </c>
      <c r="C1128" t="s">
        <v>14</v>
      </c>
      <c r="D1128">
        <v>1043</v>
      </c>
    </row>
    <row r="1129" spans="1:4" x14ac:dyDescent="0.25">
      <c r="A1129" s="279">
        <v>39063</v>
      </c>
      <c r="B1129" t="s">
        <v>339</v>
      </c>
      <c r="C1129" t="s">
        <v>20</v>
      </c>
      <c r="D1129">
        <v>68767</v>
      </c>
    </row>
    <row r="1130" spans="1:4" x14ac:dyDescent="0.25">
      <c r="A1130" s="279">
        <v>39063</v>
      </c>
      <c r="B1130" t="s">
        <v>339</v>
      </c>
      <c r="C1130" t="s">
        <v>85</v>
      </c>
      <c r="D1130">
        <v>39356</v>
      </c>
    </row>
    <row r="1131" spans="1:4" x14ac:dyDescent="0.25">
      <c r="A1131" s="279">
        <v>39063</v>
      </c>
      <c r="B1131" t="s">
        <v>339</v>
      </c>
      <c r="C1131" t="s">
        <v>86</v>
      </c>
      <c r="D1131">
        <v>17404</v>
      </c>
    </row>
    <row r="1132" spans="1:4" x14ac:dyDescent="0.25">
      <c r="A1132" s="279">
        <v>39063</v>
      </c>
      <c r="B1132" t="s">
        <v>339</v>
      </c>
      <c r="C1132" t="s">
        <v>87</v>
      </c>
      <c r="D1132">
        <v>0</v>
      </c>
    </row>
    <row r="1133" spans="1:4" x14ac:dyDescent="0.25">
      <c r="A1133" s="279">
        <v>39063</v>
      </c>
      <c r="B1133" t="s">
        <v>339</v>
      </c>
      <c r="C1133" t="s">
        <v>88</v>
      </c>
      <c r="D1133">
        <v>0</v>
      </c>
    </row>
    <row r="1134" spans="1:4" x14ac:dyDescent="0.25">
      <c r="A1134" s="279">
        <v>39063</v>
      </c>
      <c r="B1134" t="s">
        <v>339</v>
      </c>
      <c r="C1134" t="s">
        <v>14</v>
      </c>
      <c r="D1134">
        <v>1033</v>
      </c>
    </row>
    <row r="1135" spans="1:4" x14ac:dyDescent="0.25">
      <c r="A1135" s="279">
        <v>39064</v>
      </c>
      <c r="B1135" t="s">
        <v>338</v>
      </c>
      <c r="C1135" t="s">
        <v>81</v>
      </c>
      <c r="D1135">
        <v>38944</v>
      </c>
    </row>
    <row r="1136" spans="1:4" x14ac:dyDescent="0.25">
      <c r="A1136" s="279">
        <v>39064</v>
      </c>
      <c r="B1136" t="s">
        <v>338</v>
      </c>
      <c r="C1136" t="s">
        <v>82</v>
      </c>
      <c r="D1136">
        <v>60335</v>
      </c>
    </row>
    <row r="1137" spans="1:4" x14ac:dyDescent="0.25">
      <c r="A1137" s="279">
        <v>39064</v>
      </c>
      <c r="B1137" t="s">
        <v>338</v>
      </c>
      <c r="C1137" t="s">
        <v>84</v>
      </c>
      <c r="D1137">
        <v>1220</v>
      </c>
    </row>
    <row r="1138" spans="1:4" x14ac:dyDescent="0.25">
      <c r="A1138" s="279">
        <v>39064</v>
      </c>
      <c r="B1138" t="s">
        <v>338</v>
      </c>
      <c r="C1138" t="s">
        <v>83</v>
      </c>
      <c r="D1138">
        <v>0</v>
      </c>
    </row>
    <row r="1139" spans="1:4" x14ac:dyDescent="0.25">
      <c r="A1139" s="279">
        <v>39064</v>
      </c>
      <c r="B1139" t="s">
        <v>338</v>
      </c>
      <c r="C1139" t="s">
        <v>14</v>
      </c>
      <c r="D1139">
        <v>1043</v>
      </c>
    </row>
    <row r="1140" spans="1:4" x14ac:dyDescent="0.25">
      <c r="A1140" s="279">
        <v>39064</v>
      </c>
      <c r="B1140" t="s">
        <v>339</v>
      </c>
      <c r="C1140" t="s">
        <v>20</v>
      </c>
      <c r="D1140">
        <v>51466</v>
      </c>
    </row>
    <row r="1141" spans="1:4" x14ac:dyDescent="0.25">
      <c r="A1141" s="279">
        <v>39064</v>
      </c>
      <c r="B1141" t="s">
        <v>339</v>
      </c>
      <c r="C1141" t="s">
        <v>85</v>
      </c>
      <c r="D1141">
        <v>30343</v>
      </c>
    </row>
    <row r="1142" spans="1:4" x14ac:dyDescent="0.25">
      <c r="A1142" s="279">
        <v>39064</v>
      </c>
      <c r="B1142" t="s">
        <v>339</v>
      </c>
      <c r="C1142" t="s">
        <v>86</v>
      </c>
      <c r="D1142">
        <v>0</v>
      </c>
    </row>
    <row r="1143" spans="1:4" x14ac:dyDescent="0.25">
      <c r="A1143" s="279">
        <v>39064</v>
      </c>
      <c r="B1143" t="s">
        <v>339</v>
      </c>
      <c r="C1143" t="s">
        <v>87</v>
      </c>
      <c r="D1143">
        <v>0</v>
      </c>
    </row>
    <row r="1144" spans="1:4" x14ac:dyDescent="0.25">
      <c r="A1144" s="279">
        <v>39064</v>
      </c>
      <c r="B1144" t="s">
        <v>339</v>
      </c>
      <c r="C1144" t="s">
        <v>88</v>
      </c>
      <c r="D1144">
        <v>0</v>
      </c>
    </row>
    <row r="1145" spans="1:4" x14ac:dyDescent="0.25">
      <c r="A1145" s="279">
        <v>39064</v>
      </c>
      <c r="B1145" t="s">
        <v>339</v>
      </c>
      <c r="C1145" t="s">
        <v>14</v>
      </c>
      <c r="D1145">
        <v>1032</v>
      </c>
    </row>
    <row r="1146" spans="1:4" x14ac:dyDescent="0.25">
      <c r="A1146" s="279">
        <v>39065</v>
      </c>
      <c r="B1146" t="s">
        <v>338</v>
      </c>
      <c r="C1146" t="s">
        <v>81</v>
      </c>
      <c r="D1146">
        <v>46977</v>
      </c>
    </row>
    <row r="1147" spans="1:4" x14ac:dyDescent="0.25">
      <c r="A1147" s="279">
        <v>39065</v>
      </c>
      <c r="B1147" t="s">
        <v>338</v>
      </c>
      <c r="C1147" t="s">
        <v>82</v>
      </c>
      <c r="D1147">
        <v>51667</v>
      </c>
    </row>
    <row r="1148" spans="1:4" x14ac:dyDescent="0.25">
      <c r="A1148" s="279">
        <v>39065</v>
      </c>
      <c r="B1148" t="s">
        <v>338</v>
      </c>
      <c r="C1148" t="s">
        <v>84</v>
      </c>
      <c r="D1148">
        <v>1310</v>
      </c>
    </row>
    <row r="1149" spans="1:4" x14ac:dyDescent="0.25">
      <c r="A1149" s="279">
        <v>39065</v>
      </c>
      <c r="B1149" t="s">
        <v>338</v>
      </c>
      <c r="C1149" t="s">
        <v>83</v>
      </c>
      <c r="D1149">
        <v>0</v>
      </c>
    </row>
    <row r="1150" spans="1:4" x14ac:dyDescent="0.25">
      <c r="A1150" s="279">
        <v>39065</v>
      </c>
      <c r="B1150" t="s">
        <v>338</v>
      </c>
      <c r="C1150" t="s">
        <v>14</v>
      </c>
      <c r="D1150">
        <v>1042</v>
      </c>
    </row>
    <row r="1151" spans="1:4" x14ac:dyDescent="0.25">
      <c r="A1151" s="279">
        <v>39065</v>
      </c>
      <c r="B1151" t="s">
        <v>339</v>
      </c>
      <c r="C1151" t="s">
        <v>20</v>
      </c>
      <c r="D1151">
        <v>55334</v>
      </c>
    </row>
    <row r="1152" spans="1:4" x14ac:dyDescent="0.25">
      <c r="A1152" s="279">
        <v>39065</v>
      </c>
      <c r="B1152" t="s">
        <v>339</v>
      </c>
      <c r="C1152" t="s">
        <v>85</v>
      </c>
      <c r="D1152">
        <v>30504</v>
      </c>
    </row>
    <row r="1153" spans="1:4" x14ac:dyDescent="0.25">
      <c r="A1153" s="279">
        <v>39065</v>
      </c>
      <c r="B1153" t="s">
        <v>339</v>
      </c>
      <c r="C1153" t="s">
        <v>86</v>
      </c>
      <c r="D1153">
        <v>3710</v>
      </c>
    </row>
    <row r="1154" spans="1:4" x14ac:dyDescent="0.25">
      <c r="A1154" s="279">
        <v>39065</v>
      </c>
      <c r="B1154" t="s">
        <v>339</v>
      </c>
      <c r="C1154" t="s">
        <v>87</v>
      </c>
      <c r="D1154">
        <v>0</v>
      </c>
    </row>
    <row r="1155" spans="1:4" x14ac:dyDescent="0.25">
      <c r="A1155" s="279">
        <v>39065</v>
      </c>
      <c r="B1155" t="s">
        <v>339</v>
      </c>
      <c r="C1155" t="s">
        <v>88</v>
      </c>
      <c r="D1155">
        <v>0</v>
      </c>
    </row>
    <row r="1156" spans="1:4" x14ac:dyDescent="0.25">
      <c r="A1156" s="279">
        <v>39065</v>
      </c>
      <c r="B1156" t="s">
        <v>339</v>
      </c>
      <c r="C1156" t="s">
        <v>14</v>
      </c>
      <c r="D1156">
        <v>1033</v>
      </c>
    </row>
    <row r="1157" spans="1:4" x14ac:dyDescent="0.25">
      <c r="A1157" s="279">
        <v>39066</v>
      </c>
      <c r="B1157" t="s">
        <v>338</v>
      </c>
      <c r="C1157" t="s">
        <v>81</v>
      </c>
      <c r="D1157">
        <v>45805</v>
      </c>
    </row>
    <row r="1158" spans="1:4" x14ac:dyDescent="0.25">
      <c r="A1158" s="279">
        <v>39066</v>
      </c>
      <c r="B1158" t="s">
        <v>338</v>
      </c>
      <c r="C1158" t="s">
        <v>82</v>
      </c>
      <c r="D1158">
        <v>48558</v>
      </c>
    </row>
    <row r="1159" spans="1:4" x14ac:dyDescent="0.25">
      <c r="A1159" s="279">
        <v>39066</v>
      </c>
      <c r="B1159" t="s">
        <v>338</v>
      </c>
      <c r="C1159" t="s">
        <v>84</v>
      </c>
      <c r="D1159">
        <v>1320</v>
      </c>
    </row>
    <row r="1160" spans="1:4" x14ac:dyDescent="0.25">
      <c r="A1160" s="279">
        <v>39066</v>
      </c>
      <c r="B1160" t="s">
        <v>338</v>
      </c>
      <c r="C1160" t="s">
        <v>83</v>
      </c>
      <c r="D1160">
        <v>0</v>
      </c>
    </row>
    <row r="1161" spans="1:4" x14ac:dyDescent="0.25">
      <c r="A1161" s="279">
        <v>39066</v>
      </c>
      <c r="B1161" t="s">
        <v>338</v>
      </c>
      <c r="C1161" t="s">
        <v>14</v>
      </c>
      <c r="D1161">
        <v>1040</v>
      </c>
    </row>
    <row r="1162" spans="1:4" x14ac:dyDescent="0.25">
      <c r="A1162" s="279">
        <v>39066</v>
      </c>
      <c r="B1162" t="s">
        <v>339</v>
      </c>
      <c r="C1162" t="s">
        <v>20</v>
      </c>
      <c r="D1162">
        <v>61630</v>
      </c>
    </row>
    <row r="1163" spans="1:4" x14ac:dyDescent="0.25">
      <c r="A1163" s="279">
        <v>39066</v>
      </c>
      <c r="B1163" t="s">
        <v>339</v>
      </c>
      <c r="C1163" t="s">
        <v>85</v>
      </c>
      <c r="D1163">
        <v>38208</v>
      </c>
    </row>
    <row r="1164" spans="1:4" x14ac:dyDescent="0.25">
      <c r="A1164" s="279">
        <v>39066</v>
      </c>
      <c r="B1164" t="s">
        <v>339</v>
      </c>
      <c r="C1164" t="s">
        <v>86</v>
      </c>
      <c r="D1164">
        <v>394</v>
      </c>
    </row>
    <row r="1165" spans="1:4" x14ac:dyDescent="0.25">
      <c r="A1165" s="279">
        <v>39066</v>
      </c>
      <c r="B1165" t="s">
        <v>339</v>
      </c>
      <c r="C1165" t="s">
        <v>87</v>
      </c>
      <c r="D1165">
        <v>0</v>
      </c>
    </row>
    <row r="1166" spans="1:4" x14ac:dyDescent="0.25">
      <c r="A1166" s="279">
        <v>39066</v>
      </c>
      <c r="B1166" t="s">
        <v>339</v>
      </c>
      <c r="C1166" t="s">
        <v>88</v>
      </c>
      <c r="D1166">
        <v>4159</v>
      </c>
    </row>
    <row r="1167" spans="1:4" x14ac:dyDescent="0.25">
      <c r="A1167" s="279">
        <v>39066</v>
      </c>
      <c r="B1167" t="s">
        <v>339</v>
      </c>
      <c r="C1167" t="s">
        <v>14</v>
      </c>
      <c r="D1167">
        <v>1033</v>
      </c>
    </row>
    <row r="1168" spans="1:4" x14ac:dyDescent="0.25">
      <c r="A1168" s="279">
        <v>39067</v>
      </c>
      <c r="B1168" t="s">
        <v>338</v>
      </c>
      <c r="C1168" t="s">
        <v>81</v>
      </c>
      <c r="D1168">
        <v>46019</v>
      </c>
    </row>
    <row r="1169" spans="1:4" x14ac:dyDescent="0.25">
      <c r="A1169" s="279">
        <v>39067</v>
      </c>
      <c r="B1169" t="s">
        <v>338</v>
      </c>
      <c r="C1169" t="s">
        <v>82</v>
      </c>
      <c r="D1169">
        <v>61163</v>
      </c>
    </row>
    <row r="1170" spans="1:4" x14ac:dyDescent="0.25">
      <c r="A1170" s="279">
        <v>39067</v>
      </c>
      <c r="B1170" t="s">
        <v>338</v>
      </c>
      <c r="C1170" t="s">
        <v>84</v>
      </c>
      <c r="D1170">
        <v>1250</v>
      </c>
    </row>
    <row r="1171" spans="1:4" x14ac:dyDescent="0.25">
      <c r="A1171" s="279">
        <v>39067</v>
      </c>
      <c r="B1171" t="s">
        <v>338</v>
      </c>
      <c r="C1171" t="s">
        <v>83</v>
      </c>
      <c r="D1171">
        <v>0</v>
      </c>
    </row>
    <row r="1172" spans="1:4" x14ac:dyDescent="0.25">
      <c r="A1172" s="279">
        <v>39067</v>
      </c>
      <c r="B1172" t="s">
        <v>338</v>
      </c>
      <c r="C1172" t="s">
        <v>14</v>
      </c>
      <c r="D1172">
        <v>1042</v>
      </c>
    </row>
    <row r="1173" spans="1:4" x14ac:dyDescent="0.25">
      <c r="A1173" s="279">
        <v>39067</v>
      </c>
      <c r="B1173" t="s">
        <v>339</v>
      </c>
      <c r="C1173" t="s">
        <v>20</v>
      </c>
      <c r="D1173">
        <v>65207</v>
      </c>
    </row>
    <row r="1174" spans="1:4" x14ac:dyDescent="0.25">
      <c r="A1174" s="279">
        <v>39067</v>
      </c>
      <c r="B1174" t="s">
        <v>339</v>
      </c>
      <c r="C1174" t="s">
        <v>85</v>
      </c>
      <c r="D1174">
        <v>36375</v>
      </c>
    </row>
    <row r="1175" spans="1:4" x14ac:dyDescent="0.25">
      <c r="A1175" s="279">
        <v>39067</v>
      </c>
      <c r="B1175" t="s">
        <v>339</v>
      </c>
      <c r="C1175" t="s">
        <v>86</v>
      </c>
      <c r="D1175">
        <v>1419</v>
      </c>
    </row>
    <row r="1176" spans="1:4" x14ac:dyDescent="0.25">
      <c r="A1176" s="279">
        <v>39067</v>
      </c>
      <c r="B1176" t="s">
        <v>339</v>
      </c>
      <c r="C1176" t="s">
        <v>87</v>
      </c>
      <c r="D1176">
        <v>0</v>
      </c>
    </row>
    <row r="1177" spans="1:4" x14ac:dyDescent="0.25">
      <c r="A1177" s="279">
        <v>39067</v>
      </c>
      <c r="B1177" t="s">
        <v>339</v>
      </c>
      <c r="C1177" t="s">
        <v>88</v>
      </c>
      <c r="D1177">
        <v>7023</v>
      </c>
    </row>
    <row r="1178" spans="1:4" x14ac:dyDescent="0.25">
      <c r="A1178" s="279">
        <v>39067</v>
      </c>
      <c r="B1178" t="s">
        <v>339</v>
      </c>
      <c r="C1178" t="s">
        <v>14</v>
      </c>
      <c r="D1178">
        <v>1035</v>
      </c>
    </row>
    <row r="1179" spans="1:4" x14ac:dyDescent="0.25">
      <c r="A1179" s="279">
        <v>39068</v>
      </c>
      <c r="B1179" t="s">
        <v>338</v>
      </c>
      <c r="C1179" t="s">
        <v>81</v>
      </c>
      <c r="D1179">
        <v>46402</v>
      </c>
    </row>
    <row r="1180" spans="1:4" x14ac:dyDescent="0.25">
      <c r="A1180" s="279">
        <v>39068</v>
      </c>
      <c r="B1180" t="s">
        <v>338</v>
      </c>
      <c r="C1180" t="s">
        <v>82</v>
      </c>
      <c r="D1180">
        <v>47012</v>
      </c>
    </row>
    <row r="1181" spans="1:4" x14ac:dyDescent="0.25">
      <c r="A1181" s="279">
        <v>39068</v>
      </c>
      <c r="B1181" t="s">
        <v>338</v>
      </c>
      <c r="C1181" t="s">
        <v>84</v>
      </c>
      <c r="D1181">
        <v>1110</v>
      </c>
    </row>
    <row r="1182" spans="1:4" x14ac:dyDescent="0.25">
      <c r="A1182" s="279">
        <v>39068</v>
      </c>
      <c r="B1182" t="s">
        <v>338</v>
      </c>
      <c r="C1182" t="s">
        <v>83</v>
      </c>
      <c r="D1182">
        <v>0</v>
      </c>
    </row>
    <row r="1183" spans="1:4" x14ac:dyDescent="0.25">
      <c r="A1183" s="279">
        <v>39068</v>
      </c>
      <c r="B1183" t="s">
        <v>338</v>
      </c>
      <c r="C1183" t="s">
        <v>14</v>
      </c>
      <c r="D1183">
        <v>1042</v>
      </c>
    </row>
    <row r="1184" spans="1:4" x14ac:dyDescent="0.25">
      <c r="A1184" s="279">
        <v>39068</v>
      </c>
      <c r="B1184" t="s">
        <v>339</v>
      </c>
      <c r="C1184" t="s">
        <v>20</v>
      </c>
      <c r="D1184">
        <v>58832</v>
      </c>
    </row>
    <row r="1185" spans="1:4" x14ac:dyDescent="0.25">
      <c r="A1185" s="279">
        <v>39068</v>
      </c>
      <c r="B1185" t="s">
        <v>339</v>
      </c>
      <c r="C1185" t="s">
        <v>85</v>
      </c>
      <c r="D1185">
        <v>27583</v>
      </c>
    </row>
    <row r="1186" spans="1:4" x14ac:dyDescent="0.25">
      <c r="A1186" s="279">
        <v>39068</v>
      </c>
      <c r="B1186" t="s">
        <v>339</v>
      </c>
      <c r="C1186" t="s">
        <v>86</v>
      </c>
      <c r="D1186">
        <v>0</v>
      </c>
    </row>
    <row r="1187" spans="1:4" x14ac:dyDescent="0.25">
      <c r="A1187" s="279">
        <v>39068</v>
      </c>
      <c r="B1187" t="s">
        <v>339</v>
      </c>
      <c r="C1187" t="s">
        <v>87</v>
      </c>
      <c r="D1187">
        <v>0</v>
      </c>
    </row>
    <row r="1188" spans="1:4" x14ac:dyDescent="0.25">
      <c r="A1188" s="279">
        <v>39068</v>
      </c>
      <c r="B1188" t="s">
        <v>339</v>
      </c>
      <c r="C1188" t="s">
        <v>88</v>
      </c>
      <c r="D1188">
        <v>7290</v>
      </c>
    </row>
    <row r="1189" spans="1:4" x14ac:dyDescent="0.25">
      <c r="A1189" s="279">
        <v>39068</v>
      </c>
      <c r="B1189" t="s">
        <v>339</v>
      </c>
      <c r="C1189" t="s">
        <v>14</v>
      </c>
      <c r="D1189">
        <v>1034</v>
      </c>
    </row>
    <row r="1190" spans="1:4" x14ac:dyDescent="0.25">
      <c r="A1190" s="279">
        <v>39069</v>
      </c>
      <c r="B1190" t="s">
        <v>338</v>
      </c>
      <c r="C1190" t="s">
        <v>81</v>
      </c>
      <c r="D1190">
        <v>34964</v>
      </c>
    </row>
    <row r="1191" spans="1:4" x14ac:dyDescent="0.25">
      <c r="A1191" s="279">
        <v>39069</v>
      </c>
      <c r="B1191" t="s">
        <v>338</v>
      </c>
      <c r="C1191" t="s">
        <v>82</v>
      </c>
      <c r="D1191">
        <v>52951</v>
      </c>
    </row>
    <row r="1192" spans="1:4" x14ac:dyDescent="0.25">
      <c r="A1192" s="279">
        <v>39069</v>
      </c>
      <c r="B1192" t="s">
        <v>338</v>
      </c>
      <c r="C1192" t="s">
        <v>84</v>
      </c>
      <c r="D1192">
        <v>1100</v>
      </c>
    </row>
    <row r="1193" spans="1:4" x14ac:dyDescent="0.25">
      <c r="A1193" s="279">
        <v>39069</v>
      </c>
      <c r="B1193" t="s">
        <v>338</v>
      </c>
      <c r="C1193" t="s">
        <v>83</v>
      </c>
      <c r="D1193">
        <v>0</v>
      </c>
    </row>
    <row r="1194" spans="1:4" x14ac:dyDescent="0.25">
      <c r="A1194" s="279">
        <v>39069</v>
      </c>
      <c r="B1194" t="s">
        <v>338</v>
      </c>
      <c r="C1194" t="s">
        <v>14</v>
      </c>
      <c r="D1194">
        <v>1042</v>
      </c>
    </row>
    <row r="1195" spans="1:4" x14ac:dyDescent="0.25">
      <c r="A1195" s="279">
        <v>39069</v>
      </c>
      <c r="B1195" t="s">
        <v>339</v>
      </c>
      <c r="C1195" t="s">
        <v>20</v>
      </c>
      <c r="D1195">
        <v>53596</v>
      </c>
    </row>
    <row r="1196" spans="1:4" x14ac:dyDescent="0.25">
      <c r="A1196" s="279">
        <v>39069</v>
      </c>
      <c r="B1196" t="s">
        <v>339</v>
      </c>
      <c r="C1196" t="s">
        <v>85</v>
      </c>
      <c r="D1196">
        <v>33685</v>
      </c>
    </row>
    <row r="1197" spans="1:4" x14ac:dyDescent="0.25">
      <c r="A1197" s="279">
        <v>39069</v>
      </c>
      <c r="B1197" t="s">
        <v>339</v>
      </c>
      <c r="C1197" t="s">
        <v>86</v>
      </c>
      <c r="D1197">
        <v>0</v>
      </c>
    </row>
    <row r="1198" spans="1:4" x14ac:dyDescent="0.25">
      <c r="A1198" s="279">
        <v>39069</v>
      </c>
      <c r="B1198" t="s">
        <v>339</v>
      </c>
      <c r="C1198" t="s">
        <v>87</v>
      </c>
      <c r="D1198">
        <v>0</v>
      </c>
    </row>
    <row r="1199" spans="1:4" x14ac:dyDescent="0.25">
      <c r="A1199" s="279">
        <v>39069</v>
      </c>
      <c r="B1199" t="s">
        <v>339</v>
      </c>
      <c r="C1199" t="s">
        <v>88</v>
      </c>
      <c r="D1199">
        <v>5348</v>
      </c>
    </row>
    <row r="1200" spans="1:4" x14ac:dyDescent="0.25">
      <c r="A1200" s="279">
        <v>39069</v>
      </c>
      <c r="B1200" t="s">
        <v>339</v>
      </c>
      <c r="C1200" t="s">
        <v>14</v>
      </c>
      <c r="D1200">
        <v>1032</v>
      </c>
    </row>
    <row r="1201" spans="1:4" x14ac:dyDescent="0.25">
      <c r="A1201" s="279">
        <v>39070</v>
      </c>
      <c r="B1201" t="s">
        <v>338</v>
      </c>
      <c r="C1201" t="s">
        <v>81</v>
      </c>
      <c r="D1201">
        <v>70170</v>
      </c>
    </row>
    <row r="1202" spans="1:4" x14ac:dyDescent="0.25">
      <c r="A1202" s="279">
        <v>39070</v>
      </c>
      <c r="B1202" t="s">
        <v>338</v>
      </c>
      <c r="C1202" t="s">
        <v>82</v>
      </c>
      <c r="D1202">
        <v>80254</v>
      </c>
    </row>
    <row r="1203" spans="1:4" x14ac:dyDescent="0.25">
      <c r="A1203" s="279">
        <v>39070</v>
      </c>
      <c r="B1203" t="s">
        <v>338</v>
      </c>
      <c r="C1203" t="s">
        <v>84</v>
      </c>
      <c r="D1203">
        <v>1860</v>
      </c>
    </row>
    <row r="1204" spans="1:4" x14ac:dyDescent="0.25">
      <c r="A1204" s="279">
        <v>39070</v>
      </c>
      <c r="B1204" t="s">
        <v>338</v>
      </c>
      <c r="C1204" t="s">
        <v>83</v>
      </c>
      <c r="D1204">
        <v>0</v>
      </c>
    </row>
    <row r="1205" spans="1:4" x14ac:dyDescent="0.25">
      <c r="A1205" s="279">
        <v>39070</v>
      </c>
      <c r="B1205" t="s">
        <v>338</v>
      </c>
      <c r="C1205" t="s">
        <v>14</v>
      </c>
      <c r="D1205">
        <v>1040</v>
      </c>
    </row>
    <row r="1206" spans="1:4" x14ac:dyDescent="0.25">
      <c r="A1206" s="279">
        <v>39070</v>
      </c>
      <c r="B1206" t="s">
        <v>339</v>
      </c>
      <c r="C1206" t="s">
        <v>20</v>
      </c>
      <c r="D1206">
        <v>69976</v>
      </c>
    </row>
    <row r="1207" spans="1:4" x14ac:dyDescent="0.25">
      <c r="A1207" s="279">
        <v>39070</v>
      </c>
      <c r="B1207" t="s">
        <v>339</v>
      </c>
      <c r="C1207" t="s">
        <v>85</v>
      </c>
      <c r="D1207">
        <v>28625</v>
      </c>
    </row>
    <row r="1208" spans="1:4" x14ac:dyDescent="0.25">
      <c r="A1208" s="279">
        <v>39070</v>
      </c>
      <c r="B1208" t="s">
        <v>339</v>
      </c>
      <c r="C1208" t="s">
        <v>86</v>
      </c>
      <c r="D1208">
        <v>0</v>
      </c>
    </row>
    <row r="1209" spans="1:4" x14ac:dyDescent="0.25">
      <c r="A1209" s="279">
        <v>39070</v>
      </c>
      <c r="B1209" t="s">
        <v>339</v>
      </c>
      <c r="C1209" t="s">
        <v>87</v>
      </c>
      <c r="D1209">
        <v>5077</v>
      </c>
    </row>
    <row r="1210" spans="1:4" x14ac:dyDescent="0.25">
      <c r="A1210" s="279">
        <v>39070</v>
      </c>
      <c r="B1210" t="s">
        <v>339</v>
      </c>
      <c r="C1210" t="s">
        <v>88</v>
      </c>
      <c r="D1210">
        <v>15421</v>
      </c>
    </row>
    <row r="1211" spans="1:4" x14ac:dyDescent="0.25">
      <c r="A1211" s="279">
        <v>39070</v>
      </c>
      <c r="B1211" t="s">
        <v>339</v>
      </c>
      <c r="C1211" t="s">
        <v>14</v>
      </c>
      <c r="D1211">
        <v>1032</v>
      </c>
    </row>
    <row r="1212" spans="1:4" x14ac:dyDescent="0.25">
      <c r="A1212" s="279">
        <v>39071</v>
      </c>
      <c r="B1212" t="s">
        <v>338</v>
      </c>
      <c r="C1212" t="s">
        <v>81</v>
      </c>
      <c r="D1212">
        <v>75567</v>
      </c>
    </row>
    <row r="1213" spans="1:4" x14ac:dyDescent="0.25">
      <c r="A1213" s="279">
        <v>39071</v>
      </c>
      <c r="B1213" t="s">
        <v>338</v>
      </c>
      <c r="C1213" t="s">
        <v>82</v>
      </c>
      <c r="D1213">
        <v>82331</v>
      </c>
    </row>
    <row r="1214" spans="1:4" x14ac:dyDescent="0.25">
      <c r="A1214" s="279">
        <v>39071</v>
      </c>
      <c r="B1214" t="s">
        <v>338</v>
      </c>
      <c r="C1214" t="s">
        <v>84</v>
      </c>
      <c r="D1214">
        <v>1580</v>
      </c>
    </row>
    <row r="1215" spans="1:4" x14ac:dyDescent="0.25">
      <c r="A1215" s="279">
        <v>39071</v>
      </c>
      <c r="B1215" t="s">
        <v>338</v>
      </c>
      <c r="C1215" t="s">
        <v>83</v>
      </c>
      <c r="D1215">
        <v>0</v>
      </c>
    </row>
    <row r="1216" spans="1:4" x14ac:dyDescent="0.25">
      <c r="A1216" s="279">
        <v>39071</v>
      </c>
      <c r="B1216" t="s">
        <v>338</v>
      </c>
      <c r="C1216" t="s">
        <v>14</v>
      </c>
      <c r="D1216">
        <v>1040</v>
      </c>
    </row>
    <row r="1217" spans="1:4" x14ac:dyDescent="0.25">
      <c r="A1217" s="279">
        <v>39071</v>
      </c>
      <c r="B1217" t="s">
        <v>339</v>
      </c>
      <c r="C1217" t="s">
        <v>20</v>
      </c>
      <c r="D1217">
        <v>71741</v>
      </c>
    </row>
    <row r="1218" spans="1:4" x14ac:dyDescent="0.25">
      <c r="A1218" s="279">
        <v>39071</v>
      </c>
      <c r="B1218" t="s">
        <v>339</v>
      </c>
      <c r="C1218" t="s">
        <v>85</v>
      </c>
      <c r="D1218">
        <v>27105</v>
      </c>
    </row>
    <row r="1219" spans="1:4" x14ac:dyDescent="0.25">
      <c r="A1219" s="279">
        <v>39071</v>
      </c>
      <c r="B1219" t="s">
        <v>339</v>
      </c>
      <c r="C1219" t="s">
        <v>86</v>
      </c>
      <c r="D1219">
        <v>0</v>
      </c>
    </row>
    <row r="1220" spans="1:4" x14ac:dyDescent="0.25">
      <c r="A1220" s="279">
        <v>39071</v>
      </c>
      <c r="B1220" t="s">
        <v>339</v>
      </c>
      <c r="C1220" t="s">
        <v>87</v>
      </c>
      <c r="D1220">
        <v>3449</v>
      </c>
    </row>
    <row r="1221" spans="1:4" x14ac:dyDescent="0.25">
      <c r="A1221" s="279">
        <v>39071</v>
      </c>
      <c r="B1221" t="s">
        <v>339</v>
      </c>
      <c r="C1221" t="s">
        <v>88</v>
      </c>
      <c r="D1221">
        <v>14784</v>
      </c>
    </row>
    <row r="1222" spans="1:4" x14ac:dyDescent="0.25">
      <c r="A1222" s="279">
        <v>39071</v>
      </c>
      <c r="B1222" t="s">
        <v>339</v>
      </c>
      <c r="C1222" t="s">
        <v>14</v>
      </c>
      <c r="D1222">
        <v>1032</v>
      </c>
    </row>
    <row r="1223" spans="1:4" x14ac:dyDescent="0.25">
      <c r="A1223" s="279">
        <v>39072</v>
      </c>
      <c r="B1223" t="s">
        <v>338</v>
      </c>
      <c r="C1223" t="s">
        <v>81</v>
      </c>
      <c r="D1223">
        <v>69162</v>
      </c>
    </row>
    <row r="1224" spans="1:4" x14ac:dyDescent="0.25">
      <c r="A1224" s="279">
        <v>39072</v>
      </c>
      <c r="B1224" t="s">
        <v>338</v>
      </c>
      <c r="C1224" t="s">
        <v>82</v>
      </c>
      <c r="D1224">
        <v>78141</v>
      </c>
    </row>
    <row r="1225" spans="1:4" x14ac:dyDescent="0.25">
      <c r="A1225" s="279">
        <v>39072</v>
      </c>
      <c r="B1225" t="s">
        <v>338</v>
      </c>
      <c r="C1225" t="s">
        <v>84</v>
      </c>
      <c r="D1225">
        <v>1430</v>
      </c>
    </row>
    <row r="1226" spans="1:4" x14ac:dyDescent="0.25">
      <c r="A1226" s="279">
        <v>39072</v>
      </c>
      <c r="B1226" t="s">
        <v>338</v>
      </c>
      <c r="C1226" t="s">
        <v>83</v>
      </c>
      <c r="D1226">
        <v>0</v>
      </c>
    </row>
    <row r="1227" spans="1:4" x14ac:dyDescent="0.25">
      <c r="A1227" s="279">
        <v>39072</v>
      </c>
      <c r="B1227" t="s">
        <v>338</v>
      </c>
      <c r="C1227" t="s">
        <v>14</v>
      </c>
      <c r="D1227">
        <v>1038</v>
      </c>
    </row>
    <row r="1228" spans="1:4" x14ac:dyDescent="0.25">
      <c r="A1228" s="279">
        <v>39072</v>
      </c>
      <c r="B1228" t="s">
        <v>339</v>
      </c>
      <c r="C1228" t="s">
        <v>20</v>
      </c>
      <c r="D1228">
        <v>54486</v>
      </c>
    </row>
    <row r="1229" spans="1:4" x14ac:dyDescent="0.25">
      <c r="A1229" s="279">
        <v>39072</v>
      </c>
      <c r="B1229" t="s">
        <v>339</v>
      </c>
      <c r="C1229" t="s">
        <v>85</v>
      </c>
      <c r="D1229">
        <v>30417</v>
      </c>
    </row>
    <row r="1230" spans="1:4" x14ac:dyDescent="0.25">
      <c r="A1230" s="279">
        <v>39072</v>
      </c>
      <c r="B1230" t="s">
        <v>339</v>
      </c>
      <c r="C1230" t="s">
        <v>86</v>
      </c>
      <c r="D1230">
        <v>0</v>
      </c>
    </row>
    <row r="1231" spans="1:4" x14ac:dyDescent="0.25">
      <c r="A1231" s="279">
        <v>39072</v>
      </c>
      <c r="B1231" t="s">
        <v>339</v>
      </c>
      <c r="C1231" t="s">
        <v>87</v>
      </c>
      <c r="D1231">
        <v>77</v>
      </c>
    </row>
    <row r="1232" spans="1:4" x14ac:dyDescent="0.25">
      <c r="A1232" s="279">
        <v>39072</v>
      </c>
      <c r="B1232" t="s">
        <v>339</v>
      </c>
      <c r="C1232" t="s">
        <v>88</v>
      </c>
      <c r="D1232">
        <v>9542</v>
      </c>
    </row>
    <row r="1233" spans="1:4" x14ac:dyDescent="0.25">
      <c r="A1233" s="279">
        <v>39072</v>
      </c>
      <c r="B1233" t="s">
        <v>339</v>
      </c>
      <c r="C1233" t="s">
        <v>14</v>
      </c>
      <c r="D1233">
        <v>1032</v>
      </c>
    </row>
    <row r="1234" spans="1:4" x14ac:dyDescent="0.25">
      <c r="A1234" s="279">
        <v>39073</v>
      </c>
      <c r="B1234" t="s">
        <v>338</v>
      </c>
      <c r="C1234" t="s">
        <v>81</v>
      </c>
      <c r="D1234">
        <v>49415</v>
      </c>
    </row>
    <row r="1235" spans="1:4" x14ac:dyDescent="0.25">
      <c r="A1235" s="279">
        <v>39073</v>
      </c>
      <c r="B1235" t="s">
        <v>338</v>
      </c>
      <c r="C1235" t="s">
        <v>82</v>
      </c>
      <c r="D1235">
        <v>51740</v>
      </c>
    </row>
    <row r="1236" spans="1:4" x14ac:dyDescent="0.25">
      <c r="A1236" s="279">
        <v>39073</v>
      </c>
      <c r="B1236" t="s">
        <v>338</v>
      </c>
      <c r="C1236" t="s">
        <v>84</v>
      </c>
      <c r="D1236">
        <v>1270</v>
      </c>
    </row>
    <row r="1237" spans="1:4" x14ac:dyDescent="0.25">
      <c r="A1237" s="279">
        <v>39073</v>
      </c>
      <c r="B1237" t="s">
        <v>338</v>
      </c>
      <c r="C1237" t="s">
        <v>83</v>
      </c>
      <c r="D1237">
        <v>0</v>
      </c>
    </row>
    <row r="1238" spans="1:4" x14ac:dyDescent="0.25">
      <c r="A1238" s="279">
        <v>39073</v>
      </c>
      <c r="B1238" t="s">
        <v>338</v>
      </c>
      <c r="C1238" t="s">
        <v>14</v>
      </c>
      <c r="D1238">
        <v>1037</v>
      </c>
    </row>
    <row r="1239" spans="1:4" x14ac:dyDescent="0.25">
      <c r="A1239" s="279">
        <v>39073</v>
      </c>
      <c r="B1239" t="s">
        <v>339</v>
      </c>
      <c r="C1239" t="s">
        <v>20</v>
      </c>
      <c r="D1239">
        <v>52856</v>
      </c>
    </row>
    <row r="1240" spans="1:4" x14ac:dyDescent="0.25">
      <c r="A1240" s="279">
        <v>39073</v>
      </c>
      <c r="B1240" t="s">
        <v>339</v>
      </c>
      <c r="C1240" t="s">
        <v>85</v>
      </c>
      <c r="D1240">
        <v>26815</v>
      </c>
    </row>
    <row r="1241" spans="1:4" x14ac:dyDescent="0.25">
      <c r="A1241" s="279">
        <v>39073</v>
      </c>
      <c r="B1241" t="s">
        <v>339</v>
      </c>
      <c r="C1241" t="s">
        <v>86</v>
      </c>
      <c r="D1241">
        <v>0</v>
      </c>
    </row>
    <row r="1242" spans="1:4" x14ac:dyDescent="0.25">
      <c r="A1242" s="279">
        <v>39073</v>
      </c>
      <c r="B1242" t="s">
        <v>339</v>
      </c>
      <c r="C1242" t="s">
        <v>87</v>
      </c>
      <c r="D1242">
        <v>0</v>
      </c>
    </row>
    <row r="1243" spans="1:4" x14ac:dyDescent="0.25">
      <c r="A1243" s="279">
        <v>39073</v>
      </c>
      <c r="B1243" t="s">
        <v>339</v>
      </c>
      <c r="C1243" t="s">
        <v>88</v>
      </c>
      <c r="D1243">
        <v>6177</v>
      </c>
    </row>
    <row r="1244" spans="1:4" x14ac:dyDescent="0.25">
      <c r="A1244" s="279">
        <v>39073</v>
      </c>
      <c r="B1244" t="s">
        <v>339</v>
      </c>
      <c r="C1244" t="s">
        <v>14</v>
      </c>
      <c r="D1244">
        <v>1032</v>
      </c>
    </row>
    <row r="1245" spans="1:4" x14ac:dyDescent="0.25">
      <c r="A1245" s="279">
        <v>39074</v>
      </c>
      <c r="B1245" t="s">
        <v>338</v>
      </c>
      <c r="C1245" t="s">
        <v>81</v>
      </c>
      <c r="D1245">
        <v>40654</v>
      </c>
    </row>
    <row r="1246" spans="1:4" x14ac:dyDescent="0.25">
      <c r="A1246" s="279">
        <v>39074</v>
      </c>
      <c r="B1246" t="s">
        <v>338</v>
      </c>
      <c r="C1246" t="s">
        <v>82</v>
      </c>
      <c r="D1246">
        <v>43987</v>
      </c>
    </row>
    <row r="1247" spans="1:4" x14ac:dyDescent="0.25">
      <c r="A1247" s="279">
        <v>39074</v>
      </c>
      <c r="B1247" t="s">
        <v>338</v>
      </c>
      <c r="C1247" t="s">
        <v>84</v>
      </c>
      <c r="D1247">
        <v>1089</v>
      </c>
    </row>
    <row r="1248" spans="1:4" x14ac:dyDescent="0.25">
      <c r="A1248" s="279">
        <v>39074</v>
      </c>
      <c r="B1248" t="s">
        <v>338</v>
      </c>
      <c r="C1248" t="s">
        <v>83</v>
      </c>
      <c r="D1248">
        <v>0</v>
      </c>
    </row>
    <row r="1249" spans="1:4" x14ac:dyDescent="0.25">
      <c r="A1249" s="279">
        <v>39074</v>
      </c>
      <c r="B1249" t="s">
        <v>338</v>
      </c>
      <c r="C1249" t="s">
        <v>14</v>
      </c>
      <c r="D1249">
        <v>1039</v>
      </c>
    </row>
    <row r="1250" spans="1:4" x14ac:dyDescent="0.25">
      <c r="A1250" s="279">
        <v>39074</v>
      </c>
      <c r="B1250" t="s">
        <v>339</v>
      </c>
      <c r="C1250" t="s">
        <v>20</v>
      </c>
      <c r="D1250">
        <v>47076</v>
      </c>
    </row>
    <row r="1251" spans="1:4" x14ac:dyDescent="0.25">
      <c r="A1251" s="279">
        <v>39074</v>
      </c>
      <c r="B1251" t="s">
        <v>339</v>
      </c>
      <c r="C1251" t="s">
        <v>85</v>
      </c>
      <c r="D1251">
        <v>33557</v>
      </c>
    </row>
    <row r="1252" spans="1:4" x14ac:dyDescent="0.25">
      <c r="A1252" s="279">
        <v>39074</v>
      </c>
      <c r="B1252" t="s">
        <v>339</v>
      </c>
      <c r="C1252" t="s">
        <v>86</v>
      </c>
      <c r="D1252">
        <v>0</v>
      </c>
    </row>
    <row r="1253" spans="1:4" x14ac:dyDescent="0.25">
      <c r="A1253" s="279">
        <v>39074</v>
      </c>
      <c r="B1253" t="s">
        <v>339</v>
      </c>
      <c r="C1253" t="s">
        <v>87</v>
      </c>
      <c r="D1253">
        <v>0</v>
      </c>
    </row>
    <row r="1254" spans="1:4" x14ac:dyDescent="0.25">
      <c r="A1254" s="279">
        <v>39074</v>
      </c>
      <c r="B1254" t="s">
        <v>339</v>
      </c>
      <c r="C1254" t="s">
        <v>88</v>
      </c>
      <c r="D1254">
        <v>3612</v>
      </c>
    </row>
    <row r="1255" spans="1:4" x14ac:dyDescent="0.25">
      <c r="A1255" s="279">
        <v>39074</v>
      </c>
      <c r="B1255" t="s">
        <v>339</v>
      </c>
      <c r="C1255" t="s">
        <v>14</v>
      </c>
      <c r="D1255">
        <v>1032</v>
      </c>
    </row>
    <row r="1256" spans="1:4" x14ac:dyDescent="0.25">
      <c r="A1256" s="279">
        <v>39075</v>
      </c>
      <c r="B1256" t="s">
        <v>338</v>
      </c>
      <c r="C1256" t="s">
        <v>81</v>
      </c>
      <c r="D1256">
        <v>55100</v>
      </c>
    </row>
    <row r="1257" spans="1:4" x14ac:dyDescent="0.25">
      <c r="A1257" s="279">
        <v>39075</v>
      </c>
      <c r="B1257" t="s">
        <v>338</v>
      </c>
      <c r="C1257" t="s">
        <v>82</v>
      </c>
      <c r="D1257">
        <v>67454</v>
      </c>
    </row>
    <row r="1258" spans="1:4" x14ac:dyDescent="0.25">
      <c r="A1258" s="279">
        <v>39075</v>
      </c>
      <c r="B1258" t="s">
        <v>338</v>
      </c>
      <c r="C1258" t="s">
        <v>84</v>
      </c>
      <c r="D1258">
        <v>1240</v>
      </c>
    </row>
    <row r="1259" spans="1:4" x14ac:dyDescent="0.25">
      <c r="A1259" s="279">
        <v>39075</v>
      </c>
      <c r="B1259" t="s">
        <v>338</v>
      </c>
      <c r="C1259" t="s">
        <v>83</v>
      </c>
      <c r="D1259">
        <v>0</v>
      </c>
    </row>
    <row r="1260" spans="1:4" x14ac:dyDescent="0.25">
      <c r="A1260" s="279">
        <v>39075</v>
      </c>
      <c r="B1260" t="s">
        <v>338</v>
      </c>
      <c r="C1260" t="s">
        <v>14</v>
      </c>
      <c r="D1260">
        <v>1042</v>
      </c>
    </row>
    <row r="1261" spans="1:4" x14ac:dyDescent="0.25">
      <c r="A1261" s="279">
        <v>39075</v>
      </c>
      <c r="B1261" t="s">
        <v>339</v>
      </c>
      <c r="C1261" t="s">
        <v>20</v>
      </c>
      <c r="D1261">
        <v>55580</v>
      </c>
    </row>
    <row r="1262" spans="1:4" x14ac:dyDescent="0.25">
      <c r="A1262" s="279">
        <v>39075</v>
      </c>
      <c r="B1262" t="s">
        <v>339</v>
      </c>
      <c r="C1262" t="s">
        <v>85</v>
      </c>
      <c r="D1262">
        <v>26467</v>
      </c>
    </row>
    <row r="1263" spans="1:4" x14ac:dyDescent="0.25">
      <c r="A1263" s="279">
        <v>39075</v>
      </c>
      <c r="B1263" t="s">
        <v>339</v>
      </c>
      <c r="C1263" t="s">
        <v>86</v>
      </c>
      <c r="D1263">
        <v>0</v>
      </c>
    </row>
    <row r="1264" spans="1:4" x14ac:dyDescent="0.25">
      <c r="A1264" s="279">
        <v>39075</v>
      </c>
      <c r="B1264" t="s">
        <v>339</v>
      </c>
      <c r="C1264" t="s">
        <v>87</v>
      </c>
      <c r="D1264">
        <v>0</v>
      </c>
    </row>
    <row r="1265" spans="1:4" x14ac:dyDescent="0.25">
      <c r="A1265" s="279">
        <v>39075</v>
      </c>
      <c r="B1265" t="s">
        <v>339</v>
      </c>
      <c r="C1265" t="s">
        <v>88</v>
      </c>
      <c r="D1265">
        <v>4475</v>
      </c>
    </row>
    <row r="1266" spans="1:4" x14ac:dyDescent="0.25">
      <c r="A1266" s="279">
        <v>39075</v>
      </c>
      <c r="B1266" t="s">
        <v>339</v>
      </c>
      <c r="C1266" t="s">
        <v>14</v>
      </c>
      <c r="D1266">
        <v>1032</v>
      </c>
    </row>
    <row r="1267" spans="1:4" x14ac:dyDescent="0.25">
      <c r="A1267" s="279">
        <v>39076</v>
      </c>
      <c r="B1267" t="s">
        <v>338</v>
      </c>
      <c r="C1267" t="s">
        <v>81</v>
      </c>
      <c r="D1267">
        <v>51713</v>
      </c>
    </row>
    <row r="1268" spans="1:4" x14ac:dyDescent="0.25">
      <c r="A1268" s="279">
        <v>39076</v>
      </c>
      <c r="B1268" t="s">
        <v>338</v>
      </c>
      <c r="C1268" t="s">
        <v>82</v>
      </c>
      <c r="D1268">
        <v>65674</v>
      </c>
    </row>
    <row r="1269" spans="1:4" x14ac:dyDescent="0.25">
      <c r="A1269" s="279">
        <v>39076</v>
      </c>
      <c r="B1269" t="s">
        <v>338</v>
      </c>
      <c r="C1269" t="s">
        <v>84</v>
      </c>
      <c r="D1269">
        <v>1280</v>
      </c>
    </row>
    <row r="1270" spans="1:4" x14ac:dyDescent="0.25">
      <c r="A1270" s="279">
        <v>39076</v>
      </c>
      <c r="B1270" t="s">
        <v>338</v>
      </c>
      <c r="C1270" t="s">
        <v>83</v>
      </c>
      <c r="D1270">
        <v>0</v>
      </c>
    </row>
    <row r="1271" spans="1:4" x14ac:dyDescent="0.25">
      <c r="A1271" s="279">
        <v>39076</v>
      </c>
      <c r="B1271" t="s">
        <v>338</v>
      </c>
      <c r="C1271" t="s">
        <v>14</v>
      </c>
      <c r="D1271">
        <v>1042</v>
      </c>
    </row>
    <row r="1272" spans="1:4" x14ac:dyDescent="0.25">
      <c r="A1272" s="279">
        <v>39076</v>
      </c>
      <c r="B1272" t="s">
        <v>339</v>
      </c>
      <c r="C1272" t="s">
        <v>20</v>
      </c>
      <c r="D1272">
        <v>57699</v>
      </c>
    </row>
    <row r="1273" spans="1:4" x14ac:dyDescent="0.25">
      <c r="A1273" s="279">
        <v>39076</v>
      </c>
      <c r="B1273" t="s">
        <v>339</v>
      </c>
      <c r="C1273" t="s">
        <v>85</v>
      </c>
      <c r="D1273">
        <v>29511</v>
      </c>
    </row>
    <row r="1274" spans="1:4" x14ac:dyDescent="0.25">
      <c r="A1274" s="279">
        <v>39076</v>
      </c>
      <c r="B1274" t="s">
        <v>339</v>
      </c>
      <c r="C1274" t="s">
        <v>86</v>
      </c>
      <c r="D1274">
        <v>0</v>
      </c>
    </row>
    <row r="1275" spans="1:4" x14ac:dyDescent="0.25">
      <c r="A1275" s="279">
        <v>39076</v>
      </c>
      <c r="B1275" t="s">
        <v>339</v>
      </c>
      <c r="C1275" t="s">
        <v>87</v>
      </c>
      <c r="D1275">
        <v>5</v>
      </c>
    </row>
    <row r="1276" spans="1:4" x14ac:dyDescent="0.25">
      <c r="A1276" s="279">
        <v>39076</v>
      </c>
      <c r="B1276" t="s">
        <v>339</v>
      </c>
      <c r="C1276" t="s">
        <v>88</v>
      </c>
      <c r="D1276">
        <v>2019</v>
      </c>
    </row>
    <row r="1277" spans="1:4" x14ac:dyDescent="0.25">
      <c r="A1277" s="279">
        <v>39076</v>
      </c>
      <c r="B1277" t="s">
        <v>339</v>
      </c>
      <c r="C1277" t="s">
        <v>14</v>
      </c>
      <c r="D1277">
        <v>1032</v>
      </c>
    </row>
    <row r="1278" spans="1:4" x14ac:dyDescent="0.25">
      <c r="A1278" s="279">
        <v>39077</v>
      </c>
      <c r="B1278" t="s">
        <v>338</v>
      </c>
      <c r="C1278" t="s">
        <v>81</v>
      </c>
      <c r="D1278">
        <v>51621</v>
      </c>
    </row>
    <row r="1279" spans="1:4" x14ac:dyDescent="0.25">
      <c r="A1279" s="279">
        <v>39077</v>
      </c>
      <c r="B1279" t="s">
        <v>338</v>
      </c>
      <c r="C1279" t="s">
        <v>82</v>
      </c>
      <c r="D1279">
        <v>68688</v>
      </c>
    </row>
    <row r="1280" spans="1:4" x14ac:dyDescent="0.25">
      <c r="A1280" s="279">
        <v>39077</v>
      </c>
      <c r="B1280" t="s">
        <v>338</v>
      </c>
      <c r="C1280" t="s">
        <v>84</v>
      </c>
      <c r="D1280">
        <v>1310</v>
      </c>
    </row>
    <row r="1281" spans="1:4" x14ac:dyDescent="0.25">
      <c r="A1281" s="279">
        <v>39077</v>
      </c>
      <c r="B1281" t="s">
        <v>338</v>
      </c>
      <c r="C1281" t="s">
        <v>83</v>
      </c>
      <c r="D1281">
        <v>0</v>
      </c>
    </row>
    <row r="1282" spans="1:4" x14ac:dyDescent="0.25">
      <c r="A1282" s="279">
        <v>39077</v>
      </c>
      <c r="B1282" t="s">
        <v>338</v>
      </c>
      <c r="C1282" t="s">
        <v>14</v>
      </c>
      <c r="D1282">
        <v>1042</v>
      </c>
    </row>
    <row r="1283" spans="1:4" x14ac:dyDescent="0.25">
      <c r="A1283" s="279">
        <v>39077</v>
      </c>
      <c r="B1283" t="s">
        <v>339</v>
      </c>
      <c r="C1283" t="s">
        <v>20</v>
      </c>
      <c r="D1283">
        <v>44775</v>
      </c>
    </row>
    <row r="1284" spans="1:4" x14ac:dyDescent="0.25">
      <c r="A1284" s="279">
        <v>39077</v>
      </c>
      <c r="B1284" t="s">
        <v>339</v>
      </c>
      <c r="C1284" t="s">
        <v>85</v>
      </c>
      <c r="D1284">
        <v>37861</v>
      </c>
    </row>
    <row r="1285" spans="1:4" x14ac:dyDescent="0.25">
      <c r="A1285" s="279">
        <v>39077</v>
      </c>
      <c r="B1285" t="s">
        <v>339</v>
      </c>
      <c r="C1285" t="s">
        <v>86</v>
      </c>
      <c r="D1285">
        <v>0</v>
      </c>
    </row>
    <row r="1286" spans="1:4" x14ac:dyDescent="0.25">
      <c r="A1286" s="279">
        <v>39077</v>
      </c>
      <c r="B1286" t="s">
        <v>339</v>
      </c>
      <c r="C1286" t="s">
        <v>87</v>
      </c>
      <c r="D1286">
        <v>0</v>
      </c>
    </row>
    <row r="1287" spans="1:4" x14ac:dyDescent="0.25">
      <c r="A1287" s="279">
        <v>39077</v>
      </c>
      <c r="B1287" t="s">
        <v>339</v>
      </c>
      <c r="C1287" t="s">
        <v>88</v>
      </c>
      <c r="D1287">
        <v>4513</v>
      </c>
    </row>
    <row r="1288" spans="1:4" x14ac:dyDescent="0.25">
      <c r="A1288" s="279">
        <v>39077</v>
      </c>
      <c r="B1288" t="s">
        <v>339</v>
      </c>
      <c r="C1288" t="s">
        <v>14</v>
      </c>
      <c r="D1288">
        <v>1030</v>
      </c>
    </row>
    <row r="1289" spans="1:4" x14ac:dyDescent="0.25">
      <c r="A1289" s="279">
        <v>39078</v>
      </c>
      <c r="B1289" t="s">
        <v>338</v>
      </c>
      <c r="C1289" t="s">
        <v>81</v>
      </c>
      <c r="D1289">
        <v>73989</v>
      </c>
    </row>
    <row r="1290" spans="1:4" x14ac:dyDescent="0.25">
      <c r="A1290" s="279">
        <v>39078</v>
      </c>
      <c r="B1290" t="s">
        <v>338</v>
      </c>
      <c r="C1290" t="s">
        <v>82</v>
      </c>
      <c r="D1290">
        <v>87010</v>
      </c>
    </row>
    <row r="1291" spans="1:4" x14ac:dyDescent="0.25">
      <c r="A1291" s="279">
        <v>39078</v>
      </c>
      <c r="B1291" t="s">
        <v>338</v>
      </c>
      <c r="C1291" t="s">
        <v>84</v>
      </c>
      <c r="D1291">
        <v>1610</v>
      </c>
    </row>
    <row r="1292" spans="1:4" x14ac:dyDescent="0.25">
      <c r="A1292" s="279">
        <v>39078</v>
      </c>
      <c r="B1292" t="s">
        <v>338</v>
      </c>
      <c r="C1292" t="s">
        <v>83</v>
      </c>
      <c r="D1292">
        <v>0</v>
      </c>
    </row>
    <row r="1293" spans="1:4" x14ac:dyDescent="0.25">
      <c r="A1293" s="279">
        <v>39078</v>
      </c>
      <c r="B1293" t="s">
        <v>338</v>
      </c>
      <c r="C1293" t="s">
        <v>14</v>
      </c>
      <c r="D1293">
        <v>1044</v>
      </c>
    </row>
    <row r="1294" spans="1:4" x14ac:dyDescent="0.25">
      <c r="A1294" s="279">
        <v>39078</v>
      </c>
      <c r="B1294" t="s">
        <v>339</v>
      </c>
      <c r="C1294" t="s">
        <v>20</v>
      </c>
      <c r="D1294">
        <v>63626</v>
      </c>
    </row>
    <row r="1295" spans="1:4" x14ac:dyDescent="0.25">
      <c r="A1295" s="279">
        <v>39078</v>
      </c>
      <c r="B1295" t="s">
        <v>339</v>
      </c>
      <c r="C1295" t="s">
        <v>85</v>
      </c>
      <c r="D1295">
        <v>31813</v>
      </c>
    </row>
    <row r="1296" spans="1:4" x14ac:dyDescent="0.25">
      <c r="A1296" s="279">
        <v>39078</v>
      </c>
      <c r="B1296" t="s">
        <v>339</v>
      </c>
      <c r="C1296" t="s">
        <v>86</v>
      </c>
      <c r="D1296">
        <v>4654</v>
      </c>
    </row>
    <row r="1297" spans="1:4" x14ac:dyDescent="0.25">
      <c r="A1297" s="279">
        <v>39078</v>
      </c>
      <c r="B1297" t="s">
        <v>339</v>
      </c>
      <c r="C1297" t="s">
        <v>87</v>
      </c>
      <c r="D1297">
        <v>0</v>
      </c>
    </row>
    <row r="1298" spans="1:4" x14ac:dyDescent="0.25">
      <c r="A1298" s="279">
        <v>39078</v>
      </c>
      <c r="B1298" t="s">
        <v>339</v>
      </c>
      <c r="C1298" t="s">
        <v>88</v>
      </c>
      <c r="D1298">
        <v>22513</v>
      </c>
    </row>
    <row r="1299" spans="1:4" x14ac:dyDescent="0.25">
      <c r="A1299" s="279">
        <v>39078</v>
      </c>
      <c r="B1299" t="s">
        <v>339</v>
      </c>
      <c r="C1299" t="s">
        <v>14</v>
      </c>
      <c r="D1299">
        <v>1028</v>
      </c>
    </row>
    <row r="1300" spans="1:4" x14ac:dyDescent="0.25">
      <c r="A1300" s="279">
        <v>39079</v>
      </c>
      <c r="B1300" t="s">
        <v>338</v>
      </c>
      <c r="C1300" t="s">
        <v>81</v>
      </c>
      <c r="D1300">
        <v>63969</v>
      </c>
    </row>
    <row r="1301" spans="1:4" x14ac:dyDescent="0.25">
      <c r="A1301" s="279">
        <v>39079</v>
      </c>
      <c r="B1301" t="s">
        <v>338</v>
      </c>
      <c r="C1301" t="s">
        <v>82</v>
      </c>
      <c r="D1301">
        <v>87924</v>
      </c>
    </row>
    <row r="1302" spans="1:4" x14ac:dyDescent="0.25">
      <c r="A1302" s="279">
        <v>39079</v>
      </c>
      <c r="B1302" t="s">
        <v>338</v>
      </c>
      <c r="C1302" t="s">
        <v>84</v>
      </c>
      <c r="D1302">
        <v>1460</v>
      </c>
    </row>
    <row r="1303" spans="1:4" x14ac:dyDescent="0.25">
      <c r="A1303" s="279">
        <v>39079</v>
      </c>
      <c r="B1303" t="s">
        <v>338</v>
      </c>
      <c r="C1303" t="s">
        <v>83</v>
      </c>
      <c r="D1303">
        <v>0</v>
      </c>
    </row>
    <row r="1304" spans="1:4" x14ac:dyDescent="0.25">
      <c r="A1304" s="279">
        <v>39079</v>
      </c>
      <c r="B1304" t="s">
        <v>338</v>
      </c>
      <c r="C1304" t="s">
        <v>14</v>
      </c>
      <c r="D1304">
        <v>1043</v>
      </c>
    </row>
    <row r="1305" spans="1:4" x14ac:dyDescent="0.25">
      <c r="A1305" s="279">
        <v>39079</v>
      </c>
      <c r="B1305" t="s">
        <v>339</v>
      </c>
      <c r="C1305" t="s">
        <v>20</v>
      </c>
      <c r="D1305">
        <v>54455</v>
      </c>
    </row>
    <row r="1306" spans="1:4" x14ac:dyDescent="0.25">
      <c r="A1306" s="279">
        <v>39079</v>
      </c>
      <c r="B1306" t="s">
        <v>339</v>
      </c>
      <c r="C1306" t="s">
        <v>85</v>
      </c>
      <c r="D1306">
        <v>30150</v>
      </c>
    </row>
    <row r="1307" spans="1:4" x14ac:dyDescent="0.25">
      <c r="A1307" s="279">
        <v>39079</v>
      </c>
      <c r="B1307" t="s">
        <v>339</v>
      </c>
      <c r="C1307" t="s">
        <v>86</v>
      </c>
      <c r="D1307">
        <v>164</v>
      </c>
    </row>
    <row r="1308" spans="1:4" x14ac:dyDescent="0.25">
      <c r="A1308" s="279">
        <v>39079</v>
      </c>
      <c r="B1308" t="s">
        <v>339</v>
      </c>
      <c r="C1308" t="s">
        <v>87</v>
      </c>
      <c r="D1308">
        <v>0</v>
      </c>
    </row>
    <row r="1309" spans="1:4" x14ac:dyDescent="0.25">
      <c r="A1309" s="279">
        <v>39079</v>
      </c>
      <c r="B1309" t="s">
        <v>339</v>
      </c>
      <c r="C1309" t="s">
        <v>88</v>
      </c>
      <c r="D1309">
        <v>5178</v>
      </c>
    </row>
    <row r="1310" spans="1:4" x14ac:dyDescent="0.25">
      <c r="A1310" s="279">
        <v>39079</v>
      </c>
      <c r="B1310" t="s">
        <v>339</v>
      </c>
      <c r="C1310" t="s">
        <v>14</v>
      </c>
      <c r="D1310">
        <v>1028</v>
      </c>
    </row>
    <row r="1311" spans="1:4" x14ac:dyDescent="0.25">
      <c r="A1311" s="279">
        <v>39080</v>
      </c>
      <c r="B1311" t="s">
        <v>338</v>
      </c>
      <c r="C1311" t="s">
        <v>81</v>
      </c>
      <c r="D1311">
        <v>60036</v>
      </c>
    </row>
    <row r="1312" spans="1:4" x14ac:dyDescent="0.25">
      <c r="A1312" s="279">
        <v>39080</v>
      </c>
      <c r="B1312" t="s">
        <v>338</v>
      </c>
      <c r="C1312" t="s">
        <v>82</v>
      </c>
      <c r="D1312">
        <v>76472</v>
      </c>
    </row>
    <row r="1313" spans="1:4" x14ac:dyDescent="0.25">
      <c r="A1313" s="279">
        <v>39080</v>
      </c>
      <c r="B1313" t="s">
        <v>338</v>
      </c>
      <c r="C1313" t="s">
        <v>84</v>
      </c>
      <c r="D1313">
        <v>1400</v>
      </c>
    </row>
    <row r="1314" spans="1:4" x14ac:dyDescent="0.25">
      <c r="A1314" s="279">
        <v>39080</v>
      </c>
      <c r="B1314" t="s">
        <v>338</v>
      </c>
      <c r="C1314" t="s">
        <v>83</v>
      </c>
      <c r="D1314">
        <v>0</v>
      </c>
    </row>
    <row r="1315" spans="1:4" x14ac:dyDescent="0.25">
      <c r="A1315" s="279">
        <v>39080</v>
      </c>
      <c r="B1315" t="s">
        <v>338</v>
      </c>
      <c r="C1315" t="s">
        <v>14</v>
      </c>
      <c r="D1315">
        <v>1040</v>
      </c>
    </row>
    <row r="1316" spans="1:4" x14ac:dyDescent="0.25">
      <c r="A1316" s="279">
        <v>39080</v>
      </c>
      <c r="B1316" t="s">
        <v>339</v>
      </c>
      <c r="C1316" t="s">
        <v>20</v>
      </c>
      <c r="D1316">
        <v>54486</v>
      </c>
    </row>
    <row r="1317" spans="1:4" x14ac:dyDescent="0.25">
      <c r="A1317" s="279">
        <v>39080</v>
      </c>
      <c r="B1317" t="s">
        <v>339</v>
      </c>
      <c r="C1317" t="s">
        <v>85</v>
      </c>
      <c r="D1317">
        <v>30480</v>
      </c>
    </row>
    <row r="1318" spans="1:4" x14ac:dyDescent="0.25">
      <c r="A1318" s="279">
        <v>39080</v>
      </c>
      <c r="B1318" t="s">
        <v>339</v>
      </c>
      <c r="C1318" t="s">
        <v>86</v>
      </c>
      <c r="D1318">
        <v>0</v>
      </c>
    </row>
    <row r="1319" spans="1:4" x14ac:dyDescent="0.25">
      <c r="A1319" s="279">
        <v>39080</v>
      </c>
      <c r="B1319" t="s">
        <v>339</v>
      </c>
      <c r="C1319" t="s">
        <v>87</v>
      </c>
      <c r="D1319">
        <v>0</v>
      </c>
    </row>
    <row r="1320" spans="1:4" x14ac:dyDescent="0.25">
      <c r="A1320" s="279">
        <v>39080</v>
      </c>
      <c r="B1320" t="s">
        <v>339</v>
      </c>
      <c r="C1320" t="s">
        <v>88</v>
      </c>
      <c r="D1320">
        <v>4576</v>
      </c>
    </row>
    <row r="1321" spans="1:4" x14ac:dyDescent="0.25">
      <c r="A1321" s="279">
        <v>39080</v>
      </c>
      <c r="B1321" t="s">
        <v>339</v>
      </c>
      <c r="C1321" t="s">
        <v>14</v>
      </c>
      <c r="D1321">
        <v>1028</v>
      </c>
    </row>
    <row r="1322" spans="1:4" x14ac:dyDescent="0.25">
      <c r="A1322" s="279">
        <v>39081</v>
      </c>
      <c r="B1322" t="s">
        <v>338</v>
      </c>
      <c r="C1322" t="s">
        <v>81</v>
      </c>
      <c r="D1322">
        <v>63204</v>
      </c>
    </row>
    <row r="1323" spans="1:4" x14ac:dyDescent="0.25">
      <c r="A1323" s="279">
        <v>39081</v>
      </c>
      <c r="B1323" t="s">
        <v>338</v>
      </c>
      <c r="C1323" t="s">
        <v>82</v>
      </c>
      <c r="D1323">
        <v>79710</v>
      </c>
    </row>
    <row r="1324" spans="1:4" x14ac:dyDescent="0.25">
      <c r="A1324" s="279">
        <v>39081</v>
      </c>
      <c r="B1324" t="s">
        <v>338</v>
      </c>
      <c r="C1324" t="s">
        <v>84</v>
      </c>
      <c r="D1324">
        <v>1230</v>
      </c>
    </row>
    <row r="1325" spans="1:4" x14ac:dyDescent="0.25">
      <c r="A1325" s="279">
        <v>39081</v>
      </c>
      <c r="B1325" t="s">
        <v>338</v>
      </c>
      <c r="C1325" t="s">
        <v>83</v>
      </c>
      <c r="D1325">
        <v>0</v>
      </c>
    </row>
    <row r="1326" spans="1:4" x14ac:dyDescent="0.25">
      <c r="A1326" s="279">
        <v>39081</v>
      </c>
      <c r="B1326" t="s">
        <v>338</v>
      </c>
      <c r="C1326" t="s">
        <v>14</v>
      </c>
      <c r="D1326">
        <v>1040</v>
      </c>
    </row>
    <row r="1327" spans="1:4" x14ac:dyDescent="0.25">
      <c r="A1327" s="279">
        <v>39081</v>
      </c>
      <c r="B1327" t="s">
        <v>339</v>
      </c>
      <c r="C1327" t="s">
        <v>20</v>
      </c>
      <c r="D1327">
        <v>55097</v>
      </c>
    </row>
    <row r="1328" spans="1:4" x14ac:dyDescent="0.25">
      <c r="A1328" s="279">
        <v>39081</v>
      </c>
      <c r="B1328" t="s">
        <v>339</v>
      </c>
      <c r="C1328" t="s">
        <v>85</v>
      </c>
      <c r="D1328">
        <v>28372</v>
      </c>
    </row>
    <row r="1329" spans="1:4" x14ac:dyDescent="0.25">
      <c r="A1329" s="279">
        <v>39081</v>
      </c>
      <c r="B1329" t="s">
        <v>339</v>
      </c>
      <c r="C1329" t="s">
        <v>86</v>
      </c>
      <c r="D1329">
        <v>0</v>
      </c>
    </row>
    <row r="1330" spans="1:4" x14ac:dyDescent="0.25">
      <c r="A1330" s="279">
        <v>39081</v>
      </c>
      <c r="B1330" t="s">
        <v>339</v>
      </c>
      <c r="C1330" t="s">
        <v>87</v>
      </c>
      <c r="D1330">
        <v>0</v>
      </c>
    </row>
    <row r="1331" spans="1:4" x14ac:dyDescent="0.25">
      <c r="A1331" s="279">
        <v>39081</v>
      </c>
      <c r="B1331" t="s">
        <v>339</v>
      </c>
      <c r="C1331" t="s">
        <v>88</v>
      </c>
      <c r="D1331">
        <v>4880</v>
      </c>
    </row>
    <row r="1332" spans="1:4" x14ac:dyDescent="0.25">
      <c r="A1332" s="279">
        <v>39081</v>
      </c>
      <c r="B1332" t="s">
        <v>339</v>
      </c>
      <c r="C1332" t="s">
        <v>14</v>
      </c>
      <c r="D1332">
        <v>1030</v>
      </c>
    </row>
    <row r="1333" spans="1:4" x14ac:dyDescent="0.25">
      <c r="A1333" s="279">
        <v>39082</v>
      </c>
      <c r="B1333" t="s">
        <v>338</v>
      </c>
      <c r="C1333" t="s">
        <v>81</v>
      </c>
      <c r="D1333">
        <v>52297</v>
      </c>
    </row>
    <row r="1334" spans="1:4" x14ac:dyDescent="0.25">
      <c r="A1334" s="279">
        <v>39082</v>
      </c>
      <c r="B1334" t="s">
        <v>338</v>
      </c>
      <c r="C1334" t="s">
        <v>82</v>
      </c>
      <c r="D1334">
        <v>77299</v>
      </c>
    </row>
    <row r="1335" spans="1:4" x14ac:dyDescent="0.25">
      <c r="A1335" s="279">
        <v>39082</v>
      </c>
      <c r="B1335" t="s">
        <v>338</v>
      </c>
      <c r="C1335" t="s">
        <v>84</v>
      </c>
      <c r="D1335">
        <v>1240</v>
      </c>
    </row>
    <row r="1336" spans="1:4" x14ac:dyDescent="0.25">
      <c r="A1336" s="279">
        <v>39082</v>
      </c>
      <c r="B1336" t="s">
        <v>338</v>
      </c>
      <c r="C1336" t="s">
        <v>83</v>
      </c>
      <c r="D1336">
        <v>0</v>
      </c>
    </row>
    <row r="1337" spans="1:4" x14ac:dyDescent="0.25">
      <c r="A1337" s="279">
        <v>39082</v>
      </c>
      <c r="B1337" t="s">
        <v>338</v>
      </c>
      <c r="C1337" t="s">
        <v>14</v>
      </c>
      <c r="D1337">
        <v>1040</v>
      </c>
    </row>
    <row r="1338" spans="1:4" x14ac:dyDescent="0.25">
      <c r="A1338" s="279">
        <v>39082</v>
      </c>
      <c r="B1338" t="s">
        <v>339</v>
      </c>
      <c r="C1338" t="s">
        <v>20</v>
      </c>
      <c r="D1338">
        <v>60163</v>
      </c>
    </row>
    <row r="1339" spans="1:4" x14ac:dyDescent="0.25">
      <c r="A1339" s="279">
        <v>39082</v>
      </c>
      <c r="B1339" t="s">
        <v>339</v>
      </c>
      <c r="C1339" t="s">
        <v>85</v>
      </c>
      <c r="D1339">
        <v>27491</v>
      </c>
    </row>
    <row r="1340" spans="1:4" x14ac:dyDescent="0.25">
      <c r="A1340" s="279">
        <v>39082</v>
      </c>
      <c r="B1340" t="s">
        <v>339</v>
      </c>
      <c r="C1340" t="s">
        <v>86</v>
      </c>
      <c r="D1340">
        <v>0</v>
      </c>
    </row>
    <row r="1341" spans="1:4" x14ac:dyDescent="0.25">
      <c r="A1341" s="279">
        <v>39082</v>
      </c>
      <c r="B1341" t="s">
        <v>339</v>
      </c>
      <c r="C1341" t="s">
        <v>87</v>
      </c>
      <c r="D1341">
        <v>0</v>
      </c>
    </row>
    <row r="1342" spans="1:4" x14ac:dyDescent="0.25">
      <c r="A1342" s="279">
        <v>39082</v>
      </c>
      <c r="B1342" t="s">
        <v>339</v>
      </c>
      <c r="C1342" t="s">
        <v>88</v>
      </c>
      <c r="D1342">
        <v>239</v>
      </c>
    </row>
    <row r="1343" spans="1:4" x14ac:dyDescent="0.25">
      <c r="A1343" s="279">
        <v>39082</v>
      </c>
      <c r="B1343" t="s">
        <v>339</v>
      </c>
      <c r="C1343" t="s">
        <v>14</v>
      </c>
      <c r="D1343">
        <v>1030</v>
      </c>
    </row>
    <row r="1344" spans="1:4" x14ac:dyDescent="0.25">
      <c r="A1344" s="279">
        <v>39083</v>
      </c>
      <c r="B1344" t="s">
        <v>338</v>
      </c>
      <c r="C1344" t="s">
        <v>81</v>
      </c>
      <c r="D1344">
        <v>45798</v>
      </c>
    </row>
    <row r="1345" spans="1:4" x14ac:dyDescent="0.25">
      <c r="A1345" s="279">
        <v>39083</v>
      </c>
      <c r="B1345" t="s">
        <v>338</v>
      </c>
      <c r="C1345" t="s">
        <v>82</v>
      </c>
      <c r="D1345">
        <v>58910</v>
      </c>
    </row>
    <row r="1346" spans="1:4" x14ac:dyDescent="0.25">
      <c r="A1346" s="279">
        <v>39083</v>
      </c>
      <c r="B1346" t="s">
        <v>338</v>
      </c>
      <c r="C1346" t="s">
        <v>84</v>
      </c>
      <c r="D1346">
        <v>1131</v>
      </c>
    </row>
    <row r="1347" spans="1:4" x14ac:dyDescent="0.25">
      <c r="A1347" s="279">
        <v>39083</v>
      </c>
      <c r="B1347" t="s">
        <v>338</v>
      </c>
      <c r="C1347" t="s">
        <v>83</v>
      </c>
      <c r="D1347">
        <v>0</v>
      </c>
    </row>
    <row r="1348" spans="1:4" x14ac:dyDescent="0.25">
      <c r="A1348" s="279">
        <v>39083</v>
      </c>
      <c r="B1348" t="s">
        <v>338</v>
      </c>
      <c r="C1348" t="s">
        <v>14</v>
      </c>
      <c r="D1348">
        <v>1040</v>
      </c>
    </row>
    <row r="1349" spans="1:4" x14ac:dyDescent="0.25">
      <c r="A1349" s="279">
        <v>39083</v>
      </c>
      <c r="B1349" t="s">
        <v>339</v>
      </c>
      <c r="C1349" t="s">
        <v>20</v>
      </c>
      <c r="D1349">
        <v>46121</v>
      </c>
    </row>
    <row r="1350" spans="1:4" x14ac:dyDescent="0.25">
      <c r="A1350" s="279">
        <v>39083</v>
      </c>
      <c r="B1350" t="s">
        <v>339</v>
      </c>
      <c r="C1350" t="s">
        <v>85</v>
      </c>
      <c r="D1350">
        <v>35377</v>
      </c>
    </row>
    <row r="1351" spans="1:4" x14ac:dyDescent="0.25">
      <c r="A1351" s="279">
        <v>39083</v>
      </c>
      <c r="B1351" t="s">
        <v>339</v>
      </c>
      <c r="C1351" t="s">
        <v>86</v>
      </c>
      <c r="D1351">
        <v>0</v>
      </c>
    </row>
    <row r="1352" spans="1:4" x14ac:dyDescent="0.25">
      <c r="A1352" s="279">
        <v>39083</v>
      </c>
      <c r="B1352" t="s">
        <v>339</v>
      </c>
      <c r="C1352" t="s">
        <v>87</v>
      </c>
      <c r="D1352">
        <v>0</v>
      </c>
    </row>
    <row r="1353" spans="1:4" x14ac:dyDescent="0.25">
      <c r="A1353" s="279">
        <v>39083</v>
      </c>
      <c r="B1353" t="s">
        <v>339</v>
      </c>
      <c r="C1353" t="s">
        <v>88</v>
      </c>
      <c r="D1353">
        <v>5196</v>
      </c>
    </row>
    <row r="1354" spans="1:4" x14ac:dyDescent="0.25">
      <c r="A1354" s="279">
        <v>39083</v>
      </c>
      <c r="B1354" t="s">
        <v>339</v>
      </c>
      <c r="C1354" t="s">
        <v>14</v>
      </c>
      <c r="D1354">
        <v>1030</v>
      </c>
    </row>
    <row r="1355" spans="1:4" x14ac:dyDescent="0.25">
      <c r="A1355" s="279">
        <v>39084</v>
      </c>
      <c r="B1355" t="s">
        <v>338</v>
      </c>
      <c r="C1355" t="s">
        <v>81</v>
      </c>
      <c r="D1355">
        <v>47108</v>
      </c>
    </row>
    <row r="1356" spans="1:4" x14ac:dyDescent="0.25">
      <c r="A1356" s="279">
        <v>39084</v>
      </c>
      <c r="B1356" t="s">
        <v>338</v>
      </c>
      <c r="C1356" t="s">
        <v>82</v>
      </c>
      <c r="D1356">
        <v>56850</v>
      </c>
    </row>
    <row r="1357" spans="1:4" x14ac:dyDescent="0.25">
      <c r="A1357" s="279">
        <v>39084</v>
      </c>
      <c r="B1357" t="s">
        <v>338</v>
      </c>
      <c r="C1357" t="s">
        <v>84</v>
      </c>
      <c r="D1357">
        <v>2040</v>
      </c>
    </row>
    <row r="1358" spans="1:4" x14ac:dyDescent="0.25">
      <c r="A1358" s="279">
        <v>39084</v>
      </c>
      <c r="B1358" t="s">
        <v>338</v>
      </c>
      <c r="C1358" t="s">
        <v>83</v>
      </c>
      <c r="D1358">
        <v>0</v>
      </c>
    </row>
    <row r="1359" spans="1:4" x14ac:dyDescent="0.25">
      <c r="A1359" s="279">
        <v>39084</v>
      </c>
      <c r="B1359" t="s">
        <v>338</v>
      </c>
      <c r="C1359" t="s">
        <v>14</v>
      </c>
      <c r="D1359">
        <v>1040</v>
      </c>
    </row>
    <row r="1360" spans="1:4" x14ac:dyDescent="0.25">
      <c r="A1360" s="279">
        <v>39084</v>
      </c>
      <c r="B1360" t="s">
        <v>339</v>
      </c>
      <c r="C1360" t="s">
        <v>20</v>
      </c>
      <c r="D1360">
        <v>74924</v>
      </c>
    </row>
    <row r="1361" spans="1:4" x14ac:dyDescent="0.25">
      <c r="A1361" s="279">
        <v>39084</v>
      </c>
      <c r="B1361" t="s">
        <v>339</v>
      </c>
      <c r="C1361" t="s">
        <v>85</v>
      </c>
      <c r="D1361">
        <v>42875</v>
      </c>
    </row>
    <row r="1362" spans="1:4" x14ac:dyDescent="0.25">
      <c r="A1362" s="279">
        <v>39084</v>
      </c>
      <c r="B1362" t="s">
        <v>339</v>
      </c>
      <c r="C1362" t="s">
        <v>86</v>
      </c>
      <c r="D1362">
        <v>15500</v>
      </c>
    </row>
    <row r="1363" spans="1:4" x14ac:dyDescent="0.25">
      <c r="A1363" s="279">
        <v>39084</v>
      </c>
      <c r="B1363" t="s">
        <v>339</v>
      </c>
      <c r="C1363" t="s">
        <v>87</v>
      </c>
      <c r="D1363">
        <v>3728</v>
      </c>
    </row>
    <row r="1364" spans="1:4" x14ac:dyDescent="0.25">
      <c r="A1364" s="279">
        <v>39084</v>
      </c>
      <c r="B1364" t="s">
        <v>339</v>
      </c>
      <c r="C1364" t="s">
        <v>88</v>
      </c>
      <c r="D1364">
        <v>22747</v>
      </c>
    </row>
    <row r="1365" spans="1:4" x14ac:dyDescent="0.25">
      <c r="A1365" s="279">
        <v>39084</v>
      </c>
      <c r="B1365" t="s">
        <v>339</v>
      </c>
      <c r="C1365" t="s">
        <v>14</v>
      </c>
      <c r="D1365">
        <v>1030</v>
      </c>
    </row>
    <row r="1366" spans="1:4" x14ac:dyDescent="0.25">
      <c r="A1366" s="279">
        <v>39085</v>
      </c>
      <c r="B1366" t="s">
        <v>338</v>
      </c>
      <c r="C1366" t="s">
        <v>81</v>
      </c>
      <c r="D1366">
        <v>56316</v>
      </c>
    </row>
    <row r="1367" spans="1:4" x14ac:dyDescent="0.25">
      <c r="A1367" s="279">
        <v>39085</v>
      </c>
      <c r="B1367" t="s">
        <v>338</v>
      </c>
      <c r="C1367" t="s">
        <v>82</v>
      </c>
      <c r="D1367">
        <v>67371</v>
      </c>
    </row>
    <row r="1368" spans="1:4" x14ac:dyDescent="0.25">
      <c r="A1368" s="279">
        <v>39085</v>
      </c>
      <c r="B1368" t="s">
        <v>338</v>
      </c>
      <c r="C1368" t="s">
        <v>84</v>
      </c>
      <c r="D1368">
        <v>2000</v>
      </c>
    </row>
    <row r="1369" spans="1:4" x14ac:dyDescent="0.25">
      <c r="A1369" s="279">
        <v>39085</v>
      </c>
      <c r="B1369" t="s">
        <v>338</v>
      </c>
      <c r="C1369" t="s">
        <v>83</v>
      </c>
      <c r="D1369">
        <v>0</v>
      </c>
    </row>
    <row r="1370" spans="1:4" x14ac:dyDescent="0.25">
      <c r="A1370" s="279">
        <v>39085</v>
      </c>
      <c r="B1370" t="s">
        <v>338</v>
      </c>
      <c r="C1370" t="s">
        <v>14</v>
      </c>
      <c r="D1370">
        <v>1042</v>
      </c>
    </row>
    <row r="1371" spans="1:4" x14ac:dyDescent="0.25">
      <c r="A1371" s="279">
        <v>39085</v>
      </c>
      <c r="B1371" t="s">
        <v>339</v>
      </c>
      <c r="C1371" t="s">
        <v>20</v>
      </c>
      <c r="D1371">
        <v>66698</v>
      </c>
    </row>
    <row r="1372" spans="1:4" x14ac:dyDescent="0.25">
      <c r="A1372" s="279">
        <v>39085</v>
      </c>
      <c r="B1372" t="s">
        <v>339</v>
      </c>
      <c r="C1372" t="s">
        <v>85</v>
      </c>
      <c r="D1372">
        <v>37498</v>
      </c>
    </row>
    <row r="1373" spans="1:4" x14ac:dyDescent="0.25">
      <c r="A1373" s="279">
        <v>39085</v>
      </c>
      <c r="B1373" t="s">
        <v>339</v>
      </c>
      <c r="C1373" t="s">
        <v>86</v>
      </c>
      <c r="D1373">
        <v>1349</v>
      </c>
    </row>
    <row r="1374" spans="1:4" x14ac:dyDescent="0.25">
      <c r="A1374" s="279">
        <v>39085</v>
      </c>
      <c r="B1374" t="s">
        <v>339</v>
      </c>
      <c r="C1374" t="s">
        <v>87</v>
      </c>
      <c r="D1374">
        <v>1007</v>
      </c>
    </row>
    <row r="1375" spans="1:4" x14ac:dyDescent="0.25">
      <c r="A1375" s="279">
        <v>39085</v>
      </c>
      <c r="B1375" t="s">
        <v>339</v>
      </c>
      <c r="C1375" t="s">
        <v>88</v>
      </c>
      <c r="D1375">
        <v>8934</v>
      </c>
    </row>
    <row r="1376" spans="1:4" x14ac:dyDescent="0.25">
      <c r="A1376" s="279">
        <v>39085</v>
      </c>
      <c r="B1376" t="s">
        <v>339</v>
      </c>
      <c r="C1376" t="s">
        <v>14</v>
      </c>
      <c r="D1376">
        <v>1030</v>
      </c>
    </row>
    <row r="1377" spans="1:4" x14ac:dyDescent="0.25">
      <c r="A1377" s="279">
        <v>39086</v>
      </c>
      <c r="B1377" t="s">
        <v>338</v>
      </c>
      <c r="C1377" t="s">
        <v>81</v>
      </c>
      <c r="D1377">
        <v>46255</v>
      </c>
    </row>
    <row r="1378" spans="1:4" x14ac:dyDescent="0.25">
      <c r="A1378" s="279">
        <v>39086</v>
      </c>
      <c r="B1378" t="s">
        <v>338</v>
      </c>
      <c r="C1378" t="s">
        <v>82</v>
      </c>
      <c r="D1378">
        <v>54257</v>
      </c>
    </row>
    <row r="1379" spans="1:4" x14ac:dyDescent="0.25">
      <c r="A1379" s="279">
        <v>39086</v>
      </c>
      <c r="B1379" t="s">
        <v>338</v>
      </c>
      <c r="C1379" t="s">
        <v>84</v>
      </c>
      <c r="D1379">
        <v>1600</v>
      </c>
    </row>
    <row r="1380" spans="1:4" x14ac:dyDescent="0.25">
      <c r="A1380" s="279">
        <v>39086</v>
      </c>
      <c r="B1380" t="s">
        <v>338</v>
      </c>
      <c r="C1380" t="s">
        <v>83</v>
      </c>
      <c r="D1380">
        <v>0</v>
      </c>
    </row>
    <row r="1381" spans="1:4" x14ac:dyDescent="0.25">
      <c r="A1381" s="279">
        <v>39086</v>
      </c>
      <c r="B1381" t="s">
        <v>338</v>
      </c>
      <c r="C1381" t="s">
        <v>14</v>
      </c>
      <c r="D1381">
        <v>1043</v>
      </c>
    </row>
    <row r="1382" spans="1:4" x14ac:dyDescent="0.25">
      <c r="A1382" s="279">
        <v>39086</v>
      </c>
      <c r="B1382" t="s">
        <v>339</v>
      </c>
      <c r="C1382" t="s">
        <v>20</v>
      </c>
      <c r="D1382">
        <v>42554</v>
      </c>
    </row>
    <row r="1383" spans="1:4" x14ac:dyDescent="0.25">
      <c r="A1383" s="279">
        <v>39086</v>
      </c>
      <c r="B1383" t="s">
        <v>339</v>
      </c>
      <c r="C1383" t="s">
        <v>85</v>
      </c>
      <c r="D1383">
        <v>26180</v>
      </c>
    </row>
    <row r="1384" spans="1:4" x14ac:dyDescent="0.25">
      <c r="A1384" s="279">
        <v>39086</v>
      </c>
      <c r="B1384" t="s">
        <v>339</v>
      </c>
      <c r="C1384" t="s">
        <v>86</v>
      </c>
      <c r="D1384">
        <v>0</v>
      </c>
    </row>
    <row r="1385" spans="1:4" x14ac:dyDescent="0.25">
      <c r="A1385" s="279">
        <v>39086</v>
      </c>
      <c r="B1385" t="s">
        <v>339</v>
      </c>
      <c r="C1385" t="s">
        <v>87</v>
      </c>
      <c r="D1385">
        <v>0</v>
      </c>
    </row>
    <row r="1386" spans="1:4" x14ac:dyDescent="0.25">
      <c r="A1386" s="279">
        <v>39086</v>
      </c>
      <c r="B1386" t="s">
        <v>339</v>
      </c>
      <c r="C1386" t="s">
        <v>88</v>
      </c>
      <c r="D1386">
        <v>2156</v>
      </c>
    </row>
    <row r="1387" spans="1:4" x14ac:dyDescent="0.25">
      <c r="A1387" s="279">
        <v>39086</v>
      </c>
      <c r="B1387" t="s">
        <v>339</v>
      </c>
      <c r="C1387" t="s">
        <v>14</v>
      </c>
      <c r="D1387">
        <v>1033</v>
      </c>
    </row>
    <row r="1388" spans="1:4" x14ac:dyDescent="0.25">
      <c r="A1388" s="279">
        <v>39087</v>
      </c>
      <c r="B1388" t="s">
        <v>338</v>
      </c>
      <c r="C1388" t="s">
        <v>81</v>
      </c>
      <c r="D1388">
        <v>25587</v>
      </c>
    </row>
    <row r="1389" spans="1:4" x14ac:dyDescent="0.25">
      <c r="A1389" s="279">
        <v>39087</v>
      </c>
      <c r="B1389" t="s">
        <v>338</v>
      </c>
      <c r="C1389" t="s">
        <v>82</v>
      </c>
      <c r="D1389">
        <v>28760</v>
      </c>
    </row>
    <row r="1390" spans="1:4" x14ac:dyDescent="0.25">
      <c r="A1390" s="279">
        <v>39087</v>
      </c>
      <c r="B1390" t="s">
        <v>338</v>
      </c>
      <c r="C1390" t="s">
        <v>84</v>
      </c>
      <c r="D1390">
        <v>1190</v>
      </c>
    </row>
    <row r="1391" spans="1:4" x14ac:dyDescent="0.25">
      <c r="A1391" s="279">
        <v>39087</v>
      </c>
      <c r="B1391" t="s">
        <v>338</v>
      </c>
      <c r="C1391" t="s">
        <v>83</v>
      </c>
      <c r="D1391">
        <v>0</v>
      </c>
    </row>
    <row r="1392" spans="1:4" x14ac:dyDescent="0.25">
      <c r="A1392" s="279">
        <v>39087</v>
      </c>
      <c r="B1392" t="s">
        <v>338</v>
      </c>
      <c r="C1392" t="s">
        <v>14</v>
      </c>
      <c r="D1392">
        <v>1043</v>
      </c>
    </row>
    <row r="1393" spans="1:4" x14ac:dyDescent="0.25">
      <c r="A1393" s="279">
        <v>39087</v>
      </c>
      <c r="B1393" t="s">
        <v>339</v>
      </c>
      <c r="C1393" t="s">
        <v>20</v>
      </c>
      <c r="D1393">
        <v>31690</v>
      </c>
    </row>
    <row r="1394" spans="1:4" x14ac:dyDescent="0.25">
      <c r="A1394" s="279">
        <v>39087</v>
      </c>
      <c r="B1394" t="s">
        <v>339</v>
      </c>
      <c r="C1394" t="s">
        <v>85</v>
      </c>
      <c r="D1394">
        <v>20160</v>
      </c>
    </row>
    <row r="1395" spans="1:4" x14ac:dyDescent="0.25">
      <c r="A1395" s="279">
        <v>39087</v>
      </c>
      <c r="B1395" t="s">
        <v>339</v>
      </c>
      <c r="C1395" t="s">
        <v>86</v>
      </c>
      <c r="D1395">
        <v>0</v>
      </c>
    </row>
    <row r="1396" spans="1:4" x14ac:dyDescent="0.25">
      <c r="A1396" s="279">
        <v>39087</v>
      </c>
      <c r="B1396" t="s">
        <v>339</v>
      </c>
      <c r="C1396" t="s">
        <v>87</v>
      </c>
      <c r="D1396">
        <v>0</v>
      </c>
    </row>
    <row r="1397" spans="1:4" x14ac:dyDescent="0.25">
      <c r="A1397" s="279">
        <v>39087</v>
      </c>
      <c r="B1397" t="s">
        <v>339</v>
      </c>
      <c r="C1397" t="s">
        <v>88</v>
      </c>
      <c r="D1397">
        <v>0</v>
      </c>
    </row>
    <row r="1398" spans="1:4" x14ac:dyDescent="0.25">
      <c r="A1398" s="279">
        <v>39087</v>
      </c>
      <c r="B1398" t="s">
        <v>339</v>
      </c>
      <c r="C1398" t="s">
        <v>14</v>
      </c>
      <c r="D1398">
        <v>1040</v>
      </c>
    </row>
    <row r="1399" spans="1:4" x14ac:dyDescent="0.25">
      <c r="A1399" s="279">
        <v>39088</v>
      </c>
      <c r="B1399" t="s">
        <v>338</v>
      </c>
      <c r="C1399" t="s">
        <v>81</v>
      </c>
      <c r="D1399">
        <v>32484</v>
      </c>
    </row>
    <row r="1400" spans="1:4" x14ac:dyDescent="0.25">
      <c r="A1400" s="279">
        <v>39088</v>
      </c>
      <c r="B1400" t="s">
        <v>338</v>
      </c>
      <c r="C1400" t="s">
        <v>82</v>
      </c>
      <c r="D1400">
        <v>28806</v>
      </c>
    </row>
    <row r="1401" spans="1:4" x14ac:dyDescent="0.25">
      <c r="A1401" s="279">
        <v>39088</v>
      </c>
      <c r="B1401" t="s">
        <v>338</v>
      </c>
      <c r="C1401" t="s">
        <v>84</v>
      </c>
      <c r="D1401">
        <v>1201</v>
      </c>
    </row>
    <row r="1402" spans="1:4" x14ac:dyDescent="0.25">
      <c r="A1402" s="279">
        <v>39088</v>
      </c>
      <c r="B1402" t="s">
        <v>338</v>
      </c>
      <c r="C1402" t="s">
        <v>83</v>
      </c>
      <c r="D1402">
        <v>0</v>
      </c>
    </row>
    <row r="1403" spans="1:4" x14ac:dyDescent="0.25">
      <c r="A1403" s="279">
        <v>39088</v>
      </c>
      <c r="B1403" t="s">
        <v>338</v>
      </c>
      <c r="C1403" t="s">
        <v>14</v>
      </c>
      <c r="D1403">
        <v>1043</v>
      </c>
    </row>
    <row r="1404" spans="1:4" x14ac:dyDescent="0.25">
      <c r="A1404" s="279">
        <v>39088</v>
      </c>
      <c r="B1404" t="s">
        <v>339</v>
      </c>
      <c r="C1404" t="s">
        <v>20</v>
      </c>
      <c r="D1404">
        <v>28218</v>
      </c>
    </row>
    <row r="1405" spans="1:4" x14ac:dyDescent="0.25">
      <c r="A1405" s="279">
        <v>39088</v>
      </c>
      <c r="B1405" t="s">
        <v>339</v>
      </c>
      <c r="C1405" t="s">
        <v>85</v>
      </c>
      <c r="D1405">
        <v>19242</v>
      </c>
    </row>
    <row r="1406" spans="1:4" x14ac:dyDescent="0.25">
      <c r="A1406" s="279">
        <v>39088</v>
      </c>
      <c r="B1406" t="s">
        <v>339</v>
      </c>
      <c r="C1406" t="s">
        <v>86</v>
      </c>
      <c r="D1406">
        <v>0</v>
      </c>
    </row>
    <row r="1407" spans="1:4" x14ac:dyDescent="0.25">
      <c r="A1407" s="279">
        <v>39088</v>
      </c>
      <c r="B1407" t="s">
        <v>339</v>
      </c>
      <c r="C1407" t="s">
        <v>87</v>
      </c>
      <c r="D1407">
        <v>0</v>
      </c>
    </row>
    <row r="1408" spans="1:4" x14ac:dyDescent="0.25">
      <c r="A1408" s="279">
        <v>39088</v>
      </c>
      <c r="B1408" t="s">
        <v>339</v>
      </c>
      <c r="C1408" t="s">
        <v>88</v>
      </c>
      <c r="D1408">
        <v>0</v>
      </c>
    </row>
    <row r="1409" spans="1:4" x14ac:dyDescent="0.25">
      <c r="A1409" s="279">
        <v>39088</v>
      </c>
      <c r="B1409" t="s">
        <v>339</v>
      </c>
      <c r="C1409" t="s">
        <v>14</v>
      </c>
      <c r="D1409">
        <v>1031</v>
      </c>
    </row>
    <row r="1410" spans="1:4" x14ac:dyDescent="0.25">
      <c r="A1410" s="279">
        <v>39089</v>
      </c>
      <c r="B1410" t="s">
        <v>338</v>
      </c>
      <c r="C1410" t="s">
        <v>81</v>
      </c>
      <c r="D1410">
        <v>45598</v>
      </c>
    </row>
    <row r="1411" spans="1:4" x14ac:dyDescent="0.25">
      <c r="A1411" s="279">
        <v>39089</v>
      </c>
      <c r="B1411" t="s">
        <v>338</v>
      </c>
      <c r="C1411" t="s">
        <v>82</v>
      </c>
      <c r="D1411">
        <v>46369</v>
      </c>
    </row>
    <row r="1412" spans="1:4" x14ac:dyDescent="0.25">
      <c r="A1412" s="279">
        <v>39089</v>
      </c>
      <c r="B1412" t="s">
        <v>338</v>
      </c>
      <c r="C1412" t="s">
        <v>84</v>
      </c>
      <c r="D1412">
        <v>1740</v>
      </c>
    </row>
    <row r="1413" spans="1:4" x14ac:dyDescent="0.25">
      <c r="A1413" s="279">
        <v>39089</v>
      </c>
      <c r="B1413" t="s">
        <v>338</v>
      </c>
      <c r="C1413" t="s">
        <v>83</v>
      </c>
      <c r="D1413">
        <v>0</v>
      </c>
    </row>
    <row r="1414" spans="1:4" x14ac:dyDescent="0.25">
      <c r="A1414" s="279">
        <v>39089</v>
      </c>
      <c r="B1414" t="s">
        <v>338</v>
      </c>
      <c r="C1414" t="s">
        <v>14</v>
      </c>
      <c r="D1414">
        <v>1042</v>
      </c>
    </row>
    <row r="1415" spans="1:4" x14ac:dyDescent="0.25">
      <c r="A1415" s="279">
        <v>39089</v>
      </c>
      <c r="B1415" t="s">
        <v>339</v>
      </c>
      <c r="C1415" t="s">
        <v>20</v>
      </c>
      <c r="D1415">
        <v>54310</v>
      </c>
    </row>
    <row r="1416" spans="1:4" x14ac:dyDescent="0.25">
      <c r="A1416" s="279">
        <v>39089</v>
      </c>
      <c r="B1416" t="s">
        <v>339</v>
      </c>
      <c r="C1416" t="s">
        <v>85</v>
      </c>
      <c r="D1416">
        <v>27304</v>
      </c>
    </row>
    <row r="1417" spans="1:4" x14ac:dyDescent="0.25">
      <c r="A1417" s="279">
        <v>39089</v>
      </c>
      <c r="B1417" t="s">
        <v>339</v>
      </c>
      <c r="C1417" t="s">
        <v>86</v>
      </c>
      <c r="D1417">
        <v>0</v>
      </c>
    </row>
    <row r="1418" spans="1:4" x14ac:dyDescent="0.25">
      <c r="A1418" s="279">
        <v>39089</v>
      </c>
      <c r="B1418" t="s">
        <v>339</v>
      </c>
      <c r="C1418" t="s">
        <v>87</v>
      </c>
      <c r="D1418">
        <v>0</v>
      </c>
    </row>
    <row r="1419" spans="1:4" x14ac:dyDescent="0.25">
      <c r="A1419" s="279">
        <v>39089</v>
      </c>
      <c r="B1419" t="s">
        <v>339</v>
      </c>
      <c r="C1419" t="s">
        <v>88</v>
      </c>
      <c r="D1419">
        <v>0</v>
      </c>
    </row>
    <row r="1420" spans="1:4" x14ac:dyDescent="0.25">
      <c r="A1420" s="279">
        <v>39089</v>
      </c>
      <c r="B1420" t="s">
        <v>339</v>
      </c>
      <c r="C1420" t="s">
        <v>14</v>
      </c>
      <c r="D1420">
        <v>1030</v>
      </c>
    </row>
    <row r="1421" spans="1:4" x14ac:dyDescent="0.25">
      <c r="A1421" s="279">
        <v>39090</v>
      </c>
      <c r="B1421" t="s">
        <v>338</v>
      </c>
      <c r="C1421" t="s">
        <v>81</v>
      </c>
      <c r="D1421">
        <v>58667</v>
      </c>
    </row>
    <row r="1422" spans="1:4" x14ac:dyDescent="0.25">
      <c r="A1422" s="279">
        <v>39090</v>
      </c>
      <c r="B1422" t="s">
        <v>338</v>
      </c>
      <c r="C1422" t="s">
        <v>82</v>
      </c>
      <c r="D1422">
        <v>64638</v>
      </c>
    </row>
    <row r="1423" spans="1:4" x14ac:dyDescent="0.25">
      <c r="A1423" s="279">
        <v>39090</v>
      </c>
      <c r="B1423" t="s">
        <v>338</v>
      </c>
      <c r="C1423" t="s">
        <v>84</v>
      </c>
      <c r="D1423">
        <v>2190</v>
      </c>
    </row>
    <row r="1424" spans="1:4" x14ac:dyDescent="0.25">
      <c r="A1424" s="279">
        <v>39090</v>
      </c>
      <c r="B1424" t="s">
        <v>338</v>
      </c>
      <c r="C1424" t="s">
        <v>83</v>
      </c>
      <c r="D1424">
        <v>0</v>
      </c>
    </row>
    <row r="1425" spans="1:4" x14ac:dyDescent="0.25">
      <c r="A1425" s="279">
        <v>39090</v>
      </c>
      <c r="B1425" t="s">
        <v>338</v>
      </c>
      <c r="C1425" t="s">
        <v>14</v>
      </c>
      <c r="D1425">
        <v>1043</v>
      </c>
    </row>
    <row r="1426" spans="1:4" x14ac:dyDescent="0.25">
      <c r="A1426" s="279">
        <v>39090</v>
      </c>
      <c r="B1426" t="s">
        <v>339</v>
      </c>
      <c r="C1426" t="s">
        <v>20</v>
      </c>
      <c r="D1426">
        <v>63568</v>
      </c>
    </row>
    <row r="1427" spans="1:4" x14ac:dyDescent="0.25">
      <c r="A1427" s="279">
        <v>39090</v>
      </c>
      <c r="B1427" t="s">
        <v>339</v>
      </c>
      <c r="C1427" t="s">
        <v>85</v>
      </c>
      <c r="D1427">
        <v>36878</v>
      </c>
    </row>
    <row r="1428" spans="1:4" x14ac:dyDescent="0.25">
      <c r="A1428" s="279">
        <v>39090</v>
      </c>
      <c r="B1428" t="s">
        <v>339</v>
      </c>
      <c r="C1428" t="s">
        <v>86</v>
      </c>
      <c r="D1428">
        <v>0</v>
      </c>
    </row>
    <row r="1429" spans="1:4" x14ac:dyDescent="0.25">
      <c r="A1429" s="279">
        <v>39090</v>
      </c>
      <c r="B1429" t="s">
        <v>339</v>
      </c>
      <c r="C1429" t="s">
        <v>87</v>
      </c>
      <c r="D1429">
        <v>10363</v>
      </c>
    </row>
    <row r="1430" spans="1:4" x14ac:dyDescent="0.25">
      <c r="A1430" s="279">
        <v>39090</v>
      </c>
      <c r="B1430" t="s">
        <v>339</v>
      </c>
      <c r="C1430" t="s">
        <v>88</v>
      </c>
      <c r="D1430">
        <v>17262</v>
      </c>
    </row>
    <row r="1431" spans="1:4" x14ac:dyDescent="0.25">
      <c r="A1431" s="279">
        <v>39090</v>
      </c>
      <c r="B1431" t="s">
        <v>339</v>
      </c>
      <c r="C1431" t="s">
        <v>14</v>
      </c>
      <c r="D1431">
        <v>1029</v>
      </c>
    </row>
    <row r="1432" spans="1:4" x14ac:dyDescent="0.25">
      <c r="A1432" s="279">
        <v>39091</v>
      </c>
      <c r="B1432" t="s">
        <v>338</v>
      </c>
      <c r="C1432" t="s">
        <v>81</v>
      </c>
      <c r="D1432">
        <v>72574</v>
      </c>
    </row>
    <row r="1433" spans="1:4" x14ac:dyDescent="0.25">
      <c r="A1433" s="279">
        <v>39091</v>
      </c>
      <c r="B1433" t="s">
        <v>338</v>
      </c>
      <c r="C1433" t="s">
        <v>82</v>
      </c>
      <c r="D1433">
        <v>79407</v>
      </c>
    </row>
    <row r="1434" spans="1:4" x14ac:dyDescent="0.25">
      <c r="A1434" s="279">
        <v>39091</v>
      </c>
      <c r="B1434" t="s">
        <v>338</v>
      </c>
      <c r="C1434" t="s">
        <v>84</v>
      </c>
      <c r="D1434">
        <v>2350</v>
      </c>
    </row>
    <row r="1435" spans="1:4" x14ac:dyDescent="0.25">
      <c r="A1435" s="279">
        <v>39091</v>
      </c>
      <c r="B1435" t="s">
        <v>338</v>
      </c>
      <c r="C1435" t="s">
        <v>83</v>
      </c>
      <c r="D1435">
        <v>0</v>
      </c>
    </row>
    <row r="1436" spans="1:4" x14ac:dyDescent="0.25">
      <c r="A1436" s="279">
        <v>39091</v>
      </c>
      <c r="B1436" t="s">
        <v>338</v>
      </c>
      <c r="C1436" t="s">
        <v>14</v>
      </c>
      <c r="D1436">
        <v>1036</v>
      </c>
    </row>
    <row r="1437" spans="1:4" x14ac:dyDescent="0.25">
      <c r="A1437" s="279">
        <v>39091</v>
      </c>
      <c r="B1437" t="s">
        <v>339</v>
      </c>
      <c r="C1437" t="s">
        <v>20</v>
      </c>
      <c r="D1437">
        <v>75035</v>
      </c>
    </row>
    <row r="1438" spans="1:4" x14ac:dyDescent="0.25">
      <c r="A1438" s="279">
        <v>39091</v>
      </c>
      <c r="B1438" t="s">
        <v>339</v>
      </c>
      <c r="C1438" t="s">
        <v>85</v>
      </c>
      <c r="D1438">
        <v>39955</v>
      </c>
    </row>
    <row r="1439" spans="1:4" x14ac:dyDescent="0.25">
      <c r="A1439" s="279">
        <v>39091</v>
      </c>
      <c r="B1439" t="s">
        <v>339</v>
      </c>
      <c r="C1439" t="s">
        <v>86</v>
      </c>
      <c r="D1439">
        <v>2540</v>
      </c>
    </row>
    <row r="1440" spans="1:4" x14ac:dyDescent="0.25">
      <c r="A1440" s="279">
        <v>39091</v>
      </c>
      <c r="B1440" t="s">
        <v>339</v>
      </c>
      <c r="C1440" t="s">
        <v>87</v>
      </c>
      <c r="D1440">
        <v>5713</v>
      </c>
    </row>
    <row r="1441" spans="1:4" x14ac:dyDescent="0.25">
      <c r="A1441" s="279">
        <v>39091</v>
      </c>
      <c r="B1441" t="s">
        <v>339</v>
      </c>
      <c r="C1441" t="s">
        <v>88</v>
      </c>
      <c r="D1441">
        <v>24499</v>
      </c>
    </row>
    <row r="1442" spans="1:4" x14ac:dyDescent="0.25">
      <c r="A1442" s="279">
        <v>39091</v>
      </c>
      <c r="B1442" t="s">
        <v>339</v>
      </c>
      <c r="C1442" t="s">
        <v>14</v>
      </c>
      <c r="D1442">
        <v>1039</v>
      </c>
    </row>
    <row r="1443" spans="1:4" x14ac:dyDescent="0.25">
      <c r="A1443" s="279">
        <v>39092</v>
      </c>
      <c r="B1443" t="s">
        <v>338</v>
      </c>
      <c r="C1443" t="s">
        <v>81</v>
      </c>
      <c r="D1443">
        <v>80317</v>
      </c>
    </row>
    <row r="1444" spans="1:4" x14ac:dyDescent="0.25">
      <c r="A1444" s="279">
        <v>39092</v>
      </c>
      <c r="B1444" t="s">
        <v>338</v>
      </c>
      <c r="C1444" t="s">
        <v>82</v>
      </c>
      <c r="D1444">
        <v>72576</v>
      </c>
    </row>
    <row r="1445" spans="1:4" x14ac:dyDescent="0.25">
      <c r="A1445" s="279">
        <v>39092</v>
      </c>
      <c r="B1445" t="s">
        <v>338</v>
      </c>
      <c r="C1445" t="s">
        <v>84</v>
      </c>
      <c r="D1445">
        <v>2749</v>
      </c>
    </row>
    <row r="1446" spans="1:4" x14ac:dyDescent="0.25">
      <c r="A1446" s="279">
        <v>39092</v>
      </c>
      <c r="B1446" t="s">
        <v>338</v>
      </c>
      <c r="C1446" t="s">
        <v>83</v>
      </c>
      <c r="D1446">
        <v>0</v>
      </c>
    </row>
    <row r="1447" spans="1:4" x14ac:dyDescent="0.25">
      <c r="A1447" s="279">
        <v>39092</v>
      </c>
      <c r="B1447" t="s">
        <v>338</v>
      </c>
      <c r="C1447" t="s">
        <v>14</v>
      </c>
      <c r="D1447">
        <v>1038</v>
      </c>
    </row>
    <row r="1448" spans="1:4" x14ac:dyDescent="0.25">
      <c r="A1448" s="279">
        <v>39092</v>
      </c>
      <c r="B1448" t="s">
        <v>339</v>
      </c>
      <c r="C1448" t="s">
        <v>20</v>
      </c>
      <c r="D1448">
        <v>85521</v>
      </c>
    </row>
    <row r="1449" spans="1:4" x14ac:dyDescent="0.25">
      <c r="A1449" s="279">
        <v>39092</v>
      </c>
      <c r="B1449" t="s">
        <v>339</v>
      </c>
      <c r="C1449" t="s">
        <v>85</v>
      </c>
      <c r="D1449">
        <v>54679</v>
      </c>
    </row>
    <row r="1450" spans="1:4" x14ac:dyDescent="0.25">
      <c r="A1450" s="279">
        <v>39092</v>
      </c>
      <c r="B1450" t="s">
        <v>339</v>
      </c>
      <c r="C1450" t="s">
        <v>86</v>
      </c>
      <c r="D1450">
        <v>30659</v>
      </c>
    </row>
    <row r="1451" spans="1:4" x14ac:dyDescent="0.25">
      <c r="A1451" s="279">
        <v>39092</v>
      </c>
      <c r="B1451" t="s">
        <v>339</v>
      </c>
      <c r="C1451" t="s">
        <v>87</v>
      </c>
      <c r="D1451">
        <v>23438</v>
      </c>
    </row>
    <row r="1452" spans="1:4" x14ac:dyDescent="0.25">
      <c r="A1452" s="279">
        <v>39092</v>
      </c>
      <c r="B1452" t="s">
        <v>339</v>
      </c>
      <c r="C1452" t="s">
        <v>88</v>
      </c>
      <c r="D1452">
        <v>29035</v>
      </c>
    </row>
    <row r="1453" spans="1:4" x14ac:dyDescent="0.25">
      <c r="A1453" s="279">
        <v>39092</v>
      </c>
      <c r="B1453" t="s">
        <v>339</v>
      </c>
      <c r="C1453" t="s">
        <v>14</v>
      </c>
      <c r="D1453">
        <v>1028</v>
      </c>
    </row>
    <row r="1454" spans="1:4" x14ac:dyDescent="0.25">
      <c r="A1454" s="279">
        <v>39093</v>
      </c>
      <c r="B1454" t="s">
        <v>338</v>
      </c>
      <c r="C1454" t="s">
        <v>81</v>
      </c>
      <c r="D1454">
        <v>73068</v>
      </c>
    </row>
    <row r="1455" spans="1:4" x14ac:dyDescent="0.25">
      <c r="A1455" s="279">
        <v>39093</v>
      </c>
      <c r="B1455" t="s">
        <v>338</v>
      </c>
      <c r="C1455" t="s">
        <v>82</v>
      </c>
      <c r="D1455">
        <v>78882</v>
      </c>
    </row>
    <row r="1456" spans="1:4" x14ac:dyDescent="0.25">
      <c r="A1456" s="279">
        <v>39093</v>
      </c>
      <c r="B1456" t="s">
        <v>338</v>
      </c>
      <c r="C1456" t="s">
        <v>84</v>
      </c>
      <c r="D1456">
        <v>2350</v>
      </c>
    </row>
    <row r="1457" spans="1:4" x14ac:dyDescent="0.25">
      <c r="A1457" s="279">
        <v>39093</v>
      </c>
      <c r="B1457" t="s">
        <v>338</v>
      </c>
      <c r="C1457" t="s">
        <v>83</v>
      </c>
      <c r="D1457">
        <v>0</v>
      </c>
    </row>
    <row r="1458" spans="1:4" x14ac:dyDescent="0.25">
      <c r="A1458" s="279">
        <v>39093</v>
      </c>
      <c r="B1458" t="s">
        <v>338</v>
      </c>
      <c r="C1458" t="s">
        <v>14</v>
      </c>
      <c r="D1458">
        <v>1037</v>
      </c>
    </row>
    <row r="1459" spans="1:4" x14ac:dyDescent="0.25">
      <c r="A1459" s="279">
        <v>39093</v>
      </c>
      <c r="B1459" t="s">
        <v>339</v>
      </c>
      <c r="C1459" t="s">
        <v>20</v>
      </c>
      <c r="D1459">
        <v>58324</v>
      </c>
    </row>
    <row r="1460" spans="1:4" x14ac:dyDescent="0.25">
      <c r="A1460" s="279">
        <v>39093</v>
      </c>
      <c r="B1460" t="s">
        <v>339</v>
      </c>
      <c r="C1460" t="s">
        <v>85</v>
      </c>
      <c r="D1460">
        <v>47393</v>
      </c>
    </row>
    <row r="1461" spans="1:4" x14ac:dyDescent="0.25">
      <c r="A1461" s="279">
        <v>39093</v>
      </c>
      <c r="B1461" t="s">
        <v>339</v>
      </c>
      <c r="C1461" t="s">
        <v>86</v>
      </c>
      <c r="D1461">
        <v>26683</v>
      </c>
    </row>
    <row r="1462" spans="1:4" x14ac:dyDescent="0.25">
      <c r="A1462" s="279">
        <v>39093</v>
      </c>
      <c r="B1462" t="s">
        <v>339</v>
      </c>
      <c r="C1462" t="s">
        <v>87</v>
      </c>
      <c r="D1462">
        <v>19972</v>
      </c>
    </row>
    <row r="1463" spans="1:4" x14ac:dyDescent="0.25">
      <c r="A1463" s="279">
        <v>39093</v>
      </c>
      <c r="B1463" t="s">
        <v>339</v>
      </c>
      <c r="C1463" t="s">
        <v>88</v>
      </c>
      <c r="D1463">
        <v>23970</v>
      </c>
    </row>
    <row r="1464" spans="1:4" x14ac:dyDescent="0.25">
      <c r="A1464" s="279">
        <v>39093</v>
      </c>
      <c r="B1464" t="s">
        <v>339</v>
      </c>
      <c r="C1464" t="s">
        <v>14</v>
      </c>
      <c r="D1464">
        <v>1032</v>
      </c>
    </row>
    <row r="1465" spans="1:4" x14ac:dyDescent="0.25">
      <c r="A1465" s="279">
        <v>39094</v>
      </c>
      <c r="B1465" t="s">
        <v>338</v>
      </c>
      <c r="C1465" t="s">
        <v>81</v>
      </c>
      <c r="D1465">
        <v>62159</v>
      </c>
    </row>
    <row r="1466" spans="1:4" x14ac:dyDescent="0.25">
      <c r="A1466" s="279">
        <v>39094</v>
      </c>
      <c r="B1466" t="s">
        <v>338</v>
      </c>
      <c r="C1466" t="s">
        <v>82</v>
      </c>
      <c r="D1466">
        <v>66196</v>
      </c>
    </row>
    <row r="1467" spans="1:4" x14ac:dyDescent="0.25">
      <c r="A1467" s="279">
        <v>39094</v>
      </c>
      <c r="B1467" t="s">
        <v>338</v>
      </c>
      <c r="C1467" t="s">
        <v>84</v>
      </c>
      <c r="D1467">
        <v>1910</v>
      </c>
    </row>
    <row r="1468" spans="1:4" x14ac:dyDescent="0.25">
      <c r="A1468" s="279">
        <v>39094</v>
      </c>
      <c r="B1468" t="s">
        <v>338</v>
      </c>
      <c r="C1468" t="s">
        <v>83</v>
      </c>
      <c r="D1468">
        <v>0</v>
      </c>
    </row>
    <row r="1469" spans="1:4" x14ac:dyDescent="0.25">
      <c r="A1469" s="279">
        <v>39094</v>
      </c>
      <c r="B1469" t="s">
        <v>338</v>
      </c>
      <c r="C1469" t="s">
        <v>14</v>
      </c>
      <c r="D1469">
        <v>1038</v>
      </c>
    </row>
    <row r="1470" spans="1:4" x14ac:dyDescent="0.25">
      <c r="A1470" s="279">
        <v>39094</v>
      </c>
      <c r="B1470" t="s">
        <v>339</v>
      </c>
      <c r="C1470" t="s">
        <v>20</v>
      </c>
      <c r="D1470">
        <v>44706</v>
      </c>
    </row>
    <row r="1471" spans="1:4" x14ac:dyDescent="0.25">
      <c r="A1471" s="279">
        <v>39094</v>
      </c>
      <c r="B1471" t="s">
        <v>339</v>
      </c>
      <c r="C1471" t="s">
        <v>85</v>
      </c>
      <c r="D1471">
        <v>29935</v>
      </c>
    </row>
    <row r="1472" spans="1:4" x14ac:dyDescent="0.25">
      <c r="A1472" s="279">
        <v>39094</v>
      </c>
      <c r="B1472" t="s">
        <v>339</v>
      </c>
      <c r="C1472" t="s">
        <v>86</v>
      </c>
      <c r="D1472">
        <v>1960</v>
      </c>
    </row>
    <row r="1473" spans="1:4" x14ac:dyDescent="0.25">
      <c r="A1473" s="279">
        <v>39094</v>
      </c>
      <c r="B1473" t="s">
        <v>339</v>
      </c>
      <c r="C1473" t="s">
        <v>87</v>
      </c>
      <c r="D1473">
        <v>4115</v>
      </c>
    </row>
    <row r="1474" spans="1:4" x14ac:dyDescent="0.25">
      <c r="A1474" s="279">
        <v>39094</v>
      </c>
      <c r="B1474" t="s">
        <v>339</v>
      </c>
      <c r="C1474" t="s">
        <v>88</v>
      </c>
      <c r="D1474">
        <v>19333</v>
      </c>
    </row>
    <row r="1475" spans="1:4" x14ac:dyDescent="0.25">
      <c r="A1475" s="279">
        <v>39094</v>
      </c>
      <c r="B1475" t="s">
        <v>339</v>
      </c>
      <c r="C1475" t="s">
        <v>14</v>
      </c>
      <c r="D1475">
        <v>1034</v>
      </c>
    </row>
    <row r="1476" spans="1:4" x14ac:dyDescent="0.25">
      <c r="A1476" s="279">
        <v>39095</v>
      </c>
      <c r="B1476" t="s">
        <v>338</v>
      </c>
      <c r="C1476" t="s">
        <v>81</v>
      </c>
      <c r="D1476">
        <v>34678</v>
      </c>
    </row>
    <row r="1477" spans="1:4" x14ac:dyDescent="0.25">
      <c r="A1477" s="279">
        <v>39095</v>
      </c>
      <c r="B1477" t="s">
        <v>338</v>
      </c>
      <c r="C1477" t="s">
        <v>82</v>
      </c>
      <c r="D1477">
        <v>40819</v>
      </c>
    </row>
    <row r="1478" spans="1:4" x14ac:dyDescent="0.25">
      <c r="A1478" s="279">
        <v>39095</v>
      </c>
      <c r="B1478" t="s">
        <v>338</v>
      </c>
      <c r="C1478" t="s">
        <v>84</v>
      </c>
      <c r="D1478">
        <v>1550</v>
      </c>
    </row>
    <row r="1479" spans="1:4" x14ac:dyDescent="0.25">
      <c r="A1479" s="279">
        <v>39095</v>
      </c>
      <c r="B1479" t="s">
        <v>338</v>
      </c>
      <c r="C1479" t="s">
        <v>83</v>
      </c>
      <c r="D1479">
        <v>0</v>
      </c>
    </row>
    <row r="1480" spans="1:4" x14ac:dyDescent="0.25">
      <c r="A1480" s="279">
        <v>39095</v>
      </c>
      <c r="B1480" t="s">
        <v>338</v>
      </c>
      <c r="C1480" t="s">
        <v>14</v>
      </c>
      <c r="D1480">
        <v>1042</v>
      </c>
    </row>
    <row r="1481" spans="1:4" x14ac:dyDescent="0.25">
      <c r="A1481" s="279">
        <v>39095</v>
      </c>
      <c r="B1481" t="s">
        <v>339</v>
      </c>
      <c r="C1481" t="s">
        <v>20</v>
      </c>
      <c r="D1481">
        <v>42876</v>
      </c>
    </row>
    <row r="1482" spans="1:4" x14ac:dyDescent="0.25">
      <c r="A1482" s="279">
        <v>39095</v>
      </c>
      <c r="B1482" t="s">
        <v>339</v>
      </c>
      <c r="C1482" t="s">
        <v>85</v>
      </c>
      <c r="D1482">
        <v>34246</v>
      </c>
    </row>
    <row r="1483" spans="1:4" x14ac:dyDescent="0.25">
      <c r="A1483" s="279">
        <v>39095</v>
      </c>
      <c r="B1483" t="s">
        <v>339</v>
      </c>
      <c r="C1483" t="s">
        <v>86</v>
      </c>
      <c r="D1483">
        <v>0</v>
      </c>
    </row>
    <row r="1484" spans="1:4" x14ac:dyDescent="0.25">
      <c r="A1484" s="279">
        <v>39095</v>
      </c>
      <c r="B1484" t="s">
        <v>339</v>
      </c>
      <c r="C1484" t="s">
        <v>87</v>
      </c>
      <c r="D1484">
        <v>0</v>
      </c>
    </row>
    <row r="1485" spans="1:4" x14ac:dyDescent="0.25">
      <c r="A1485" s="279">
        <v>39095</v>
      </c>
      <c r="B1485" t="s">
        <v>339</v>
      </c>
      <c r="C1485" t="s">
        <v>88</v>
      </c>
      <c r="D1485">
        <v>146</v>
      </c>
    </row>
    <row r="1486" spans="1:4" x14ac:dyDescent="0.25">
      <c r="A1486" s="279">
        <v>39095</v>
      </c>
      <c r="B1486" t="s">
        <v>339</v>
      </c>
      <c r="C1486" t="s">
        <v>14</v>
      </c>
      <c r="D1486">
        <v>1035</v>
      </c>
    </row>
    <row r="1487" spans="1:4" x14ac:dyDescent="0.25">
      <c r="A1487" s="279">
        <v>39096</v>
      </c>
      <c r="B1487" t="s">
        <v>338</v>
      </c>
      <c r="C1487" t="s">
        <v>81</v>
      </c>
      <c r="D1487">
        <v>44654</v>
      </c>
    </row>
    <row r="1488" spans="1:4" x14ac:dyDescent="0.25">
      <c r="A1488" s="279">
        <v>39096</v>
      </c>
      <c r="B1488" t="s">
        <v>338</v>
      </c>
      <c r="C1488" t="s">
        <v>82</v>
      </c>
      <c r="D1488">
        <v>50653</v>
      </c>
    </row>
    <row r="1489" spans="1:4" x14ac:dyDescent="0.25">
      <c r="A1489" s="279">
        <v>39096</v>
      </c>
      <c r="B1489" t="s">
        <v>338</v>
      </c>
      <c r="C1489" t="s">
        <v>84</v>
      </c>
      <c r="D1489">
        <v>1660</v>
      </c>
    </row>
    <row r="1490" spans="1:4" x14ac:dyDescent="0.25">
      <c r="A1490" s="279">
        <v>39096</v>
      </c>
      <c r="B1490" t="s">
        <v>338</v>
      </c>
      <c r="C1490" t="s">
        <v>83</v>
      </c>
      <c r="D1490">
        <v>0</v>
      </c>
    </row>
    <row r="1491" spans="1:4" x14ac:dyDescent="0.25">
      <c r="A1491" s="279">
        <v>39096</v>
      </c>
      <c r="B1491" t="s">
        <v>338</v>
      </c>
      <c r="C1491" t="s">
        <v>14</v>
      </c>
      <c r="D1491">
        <v>1043</v>
      </c>
    </row>
    <row r="1492" spans="1:4" x14ac:dyDescent="0.25">
      <c r="A1492" s="279">
        <v>39096</v>
      </c>
      <c r="B1492" t="s">
        <v>339</v>
      </c>
      <c r="C1492" t="s">
        <v>20</v>
      </c>
      <c r="D1492">
        <v>49064</v>
      </c>
    </row>
    <row r="1493" spans="1:4" x14ac:dyDescent="0.25">
      <c r="A1493" s="279">
        <v>39096</v>
      </c>
      <c r="B1493" t="s">
        <v>339</v>
      </c>
      <c r="C1493" t="s">
        <v>85</v>
      </c>
      <c r="D1493">
        <v>33026</v>
      </c>
    </row>
    <row r="1494" spans="1:4" x14ac:dyDescent="0.25">
      <c r="A1494" s="279">
        <v>39096</v>
      </c>
      <c r="B1494" t="s">
        <v>339</v>
      </c>
      <c r="C1494" t="s">
        <v>86</v>
      </c>
      <c r="D1494">
        <v>0</v>
      </c>
    </row>
    <row r="1495" spans="1:4" x14ac:dyDescent="0.25">
      <c r="A1495" s="279">
        <v>39096</v>
      </c>
      <c r="B1495" t="s">
        <v>339</v>
      </c>
      <c r="C1495" t="s">
        <v>87</v>
      </c>
      <c r="D1495">
        <v>0</v>
      </c>
    </row>
    <row r="1496" spans="1:4" x14ac:dyDescent="0.25">
      <c r="A1496" s="279">
        <v>39096</v>
      </c>
      <c r="B1496" t="s">
        <v>339</v>
      </c>
      <c r="C1496" t="s">
        <v>88</v>
      </c>
      <c r="D1496">
        <v>0</v>
      </c>
    </row>
    <row r="1497" spans="1:4" x14ac:dyDescent="0.25">
      <c r="A1497" s="279">
        <v>39096</v>
      </c>
      <c r="B1497" t="s">
        <v>339</v>
      </c>
      <c r="C1497" t="s">
        <v>14</v>
      </c>
      <c r="D1497">
        <v>1036</v>
      </c>
    </row>
    <row r="1498" spans="1:4" x14ac:dyDescent="0.25">
      <c r="A1498" s="279">
        <v>39097</v>
      </c>
      <c r="B1498" t="s">
        <v>338</v>
      </c>
      <c r="C1498" t="s">
        <v>81</v>
      </c>
      <c r="D1498">
        <v>54948</v>
      </c>
    </row>
    <row r="1499" spans="1:4" x14ac:dyDescent="0.25">
      <c r="A1499" s="279">
        <v>39097</v>
      </c>
      <c r="B1499" t="s">
        <v>338</v>
      </c>
      <c r="C1499" t="s">
        <v>82</v>
      </c>
      <c r="D1499">
        <v>52323</v>
      </c>
    </row>
    <row r="1500" spans="1:4" x14ac:dyDescent="0.25">
      <c r="A1500" s="279">
        <v>39097</v>
      </c>
      <c r="B1500" t="s">
        <v>338</v>
      </c>
      <c r="C1500" t="s">
        <v>84</v>
      </c>
      <c r="D1500">
        <v>1570</v>
      </c>
    </row>
    <row r="1501" spans="1:4" x14ac:dyDescent="0.25">
      <c r="A1501" s="279">
        <v>39097</v>
      </c>
      <c r="B1501" t="s">
        <v>338</v>
      </c>
      <c r="C1501" t="s">
        <v>83</v>
      </c>
      <c r="D1501">
        <v>0</v>
      </c>
    </row>
    <row r="1502" spans="1:4" x14ac:dyDescent="0.25">
      <c r="A1502" s="279">
        <v>39097</v>
      </c>
      <c r="B1502" t="s">
        <v>338</v>
      </c>
      <c r="C1502" t="s">
        <v>14</v>
      </c>
      <c r="D1502">
        <v>1043</v>
      </c>
    </row>
    <row r="1503" spans="1:4" x14ac:dyDescent="0.25">
      <c r="A1503" s="279">
        <v>39097</v>
      </c>
      <c r="B1503" t="s">
        <v>339</v>
      </c>
      <c r="C1503" t="s">
        <v>20</v>
      </c>
      <c r="D1503">
        <v>39161</v>
      </c>
    </row>
    <row r="1504" spans="1:4" x14ac:dyDescent="0.25">
      <c r="A1504" s="279">
        <v>39097</v>
      </c>
      <c r="B1504" t="s">
        <v>339</v>
      </c>
      <c r="C1504" t="s">
        <v>85</v>
      </c>
      <c r="D1504">
        <v>20839</v>
      </c>
    </row>
    <row r="1505" spans="1:4" x14ac:dyDescent="0.25">
      <c r="A1505" s="279">
        <v>39097</v>
      </c>
      <c r="B1505" t="s">
        <v>339</v>
      </c>
      <c r="C1505" t="s">
        <v>86</v>
      </c>
      <c r="D1505">
        <v>0</v>
      </c>
    </row>
    <row r="1506" spans="1:4" x14ac:dyDescent="0.25">
      <c r="A1506" s="279">
        <v>39097</v>
      </c>
      <c r="B1506" t="s">
        <v>339</v>
      </c>
      <c r="C1506" t="s">
        <v>87</v>
      </c>
      <c r="D1506">
        <v>0</v>
      </c>
    </row>
    <row r="1507" spans="1:4" x14ac:dyDescent="0.25">
      <c r="A1507" s="279">
        <v>39097</v>
      </c>
      <c r="B1507" t="s">
        <v>339</v>
      </c>
      <c r="C1507" t="s">
        <v>88</v>
      </c>
      <c r="D1507">
        <v>8</v>
      </c>
    </row>
    <row r="1508" spans="1:4" x14ac:dyDescent="0.25">
      <c r="A1508" s="279">
        <v>39097</v>
      </c>
      <c r="B1508" t="s">
        <v>339</v>
      </c>
      <c r="C1508" t="s">
        <v>14</v>
      </c>
      <c r="D1508">
        <v>1035</v>
      </c>
    </row>
    <row r="1509" spans="1:4" x14ac:dyDescent="0.25">
      <c r="A1509" s="279">
        <v>39098</v>
      </c>
      <c r="B1509" t="s">
        <v>338</v>
      </c>
      <c r="C1509" t="s">
        <v>81</v>
      </c>
      <c r="D1509">
        <v>80727</v>
      </c>
    </row>
    <row r="1510" spans="1:4" x14ac:dyDescent="0.25">
      <c r="A1510" s="279">
        <v>39098</v>
      </c>
      <c r="B1510" t="s">
        <v>338</v>
      </c>
      <c r="C1510" t="s">
        <v>82</v>
      </c>
      <c r="D1510">
        <v>80355</v>
      </c>
    </row>
    <row r="1511" spans="1:4" x14ac:dyDescent="0.25">
      <c r="A1511" s="279">
        <v>39098</v>
      </c>
      <c r="B1511" t="s">
        <v>338</v>
      </c>
      <c r="C1511" t="s">
        <v>84</v>
      </c>
      <c r="D1511">
        <v>2750</v>
      </c>
    </row>
    <row r="1512" spans="1:4" x14ac:dyDescent="0.25">
      <c r="A1512" s="279">
        <v>39098</v>
      </c>
      <c r="B1512" t="s">
        <v>338</v>
      </c>
      <c r="C1512" t="s">
        <v>83</v>
      </c>
      <c r="D1512">
        <v>0</v>
      </c>
    </row>
    <row r="1513" spans="1:4" x14ac:dyDescent="0.25">
      <c r="A1513" s="279">
        <v>39098</v>
      </c>
      <c r="B1513" t="s">
        <v>338</v>
      </c>
      <c r="C1513" t="s">
        <v>14</v>
      </c>
      <c r="D1513">
        <v>1040</v>
      </c>
    </row>
    <row r="1514" spans="1:4" x14ac:dyDescent="0.25">
      <c r="A1514" s="279">
        <v>39098</v>
      </c>
      <c r="B1514" t="s">
        <v>339</v>
      </c>
      <c r="C1514" t="s">
        <v>20</v>
      </c>
      <c r="D1514">
        <v>76619</v>
      </c>
    </row>
    <row r="1515" spans="1:4" x14ac:dyDescent="0.25">
      <c r="A1515" s="279">
        <v>39098</v>
      </c>
      <c r="B1515" t="s">
        <v>339</v>
      </c>
      <c r="C1515" t="s">
        <v>85</v>
      </c>
      <c r="D1515">
        <v>49168</v>
      </c>
    </row>
    <row r="1516" spans="1:4" x14ac:dyDescent="0.25">
      <c r="A1516" s="279">
        <v>39098</v>
      </c>
      <c r="B1516" t="s">
        <v>339</v>
      </c>
      <c r="C1516" t="s">
        <v>86</v>
      </c>
      <c r="D1516">
        <v>21939</v>
      </c>
    </row>
    <row r="1517" spans="1:4" x14ac:dyDescent="0.25">
      <c r="A1517" s="279">
        <v>39098</v>
      </c>
      <c r="B1517" t="s">
        <v>339</v>
      </c>
      <c r="C1517" t="s">
        <v>87</v>
      </c>
      <c r="D1517">
        <v>11110</v>
      </c>
    </row>
    <row r="1518" spans="1:4" x14ac:dyDescent="0.25">
      <c r="A1518" s="279">
        <v>39098</v>
      </c>
      <c r="B1518" t="s">
        <v>339</v>
      </c>
      <c r="C1518" t="s">
        <v>88</v>
      </c>
      <c r="D1518">
        <v>27125</v>
      </c>
    </row>
    <row r="1519" spans="1:4" x14ac:dyDescent="0.25">
      <c r="A1519" s="279">
        <v>39098</v>
      </c>
      <c r="B1519" t="s">
        <v>339</v>
      </c>
      <c r="C1519" t="s">
        <v>14</v>
      </c>
      <c r="D1519">
        <v>1032</v>
      </c>
    </row>
    <row r="1520" spans="1:4" x14ac:dyDescent="0.25">
      <c r="A1520" s="279">
        <v>39099</v>
      </c>
      <c r="B1520" t="s">
        <v>338</v>
      </c>
      <c r="C1520" t="s">
        <v>81</v>
      </c>
      <c r="D1520">
        <v>88337</v>
      </c>
    </row>
    <row r="1521" spans="1:4" x14ac:dyDescent="0.25">
      <c r="A1521" s="279">
        <v>39099</v>
      </c>
      <c r="B1521" t="s">
        <v>338</v>
      </c>
      <c r="C1521" t="s">
        <v>82</v>
      </c>
      <c r="D1521">
        <v>81946</v>
      </c>
    </row>
    <row r="1522" spans="1:4" x14ac:dyDescent="0.25">
      <c r="A1522" s="279">
        <v>39099</v>
      </c>
      <c r="B1522" t="s">
        <v>338</v>
      </c>
      <c r="C1522" t="s">
        <v>84</v>
      </c>
      <c r="D1522">
        <v>2860</v>
      </c>
    </row>
    <row r="1523" spans="1:4" x14ac:dyDescent="0.25">
      <c r="A1523" s="279">
        <v>39099</v>
      </c>
      <c r="B1523" t="s">
        <v>338</v>
      </c>
      <c r="C1523" t="s">
        <v>83</v>
      </c>
      <c r="D1523">
        <v>0</v>
      </c>
    </row>
    <row r="1524" spans="1:4" x14ac:dyDescent="0.25">
      <c r="A1524" s="279">
        <v>39099</v>
      </c>
      <c r="B1524" t="s">
        <v>338</v>
      </c>
      <c r="C1524" t="s">
        <v>14</v>
      </c>
      <c r="D1524">
        <v>1041</v>
      </c>
    </row>
    <row r="1525" spans="1:4" x14ac:dyDescent="0.25">
      <c r="A1525" s="279">
        <v>39099</v>
      </c>
      <c r="B1525" t="s">
        <v>339</v>
      </c>
      <c r="C1525" t="s">
        <v>20</v>
      </c>
      <c r="D1525">
        <v>75816</v>
      </c>
    </row>
    <row r="1526" spans="1:4" x14ac:dyDescent="0.25">
      <c r="A1526" s="279">
        <v>39099</v>
      </c>
      <c r="B1526" t="s">
        <v>339</v>
      </c>
      <c r="C1526" t="s">
        <v>85</v>
      </c>
      <c r="D1526">
        <v>66718</v>
      </c>
    </row>
    <row r="1527" spans="1:4" x14ac:dyDescent="0.25">
      <c r="A1527" s="279">
        <v>39099</v>
      </c>
      <c r="B1527" t="s">
        <v>339</v>
      </c>
      <c r="C1527" t="s">
        <v>86</v>
      </c>
      <c r="D1527">
        <v>28473</v>
      </c>
    </row>
    <row r="1528" spans="1:4" x14ac:dyDescent="0.25">
      <c r="A1528" s="279">
        <v>39099</v>
      </c>
      <c r="B1528" t="s">
        <v>339</v>
      </c>
      <c r="C1528" t="s">
        <v>87</v>
      </c>
      <c r="D1528">
        <v>24378</v>
      </c>
    </row>
    <row r="1529" spans="1:4" x14ac:dyDescent="0.25">
      <c r="A1529" s="279">
        <v>39099</v>
      </c>
      <c r="B1529" t="s">
        <v>339</v>
      </c>
      <c r="C1529" t="s">
        <v>88</v>
      </c>
      <c r="D1529">
        <v>26902</v>
      </c>
    </row>
    <row r="1530" spans="1:4" x14ac:dyDescent="0.25">
      <c r="A1530" s="279">
        <v>39099</v>
      </c>
      <c r="B1530" t="s">
        <v>339</v>
      </c>
      <c r="C1530" t="s">
        <v>14</v>
      </c>
      <c r="D1530">
        <v>1034</v>
      </c>
    </row>
    <row r="1531" spans="1:4" x14ac:dyDescent="0.25">
      <c r="A1531" s="279">
        <v>39100</v>
      </c>
      <c r="B1531" t="s">
        <v>338</v>
      </c>
      <c r="C1531" t="s">
        <v>81</v>
      </c>
      <c r="D1531">
        <v>83694</v>
      </c>
    </row>
    <row r="1532" spans="1:4" x14ac:dyDescent="0.25">
      <c r="A1532" s="279">
        <v>39100</v>
      </c>
      <c r="B1532" t="s">
        <v>338</v>
      </c>
      <c r="C1532" t="s">
        <v>82</v>
      </c>
      <c r="D1532">
        <v>85101</v>
      </c>
    </row>
    <row r="1533" spans="1:4" x14ac:dyDescent="0.25">
      <c r="A1533" s="279">
        <v>39100</v>
      </c>
      <c r="B1533" t="s">
        <v>338</v>
      </c>
      <c r="C1533" t="s">
        <v>84</v>
      </c>
      <c r="D1533">
        <v>2670</v>
      </c>
    </row>
    <row r="1534" spans="1:4" x14ac:dyDescent="0.25">
      <c r="A1534" s="279">
        <v>39100</v>
      </c>
      <c r="B1534" t="s">
        <v>338</v>
      </c>
      <c r="C1534" t="s">
        <v>83</v>
      </c>
      <c r="D1534">
        <v>0</v>
      </c>
    </row>
    <row r="1535" spans="1:4" x14ac:dyDescent="0.25">
      <c r="A1535" s="279">
        <v>39100</v>
      </c>
      <c r="B1535" t="s">
        <v>338</v>
      </c>
      <c r="C1535" t="s">
        <v>14</v>
      </c>
      <c r="D1535">
        <v>1041</v>
      </c>
    </row>
    <row r="1536" spans="1:4" x14ac:dyDescent="0.25">
      <c r="A1536" s="279">
        <v>39100</v>
      </c>
      <c r="B1536" t="s">
        <v>339</v>
      </c>
      <c r="C1536" t="s">
        <v>20</v>
      </c>
      <c r="D1536">
        <v>69048</v>
      </c>
    </row>
    <row r="1537" spans="1:4" x14ac:dyDescent="0.25">
      <c r="A1537" s="279">
        <v>39100</v>
      </c>
      <c r="B1537" t="s">
        <v>339</v>
      </c>
      <c r="C1537" t="s">
        <v>85</v>
      </c>
      <c r="D1537">
        <v>52446</v>
      </c>
    </row>
    <row r="1538" spans="1:4" x14ac:dyDescent="0.25">
      <c r="A1538" s="279">
        <v>39100</v>
      </c>
      <c r="B1538" t="s">
        <v>339</v>
      </c>
      <c r="C1538" t="s">
        <v>86</v>
      </c>
      <c r="D1538">
        <v>25683</v>
      </c>
    </row>
    <row r="1539" spans="1:4" x14ac:dyDescent="0.25">
      <c r="A1539" s="279">
        <v>39100</v>
      </c>
      <c r="B1539" t="s">
        <v>339</v>
      </c>
      <c r="C1539" t="s">
        <v>87</v>
      </c>
      <c r="D1539">
        <v>17220</v>
      </c>
    </row>
    <row r="1540" spans="1:4" x14ac:dyDescent="0.25">
      <c r="A1540" s="279">
        <v>39100</v>
      </c>
      <c r="B1540" t="s">
        <v>339</v>
      </c>
      <c r="C1540" t="s">
        <v>88</v>
      </c>
      <c r="D1540">
        <v>23939</v>
      </c>
    </row>
    <row r="1541" spans="1:4" x14ac:dyDescent="0.25">
      <c r="A1541" s="279">
        <v>39100</v>
      </c>
      <c r="B1541" t="s">
        <v>339</v>
      </c>
      <c r="C1541" t="s">
        <v>14</v>
      </c>
      <c r="D1541">
        <v>1035</v>
      </c>
    </row>
    <row r="1542" spans="1:4" x14ac:dyDescent="0.25">
      <c r="A1542" s="279">
        <v>39101</v>
      </c>
      <c r="B1542" t="s">
        <v>338</v>
      </c>
      <c r="C1542" t="s">
        <v>81</v>
      </c>
      <c r="D1542">
        <v>86108</v>
      </c>
    </row>
    <row r="1543" spans="1:4" x14ac:dyDescent="0.25">
      <c r="A1543" s="279">
        <v>39101</v>
      </c>
      <c r="B1543" t="s">
        <v>338</v>
      </c>
      <c r="C1543" t="s">
        <v>82</v>
      </c>
      <c r="D1543">
        <v>88258</v>
      </c>
    </row>
    <row r="1544" spans="1:4" x14ac:dyDescent="0.25">
      <c r="A1544" s="279">
        <v>39101</v>
      </c>
      <c r="B1544" t="s">
        <v>338</v>
      </c>
      <c r="C1544" t="s">
        <v>84</v>
      </c>
      <c r="D1544">
        <v>2800</v>
      </c>
    </row>
    <row r="1545" spans="1:4" x14ac:dyDescent="0.25">
      <c r="A1545" s="279">
        <v>39101</v>
      </c>
      <c r="B1545" t="s">
        <v>338</v>
      </c>
      <c r="C1545" t="s">
        <v>83</v>
      </c>
      <c r="D1545">
        <v>0</v>
      </c>
    </row>
    <row r="1546" spans="1:4" x14ac:dyDescent="0.25">
      <c r="A1546" s="279">
        <v>39101</v>
      </c>
      <c r="B1546" t="s">
        <v>338</v>
      </c>
      <c r="C1546" t="s">
        <v>14</v>
      </c>
      <c r="D1546">
        <v>1043</v>
      </c>
    </row>
    <row r="1547" spans="1:4" x14ac:dyDescent="0.25">
      <c r="A1547" s="279">
        <v>39101</v>
      </c>
      <c r="B1547" t="s">
        <v>339</v>
      </c>
      <c r="C1547" t="s">
        <v>20</v>
      </c>
      <c r="D1547">
        <v>80668</v>
      </c>
    </row>
    <row r="1548" spans="1:4" x14ac:dyDescent="0.25">
      <c r="A1548" s="279">
        <v>39101</v>
      </c>
      <c r="B1548" t="s">
        <v>339</v>
      </c>
      <c r="C1548" t="s">
        <v>85</v>
      </c>
      <c r="D1548">
        <v>47217</v>
      </c>
    </row>
    <row r="1549" spans="1:4" x14ac:dyDescent="0.25">
      <c r="A1549" s="279">
        <v>39101</v>
      </c>
      <c r="B1549" t="s">
        <v>339</v>
      </c>
      <c r="C1549" t="s">
        <v>86</v>
      </c>
      <c r="D1549">
        <v>4305</v>
      </c>
    </row>
    <row r="1550" spans="1:4" x14ac:dyDescent="0.25">
      <c r="A1550" s="279">
        <v>39101</v>
      </c>
      <c r="B1550" t="s">
        <v>339</v>
      </c>
      <c r="C1550" t="s">
        <v>87</v>
      </c>
      <c r="D1550">
        <v>17957</v>
      </c>
    </row>
    <row r="1551" spans="1:4" x14ac:dyDescent="0.25">
      <c r="A1551" s="279">
        <v>39101</v>
      </c>
      <c r="B1551" t="s">
        <v>339</v>
      </c>
      <c r="C1551" t="s">
        <v>88</v>
      </c>
      <c r="D1551">
        <v>23213</v>
      </c>
    </row>
    <row r="1552" spans="1:4" x14ac:dyDescent="0.25">
      <c r="A1552" s="279">
        <v>39101</v>
      </c>
      <c r="B1552" t="s">
        <v>339</v>
      </c>
      <c r="C1552" t="s">
        <v>14</v>
      </c>
      <c r="D1552">
        <v>1037</v>
      </c>
    </row>
    <row r="1553" spans="1:4" x14ac:dyDescent="0.25">
      <c r="A1553" s="279">
        <v>39102</v>
      </c>
      <c r="B1553" t="s">
        <v>338</v>
      </c>
      <c r="C1553" t="s">
        <v>81</v>
      </c>
      <c r="D1553">
        <v>98914</v>
      </c>
    </row>
    <row r="1554" spans="1:4" x14ac:dyDescent="0.25">
      <c r="A1554" s="279">
        <v>39102</v>
      </c>
      <c r="B1554" t="s">
        <v>338</v>
      </c>
      <c r="C1554" t="s">
        <v>82</v>
      </c>
      <c r="D1554">
        <v>94000</v>
      </c>
    </row>
    <row r="1555" spans="1:4" x14ac:dyDescent="0.25">
      <c r="A1555" s="279">
        <v>39102</v>
      </c>
      <c r="B1555" t="s">
        <v>338</v>
      </c>
      <c r="C1555" t="s">
        <v>84</v>
      </c>
      <c r="D1555">
        <v>3110</v>
      </c>
    </row>
    <row r="1556" spans="1:4" x14ac:dyDescent="0.25">
      <c r="A1556" s="279">
        <v>39102</v>
      </c>
      <c r="B1556" t="s">
        <v>338</v>
      </c>
      <c r="C1556" t="s">
        <v>83</v>
      </c>
      <c r="D1556">
        <v>0</v>
      </c>
    </row>
    <row r="1557" spans="1:4" x14ac:dyDescent="0.25">
      <c r="A1557" s="279">
        <v>39102</v>
      </c>
      <c r="B1557" t="s">
        <v>338</v>
      </c>
      <c r="C1557" t="s">
        <v>14</v>
      </c>
      <c r="D1557">
        <v>1042</v>
      </c>
    </row>
    <row r="1558" spans="1:4" x14ac:dyDescent="0.25">
      <c r="A1558" s="279">
        <v>39102</v>
      </c>
      <c r="B1558" t="s">
        <v>339</v>
      </c>
      <c r="C1558" t="s">
        <v>20</v>
      </c>
      <c r="D1558">
        <v>87878</v>
      </c>
    </row>
    <row r="1559" spans="1:4" x14ac:dyDescent="0.25">
      <c r="A1559" s="279">
        <v>39102</v>
      </c>
      <c r="B1559" t="s">
        <v>339</v>
      </c>
      <c r="C1559" t="s">
        <v>85</v>
      </c>
      <c r="D1559">
        <v>56926</v>
      </c>
    </row>
    <row r="1560" spans="1:4" x14ac:dyDescent="0.25">
      <c r="A1560" s="279">
        <v>39102</v>
      </c>
      <c r="B1560" t="s">
        <v>339</v>
      </c>
      <c r="C1560" t="s">
        <v>86</v>
      </c>
      <c r="D1560">
        <v>22435</v>
      </c>
    </row>
    <row r="1561" spans="1:4" x14ac:dyDescent="0.25">
      <c r="A1561" s="279">
        <v>39102</v>
      </c>
      <c r="B1561" t="s">
        <v>339</v>
      </c>
      <c r="C1561" t="s">
        <v>87</v>
      </c>
      <c r="D1561">
        <v>23037</v>
      </c>
    </row>
    <row r="1562" spans="1:4" x14ac:dyDescent="0.25">
      <c r="A1562" s="279">
        <v>39102</v>
      </c>
      <c r="B1562" t="s">
        <v>339</v>
      </c>
      <c r="C1562" t="s">
        <v>88</v>
      </c>
      <c r="D1562">
        <v>29729</v>
      </c>
    </row>
    <row r="1563" spans="1:4" x14ac:dyDescent="0.25">
      <c r="A1563" s="279">
        <v>39102</v>
      </c>
      <c r="B1563" t="s">
        <v>339</v>
      </c>
      <c r="C1563" t="s">
        <v>14</v>
      </c>
      <c r="D1563">
        <v>1034</v>
      </c>
    </row>
    <row r="1564" spans="1:4" x14ac:dyDescent="0.25">
      <c r="A1564" s="279">
        <v>39103</v>
      </c>
      <c r="B1564" t="s">
        <v>338</v>
      </c>
      <c r="C1564" t="s">
        <v>81</v>
      </c>
      <c r="D1564">
        <v>101966</v>
      </c>
    </row>
    <row r="1565" spans="1:4" x14ac:dyDescent="0.25">
      <c r="A1565" s="279">
        <v>39103</v>
      </c>
      <c r="B1565" t="s">
        <v>338</v>
      </c>
      <c r="C1565" t="s">
        <v>82</v>
      </c>
      <c r="D1565">
        <v>88655</v>
      </c>
    </row>
    <row r="1566" spans="1:4" x14ac:dyDescent="0.25">
      <c r="A1566" s="279">
        <v>39103</v>
      </c>
      <c r="B1566" t="s">
        <v>338</v>
      </c>
      <c r="C1566" t="s">
        <v>84</v>
      </c>
      <c r="D1566">
        <v>3050</v>
      </c>
    </row>
    <row r="1567" spans="1:4" x14ac:dyDescent="0.25">
      <c r="A1567" s="279">
        <v>39103</v>
      </c>
      <c r="B1567" t="s">
        <v>338</v>
      </c>
      <c r="C1567" t="s">
        <v>83</v>
      </c>
      <c r="D1567">
        <v>0</v>
      </c>
    </row>
    <row r="1568" spans="1:4" x14ac:dyDescent="0.25">
      <c r="A1568" s="279">
        <v>39103</v>
      </c>
      <c r="B1568" t="s">
        <v>338</v>
      </c>
      <c r="C1568" t="s">
        <v>14</v>
      </c>
      <c r="D1568">
        <v>1038</v>
      </c>
    </row>
    <row r="1569" spans="1:4" x14ac:dyDescent="0.25">
      <c r="A1569" s="279">
        <v>39103</v>
      </c>
      <c r="B1569" t="s">
        <v>339</v>
      </c>
      <c r="C1569" t="s">
        <v>20</v>
      </c>
      <c r="D1569">
        <v>86473</v>
      </c>
    </row>
    <row r="1570" spans="1:4" x14ac:dyDescent="0.25">
      <c r="A1570" s="279">
        <v>39103</v>
      </c>
      <c r="B1570" t="s">
        <v>339</v>
      </c>
      <c r="C1570" t="s">
        <v>85</v>
      </c>
      <c r="D1570">
        <v>51963</v>
      </c>
    </row>
    <row r="1571" spans="1:4" x14ac:dyDescent="0.25">
      <c r="A1571" s="279">
        <v>39103</v>
      </c>
      <c r="B1571" t="s">
        <v>339</v>
      </c>
      <c r="C1571" t="s">
        <v>86</v>
      </c>
      <c r="D1571">
        <v>25781</v>
      </c>
    </row>
    <row r="1572" spans="1:4" x14ac:dyDescent="0.25">
      <c r="A1572" s="279">
        <v>39103</v>
      </c>
      <c r="B1572" t="s">
        <v>339</v>
      </c>
      <c r="C1572" t="s">
        <v>87</v>
      </c>
      <c r="D1572">
        <v>25220</v>
      </c>
    </row>
    <row r="1573" spans="1:4" x14ac:dyDescent="0.25">
      <c r="A1573" s="279">
        <v>39103</v>
      </c>
      <c r="B1573" t="s">
        <v>339</v>
      </c>
      <c r="C1573" t="s">
        <v>88</v>
      </c>
      <c r="D1573">
        <v>28543</v>
      </c>
    </row>
    <row r="1574" spans="1:4" x14ac:dyDescent="0.25">
      <c r="A1574" s="279">
        <v>39103</v>
      </c>
      <c r="B1574" t="s">
        <v>339</v>
      </c>
      <c r="C1574" t="s">
        <v>14</v>
      </c>
      <c r="D1574">
        <v>1032</v>
      </c>
    </row>
    <row r="1575" spans="1:4" x14ac:dyDescent="0.25">
      <c r="A1575" s="279">
        <v>39104</v>
      </c>
      <c r="B1575" t="s">
        <v>338</v>
      </c>
      <c r="C1575" t="s">
        <v>81</v>
      </c>
      <c r="D1575">
        <v>94414</v>
      </c>
    </row>
    <row r="1576" spans="1:4" x14ac:dyDescent="0.25">
      <c r="A1576" s="279">
        <v>39104</v>
      </c>
      <c r="B1576" t="s">
        <v>338</v>
      </c>
      <c r="C1576" t="s">
        <v>82</v>
      </c>
      <c r="D1576">
        <v>89542</v>
      </c>
    </row>
    <row r="1577" spans="1:4" x14ac:dyDescent="0.25">
      <c r="A1577" s="279">
        <v>39104</v>
      </c>
      <c r="B1577" t="s">
        <v>338</v>
      </c>
      <c r="C1577" t="s">
        <v>84</v>
      </c>
      <c r="D1577">
        <v>2820</v>
      </c>
    </row>
    <row r="1578" spans="1:4" x14ac:dyDescent="0.25">
      <c r="A1578" s="279">
        <v>39104</v>
      </c>
      <c r="B1578" t="s">
        <v>338</v>
      </c>
      <c r="C1578" t="s">
        <v>83</v>
      </c>
      <c r="D1578">
        <v>0</v>
      </c>
    </row>
    <row r="1579" spans="1:4" x14ac:dyDescent="0.25">
      <c r="A1579" s="279">
        <v>39104</v>
      </c>
      <c r="B1579" t="s">
        <v>338</v>
      </c>
      <c r="C1579" t="s">
        <v>14</v>
      </c>
      <c r="D1579">
        <v>1043</v>
      </c>
    </row>
    <row r="1580" spans="1:4" x14ac:dyDescent="0.25">
      <c r="A1580" s="279">
        <v>39104</v>
      </c>
      <c r="B1580" t="s">
        <v>339</v>
      </c>
      <c r="C1580" t="s">
        <v>20</v>
      </c>
      <c r="D1580">
        <v>77070</v>
      </c>
    </row>
    <row r="1581" spans="1:4" x14ac:dyDescent="0.25">
      <c r="A1581" s="279">
        <v>39104</v>
      </c>
      <c r="B1581" t="s">
        <v>339</v>
      </c>
      <c r="C1581" t="s">
        <v>85</v>
      </c>
      <c r="D1581">
        <v>39562</v>
      </c>
    </row>
    <row r="1582" spans="1:4" x14ac:dyDescent="0.25">
      <c r="A1582" s="279">
        <v>39104</v>
      </c>
      <c r="B1582" t="s">
        <v>339</v>
      </c>
      <c r="C1582" t="s">
        <v>86</v>
      </c>
      <c r="D1582">
        <v>25063</v>
      </c>
    </row>
    <row r="1583" spans="1:4" x14ac:dyDescent="0.25">
      <c r="A1583" s="279">
        <v>39104</v>
      </c>
      <c r="B1583" t="s">
        <v>339</v>
      </c>
      <c r="C1583" t="s">
        <v>87</v>
      </c>
      <c r="D1583">
        <v>20346</v>
      </c>
    </row>
    <row r="1584" spans="1:4" x14ac:dyDescent="0.25">
      <c r="A1584" s="279">
        <v>39104</v>
      </c>
      <c r="B1584" t="s">
        <v>339</v>
      </c>
      <c r="C1584" t="s">
        <v>88</v>
      </c>
      <c r="D1584">
        <v>27206</v>
      </c>
    </row>
    <row r="1585" spans="1:4" x14ac:dyDescent="0.25">
      <c r="A1585" s="279">
        <v>39104</v>
      </c>
      <c r="B1585" t="s">
        <v>339</v>
      </c>
      <c r="C1585" t="s">
        <v>14</v>
      </c>
      <c r="D1585">
        <v>1032</v>
      </c>
    </row>
    <row r="1586" spans="1:4" x14ac:dyDescent="0.25">
      <c r="A1586" s="279">
        <v>39105</v>
      </c>
      <c r="B1586" t="s">
        <v>338</v>
      </c>
      <c r="C1586" t="s">
        <v>81</v>
      </c>
      <c r="D1586">
        <v>90758</v>
      </c>
    </row>
    <row r="1587" spans="1:4" x14ac:dyDescent="0.25">
      <c r="A1587" s="279">
        <v>39105</v>
      </c>
      <c r="B1587" t="s">
        <v>338</v>
      </c>
      <c r="C1587" t="s">
        <v>82</v>
      </c>
      <c r="D1587">
        <v>87249</v>
      </c>
    </row>
    <row r="1588" spans="1:4" x14ac:dyDescent="0.25">
      <c r="A1588" s="279">
        <v>39105</v>
      </c>
      <c r="B1588" t="s">
        <v>338</v>
      </c>
      <c r="C1588" t="s">
        <v>84</v>
      </c>
      <c r="D1588">
        <v>2740</v>
      </c>
    </row>
    <row r="1589" spans="1:4" x14ac:dyDescent="0.25">
      <c r="A1589" s="279">
        <v>39105</v>
      </c>
      <c r="B1589" t="s">
        <v>338</v>
      </c>
      <c r="C1589" t="s">
        <v>83</v>
      </c>
      <c r="D1589">
        <v>0</v>
      </c>
    </row>
    <row r="1590" spans="1:4" x14ac:dyDescent="0.25">
      <c r="A1590" s="279">
        <v>39105</v>
      </c>
      <c r="B1590" t="s">
        <v>338</v>
      </c>
      <c r="C1590" t="s">
        <v>14</v>
      </c>
      <c r="D1590">
        <v>1041</v>
      </c>
    </row>
    <row r="1591" spans="1:4" x14ac:dyDescent="0.25">
      <c r="A1591" s="279">
        <v>39105</v>
      </c>
      <c r="B1591" t="s">
        <v>339</v>
      </c>
      <c r="C1591" t="s">
        <v>20</v>
      </c>
      <c r="D1591">
        <v>64797</v>
      </c>
    </row>
    <row r="1592" spans="1:4" x14ac:dyDescent="0.25">
      <c r="A1592" s="279">
        <v>39105</v>
      </c>
      <c r="B1592" t="s">
        <v>339</v>
      </c>
      <c r="C1592" t="s">
        <v>85</v>
      </c>
      <c r="D1592">
        <v>43026</v>
      </c>
    </row>
    <row r="1593" spans="1:4" x14ac:dyDescent="0.25">
      <c r="A1593" s="279">
        <v>39105</v>
      </c>
      <c r="B1593" t="s">
        <v>339</v>
      </c>
      <c r="C1593" t="s">
        <v>86</v>
      </c>
      <c r="D1593">
        <v>26106</v>
      </c>
    </row>
    <row r="1594" spans="1:4" x14ac:dyDescent="0.25">
      <c r="A1594" s="279">
        <v>39105</v>
      </c>
      <c r="B1594" t="s">
        <v>339</v>
      </c>
      <c r="C1594" t="s">
        <v>87</v>
      </c>
      <c r="D1594">
        <v>20020</v>
      </c>
    </row>
    <row r="1595" spans="1:4" x14ac:dyDescent="0.25">
      <c r="A1595" s="279">
        <v>39105</v>
      </c>
      <c r="B1595" t="s">
        <v>339</v>
      </c>
      <c r="C1595" t="s">
        <v>88</v>
      </c>
      <c r="D1595">
        <v>26407</v>
      </c>
    </row>
    <row r="1596" spans="1:4" x14ac:dyDescent="0.25">
      <c r="A1596" s="279">
        <v>39105</v>
      </c>
      <c r="B1596" t="s">
        <v>339</v>
      </c>
      <c r="C1596" t="s">
        <v>14</v>
      </c>
      <c r="D1596">
        <v>1030</v>
      </c>
    </row>
    <row r="1597" spans="1:4" x14ac:dyDescent="0.25">
      <c r="A1597" s="279">
        <v>39106</v>
      </c>
      <c r="B1597" t="s">
        <v>338</v>
      </c>
      <c r="C1597" t="s">
        <v>81</v>
      </c>
      <c r="D1597">
        <v>79986</v>
      </c>
    </row>
    <row r="1598" spans="1:4" x14ac:dyDescent="0.25">
      <c r="A1598" s="279">
        <v>39106</v>
      </c>
      <c r="B1598" t="s">
        <v>338</v>
      </c>
      <c r="C1598" t="s">
        <v>82</v>
      </c>
      <c r="D1598">
        <v>88885</v>
      </c>
    </row>
    <row r="1599" spans="1:4" x14ac:dyDescent="0.25">
      <c r="A1599" s="279">
        <v>39106</v>
      </c>
      <c r="B1599" t="s">
        <v>338</v>
      </c>
      <c r="C1599" t="s">
        <v>84</v>
      </c>
      <c r="D1599">
        <v>2550</v>
      </c>
    </row>
    <row r="1600" spans="1:4" x14ac:dyDescent="0.25">
      <c r="A1600" s="279">
        <v>39106</v>
      </c>
      <c r="B1600" t="s">
        <v>338</v>
      </c>
      <c r="C1600" t="s">
        <v>83</v>
      </c>
      <c r="D1600">
        <v>0</v>
      </c>
    </row>
    <row r="1601" spans="1:4" x14ac:dyDescent="0.25">
      <c r="A1601" s="279">
        <v>39106</v>
      </c>
      <c r="B1601" t="s">
        <v>338</v>
      </c>
      <c r="C1601" t="s">
        <v>14</v>
      </c>
      <c r="D1601">
        <v>1042</v>
      </c>
    </row>
    <row r="1602" spans="1:4" x14ac:dyDescent="0.25">
      <c r="A1602" s="279">
        <v>39106</v>
      </c>
      <c r="B1602" t="s">
        <v>339</v>
      </c>
      <c r="C1602" t="s">
        <v>20</v>
      </c>
      <c r="D1602">
        <v>62483</v>
      </c>
    </row>
    <row r="1603" spans="1:4" x14ac:dyDescent="0.25">
      <c r="A1603" s="279">
        <v>39106</v>
      </c>
      <c r="B1603" t="s">
        <v>339</v>
      </c>
      <c r="C1603" t="s">
        <v>85</v>
      </c>
      <c r="D1603">
        <v>49233</v>
      </c>
    </row>
    <row r="1604" spans="1:4" x14ac:dyDescent="0.25">
      <c r="A1604" s="279">
        <v>39106</v>
      </c>
      <c r="B1604" t="s">
        <v>339</v>
      </c>
      <c r="C1604" t="s">
        <v>86</v>
      </c>
      <c r="D1604">
        <v>23788</v>
      </c>
    </row>
    <row r="1605" spans="1:4" x14ac:dyDescent="0.25">
      <c r="A1605" s="279">
        <v>39106</v>
      </c>
      <c r="B1605" t="s">
        <v>339</v>
      </c>
      <c r="C1605" t="s">
        <v>87</v>
      </c>
      <c r="D1605">
        <v>17493</v>
      </c>
    </row>
    <row r="1606" spans="1:4" x14ac:dyDescent="0.25">
      <c r="A1606" s="279">
        <v>39106</v>
      </c>
      <c r="B1606" t="s">
        <v>339</v>
      </c>
      <c r="C1606" t="s">
        <v>88</v>
      </c>
      <c r="D1606">
        <v>25039</v>
      </c>
    </row>
    <row r="1607" spans="1:4" x14ac:dyDescent="0.25">
      <c r="A1607" s="279">
        <v>39106</v>
      </c>
      <c r="B1607" t="s">
        <v>339</v>
      </c>
      <c r="C1607" t="s">
        <v>14</v>
      </c>
      <c r="D1607">
        <v>1030</v>
      </c>
    </row>
    <row r="1608" spans="1:4" x14ac:dyDescent="0.25">
      <c r="A1608" s="279">
        <v>39107</v>
      </c>
      <c r="B1608" t="s">
        <v>338</v>
      </c>
      <c r="C1608" t="s">
        <v>81</v>
      </c>
      <c r="D1608">
        <v>97259</v>
      </c>
    </row>
    <row r="1609" spans="1:4" x14ac:dyDescent="0.25">
      <c r="A1609" s="279">
        <v>39107</v>
      </c>
      <c r="B1609" t="s">
        <v>338</v>
      </c>
      <c r="C1609" t="s">
        <v>82</v>
      </c>
      <c r="D1609">
        <v>98731</v>
      </c>
    </row>
    <row r="1610" spans="1:4" x14ac:dyDescent="0.25">
      <c r="A1610" s="279">
        <v>39107</v>
      </c>
      <c r="B1610" t="s">
        <v>338</v>
      </c>
      <c r="C1610" t="s">
        <v>84</v>
      </c>
      <c r="D1610">
        <v>3210</v>
      </c>
    </row>
    <row r="1611" spans="1:4" x14ac:dyDescent="0.25">
      <c r="A1611" s="279">
        <v>39107</v>
      </c>
      <c r="B1611" t="s">
        <v>338</v>
      </c>
      <c r="C1611" t="s">
        <v>83</v>
      </c>
      <c r="D1611">
        <v>0</v>
      </c>
    </row>
    <row r="1612" spans="1:4" x14ac:dyDescent="0.25">
      <c r="A1612" s="279">
        <v>39107</v>
      </c>
      <c r="B1612" t="s">
        <v>338</v>
      </c>
      <c r="C1612" t="s">
        <v>14</v>
      </c>
      <c r="D1612">
        <v>1042</v>
      </c>
    </row>
    <row r="1613" spans="1:4" x14ac:dyDescent="0.25">
      <c r="A1613" s="279">
        <v>39107</v>
      </c>
      <c r="B1613" t="s">
        <v>339</v>
      </c>
      <c r="C1613" t="s">
        <v>20</v>
      </c>
      <c r="D1613">
        <v>84764</v>
      </c>
    </row>
    <row r="1614" spans="1:4" x14ac:dyDescent="0.25">
      <c r="A1614" s="279">
        <v>39107</v>
      </c>
      <c r="B1614" t="s">
        <v>339</v>
      </c>
      <c r="C1614" t="s">
        <v>85</v>
      </c>
      <c r="D1614">
        <v>61666</v>
      </c>
    </row>
    <row r="1615" spans="1:4" x14ac:dyDescent="0.25">
      <c r="A1615" s="279">
        <v>39107</v>
      </c>
      <c r="B1615" t="s">
        <v>339</v>
      </c>
      <c r="C1615" t="s">
        <v>86</v>
      </c>
      <c r="D1615">
        <v>28445</v>
      </c>
    </row>
    <row r="1616" spans="1:4" x14ac:dyDescent="0.25">
      <c r="A1616" s="279">
        <v>39107</v>
      </c>
      <c r="B1616" t="s">
        <v>339</v>
      </c>
      <c r="C1616" t="s">
        <v>87</v>
      </c>
      <c r="D1616">
        <v>22048</v>
      </c>
    </row>
    <row r="1617" spans="1:4" x14ac:dyDescent="0.25">
      <c r="A1617" s="279">
        <v>39107</v>
      </c>
      <c r="B1617" t="s">
        <v>339</v>
      </c>
      <c r="C1617" t="s">
        <v>88</v>
      </c>
      <c r="D1617">
        <v>28264</v>
      </c>
    </row>
    <row r="1618" spans="1:4" x14ac:dyDescent="0.25">
      <c r="A1618" s="279">
        <v>39107</v>
      </c>
      <c r="B1618" t="s">
        <v>339</v>
      </c>
      <c r="C1618" t="s">
        <v>14</v>
      </c>
      <c r="D1618">
        <v>1035</v>
      </c>
    </row>
    <row r="1619" spans="1:4" x14ac:dyDescent="0.25">
      <c r="A1619" s="279">
        <v>39108</v>
      </c>
      <c r="B1619" t="s">
        <v>338</v>
      </c>
      <c r="C1619" t="s">
        <v>81</v>
      </c>
      <c r="D1619">
        <v>104355</v>
      </c>
    </row>
    <row r="1620" spans="1:4" x14ac:dyDescent="0.25">
      <c r="A1620" s="279">
        <v>39108</v>
      </c>
      <c r="B1620" t="s">
        <v>338</v>
      </c>
      <c r="C1620" t="s">
        <v>82</v>
      </c>
      <c r="D1620">
        <v>91070</v>
      </c>
    </row>
    <row r="1621" spans="1:4" x14ac:dyDescent="0.25">
      <c r="A1621" s="279">
        <v>39108</v>
      </c>
      <c r="B1621" t="s">
        <v>338</v>
      </c>
      <c r="C1621" t="s">
        <v>84</v>
      </c>
      <c r="D1621">
        <v>3439</v>
      </c>
    </row>
    <row r="1622" spans="1:4" x14ac:dyDescent="0.25">
      <c r="A1622" s="279">
        <v>39108</v>
      </c>
      <c r="B1622" t="s">
        <v>338</v>
      </c>
      <c r="C1622" t="s">
        <v>83</v>
      </c>
      <c r="D1622">
        <v>0</v>
      </c>
    </row>
    <row r="1623" spans="1:4" x14ac:dyDescent="0.25">
      <c r="A1623" s="279">
        <v>39108</v>
      </c>
      <c r="B1623" t="s">
        <v>338</v>
      </c>
      <c r="C1623" t="s">
        <v>14</v>
      </c>
      <c r="D1623">
        <v>1042</v>
      </c>
    </row>
    <row r="1624" spans="1:4" x14ac:dyDescent="0.25">
      <c r="A1624" s="279">
        <v>39108</v>
      </c>
      <c r="B1624" t="s">
        <v>339</v>
      </c>
      <c r="C1624" t="s">
        <v>20</v>
      </c>
      <c r="D1624">
        <v>83317</v>
      </c>
    </row>
    <row r="1625" spans="1:4" x14ac:dyDescent="0.25">
      <c r="A1625" s="279">
        <v>39108</v>
      </c>
      <c r="B1625" t="s">
        <v>339</v>
      </c>
      <c r="C1625" t="s">
        <v>85</v>
      </c>
      <c r="D1625">
        <v>60365</v>
      </c>
    </row>
    <row r="1626" spans="1:4" x14ac:dyDescent="0.25">
      <c r="A1626" s="279">
        <v>39108</v>
      </c>
      <c r="B1626" t="s">
        <v>339</v>
      </c>
      <c r="C1626" t="s">
        <v>86</v>
      </c>
      <c r="D1626">
        <v>30018</v>
      </c>
    </row>
    <row r="1627" spans="1:4" x14ac:dyDescent="0.25">
      <c r="A1627" s="279">
        <v>39108</v>
      </c>
      <c r="B1627" t="s">
        <v>339</v>
      </c>
      <c r="C1627" t="s">
        <v>87</v>
      </c>
      <c r="D1627">
        <v>24272</v>
      </c>
    </row>
    <row r="1628" spans="1:4" x14ac:dyDescent="0.25">
      <c r="A1628" s="279">
        <v>39108</v>
      </c>
      <c r="B1628" t="s">
        <v>339</v>
      </c>
      <c r="C1628" t="s">
        <v>88</v>
      </c>
      <c r="D1628">
        <v>26709</v>
      </c>
    </row>
    <row r="1629" spans="1:4" x14ac:dyDescent="0.25">
      <c r="A1629" s="279">
        <v>39108</v>
      </c>
      <c r="B1629" t="s">
        <v>339</v>
      </c>
      <c r="C1629" t="s">
        <v>14</v>
      </c>
      <c r="D1629">
        <v>1032</v>
      </c>
    </row>
    <row r="1630" spans="1:4" x14ac:dyDescent="0.25">
      <c r="A1630" s="279">
        <v>39109</v>
      </c>
      <c r="B1630" t="s">
        <v>338</v>
      </c>
      <c r="C1630" t="s">
        <v>81</v>
      </c>
      <c r="D1630">
        <v>88291</v>
      </c>
    </row>
    <row r="1631" spans="1:4" x14ac:dyDescent="0.25">
      <c r="A1631" s="279">
        <v>39109</v>
      </c>
      <c r="B1631" t="s">
        <v>338</v>
      </c>
      <c r="C1631" t="s">
        <v>82</v>
      </c>
      <c r="D1631">
        <v>99355</v>
      </c>
    </row>
    <row r="1632" spans="1:4" x14ac:dyDescent="0.25">
      <c r="A1632" s="279">
        <v>39109</v>
      </c>
      <c r="B1632" t="s">
        <v>338</v>
      </c>
      <c r="C1632" t="s">
        <v>84</v>
      </c>
      <c r="D1632">
        <v>2340</v>
      </c>
    </row>
    <row r="1633" spans="1:4" x14ac:dyDescent="0.25">
      <c r="A1633" s="279">
        <v>39109</v>
      </c>
      <c r="B1633" t="s">
        <v>338</v>
      </c>
      <c r="C1633" t="s">
        <v>83</v>
      </c>
      <c r="D1633">
        <v>0</v>
      </c>
    </row>
    <row r="1634" spans="1:4" x14ac:dyDescent="0.25">
      <c r="A1634" s="279">
        <v>39109</v>
      </c>
      <c r="B1634" t="s">
        <v>338</v>
      </c>
      <c r="C1634" t="s">
        <v>14</v>
      </c>
      <c r="D1634">
        <v>1041</v>
      </c>
    </row>
    <row r="1635" spans="1:4" x14ac:dyDescent="0.25">
      <c r="A1635" s="279">
        <v>39109</v>
      </c>
      <c r="B1635" t="s">
        <v>339</v>
      </c>
      <c r="C1635" t="s">
        <v>20</v>
      </c>
      <c r="D1635">
        <v>59704</v>
      </c>
    </row>
    <row r="1636" spans="1:4" x14ac:dyDescent="0.25">
      <c r="A1636" s="279">
        <v>39109</v>
      </c>
      <c r="B1636" t="s">
        <v>339</v>
      </c>
      <c r="C1636" t="s">
        <v>85</v>
      </c>
      <c r="D1636">
        <v>37800</v>
      </c>
    </row>
    <row r="1637" spans="1:4" x14ac:dyDescent="0.25">
      <c r="A1637" s="279">
        <v>39109</v>
      </c>
      <c r="B1637" t="s">
        <v>339</v>
      </c>
      <c r="C1637" t="s">
        <v>86</v>
      </c>
      <c r="D1637">
        <v>9808</v>
      </c>
    </row>
    <row r="1638" spans="1:4" x14ac:dyDescent="0.25">
      <c r="A1638" s="279">
        <v>39109</v>
      </c>
      <c r="B1638" t="s">
        <v>339</v>
      </c>
      <c r="C1638" t="s">
        <v>87</v>
      </c>
      <c r="D1638">
        <v>10207</v>
      </c>
    </row>
    <row r="1639" spans="1:4" x14ac:dyDescent="0.25">
      <c r="A1639" s="279">
        <v>39109</v>
      </c>
      <c r="B1639" t="s">
        <v>339</v>
      </c>
      <c r="C1639" t="s">
        <v>88</v>
      </c>
      <c r="D1639">
        <v>18707</v>
      </c>
    </row>
    <row r="1640" spans="1:4" x14ac:dyDescent="0.25">
      <c r="A1640" s="279">
        <v>39109</v>
      </c>
      <c r="B1640" t="s">
        <v>339</v>
      </c>
      <c r="C1640" t="s">
        <v>14</v>
      </c>
      <c r="D1640">
        <v>1034</v>
      </c>
    </row>
    <row r="1641" spans="1:4" x14ac:dyDescent="0.25">
      <c r="A1641" s="279">
        <v>39110</v>
      </c>
      <c r="B1641" t="s">
        <v>338</v>
      </c>
      <c r="C1641" t="s">
        <v>81</v>
      </c>
      <c r="D1641">
        <v>93422</v>
      </c>
    </row>
    <row r="1642" spans="1:4" x14ac:dyDescent="0.25">
      <c r="A1642" s="279">
        <v>39110</v>
      </c>
      <c r="B1642" t="s">
        <v>338</v>
      </c>
      <c r="C1642" t="s">
        <v>82</v>
      </c>
      <c r="D1642">
        <v>102127</v>
      </c>
    </row>
    <row r="1643" spans="1:4" x14ac:dyDescent="0.25">
      <c r="A1643" s="279">
        <v>39110</v>
      </c>
      <c r="B1643" t="s">
        <v>338</v>
      </c>
      <c r="C1643" t="s">
        <v>84</v>
      </c>
      <c r="D1643">
        <v>2650</v>
      </c>
    </row>
    <row r="1644" spans="1:4" x14ac:dyDescent="0.25">
      <c r="A1644" s="279">
        <v>39110</v>
      </c>
      <c r="B1644" t="s">
        <v>338</v>
      </c>
      <c r="C1644" t="s">
        <v>83</v>
      </c>
      <c r="D1644">
        <v>0</v>
      </c>
    </row>
    <row r="1645" spans="1:4" x14ac:dyDescent="0.25">
      <c r="A1645" s="279">
        <v>39110</v>
      </c>
      <c r="B1645" t="s">
        <v>338</v>
      </c>
      <c r="C1645" t="s">
        <v>14</v>
      </c>
      <c r="D1645">
        <v>1041</v>
      </c>
    </row>
    <row r="1646" spans="1:4" x14ac:dyDescent="0.25">
      <c r="A1646" s="279">
        <v>39110</v>
      </c>
      <c r="B1646" t="s">
        <v>339</v>
      </c>
      <c r="C1646" t="s">
        <v>20</v>
      </c>
      <c r="D1646">
        <v>75609</v>
      </c>
    </row>
    <row r="1647" spans="1:4" x14ac:dyDescent="0.25">
      <c r="A1647" s="279">
        <v>39110</v>
      </c>
      <c r="B1647" t="s">
        <v>339</v>
      </c>
      <c r="C1647" t="s">
        <v>85</v>
      </c>
      <c r="D1647">
        <v>42381</v>
      </c>
    </row>
    <row r="1648" spans="1:4" x14ac:dyDescent="0.25">
      <c r="A1648" s="279">
        <v>39110</v>
      </c>
      <c r="B1648" t="s">
        <v>339</v>
      </c>
      <c r="C1648" t="s">
        <v>86</v>
      </c>
      <c r="D1648">
        <v>5298</v>
      </c>
    </row>
    <row r="1649" spans="1:4" x14ac:dyDescent="0.25">
      <c r="A1649" s="279">
        <v>39110</v>
      </c>
      <c r="B1649" t="s">
        <v>339</v>
      </c>
      <c r="C1649" t="s">
        <v>87</v>
      </c>
      <c r="D1649">
        <v>6488</v>
      </c>
    </row>
    <row r="1650" spans="1:4" x14ac:dyDescent="0.25">
      <c r="A1650" s="279">
        <v>39110</v>
      </c>
      <c r="B1650" t="s">
        <v>339</v>
      </c>
      <c r="C1650" t="s">
        <v>88</v>
      </c>
      <c r="D1650">
        <v>20453</v>
      </c>
    </row>
    <row r="1651" spans="1:4" x14ac:dyDescent="0.25">
      <c r="A1651" s="279">
        <v>39110</v>
      </c>
      <c r="B1651" t="s">
        <v>339</v>
      </c>
      <c r="C1651" t="s">
        <v>14</v>
      </c>
      <c r="D1651">
        <v>1037</v>
      </c>
    </row>
    <row r="1652" spans="1:4" x14ac:dyDescent="0.25">
      <c r="A1652" s="279">
        <v>39111</v>
      </c>
      <c r="B1652" t="s">
        <v>338</v>
      </c>
      <c r="C1652" t="s">
        <v>81</v>
      </c>
      <c r="D1652">
        <v>105141</v>
      </c>
    </row>
    <row r="1653" spans="1:4" x14ac:dyDescent="0.25">
      <c r="A1653" s="279">
        <v>39111</v>
      </c>
      <c r="B1653" t="s">
        <v>338</v>
      </c>
      <c r="C1653" t="s">
        <v>82</v>
      </c>
      <c r="D1653">
        <v>94950</v>
      </c>
    </row>
    <row r="1654" spans="1:4" x14ac:dyDescent="0.25">
      <c r="A1654" s="279">
        <v>39111</v>
      </c>
      <c r="B1654" t="s">
        <v>338</v>
      </c>
      <c r="C1654" t="s">
        <v>84</v>
      </c>
      <c r="D1654">
        <v>3230</v>
      </c>
    </row>
    <row r="1655" spans="1:4" x14ac:dyDescent="0.25">
      <c r="A1655" s="279">
        <v>39111</v>
      </c>
      <c r="B1655" t="s">
        <v>338</v>
      </c>
      <c r="C1655" t="s">
        <v>83</v>
      </c>
      <c r="D1655">
        <v>0</v>
      </c>
    </row>
    <row r="1656" spans="1:4" x14ac:dyDescent="0.25">
      <c r="A1656" s="279">
        <v>39111</v>
      </c>
      <c r="B1656" t="s">
        <v>338</v>
      </c>
      <c r="C1656" t="s">
        <v>14</v>
      </c>
      <c r="D1656">
        <v>1041</v>
      </c>
    </row>
    <row r="1657" spans="1:4" x14ac:dyDescent="0.25">
      <c r="A1657" s="279">
        <v>39111</v>
      </c>
      <c r="B1657" t="s">
        <v>339</v>
      </c>
      <c r="C1657" t="s">
        <v>20</v>
      </c>
      <c r="D1657">
        <v>87664</v>
      </c>
    </row>
    <row r="1658" spans="1:4" x14ac:dyDescent="0.25">
      <c r="A1658" s="279">
        <v>39111</v>
      </c>
      <c r="B1658" t="s">
        <v>339</v>
      </c>
      <c r="C1658" t="s">
        <v>85</v>
      </c>
      <c r="D1658">
        <v>57802</v>
      </c>
    </row>
    <row r="1659" spans="1:4" x14ac:dyDescent="0.25">
      <c r="A1659" s="279">
        <v>39111</v>
      </c>
      <c r="B1659" t="s">
        <v>339</v>
      </c>
      <c r="C1659" t="s">
        <v>86</v>
      </c>
      <c r="D1659">
        <v>27891</v>
      </c>
    </row>
    <row r="1660" spans="1:4" x14ac:dyDescent="0.25">
      <c r="A1660" s="279">
        <v>39111</v>
      </c>
      <c r="B1660" t="s">
        <v>339</v>
      </c>
      <c r="C1660" t="s">
        <v>87</v>
      </c>
      <c r="D1660">
        <v>25610</v>
      </c>
    </row>
    <row r="1661" spans="1:4" x14ac:dyDescent="0.25">
      <c r="A1661" s="279">
        <v>39111</v>
      </c>
      <c r="B1661" t="s">
        <v>339</v>
      </c>
      <c r="C1661" t="s">
        <v>88</v>
      </c>
      <c r="D1661">
        <v>28065</v>
      </c>
    </row>
    <row r="1662" spans="1:4" x14ac:dyDescent="0.25">
      <c r="A1662" s="279">
        <v>39111</v>
      </c>
      <c r="B1662" t="s">
        <v>339</v>
      </c>
      <c r="C1662" t="s">
        <v>14</v>
      </c>
      <c r="D1662">
        <v>1036</v>
      </c>
    </row>
    <row r="1663" spans="1:4" x14ac:dyDescent="0.25">
      <c r="A1663" s="279">
        <v>39112</v>
      </c>
      <c r="B1663" t="s">
        <v>338</v>
      </c>
      <c r="C1663" t="s">
        <v>81</v>
      </c>
      <c r="D1663">
        <v>101195</v>
      </c>
    </row>
    <row r="1664" spans="1:4" x14ac:dyDescent="0.25">
      <c r="A1664" s="279">
        <v>39112</v>
      </c>
      <c r="B1664" t="s">
        <v>338</v>
      </c>
      <c r="C1664" t="s">
        <v>82</v>
      </c>
      <c r="D1664">
        <v>94779</v>
      </c>
    </row>
    <row r="1665" spans="1:4" x14ac:dyDescent="0.25">
      <c r="A1665" s="279">
        <v>39112</v>
      </c>
      <c r="B1665" t="s">
        <v>338</v>
      </c>
      <c r="C1665" t="s">
        <v>84</v>
      </c>
      <c r="D1665">
        <v>2890</v>
      </c>
    </row>
    <row r="1666" spans="1:4" x14ac:dyDescent="0.25">
      <c r="A1666" s="279">
        <v>39112</v>
      </c>
      <c r="B1666" t="s">
        <v>338</v>
      </c>
      <c r="C1666" t="s">
        <v>83</v>
      </c>
      <c r="D1666">
        <v>0</v>
      </c>
    </row>
    <row r="1667" spans="1:4" x14ac:dyDescent="0.25">
      <c r="A1667" s="279">
        <v>39112</v>
      </c>
      <c r="B1667" t="s">
        <v>338</v>
      </c>
      <c r="C1667" t="s">
        <v>14</v>
      </c>
      <c r="D1667">
        <v>1041</v>
      </c>
    </row>
    <row r="1668" spans="1:4" x14ac:dyDescent="0.25">
      <c r="A1668" s="279">
        <v>39112</v>
      </c>
      <c r="B1668" t="s">
        <v>339</v>
      </c>
      <c r="C1668" t="s">
        <v>20</v>
      </c>
      <c r="D1668">
        <v>77502</v>
      </c>
    </row>
    <row r="1669" spans="1:4" x14ac:dyDescent="0.25">
      <c r="A1669" s="279">
        <v>39112</v>
      </c>
      <c r="B1669" t="s">
        <v>339</v>
      </c>
      <c r="C1669" t="s">
        <v>85</v>
      </c>
      <c r="D1669">
        <v>51435</v>
      </c>
    </row>
    <row r="1670" spans="1:4" x14ac:dyDescent="0.25">
      <c r="A1670" s="279">
        <v>39112</v>
      </c>
      <c r="B1670" t="s">
        <v>339</v>
      </c>
      <c r="C1670" t="s">
        <v>86</v>
      </c>
      <c r="D1670">
        <v>22729</v>
      </c>
    </row>
    <row r="1671" spans="1:4" x14ac:dyDescent="0.25">
      <c r="A1671" s="279">
        <v>39112</v>
      </c>
      <c r="B1671" t="s">
        <v>339</v>
      </c>
      <c r="C1671" t="s">
        <v>87</v>
      </c>
      <c r="D1671">
        <v>22075</v>
      </c>
    </row>
    <row r="1672" spans="1:4" x14ac:dyDescent="0.25">
      <c r="A1672" s="279">
        <v>39112</v>
      </c>
      <c r="B1672" t="s">
        <v>339</v>
      </c>
      <c r="C1672" t="s">
        <v>88</v>
      </c>
      <c r="D1672">
        <v>25761</v>
      </c>
    </row>
    <row r="1673" spans="1:4" x14ac:dyDescent="0.25">
      <c r="A1673" s="279">
        <v>39112</v>
      </c>
      <c r="B1673" t="s">
        <v>339</v>
      </c>
      <c r="C1673" t="s">
        <v>14</v>
      </c>
      <c r="D1673">
        <v>1036</v>
      </c>
    </row>
    <row r="1674" spans="1:4" x14ac:dyDescent="0.25">
      <c r="A1674" s="279">
        <v>39113</v>
      </c>
      <c r="B1674" t="s">
        <v>338</v>
      </c>
      <c r="C1674" t="s">
        <v>81</v>
      </c>
      <c r="D1674">
        <v>101674</v>
      </c>
    </row>
    <row r="1675" spans="1:4" x14ac:dyDescent="0.25">
      <c r="A1675" s="279">
        <v>39113</v>
      </c>
      <c r="B1675" t="s">
        <v>338</v>
      </c>
      <c r="C1675" t="s">
        <v>82</v>
      </c>
      <c r="D1675">
        <v>89090</v>
      </c>
    </row>
    <row r="1676" spans="1:4" x14ac:dyDescent="0.25">
      <c r="A1676" s="279">
        <v>39113</v>
      </c>
      <c r="B1676" t="s">
        <v>338</v>
      </c>
      <c r="C1676" t="s">
        <v>84</v>
      </c>
      <c r="D1676">
        <v>2960</v>
      </c>
    </row>
    <row r="1677" spans="1:4" x14ac:dyDescent="0.25">
      <c r="A1677" s="279">
        <v>39113</v>
      </c>
      <c r="B1677" t="s">
        <v>338</v>
      </c>
      <c r="C1677" t="s">
        <v>83</v>
      </c>
      <c r="D1677">
        <v>0</v>
      </c>
    </row>
    <row r="1678" spans="1:4" x14ac:dyDescent="0.25">
      <c r="A1678" s="279">
        <v>39113</v>
      </c>
      <c r="B1678" t="s">
        <v>338</v>
      </c>
      <c r="C1678" t="s">
        <v>14</v>
      </c>
      <c r="D1678">
        <v>1040</v>
      </c>
    </row>
    <row r="1679" spans="1:4" x14ac:dyDescent="0.25">
      <c r="A1679" s="279">
        <v>39113</v>
      </c>
      <c r="B1679" t="s">
        <v>339</v>
      </c>
      <c r="C1679" t="s">
        <v>20</v>
      </c>
      <c r="D1679">
        <v>86280</v>
      </c>
    </row>
    <row r="1680" spans="1:4" x14ac:dyDescent="0.25">
      <c r="A1680" s="279">
        <v>39113</v>
      </c>
      <c r="B1680" t="s">
        <v>339</v>
      </c>
      <c r="C1680" t="s">
        <v>85</v>
      </c>
      <c r="D1680">
        <v>53320</v>
      </c>
    </row>
    <row r="1681" spans="1:4" x14ac:dyDescent="0.25">
      <c r="A1681" s="279">
        <v>39113</v>
      </c>
      <c r="B1681" t="s">
        <v>339</v>
      </c>
      <c r="C1681" t="s">
        <v>86</v>
      </c>
      <c r="D1681">
        <v>26070</v>
      </c>
    </row>
    <row r="1682" spans="1:4" x14ac:dyDescent="0.25">
      <c r="A1682" s="279">
        <v>39113</v>
      </c>
      <c r="B1682" t="s">
        <v>339</v>
      </c>
      <c r="C1682" t="s">
        <v>87</v>
      </c>
      <c r="D1682">
        <v>24921</v>
      </c>
    </row>
    <row r="1683" spans="1:4" x14ac:dyDescent="0.25">
      <c r="A1683" s="279">
        <v>39113</v>
      </c>
      <c r="B1683" t="s">
        <v>339</v>
      </c>
      <c r="C1683" t="s">
        <v>88</v>
      </c>
      <c r="D1683">
        <v>28541</v>
      </c>
    </row>
    <row r="1684" spans="1:4" x14ac:dyDescent="0.25">
      <c r="A1684" s="279">
        <v>39113</v>
      </c>
      <c r="B1684" t="s">
        <v>339</v>
      </c>
      <c r="C1684" t="s">
        <v>14</v>
      </c>
      <c r="D1684">
        <v>1038</v>
      </c>
    </row>
    <row r="1685" spans="1:4" x14ac:dyDescent="0.25">
      <c r="A1685" s="279">
        <v>39114</v>
      </c>
      <c r="B1685" t="s">
        <v>338</v>
      </c>
      <c r="C1685" t="s">
        <v>81</v>
      </c>
      <c r="D1685">
        <v>92928</v>
      </c>
    </row>
    <row r="1686" spans="1:4" x14ac:dyDescent="0.25">
      <c r="A1686" s="279">
        <v>39114</v>
      </c>
      <c r="B1686" t="s">
        <v>338</v>
      </c>
      <c r="C1686" t="s">
        <v>82</v>
      </c>
      <c r="D1686">
        <v>74419</v>
      </c>
    </row>
    <row r="1687" spans="1:4" x14ac:dyDescent="0.25">
      <c r="A1687" s="279">
        <v>39114</v>
      </c>
      <c r="B1687" t="s">
        <v>338</v>
      </c>
      <c r="C1687" t="s">
        <v>84</v>
      </c>
      <c r="D1687">
        <v>2960</v>
      </c>
    </row>
    <row r="1688" spans="1:4" x14ac:dyDescent="0.25">
      <c r="A1688" s="279">
        <v>39114</v>
      </c>
      <c r="B1688" t="s">
        <v>338</v>
      </c>
      <c r="C1688" t="s">
        <v>83</v>
      </c>
      <c r="D1688">
        <v>0</v>
      </c>
    </row>
    <row r="1689" spans="1:4" x14ac:dyDescent="0.25">
      <c r="A1689" s="279">
        <v>39114</v>
      </c>
      <c r="B1689" t="s">
        <v>338</v>
      </c>
      <c r="C1689" t="s">
        <v>14</v>
      </c>
      <c r="D1689">
        <v>1042</v>
      </c>
    </row>
    <row r="1690" spans="1:4" x14ac:dyDescent="0.25">
      <c r="A1690" s="279">
        <v>39114</v>
      </c>
      <c r="B1690" t="s">
        <v>339</v>
      </c>
      <c r="C1690" t="s">
        <v>20</v>
      </c>
      <c r="D1690">
        <v>75764</v>
      </c>
    </row>
    <row r="1691" spans="1:4" x14ac:dyDescent="0.25">
      <c r="A1691" s="279">
        <v>39114</v>
      </c>
      <c r="B1691" t="s">
        <v>339</v>
      </c>
      <c r="C1691" t="s">
        <v>85</v>
      </c>
      <c r="D1691">
        <v>47046</v>
      </c>
    </row>
    <row r="1692" spans="1:4" x14ac:dyDescent="0.25">
      <c r="A1692" s="279">
        <v>39114</v>
      </c>
      <c r="B1692" t="s">
        <v>339</v>
      </c>
      <c r="C1692" t="s">
        <v>86</v>
      </c>
      <c r="D1692">
        <v>29938</v>
      </c>
    </row>
    <row r="1693" spans="1:4" x14ac:dyDescent="0.25">
      <c r="A1693" s="279">
        <v>39114</v>
      </c>
      <c r="B1693" t="s">
        <v>339</v>
      </c>
      <c r="C1693" t="s">
        <v>87</v>
      </c>
      <c r="D1693">
        <v>24095</v>
      </c>
    </row>
    <row r="1694" spans="1:4" x14ac:dyDescent="0.25">
      <c r="A1694" s="279">
        <v>39114</v>
      </c>
      <c r="B1694" t="s">
        <v>339</v>
      </c>
      <c r="C1694" t="s">
        <v>88</v>
      </c>
      <c r="D1694">
        <v>27821</v>
      </c>
    </row>
    <row r="1695" spans="1:4" x14ac:dyDescent="0.25">
      <c r="A1695" s="279">
        <v>39114</v>
      </c>
      <c r="B1695" t="s">
        <v>339</v>
      </c>
      <c r="C1695" t="s">
        <v>14</v>
      </c>
      <c r="D1695">
        <v>1040</v>
      </c>
    </row>
    <row r="1696" spans="1:4" x14ac:dyDescent="0.25">
      <c r="A1696" s="279">
        <v>39115</v>
      </c>
      <c r="B1696" t="s">
        <v>338</v>
      </c>
      <c r="C1696" t="s">
        <v>81</v>
      </c>
      <c r="D1696">
        <v>81605</v>
      </c>
    </row>
    <row r="1697" spans="1:4" x14ac:dyDescent="0.25">
      <c r="A1697" s="279">
        <v>39115</v>
      </c>
      <c r="B1697" t="s">
        <v>338</v>
      </c>
      <c r="C1697" t="s">
        <v>82</v>
      </c>
      <c r="D1697">
        <v>63240</v>
      </c>
    </row>
    <row r="1698" spans="1:4" x14ac:dyDescent="0.25">
      <c r="A1698" s="279">
        <v>39115</v>
      </c>
      <c r="B1698" t="s">
        <v>338</v>
      </c>
      <c r="C1698" t="s">
        <v>84</v>
      </c>
      <c r="D1698">
        <v>2771</v>
      </c>
    </row>
    <row r="1699" spans="1:4" x14ac:dyDescent="0.25">
      <c r="A1699" s="279">
        <v>39115</v>
      </c>
      <c r="B1699" t="s">
        <v>338</v>
      </c>
      <c r="C1699" t="s">
        <v>83</v>
      </c>
      <c r="D1699">
        <v>0</v>
      </c>
    </row>
    <row r="1700" spans="1:4" x14ac:dyDescent="0.25">
      <c r="A1700" s="279">
        <v>39115</v>
      </c>
      <c r="B1700" t="s">
        <v>338</v>
      </c>
      <c r="C1700" t="s">
        <v>14</v>
      </c>
      <c r="D1700">
        <v>1042</v>
      </c>
    </row>
    <row r="1701" spans="1:4" x14ac:dyDescent="0.25">
      <c r="A1701" s="279">
        <v>39115</v>
      </c>
      <c r="B1701" t="s">
        <v>339</v>
      </c>
      <c r="C1701" t="s">
        <v>20</v>
      </c>
      <c r="D1701">
        <v>77063</v>
      </c>
    </row>
    <row r="1702" spans="1:4" x14ac:dyDescent="0.25">
      <c r="A1702" s="279">
        <v>39115</v>
      </c>
      <c r="B1702" t="s">
        <v>339</v>
      </c>
      <c r="C1702" t="s">
        <v>85</v>
      </c>
      <c r="D1702">
        <v>57414</v>
      </c>
    </row>
    <row r="1703" spans="1:4" x14ac:dyDescent="0.25">
      <c r="A1703" s="279">
        <v>39115</v>
      </c>
      <c r="B1703" t="s">
        <v>339</v>
      </c>
      <c r="C1703" t="s">
        <v>86</v>
      </c>
      <c r="D1703">
        <v>30718</v>
      </c>
    </row>
    <row r="1704" spans="1:4" x14ac:dyDescent="0.25">
      <c r="A1704" s="279">
        <v>39115</v>
      </c>
      <c r="B1704" t="s">
        <v>339</v>
      </c>
      <c r="C1704" t="s">
        <v>87</v>
      </c>
      <c r="D1704">
        <v>17750</v>
      </c>
    </row>
    <row r="1705" spans="1:4" x14ac:dyDescent="0.25">
      <c r="A1705" s="279">
        <v>39115</v>
      </c>
      <c r="B1705" t="s">
        <v>339</v>
      </c>
      <c r="C1705" t="s">
        <v>88</v>
      </c>
      <c r="D1705">
        <v>23043</v>
      </c>
    </row>
    <row r="1706" spans="1:4" x14ac:dyDescent="0.25">
      <c r="A1706" s="279">
        <v>39115</v>
      </c>
      <c r="B1706" t="s">
        <v>339</v>
      </c>
      <c r="C1706" t="s">
        <v>14</v>
      </c>
      <c r="D1706">
        <v>1037</v>
      </c>
    </row>
    <row r="1707" spans="1:4" x14ac:dyDescent="0.25">
      <c r="A1707" s="279">
        <v>39116</v>
      </c>
      <c r="B1707" t="s">
        <v>338</v>
      </c>
      <c r="C1707" t="s">
        <v>81</v>
      </c>
      <c r="D1707">
        <v>101688</v>
      </c>
    </row>
    <row r="1708" spans="1:4" x14ac:dyDescent="0.25">
      <c r="A1708" s="279">
        <v>39116</v>
      </c>
      <c r="B1708" t="s">
        <v>338</v>
      </c>
      <c r="C1708" t="s">
        <v>82</v>
      </c>
      <c r="D1708">
        <v>89115</v>
      </c>
    </row>
    <row r="1709" spans="1:4" x14ac:dyDescent="0.25">
      <c r="A1709" s="279">
        <v>39116</v>
      </c>
      <c r="B1709" t="s">
        <v>338</v>
      </c>
      <c r="C1709" t="s">
        <v>84</v>
      </c>
      <c r="D1709">
        <v>3140</v>
      </c>
    </row>
    <row r="1710" spans="1:4" x14ac:dyDescent="0.25">
      <c r="A1710" s="279">
        <v>39116</v>
      </c>
      <c r="B1710" t="s">
        <v>338</v>
      </c>
      <c r="C1710" t="s">
        <v>83</v>
      </c>
      <c r="D1710">
        <v>0</v>
      </c>
    </row>
    <row r="1711" spans="1:4" x14ac:dyDescent="0.25">
      <c r="A1711" s="279">
        <v>39116</v>
      </c>
      <c r="B1711" t="s">
        <v>338</v>
      </c>
      <c r="C1711" t="s">
        <v>14</v>
      </c>
      <c r="D1711">
        <v>1042</v>
      </c>
    </row>
    <row r="1712" spans="1:4" x14ac:dyDescent="0.25">
      <c r="A1712" s="279">
        <v>39116</v>
      </c>
      <c r="B1712" t="s">
        <v>339</v>
      </c>
      <c r="C1712" t="s">
        <v>20</v>
      </c>
      <c r="D1712">
        <v>96078</v>
      </c>
    </row>
    <row r="1713" spans="1:4" x14ac:dyDescent="0.25">
      <c r="A1713" s="279">
        <v>39116</v>
      </c>
      <c r="B1713" t="s">
        <v>339</v>
      </c>
      <c r="C1713" t="s">
        <v>85</v>
      </c>
      <c r="D1713">
        <v>58375</v>
      </c>
    </row>
    <row r="1714" spans="1:4" x14ac:dyDescent="0.25">
      <c r="A1714" s="279">
        <v>39116</v>
      </c>
      <c r="B1714" t="s">
        <v>339</v>
      </c>
      <c r="C1714" t="s">
        <v>86</v>
      </c>
      <c r="D1714">
        <v>31457</v>
      </c>
    </row>
    <row r="1715" spans="1:4" x14ac:dyDescent="0.25">
      <c r="A1715" s="279">
        <v>39116</v>
      </c>
      <c r="B1715" t="s">
        <v>339</v>
      </c>
      <c r="C1715" t="s">
        <v>87</v>
      </c>
      <c r="D1715">
        <v>23909</v>
      </c>
    </row>
    <row r="1716" spans="1:4" x14ac:dyDescent="0.25">
      <c r="A1716" s="279">
        <v>39116</v>
      </c>
      <c r="B1716" t="s">
        <v>339</v>
      </c>
      <c r="C1716" t="s">
        <v>88</v>
      </c>
      <c r="D1716">
        <v>26434</v>
      </c>
    </row>
    <row r="1717" spans="1:4" x14ac:dyDescent="0.25">
      <c r="A1717" s="279">
        <v>39116</v>
      </c>
      <c r="B1717" t="s">
        <v>339</v>
      </c>
      <c r="C1717" t="s">
        <v>14</v>
      </c>
      <c r="D1717">
        <v>1040</v>
      </c>
    </row>
    <row r="1718" spans="1:4" x14ac:dyDescent="0.25">
      <c r="A1718" s="279">
        <v>39117</v>
      </c>
      <c r="B1718" t="s">
        <v>338</v>
      </c>
      <c r="C1718" t="s">
        <v>81</v>
      </c>
      <c r="D1718">
        <v>102339</v>
      </c>
    </row>
    <row r="1719" spans="1:4" x14ac:dyDescent="0.25">
      <c r="A1719" s="279">
        <v>39117</v>
      </c>
      <c r="B1719" t="s">
        <v>338</v>
      </c>
      <c r="C1719" t="s">
        <v>82</v>
      </c>
      <c r="D1719">
        <v>91400</v>
      </c>
    </row>
    <row r="1720" spans="1:4" x14ac:dyDescent="0.25">
      <c r="A1720" s="279">
        <v>39117</v>
      </c>
      <c r="B1720" t="s">
        <v>338</v>
      </c>
      <c r="C1720" t="s">
        <v>84</v>
      </c>
      <c r="D1720">
        <v>3660</v>
      </c>
    </row>
    <row r="1721" spans="1:4" x14ac:dyDescent="0.25">
      <c r="A1721" s="279">
        <v>39117</v>
      </c>
      <c r="B1721" t="s">
        <v>338</v>
      </c>
      <c r="C1721" t="s">
        <v>83</v>
      </c>
      <c r="D1721">
        <v>0</v>
      </c>
    </row>
    <row r="1722" spans="1:4" x14ac:dyDescent="0.25">
      <c r="A1722" s="279">
        <v>39117</v>
      </c>
      <c r="B1722" t="s">
        <v>338</v>
      </c>
      <c r="C1722" t="s">
        <v>14</v>
      </c>
      <c r="D1722">
        <v>1041</v>
      </c>
    </row>
    <row r="1723" spans="1:4" x14ac:dyDescent="0.25">
      <c r="A1723" s="279">
        <v>39117</v>
      </c>
      <c r="B1723" t="s">
        <v>339</v>
      </c>
      <c r="C1723" t="s">
        <v>20</v>
      </c>
      <c r="D1723">
        <v>79623</v>
      </c>
    </row>
    <row r="1724" spans="1:4" x14ac:dyDescent="0.25">
      <c r="A1724" s="279">
        <v>39117</v>
      </c>
      <c r="B1724" t="s">
        <v>339</v>
      </c>
      <c r="C1724" t="s">
        <v>85</v>
      </c>
      <c r="D1724">
        <v>72592</v>
      </c>
    </row>
    <row r="1725" spans="1:4" x14ac:dyDescent="0.25">
      <c r="A1725" s="279">
        <v>39117</v>
      </c>
      <c r="B1725" t="s">
        <v>339</v>
      </c>
      <c r="C1725" t="s">
        <v>86</v>
      </c>
      <c r="D1725">
        <v>34615</v>
      </c>
    </row>
    <row r="1726" spans="1:4" x14ac:dyDescent="0.25">
      <c r="A1726" s="279">
        <v>39117</v>
      </c>
      <c r="B1726" t="s">
        <v>339</v>
      </c>
      <c r="C1726" t="s">
        <v>87</v>
      </c>
      <c r="D1726">
        <v>26952</v>
      </c>
    </row>
    <row r="1727" spans="1:4" x14ac:dyDescent="0.25">
      <c r="A1727" s="279">
        <v>39117</v>
      </c>
      <c r="B1727" t="s">
        <v>339</v>
      </c>
      <c r="C1727" t="s">
        <v>88</v>
      </c>
      <c r="D1727">
        <v>28843</v>
      </c>
    </row>
    <row r="1728" spans="1:4" x14ac:dyDescent="0.25">
      <c r="A1728" s="279">
        <v>39117</v>
      </c>
      <c r="B1728" t="s">
        <v>339</v>
      </c>
      <c r="C1728" t="s">
        <v>14</v>
      </c>
      <c r="D1728">
        <v>1037</v>
      </c>
    </row>
    <row r="1729" spans="1:4" x14ac:dyDescent="0.25">
      <c r="A1729" s="279">
        <v>39118</v>
      </c>
      <c r="B1729" t="s">
        <v>338</v>
      </c>
      <c r="C1729" t="s">
        <v>81</v>
      </c>
      <c r="D1729">
        <v>112225</v>
      </c>
    </row>
    <row r="1730" spans="1:4" x14ac:dyDescent="0.25">
      <c r="A1730" s="279">
        <v>39118</v>
      </c>
      <c r="B1730" t="s">
        <v>338</v>
      </c>
      <c r="C1730" t="s">
        <v>82</v>
      </c>
      <c r="D1730">
        <v>80946</v>
      </c>
    </row>
    <row r="1731" spans="1:4" x14ac:dyDescent="0.25">
      <c r="A1731" s="279">
        <v>39118</v>
      </c>
      <c r="B1731" t="s">
        <v>338</v>
      </c>
      <c r="C1731" t="s">
        <v>84</v>
      </c>
      <c r="D1731">
        <v>4200</v>
      </c>
    </row>
    <row r="1732" spans="1:4" x14ac:dyDescent="0.25">
      <c r="A1732" s="279">
        <v>39118</v>
      </c>
      <c r="B1732" t="s">
        <v>338</v>
      </c>
      <c r="C1732" t="s">
        <v>83</v>
      </c>
      <c r="D1732">
        <v>0</v>
      </c>
    </row>
    <row r="1733" spans="1:4" x14ac:dyDescent="0.25">
      <c r="A1733" s="279">
        <v>39118</v>
      </c>
      <c r="B1733" t="s">
        <v>338</v>
      </c>
      <c r="C1733" t="s">
        <v>14</v>
      </c>
      <c r="D1733">
        <v>1042</v>
      </c>
    </row>
    <row r="1734" spans="1:4" x14ac:dyDescent="0.25">
      <c r="A1734" s="279">
        <v>39118</v>
      </c>
      <c r="B1734" t="s">
        <v>339</v>
      </c>
      <c r="C1734" t="s">
        <v>20</v>
      </c>
      <c r="D1734">
        <v>70275</v>
      </c>
    </row>
    <row r="1735" spans="1:4" x14ac:dyDescent="0.25">
      <c r="A1735" s="279">
        <v>39118</v>
      </c>
      <c r="B1735" t="s">
        <v>339</v>
      </c>
      <c r="C1735" t="s">
        <v>85</v>
      </c>
      <c r="D1735">
        <v>79643</v>
      </c>
    </row>
    <row r="1736" spans="1:4" x14ac:dyDescent="0.25">
      <c r="A1736" s="279">
        <v>39118</v>
      </c>
      <c r="B1736" t="s">
        <v>339</v>
      </c>
      <c r="C1736" t="s">
        <v>86</v>
      </c>
      <c r="D1736">
        <v>31841</v>
      </c>
    </row>
    <row r="1737" spans="1:4" x14ac:dyDescent="0.25">
      <c r="A1737" s="279">
        <v>39118</v>
      </c>
      <c r="B1737" t="s">
        <v>339</v>
      </c>
      <c r="C1737" t="s">
        <v>87</v>
      </c>
      <c r="D1737">
        <v>30859</v>
      </c>
    </row>
    <row r="1738" spans="1:4" x14ac:dyDescent="0.25">
      <c r="A1738" s="279">
        <v>39118</v>
      </c>
      <c r="B1738" t="s">
        <v>339</v>
      </c>
      <c r="C1738" t="s">
        <v>88</v>
      </c>
      <c r="D1738">
        <v>30486</v>
      </c>
    </row>
    <row r="1739" spans="1:4" x14ac:dyDescent="0.25">
      <c r="A1739" s="279">
        <v>39118</v>
      </c>
      <c r="B1739" t="s">
        <v>339</v>
      </c>
      <c r="C1739" t="s">
        <v>14</v>
      </c>
      <c r="D1739">
        <v>1034</v>
      </c>
    </row>
    <row r="1740" spans="1:4" x14ac:dyDescent="0.25">
      <c r="A1740" s="279">
        <v>39119</v>
      </c>
      <c r="B1740" t="s">
        <v>338</v>
      </c>
      <c r="C1740" t="s">
        <v>81</v>
      </c>
      <c r="D1740">
        <v>113925</v>
      </c>
    </row>
    <row r="1741" spans="1:4" x14ac:dyDescent="0.25">
      <c r="A1741" s="279">
        <v>39119</v>
      </c>
      <c r="B1741" t="s">
        <v>338</v>
      </c>
      <c r="C1741" t="s">
        <v>82</v>
      </c>
      <c r="D1741">
        <v>78850</v>
      </c>
    </row>
    <row r="1742" spans="1:4" x14ac:dyDescent="0.25">
      <c r="A1742" s="279">
        <v>39119</v>
      </c>
      <c r="B1742" t="s">
        <v>338</v>
      </c>
      <c r="C1742" t="s">
        <v>84</v>
      </c>
      <c r="D1742">
        <v>3800</v>
      </c>
    </row>
    <row r="1743" spans="1:4" x14ac:dyDescent="0.25">
      <c r="A1743" s="279">
        <v>39119</v>
      </c>
      <c r="B1743" t="s">
        <v>338</v>
      </c>
      <c r="C1743" t="s">
        <v>83</v>
      </c>
      <c r="D1743">
        <v>0</v>
      </c>
    </row>
    <row r="1744" spans="1:4" x14ac:dyDescent="0.25">
      <c r="A1744" s="279">
        <v>39119</v>
      </c>
      <c r="B1744" t="s">
        <v>338</v>
      </c>
      <c r="C1744" t="s">
        <v>14</v>
      </c>
      <c r="D1744">
        <v>1042</v>
      </c>
    </row>
    <row r="1745" spans="1:4" x14ac:dyDescent="0.25">
      <c r="A1745" s="279">
        <v>39119</v>
      </c>
      <c r="B1745" t="s">
        <v>339</v>
      </c>
      <c r="C1745" t="s">
        <v>20</v>
      </c>
      <c r="D1745">
        <v>77280</v>
      </c>
    </row>
    <row r="1746" spans="1:4" x14ac:dyDescent="0.25">
      <c r="A1746" s="279">
        <v>39119</v>
      </c>
      <c r="B1746" t="s">
        <v>339</v>
      </c>
      <c r="C1746" t="s">
        <v>85</v>
      </c>
      <c r="D1746">
        <v>72059</v>
      </c>
    </row>
    <row r="1747" spans="1:4" x14ac:dyDescent="0.25">
      <c r="A1747" s="279">
        <v>39119</v>
      </c>
      <c r="B1747" t="s">
        <v>339</v>
      </c>
      <c r="C1747" t="s">
        <v>86</v>
      </c>
      <c r="D1747">
        <v>32632</v>
      </c>
    </row>
    <row r="1748" spans="1:4" x14ac:dyDescent="0.25">
      <c r="A1748" s="279">
        <v>39119</v>
      </c>
      <c r="B1748" t="s">
        <v>339</v>
      </c>
      <c r="C1748" t="s">
        <v>87</v>
      </c>
      <c r="D1748">
        <v>30105</v>
      </c>
    </row>
    <row r="1749" spans="1:4" x14ac:dyDescent="0.25">
      <c r="A1749" s="279">
        <v>39119</v>
      </c>
      <c r="B1749" t="s">
        <v>339</v>
      </c>
      <c r="C1749" t="s">
        <v>88</v>
      </c>
      <c r="D1749">
        <v>30058</v>
      </c>
    </row>
    <row r="1750" spans="1:4" x14ac:dyDescent="0.25">
      <c r="A1750" s="279">
        <v>39119</v>
      </c>
      <c r="B1750" t="s">
        <v>339</v>
      </c>
      <c r="C1750" t="s">
        <v>14</v>
      </c>
      <c r="D1750">
        <v>1034</v>
      </c>
    </row>
    <row r="1751" spans="1:4" x14ac:dyDescent="0.25">
      <c r="A1751" s="279">
        <v>39120</v>
      </c>
      <c r="B1751" t="s">
        <v>338</v>
      </c>
      <c r="C1751" t="s">
        <v>81</v>
      </c>
      <c r="D1751">
        <v>110639</v>
      </c>
    </row>
    <row r="1752" spans="1:4" x14ac:dyDescent="0.25">
      <c r="A1752" s="279">
        <v>39120</v>
      </c>
      <c r="B1752" t="s">
        <v>338</v>
      </c>
      <c r="C1752" t="s">
        <v>82</v>
      </c>
      <c r="D1752">
        <v>83074</v>
      </c>
    </row>
    <row r="1753" spans="1:4" x14ac:dyDescent="0.25">
      <c r="A1753" s="279">
        <v>39120</v>
      </c>
      <c r="B1753" t="s">
        <v>338</v>
      </c>
      <c r="C1753" t="s">
        <v>84</v>
      </c>
      <c r="D1753">
        <v>3720</v>
      </c>
    </row>
    <row r="1754" spans="1:4" x14ac:dyDescent="0.25">
      <c r="A1754" s="279">
        <v>39120</v>
      </c>
      <c r="B1754" t="s">
        <v>338</v>
      </c>
      <c r="C1754" t="s">
        <v>83</v>
      </c>
      <c r="D1754">
        <v>0</v>
      </c>
    </row>
    <row r="1755" spans="1:4" x14ac:dyDescent="0.25">
      <c r="A1755" s="279">
        <v>39120</v>
      </c>
      <c r="B1755" t="s">
        <v>338</v>
      </c>
      <c r="C1755" t="s">
        <v>14</v>
      </c>
      <c r="D1755">
        <v>1041</v>
      </c>
    </row>
    <row r="1756" spans="1:4" x14ac:dyDescent="0.25">
      <c r="A1756" s="279">
        <v>39120</v>
      </c>
      <c r="B1756" t="s">
        <v>339</v>
      </c>
      <c r="C1756" t="s">
        <v>20</v>
      </c>
      <c r="D1756">
        <v>74340</v>
      </c>
    </row>
    <row r="1757" spans="1:4" x14ac:dyDescent="0.25">
      <c r="A1757" s="279">
        <v>39120</v>
      </c>
      <c r="B1757" t="s">
        <v>339</v>
      </c>
      <c r="C1757" t="s">
        <v>85</v>
      </c>
      <c r="D1757">
        <v>76748</v>
      </c>
    </row>
    <row r="1758" spans="1:4" x14ac:dyDescent="0.25">
      <c r="A1758" s="279">
        <v>39120</v>
      </c>
      <c r="B1758" t="s">
        <v>339</v>
      </c>
      <c r="C1758" t="s">
        <v>86</v>
      </c>
      <c r="D1758">
        <v>33093</v>
      </c>
    </row>
    <row r="1759" spans="1:4" x14ac:dyDescent="0.25">
      <c r="A1759" s="279">
        <v>39120</v>
      </c>
      <c r="B1759" t="s">
        <v>339</v>
      </c>
      <c r="C1759" t="s">
        <v>87</v>
      </c>
      <c r="D1759">
        <v>28198</v>
      </c>
    </row>
    <row r="1760" spans="1:4" x14ac:dyDescent="0.25">
      <c r="A1760" s="279">
        <v>39120</v>
      </c>
      <c r="B1760" t="s">
        <v>339</v>
      </c>
      <c r="C1760" t="s">
        <v>88</v>
      </c>
      <c r="D1760">
        <v>28317</v>
      </c>
    </row>
    <row r="1761" spans="1:4" x14ac:dyDescent="0.25">
      <c r="A1761" s="279">
        <v>39120</v>
      </c>
      <c r="B1761" t="s">
        <v>339</v>
      </c>
      <c r="C1761" t="s">
        <v>14</v>
      </c>
      <c r="D1761">
        <v>1040</v>
      </c>
    </row>
    <row r="1762" spans="1:4" x14ac:dyDescent="0.25">
      <c r="A1762" s="279">
        <v>39121</v>
      </c>
      <c r="B1762" t="s">
        <v>338</v>
      </c>
      <c r="C1762" t="s">
        <v>81</v>
      </c>
      <c r="D1762">
        <v>117518</v>
      </c>
    </row>
    <row r="1763" spans="1:4" x14ac:dyDescent="0.25">
      <c r="A1763" s="279">
        <v>39121</v>
      </c>
      <c r="B1763" t="s">
        <v>338</v>
      </c>
      <c r="C1763" t="s">
        <v>82</v>
      </c>
      <c r="D1763">
        <v>93897</v>
      </c>
    </row>
    <row r="1764" spans="1:4" x14ac:dyDescent="0.25">
      <c r="A1764" s="279">
        <v>39121</v>
      </c>
      <c r="B1764" t="s">
        <v>338</v>
      </c>
      <c r="C1764" t="s">
        <v>84</v>
      </c>
      <c r="D1764">
        <v>3780</v>
      </c>
    </row>
    <row r="1765" spans="1:4" x14ac:dyDescent="0.25">
      <c r="A1765" s="279">
        <v>39121</v>
      </c>
      <c r="B1765" t="s">
        <v>338</v>
      </c>
      <c r="C1765" t="s">
        <v>83</v>
      </c>
      <c r="D1765">
        <v>0</v>
      </c>
    </row>
    <row r="1766" spans="1:4" x14ac:dyDescent="0.25">
      <c r="A1766" s="279">
        <v>39121</v>
      </c>
      <c r="B1766" t="s">
        <v>338</v>
      </c>
      <c r="C1766" t="s">
        <v>14</v>
      </c>
      <c r="D1766">
        <v>1041</v>
      </c>
    </row>
    <row r="1767" spans="1:4" x14ac:dyDescent="0.25">
      <c r="A1767" s="279">
        <v>39121</v>
      </c>
      <c r="B1767" t="s">
        <v>339</v>
      </c>
      <c r="C1767" t="s">
        <v>20</v>
      </c>
      <c r="D1767">
        <v>81777</v>
      </c>
    </row>
    <row r="1768" spans="1:4" x14ac:dyDescent="0.25">
      <c r="A1768" s="279">
        <v>39121</v>
      </c>
      <c r="B1768" t="s">
        <v>339</v>
      </c>
      <c r="C1768" t="s">
        <v>85</v>
      </c>
      <c r="D1768">
        <v>71447</v>
      </c>
    </row>
    <row r="1769" spans="1:4" x14ac:dyDescent="0.25">
      <c r="A1769" s="279">
        <v>39121</v>
      </c>
      <c r="B1769" t="s">
        <v>339</v>
      </c>
      <c r="C1769" t="s">
        <v>86</v>
      </c>
      <c r="D1769">
        <v>31567</v>
      </c>
    </row>
    <row r="1770" spans="1:4" x14ac:dyDescent="0.25">
      <c r="A1770" s="279">
        <v>39121</v>
      </c>
      <c r="B1770" t="s">
        <v>339</v>
      </c>
      <c r="C1770" t="s">
        <v>87</v>
      </c>
      <c r="D1770">
        <v>28416</v>
      </c>
    </row>
    <row r="1771" spans="1:4" x14ac:dyDescent="0.25">
      <c r="A1771" s="279">
        <v>39121</v>
      </c>
      <c r="B1771" t="s">
        <v>339</v>
      </c>
      <c r="C1771" t="s">
        <v>88</v>
      </c>
      <c r="D1771">
        <v>29652</v>
      </c>
    </row>
    <row r="1772" spans="1:4" x14ac:dyDescent="0.25">
      <c r="A1772" s="279">
        <v>39121</v>
      </c>
      <c r="B1772" t="s">
        <v>339</v>
      </c>
      <c r="C1772" t="s">
        <v>14</v>
      </c>
      <c r="D1772">
        <v>1036</v>
      </c>
    </row>
    <row r="1773" spans="1:4" x14ac:dyDescent="0.25">
      <c r="A1773" s="279">
        <v>39122</v>
      </c>
      <c r="B1773" t="s">
        <v>338</v>
      </c>
      <c r="C1773" t="s">
        <v>81</v>
      </c>
      <c r="D1773">
        <v>106657</v>
      </c>
    </row>
    <row r="1774" spans="1:4" x14ac:dyDescent="0.25">
      <c r="A1774" s="279">
        <v>39122</v>
      </c>
      <c r="B1774" t="s">
        <v>338</v>
      </c>
      <c r="C1774" t="s">
        <v>82</v>
      </c>
      <c r="D1774">
        <v>105631</v>
      </c>
    </row>
    <row r="1775" spans="1:4" x14ac:dyDescent="0.25">
      <c r="A1775" s="279">
        <v>39122</v>
      </c>
      <c r="B1775" t="s">
        <v>338</v>
      </c>
      <c r="C1775" t="s">
        <v>84</v>
      </c>
      <c r="D1775">
        <v>3360</v>
      </c>
    </row>
    <row r="1776" spans="1:4" x14ac:dyDescent="0.25">
      <c r="A1776" s="279">
        <v>39122</v>
      </c>
      <c r="B1776" t="s">
        <v>338</v>
      </c>
      <c r="C1776" t="s">
        <v>83</v>
      </c>
      <c r="D1776">
        <v>0</v>
      </c>
    </row>
    <row r="1777" spans="1:4" x14ac:dyDescent="0.25">
      <c r="A1777" s="279">
        <v>39122</v>
      </c>
      <c r="B1777" t="s">
        <v>338</v>
      </c>
      <c r="C1777" t="s">
        <v>14</v>
      </c>
      <c r="D1777">
        <v>1041</v>
      </c>
    </row>
    <row r="1778" spans="1:4" x14ac:dyDescent="0.25">
      <c r="A1778" s="279">
        <v>39122</v>
      </c>
      <c r="B1778" t="s">
        <v>339</v>
      </c>
      <c r="C1778" t="s">
        <v>20</v>
      </c>
      <c r="D1778">
        <v>90549</v>
      </c>
    </row>
    <row r="1779" spans="1:4" x14ac:dyDescent="0.25">
      <c r="A1779" s="279">
        <v>39122</v>
      </c>
      <c r="B1779" t="s">
        <v>339</v>
      </c>
      <c r="C1779" t="s">
        <v>85</v>
      </c>
      <c r="D1779">
        <v>62888</v>
      </c>
    </row>
    <row r="1780" spans="1:4" x14ac:dyDescent="0.25">
      <c r="A1780" s="279">
        <v>39122</v>
      </c>
      <c r="B1780" t="s">
        <v>339</v>
      </c>
      <c r="C1780" t="s">
        <v>86</v>
      </c>
      <c r="D1780">
        <v>29988</v>
      </c>
    </row>
    <row r="1781" spans="1:4" x14ac:dyDescent="0.25">
      <c r="A1781" s="279">
        <v>39122</v>
      </c>
      <c r="B1781" t="s">
        <v>339</v>
      </c>
      <c r="C1781" t="s">
        <v>87</v>
      </c>
      <c r="D1781">
        <v>27250</v>
      </c>
    </row>
    <row r="1782" spans="1:4" x14ac:dyDescent="0.25">
      <c r="A1782" s="279">
        <v>39122</v>
      </c>
      <c r="B1782" t="s">
        <v>339</v>
      </c>
      <c r="C1782" t="s">
        <v>88</v>
      </c>
      <c r="D1782">
        <v>29525</v>
      </c>
    </row>
    <row r="1783" spans="1:4" x14ac:dyDescent="0.25">
      <c r="A1783" s="279">
        <v>39122</v>
      </c>
      <c r="B1783" t="s">
        <v>339</v>
      </c>
      <c r="C1783" t="s">
        <v>14</v>
      </c>
      <c r="D1783">
        <v>1038</v>
      </c>
    </row>
    <row r="1784" spans="1:4" x14ac:dyDescent="0.25">
      <c r="A1784" s="279">
        <v>39123</v>
      </c>
      <c r="B1784" t="s">
        <v>338</v>
      </c>
      <c r="C1784" t="s">
        <v>81</v>
      </c>
      <c r="D1784">
        <v>108477</v>
      </c>
    </row>
    <row r="1785" spans="1:4" x14ac:dyDescent="0.25">
      <c r="A1785" s="279">
        <v>39123</v>
      </c>
      <c r="B1785" t="s">
        <v>338</v>
      </c>
      <c r="C1785" t="s">
        <v>82</v>
      </c>
      <c r="D1785">
        <v>105410</v>
      </c>
    </row>
    <row r="1786" spans="1:4" x14ac:dyDescent="0.25">
      <c r="A1786" s="279">
        <v>39123</v>
      </c>
      <c r="B1786" t="s">
        <v>338</v>
      </c>
      <c r="C1786" t="s">
        <v>84</v>
      </c>
      <c r="D1786">
        <v>3260</v>
      </c>
    </row>
    <row r="1787" spans="1:4" x14ac:dyDescent="0.25">
      <c r="A1787" s="279">
        <v>39123</v>
      </c>
      <c r="B1787" t="s">
        <v>338</v>
      </c>
      <c r="C1787" t="s">
        <v>83</v>
      </c>
      <c r="D1787">
        <v>0</v>
      </c>
    </row>
    <row r="1788" spans="1:4" x14ac:dyDescent="0.25">
      <c r="A1788" s="279">
        <v>39123</v>
      </c>
      <c r="B1788" t="s">
        <v>338</v>
      </c>
      <c r="C1788" t="s">
        <v>14</v>
      </c>
      <c r="D1788">
        <v>1041</v>
      </c>
    </row>
    <row r="1789" spans="1:4" x14ac:dyDescent="0.25">
      <c r="A1789" s="279">
        <v>39123</v>
      </c>
      <c r="B1789" t="s">
        <v>339</v>
      </c>
      <c r="C1789" t="s">
        <v>20</v>
      </c>
      <c r="D1789">
        <v>97722</v>
      </c>
    </row>
    <row r="1790" spans="1:4" x14ac:dyDescent="0.25">
      <c r="A1790" s="279">
        <v>39123</v>
      </c>
      <c r="B1790" t="s">
        <v>339</v>
      </c>
      <c r="C1790" t="s">
        <v>85</v>
      </c>
      <c r="D1790">
        <v>57147</v>
      </c>
    </row>
    <row r="1791" spans="1:4" x14ac:dyDescent="0.25">
      <c r="A1791" s="279">
        <v>39123</v>
      </c>
      <c r="B1791" t="s">
        <v>339</v>
      </c>
      <c r="C1791" t="s">
        <v>86</v>
      </c>
      <c r="D1791">
        <v>31977</v>
      </c>
    </row>
    <row r="1792" spans="1:4" x14ac:dyDescent="0.25">
      <c r="A1792" s="279">
        <v>39123</v>
      </c>
      <c r="B1792" t="s">
        <v>339</v>
      </c>
      <c r="C1792" t="s">
        <v>87</v>
      </c>
      <c r="D1792">
        <v>25441</v>
      </c>
    </row>
    <row r="1793" spans="1:4" x14ac:dyDescent="0.25">
      <c r="A1793" s="279">
        <v>39123</v>
      </c>
      <c r="B1793" t="s">
        <v>339</v>
      </c>
      <c r="C1793" t="s">
        <v>88</v>
      </c>
      <c r="D1793">
        <v>30680</v>
      </c>
    </row>
    <row r="1794" spans="1:4" x14ac:dyDescent="0.25">
      <c r="A1794" s="279">
        <v>39123</v>
      </c>
      <c r="B1794" t="s">
        <v>339</v>
      </c>
      <c r="C1794" t="s">
        <v>14</v>
      </c>
      <c r="D1794">
        <v>1038</v>
      </c>
    </row>
    <row r="1795" spans="1:4" x14ac:dyDescent="0.25">
      <c r="A1795" s="279">
        <v>39124</v>
      </c>
      <c r="B1795" t="s">
        <v>338</v>
      </c>
      <c r="C1795" t="s">
        <v>81</v>
      </c>
      <c r="D1795">
        <v>99004</v>
      </c>
    </row>
    <row r="1796" spans="1:4" x14ac:dyDescent="0.25">
      <c r="A1796" s="279">
        <v>39124</v>
      </c>
      <c r="B1796" t="s">
        <v>338</v>
      </c>
      <c r="C1796" t="s">
        <v>82</v>
      </c>
      <c r="D1796">
        <v>94429</v>
      </c>
    </row>
    <row r="1797" spans="1:4" x14ac:dyDescent="0.25">
      <c r="A1797" s="279">
        <v>39124</v>
      </c>
      <c r="B1797" t="s">
        <v>338</v>
      </c>
      <c r="C1797" t="s">
        <v>84</v>
      </c>
      <c r="D1797">
        <v>2960</v>
      </c>
    </row>
    <row r="1798" spans="1:4" x14ac:dyDescent="0.25">
      <c r="A1798" s="279">
        <v>39124</v>
      </c>
      <c r="B1798" t="s">
        <v>338</v>
      </c>
      <c r="C1798" t="s">
        <v>83</v>
      </c>
      <c r="D1798">
        <v>0</v>
      </c>
    </row>
    <row r="1799" spans="1:4" x14ac:dyDescent="0.25">
      <c r="A1799" s="279">
        <v>39124</v>
      </c>
      <c r="B1799" t="s">
        <v>338</v>
      </c>
      <c r="C1799" t="s">
        <v>14</v>
      </c>
      <c r="D1799">
        <v>1041</v>
      </c>
    </row>
    <row r="1800" spans="1:4" x14ac:dyDescent="0.25">
      <c r="A1800" s="279">
        <v>39124</v>
      </c>
      <c r="B1800" t="s">
        <v>339</v>
      </c>
      <c r="C1800" t="s">
        <v>20</v>
      </c>
      <c r="D1800">
        <v>91556</v>
      </c>
    </row>
    <row r="1801" spans="1:4" x14ac:dyDescent="0.25">
      <c r="A1801" s="279">
        <v>39124</v>
      </c>
      <c r="B1801" t="s">
        <v>339</v>
      </c>
      <c r="C1801" t="s">
        <v>85</v>
      </c>
      <c r="D1801">
        <v>60636</v>
      </c>
    </row>
    <row r="1802" spans="1:4" x14ac:dyDescent="0.25">
      <c r="A1802" s="279">
        <v>39124</v>
      </c>
      <c r="B1802" t="s">
        <v>339</v>
      </c>
      <c r="C1802" t="s">
        <v>86</v>
      </c>
      <c r="D1802">
        <v>26875</v>
      </c>
    </row>
    <row r="1803" spans="1:4" x14ac:dyDescent="0.25">
      <c r="A1803" s="279">
        <v>39124</v>
      </c>
      <c r="B1803" t="s">
        <v>339</v>
      </c>
      <c r="C1803" t="s">
        <v>87</v>
      </c>
      <c r="D1803">
        <v>26218</v>
      </c>
    </row>
    <row r="1804" spans="1:4" x14ac:dyDescent="0.25">
      <c r="A1804" s="279">
        <v>39124</v>
      </c>
      <c r="B1804" t="s">
        <v>339</v>
      </c>
      <c r="C1804" t="s">
        <v>88</v>
      </c>
      <c r="D1804">
        <v>27192</v>
      </c>
    </row>
    <row r="1805" spans="1:4" x14ac:dyDescent="0.25">
      <c r="A1805" s="279">
        <v>39124</v>
      </c>
      <c r="B1805" t="s">
        <v>339</v>
      </c>
      <c r="C1805" t="s">
        <v>14</v>
      </c>
      <c r="D1805">
        <v>1036</v>
      </c>
    </row>
    <row r="1806" spans="1:4" x14ac:dyDescent="0.25">
      <c r="A1806" s="279">
        <v>39125</v>
      </c>
      <c r="B1806" t="s">
        <v>338</v>
      </c>
      <c r="C1806" t="s">
        <v>81</v>
      </c>
      <c r="D1806">
        <v>87594</v>
      </c>
    </row>
    <row r="1807" spans="1:4" x14ac:dyDescent="0.25">
      <c r="A1807" s="279">
        <v>39125</v>
      </c>
      <c r="B1807" t="s">
        <v>338</v>
      </c>
      <c r="C1807" t="s">
        <v>82</v>
      </c>
      <c r="D1807">
        <v>80132</v>
      </c>
    </row>
    <row r="1808" spans="1:4" x14ac:dyDescent="0.25">
      <c r="A1808" s="279">
        <v>39125</v>
      </c>
      <c r="B1808" t="s">
        <v>338</v>
      </c>
      <c r="C1808" t="s">
        <v>84</v>
      </c>
      <c r="D1808">
        <v>2570</v>
      </c>
    </row>
    <row r="1809" spans="1:4" x14ac:dyDescent="0.25">
      <c r="A1809" s="279">
        <v>39125</v>
      </c>
      <c r="B1809" t="s">
        <v>338</v>
      </c>
      <c r="C1809" t="s">
        <v>83</v>
      </c>
      <c r="D1809">
        <v>0</v>
      </c>
    </row>
    <row r="1810" spans="1:4" x14ac:dyDescent="0.25">
      <c r="A1810" s="279">
        <v>39125</v>
      </c>
      <c r="B1810" t="s">
        <v>338</v>
      </c>
      <c r="C1810" t="s">
        <v>14</v>
      </c>
      <c r="D1810">
        <v>1041</v>
      </c>
    </row>
    <row r="1811" spans="1:4" x14ac:dyDescent="0.25">
      <c r="A1811" s="279">
        <v>39125</v>
      </c>
      <c r="B1811" t="s">
        <v>339</v>
      </c>
      <c r="C1811" t="s">
        <v>20</v>
      </c>
      <c r="D1811">
        <v>69626</v>
      </c>
    </row>
    <row r="1812" spans="1:4" x14ac:dyDescent="0.25">
      <c r="A1812" s="279">
        <v>39125</v>
      </c>
      <c r="B1812" t="s">
        <v>339</v>
      </c>
      <c r="C1812" t="s">
        <v>85</v>
      </c>
      <c r="D1812">
        <v>55231</v>
      </c>
    </row>
    <row r="1813" spans="1:4" x14ac:dyDescent="0.25">
      <c r="A1813" s="279">
        <v>39125</v>
      </c>
      <c r="B1813" t="s">
        <v>339</v>
      </c>
      <c r="C1813" t="s">
        <v>86</v>
      </c>
      <c r="D1813">
        <v>24271</v>
      </c>
    </row>
    <row r="1814" spans="1:4" x14ac:dyDescent="0.25">
      <c r="A1814" s="279">
        <v>39125</v>
      </c>
      <c r="B1814" t="s">
        <v>339</v>
      </c>
      <c r="C1814" t="s">
        <v>87</v>
      </c>
      <c r="D1814">
        <v>17429</v>
      </c>
    </row>
    <row r="1815" spans="1:4" x14ac:dyDescent="0.25">
      <c r="A1815" s="279">
        <v>39125</v>
      </c>
      <c r="B1815" t="s">
        <v>339</v>
      </c>
      <c r="C1815" t="s">
        <v>88</v>
      </c>
      <c r="D1815">
        <v>23071</v>
      </c>
    </row>
    <row r="1816" spans="1:4" x14ac:dyDescent="0.25">
      <c r="A1816" s="279">
        <v>39125</v>
      </c>
      <c r="B1816" t="s">
        <v>339</v>
      </c>
      <c r="C1816" t="s">
        <v>14</v>
      </c>
      <c r="D1816">
        <v>1034</v>
      </c>
    </row>
    <row r="1817" spans="1:4" x14ac:dyDescent="0.25">
      <c r="A1817" s="279">
        <v>39126</v>
      </c>
      <c r="B1817" t="s">
        <v>338</v>
      </c>
      <c r="C1817" t="s">
        <v>81</v>
      </c>
      <c r="D1817">
        <v>106480</v>
      </c>
    </row>
    <row r="1818" spans="1:4" x14ac:dyDescent="0.25">
      <c r="A1818" s="279">
        <v>39126</v>
      </c>
      <c r="B1818" t="s">
        <v>338</v>
      </c>
      <c r="C1818" t="s">
        <v>82</v>
      </c>
      <c r="D1818">
        <v>98503</v>
      </c>
    </row>
    <row r="1819" spans="1:4" x14ac:dyDescent="0.25">
      <c r="A1819" s="279">
        <v>39126</v>
      </c>
      <c r="B1819" t="s">
        <v>338</v>
      </c>
      <c r="C1819" t="s">
        <v>84</v>
      </c>
      <c r="D1819">
        <v>3530</v>
      </c>
    </row>
    <row r="1820" spans="1:4" x14ac:dyDescent="0.25">
      <c r="A1820" s="279">
        <v>39126</v>
      </c>
      <c r="B1820" t="s">
        <v>338</v>
      </c>
      <c r="C1820" t="s">
        <v>83</v>
      </c>
      <c r="D1820">
        <v>0</v>
      </c>
    </row>
    <row r="1821" spans="1:4" x14ac:dyDescent="0.25">
      <c r="A1821" s="279">
        <v>39126</v>
      </c>
      <c r="B1821" t="s">
        <v>338</v>
      </c>
      <c r="C1821" t="s">
        <v>14</v>
      </c>
      <c r="D1821">
        <v>1041</v>
      </c>
    </row>
    <row r="1822" spans="1:4" x14ac:dyDescent="0.25">
      <c r="A1822" s="279">
        <v>39126</v>
      </c>
      <c r="B1822" t="s">
        <v>339</v>
      </c>
      <c r="C1822" t="s">
        <v>20</v>
      </c>
      <c r="D1822">
        <v>100744</v>
      </c>
    </row>
    <row r="1823" spans="1:4" x14ac:dyDescent="0.25">
      <c r="A1823" s="279">
        <v>39126</v>
      </c>
      <c r="B1823" t="s">
        <v>339</v>
      </c>
      <c r="C1823" t="s">
        <v>85</v>
      </c>
      <c r="D1823">
        <v>58388</v>
      </c>
    </row>
    <row r="1824" spans="1:4" x14ac:dyDescent="0.25">
      <c r="A1824" s="279">
        <v>39126</v>
      </c>
      <c r="B1824" t="s">
        <v>339</v>
      </c>
      <c r="C1824" t="s">
        <v>86</v>
      </c>
      <c r="D1824">
        <v>33239</v>
      </c>
    </row>
    <row r="1825" spans="1:4" x14ac:dyDescent="0.25">
      <c r="A1825" s="279">
        <v>39126</v>
      </c>
      <c r="B1825" t="s">
        <v>339</v>
      </c>
      <c r="C1825" t="s">
        <v>87</v>
      </c>
      <c r="D1825">
        <v>28018</v>
      </c>
    </row>
    <row r="1826" spans="1:4" x14ac:dyDescent="0.25">
      <c r="A1826" s="279">
        <v>39126</v>
      </c>
      <c r="B1826" t="s">
        <v>339</v>
      </c>
      <c r="C1826" t="s">
        <v>88</v>
      </c>
      <c r="D1826">
        <v>27741</v>
      </c>
    </row>
    <row r="1827" spans="1:4" x14ac:dyDescent="0.25">
      <c r="A1827" s="279">
        <v>39126</v>
      </c>
      <c r="B1827" t="s">
        <v>339</v>
      </c>
      <c r="C1827" t="s">
        <v>14</v>
      </c>
      <c r="D1827">
        <v>1032</v>
      </c>
    </row>
    <row r="1828" spans="1:4" x14ac:dyDescent="0.25">
      <c r="A1828" s="279">
        <v>39127</v>
      </c>
      <c r="B1828" t="s">
        <v>338</v>
      </c>
      <c r="C1828" t="s">
        <v>81</v>
      </c>
      <c r="D1828">
        <v>118631</v>
      </c>
    </row>
    <row r="1829" spans="1:4" x14ac:dyDescent="0.25">
      <c r="A1829" s="279">
        <v>39127</v>
      </c>
      <c r="B1829" t="s">
        <v>338</v>
      </c>
      <c r="C1829" t="s">
        <v>82</v>
      </c>
      <c r="D1829">
        <v>89515</v>
      </c>
    </row>
    <row r="1830" spans="1:4" x14ac:dyDescent="0.25">
      <c r="A1830" s="279">
        <v>39127</v>
      </c>
      <c r="B1830" t="s">
        <v>338</v>
      </c>
      <c r="C1830" t="s">
        <v>84</v>
      </c>
      <c r="D1830">
        <v>3930</v>
      </c>
    </row>
    <row r="1831" spans="1:4" x14ac:dyDescent="0.25">
      <c r="A1831" s="279">
        <v>39127</v>
      </c>
      <c r="B1831" t="s">
        <v>338</v>
      </c>
      <c r="C1831" t="s">
        <v>83</v>
      </c>
      <c r="D1831">
        <v>0</v>
      </c>
    </row>
    <row r="1832" spans="1:4" x14ac:dyDescent="0.25">
      <c r="A1832" s="279">
        <v>39127</v>
      </c>
      <c r="B1832" t="s">
        <v>338</v>
      </c>
      <c r="C1832" t="s">
        <v>14</v>
      </c>
      <c r="D1832">
        <v>1040</v>
      </c>
    </row>
    <row r="1833" spans="1:4" x14ac:dyDescent="0.25">
      <c r="A1833" s="279">
        <v>39127</v>
      </c>
      <c r="B1833" t="s">
        <v>339</v>
      </c>
      <c r="C1833" t="s">
        <v>20</v>
      </c>
      <c r="D1833">
        <v>90504</v>
      </c>
    </row>
    <row r="1834" spans="1:4" x14ac:dyDescent="0.25">
      <c r="A1834" s="279">
        <v>39127</v>
      </c>
      <c r="B1834" t="s">
        <v>339</v>
      </c>
      <c r="C1834" t="s">
        <v>85</v>
      </c>
      <c r="D1834">
        <v>63601</v>
      </c>
    </row>
    <row r="1835" spans="1:4" x14ac:dyDescent="0.25">
      <c r="A1835" s="279">
        <v>39127</v>
      </c>
      <c r="B1835" t="s">
        <v>339</v>
      </c>
      <c r="C1835" t="s">
        <v>86</v>
      </c>
      <c r="D1835">
        <v>34930</v>
      </c>
    </row>
    <row r="1836" spans="1:4" x14ac:dyDescent="0.25">
      <c r="A1836" s="279">
        <v>39127</v>
      </c>
      <c r="B1836" t="s">
        <v>339</v>
      </c>
      <c r="C1836" t="s">
        <v>87</v>
      </c>
      <c r="D1836">
        <v>31283</v>
      </c>
    </row>
    <row r="1837" spans="1:4" x14ac:dyDescent="0.25">
      <c r="A1837" s="279">
        <v>39127</v>
      </c>
      <c r="B1837" t="s">
        <v>339</v>
      </c>
      <c r="C1837" t="s">
        <v>88</v>
      </c>
      <c r="D1837">
        <v>28205</v>
      </c>
    </row>
    <row r="1838" spans="1:4" x14ac:dyDescent="0.25">
      <c r="A1838" s="279">
        <v>39127</v>
      </c>
      <c r="B1838" t="s">
        <v>339</v>
      </c>
      <c r="C1838" t="s">
        <v>14</v>
      </c>
      <c r="D1838">
        <v>1032</v>
      </c>
    </row>
    <row r="1839" spans="1:4" x14ac:dyDescent="0.25">
      <c r="A1839" s="279">
        <v>39128</v>
      </c>
      <c r="B1839" t="s">
        <v>338</v>
      </c>
      <c r="C1839" t="s">
        <v>81</v>
      </c>
      <c r="D1839">
        <v>119654</v>
      </c>
    </row>
    <row r="1840" spans="1:4" x14ac:dyDescent="0.25">
      <c r="A1840" s="279">
        <v>39128</v>
      </c>
      <c r="B1840" t="s">
        <v>338</v>
      </c>
      <c r="C1840" t="s">
        <v>82</v>
      </c>
      <c r="D1840">
        <v>92840</v>
      </c>
    </row>
    <row r="1841" spans="1:4" x14ac:dyDescent="0.25">
      <c r="A1841" s="279">
        <v>39128</v>
      </c>
      <c r="B1841" t="s">
        <v>338</v>
      </c>
      <c r="C1841" t="s">
        <v>84</v>
      </c>
      <c r="D1841">
        <v>3970</v>
      </c>
    </row>
    <row r="1842" spans="1:4" x14ac:dyDescent="0.25">
      <c r="A1842" s="279">
        <v>39128</v>
      </c>
      <c r="B1842" t="s">
        <v>338</v>
      </c>
      <c r="C1842" t="s">
        <v>83</v>
      </c>
      <c r="D1842">
        <v>0</v>
      </c>
    </row>
    <row r="1843" spans="1:4" x14ac:dyDescent="0.25">
      <c r="A1843" s="279">
        <v>39128</v>
      </c>
      <c r="B1843" t="s">
        <v>338</v>
      </c>
      <c r="C1843" t="s">
        <v>14</v>
      </c>
      <c r="D1843">
        <v>1040</v>
      </c>
    </row>
    <row r="1844" spans="1:4" x14ac:dyDescent="0.25">
      <c r="A1844" s="279">
        <v>39128</v>
      </c>
      <c r="B1844" t="s">
        <v>339</v>
      </c>
      <c r="C1844" t="s">
        <v>20</v>
      </c>
      <c r="D1844">
        <v>89001</v>
      </c>
    </row>
    <row r="1845" spans="1:4" x14ac:dyDescent="0.25">
      <c r="A1845" s="279">
        <v>39128</v>
      </c>
      <c r="B1845" t="s">
        <v>339</v>
      </c>
      <c r="C1845" t="s">
        <v>85</v>
      </c>
      <c r="D1845">
        <v>70181</v>
      </c>
    </row>
    <row r="1846" spans="1:4" x14ac:dyDescent="0.25">
      <c r="A1846" s="279">
        <v>39128</v>
      </c>
      <c r="B1846" t="s">
        <v>339</v>
      </c>
      <c r="C1846" t="s">
        <v>86</v>
      </c>
      <c r="D1846">
        <v>31046</v>
      </c>
    </row>
    <row r="1847" spans="1:4" x14ac:dyDescent="0.25">
      <c r="A1847" s="279">
        <v>39128</v>
      </c>
      <c r="B1847" t="s">
        <v>339</v>
      </c>
      <c r="C1847" t="s">
        <v>87</v>
      </c>
      <c r="D1847">
        <v>30734</v>
      </c>
    </row>
    <row r="1848" spans="1:4" x14ac:dyDescent="0.25">
      <c r="A1848" s="279">
        <v>39128</v>
      </c>
      <c r="B1848" t="s">
        <v>339</v>
      </c>
      <c r="C1848" t="s">
        <v>88</v>
      </c>
      <c r="D1848">
        <v>30216</v>
      </c>
    </row>
    <row r="1849" spans="1:4" x14ac:dyDescent="0.25">
      <c r="A1849" s="279">
        <v>39128</v>
      </c>
      <c r="B1849" t="s">
        <v>339</v>
      </c>
      <c r="C1849" t="s">
        <v>14</v>
      </c>
      <c r="D1849">
        <v>1034</v>
      </c>
    </row>
    <row r="1850" spans="1:4" x14ac:dyDescent="0.25">
      <c r="A1850" s="279">
        <v>39129</v>
      </c>
      <c r="B1850" t="s">
        <v>338</v>
      </c>
      <c r="C1850" t="s">
        <v>81</v>
      </c>
      <c r="D1850">
        <v>114438</v>
      </c>
    </row>
    <row r="1851" spans="1:4" x14ac:dyDescent="0.25">
      <c r="A1851" s="279">
        <v>39129</v>
      </c>
      <c r="B1851" t="s">
        <v>338</v>
      </c>
      <c r="C1851" t="s">
        <v>82</v>
      </c>
      <c r="D1851">
        <v>97401</v>
      </c>
    </row>
    <row r="1852" spans="1:4" x14ac:dyDescent="0.25">
      <c r="A1852" s="279">
        <v>39129</v>
      </c>
      <c r="B1852" t="s">
        <v>338</v>
      </c>
      <c r="C1852" t="s">
        <v>84</v>
      </c>
      <c r="D1852">
        <v>3680</v>
      </c>
    </row>
    <row r="1853" spans="1:4" x14ac:dyDescent="0.25">
      <c r="A1853" s="279">
        <v>39129</v>
      </c>
      <c r="B1853" t="s">
        <v>338</v>
      </c>
      <c r="C1853" t="s">
        <v>83</v>
      </c>
      <c r="D1853">
        <v>0</v>
      </c>
    </row>
    <row r="1854" spans="1:4" x14ac:dyDescent="0.25">
      <c r="A1854" s="279">
        <v>39129</v>
      </c>
      <c r="B1854" t="s">
        <v>338</v>
      </c>
      <c r="C1854" t="s">
        <v>14</v>
      </c>
      <c r="D1854">
        <v>1040</v>
      </c>
    </row>
    <row r="1855" spans="1:4" x14ac:dyDescent="0.25">
      <c r="A1855" s="279">
        <v>39129</v>
      </c>
      <c r="B1855" t="s">
        <v>339</v>
      </c>
      <c r="C1855" t="s">
        <v>20</v>
      </c>
      <c r="D1855">
        <v>94226</v>
      </c>
    </row>
    <row r="1856" spans="1:4" x14ac:dyDescent="0.25">
      <c r="A1856" s="279">
        <v>39129</v>
      </c>
      <c r="B1856" t="s">
        <v>339</v>
      </c>
      <c r="C1856" t="s">
        <v>85</v>
      </c>
      <c r="D1856">
        <v>64500</v>
      </c>
    </row>
    <row r="1857" spans="1:4" x14ac:dyDescent="0.25">
      <c r="A1857" s="279">
        <v>39129</v>
      </c>
      <c r="B1857" t="s">
        <v>339</v>
      </c>
      <c r="C1857" t="s">
        <v>86</v>
      </c>
      <c r="D1857">
        <v>32777</v>
      </c>
    </row>
    <row r="1858" spans="1:4" x14ac:dyDescent="0.25">
      <c r="A1858" s="279">
        <v>39129</v>
      </c>
      <c r="B1858" t="s">
        <v>339</v>
      </c>
      <c r="C1858" t="s">
        <v>87</v>
      </c>
      <c r="D1858">
        <v>25377</v>
      </c>
    </row>
    <row r="1859" spans="1:4" x14ac:dyDescent="0.25">
      <c r="A1859" s="279">
        <v>39129</v>
      </c>
      <c r="B1859" t="s">
        <v>339</v>
      </c>
      <c r="C1859" t="s">
        <v>88</v>
      </c>
      <c r="D1859">
        <v>29456</v>
      </c>
    </row>
    <row r="1860" spans="1:4" x14ac:dyDescent="0.25">
      <c r="A1860" s="279">
        <v>39129</v>
      </c>
      <c r="B1860" t="s">
        <v>339</v>
      </c>
      <c r="C1860" t="s">
        <v>14</v>
      </c>
      <c r="D1860">
        <v>1034</v>
      </c>
    </row>
    <row r="1861" spans="1:4" x14ac:dyDescent="0.25">
      <c r="A1861" s="279">
        <v>39130</v>
      </c>
      <c r="B1861" t="s">
        <v>338</v>
      </c>
      <c r="C1861" t="s">
        <v>81</v>
      </c>
      <c r="D1861">
        <v>101538</v>
      </c>
    </row>
    <row r="1862" spans="1:4" x14ac:dyDescent="0.25">
      <c r="A1862" s="279">
        <v>39130</v>
      </c>
      <c r="B1862" t="s">
        <v>338</v>
      </c>
      <c r="C1862" t="s">
        <v>82</v>
      </c>
      <c r="D1862">
        <v>78194</v>
      </c>
    </row>
    <row r="1863" spans="1:4" x14ac:dyDescent="0.25">
      <c r="A1863" s="279">
        <v>39130</v>
      </c>
      <c r="B1863" t="s">
        <v>338</v>
      </c>
      <c r="C1863" t="s">
        <v>84</v>
      </c>
      <c r="D1863">
        <v>2910</v>
      </c>
    </row>
    <row r="1864" spans="1:4" x14ac:dyDescent="0.25">
      <c r="A1864" s="279">
        <v>39130</v>
      </c>
      <c r="B1864" t="s">
        <v>338</v>
      </c>
      <c r="C1864" t="s">
        <v>83</v>
      </c>
      <c r="D1864">
        <v>0</v>
      </c>
    </row>
    <row r="1865" spans="1:4" x14ac:dyDescent="0.25">
      <c r="A1865" s="279">
        <v>39130</v>
      </c>
      <c r="B1865" t="s">
        <v>338</v>
      </c>
      <c r="C1865" t="s">
        <v>14</v>
      </c>
      <c r="D1865">
        <v>1040</v>
      </c>
    </row>
    <row r="1866" spans="1:4" x14ac:dyDescent="0.25">
      <c r="A1866" s="279">
        <v>39130</v>
      </c>
      <c r="B1866" t="s">
        <v>339</v>
      </c>
      <c r="C1866" t="s">
        <v>20</v>
      </c>
      <c r="D1866">
        <v>81181</v>
      </c>
    </row>
    <row r="1867" spans="1:4" x14ac:dyDescent="0.25">
      <c r="A1867" s="279">
        <v>39130</v>
      </c>
      <c r="B1867" t="s">
        <v>339</v>
      </c>
      <c r="C1867" t="s">
        <v>85</v>
      </c>
      <c r="D1867">
        <v>55795</v>
      </c>
    </row>
    <row r="1868" spans="1:4" x14ac:dyDescent="0.25">
      <c r="A1868" s="279">
        <v>39130</v>
      </c>
      <c r="B1868" t="s">
        <v>339</v>
      </c>
      <c r="C1868" t="s">
        <v>86</v>
      </c>
      <c r="D1868">
        <v>24574</v>
      </c>
    </row>
    <row r="1869" spans="1:4" x14ac:dyDescent="0.25">
      <c r="A1869" s="279">
        <v>39130</v>
      </c>
      <c r="B1869" t="s">
        <v>339</v>
      </c>
      <c r="C1869" t="s">
        <v>87</v>
      </c>
      <c r="D1869">
        <v>23802</v>
      </c>
    </row>
    <row r="1870" spans="1:4" x14ac:dyDescent="0.25">
      <c r="A1870" s="279">
        <v>39130</v>
      </c>
      <c r="B1870" t="s">
        <v>339</v>
      </c>
      <c r="C1870" t="s">
        <v>88</v>
      </c>
      <c r="D1870">
        <v>27115</v>
      </c>
    </row>
    <row r="1871" spans="1:4" x14ac:dyDescent="0.25">
      <c r="A1871" s="279">
        <v>39130</v>
      </c>
      <c r="B1871" t="s">
        <v>339</v>
      </c>
      <c r="C1871" t="s">
        <v>14</v>
      </c>
      <c r="D1871">
        <v>1040</v>
      </c>
    </row>
    <row r="1872" spans="1:4" x14ac:dyDescent="0.25">
      <c r="A1872" s="279">
        <v>39131</v>
      </c>
      <c r="B1872" t="s">
        <v>338</v>
      </c>
      <c r="C1872" t="s">
        <v>81</v>
      </c>
      <c r="D1872">
        <v>112688</v>
      </c>
    </row>
    <row r="1873" spans="1:4" x14ac:dyDescent="0.25">
      <c r="A1873" s="279">
        <v>39131</v>
      </c>
      <c r="B1873" t="s">
        <v>338</v>
      </c>
      <c r="C1873" t="s">
        <v>82</v>
      </c>
      <c r="D1873">
        <v>96236</v>
      </c>
    </row>
    <row r="1874" spans="1:4" x14ac:dyDescent="0.25">
      <c r="A1874" s="279">
        <v>39131</v>
      </c>
      <c r="B1874" t="s">
        <v>338</v>
      </c>
      <c r="C1874" t="s">
        <v>84</v>
      </c>
      <c r="D1874">
        <v>3411</v>
      </c>
    </row>
    <row r="1875" spans="1:4" x14ac:dyDescent="0.25">
      <c r="A1875" s="279">
        <v>39131</v>
      </c>
      <c r="B1875" t="s">
        <v>338</v>
      </c>
      <c r="C1875" t="s">
        <v>83</v>
      </c>
      <c r="D1875">
        <v>0</v>
      </c>
    </row>
    <row r="1876" spans="1:4" x14ac:dyDescent="0.25">
      <c r="A1876" s="279">
        <v>39131</v>
      </c>
      <c r="B1876" t="s">
        <v>338</v>
      </c>
      <c r="C1876" t="s">
        <v>14</v>
      </c>
      <c r="D1876">
        <v>1040</v>
      </c>
    </row>
    <row r="1877" spans="1:4" x14ac:dyDescent="0.25">
      <c r="A1877" s="279">
        <v>39131</v>
      </c>
      <c r="B1877" t="s">
        <v>339</v>
      </c>
      <c r="C1877" t="s">
        <v>20</v>
      </c>
      <c r="D1877">
        <v>95985</v>
      </c>
    </row>
    <row r="1878" spans="1:4" x14ac:dyDescent="0.25">
      <c r="A1878" s="279">
        <v>39131</v>
      </c>
      <c r="B1878" t="s">
        <v>339</v>
      </c>
      <c r="C1878" t="s">
        <v>85</v>
      </c>
      <c r="D1878">
        <v>62973</v>
      </c>
    </row>
    <row r="1879" spans="1:4" x14ac:dyDescent="0.25">
      <c r="A1879" s="279">
        <v>39131</v>
      </c>
      <c r="B1879" t="s">
        <v>339</v>
      </c>
      <c r="C1879" t="s">
        <v>86</v>
      </c>
      <c r="D1879">
        <v>29230</v>
      </c>
    </row>
    <row r="1880" spans="1:4" x14ac:dyDescent="0.25">
      <c r="A1880" s="279">
        <v>39131</v>
      </c>
      <c r="B1880" t="s">
        <v>339</v>
      </c>
      <c r="C1880" t="s">
        <v>87</v>
      </c>
      <c r="D1880">
        <v>25685</v>
      </c>
    </row>
    <row r="1881" spans="1:4" x14ac:dyDescent="0.25">
      <c r="A1881" s="279">
        <v>39131</v>
      </c>
      <c r="B1881" t="s">
        <v>339</v>
      </c>
      <c r="C1881" t="s">
        <v>88</v>
      </c>
      <c r="D1881">
        <v>30595</v>
      </c>
    </row>
    <row r="1882" spans="1:4" x14ac:dyDescent="0.25">
      <c r="A1882" s="279">
        <v>39131</v>
      </c>
      <c r="B1882" t="s">
        <v>339</v>
      </c>
      <c r="C1882" t="s">
        <v>14</v>
      </c>
      <c r="D1882">
        <v>1038</v>
      </c>
    </row>
    <row r="1883" spans="1:4" x14ac:dyDescent="0.25">
      <c r="A1883" s="279">
        <v>39132</v>
      </c>
      <c r="B1883" t="s">
        <v>338</v>
      </c>
      <c r="C1883" t="s">
        <v>81</v>
      </c>
      <c r="D1883">
        <v>104665</v>
      </c>
    </row>
    <row r="1884" spans="1:4" x14ac:dyDescent="0.25">
      <c r="A1884" s="279">
        <v>39132</v>
      </c>
      <c r="B1884" t="s">
        <v>338</v>
      </c>
      <c r="C1884" t="s">
        <v>82</v>
      </c>
      <c r="D1884">
        <v>88773</v>
      </c>
    </row>
    <row r="1885" spans="1:4" x14ac:dyDescent="0.25">
      <c r="A1885" s="279">
        <v>39132</v>
      </c>
      <c r="B1885" t="s">
        <v>338</v>
      </c>
      <c r="C1885" t="s">
        <v>84</v>
      </c>
      <c r="D1885">
        <v>3129</v>
      </c>
    </row>
    <row r="1886" spans="1:4" x14ac:dyDescent="0.25">
      <c r="A1886" s="279">
        <v>39132</v>
      </c>
      <c r="B1886" t="s">
        <v>338</v>
      </c>
      <c r="C1886" t="s">
        <v>83</v>
      </c>
      <c r="D1886">
        <v>0</v>
      </c>
    </row>
    <row r="1887" spans="1:4" x14ac:dyDescent="0.25">
      <c r="A1887" s="279">
        <v>39132</v>
      </c>
      <c r="B1887" t="s">
        <v>338</v>
      </c>
      <c r="C1887" t="s">
        <v>14</v>
      </c>
      <c r="D1887">
        <v>1039</v>
      </c>
    </row>
    <row r="1888" spans="1:4" x14ac:dyDescent="0.25">
      <c r="A1888" s="279">
        <v>39132</v>
      </c>
      <c r="B1888" t="s">
        <v>339</v>
      </c>
      <c r="C1888" t="s">
        <v>20</v>
      </c>
      <c r="D1888">
        <v>95337</v>
      </c>
    </row>
    <row r="1889" spans="1:4" x14ac:dyDescent="0.25">
      <c r="A1889" s="279">
        <v>39132</v>
      </c>
      <c r="B1889" t="s">
        <v>339</v>
      </c>
      <c r="C1889" t="s">
        <v>85</v>
      </c>
      <c r="D1889">
        <v>62604</v>
      </c>
    </row>
    <row r="1890" spans="1:4" x14ac:dyDescent="0.25">
      <c r="A1890" s="279">
        <v>39132</v>
      </c>
      <c r="B1890" t="s">
        <v>339</v>
      </c>
      <c r="C1890" t="s">
        <v>86</v>
      </c>
      <c r="D1890">
        <v>28247</v>
      </c>
    </row>
    <row r="1891" spans="1:4" x14ac:dyDescent="0.25">
      <c r="A1891" s="279">
        <v>39132</v>
      </c>
      <c r="B1891" t="s">
        <v>339</v>
      </c>
      <c r="C1891" t="s">
        <v>87</v>
      </c>
      <c r="D1891">
        <v>25470</v>
      </c>
    </row>
    <row r="1892" spans="1:4" x14ac:dyDescent="0.25">
      <c r="A1892" s="279">
        <v>39132</v>
      </c>
      <c r="B1892" t="s">
        <v>339</v>
      </c>
      <c r="C1892" t="s">
        <v>88</v>
      </c>
      <c r="D1892">
        <v>26978</v>
      </c>
    </row>
    <row r="1893" spans="1:4" x14ac:dyDescent="0.25">
      <c r="A1893" s="279">
        <v>39132</v>
      </c>
      <c r="B1893" t="s">
        <v>339</v>
      </c>
      <c r="C1893" t="s">
        <v>14</v>
      </c>
      <c r="D1893">
        <v>1039</v>
      </c>
    </row>
    <row r="1894" spans="1:4" x14ac:dyDescent="0.25">
      <c r="A1894" s="279">
        <v>39133</v>
      </c>
      <c r="B1894" t="s">
        <v>338</v>
      </c>
      <c r="C1894" t="s">
        <v>81</v>
      </c>
      <c r="D1894">
        <v>95283</v>
      </c>
    </row>
    <row r="1895" spans="1:4" x14ac:dyDescent="0.25">
      <c r="A1895" s="279">
        <v>39133</v>
      </c>
      <c r="B1895" t="s">
        <v>338</v>
      </c>
      <c r="C1895" t="s">
        <v>82</v>
      </c>
      <c r="D1895">
        <v>85022</v>
      </c>
    </row>
    <row r="1896" spans="1:4" x14ac:dyDescent="0.25">
      <c r="A1896" s="279">
        <v>39133</v>
      </c>
      <c r="B1896" t="s">
        <v>338</v>
      </c>
      <c r="C1896" t="s">
        <v>84</v>
      </c>
      <c r="D1896">
        <v>2470</v>
      </c>
    </row>
    <row r="1897" spans="1:4" x14ac:dyDescent="0.25">
      <c r="A1897" s="279">
        <v>39133</v>
      </c>
      <c r="B1897" t="s">
        <v>338</v>
      </c>
      <c r="C1897" t="s">
        <v>83</v>
      </c>
      <c r="D1897">
        <v>0</v>
      </c>
    </row>
    <row r="1898" spans="1:4" x14ac:dyDescent="0.25">
      <c r="A1898" s="279">
        <v>39133</v>
      </c>
      <c r="B1898" t="s">
        <v>338</v>
      </c>
      <c r="C1898" t="s">
        <v>14</v>
      </c>
      <c r="D1898">
        <v>1040</v>
      </c>
    </row>
    <row r="1899" spans="1:4" x14ac:dyDescent="0.25">
      <c r="A1899" s="279">
        <v>39133</v>
      </c>
      <c r="B1899" t="s">
        <v>339</v>
      </c>
      <c r="C1899" t="s">
        <v>20</v>
      </c>
      <c r="D1899">
        <v>52244</v>
      </c>
    </row>
    <row r="1900" spans="1:4" x14ac:dyDescent="0.25">
      <c r="A1900" s="279">
        <v>39133</v>
      </c>
      <c r="B1900" t="s">
        <v>339</v>
      </c>
      <c r="C1900" t="s">
        <v>85</v>
      </c>
      <c r="D1900">
        <v>36119</v>
      </c>
    </row>
    <row r="1901" spans="1:4" x14ac:dyDescent="0.25">
      <c r="A1901" s="279">
        <v>39133</v>
      </c>
      <c r="B1901" t="s">
        <v>339</v>
      </c>
      <c r="C1901" t="s">
        <v>86</v>
      </c>
      <c r="D1901">
        <v>1805</v>
      </c>
    </row>
    <row r="1902" spans="1:4" x14ac:dyDescent="0.25">
      <c r="A1902" s="279">
        <v>39133</v>
      </c>
      <c r="B1902" t="s">
        <v>339</v>
      </c>
      <c r="C1902" t="s">
        <v>87</v>
      </c>
      <c r="D1902">
        <v>14931</v>
      </c>
    </row>
    <row r="1903" spans="1:4" x14ac:dyDescent="0.25">
      <c r="A1903" s="279">
        <v>39133</v>
      </c>
      <c r="B1903" t="s">
        <v>339</v>
      </c>
      <c r="C1903" t="s">
        <v>88</v>
      </c>
      <c r="D1903">
        <v>16483</v>
      </c>
    </row>
    <row r="1904" spans="1:4" x14ac:dyDescent="0.25">
      <c r="A1904" s="279">
        <v>39133</v>
      </c>
      <c r="B1904" t="s">
        <v>339</v>
      </c>
      <c r="C1904" t="s">
        <v>14</v>
      </c>
      <c r="D1904">
        <v>1037</v>
      </c>
    </row>
    <row r="1905" spans="1:4" x14ac:dyDescent="0.25">
      <c r="A1905" s="279">
        <v>39134</v>
      </c>
      <c r="B1905" t="s">
        <v>338</v>
      </c>
      <c r="C1905" t="s">
        <v>81</v>
      </c>
      <c r="D1905">
        <v>68549</v>
      </c>
    </row>
    <row r="1906" spans="1:4" x14ac:dyDescent="0.25">
      <c r="A1906" s="279">
        <v>39134</v>
      </c>
      <c r="B1906" t="s">
        <v>338</v>
      </c>
      <c r="C1906" t="s">
        <v>82</v>
      </c>
      <c r="D1906">
        <v>63526</v>
      </c>
    </row>
    <row r="1907" spans="1:4" x14ac:dyDescent="0.25">
      <c r="A1907" s="279">
        <v>39134</v>
      </c>
      <c r="B1907" t="s">
        <v>338</v>
      </c>
      <c r="C1907" t="s">
        <v>84</v>
      </c>
      <c r="D1907">
        <v>2380</v>
      </c>
    </row>
    <row r="1908" spans="1:4" x14ac:dyDescent="0.25">
      <c r="A1908" s="279">
        <v>39134</v>
      </c>
      <c r="B1908" t="s">
        <v>338</v>
      </c>
      <c r="C1908" t="s">
        <v>83</v>
      </c>
      <c r="D1908">
        <v>0</v>
      </c>
    </row>
    <row r="1909" spans="1:4" x14ac:dyDescent="0.25">
      <c r="A1909" s="279">
        <v>39134</v>
      </c>
      <c r="B1909" t="s">
        <v>338</v>
      </c>
      <c r="C1909" t="s">
        <v>14</v>
      </c>
      <c r="D1909">
        <v>1039</v>
      </c>
    </row>
    <row r="1910" spans="1:4" x14ac:dyDescent="0.25">
      <c r="A1910" s="279">
        <v>39134</v>
      </c>
      <c r="B1910" t="s">
        <v>339</v>
      </c>
      <c r="C1910" t="s">
        <v>20</v>
      </c>
      <c r="D1910">
        <v>58496</v>
      </c>
    </row>
    <row r="1911" spans="1:4" x14ac:dyDescent="0.25">
      <c r="A1911" s="279">
        <v>39134</v>
      </c>
      <c r="B1911" t="s">
        <v>339</v>
      </c>
      <c r="C1911" t="s">
        <v>85</v>
      </c>
      <c r="D1911">
        <v>48355</v>
      </c>
    </row>
    <row r="1912" spans="1:4" x14ac:dyDescent="0.25">
      <c r="A1912" s="279">
        <v>39134</v>
      </c>
      <c r="B1912" t="s">
        <v>339</v>
      </c>
      <c r="C1912" t="s">
        <v>86</v>
      </c>
      <c r="D1912">
        <v>10744</v>
      </c>
    </row>
    <row r="1913" spans="1:4" x14ac:dyDescent="0.25">
      <c r="A1913" s="279">
        <v>39134</v>
      </c>
      <c r="B1913" t="s">
        <v>339</v>
      </c>
      <c r="C1913" t="s">
        <v>87</v>
      </c>
      <c r="D1913">
        <v>3784</v>
      </c>
    </row>
    <row r="1914" spans="1:4" x14ac:dyDescent="0.25">
      <c r="A1914" s="279">
        <v>39134</v>
      </c>
      <c r="B1914" t="s">
        <v>339</v>
      </c>
      <c r="C1914" t="s">
        <v>88</v>
      </c>
      <c r="D1914">
        <v>22003</v>
      </c>
    </row>
    <row r="1915" spans="1:4" x14ac:dyDescent="0.25">
      <c r="A1915" s="279">
        <v>39134</v>
      </c>
      <c r="B1915" t="s">
        <v>339</v>
      </c>
      <c r="C1915" t="s">
        <v>14</v>
      </c>
      <c r="D1915">
        <v>1037</v>
      </c>
    </row>
    <row r="1916" spans="1:4" x14ac:dyDescent="0.25">
      <c r="A1916" s="279">
        <v>39135</v>
      </c>
      <c r="B1916" t="s">
        <v>338</v>
      </c>
      <c r="C1916" t="s">
        <v>81</v>
      </c>
      <c r="D1916">
        <v>77130</v>
      </c>
    </row>
    <row r="1917" spans="1:4" x14ac:dyDescent="0.25">
      <c r="A1917" s="279">
        <v>39135</v>
      </c>
      <c r="B1917" t="s">
        <v>338</v>
      </c>
      <c r="C1917" t="s">
        <v>82</v>
      </c>
      <c r="D1917">
        <v>55597</v>
      </c>
    </row>
    <row r="1918" spans="1:4" x14ac:dyDescent="0.25">
      <c r="A1918" s="279">
        <v>39135</v>
      </c>
      <c r="B1918" t="s">
        <v>338</v>
      </c>
      <c r="C1918" t="s">
        <v>84</v>
      </c>
      <c r="D1918">
        <v>2790</v>
      </c>
    </row>
    <row r="1919" spans="1:4" x14ac:dyDescent="0.25">
      <c r="A1919" s="279">
        <v>39135</v>
      </c>
      <c r="B1919" t="s">
        <v>338</v>
      </c>
      <c r="C1919" t="s">
        <v>83</v>
      </c>
      <c r="D1919">
        <v>0</v>
      </c>
    </row>
    <row r="1920" spans="1:4" x14ac:dyDescent="0.25">
      <c r="A1920" s="279">
        <v>39135</v>
      </c>
      <c r="B1920" t="s">
        <v>338</v>
      </c>
      <c r="C1920" t="s">
        <v>14</v>
      </c>
      <c r="D1920">
        <v>1041</v>
      </c>
    </row>
    <row r="1921" spans="1:4" x14ac:dyDescent="0.25">
      <c r="A1921" s="279">
        <v>39135</v>
      </c>
      <c r="B1921" t="s">
        <v>339</v>
      </c>
      <c r="C1921" t="s">
        <v>20</v>
      </c>
      <c r="D1921">
        <v>72501</v>
      </c>
    </row>
    <row r="1922" spans="1:4" x14ac:dyDescent="0.25">
      <c r="A1922" s="279">
        <v>39135</v>
      </c>
      <c r="B1922" t="s">
        <v>339</v>
      </c>
      <c r="C1922" t="s">
        <v>85</v>
      </c>
      <c r="D1922">
        <v>51873</v>
      </c>
    </row>
    <row r="1923" spans="1:4" x14ac:dyDescent="0.25">
      <c r="A1923" s="279">
        <v>39135</v>
      </c>
      <c r="B1923" t="s">
        <v>339</v>
      </c>
      <c r="C1923" t="s">
        <v>86</v>
      </c>
      <c r="D1923">
        <v>26269</v>
      </c>
    </row>
    <row r="1924" spans="1:4" x14ac:dyDescent="0.25">
      <c r="A1924" s="279">
        <v>39135</v>
      </c>
      <c r="B1924" t="s">
        <v>339</v>
      </c>
      <c r="C1924" t="s">
        <v>87</v>
      </c>
      <c r="D1924">
        <v>20490</v>
      </c>
    </row>
    <row r="1925" spans="1:4" x14ac:dyDescent="0.25">
      <c r="A1925" s="279">
        <v>39135</v>
      </c>
      <c r="B1925" t="s">
        <v>339</v>
      </c>
      <c r="C1925" t="s">
        <v>88</v>
      </c>
      <c r="D1925">
        <v>21216</v>
      </c>
    </row>
    <row r="1926" spans="1:4" x14ac:dyDescent="0.25">
      <c r="A1926" s="279">
        <v>39135</v>
      </c>
      <c r="B1926" t="s">
        <v>339</v>
      </c>
      <c r="C1926" t="s">
        <v>14</v>
      </c>
      <c r="D1926">
        <v>1038</v>
      </c>
    </row>
    <row r="1927" spans="1:4" x14ac:dyDescent="0.25">
      <c r="A1927" s="279">
        <v>39136</v>
      </c>
      <c r="B1927" t="s">
        <v>338</v>
      </c>
      <c r="C1927" t="s">
        <v>81</v>
      </c>
      <c r="D1927">
        <v>83040</v>
      </c>
    </row>
    <row r="1928" spans="1:4" x14ac:dyDescent="0.25">
      <c r="A1928" s="279">
        <v>39136</v>
      </c>
      <c r="B1928" t="s">
        <v>338</v>
      </c>
      <c r="C1928" t="s">
        <v>82</v>
      </c>
      <c r="D1928">
        <v>73627</v>
      </c>
    </row>
    <row r="1929" spans="1:4" x14ac:dyDescent="0.25">
      <c r="A1929" s="279">
        <v>39136</v>
      </c>
      <c r="B1929" t="s">
        <v>338</v>
      </c>
      <c r="C1929" t="s">
        <v>84</v>
      </c>
      <c r="D1929">
        <v>3300</v>
      </c>
    </row>
    <row r="1930" spans="1:4" x14ac:dyDescent="0.25">
      <c r="A1930" s="279">
        <v>39136</v>
      </c>
      <c r="B1930" t="s">
        <v>338</v>
      </c>
      <c r="C1930" t="s">
        <v>83</v>
      </c>
      <c r="D1930">
        <v>0</v>
      </c>
    </row>
    <row r="1931" spans="1:4" x14ac:dyDescent="0.25">
      <c r="A1931" s="279">
        <v>39136</v>
      </c>
      <c r="B1931" t="s">
        <v>338</v>
      </c>
      <c r="C1931" t="s">
        <v>14</v>
      </c>
      <c r="D1931">
        <v>1040</v>
      </c>
    </row>
    <row r="1932" spans="1:4" x14ac:dyDescent="0.25">
      <c r="A1932" s="279">
        <v>39136</v>
      </c>
      <c r="B1932" t="s">
        <v>339</v>
      </c>
      <c r="C1932" t="s">
        <v>20</v>
      </c>
      <c r="D1932">
        <v>91814</v>
      </c>
    </row>
    <row r="1933" spans="1:4" x14ac:dyDescent="0.25">
      <c r="A1933" s="279">
        <v>39136</v>
      </c>
      <c r="B1933" t="s">
        <v>339</v>
      </c>
      <c r="C1933" t="s">
        <v>85</v>
      </c>
      <c r="D1933">
        <v>69217</v>
      </c>
    </row>
    <row r="1934" spans="1:4" x14ac:dyDescent="0.25">
      <c r="A1934" s="279">
        <v>39136</v>
      </c>
      <c r="B1934" t="s">
        <v>339</v>
      </c>
      <c r="C1934" t="s">
        <v>86</v>
      </c>
      <c r="D1934">
        <v>30556</v>
      </c>
    </row>
    <row r="1935" spans="1:4" x14ac:dyDescent="0.25">
      <c r="A1935" s="279">
        <v>39136</v>
      </c>
      <c r="B1935" t="s">
        <v>339</v>
      </c>
      <c r="C1935" t="s">
        <v>87</v>
      </c>
      <c r="D1935">
        <v>24505</v>
      </c>
    </row>
    <row r="1936" spans="1:4" x14ac:dyDescent="0.25">
      <c r="A1936" s="279">
        <v>39136</v>
      </c>
      <c r="B1936" t="s">
        <v>339</v>
      </c>
      <c r="C1936" t="s">
        <v>88</v>
      </c>
      <c r="D1936">
        <v>27046</v>
      </c>
    </row>
    <row r="1937" spans="1:4" x14ac:dyDescent="0.25">
      <c r="A1937" s="279">
        <v>39136</v>
      </c>
      <c r="B1937" t="s">
        <v>339</v>
      </c>
      <c r="C1937" t="s">
        <v>14</v>
      </c>
      <c r="D1937">
        <v>1038</v>
      </c>
    </row>
    <row r="1938" spans="1:4" x14ac:dyDescent="0.25">
      <c r="A1938" s="279">
        <v>39137</v>
      </c>
      <c r="B1938" t="s">
        <v>338</v>
      </c>
      <c r="C1938" t="s">
        <v>81</v>
      </c>
      <c r="D1938">
        <v>87271</v>
      </c>
    </row>
    <row r="1939" spans="1:4" x14ac:dyDescent="0.25">
      <c r="A1939" s="279">
        <v>39137</v>
      </c>
      <c r="B1939" t="s">
        <v>338</v>
      </c>
      <c r="C1939" t="s">
        <v>82</v>
      </c>
      <c r="D1939">
        <v>69481</v>
      </c>
    </row>
    <row r="1940" spans="1:4" x14ac:dyDescent="0.25">
      <c r="A1940" s="279">
        <v>39137</v>
      </c>
      <c r="B1940" t="s">
        <v>338</v>
      </c>
      <c r="C1940" t="s">
        <v>84</v>
      </c>
      <c r="D1940">
        <v>2790</v>
      </c>
    </row>
    <row r="1941" spans="1:4" x14ac:dyDescent="0.25">
      <c r="A1941" s="279">
        <v>39137</v>
      </c>
      <c r="B1941" t="s">
        <v>338</v>
      </c>
      <c r="C1941" t="s">
        <v>83</v>
      </c>
      <c r="D1941">
        <v>0</v>
      </c>
    </row>
    <row r="1942" spans="1:4" x14ac:dyDescent="0.25">
      <c r="A1942" s="279">
        <v>39137</v>
      </c>
      <c r="B1942" t="s">
        <v>338</v>
      </c>
      <c r="C1942" t="s">
        <v>14</v>
      </c>
      <c r="D1942">
        <v>1036</v>
      </c>
    </row>
    <row r="1943" spans="1:4" x14ac:dyDescent="0.25">
      <c r="A1943" s="279">
        <v>39137</v>
      </c>
      <c r="B1943" t="s">
        <v>339</v>
      </c>
      <c r="C1943" t="s">
        <v>20</v>
      </c>
      <c r="D1943">
        <v>85405</v>
      </c>
    </row>
    <row r="1944" spans="1:4" x14ac:dyDescent="0.25">
      <c r="A1944" s="279">
        <v>39137</v>
      </c>
      <c r="B1944" t="s">
        <v>339</v>
      </c>
      <c r="C1944" t="s">
        <v>85</v>
      </c>
      <c r="D1944">
        <v>58048</v>
      </c>
    </row>
    <row r="1945" spans="1:4" x14ac:dyDescent="0.25">
      <c r="A1945" s="279">
        <v>39137</v>
      </c>
      <c r="B1945" t="s">
        <v>339</v>
      </c>
      <c r="C1945" t="s">
        <v>86</v>
      </c>
      <c r="D1945">
        <v>20176</v>
      </c>
    </row>
    <row r="1946" spans="1:4" x14ac:dyDescent="0.25">
      <c r="A1946" s="279">
        <v>39137</v>
      </c>
      <c r="B1946" t="s">
        <v>339</v>
      </c>
      <c r="C1946" t="s">
        <v>87</v>
      </c>
      <c r="D1946">
        <v>23542</v>
      </c>
    </row>
    <row r="1947" spans="1:4" x14ac:dyDescent="0.25">
      <c r="A1947" s="279">
        <v>39137</v>
      </c>
      <c r="B1947" t="s">
        <v>339</v>
      </c>
      <c r="C1947" t="s">
        <v>88</v>
      </c>
      <c r="D1947">
        <v>23773</v>
      </c>
    </row>
    <row r="1948" spans="1:4" x14ac:dyDescent="0.25">
      <c r="A1948" s="279">
        <v>39137</v>
      </c>
      <c r="B1948" t="s">
        <v>339</v>
      </c>
      <c r="C1948" t="s">
        <v>14</v>
      </c>
      <c r="D1948">
        <v>1024</v>
      </c>
    </row>
    <row r="1949" spans="1:4" x14ac:dyDescent="0.25">
      <c r="A1949" s="279">
        <v>39138</v>
      </c>
      <c r="B1949" t="s">
        <v>338</v>
      </c>
      <c r="C1949" t="s">
        <v>81</v>
      </c>
      <c r="D1949">
        <v>86659</v>
      </c>
    </row>
    <row r="1950" spans="1:4" x14ac:dyDescent="0.25">
      <c r="A1950" s="279">
        <v>39138</v>
      </c>
      <c r="B1950" t="s">
        <v>338</v>
      </c>
      <c r="C1950" t="s">
        <v>82</v>
      </c>
      <c r="D1950">
        <v>69151</v>
      </c>
    </row>
    <row r="1951" spans="1:4" x14ac:dyDescent="0.25">
      <c r="A1951" s="279">
        <v>39138</v>
      </c>
      <c r="B1951" t="s">
        <v>338</v>
      </c>
      <c r="C1951" t="s">
        <v>84</v>
      </c>
      <c r="D1951">
        <v>2900</v>
      </c>
    </row>
    <row r="1952" spans="1:4" x14ac:dyDescent="0.25">
      <c r="A1952" s="279">
        <v>39138</v>
      </c>
      <c r="B1952" t="s">
        <v>338</v>
      </c>
      <c r="C1952" t="s">
        <v>83</v>
      </c>
      <c r="D1952">
        <v>0</v>
      </c>
    </row>
    <row r="1953" spans="1:4" x14ac:dyDescent="0.25">
      <c r="A1953" s="279">
        <v>39138</v>
      </c>
      <c r="B1953" t="s">
        <v>338</v>
      </c>
      <c r="C1953" t="s">
        <v>14</v>
      </c>
      <c r="D1953">
        <v>1036</v>
      </c>
    </row>
    <row r="1954" spans="1:4" x14ac:dyDescent="0.25">
      <c r="A1954" s="279">
        <v>39138</v>
      </c>
      <c r="B1954" t="s">
        <v>339</v>
      </c>
      <c r="C1954" t="s">
        <v>20</v>
      </c>
      <c r="D1954">
        <v>86343</v>
      </c>
    </row>
    <row r="1955" spans="1:4" x14ac:dyDescent="0.25">
      <c r="A1955" s="279">
        <v>39138</v>
      </c>
      <c r="B1955" t="s">
        <v>339</v>
      </c>
      <c r="C1955" t="s">
        <v>85</v>
      </c>
      <c r="D1955">
        <v>59438</v>
      </c>
    </row>
    <row r="1956" spans="1:4" x14ac:dyDescent="0.25">
      <c r="A1956" s="279">
        <v>39138</v>
      </c>
      <c r="B1956" t="s">
        <v>339</v>
      </c>
      <c r="C1956" t="s">
        <v>86</v>
      </c>
      <c r="D1956">
        <v>26046</v>
      </c>
    </row>
    <row r="1957" spans="1:4" x14ac:dyDescent="0.25">
      <c r="A1957" s="279">
        <v>39138</v>
      </c>
      <c r="B1957" t="s">
        <v>339</v>
      </c>
      <c r="C1957" t="s">
        <v>87</v>
      </c>
      <c r="D1957">
        <v>24078</v>
      </c>
    </row>
    <row r="1958" spans="1:4" x14ac:dyDescent="0.25">
      <c r="A1958" s="279">
        <v>39138</v>
      </c>
      <c r="B1958" t="s">
        <v>339</v>
      </c>
      <c r="C1958" t="s">
        <v>88</v>
      </c>
      <c r="D1958">
        <v>25819</v>
      </c>
    </row>
    <row r="1959" spans="1:4" x14ac:dyDescent="0.25">
      <c r="A1959" s="279">
        <v>39138</v>
      </c>
      <c r="B1959" t="s">
        <v>339</v>
      </c>
      <c r="C1959" t="s">
        <v>14</v>
      </c>
      <c r="D1959">
        <v>1024</v>
      </c>
    </row>
    <row r="1960" spans="1:4" x14ac:dyDescent="0.25">
      <c r="A1960" s="279">
        <v>39139</v>
      </c>
      <c r="B1960" t="s">
        <v>338</v>
      </c>
      <c r="C1960" t="s">
        <v>81</v>
      </c>
      <c r="D1960">
        <v>85978</v>
      </c>
    </row>
    <row r="1961" spans="1:4" x14ac:dyDescent="0.25">
      <c r="A1961" s="279">
        <v>39139</v>
      </c>
      <c r="B1961" t="s">
        <v>338</v>
      </c>
      <c r="C1961" t="s">
        <v>82</v>
      </c>
      <c r="D1961">
        <v>66629</v>
      </c>
    </row>
    <row r="1962" spans="1:4" x14ac:dyDescent="0.25">
      <c r="A1962" s="279">
        <v>39139</v>
      </c>
      <c r="B1962" t="s">
        <v>338</v>
      </c>
      <c r="C1962" t="s">
        <v>84</v>
      </c>
      <c r="D1962">
        <v>2690</v>
      </c>
    </row>
    <row r="1963" spans="1:4" x14ac:dyDescent="0.25">
      <c r="A1963" s="279">
        <v>39139</v>
      </c>
      <c r="B1963" t="s">
        <v>338</v>
      </c>
      <c r="C1963" t="s">
        <v>83</v>
      </c>
      <c r="D1963">
        <v>0</v>
      </c>
    </row>
    <row r="1964" spans="1:4" x14ac:dyDescent="0.25">
      <c r="A1964" s="279">
        <v>39139</v>
      </c>
      <c r="B1964" t="s">
        <v>338</v>
      </c>
      <c r="C1964" t="s">
        <v>14</v>
      </c>
      <c r="D1964">
        <v>1040</v>
      </c>
    </row>
    <row r="1965" spans="1:4" x14ac:dyDescent="0.25">
      <c r="A1965" s="279">
        <v>39139</v>
      </c>
      <c r="B1965" t="s">
        <v>339</v>
      </c>
      <c r="C1965" t="s">
        <v>20</v>
      </c>
      <c r="D1965">
        <v>75542</v>
      </c>
    </row>
    <row r="1966" spans="1:4" x14ac:dyDescent="0.25">
      <c r="A1966" s="279">
        <v>39139</v>
      </c>
      <c r="B1966" t="s">
        <v>339</v>
      </c>
      <c r="C1966" t="s">
        <v>85</v>
      </c>
      <c r="D1966">
        <v>48217</v>
      </c>
    </row>
    <row r="1967" spans="1:4" x14ac:dyDescent="0.25">
      <c r="A1967" s="279">
        <v>39139</v>
      </c>
      <c r="B1967" t="s">
        <v>339</v>
      </c>
      <c r="C1967" t="s">
        <v>86</v>
      </c>
      <c r="D1967">
        <v>23437</v>
      </c>
    </row>
    <row r="1968" spans="1:4" x14ac:dyDescent="0.25">
      <c r="A1968" s="279">
        <v>39139</v>
      </c>
      <c r="B1968" t="s">
        <v>339</v>
      </c>
      <c r="C1968" t="s">
        <v>87</v>
      </c>
      <c r="D1968">
        <v>23536</v>
      </c>
    </row>
    <row r="1969" spans="1:4" x14ac:dyDescent="0.25">
      <c r="A1969" s="279">
        <v>39139</v>
      </c>
      <c r="B1969" t="s">
        <v>339</v>
      </c>
      <c r="C1969" t="s">
        <v>88</v>
      </c>
      <c r="D1969">
        <v>22823</v>
      </c>
    </row>
    <row r="1970" spans="1:4" x14ac:dyDescent="0.25">
      <c r="A1970" s="279">
        <v>39139</v>
      </c>
      <c r="B1970" t="s">
        <v>339</v>
      </c>
      <c r="C1970" t="s">
        <v>14</v>
      </c>
      <c r="D1970">
        <v>1032</v>
      </c>
    </row>
    <row r="1971" spans="1:4" x14ac:dyDescent="0.25">
      <c r="A1971" s="279">
        <v>39140</v>
      </c>
      <c r="B1971" t="s">
        <v>338</v>
      </c>
      <c r="C1971" t="s">
        <v>81</v>
      </c>
      <c r="D1971">
        <v>75808</v>
      </c>
    </row>
    <row r="1972" spans="1:4" x14ac:dyDescent="0.25">
      <c r="A1972" s="279">
        <v>39140</v>
      </c>
      <c r="B1972" t="s">
        <v>338</v>
      </c>
      <c r="C1972" t="s">
        <v>82</v>
      </c>
      <c r="D1972">
        <v>70217</v>
      </c>
    </row>
    <row r="1973" spans="1:4" x14ac:dyDescent="0.25">
      <c r="A1973" s="279">
        <v>39140</v>
      </c>
      <c r="B1973" t="s">
        <v>338</v>
      </c>
      <c r="C1973" t="s">
        <v>84</v>
      </c>
      <c r="D1973">
        <v>2410</v>
      </c>
    </row>
    <row r="1974" spans="1:4" x14ac:dyDescent="0.25">
      <c r="A1974" s="279">
        <v>39140</v>
      </c>
      <c r="B1974" t="s">
        <v>338</v>
      </c>
      <c r="C1974" t="s">
        <v>83</v>
      </c>
      <c r="D1974">
        <v>0</v>
      </c>
    </row>
    <row r="1975" spans="1:4" x14ac:dyDescent="0.25">
      <c r="A1975" s="279">
        <v>39140</v>
      </c>
      <c r="B1975" t="s">
        <v>338</v>
      </c>
      <c r="C1975" t="s">
        <v>14</v>
      </c>
      <c r="D1975">
        <v>1039</v>
      </c>
    </row>
    <row r="1976" spans="1:4" x14ac:dyDescent="0.25">
      <c r="A1976" s="279">
        <v>39140</v>
      </c>
      <c r="B1976" t="s">
        <v>339</v>
      </c>
      <c r="C1976" t="s">
        <v>20</v>
      </c>
      <c r="D1976">
        <v>72427</v>
      </c>
    </row>
    <row r="1977" spans="1:4" x14ac:dyDescent="0.25">
      <c r="A1977" s="279">
        <v>39140</v>
      </c>
      <c r="B1977" t="s">
        <v>339</v>
      </c>
      <c r="C1977" t="s">
        <v>85</v>
      </c>
      <c r="D1977">
        <v>40834</v>
      </c>
    </row>
    <row r="1978" spans="1:4" x14ac:dyDescent="0.25">
      <c r="A1978" s="279">
        <v>39140</v>
      </c>
      <c r="B1978" t="s">
        <v>339</v>
      </c>
      <c r="C1978" t="s">
        <v>86</v>
      </c>
      <c r="D1978">
        <v>219</v>
      </c>
    </row>
    <row r="1979" spans="1:4" x14ac:dyDescent="0.25">
      <c r="A1979" s="279">
        <v>39140</v>
      </c>
      <c r="B1979" t="s">
        <v>339</v>
      </c>
      <c r="C1979" t="s">
        <v>87</v>
      </c>
      <c r="D1979">
        <v>1004</v>
      </c>
    </row>
    <row r="1980" spans="1:4" x14ac:dyDescent="0.25">
      <c r="A1980" s="279">
        <v>39140</v>
      </c>
      <c r="B1980" t="s">
        <v>339</v>
      </c>
      <c r="C1980" t="s">
        <v>88</v>
      </c>
      <c r="D1980">
        <v>24857</v>
      </c>
    </row>
    <row r="1981" spans="1:4" x14ac:dyDescent="0.25">
      <c r="A1981" s="279">
        <v>39140</v>
      </c>
      <c r="B1981" t="s">
        <v>339</v>
      </c>
      <c r="C1981" t="s">
        <v>14</v>
      </c>
      <c r="D1981">
        <v>1032</v>
      </c>
    </row>
    <row r="1982" spans="1:4" x14ac:dyDescent="0.25">
      <c r="A1982" s="279">
        <v>39141</v>
      </c>
      <c r="B1982" t="s">
        <v>338</v>
      </c>
      <c r="C1982" t="s">
        <v>81</v>
      </c>
      <c r="D1982">
        <v>75250</v>
      </c>
    </row>
    <row r="1983" spans="1:4" x14ac:dyDescent="0.25">
      <c r="A1983" s="279">
        <v>39141</v>
      </c>
      <c r="B1983" t="s">
        <v>338</v>
      </c>
      <c r="C1983" t="s">
        <v>82</v>
      </c>
      <c r="D1983">
        <v>78306</v>
      </c>
    </row>
    <row r="1984" spans="1:4" x14ac:dyDescent="0.25">
      <c r="A1984" s="279">
        <v>39141</v>
      </c>
      <c r="B1984" t="s">
        <v>338</v>
      </c>
      <c r="C1984" t="s">
        <v>84</v>
      </c>
      <c r="D1984">
        <v>2450</v>
      </c>
    </row>
    <row r="1985" spans="1:4" x14ac:dyDescent="0.25">
      <c r="A1985" s="279">
        <v>39141</v>
      </c>
      <c r="B1985" t="s">
        <v>338</v>
      </c>
      <c r="C1985" t="s">
        <v>83</v>
      </c>
      <c r="D1985">
        <v>0</v>
      </c>
    </row>
    <row r="1986" spans="1:4" x14ac:dyDescent="0.25">
      <c r="A1986" s="279">
        <v>39141</v>
      </c>
      <c r="B1986" t="s">
        <v>338</v>
      </c>
      <c r="C1986" t="s">
        <v>14</v>
      </c>
      <c r="D1986">
        <v>1037</v>
      </c>
    </row>
    <row r="1987" spans="1:4" x14ac:dyDescent="0.25">
      <c r="A1987" s="279">
        <v>39141</v>
      </c>
      <c r="B1987" t="s">
        <v>339</v>
      </c>
      <c r="C1987" t="s">
        <v>20</v>
      </c>
      <c r="D1987">
        <v>76534</v>
      </c>
    </row>
    <row r="1988" spans="1:4" x14ac:dyDescent="0.25">
      <c r="A1988" s="279">
        <v>39141</v>
      </c>
      <c r="B1988" t="s">
        <v>339</v>
      </c>
      <c r="C1988" t="s">
        <v>85</v>
      </c>
      <c r="D1988">
        <v>45019</v>
      </c>
    </row>
    <row r="1989" spans="1:4" x14ac:dyDescent="0.25">
      <c r="A1989" s="279">
        <v>39141</v>
      </c>
      <c r="B1989" t="s">
        <v>339</v>
      </c>
      <c r="C1989" t="s">
        <v>86</v>
      </c>
      <c r="D1989">
        <v>4542</v>
      </c>
    </row>
    <row r="1990" spans="1:4" x14ac:dyDescent="0.25">
      <c r="A1990" s="279">
        <v>39141</v>
      </c>
      <c r="B1990" t="s">
        <v>339</v>
      </c>
      <c r="C1990" t="s">
        <v>87</v>
      </c>
      <c r="D1990">
        <v>0</v>
      </c>
    </row>
    <row r="1991" spans="1:4" x14ac:dyDescent="0.25">
      <c r="A1991" s="279">
        <v>39141</v>
      </c>
      <c r="B1991" t="s">
        <v>339</v>
      </c>
      <c r="C1991" t="s">
        <v>88</v>
      </c>
      <c r="D1991">
        <v>24669</v>
      </c>
    </row>
    <row r="1992" spans="1:4" x14ac:dyDescent="0.25">
      <c r="A1992" s="279">
        <v>39141</v>
      </c>
      <c r="B1992" t="s">
        <v>339</v>
      </c>
      <c r="C1992" t="s">
        <v>14</v>
      </c>
      <c r="D1992">
        <v>1033</v>
      </c>
    </row>
    <row r="1993" spans="1:4" x14ac:dyDescent="0.25">
      <c r="A1993" s="279">
        <v>39142</v>
      </c>
      <c r="B1993" t="s">
        <v>338</v>
      </c>
      <c r="C1993" t="s">
        <v>81</v>
      </c>
      <c r="D1993">
        <v>58173</v>
      </c>
    </row>
    <row r="1994" spans="1:4" x14ac:dyDescent="0.25">
      <c r="A1994" s="279">
        <v>39142</v>
      </c>
      <c r="B1994" t="s">
        <v>338</v>
      </c>
      <c r="C1994" t="s">
        <v>82</v>
      </c>
      <c r="D1994">
        <v>45632</v>
      </c>
    </row>
    <row r="1995" spans="1:4" x14ac:dyDescent="0.25">
      <c r="A1995" s="279">
        <v>39142</v>
      </c>
      <c r="B1995" t="s">
        <v>338</v>
      </c>
      <c r="C1995" t="s">
        <v>84</v>
      </c>
      <c r="D1995">
        <v>2130</v>
      </c>
    </row>
    <row r="1996" spans="1:4" x14ac:dyDescent="0.25">
      <c r="A1996" s="279">
        <v>39142</v>
      </c>
      <c r="B1996" t="s">
        <v>338</v>
      </c>
      <c r="C1996" t="s">
        <v>83</v>
      </c>
      <c r="D1996">
        <v>0</v>
      </c>
    </row>
    <row r="1997" spans="1:4" x14ac:dyDescent="0.25">
      <c r="A1997" s="279">
        <v>39142</v>
      </c>
      <c r="B1997" t="s">
        <v>338</v>
      </c>
      <c r="C1997" t="s">
        <v>14</v>
      </c>
      <c r="D1997">
        <v>1038</v>
      </c>
    </row>
    <row r="1998" spans="1:4" x14ac:dyDescent="0.25">
      <c r="A1998" s="279">
        <v>39142</v>
      </c>
      <c r="B1998" t="s">
        <v>339</v>
      </c>
      <c r="C1998" t="s">
        <v>20</v>
      </c>
      <c r="D1998">
        <v>69138</v>
      </c>
    </row>
    <row r="1999" spans="1:4" x14ac:dyDescent="0.25">
      <c r="A1999" s="279">
        <v>39142</v>
      </c>
      <c r="B1999" t="s">
        <v>339</v>
      </c>
      <c r="C1999" t="s">
        <v>85</v>
      </c>
      <c r="D1999">
        <v>42561</v>
      </c>
    </row>
    <row r="2000" spans="1:4" x14ac:dyDescent="0.25">
      <c r="A2000" s="279">
        <v>39142</v>
      </c>
      <c r="B2000" t="s">
        <v>339</v>
      </c>
      <c r="C2000" t="s">
        <v>86</v>
      </c>
      <c r="D2000">
        <v>1715</v>
      </c>
    </row>
    <row r="2001" spans="1:4" x14ac:dyDescent="0.25">
      <c r="A2001" s="279">
        <v>39142</v>
      </c>
      <c r="B2001" t="s">
        <v>339</v>
      </c>
      <c r="C2001" t="s">
        <v>87</v>
      </c>
      <c r="D2001">
        <v>0</v>
      </c>
    </row>
    <row r="2002" spans="1:4" x14ac:dyDescent="0.25">
      <c r="A2002" s="279">
        <v>39142</v>
      </c>
      <c r="B2002" t="s">
        <v>339</v>
      </c>
      <c r="C2002" t="s">
        <v>88</v>
      </c>
      <c r="D2002">
        <v>18267</v>
      </c>
    </row>
    <row r="2003" spans="1:4" x14ac:dyDescent="0.25">
      <c r="A2003" s="279">
        <v>39142</v>
      </c>
      <c r="B2003" t="s">
        <v>339</v>
      </c>
      <c r="C2003" t="s">
        <v>14</v>
      </c>
      <c r="D2003">
        <v>1032</v>
      </c>
    </row>
    <row r="2004" spans="1:4" x14ac:dyDescent="0.25">
      <c r="A2004" s="279">
        <v>39143</v>
      </c>
      <c r="B2004" t="s">
        <v>338</v>
      </c>
      <c r="C2004" t="s">
        <v>81</v>
      </c>
      <c r="D2004">
        <v>48578</v>
      </c>
    </row>
    <row r="2005" spans="1:4" x14ac:dyDescent="0.25">
      <c r="A2005" s="279">
        <v>39143</v>
      </c>
      <c r="B2005" t="s">
        <v>338</v>
      </c>
      <c r="C2005" t="s">
        <v>82</v>
      </c>
      <c r="D2005">
        <v>53576</v>
      </c>
    </row>
    <row r="2006" spans="1:4" x14ac:dyDescent="0.25">
      <c r="A2006" s="279">
        <v>39143</v>
      </c>
      <c r="B2006" t="s">
        <v>338</v>
      </c>
      <c r="C2006" t="s">
        <v>84</v>
      </c>
      <c r="D2006">
        <v>1890</v>
      </c>
    </row>
    <row r="2007" spans="1:4" x14ac:dyDescent="0.25">
      <c r="A2007" s="279">
        <v>39143</v>
      </c>
      <c r="B2007" t="s">
        <v>338</v>
      </c>
      <c r="C2007" t="s">
        <v>83</v>
      </c>
      <c r="D2007">
        <v>0</v>
      </c>
    </row>
    <row r="2008" spans="1:4" x14ac:dyDescent="0.25">
      <c r="A2008" s="279">
        <v>39143</v>
      </c>
      <c r="B2008" t="s">
        <v>338</v>
      </c>
      <c r="C2008" t="s">
        <v>14</v>
      </c>
      <c r="D2008">
        <v>1039</v>
      </c>
    </row>
    <row r="2009" spans="1:4" x14ac:dyDescent="0.25">
      <c r="A2009" s="279">
        <v>39143</v>
      </c>
      <c r="B2009" t="s">
        <v>339</v>
      </c>
      <c r="C2009" t="s">
        <v>20</v>
      </c>
      <c r="D2009">
        <v>63074</v>
      </c>
    </row>
    <row r="2010" spans="1:4" x14ac:dyDescent="0.25">
      <c r="A2010" s="279">
        <v>39143</v>
      </c>
      <c r="B2010" t="s">
        <v>339</v>
      </c>
      <c r="C2010" t="s">
        <v>85</v>
      </c>
      <c r="D2010">
        <v>29475</v>
      </c>
    </row>
    <row r="2011" spans="1:4" x14ac:dyDescent="0.25">
      <c r="A2011" s="279">
        <v>39143</v>
      </c>
      <c r="B2011" t="s">
        <v>339</v>
      </c>
      <c r="C2011" t="s">
        <v>86</v>
      </c>
      <c r="D2011">
        <v>0</v>
      </c>
    </row>
    <row r="2012" spans="1:4" x14ac:dyDescent="0.25">
      <c r="A2012" s="279">
        <v>39143</v>
      </c>
      <c r="B2012" t="s">
        <v>339</v>
      </c>
      <c r="C2012" t="s">
        <v>87</v>
      </c>
      <c r="D2012">
        <v>0</v>
      </c>
    </row>
    <row r="2013" spans="1:4" x14ac:dyDescent="0.25">
      <c r="A2013" s="279">
        <v>39143</v>
      </c>
      <c r="B2013" t="s">
        <v>339</v>
      </c>
      <c r="C2013" t="s">
        <v>88</v>
      </c>
      <c r="D2013">
        <v>4161</v>
      </c>
    </row>
    <row r="2014" spans="1:4" x14ac:dyDescent="0.25">
      <c r="A2014" s="279">
        <v>39143</v>
      </c>
      <c r="B2014" t="s">
        <v>339</v>
      </c>
      <c r="C2014" t="s">
        <v>14</v>
      </c>
      <c r="D2014">
        <v>1033</v>
      </c>
    </row>
    <row r="2015" spans="1:4" x14ac:dyDescent="0.25">
      <c r="A2015" s="279">
        <v>39144</v>
      </c>
      <c r="B2015" t="s">
        <v>338</v>
      </c>
      <c r="C2015" t="s">
        <v>81</v>
      </c>
      <c r="D2015">
        <v>50194</v>
      </c>
    </row>
    <row r="2016" spans="1:4" x14ac:dyDescent="0.25">
      <c r="A2016" s="279">
        <v>39144</v>
      </c>
      <c r="B2016" t="s">
        <v>338</v>
      </c>
      <c r="C2016" t="s">
        <v>82</v>
      </c>
      <c r="D2016">
        <v>60918</v>
      </c>
    </row>
    <row r="2017" spans="1:4" x14ac:dyDescent="0.25">
      <c r="A2017" s="279">
        <v>39144</v>
      </c>
      <c r="B2017" t="s">
        <v>338</v>
      </c>
      <c r="C2017" t="s">
        <v>84</v>
      </c>
      <c r="D2017">
        <v>2070</v>
      </c>
    </row>
    <row r="2018" spans="1:4" x14ac:dyDescent="0.25">
      <c r="A2018" s="279">
        <v>39144</v>
      </c>
      <c r="B2018" t="s">
        <v>338</v>
      </c>
      <c r="C2018" t="s">
        <v>83</v>
      </c>
      <c r="D2018">
        <v>0</v>
      </c>
    </row>
    <row r="2019" spans="1:4" x14ac:dyDescent="0.25">
      <c r="A2019" s="279">
        <v>39144</v>
      </c>
      <c r="B2019" t="s">
        <v>338</v>
      </c>
      <c r="C2019" t="s">
        <v>14</v>
      </c>
      <c r="D2019">
        <v>1037</v>
      </c>
    </row>
    <row r="2020" spans="1:4" x14ac:dyDescent="0.25">
      <c r="A2020" s="279">
        <v>39144</v>
      </c>
      <c r="B2020" t="s">
        <v>339</v>
      </c>
      <c r="C2020" t="s">
        <v>20</v>
      </c>
      <c r="D2020">
        <v>75190</v>
      </c>
    </row>
    <row r="2021" spans="1:4" x14ac:dyDescent="0.25">
      <c r="A2021" s="279">
        <v>39144</v>
      </c>
      <c r="B2021" t="s">
        <v>339</v>
      </c>
      <c r="C2021" t="s">
        <v>85</v>
      </c>
      <c r="D2021">
        <v>40618</v>
      </c>
    </row>
    <row r="2022" spans="1:4" x14ac:dyDescent="0.25">
      <c r="A2022" s="279">
        <v>39144</v>
      </c>
      <c r="B2022" t="s">
        <v>339</v>
      </c>
      <c r="C2022" t="s">
        <v>86</v>
      </c>
      <c r="D2022">
        <v>2112</v>
      </c>
    </row>
    <row r="2023" spans="1:4" x14ac:dyDescent="0.25">
      <c r="A2023" s="279">
        <v>39144</v>
      </c>
      <c r="B2023" t="s">
        <v>339</v>
      </c>
      <c r="C2023" t="s">
        <v>87</v>
      </c>
      <c r="D2023">
        <v>0</v>
      </c>
    </row>
    <row r="2024" spans="1:4" x14ac:dyDescent="0.25">
      <c r="A2024" s="279">
        <v>39144</v>
      </c>
      <c r="B2024" t="s">
        <v>339</v>
      </c>
      <c r="C2024" t="s">
        <v>88</v>
      </c>
      <c r="D2024">
        <v>8122</v>
      </c>
    </row>
    <row r="2025" spans="1:4" x14ac:dyDescent="0.25">
      <c r="A2025" s="279">
        <v>39144</v>
      </c>
      <c r="B2025" t="s">
        <v>339</v>
      </c>
      <c r="C2025" t="s">
        <v>14</v>
      </c>
      <c r="D2025">
        <v>1033</v>
      </c>
    </row>
    <row r="2026" spans="1:4" x14ac:dyDescent="0.25">
      <c r="A2026" s="279">
        <v>39145</v>
      </c>
      <c r="B2026" t="s">
        <v>338</v>
      </c>
      <c r="C2026" t="s">
        <v>81</v>
      </c>
      <c r="D2026">
        <v>76182</v>
      </c>
    </row>
    <row r="2027" spans="1:4" x14ac:dyDescent="0.25">
      <c r="A2027" s="279">
        <v>39145</v>
      </c>
      <c r="B2027" t="s">
        <v>338</v>
      </c>
      <c r="C2027" t="s">
        <v>82</v>
      </c>
      <c r="D2027">
        <v>65737</v>
      </c>
    </row>
    <row r="2028" spans="1:4" x14ac:dyDescent="0.25">
      <c r="A2028" s="279">
        <v>39145</v>
      </c>
      <c r="B2028" t="s">
        <v>338</v>
      </c>
      <c r="C2028" t="s">
        <v>84</v>
      </c>
      <c r="D2028">
        <v>2560</v>
      </c>
    </row>
    <row r="2029" spans="1:4" x14ac:dyDescent="0.25">
      <c r="A2029" s="279">
        <v>39145</v>
      </c>
      <c r="B2029" t="s">
        <v>338</v>
      </c>
      <c r="C2029" t="s">
        <v>83</v>
      </c>
      <c r="D2029">
        <v>0</v>
      </c>
    </row>
    <row r="2030" spans="1:4" x14ac:dyDescent="0.25">
      <c r="A2030" s="279">
        <v>39145</v>
      </c>
      <c r="B2030" t="s">
        <v>338</v>
      </c>
      <c r="C2030" t="s">
        <v>14</v>
      </c>
      <c r="D2030">
        <v>1037</v>
      </c>
    </row>
    <row r="2031" spans="1:4" x14ac:dyDescent="0.25">
      <c r="A2031" s="279">
        <v>39145</v>
      </c>
      <c r="B2031" t="s">
        <v>339</v>
      </c>
      <c r="C2031" t="s">
        <v>20</v>
      </c>
      <c r="D2031">
        <v>96041</v>
      </c>
    </row>
    <row r="2032" spans="1:4" x14ac:dyDescent="0.25">
      <c r="A2032" s="279">
        <v>39145</v>
      </c>
      <c r="B2032" t="s">
        <v>339</v>
      </c>
      <c r="C2032" t="s">
        <v>85</v>
      </c>
      <c r="D2032">
        <v>52649</v>
      </c>
    </row>
    <row r="2033" spans="1:4" x14ac:dyDescent="0.25">
      <c r="A2033" s="279">
        <v>39145</v>
      </c>
      <c r="B2033" t="s">
        <v>339</v>
      </c>
      <c r="C2033" t="s">
        <v>86</v>
      </c>
      <c r="D2033">
        <v>22515</v>
      </c>
    </row>
    <row r="2034" spans="1:4" x14ac:dyDescent="0.25">
      <c r="A2034" s="279">
        <v>39145</v>
      </c>
      <c r="B2034" t="s">
        <v>339</v>
      </c>
      <c r="C2034" t="s">
        <v>87</v>
      </c>
      <c r="D2034">
        <v>4127</v>
      </c>
    </row>
    <row r="2035" spans="1:4" x14ac:dyDescent="0.25">
      <c r="A2035" s="279">
        <v>39145</v>
      </c>
      <c r="B2035" t="s">
        <v>339</v>
      </c>
      <c r="C2035" t="s">
        <v>88</v>
      </c>
      <c r="D2035">
        <v>26947</v>
      </c>
    </row>
    <row r="2036" spans="1:4" x14ac:dyDescent="0.25">
      <c r="A2036" s="279">
        <v>39145</v>
      </c>
      <c r="B2036" t="s">
        <v>339</v>
      </c>
      <c r="C2036" t="s">
        <v>14</v>
      </c>
      <c r="D2036">
        <v>1034</v>
      </c>
    </row>
    <row r="2037" spans="1:4" x14ac:dyDescent="0.25">
      <c r="A2037" s="279">
        <v>39146</v>
      </c>
      <c r="B2037" t="s">
        <v>338</v>
      </c>
      <c r="C2037" t="s">
        <v>81</v>
      </c>
      <c r="D2037">
        <v>93784</v>
      </c>
    </row>
    <row r="2038" spans="1:4" x14ac:dyDescent="0.25">
      <c r="A2038" s="279">
        <v>39146</v>
      </c>
      <c r="B2038" t="s">
        <v>338</v>
      </c>
      <c r="C2038" t="s">
        <v>82</v>
      </c>
      <c r="D2038">
        <v>75585</v>
      </c>
    </row>
    <row r="2039" spans="1:4" x14ac:dyDescent="0.25">
      <c r="A2039" s="279">
        <v>39146</v>
      </c>
      <c r="B2039" t="s">
        <v>338</v>
      </c>
      <c r="C2039" t="s">
        <v>84</v>
      </c>
      <c r="D2039">
        <v>1329</v>
      </c>
    </row>
    <row r="2040" spans="1:4" x14ac:dyDescent="0.25">
      <c r="A2040" s="279">
        <v>39146</v>
      </c>
      <c r="B2040" t="s">
        <v>338</v>
      </c>
      <c r="C2040" t="s">
        <v>83</v>
      </c>
      <c r="D2040">
        <v>0</v>
      </c>
    </row>
    <row r="2041" spans="1:4" x14ac:dyDescent="0.25">
      <c r="A2041" s="279">
        <v>39146</v>
      </c>
      <c r="B2041" t="s">
        <v>338</v>
      </c>
      <c r="C2041" t="s">
        <v>14</v>
      </c>
      <c r="D2041">
        <v>1040</v>
      </c>
    </row>
    <row r="2042" spans="1:4" x14ac:dyDescent="0.25">
      <c r="A2042" s="279">
        <v>39146</v>
      </c>
      <c r="B2042" t="s">
        <v>339</v>
      </c>
      <c r="C2042" t="s">
        <v>20</v>
      </c>
      <c r="D2042">
        <v>91891</v>
      </c>
    </row>
    <row r="2043" spans="1:4" x14ac:dyDescent="0.25">
      <c r="A2043" s="279">
        <v>39146</v>
      </c>
      <c r="B2043" t="s">
        <v>339</v>
      </c>
      <c r="C2043" t="s">
        <v>85</v>
      </c>
      <c r="D2043">
        <v>58767</v>
      </c>
    </row>
    <row r="2044" spans="1:4" x14ac:dyDescent="0.25">
      <c r="A2044" s="279">
        <v>39146</v>
      </c>
      <c r="B2044" t="s">
        <v>339</v>
      </c>
      <c r="C2044" t="s">
        <v>86</v>
      </c>
      <c r="D2044">
        <v>20871</v>
      </c>
    </row>
    <row r="2045" spans="1:4" x14ac:dyDescent="0.25">
      <c r="A2045" s="279">
        <v>39146</v>
      </c>
      <c r="B2045" t="s">
        <v>339</v>
      </c>
      <c r="C2045" t="s">
        <v>87</v>
      </c>
      <c r="D2045">
        <v>20981</v>
      </c>
    </row>
    <row r="2046" spans="1:4" x14ac:dyDescent="0.25">
      <c r="A2046" s="279">
        <v>39146</v>
      </c>
      <c r="B2046" t="s">
        <v>339</v>
      </c>
      <c r="C2046" t="s">
        <v>88</v>
      </c>
      <c r="D2046">
        <v>26434</v>
      </c>
    </row>
    <row r="2047" spans="1:4" x14ac:dyDescent="0.25">
      <c r="A2047" s="279">
        <v>39146</v>
      </c>
      <c r="B2047" t="s">
        <v>339</v>
      </c>
      <c r="C2047" t="s">
        <v>14</v>
      </c>
      <c r="D2047">
        <v>1038</v>
      </c>
    </row>
    <row r="2048" spans="1:4" x14ac:dyDescent="0.25">
      <c r="A2048" s="279">
        <v>39147</v>
      </c>
      <c r="B2048" t="s">
        <v>338</v>
      </c>
      <c r="C2048" t="s">
        <v>81</v>
      </c>
      <c r="D2048">
        <v>116344</v>
      </c>
    </row>
    <row r="2049" spans="1:4" x14ac:dyDescent="0.25">
      <c r="A2049" s="279">
        <v>39147</v>
      </c>
      <c r="B2049" t="s">
        <v>338</v>
      </c>
      <c r="C2049" t="s">
        <v>82</v>
      </c>
      <c r="D2049">
        <v>81103</v>
      </c>
    </row>
    <row r="2050" spans="1:4" x14ac:dyDescent="0.25">
      <c r="A2050" s="279">
        <v>39147</v>
      </c>
      <c r="B2050" t="s">
        <v>338</v>
      </c>
      <c r="C2050" t="s">
        <v>84</v>
      </c>
      <c r="D2050">
        <v>2500</v>
      </c>
    </row>
    <row r="2051" spans="1:4" x14ac:dyDescent="0.25">
      <c r="A2051" s="279">
        <v>39147</v>
      </c>
      <c r="B2051" t="s">
        <v>338</v>
      </c>
      <c r="C2051" t="s">
        <v>83</v>
      </c>
      <c r="D2051">
        <v>0</v>
      </c>
    </row>
    <row r="2052" spans="1:4" x14ac:dyDescent="0.25">
      <c r="A2052" s="279">
        <v>39147</v>
      </c>
      <c r="B2052" t="s">
        <v>338</v>
      </c>
      <c r="C2052" t="s">
        <v>14</v>
      </c>
      <c r="D2052">
        <v>1041</v>
      </c>
    </row>
    <row r="2053" spans="1:4" x14ac:dyDescent="0.25">
      <c r="A2053" s="279">
        <v>39147</v>
      </c>
      <c r="B2053" t="s">
        <v>339</v>
      </c>
      <c r="C2053" t="s">
        <v>20</v>
      </c>
      <c r="D2053">
        <v>82851</v>
      </c>
    </row>
    <row r="2054" spans="1:4" x14ac:dyDescent="0.25">
      <c r="A2054" s="279">
        <v>39147</v>
      </c>
      <c r="B2054" t="s">
        <v>339</v>
      </c>
      <c r="C2054" t="s">
        <v>85</v>
      </c>
      <c r="D2054">
        <v>61371</v>
      </c>
    </row>
    <row r="2055" spans="1:4" x14ac:dyDescent="0.25">
      <c r="A2055" s="279">
        <v>39147</v>
      </c>
      <c r="B2055" t="s">
        <v>339</v>
      </c>
      <c r="C2055" t="s">
        <v>86</v>
      </c>
      <c r="D2055">
        <v>19218</v>
      </c>
    </row>
    <row r="2056" spans="1:4" x14ac:dyDescent="0.25">
      <c r="A2056" s="279">
        <v>39147</v>
      </c>
      <c r="B2056" t="s">
        <v>339</v>
      </c>
      <c r="C2056" t="s">
        <v>87</v>
      </c>
      <c r="D2056">
        <v>23669</v>
      </c>
    </row>
    <row r="2057" spans="1:4" x14ac:dyDescent="0.25">
      <c r="A2057" s="279">
        <v>39147</v>
      </c>
      <c r="B2057" t="s">
        <v>339</v>
      </c>
      <c r="C2057" t="s">
        <v>88</v>
      </c>
      <c r="D2057">
        <v>30200</v>
      </c>
    </row>
    <row r="2058" spans="1:4" x14ac:dyDescent="0.25">
      <c r="A2058" s="279">
        <v>39147</v>
      </c>
      <c r="B2058" t="s">
        <v>339</v>
      </c>
      <c r="C2058" t="s">
        <v>14</v>
      </c>
      <c r="D2058">
        <v>1042</v>
      </c>
    </row>
    <row r="2059" spans="1:4" x14ac:dyDescent="0.25">
      <c r="A2059" s="279">
        <v>39148</v>
      </c>
      <c r="B2059" t="s">
        <v>338</v>
      </c>
      <c r="C2059" t="s">
        <v>81</v>
      </c>
      <c r="D2059">
        <v>113163</v>
      </c>
    </row>
    <row r="2060" spans="1:4" x14ac:dyDescent="0.25">
      <c r="A2060" s="279">
        <v>39148</v>
      </c>
      <c r="B2060" t="s">
        <v>338</v>
      </c>
      <c r="C2060" t="s">
        <v>82</v>
      </c>
      <c r="D2060">
        <v>82547</v>
      </c>
    </row>
    <row r="2061" spans="1:4" x14ac:dyDescent="0.25">
      <c r="A2061" s="279">
        <v>39148</v>
      </c>
      <c r="B2061" t="s">
        <v>338</v>
      </c>
      <c r="C2061" t="s">
        <v>84</v>
      </c>
      <c r="D2061">
        <v>2500</v>
      </c>
    </row>
    <row r="2062" spans="1:4" x14ac:dyDescent="0.25">
      <c r="A2062" s="279">
        <v>39148</v>
      </c>
      <c r="B2062" t="s">
        <v>338</v>
      </c>
      <c r="C2062" t="s">
        <v>83</v>
      </c>
      <c r="D2062">
        <v>0</v>
      </c>
    </row>
    <row r="2063" spans="1:4" x14ac:dyDescent="0.25">
      <c r="A2063" s="279">
        <v>39148</v>
      </c>
      <c r="B2063" t="s">
        <v>338</v>
      </c>
      <c r="C2063" t="s">
        <v>14</v>
      </c>
      <c r="D2063">
        <v>1039</v>
      </c>
    </row>
    <row r="2064" spans="1:4" x14ac:dyDescent="0.25">
      <c r="A2064" s="279">
        <v>39148</v>
      </c>
      <c r="B2064" t="s">
        <v>339</v>
      </c>
      <c r="C2064" t="s">
        <v>20</v>
      </c>
      <c r="D2064">
        <v>84893</v>
      </c>
    </row>
    <row r="2065" spans="1:4" x14ac:dyDescent="0.25">
      <c r="A2065" s="279">
        <v>39148</v>
      </c>
      <c r="B2065" t="s">
        <v>339</v>
      </c>
      <c r="C2065" t="s">
        <v>85</v>
      </c>
      <c r="D2065">
        <v>61192</v>
      </c>
    </row>
    <row r="2066" spans="1:4" x14ac:dyDescent="0.25">
      <c r="A2066" s="279">
        <v>39148</v>
      </c>
      <c r="B2066" t="s">
        <v>339</v>
      </c>
      <c r="C2066" t="s">
        <v>86</v>
      </c>
      <c r="D2066">
        <v>23011</v>
      </c>
    </row>
    <row r="2067" spans="1:4" x14ac:dyDescent="0.25">
      <c r="A2067" s="279">
        <v>39148</v>
      </c>
      <c r="B2067" t="s">
        <v>339</v>
      </c>
      <c r="C2067" t="s">
        <v>87</v>
      </c>
      <c r="D2067">
        <v>21831</v>
      </c>
    </row>
    <row r="2068" spans="1:4" x14ac:dyDescent="0.25">
      <c r="A2068" s="279">
        <v>39148</v>
      </c>
      <c r="B2068" t="s">
        <v>339</v>
      </c>
      <c r="C2068" t="s">
        <v>88</v>
      </c>
      <c r="D2068">
        <v>27741</v>
      </c>
    </row>
    <row r="2069" spans="1:4" x14ac:dyDescent="0.25">
      <c r="A2069" s="279">
        <v>39148</v>
      </c>
      <c r="B2069" t="s">
        <v>339</v>
      </c>
      <c r="C2069" t="s">
        <v>14</v>
      </c>
      <c r="D2069">
        <v>1039</v>
      </c>
    </row>
    <row r="2070" spans="1:4" x14ac:dyDescent="0.25">
      <c r="A2070" s="279">
        <v>39149</v>
      </c>
      <c r="B2070" t="s">
        <v>338</v>
      </c>
      <c r="C2070" t="s">
        <v>81</v>
      </c>
      <c r="D2070">
        <v>113574</v>
      </c>
    </row>
    <row r="2071" spans="1:4" x14ac:dyDescent="0.25">
      <c r="A2071" s="279">
        <v>39149</v>
      </c>
      <c r="B2071" t="s">
        <v>338</v>
      </c>
      <c r="C2071" t="s">
        <v>82</v>
      </c>
      <c r="D2071">
        <v>81425</v>
      </c>
    </row>
    <row r="2072" spans="1:4" x14ac:dyDescent="0.25">
      <c r="A2072" s="279">
        <v>39149</v>
      </c>
      <c r="B2072" t="s">
        <v>338</v>
      </c>
      <c r="C2072" t="s">
        <v>84</v>
      </c>
      <c r="D2072">
        <v>2811</v>
      </c>
    </row>
    <row r="2073" spans="1:4" x14ac:dyDescent="0.25">
      <c r="A2073" s="279">
        <v>39149</v>
      </c>
      <c r="B2073" t="s">
        <v>338</v>
      </c>
      <c r="C2073" t="s">
        <v>83</v>
      </c>
      <c r="D2073">
        <v>0</v>
      </c>
    </row>
    <row r="2074" spans="1:4" x14ac:dyDescent="0.25">
      <c r="A2074" s="279">
        <v>39149</v>
      </c>
      <c r="B2074" t="s">
        <v>338</v>
      </c>
      <c r="C2074" t="s">
        <v>14</v>
      </c>
      <c r="D2074">
        <v>1040</v>
      </c>
    </row>
    <row r="2075" spans="1:4" x14ac:dyDescent="0.25">
      <c r="A2075" s="279">
        <v>39149</v>
      </c>
      <c r="B2075" t="s">
        <v>339</v>
      </c>
      <c r="C2075" t="s">
        <v>20</v>
      </c>
      <c r="D2075">
        <v>90316</v>
      </c>
    </row>
    <row r="2076" spans="1:4" x14ac:dyDescent="0.25">
      <c r="A2076" s="279">
        <v>39149</v>
      </c>
      <c r="B2076" t="s">
        <v>339</v>
      </c>
      <c r="C2076" t="s">
        <v>85</v>
      </c>
      <c r="D2076">
        <v>59731</v>
      </c>
    </row>
    <row r="2077" spans="1:4" x14ac:dyDescent="0.25">
      <c r="A2077" s="279">
        <v>39149</v>
      </c>
      <c r="B2077" t="s">
        <v>339</v>
      </c>
      <c r="C2077" t="s">
        <v>86</v>
      </c>
      <c r="D2077">
        <v>22588</v>
      </c>
    </row>
    <row r="2078" spans="1:4" x14ac:dyDescent="0.25">
      <c r="A2078" s="279">
        <v>39149</v>
      </c>
      <c r="B2078" t="s">
        <v>339</v>
      </c>
      <c r="C2078" t="s">
        <v>87</v>
      </c>
      <c r="D2078">
        <v>23942</v>
      </c>
    </row>
    <row r="2079" spans="1:4" x14ac:dyDescent="0.25">
      <c r="A2079" s="279">
        <v>39149</v>
      </c>
      <c r="B2079" t="s">
        <v>339</v>
      </c>
      <c r="C2079" t="s">
        <v>88</v>
      </c>
      <c r="D2079">
        <v>26029</v>
      </c>
    </row>
    <row r="2080" spans="1:4" x14ac:dyDescent="0.25">
      <c r="A2080" s="279">
        <v>39149</v>
      </c>
      <c r="B2080" t="s">
        <v>339</v>
      </c>
      <c r="C2080" t="s">
        <v>14</v>
      </c>
      <c r="D2080">
        <v>1041</v>
      </c>
    </row>
    <row r="2081" spans="1:4" x14ac:dyDescent="0.25">
      <c r="A2081" s="279">
        <v>39150</v>
      </c>
      <c r="B2081" t="s">
        <v>338</v>
      </c>
      <c r="C2081" t="s">
        <v>81</v>
      </c>
      <c r="D2081">
        <v>77790</v>
      </c>
    </row>
    <row r="2082" spans="1:4" x14ac:dyDescent="0.25">
      <c r="A2082" s="279">
        <v>39150</v>
      </c>
      <c r="B2082" t="s">
        <v>338</v>
      </c>
      <c r="C2082" t="s">
        <v>82</v>
      </c>
      <c r="D2082">
        <v>65989</v>
      </c>
    </row>
    <row r="2083" spans="1:4" x14ac:dyDescent="0.25">
      <c r="A2083" s="279">
        <v>39150</v>
      </c>
      <c r="B2083" t="s">
        <v>338</v>
      </c>
      <c r="C2083" t="s">
        <v>84</v>
      </c>
      <c r="D2083">
        <v>2730</v>
      </c>
    </row>
    <row r="2084" spans="1:4" x14ac:dyDescent="0.25">
      <c r="A2084" s="279">
        <v>39150</v>
      </c>
      <c r="B2084" t="s">
        <v>338</v>
      </c>
      <c r="C2084" t="s">
        <v>83</v>
      </c>
      <c r="D2084">
        <v>0</v>
      </c>
    </row>
    <row r="2085" spans="1:4" x14ac:dyDescent="0.25">
      <c r="A2085" s="279">
        <v>39150</v>
      </c>
      <c r="B2085" t="s">
        <v>338</v>
      </c>
      <c r="C2085" t="s">
        <v>14</v>
      </c>
      <c r="D2085">
        <v>1039</v>
      </c>
    </row>
    <row r="2086" spans="1:4" x14ac:dyDescent="0.25">
      <c r="A2086" s="279">
        <v>39150</v>
      </c>
      <c r="B2086" t="s">
        <v>339</v>
      </c>
      <c r="C2086" t="s">
        <v>20</v>
      </c>
      <c r="D2086">
        <v>88049</v>
      </c>
    </row>
    <row r="2087" spans="1:4" x14ac:dyDescent="0.25">
      <c r="A2087" s="279">
        <v>39150</v>
      </c>
      <c r="B2087" t="s">
        <v>339</v>
      </c>
      <c r="C2087" t="s">
        <v>85</v>
      </c>
      <c r="D2087">
        <v>61135</v>
      </c>
    </row>
    <row r="2088" spans="1:4" x14ac:dyDescent="0.25">
      <c r="A2088" s="279">
        <v>39150</v>
      </c>
      <c r="B2088" t="s">
        <v>339</v>
      </c>
      <c r="C2088" t="s">
        <v>86</v>
      </c>
      <c r="D2088">
        <v>18191</v>
      </c>
    </row>
    <row r="2089" spans="1:4" x14ac:dyDescent="0.25">
      <c r="A2089" s="279">
        <v>39150</v>
      </c>
      <c r="B2089" t="s">
        <v>339</v>
      </c>
      <c r="C2089" t="s">
        <v>87</v>
      </c>
      <c r="D2089">
        <v>20007</v>
      </c>
    </row>
    <row r="2090" spans="1:4" x14ac:dyDescent="0.25">
      <c r="A2090" s="279">
        <v>39150</v>
      </c>
      <c r="B2090" t="s">
        <v>339</v>
      </c>
      <c r="C2090" t="s">
        <v>88</v>
      </c>
      <c r="D2090">
        <v>23308</v>
      </c>
    </row>
    <row r="2091" spans="1:4" x14ac:dyDescent="0.25">
      <c r="A2091" s="279">
        <v>39150</v>
      </c>
      <c r="B2091" t="s">
        <v>339</v>
      </c>
      <c r="C2091" t="s">
        <v>14</v>
      </c>
      <c r="D2091">
        <v>1036</v>
      </c>
    </row>
    <row r="2092" spans="1:4" x14ac:dyDescent="0.25">
      <c r="A2092" s="279">
        <v>39151</v>
      </c>
      <c r="B2092" t="s">
        <v>338</v>
      </c>
      <c r="C2092" t="s">
        <v>81</v>
      </c>
      <c r="D2092">
        <v>53929</v>
      </c>
    </row>
    <row r="2093" spans="1:4" x14ac:dyDescent="0.25">
      <c r="A2093" s="279">
        <v>39151</v>
      </c>
      <c r="B2093" t="s">
        <v>338</v>
      </c>
      <c r="C2093" t="s">
        <v>82</v>
      </c>
      <c r="D2093">
        <v>49458</v>
      </c>
    </row>
    <row r="2094" spans="1:4" x14ac:dyDescent="0.25">
      <c r="A2094" s="279">
        <v>39151</v>
      </c>
      <c r="B2094" t="s">
        <v>338</v>
      </c>
      <c r="C2094" t="s">
        <v>84</v>
      </c>
      <c r="D2094">
        <v>1840</v>
      </c>
    </row>
    <row r="2095" spans="1:4" x14ac:dyDescent="0.25">
      <c r="A2095" s="279">
        <v>39151</v>
      </c>
      <c r="B2095" t="s">
        <v>338</v>
      </c>
      <c r="C2095" t="s">
        <v>83</v>
      </c>
      <c r="D2095">
        <v>0</v>
      </c>
    </row>
    <row r="2096" spans="1:4" x14ac:dyDescent="0.25">
      <c r="A2096" s="279">
        <v>39151</v>
      </c>
      <c r="B2096" t="s">
        <v>338</v>
      </c>
      <c r="C2096" t="s">
        <v>14</v>
      </c>
      <c r="D2096">
        <v>1039</v>
      </c>
    </row>
    <row r="2097" spans="1:4" x14ac:dyDescent="0.25">
      <c r="A2097" s="279">
        <v>39151</v>
      </c>
      <c r="B2097" t="s">
        <v>339</v>
      </c>
      <c r="C2097" t="s">
        <v>20</v>
      </c>
      <c r="D2097">
        <v>52287</v>
      </c>
    </row>
    <row r="2098" spans="1:4" x14ac:dyDescent="0.25">
      <c r="A2098" s="279">
        <v>39151</v>
      </c>
      <c r="B2098" t="s">
        <v>339</v>
      </c>
      <c r="C2098" t="s">
        <v>85</v>
      </c>
      <c r="D2098">
        <v>31588</v>
      </c>
    </row>
    <row r="2099" spans="1:4" x14ac:dyDescent="0.25">
      <c r="A2099" s="279">
        <v>39151</v>
      </c>
      <c r="B2099" t="s">
        <v>339</v>
      </c>
      <c r="C2099" t="s">
        <v>86</v>
      </c>
      <c r="D2099">
        <v>2289</v>
      </c>
    </row>
    <row r="2100" spans="1:4" x14ac:dyDescent="0.25">
      <c r="A2100" s="279">
        <v>39151</v>
      </c>
      <c r="B2100" t="s">
        <v>339</v>
      </c>
      <c r="C2100" t="s">
        <v>87</v>
      </c>
      <c r="D2100">
        <v>301</v>
      </c>
    </row>
    <row r="2101" spans="1:4" x14ac:dyDescent="0.25">
      <c r="A2101" s="279">
        <v>39151</v>
      </c>
      <c r="B2101" t="s">
        <v>339</v>
      </c>
      <c r="C2101" t="s">
        <v>88</v>
      </c>
      <c r="D2101">
        <v>1888</v>
      </c>
    </row>
    <row r="2102" spans="1:4" x14ac:dyDescent="0.25">
      <c r="A2102" s="279">
        <v>39151</v>
      </c>
      <c r="B2102" t="s">
        <v>339</v>
      </c>
      <c r="C2102" t="s">
        <v>14</v>
      </c>
      <c r="D2102">
        <v>1038</v>
      </c>
    </row>
    <row r="2103" spans="1:4" x14ac:dyDescent="0.25">
      <c r="A2103" s="279">
        <v>39152</v>
      </c>
      <c r="B2103" t="s">
        <v>338</v>
      </c>
      <c r="C2103" t="s">
        <v>81</v>
      </c>
      <c r="D2103">
        <v>51925</v>
      </c>
    </row>
    <row r="2104" spans="1:4" x14ac:dyDescent="0.25">
      <c r="A2104" s="279">
        <v>39152</v>
      </c>
      <c r="B2104" t="s">
        <v>338</v>
      </c>
      <c r="C2104" t="s">
        <v>82</v>
      </c>
      <c r="D2104">
        <v>52740</v>
      </c>
    </row>
    <row r="2105" spans="1:4" x14ac:dyDescent="0.25">
      <c r="A2105" s="279">
        <v>39152</v>
      </c>
      <c r="B2105" t="s">
        <v>338</v>
      </c>
      <c r="C2105" t="s">
        <v>84</v>
      </c>
      <c r="D2105">
        <v>2000</v>
      </c>
    </row>
    <row r="2106" spans="1:4" x14ac:dyDescent="0.25">
      <c r="A2106" s="279">
        <v>39152</v>
      </c>
      <c r="B2106" t="s">
        <v>338</v>
      </c>
      <c r="C2106" t="s">
        <v>83</v>
      </c>
      <c r="D2106">
        <v>0</v>
      </c>
    </row>
    <row r="2107" spans="1:4" x14ac:dyDescent="0.25">
      <c r="A2107" s="279">
        <v>39152</v>
      </c>
      <c r="B2107" t="s">
        <v>338</v>
      </c>
      <c r="C2107" t="s">
        <v>14</v>
      </c>
      <c r="D2107">
        <v>1039</v>
      </c>
    </row>
    <row r="2108" spans="1:4" x14ac:dyDescent="0.25">
      <c r="A2108" s="279">
        <v>39152</v>
      </c>
      <c r="B2108" t="s">
        <v>339</v>
      </c>
      <c r="C2108" t="s">
        <v>20</v>
      </c>
      <c r="D2108">
        <v>76493</v>
      </c>
    </row>
    <row r="2109" spans="1:4" x14ac:dyDescent="0.25">
      <c r="A2109" s="279">
        <v>39152</v>
      </c>
      <c r="B2109" t="s">
        <v>339</v>
      </c>
      <c r="C2109" t="s">
        <v>85</v>
      </c>
      <c r="D2109">
        <v>39166</v>
      </c>
    </row>
    <row r="2110" spans="1:4" x14ac:dyDescent="0.25">
      <c r="A2110" s="279">
        <v>39152</v>
      </c>
      <c r="B2110" t="s">
        <v>339</v>
      </c>
      <c r="C2110" t="s">
        <v>86</v>
      </c>
      <c r="D2110">
        <v>6240</v>
      </c>
    </row>
    <row r="2111" spans="1:4" x14ac:dyDescent="0.25">
      <c r="A2111" s="279">
        <v>39152</v>
      </c>
      <c r="B2111" t="s">
        <v>339</v>
      </c>
      <c r="C2111" t="s">
        <v>87</v>
      </c>
      <c r="D2111">
        <v>0</v>
      </c>
    </row>
    <row r="2112" spans="1:4" x14ac:dyDescent="0.25">
      <c r="A2112" s="279">
        <v>39152</v>
      </c>
      <c r="B2112" t="s">
        <v>339</v>
      </c>
      <c r="C2112" t="s">
        <v>88</v>
      </c>
      <c r="D2112">
        <v>15243</v>
      </c>
    </row>
    <row r="2113" spans="1:4" x14ac:dyDescent="0.25">
      <c r="A2113" s="279">
        <v>39152</v>
      </c>
      <c r="B2113" t="s">
        <v>339</v>
      </c>
      <c r="C2113" t="s">
        <v>14</v>
      </c>
      <c r="D2113">
        <v>1036</v>
      </c>
    </row>
    <row r="2114" spans="1:4" x14ac:dyDescent="0.25">
      <c r="A2114" s="279">
        <v>39153</v>
      </c>
      <c r="B2114" t="s">
        <v>338</v>
      </c>
      <c r="C2114" t="s">
        <v>81</v>
      </c>
      <c r="D2114">
        <v>48542</v>
      </c>
    </row>
    <row r="2115" spans="1:4" x14ac:dyDescent="0.25">
      <c r="A2115" s="279">
        <v>39153</v>
      </c>
      <c r="B2115" t="s">
        <v>338</v>
      </c>
      <c r="C2115" t="s">
        <v>82</v>
      </c>
      <c r="D2115">
        <v>53941</v>
      </c>
    </row>
    <row r="2116" spans="1:4" x14ac:dyDescent="0.25">
      <c r="A2116" s="279">
        <v>39153</v>
      </c>
      <c r="B2116" t="s">
        <v>338</v>
      </c>
      <c r="C2116" t="s">
        <v>84</v>
      </c>
      <c r="D2116">
        <v>1980</v>
      </c>
    </row>
    <row r="2117" spans="1:4" x14ac:dyDescent="0.25">
      <c r="A2117" s="279">
        <v>39153</v>
      </c>
      <c r="B2117" t="s">
        <v>338</v>
      </c>
      <c r="C2117" t="s">
        <v>83</v>
      </c>
      <c r="D2117">
        <v>0</v>
      </c>
    </row>
    <row r="2118" spans="1:4" x14ac:dyDescent="0.25">
      <c r="A2118" s="279">
        <v>39153</v>
      </c>
      <c r="B2118" t="s">
        <v>338</v>
      </c>
      <c r="C2118" t="s">
        <v>14</v>
      </c>
      <c r="D2118">
        <v>1035</v>
      </c>
    </row>
    <row r="2119" spans="1:4" x14ac:dyDescent="0.25">
      <c r="A2119" s="279">
        <v>39153</v>
      </c>
      <c r="B2119" t="s">
        <v>339</v>
      </c>
      <c r="C2119" t="s">
        <v>20</v>
      </c>
      <c r="D2119">
        <v>57286</v>
      </c>
    </row>
    <row r="2120" spans="1:4" x14ac:dyDescent="0.25">
      <c r="A2120" s="279">
        <v>39153</v>
      </c>
      <c r="B2120" t="s">
        <v>339</v>
      </c>
      <c r="C2120" t="s">
        <v>85</v>
      </c>
      <c r="D2120">
        <v>32783</v>
      </c>
    </row>
    <row r="2121" spans="1:4" x14ac:dyDescent="0.25">
      <c r="A2121" s="279">
        <v>39153</v>
      </c>
      <c r="B2121" t="s">
        <v>339</v>
      </c>
      <c r="C2121" t="s">
        <v>86</v>
      </c>
      <c r="D2121">
        <v>7187</v>
      </c>
    </row>
    <row r="2122" spans="1:4" x14ac:dyDescent="0.25">
      <c r="A2122" s="279">
        <v>39153</v>
      </c>
      <c r="B2122" t="s">
        <v>339</v>
      </c>
      <c r="C2122" t="s">
        <v>87</v>
      </c>
      <c r="D2122">
        <v>0</v>
      </c>
    </row>
    <row r="2123" spans="1:4" x14ac:dyDescent="0.25">
      <c r="A2123" s="279">
        <v>39153</v>
      </c>
      <c r="B2123" t="s">
        <v>339</v>
      </c>
      <c r="C2123" t="s">
        <v>88</v>
      </c>
      <c r="D2123">
        <v>1764</v>
      </c>
    </row>
    <row r="2124" spans="1:4" x14ac:dyDescent="0.25">
      <c r="A2124" s="279">
        <v>39153</v>
      </c>
      <c r="B2124" t="s">
        <v>339</v>
      </c>
      <c r="C2124" t="s">
        <v>14</v>
      </c>
      <c r="D2124">
        <v>1034</v>
      </c>
    </row>
    <row r="2125" spans="1:4" x14ac:dyDescent="0.25">
      <c r="A2125" s="279">
        <v>39154</v>
      </c>
      <c r="B2125" t="s">
        <v>338</v>
      </c>
      <c r="C2125" t="s">
        <v>81</v>
      </c>
      <c r="D2125">
        <v>32423</v>
      </c>
    </row>
    <row r="2126" spans="1:4" x14ac:dyDescent="0.25">
      <c r="A2126" s="279">
        <v>39154</v>
      </c>
      <c r="B2126" t="s">
        <v>338</v>
      </c>
      <c r="C2126" t="s">
        <v>82</v>
      </c>
      <c r="D2126">
        <v>39756</v>
      </c>
    </row>
    <row r="2127" spans="1:4" x14ac:dyDescent="0.25">
      <c r="A2127" s="279">
        <v>39154</v>
      </c>
      <c r="B2127" t="s">
        <v>338</v>
      </c>
      <c r="C2127" t="s">
        <v>84</v>
      </c>
      <c r="D2127">
        <v>1590</v>
      </c>
    </row>
    <row r="2128" spans="1:4" x14ac:dyDescent="0.25">
      <c r="A2128" s="279">
        <v>39154</v>
      </c>
      <c r="B2128" t="s">
        <v>338</v>
      </c>
      <c r="C2128" t="s">
        <v>83</v>
      </c>
      <c r="D2128">
        <v>0</v>
      </c>
    </row>
    <row r="2129" spans="1:4" x14ac:dyDescent="0.25">
      <c r="A2129" s="279">
        <v>39154</v>
      </c>
      <c r="B2129" t="s">
        <v>338</v>
      </c>
      <c r="C2129" t="s">
        <v>14</v>
      </c>
      <c r="D2129">
        <v>1033</v>
      </c>
    </row>
    <row r="2130" spans="1:4" x14ac:dyDescent="0.25">
      <c r="A2130" s="279">
        <v>39154</v>
      </c>
      <c r="B2130" t="s">
        <v>339</v>
      </c>
      <c r="C2130" t="s">
        <v>20</v>
      </c>
      <c r="D2130">
        <v>56134</v>
      </c>
    </row>
    <row r="2131" spans="1:4" x14ac:dyDescent="0.25">
      <c r="A2131" s="279">
        <v>39154</v>
      </c>
      <c r="B2131" t="s">
        <v>339</v>
      </c>
      <c r="C2131" t="s">
        <v>85</v>
      </c>
      <c r="D2131">
        <v>15262</v>
      </c>
    </row>
    <row r="2132" spans="1:4" x14ac:dyDescent="0.25">
      <c r="A2132" s="279">
        <v>39154</v>
      </c>
      <c r="B2132" t="s">
        <v>339</v>
      </c>
      <c r="C2132" t="s">
        <v>86</v>
      </c>
      <c r="D2132">
        <v>374</v>
      </c>
    </row>
    <row r="2133" spans="1:4" x14ac:dyDescent="0.25">
      <c r="A2133" s="279">
        <v>39154</v>
      </c>
      <c r="B2133" t="s">
        <v>339</v>
      </c>
      <c r="C2133" t="s">
        <v>87</v>
      </c>
      <c r="D2133">
        <v>0</v>
      </c>
    </row>
    <row r="2134" spans="1:4" x14ac:dyDescent="0.25">
      <c r="A2134" s="279">
        <v>39154</v>
      </c>
      <c r="B2134" t="s">
        <v>339</v>
      </c>
      <c r="C2134" t="s">
        <v>88</v>
      </c>
      <c r="D2134">
        <v>0</v>
      </c>
    </row>
    <row r="2135" spans="1:4" x14ac:dyDescent="0.25">
      <c r="A2135" s="279">
        <v>39154</v>
      </c>
      <c r="B2135" t="s">
        <v>339</v>
      </c>
      <c r="C2135" t="s">
        <v>14</v>
      </c>
      <c r="D2135">
        <v>1034</v>
      </c>
    </row>
    <row r="2136" spans="1:4" x14ac:dyDescent="0.25">
      <c r="A2136" s="279">
        <v>39155</v>
      </c>
      <c r="B2136" t="s">
        <v>338</v>
      </c>
      <c r="C2136" t="s">
        <v>81</v>
      </c>
      <c r="D2136">
        <v>25416</v>
      </c>
    </row>
    <row r="2137" spans="1:4" x14ac:dyDescent="0.25">
      <c r="A2137" s="279">
        <v>39155</v>
      </c>
      <c r="B2137" t="s">
        <v>338</v>
      </c>
      <c r="C2137" t="s">
        <v>82</v>
      </c>
      <c r="D2137">
        <v>12227</v>
      </c>
    </row>
    <row r="2138" spans="1:4" x14ac:dyDescent="0.25">
      <c r="A2138" s="279">
        <v>39155</v>
      </c>
      <c r="B2138" t="s">
        <v>338</v>
      </c>
      <c r="C2138" t="s">
        <v>84</v>
      </c>
      <c r="D2138">
        <v>1090</v>
      </c>
    </row>
    <row r="2139" spans="1:4" x14ac:dyDescent="0.25">
      <c r="A2139" s="279">
        <v>39155</v>
      </c>
      <c r="B2139" t="s">
        <v>338</v>
      </c>
      <c r="C2139" t="s">
        <v>83</v>
      </c>
      <c r="D2139">
        <v>0</v>
      </c>
    </row>
    <row r="2140" spans="1:4" x14ac:dyDescent="0.25">
      <c r="A2140" s="279">
        <v>39155</v>
      </c>
      <c r="B2140" t="s">
        <v>338</v>
      </c>
      <c r="C2140" t="s">
        <v>14</v>
      </c>
      <c r="D2140">
        <v>1034</v>
      </c>
    </row>
    <row r="2141" spans="1:4" x14ac:dyDescent="0.25">
      <c r="A2141" s="279">
        <v>39155</v>
      </c>
      <c r="B2141" t="s">
        <v>339</v>
      </c>
      <c r="C2141" t="s">
        <v>20</v>
      </c>
      <c r="D2141">
        <v>57493</v>
      </c>
    </row>
    <row r="2142" spans="1:4" x14ac:dyDescent="0.25">
      <c r="A2142" s="279">
        <v>39155</v>
      </c>
      <c r="B2142" t="s">
        <v>339</v>
      </c>
      <c r="C2142" t="s">
        <v>85</v>
      </c>
      <c r="D2142">
        <v>0</v>
      </c>
    </row>
    <row r="2143" spans="1:4" x14ac:dyDescent="0.25">
      <c r="A2143" s="279">
        <v>39155</v>
      </c>
      <c r="B2143" t="s">
        <v>339</v>
      </c>
      <c r="C2143" t="s">
        <v>86</v>
      </c>
      <c r="D2143">
        <v>0</v>
      </c>
    </row>
    <row r="2144" spans="1:4" x14ac:dyDescent="0.25">
      <c r="A2144" s="279">
        <v>39155</v>
      </c>
      <c r="B2144" t="s">
        <v>339</v>
      </c>
      <c r="C2144" t="s">
        <v>87</v>
      </c>
      <c r="D2144">
        <v>0</v>
      </c>
    </row>
    <row r="2145" spans="1:4" x14ac:dyDescent="0.25">
      <c r="A2145" s="279">
        <v>39155</v>
      </c>
      <c r="B2145" t="s">
        <v>339</v>
      </c>
      <c r="C2145" t="s">
        <v>88</v>
      </c>
      <c r="D2145">
        <v>0</v>
      </c>
    </row>
    <row r="2146" spans="1:4" x14ac:dyDescent="0.25">
      <c r="A2146" s="279">
        <v>39155</v>
      </c>
      <c r="B2146" t="s">
        <v>339</v>
      </c>
      <c r="C2146" t="s">
        <v>14</v>
      </c>
      <c r="D2146">
        <v>1036</v>
      </c>
    </row>
    <row r="2147" spans="1:4" x14ac:dyDescent="0.25">
      <c r="A2147" s="279">
        <v>39156</v>
      </c>
      <c r="B2147" t="s">
        <v>338</v>
      </c>
      <c r="C2147" t="s">
        <v>81</v>
      </c>
      <c r="D2147">
        <v>52106</v>
      </c>
    </row>
    <row r="2148" spans="1:4" x14ac:dyDescent="0.25">
      <c r="A2148" s="279">
        <v>39156</v>
      </c>
      <c r="B2148" t="s">
        <v>338</v>
      </c>
      <c r="C2148" t="s">
        <v>82</v>
      </c>
      <c r="D2148">
        <v>19798</v>
      </c>
    </row>
    <row r="2149" spans="1:4" x14ac:dyDescent="0.25">
      <c r="A2149" s="279">
        <v>39156</v>
      </c>
      <c r="B2149" t="s">
        <v>338</v>
      </c>
      <c r="C2149" t="s">
        <v>84</v>
      </c>
      <c r="D2149">
        <v>1941</v>
      </c>
    </row>
    <row r="2150" spans="1:4" x14ac:dyDescent="0.25">
      <c r="A2150" s="279">
        <v>39156</v>
      </c>
      <c r="B2150" t="s">
        <v>338</v>
      </c>
      <c r="C2150" t="s">
        <v>83</v>
      </c>
      <c r="D2150">
        <v>0</v>
      </c>
    </row>
    <row r="2151" spans="1:4" x14ac:dyDescent="0.25">
      <c r="A2151" s="279">
        <v>39156</v>
      </c>
      <c r="B2151" t="s">
        <v>338</v>
      </c>
      <c r="C2151" t="s">
        <v>14</v>
      </c>
      <c r="D2151">
        <v>1035</v>
      </c>
    </row>
    <row r="2152" spans="1:4" x14ac:dyDescent="0.25">
      <c r="A2152" s="279">
        <v>39156</v>
      </c>
      <c r="B2152" t="s">
        <v>339</v>
      </c>
      <c r="C2152" t="s">
        <v>20</v>
      </c>
      <c r="D2152">
        <v>71672</v>
      </c>
    </row>
    <row r="2153" spans="1:4" x14ac:dyDescent="0.25">
      <c r="A2153" s="279">
        <v>39156</v>
      </c>
      <c r="B2153" t="s">
        <v>339</v>
      </c>
      <c r="C2153" t="s">
        <v>85</v>
      </c>
      <c r="D2153">
        <v>29814</v>
      </c>
    </row>
    <row r="2154" spans="1:4" x14ac:dyDescent="0.25">
      <c r="A2154" s="279">
        <v>39156</v>
      </c>
      <c r="B2154" t="s">
        <v>339</v>
      </c>
      <c r="C2154" t="s">
        <v>86</v>
      </c>
      <c r="D2154">
        <v>4827</v>
      </c>
    </row>
    <row r="2155" spans="1:4" x14ac:dyDescent="0.25">
      <c r="A2155" s="279">
        <v>39156</v>
      </c>
      <c r="B2155" t="s">
        <v>339</v>
      </c>
      <c r="C2155" t="s">
        <v>87</v>
      </c>
      <c r="D2155">
        <v>0</v>
      </c>
    </row>
    <row r="2156" spans="1:4" x14ac:dyDescent="0.25">
      <c r="A2156" s="279">
        <v>39156</v>
      </c>
      <c r="B2156" t="s">
        <v>339</v>
      </c>
      <c r="C2156" t="s">
        <v>88</v>
      </c>
      <c r="D2156">
        <v>9031</v>
      </c>
    </row>
    <row r="2157" spans="1:4" x14ac:dyDescent="0.25">
      <c r="A2157" s="279">
        <v>39156</v>
      </c>
      <c r="B2157" t="s">
        <v>339</v>
      </c>
      <c r="C2157" t="s">
        <v>14</v>
      </c>
      <c r="D2157">
        <v>1035</v>
      </c>
    </row>
    <row r="2158" spans="1:4" x14ac:dyDescent="0.25">
      <c r="A2158" s="279">
        <v>39157</v>
      </c>
      <c r="B2158" t="s">
        <v>338</v>
      </c>
      <c r="C2158" t="s">
        <v>81</v>
      </c>
      <c r="D2158">
        <v>87001</v>
      </c>
    </row>
    <row r="2159" spans="1:4" x14ac:dyDescent="0.25">
      <c r="A2159" s="279">
        <v>39157</v>
      </c>
      <c r="B2159" t="s">
        <v>338</v>
      </c>
      <c r="C2159" t="s">
        <v>82</v>
      </c>
      <c r="D2159">
        <v>76855</v>
      </c>
    </row>
    <row r="2160" spans="1:4" x14ac:dyDescent="0.25">
      <c r="A2160" s="279">
        <v>39157</v>
      </c>
      <c r="B2160" t="s">
        <v>338</v>
      </c>
      <c r="C2160" t="s">
        <v>84</v>
      </c>
      <c r="D2160">
        <v>3080</v>
      </c>
    </row>
    <row r="2161" spans="1:4" x14ac:dyDescent="0.25">
      <c r="A2161" s="279">
        <v>39157</v>
      </c>
      <c r="B2161" t="s">
        <v>338</v>
      </c>
      <c r="C2161" t="s">
        <v>83</v>
      </c>
      <c r="D2161">
        <v>0</v>
      </c>
    </row>
    <row r="2162" spans="1:4" x14ac:dyDescent="0.25">
      <c r="A2162" s="279">
        <v>39157</v>
      </c>
      <c r="B2162" t="s">
        <v>338</v>
      </c>
      <c r="C2162" t="s">
        <v>14</v>
      </c>
      <c r="D2162">
        <v>1035</v>
      </c>
    </row>
    <row r="2163" spans="1:4" x14ac:dyDescent="0.25">
      <c r="A2163" s="279">
        <v>39157</v>
      </c>
      <c r="B2163" t="s">
        <v>339</v>
      </c>
      <c r="C2163" t="s">
        <v>20</v>
      </c>
      <c r="D2163">
        <v>95399</v>
      </c>
    </row>
    <row r="2164" spans="1:4" x14ac:dyDescent="0.25">
      <c r="A2164" s="279">
        <v>39157</v>
      </c>
      <c r="B2164" t="s">
        <v>339</v>
      </c>
      <c r="C2164" t="s">
        <v>85</v>
      </c>
      <c r="D2164">
        <v>55922</v>
      </c>
    </row>
    <row r="2165" spans="1:4" x14ac:dyDescent="0.25">
      <c r="A2165" s="279">
        <v>39157</v>
      </c>
      <c r="B2165" t="s">
        <v>339</v>
      </c>
      <c r="C2165" t="s">
        <v>86</v>
      </c>
      <c r="D2165">
        <v>25341</v>
      </c>
    </row>
    <row r="2166" spans="1:4" x14ac:dyDescent="0.25">
      <c r="A2166" s="279">
        <v>39157</v>
      </c>
      <c r="B2166" t="s">
        <v>339</v>
      </c>
      <c r="C2166" t="s">
        <v>87</v>
      </c>
      <c r="D2166">
        <v>3818</v>
      </c>
    </row>
    <row r="2167" spans="1:4" x14ac:dyDescent="0.25">
      <c r="A2167" s="279">
        <v>39157</v>
      </c>
      <c r="B2167" t="s">
        <v>339</v>
      </c>
      <c r="C2167" t="s">
        <v>88</v>
      </c>
      <c r="D2167">
        <v>29101</v>
      </c>
    </row>
    <row r="2168" spans="1:4" x14ac:dyDescent="0.25">
      <c r="A2168" s="279">
        <v>39157</v>
      </c>
      <c r="B2168" t="s">
        <v>339</v>
      </c>
      <c r="C2168" t="s">
        <v>14</v>
      </c>
      <c r="D2168">
        <v>1034</v>
      </c>
    </row>
    <row r="2169" spans="1:4" x14ac:dyDescent="0.25">
      <c r="A2169" s="279">
        <v>39158</v>
      </c>
      <c r="B2169" t="s">
        <v>338</v>
      </c>
      <c r="C2169" t="s">
        <v>81</v>
      </c>
      <c r="D2169">
        <v>95270</v>
      </c>
    </row>
    <row r="2170" spans="1:4" x14ac:dyDescent="0.25">
      <c r="A2170" s="279">
        <v>39158</v>
      </c>
      <c r="B2170" t="s">
        <v>338</v>
      </c>
      <c r="C2170" t="s">
        <v>82</v>
      </c>
      <c r="D2170">
        <v>71039</v>
      </c>
    </row>
    <row r="2171" spans="1:4" x14ac:dyDescent="0.25">
      <c r="A2171" s="279">
        <v>39158</v>
      </c>
      <c r="B2171" t="s">
        <v>338</v>
      </c>
      <c r="C2171" t="s">
        <v>84</v>
      </c>
      <c r="D2171">
        <v>2850</v>
      </c>
    </row>
    <row r="2172" spans="1:4" x14ac:dyDescent="0.25">
      <c r="A2172" s="279">
        <v>39158</v>
      </c>
      <c r="B2172" t="s">
        <v>338</v>
      </c>
      <c r="C2172" t="s">
        <v>83</v>
      </c>
      <c r="D2172">
        <v>0</v>
      </c>
    </row>
    <row r="2173" spans="1:4" x14ac:dyDescent="0.25">
      <c r="A2173" s="279">
        <v>39158</v>
      </c>
      <c r="B2173" t="s">
        <v>338</v>
      </c>
      <c r="C2173" t="s">
        <v>14</v>
      </c>
      <c r="D2173">
        <v>1034</v>
      </c>
    </row>
    <row r="2174" spans="1:4" x14ac:dyDescent="0.25">
      <c r="A2174" s="279">
        <v>39158</v>
      </c>
      <c r="B2174" t="s">
        <v>339</v>
      </c>
      <c r="C2174" t="s">
        <v>20</v>
      </c>
      <c r="D2174">
        <v>84156</v>
      </c>
    </row>
    <row r="2175" spans="1:4" x14ac:dyDescent="0.25">
      <c r="A2175" s="279">
        <v>39158</v>
      </c>
      <c r="B2175" t="s">
        <v>339</v>
      </c>
      <c r="C2175" t="s">
        <v>85</v>
      </c>
      <c r="D2175">
        <v>52245</v>
      </c>
    </row>
    <row r="2176" spans="1:4" x14ac:dyDescent="0.25">
      <c r="A2176" s="279">
        <v>39158</v>
      </c>
      <c r="B2176" t="s">
        <v>339</v>
      </c>
      <c r="C2176" t="s">
        <v>86</v>
      </c>
      <c r="D2176">
        <v>20785</v>
      </c>
    </row>
    <row r="2177" spans="1:4" x14ac:dyDescent="0.25">
      <c r="A2177" s="279">
        <v>39158</v>
      </c>
      <c r="B2177" t="s">
        <v>339</v>
      </c>
      <c r="C2177" t="s">
        <v>87</v>
      </c>
      <c r="D2177">
        <v>21587</v>
      </c>
    </row>
    <row r="2178" spans="1:4" x14ac:dyDescent="0.25">
      <c r="A2178" s="279">
        <v>39158</v>
      </c>
      <c r="B2178" t="s">
        <v>339</v>
      </c>
      <c r="C2178" t="s">
        <v>88</v>
      </c>
      <c r="D2178">
        <v>28293</v>
      </c>
    </row>
    <row r="2179" spans="1:4" x14ac:dyDescent="0.25">
      <c r="A2179" s="279">
        <v>39158</v>
      </c>
      <c r="B2179" t="s">
        <v>339</v>
      </c>
      <c r="C2179" t="s">
        <v>14</v>
      </c>
      <c r="D2179">
        <v>1037</v>
      </c>
    </row>
    <row r="2180" spans="1:4" x14ac:dyDescent="0.25">
      <c r="A2180" s="279">
        <v>39159</v>
      </c>
      <c r="B2180" t="s">
        <v>338</v>
      </c>
      <c r="C2180" t="s">
        <v>81</v>
      </c>
      <c r="D2180">
        <v>93694</v>
      </c>
    </row>
    <row r="2181" spans="1:4" x14ac:dyDescent="0.25">
      <c r="A2181" s="279">
        <v>39159</v>
      </c>
      <c r="B2181" t="s">
        <v>338</v>
      </c>
      <c r="C2181" t="s">
        <v>82</v>
      </c>
      <c r="D2181">
        <v>72502</v>
      </c>
    </row>
    <row r="2182" spans="1:4" x14ac:dyDescent="0.25">
      <c r="A2182" s="279">
        <v>39159</v>
      </c>
      <c r="B2182" t="s">
        <v>338</v>
      </c>
      <c r="C2182" t="s">
        <v>84</v>
      </c>
      <c r="D2182">
        <v>2650</v>
      </c>
    </row>
    <row r="2183" spans="1:4" x14ac:dyDescent="0.25">
      <c r="A2183" s="279">
        <v>39159</v>
      </c>
      <c r="B2183" t="s">
        <v>338</v>
      </c>
      <c r="C2183" t="s">
        <v>83</v>
      </c>
      <c r="D2183">
        <v>0</v>
      </c>
    </row>
    <row r="2184" spans="1:4" x14ac:dyDescent="0.25">
      <c r="A2184" s="279">
        <v>39159</v>
      </c>
      <c r="B2184" t="s">
        <v>338</v>
      </c>
      <c r="C2184" t="s">
        <v>14</v>
      </c>
      <c r="D2184">
        <v>1034</v>
      </c>
    </row>
    <row r="2185" spans="1:4" x14ac:dyDescent="0.25">
      <c r="A2185" s="279">
        <v>39159</v>
      </c>
      <c r="B2185" t="s">
        <v>339</v>
      </c>
      <c r="C2185" t="s">
        <v>20</v>
      </c>
      <c r="D2185">
        <v>78654</v>
      </c>
    </row>
    <row r="2186" spans="1:4" x14ac:dyDescent="0.25">
      <c r="A2186" s="279">
        <v>39159</v>
      </c>
      <c r="B2186" t="s">
        <v>339</v>
      </c>
      <c r="C2186" t="s">
        <v>85</v>
      </c>
      <c r="D2186">
        <v>46531</v>
      </c>
    </row>
    <row r="2187" spans="1:4" x14ac:dyDescent="0.25">
      <c r="A2187" s="279">
        <v>39159</v>
      </c>
      <c r="B2187" t="s">
        <v>339</v>
      </c>
      <c r="C2187" t="s">
        <v>86</v>
      </c>
      <c r="D2187">
        <v>19029</v>
      </c>
    </row>
    <row r="2188" spans="1:4" x14ac:dyDescent="0.25">
      <c r="A2188" s="279">
        <v>39159</v>
      </c>
      <c r="B2188" t="s">
        <v>339</v>
      </c>
      <c r="C2188" t="s">
        <v>87</v>
      </c>
      <c r="D2188">
        <v>19885</v>
      </c>
    </row>
    <row r="2189" spans="1:4" x14ac:dyDescent="0.25">
      <c r="A2189" s="279">
        <v>39159</v>
      </c>
      <c r="B2189" t="s">
        <v>339</v>
      </c>
      <c r="C2189" t="s">
        <v>88</v>
      </c>
      <c r="D2189">
        <v>26774</v>
      </c>
    </row>
    <row r="2190" spans="1:4" x14ac:dyDescent="0.25">
      <c r="A2190" s="279">
        <v>39159</v>
      </c>
      <c r="B2190" t="s">
        <v>339</v>
      </c>
      <c r="C2190" t="s">
        <v>14</v>
      </c>
      <c r="D2190">
        <v>1038</v>
      </c>
    </row>
    <row r="2191" spans="1:4" x14ac:dyDescent="0.25">
      <c r="A2191" s="279">
        <v>39160</v>
      </c>
      <c r="B2191" t="s">
        <v>338</v>
      </c>
      <c r="C2191" t="s">
        <v>81</v>
      </c>
      <c r="D2191">
        <v>74671</v>
      </c>
    </row>
    <row r="2192" spans="1:4" x14ac:dyDescent="0.25">
      <c r="A2192" s="279">
        <v>39160</v>
      </c>
      <c r="B2192" t="s">
        <v>338</v>
      </c>
      <c r="C2192" t="s">
        <v>82</v>
      </c>
      <c r="D2192">
        <v>56151</v>
      </c>
    </row>
    <row r="2193" spans="1:4" x14ac:dyDescent="0.25">
      <c r="A2193" s="279">
        <v>39160</v>
      </c>
      <c r="B2193" t="s">
        <v>338</v>
      </c>
      <c r="C2193" t="s">
        <v>84</v>
      </c>
      <c r="D2193">
        <v>2330</v>
      </c>
    </row>
    <row r="2194" spans="1:4" x14ac:dyDescent="0.25">
      <c r="A2194" s="279">
        <v>39160</v>
      </c>
      <c r="B2194" t="s">
        <v>338</v>
      </c>
      <c r="C2194" t="s">
        <v>83</v>
      </c>
      <c r="D2194">
        <v>0</v>
      </c>
    </row>
    <row r="2195" spans="1:4" x14ac:dyDescent="0.25">
      <c r="A2195" s="279">
        <v>39160</v>
      </c>
      <c r="B2195" t="s">
        <v>338</v>
      </c>
      <c r="C2195" t="s">
        <v>14</v>
      </c>
      <c r="D2195">
        <v>1034</v>
      </c>
    </row>
    <row r="2196" spans="1:4" x14ac:dyDescent="0.25">
      <c r="A2196" s="279">
        <v>39160</v>
      </c>
      <c r="B2196" t="s">
        <v>339</v>
      </c>
      <c r="C2196" t="s">
        <v>20</v>
      </c>
      <c r="D2196">
        <v>67494</v>
      </c>
    </row>
    <row r="2197" spans="1:4" x14ac:dyDescent="0.25">
      <c r="A2197" s="279">
        <v>39160</v>
      </c>
      <c r="B2197" t="s">
        <v>339</v>
      </c>
      <c r="C2197" t="s">
        <v>85</v>
      </c>
      <c r="D2197">
        <v>42594</v>
      </c>
    </row>
    <row r="2198" spans="1:4" x14ac:dyDescent="0.25">
      <c r="A2198" s="279">
        <v>39160</v>
      </c>
      <c r="B2198" t="s">
        <v>339</v>
      </c>
      <c r="C2198" t="s">
        <v>86</v>
      </c>
      <c r="D2198">
        <v>330</v>
      </c>
    </row>
    <row r="2199" spans="1:4" x14ac:dyDescent="0.25">
      <c r="A2199" s="279">
        <v>39160</v>
      </c>
      <c r="B2199" t="s">
        <v>339</v>
      </c>
      <c r="C2199" t="s">
        <v>87</v>
      </c>
      <c r="D2199">
        <v>10555</v>
      </c>
    </row>
    <row r="2200" spans="1:4" x14ac:dyDescent="0.25">
      <c r="A2200" s="279">
        <v>39160</v>
      </c>
      <c r="B2200" t="s">
        <v>339</v>
      </c>
      <c r="C2200" t="s">
        <v>88</v>
      </c>
      <c r="D2200">
        <v>24103</v>
      </c>
    </row>
    <row r="2201" spans="1:4" x14ac:dyDescent="0.25">
      <c r="A2201" s="279">
        <v>39160</v>
      </c>
      <c r="B2201" t="s">
        <v>339</v>
      </c>
      <c r="C2201" t="s">
        <v>14</v>
      </c>
      <c r="D2201">
        <v>1039</v>
      </c>
    </row>
    <row r="2202" spans="1:4" x14ac:dyDescent="0.25">
      <c r="A2202" s="279">
        <v>39161</v>
      </c>
      <c r="B2202" t="s">
        <v>338</v>
      </c>
      <c r="C2202" t="s">
        <v>81</v>
      </c>
      <c r="D2202">
        <v>66427</v>
      </c>
    </row>
    <row r="2203" spans="1:4" x14ac:dyDescent="0.25">
      <c r="A2203" s="279">
        <v>39161</v>
      </c>
      <c r="B2203" t="s">
        <v>338</v>
      </c>
      <c r="C2203" t="s">
        <v>82</v>
      </c>
      <c r="D2203">
        <v>60336</v>
      </c>
    </row>
    <row r="2204" spans="1:4" x14ac:dyDescent="0.25">
      <c r="A2204" s="279">
        <v>39161</v>
      </c>
      <c r="B2204" t="s">
        <v>338</v>
      </c>
      <c r="C2204" t="s">
        <v>84</v>
      </c>
      <c r="D2204">
        <v>2340</v>
      </c>
    </row>
    <row r="2205" spans="1:4" x14ac:dyDescent="0.25">
      <c r="A2205" s="279">
        <v>39161</v>
      </c>
      <c r="B2205" t="s">
        <v>338</v>
      </c>
      <c r="C2205" t="s">
        <v>83</v>
      </c>
      <c r="D2205">
        <v>0</v>
      </c>
    </row>
    <row r="2206" spans="1:4" x14ac:dyDescent="0.25">
      <c r="A2206" s="279">
        <v>39161</v>
      </c>
      <c r="B2206" t="s">
        <v>338</v>
      </c>
      <c r="C2206" t="s">
        <v>14</v>
      </c>
      <c r="D2206">
        <v>1035</v>
      </c>
    </row>
    <row r="2207" spans="1:4" x14ac:dyDescent="0.25">
      <c r="A2207" s="279">
        <v>39161</v>
      </c>
      <c r="B2207" t="s">
        <v>339</v>
      </c>
      <c r="C2207" t="s">
        <v>20</v>
      </c>
      <c r="D2207">
        <v>67452</v>
      </c>
    </row>
    <row r="2208" spans="1:4" x14ac:dyDescent="0.25">
      <c r="A2208" s="279">
        <v>39161</v>
      </c>
      <c r="B2208" t="s">
        <v>339</v>
      </c>
      <c r="C2208" t="s">
        <v>85</v>
      </c>
      <c r="D2208">
        <v>45902</v>
      </c>
    </row>
    <row r="2209" spans="1:4" x14ac:dyDescent="0.25">
      <c r="A2209" s="279">
        <v>39161</v>
      </c>
      <c r="B2209" t="s">
        <v>339</v>
      </c>
      <c r="C2209" t="s">
        <v>86</v>
      </c>
      <c r="D2209">
        <v>5091</v>
      </c>
    </row>
    <row r="2210" spans="1:4" x14ac:dyDescent="0.25">
      <c r="A2210" s="279">
        <v>39161</v>
      </c>
      <c r="B2210" t="s">
        <v>339</v>
      </c>
      <c r="C2210" t="s">
        <v>87</v>
      </c>
      <c r="D2210">
        <v>3222</v>
      </c>
    </row>
    <row r="2211" spans="1:4" x14ac:dyDescent="0.25">
      <c r="A2211" s="279">
        <v>39161</v>
      </c>
      <c r="B2211" t="s">
        <v>339</v>
      </c>
      <c r="C2211" t="s">
        <v>88</v>
      </c>
      <c r="D2211">
        <v>24270</v>
      </c>
    </row>
    <row r="2212" spans="1:4" x14ac:dyDescent="0.25">
      <c r="A2212" s="279">
        <v>39161</v>
      </c>
      <c r="B2212" t="s">
        <v>339</v>
      </c>
      <c r="C2212" t="s">
        <v>14</v>
      </c>
      <c r="D2212">
        <v>1038</v>
      </c>
    </row>
    <row r="2213" spans="1:4" x14ac:dyDescent="0.25">
      <c r="A2213" s="279">
        <v>39162</v>
      </c>
      <c r="B2213" t="s">
        <v>338</v>
      </c>
      <c r="C2213" t="s">
        <v>81</v>
      </c>
      <c r="D2213">
        <v>75632</v>
      </c>
    </row>
    <row r="2214" spans="1:4" x14ac:dyDescent="0.25">
      <c r="A2214" s="279">
        <v>39162</v>
      </c>
      <c r="B2214" t="s">
        <v>338</v>
      </c>
      <c r="C2214" t="s">
        <v>82</v>
      </c>
      <c r="D2214">
        <v>51162</v>
      </c>
    </row>
    <row r="2215" spans="1:4" x14ac:dyDescent="0.25">
      <c r="A2215" s="279">
        <v>39162</v>
      </c>
      <c r="B2215" t="s">
        <v>338</v>
      </c>
      <c r="C2215" t="s">
        <v>84</v>
      </c>
      <c r="D2215">
        <v>2310</v>
      </c>
    </row>
    <row r="2216" spans="1:4" x14ac:dyDescent="0.25">
      <c r="A2216" s="279">
        <v>39162</v>
      </c>
      <c r="B2216" t="s">
        <v>338</v>
      </c>
      <c r="C2216" t="s">
        <v>83</v>
      </c>
      <c r="D2216">
        <v>0</v>
      </c>
    </row>
    <row r="2217" spans="1:4" x14ac:dyDescent="0.25">
      <c r="A2217" s="279">
        <v>39162</v>
      </c>
      <c r="B2217" t="s">
        <v>338</v>
      </c>
      <c r="C2217" t="s">
        <v>14</v>
      </c>
      <c r="D2217">
        <v>1035</v>
      </c>
    </row>
    <row r="2218" spans="1:4" x14ac:dyDescent="0.25">
      <c r="A2218" s="279">
        <v>39162</v>
      </c>
      <c r="B2218" t="s">
        <v>339</v>
      </c>
      <c r="C2218" t="s">
        <v>20</v>
      </c>
      <c r="D2218">
        <v>53366</v>
      </c>
    </row>
    <row r="2219" spans="1:4" x14ac:dyDescent="0.25">
      <c r="A2219" s="279">
        <v>39162</v>
      </c>
      <c r="B2219" t="s">
        <v>339</v>
      </c>
      <c r="C2219" t="s">
        <v>85</v>
      </c>
      <c r="D2219">
        <v>41428</v>
      </c>
    </row>
    <row r="2220" spans="1:4" x14ac:dyDescent="0.25">
      <c r="A2220" s="279">
        <v>39162</v>
      </c>
      <c r="B2220" t="s">
        <v>339</v>
      </c>
      <c r="C2220" t="s">
        <v>86</v>
      </c>
      <c r="D2220">
        <v>4493</v>
      </c>
    </row>
    <row r="2221" spans="1:4" x14ac:dyDescent="0.25">
      <c r="A2221" s="279">
        <v>39162</v>
      </c>
      <c r="B2221" t="s">
        <v>339</v>
      </c>
      <c r="C2221" t="s">
        <v>87</v>
      </c>
      <c r="D2221">
        <v>15064</v>
      </c>
    </row>
    <row r="2222" spans="1:4" x14ac:dyDescent="0.25">
      <c r="A2222" s="279">
        <v>39162</v>
      </c>
      <c r="B2222" t="s">
        <v>339</v>
      </c>
      <c r="C2222" t="s">
        <v>88</v>
      </c>
      <c r="D2222">
        <v>17556</v>
      </c>
    </row>
    <row r="2223" spans="1:4" x14ac:dyDescent="0.25">
      <c r="A2223" s="279">
        <v>39162</v>
      </c>
      <c r="B2223" t="s">
        <v>339</v>
      </c>
      <c r="C2223" t="s">
        <v>14</v>
      </c>
      <c r="D2223">
        <v>1034</v>
      </c>
    </row>
    <row r="2224" spans="1:4" x14ac:dyDescent="0.25">
      <c r="A2224" s="279">
        <v>39163</v>
      </c>
      <c r="B2224" t="s">
        <v>338</v>
      </c>
      <c r="C2224" t="s">
        <v>81</v>
      </c>
      <c r="D2224">
        <v>42542</v>
      </c>
    </row>
    <row r="2225" spans="1:4" x14ac:dyDescent="0.25">
      <c r="A2225" s="279">
        <v>39163</v>
      </c>
      <c r="B2225" t="s">
        <v>338</v>
      </c>
      <c r="C2225" t="s">
        <v>82</v>
      </c>
      <c r="D2225">
        <v>26063</v>
      </c>
    </row>
    <row r="2226" spans="1:4" x14ac:dyDescent="0.25">
      <c r="A2226" s="279">
        <v>39163</v>
      </c>
      <c r="B2226" t="s">
        <v>338</v>
      </c>
      <c r="C2226" t="s">
        <v>84</v>
      </c>
      <c r="D2226">
        <v>1679</v>
      </c>
    </row>
    <row r="2227" spans="1:4" x14ac:dyDescent="0.25">
      <c r="A2227" s="279">
        <v>39163</v>
      </c>
      <c r="B2227" t="s">
        <v>338</v>
      </c>
      <c r="C2227" t="s">
        <v>83</v>
      </c>
      <c r="D2227">
        <v>0</v>
      </c>
    </row>
    <row r="2228" spans="1:4" x14ac:dyDescent="0.25">
      <c r="A2228" s="279">
        <v>39163</v>
      </c>
      <c r="B2228" t="s">
        <v>338</v>
      </c>
      <c r="C2228" t="s">
        <v>14</v>
      </c>
      <c r="D2228">
        <v>1036</v>
      </c>
    </row>
    <row r="2229" spans="1:4" x14ac:dyDescent="0.25">
      <c r="A2229" s="279">
        <v>39163</v>
      </c>
      <c r="B2229" t="s">
        <v>339</v>
      </c>
      <c r="C2229" t="s">
        <v>20</v>
      </c>
      <c r="D2229">
        <v>28766</v>
      </c>
    </row>
    <row r="2230" spans="1:4" x14ac:dyDescent="0.25">
      <c r="A2230" s="279">
        <v>39163</v>
      </c>
      <c r="B2230" t="s">
        <v>339</v>
      </c>
      <c r="C2230" t="s">
        <v>85</v>
      </c>
      <c r="D2230">
        <v>26273</v>
      </c>
    </row>
    <row r="2231" spans="1:4" x14ac:dyDescent="0.25">
      <c r="A2231" s="279">
        <v>39163</v>
      </c>
      <c r="B2231" t="s">
        <v>339</v>
      </c>
      <c r="C2231" t="s">
        <v>86</v>
      </c>
      <c r="D2231">
        <v>0</v>
      </c>
    </row>
    <row r="2232" spans="1:4" x14ac:dyDescent="0.25">
      <c r="A2232" s="279">
        <v>39163</v>
      </c>
      <c r="B2232" t="s">
        <v>339</v>
      </c>
      <c r="C2232" t="s">
        <v>87</v>
      </c>
      <c r="D2232">
        <v>344</v>
      </c>
    </row>
    <row r="2233" spans="1:4" x14ac:dyDescent="0.25">
      <c r="A2233" s="279">
        <v>39163</v>
      </c>
      <c r="B2233" t="s">
        <v>339</v>
      </c>
      <c r="C2233" t="s">
        <v>88</v>
      </c>
      <c r="D2233">
        <v>2170</v>
      </c>
    </row>
    <row r="2234" spans="1:4" x14ac:dyDescent="0.25">
      <c r="A2234" s="279">
        <v>39163</v>
      </c>
      <c r="B2234" t="s">
        <v>339</v>
      </c>
      <c r="C2234" t="s">
        <v>14</v>
      </c>
      <c r="D2234">
        <v>1034</v>
      </c>
    </row>
    <row r="2235" spans="1:4" x14ac:dyDescent="0.25">
      <c r="A2235" s="279">
        <v>39164</v>
      </c>
      <c r="B2235" t="s">
        <v>338</v>
      </c>
      <c r="C2235" t="s">
        <v>81</v>
      </c>
      <c r="D2235">
        <v>38879</v>
      </c>
    </row>
    <row r="2236" spans="1:4" x14ac:dyDescent="0.25">
      <c r="A2236" s="279">
        <v>39164</v>
      </c>
      <c r="B2236" t="s">
        <v>338</v>
      </c>
      <c r="C2236" t="s">
        <v>82</v>
      </c>
      <c r="D2236">
        <v>31238</v>
      </c>
    </row>
    <row r="2237" spans="1:4" x14ac:dyDescent="0.25">
      <c r="A2237" s="279">
        <v>39164</v>
      </c>
      <c r="B2237" t="s">
        <v>338</v>
      </c>
      <c r="C2237" t="s">
        <v>84</v>
      </c>
      <c r="D2237">
        <v>1721</v>
      </c>
    </row>
    <row r="2238" spans="1:4" x14ac:dyDescent="0.25">
      <c r="A2238" s="279">
        <v>39164</v>
      </c>
      <c r="B2238" t="s">
        <v>338</v>
      </c>
      <c r="C2238" t="s">
        <v>83</v>
      </c>
      <c r="D2238">
        <v>0</v>
      </c>
    </row>
    <row r="2239" spans="1:4" x14ac:dyDescent="0.25">
      <c r="A2239" s="279">
        <v>39164</v>
      </c>
      <c r="B2239" t="s">
        <v>338</v>
      </c>
      <c r="C2239" t="s">
        <v>14</v>
      </c>
      <c r="D2239">
        <v>1036</v>
      </c>
    </row>
    <row r="2240" spans="1:4" x14ac:dyDescent="0.25">
      <c r="A2240" s="279">
        <v>39164</v>
      </c>
      <c r="B2240" t="s">
        <v>339</v>
      </c>
      <c r="C2240" t="s">
        <v>20</v>
      </c>
      <c r="D2240">
        <v>30173</v>
      </c>
    </row>
    <row r="2241" spans="1:4" x14ac:dyDescent="0.25">
      <c r="A2241" s="279">
        <v>39164</v>
      </c>
      <c r="B2241" t="s">
        <v>339</v>
      </c>
      <c r="C2241" t="s">
        <v>85</v>
      </c>
      <c r="D2241">
        <v>28850</v>
      </c>
    </row>
    <row r="2242" spans="1:4" x14ac:dyDescent="0.25">
      <c r="A2242" s="279">
        <v>39164</v>
      </c>
      <c r="B2242" t="s">
        <v>339</v>
      </c>
      <c r="C2242" t="s">
        <v>86</v>
      </c>
      <c r="D2242">
        <v>0</v>
      </c>
    </row>
    <row r="2243" spans="1:4" x14ac:dyDescent="0.25">
      <c r="A2243" s="279">
        <v>39164</v>
      </c>
      <c r="B2243" t="s">
        <v>339</v>
      </c>
      <c r="C2243" t="s">
        <v>87</v>
      </c>
      <c r="D2243">
        <v>0</v>
      </c>
    </row>
    <row r="2244" spans="1:4" x14ac:dyDescent="0.25">
      <c r="A2244" s="279">
        <v>39164</v>
      </c>
      <c r="B2244" t="s">
        <v>339</v>
      </c>
      <c r="C2244" t="s">
        <v>88</v>
      </c>
      <c r="D2244">
        <v>0</v>
      </c>
    </row>
    <row r="2245" spans="1:4" x14ac:dyDescent="0.25">
      <c r="A2245" s="279">
        <v>39164</v>
      </c>
      <c r="B2245" t="s">
        <v>339</v>
      </c>
      <c r="C2245" t="s">
        <v>14</v>
      </c>
      <c r="D2245">
        <v>1033</v>
      </c>
    </row>
    <row r="2246" spans="1:4" x14ac:dyDescent="0.25">
      <c r="A2246" s="279">
        <v>39165</v>
      </c>
      <c r="B2246" t="s">
        <v>338</v>
      </c>
      <c r="C2246" t="s">
        <v>81</v>
      </c>
      <c r="D2246">
        <v>38509</v>
      </c>
    </row>
    <row r="2247" spans="1:4" x14ac:dyDescent="0.25">
      <c r="A2247" s="279">
        <v>39165</v>
      </c>
      <c r="B2247" t="s">
        <v>338</v>
      </c>
      <c r="C2247" t="s">
        <v>82</v>
      </c>
      <c r="D2247">
        <v>33068</v>
      </c>
    </row>
    <row r="2248" spans="1:4" x14ac:dyDescent="0.25">
      <c r="A2248" s="279">
        <v>39165</v>
      </c>
      <c r="B2248" t="s">
        <v>338</v>
      </c>
      <c r="C2248" t="s">
        <v>84</v>
      </c>
      <c r="D2248">
        <v>1890</v>
      </c>
    </row>
    <row r="2249" spans="1:4" x14ac:dyDescent="0.25">
      <c r="A2249" s="279">
        <v>39165</v>
      </c>
      <c r="B2249" t="s">
        <v>338</v>
      </c>
      <c r="C2249" t="s">
        <v>83</v>
      </c>
      <c r="D2249">
        <v>0</v>
      </c>
    </row>
    <row r="2250" spans="1:4" x14ac:dyDescent="0.25">
      <c r="A2250" s="279">
        <v>39165</v>
      </c>
      <c r="B2250" t="s">
        <v>338</v>
      </c>
      <c r="C2250" t="s">
        <v>14</v>
      </c>
      <c r="D2250">
        <v>1037</v>
      </c>
    </row>
    <row r="2251" spans="1:4" x14ac:dyDescent="0.25">
      <c r="A2251" s="279">
        <v>39165</v>
      </c>
      <c r="B2251" t="s">
        <v>339</v>
      </c>
      <c r="C2251" t="s">
        <v>20</v>
      </c>
      <c r="D2251">
        <v>49046</v>
      </c>
    </row>
    <row r="2252" spans="1:4" x14ac:dyDescent="0.25">
      <c r="A2252" s="279">
        <v>39165</v>
      </c>
      <c r="B2252" t="s">
        <v>339</v>
      </c>
      <c r="C2252" t="s">
        <v>85</v>
      </c>
      <c r="D2252">
        <v>41189</v>
      </c>
    </row>
    <row r="2253" spans="1:4" x14ac:dyDescent="0.25">
      <c r="A2253" s="279">
        <v>39165</v>
      </c>
      <c r="B2253" t="s">
        <v>339</v>
      </c>
      <c r="C2253" t="s">
        <v>86</v>
      </c>
      <c r="D2253">
        <v>0</v>
      </c>
    </row>
    <row r="2254" spans="1:4" x14ac:dyDescent="0.25">
      <c r="A2254" s="279">
        <v>39165</v>
      </c>
      <c r="B2254" t="s">
        <v>339</v>
      </c>
      <c r="C2254" t="s">
        <v>87</v>
      </c>
      <c r="D2254">
        <v>0</v>
      </c>
    </row>
    <row r="2255" spans="1:4" x14ac:dyDescent="0.25">
      <c r="A2255" s="279">
        <v>39165</v>
      </c>
      <c r="B2255" t="s">
        <v>339</v>
      </c>
      <c r="C2255" t="s">
        <v>88</v>
      </c>
      <c r="D2255">
        <v>0</v>
      </c>
    </row>
    <row r="2256" spans="1:4" x14ac:dyDescent="0.25">
      <c r="A2256" s="279">
        <v>39165</v>
      </c>
      <c r="B2256" t="s">
        <v>339</v>
      </c>
      <c r="C2256" t="s">
        <v>14</v>
      </c>
      <c r="D2256">
        <v>1037</v>
      </c>
    </row>
    <row r="2257" spans="1:4" x14ac:dyDescent="0.25">
      <c r="A2257" s="279">
        <v>39166</v>
      </c>
      <c r="B2257" t="s">
        <v>338</v>
      </c>
      <c r="C2257" t="s">
        <v>81</v>
      </c>
      <c r="D2257">
        <v>42018</v>
      </c>
    </row>
    <row r="2258" spans="1:4" x14ac:dyDescent="0.25">
      <c r="A2258" s="279">
        <v>39166</v>
      </c>
      <c r="B2258" t="s">
        <v>338</v>
      </c>
      <c r="C2258" t="s">
        <v>82</v>
      </c>
      <c r="D2258">
        <v>28937</v>
      </c>
    </row>
    <row r="2259" spans="1:4" x14ac:dyDescent="0.25">
      <c r="A2259" s="279">
        <v>39166</v>
      </c>
      <c r="B2259" t="s">
        <v>338</v>
      </c>
      <c r="C2259" t="s">
        <v>84</v>
      </c>
      <c r="D2259">
        <v>1850</v>
      </c>
    </row>
    <row r="2260" spans="1:4" x14ac:dyDescent="0.25">
      <c r="A2260" s="279">
        <v>39166</v>
      </c>
      <c r="B2260" t="s">
        <v>338</v>
      </c>
      <c r="C2260" t="s">
        <v>83</v>
      </c>
      <c r="D2260">
        <v>0</v>
      </c>
    </row>
    <row r="2261" spans="1:4" x14ac:dyDescent="0.25">
      <c r="A2261" s="279">
        <v>39166</v>
      </c>
      <c r="B2261" t="s">
        <v>338</v>
      </c>
      <c r="C2261" t="s">
        <v>14</v>
      </c>
      <c r="D2261">
        <v>1036</v>
      </c>
    </row>
    <row r="2262" spans="1:4" x14ac:dyDescent="0.25">
      <c r="A2262" s="279">
        <v>39166</v>
      </c>
      <c r="B2262" t="s">
        <v>339</v>
      </c>
      <c r="C2262" t="s">
        <v>20</v>
      </c>
      <c r="D2262">
        <v>65063</v>
      </c>
    </row>
    <row r="2263" spans="1:4" x14ac:dyDescent="0.25">
      <c r="A2263" s="279">
        <v>39166</v>
      </c>
      <c r="B2263" t="s">
        <v>339</v>
      </c>
      <c r="C2263" t="s">
        <v>85</v>
      </c>
      <c r="D2263">
        <v>41387</v>
      </c>
    </row>
    <row r="2264" spans="1:4" x14ac:dyDescent="0.25">
      <c r="A2264" s="279">
        <v>39166</v>
      </c>
      <c r="B2264" t="s">
        <v>339</v>
      </c>
      <c r="C2264" t="s">
        <v>86</v>
      </c>
      <c r="D2264">
        <v>3826</v>
      </c>
    </row>
    <row r="2265" spans="1:4" x14ac:dyDescent="0.25">
      <c r="A2265" s="279">
        <v>39166</v>
      </c>
      <c r="B2265" t="s">
        <v>339</v>
      </c>
      <c r="C2265" t="s">
        <v>87</v>
      </c>
      <c r="D2265">
        <v>0</v>
      </c>
    </row>
    <row r="2266" spans="1:4" x14ac:dyDescent="0.25">
      <c r="A2266" s="279">
        <v>39166</v>
      </c>
      <c r="B2266" t="s">
        <v>339</v>
      </c>
      <c r="C2266" t="s">
        <v>88</v>
      </c>
      <c r="D2266">
        <v>0</v>
      </c>
    </row>
    <row r="2267" spans="1:4" x14ac:dyDescent="0.25">
      <c r="A2267" s="279">
        <v>39166</v>
      </c>
      <c r="B2267" t="s">
        <v>339</v>
      </c>
      <c r="C2267" t="s">
        <v>14</v>
      </c>
      <c r="D2267">
        <v>1035</v>
      </c>
    </row>
    <row r="2268" spans="1:4" x14ac:dyDescent="0.25">
      <c r="A2268" s="279">
        <v>39167</v>
      </c>
      <c r="B2268" t="s">
        <v>338</v>
      </c>
      <c r="C2268" t="s">
        <v>81</v>
      </c>
      <c r="D2268">
        <v>38637</v>
      </c>
    </row>
    <row r="2269" spans="1:4" x14ac:dyDescent="0.25">
      <c r="A2269" s="279">
        <v>39167</v>
      </c>
      <c r="B2269" t="s">
        <v>338</v>
      </c>
      <c r="C2269" t="s">
        <v>82</v>
      </c>
      <c r="D2269">
        <v>32180</v>
      </c>
    </row>
    <row r="2270" spans="1:4" x14ac:dyDescent="0.25">
      <c r="A2270" s="279">
        <v>39167</v>
      </c>
      <c r="B2270" t="s">
        <v>338</v>
      </c>
      <c r="C2270" t="s">
        <v>84</v>
      </c>
      <c r="D2270">
        <v>1860</v>
      </c>
    </row>
    <row r="2271" spans="1:4" x14ac:dyDescent="0.25">
      <c r="A2271" s="279">
        <v>39167</v>
      </c>
      <c r="B2271" t="s">
        <v>338</v>
      </c>
      <c r="C2271" t="s">
        <v>83</v>
      </c>
      <c r="D2271">
        <v>0</v>
      </c>
    </row>
    <row r="2272" spans="1:4" x14ac:dyDescent="0.25">
      <c r="A2272" s="279">
        <v>39167</v>
      </c>
      <c r="B2272" t="s">
        <v>338</v>
      </c>
      <c r="C2272" t="s">
        <v>14</v>
      </c>
      <c r="D2272">
        <v>1037</v>
      </c>
    </row>
    <row r="2273" spans="1:4" x14ac:dyDescent="0.25">
      <c r="A2273" s="279">
        <v>39167</v>
      </c>
      <c r="B2273" t="s">
        <v>339</v>
      </c>
      <c r="C2273" t="s">
        <v>20</v>
      </c>
      <c r="D2273">
        <v>41006</v>
      </c>
    </row>
    <row r="2274" spans="1:4" x14ac:dyDescent="0.25">
      <c r="A2274" s="279">
        <v>39167</v>
      </c>
      <c r="B2274" t="s">
        <v>339</v>
      </c>
      <c r="C2274" t="s">
        <v>85</v>
      </c>
      <c r="D2274">
        <v>36938</v>
      </c>
    </row>
    <row r="2275" spans="1:4" x14ac:dyDescent="0.25">
      <c r="A2275" s="279">
        <v>39167</v>
      </c>
      <c r="B2275" t="s">
        <v>339</v>
      </c>
      <c r="C2275" t="s">
        <v>86</v>
      </c>
      <c r="D2275">
        <v>8462</v>
      </c>
    </row>
    <row r="2276" spans="1:4" x14ac:dyDescent="0.25">
      <c r="A2276" s="279">
        <v>39167</v>
      </c>
      <c r="B2276" t="s">
        <v>339</v>
      </c>
      <c r="C2276" t="s">
        <v>87</v>
      </c>
      <c r="D2276">
        <v>0</v>
      </c>
    </row>
    <row r="2277" spans="1:4" x14ac:dyDescent="0.25">
      <c r="A2277" s="279">
        <v>39167</v>
      </c>
      <c r="B2277" t="s">
        <v>339</v>
      </c>
      <c r="C2277" t="s">
        <v>88</v>
      </c>
      <c r="D2277">
        <v>0</v>
      </c>
    </row>
    <row r="2278" spans="1:4" x14ac:dyDescent="0.25">
      <c r="A2278" s="279">
        <v>39167</v>
      </c>
      <c r="B2278" t="s">
        <v>339</v>
      </c>
      <c r="C2278" t="s">
        <v>14</v>
      </c>
      <c r="D2278">
        <v>1035</v>
      </c>
    </row>
    <row r="2279" spans="1:4" x14ac:dyDescent="0.25">
      <c r="A2279" s="279">
        <v>39168</v>
      </c>
      <c r="B2279" t="s">
        <v>338</v>
      </c>
      <c r="C2279" t="s">
        <v>81</v>
      </c>
      <c r="D2279">
        <v>30756</v>
      </c>
    </row>
    <row r="2280" spans="1:4" x14ac:dyDescent="0.25">
      <c r="A2280" s="279">
        <v>39168</v>
      </c>
      <c r="B2280" t="s">
        <v>338</v>
      </c>
      <c r="C2280" t="s">
        <v>82</v>
      </c>
      <c r="D2280">
        <v>4836</v>
      </c>
    </row>
    <row r="2281" spans="1:4" x14ac:dyDescent="0.25">
      <c r="A2281" s="279">
        <v>39168</v>
      </c>
      <c r="B2281" t="s">
        <v>338</v>
      </c>
      <c r="C2281" t="s">
        <v>84</v>
      </c>
      <c r="D2281">
        <v>880</v>
      </c>
    </row>
    <row r="2282" spans="1:4" x14ac:dyDescent="0.25">
      <c r="A2282" s="279">
        <v>39168</v>
      </c>
      <c r="B2282" t="s">
        <v>338</v>
      </c>
      <c r="C2282" t="s">
        <v>83</v>
      </c>
      <c r="D2282">
        <v>0</v>
      </c>
    </row>
    <row r="2283" spans="1:4" x14ac:dyDescent="0.25">
      <c r="A2283" s="279">
        <v>39168</v>
      </c>
      <c r="B2283" t="s">
        <v>338</v>
      </c>
      <c r="C2283" t="s">
        <v>14</v>
      </c>
      <c r="D2283">
        <v>1038</v>
      </c>
    </row>
    <row r="2284" spans="1:4" x14ac:dyDescent="0.25">
      <c r="A2284" s="279">
        <v>39168</v>
      </c>
      <c r="B2284" t="s">
        <v>339</v>
      </c>
      <c r="C2284" t="s">
        <v>20</v>
      </c>
      <c r="D2284">
        <v>31345</v>
      </c>
    </row>
    <row r="2285" spans="1:4" x14ac:dyDescent="0.25">
      <c r="A2285" s="279">
        <v>39168</v>
      </c>
      <c r="B2285" t="s">
        <v>339</v>
      </c>
      <c r="C2285" t="s">
        <v>85</v>
      </c>
      <c r="D2285">
        <v>17861</v>
      </c>
    </row>
    <row r="2286" spans="1:4" x14ac:dyDescent="0.25">
      <c r="A2286" s="279">
        <v>39168</v>
      </c>
      <c r="B2286" t="s">
        <v>339</v>
      </c>
      <c r="C2286" t="s">
        <v>86</v>
      </c>
      <c r="D2286">
        <v>0</v>
      </c>
    </row>
    <row r="2287" spans="1:4" x14ac:dyDescent="0.25">
      <c r="A2287" s="279">
        <v>39168</v>
      </c>
      <c r="B2287" t="s">
        <v>339</v>
      </c>
      <c r="C2287" t="s">
        <v>87</v>
      </c>
      <c r="D2287">
        <v>0</v>
      </c>
    </row>
    <row r="2288" spans="1:4" x14ac:dyDescent="0.25">
      <c r="A2288" s="279">
        <v>39168</v>
      </c>
      <c r="B2288" t="s">
        <v>339</v>
      </c>
      <c r="C2288" t="s">
        <v>88</v>
      </c>
      <c r="D2288">
        <v>0</v>
      </c>
    </row>
    <row r="2289" spans="1:4" x14ac:dyDescent="0.25">
      <c r="A2289" s="279">
        <v>39168</v>
      </c>
      <c r="B2289" t="s">
        <v>339</v>
      </c>
      <c r="C2289" t="s">
        <v>14</v>
      </c>
      <c r="D2289">
        <v>1034</v>
      </c>
    </row>
    <row r="2290" spans="1:4" x14ac:dyDescent="0.25">
      <c r="A2290" s="279">
        <v>39169</v>
      </c>
      <c r="B2290" t="s">
        <v>338</v>
      </c>
      <c r="C2290" t="s">
        <v>81</v>
      </c>
      <c r="D2290">
        <v>35284</v>
      </c>
    </row>
    <row r="2291" spans="1:4" x14ac:dyDescent="0.25">
      <c r="A2291" s="279">
        <v>39169</v>
      </c>
      <c r="B2291" t="s">
        <v>338</v>
      </c>
      <c r="C2291" t="s">
        <v>82</v>
      </c>
      <c r="D2291">
        <v>36535</v>
      </c>
    </row>
    <row r="2292" spans="1:4" x14ac:dyDescent="0.25">
      <c r="A2292" s="279">
        <v>39169</v>
      </c>
      <c r="B2292" t="s">
        <v>338</v>
      </c>
      <c r="C2292" t="s">
        <v>84</v>
      </c>
      <c r="D2292">
        <v>1351</v>
      </c>
    </row>
    <row r="2293" spans="1:4" x14ac:dyDescent="0.25">
      <c r="A2293" s="279">
        <v>39169</v>
      </c>
      <c r="B2293" t="s">
        <v>338</v>
      </c>
      <c r="C2293" t="s">
        <v>83</v>
      </c>
      <c r="D2293">
        <v>0</v>
      </c>
    </row>
    <row r="2294" spans="1:4" x14ac:dyDescent="0.25">
      <c r="A2294" s="279">
        <v>39169</v>
      </c>
      <c r="B2294" t="s">
        <v>338</v>
      </c>
      <c r="C2294" t="s">
        <v>14</v>
      </c>
      <c r="D2294">
        <v>1036</v>
      </c>
    </row>
    <row r="2295" spans="1:4" x14ac:dyDescent="0.25">
      <c r="A2295" s="279">
        <v>39169</v>
      </c>
      <c r="B2295" t="s">
        <v>339</v>
      </c>
      <c r="C2295" t="s">
        <v>20</v>
      </c>
      <c r="D2295">
        <v>35737</v>
      </c>
    </row>
    <row r="2296" spans="1:4" x14ac:dyDescent="0.25">
      <c r="A2296" s="279">
        <v>39169</v>
      </c>
      <c r="B2296" t="s">
        <v>339</v>
      </c>
      <c r="C2296" t="s">
        <v>85</v>
      </c>
      <c r="D2296">
        <v>31877</v>
      </c>
    </row>
    <row r="2297" spans="1:4" x14ac:dyDescent="0.25">
      <c r="A2297" s="279">
        <v>39169</v>
      </c>
      <c r="B2297" t="s">
        <v>339</v>
      </c>
      <c r="C2297" t="s">
        <v>86</v>
      </c>
      <c r="D2297">
        <v>0</v>
      </c>
    </row>
    <row r="2298" spans="1:4" x14ac:dyDescent="0.25">
      <c r="A2298" s="279">
        <v>39169</v>
      </c>
      <c r="B2298" t="s">
        <v>339</v>
      </c>
      <c r="C2298" t="s">
        <v>87</v>
      </c>
      <c r="D2298">
        <v>0</v>
      </c>
    </row>
    <row r="2299" spans="1:4" x14ac:dyDescent="0.25">
      <c r="A2299" s="279">
        <v>39169</v>
      </c>
      <c r="B2299" t="s">
        <v>339</v>
      </c>
      <c r="C2299" t="s">
        <v>88</v>
      </c>
      <c r="D2299">
        <v>0</v>
      </c>
    </row>
    <row r="2300" spans="1:4" x14ac:dyDescent="0.25">
      <c r="A2300" s="279">
        <v>39169</v>
      </c>
      <c r="B2300" t="s">
        <v>339</v>
      </c>
      <c r="C2300" t="s">
        <v>14</v>
      </c>
      <c r="D2300">
        <v>1034</v>
      </c>
    </row>
    <row r="2301" spans="1:4" x14ac:dyDescent="0.25">
      <c r="A2301" s="279">
        <v>39170</v>
      </c>
      <c r="B2301" t="s">
        <v>338</v>
      </c>
      <c r="C2301" t="s">
        <v>81</v>
      </c>
      <c r="D2301">
        <v>36584</v>
      </c>
    </row>
    <row r="2302" spans="1:4" x14ac:dyDescent="0.25">
      <c r="A2302" s="279">
        <v>39170</v>
      </c>
      <c r="B2302" t="s">
        <v>338</v>
      </c>
      <c r="C2302" t="s">
        <v>82</v>
      </c>
      <c r="D2302">
        <v>35015</v>
      </c>
    </row>
    <row r="2303" spans="1:4" x14ac:dyDescent="0.25">
      <c r="A2303" s="279">
        <v>39170</v>
      </c>
      <c r="B2303" t="s">
        <v>338</v>
      </c>
      <c r="C2303" t="s">
        <v>84</v>
      </c>
      <c r="D2303">
        <v>1660</v>
      </c>
    </row>
    <row r="2304" spans="1:4" x14ac:dyDescent="0.25">
      <c r="A2304" s="279">
        <v>39170</v>
      </c>
      <c r="B2304" t="s">
        <v>338</v>
      </c>
      <c r="C2304" t="s">
        <v>83</v>
      </c>
      <c r="D2304">
        <v>0</v>
      </c>
    </row>
    <row r="2305" spans="1:4" x14ac:dyDescent="0.25">
      <c r="A2305" s="279">
        <v>39170</v>
      </c>
      <c r="B2305" t="s">
        <v>338</v>
      </c>
      <c r="C2305" t="s">
        <v>14</v>
      </c>
      <c r="D2305">
        <v>1036</v>
      </c>
    </row>
    <row r="2306" spans="1:4" x14ac:dyDescent="0.25">
      <c r="A2306" s="279">
        <v>39170</v>
      </c>
      <c r="B2306" t="s">
        <v>339</v>
      </c>
      <c r="C2306" t="s">
        <v>20</v>
      </c>
      <c r="D2306">
        <v>57657</v>
      </c>
    </row>
    <row r="2307" spans="1:4" x14ac:dyDescent="0.25">
      <c r="A2307" s="279">
        <v>39170</v>
      </c>
      <c r="B2307" t="s">
        <v>339</v>
      </c>
      <c r="C2307" t="s">
        <v>85</v>
      </c>
      <c r="D2307">
        <v>43759</v>
      </c>
    </row>
    <row r="2308" spans="1:4" x14ac:dyDescent="0.25">
      <c r="A2308" s="279">
        <v>39170</v>
      </c>
      <c r="B2308" t="s">
        <v>339</v>
      </c>
      <c r="C2308" t="s">
        <v>86</v>
      </c>
      <c r="D2308">
        <v>10059</v>
      </c>
    </row>
    <row r="2309" spans="1:4" x14ac:dyDescent="0.25">
      <c r="A2309" s="279">
        <v>39170</v>
      </c>
      <c r="B2309" t="s">
        <v>339</v>
      </c>
      <c r="C2309" t="s">
        <v>87</v>
      </c>
      <c r="D2309">
        <v>0</v>
      </c>
    </row>
    <row r="2310" spans="1:4" x14ac:dyDescent="0.25">
      <c r="A2310" s="279">
        <v>39170</v>
      </c>
      <c r="B2310" t="s">
        <v>339</v>
      </c>
      <c r="C2310" t="s">
        <v>88</v>
      </c>
      <c r="D2310">
        <v>0</v>
      </c>
    </row>
    <row r="2311" spans="1:4" x14ac:dyDescent="0.25">
      <c r="A2311" s="279">
        <v>39170</v>
      </c>
      <c r="B2311" t="s">
        <v>339</v>
      </c>
      <c r="C2311" t="s">
        <v>14</v>
      </c>
      <c r="D2311">
        <v>1034</v>
      </c>
    </row>
    <row r="2312" spans="1:4" x14ac:dyDescent="0.25">
      <c r="A2312" s="279">
        <v>39171</v>
      </c>
      <c r="B2312" t="s">
        <v>338</v>
      </c>
      <c r="C2312" t="s">
        <v>81</v>
      </c>
      <c r="D2312">
        <v>37163</v>
      </c>
    </row>
    <row r="2313" spans="1:4" x14ac:dyDescent="0.25">
      <c r="A2313" s="279">
        <v>39171</v>
      </c>
      <c r="B2313" t="s">
        <v>338</v>
      </c>
      <c r="C2313" t="s">
        <v>82</v>
      </c>
      <c r="D2313">
        <v>33848</v>
      </c>
    </row>
    <row r="2314" spans="1:4" x14ac:dyDescent="0.25">
      <c r="A2314" s="279">
        <v>39171</v>
      </c>
      <c r="B2314" t="s">
        <v>338</v>
      </c>
      <c r="C2314" t="s">
        <v>84</v>
      </c>
      <c r="D2314">
        <v>1400</v>
      </c>
    </row>
    <row r="2315" spans="1:4" x14ac:dyDescent="0.25">
      <c r="A2315" s="279">
        <v>39171</v>
      </c>
      <c r="B2315" t="s">
        <v>338</v>
      </c>
      <c r="C2315" t="s">
        <v>83</v>
      </c>
      <c r="D2315">
        <v>0</v>
      </c>
    </row>
    <row r="2316" spans="1:4" x14ac:dyDescent="0.25">
      <c r="A2316" s="279">
        <v>39171</v>
      </c>
      <c r="B2316" t="s">
        <v>338</v>
      </c>
      <c r="C2316" t="s">
        <v>14</v>
      </c>
      <c r="D2316">
        <v>1037</v>
      </c>
    </row>
    <row r="2317" spans="1:4" x14ac:dyDescent="0.25">
      <c r="A2317" s="279">
        <v>39171</v>
      </c>
      <c r="B2317" t="s">
        <v>339</v>
      </c>
      <c r="C2317" t="s">
        <v>20</v>
      </c>
      <c r="D2317">
        <v>37142</v>
      </c>
    </row>
    <row r="2318" spans="1:4" x14ac:dyDescent="0.25">
      <c r="A2318" s="279">
        <v>39171</v>
      </c>
      <c r="B2318" t="s">
        <v>339</v>
      </c>
      <c r="C2318" t="s">
        <v>85</v>
      </c>
      <c r="D2318">
        <v>30192</v>
      </c>
    </row>
    <row r="2319" spans="1:4" x14ac:dyDescent="0.25">
      <c r="A2319" s="279">
        <v>39171</v>
      </c>
      <c r="B2319" t="s">
        <v>339</v>
      </c>
      <c r="C2319" t="s">
        <v>86</v>
      </c>
      <c r="D2319">
        <v>0</v>
      </c>
    </row>
    <row r="2320" spans="1:4" x14ac:dyDescent="0.25">
      <c r="A2320" s="279">
        <v>39171</v>
      </c>
      <c r="B2320" t="s">
        <v>339</v>
      </c>
      <c r="C2320" t="s">
        <v>87</v>
      </c>
      <c r="D2320">
        <v>0</v>
      </c>
    </row>
    <row r="2321" spans="1:4" x14ac:dyDescent="0.25">
      <c r="A2321" s="279">
        <v>39171</v>
      </c>
      <c r="B2321" t="s">
        <v>339</v>
      </c>
      <c r="C2321" t="s">
        <v>88</v>
      </c>
      <c r="D2321">
        <v>0</v>
      </c>
    </row>
    <row r="2322" spans="1:4" x14ac:dyDescent="0.25">
      <c r="A2322" s="279">
        <v>39171</v>
      </c>
      <c r="B2322" t="s">
        <v>339</v>
      </c>
      <c r="C2322" t="s">
        <v>14</v>
      </c>
      <c r="D2322">
        <v>1033</v>
      </c>
    </row>
    <row r="2323" spans="1:4" x14ac:dyDescent="0.25">
      <c r="A2323" s="279">
        <v>39172</v>
      </c>
      <c r="B2323" t="s">
        <v>338</v>
      </c>
      <c r="C2323" t="s">
        <v>81</v>
      </c>
      <c r="D2323">
        <v>37823</v>
      </c>
    </row>
    <row r="2324" spans="1:4" x14ac:dyDescent="0.25">
      <c r="A2324" s="279">
        <v>39172</v>
      </c>
      <c r="B2324" t="s">
        <v>338</v>
      </c>
      <c r="C2324" t="s">
        <v>82</v>
      </c>
      <c r="D2324">
        <v>33463</v>
      </c>
    </row>
    <row r="2325" spans="1:4" x14ac:dyDescent="0.25">
      <c r="A2325" s="279">
        <v>39172</v>
      </c>
      <c r="B2325" t="s">
        <v>338</v>
      </c>
      <c r="C2325" t="s">
        <v>84</v>
      </c>
      <c r="D2325">
        <v>1580</v>
      </c>
    </row>
    <row r="2326" spans="1:4" x14ac:dyDescent="0.25">
      <c r="A2326" s="279">
        <v>39172</v>
      </c>
      <c r="B2326" t="s">
        <v>338</v>
      </c>
      <c r="C2326" t="s">
        <v>83</v>
      </c>
      <c r="D2326">
        <v>0</v>
      </c>
    </row>
    <row r="2327" spans="1:4" x14ac:dyDescent="0.25">
      <c r="A2327" s="279">
        <v>39172</v>
      </c>
      <c r="B2327" t="s">
        <v>338</v>
      </c>
      <c r="C2327" t="s">
        <v>14</v>
      </c>
      <c r="D2327">
        <v>1037</v>
      </c>
    </row>
    <row r="2328" spans="1:4" x14ac:dyDescent="0.25">
      <c r="A2328" s="279">
        <v>39172</v>
      </c>
      <c r="B2328" t="s">
        <v>339</v>
      </c>
      <c r="C2328" t="s">
        <v>20</v>
      </c>
      <c r="D2328">
        <v>51697</v>
      </c>
    </row>
    <row r="2329" spans="1:4" x14ac:dyDescent="0.25">
      <c r="A2329" s="279">
        <v>39172</v>
      </c>
      <c r="B2329" t="s">
        <v>339</v>
      </c>
      <c r="C2329" t="s">
        <v>85</v>
      </c>
      <c r="D2329">
        <v>40984</v>
      </c>
    </row>
    <row r="2330" spans="1:4" x14ac:dyDescent="0.25">
      <c r="A2330" s="279">
        <v>39172</v>
      </c>
      <c r="B2330" t="s">
        <v>339</v>
      </c>
      <c r="C2330" t="s">
        <v>86</v>
      </c>
      <c r="D2330">
        <v>0</v>
      </c>
    </row>
    <row r="2331" spans="1:4" x14ac:dyDescent="0.25">
      <c r="A2331" s="279">
        <v>39172</v>
      </c>
      <c r="B2331" t="s">
        <v>339</v>
      </c>
      <c r="C2331" t="s">
        <v>87</v>
      </c>
      <c r="D2331">
        <v>0</v>
      </c>
    </row>
    <row r="2332" spans="1:4" x14ac:dyDescent="0.25">
      <c r="A2332" s="279">
        <v>39172</v>
      </c>
      <c r="B2332" t="s">
        <v>339</v>
      </c>
      <c r="C2332" t="s">
        <v>88</v>
      </c>
      <c r="D2332">
        <v>2923</v>
      </c>
    </row>
    <row r="2333" spans="1:4" x14ac:dyDescent="0.25">
      <c r="A2333" s="279">
        <v>39172</v>
      </c>
      <c r="B2333" t="s">
        <v>339</v>
      </c>
      <c r="C2333" t="s">
        <v>14</v>
      </c>
      <c r="D2333">
        <v>1031</v>
      </c>
    </row>
    <row r="2334" spans="1:4" x14ac:dyDescent="0.25">
      <c r="A2334" s="279">
        <v>39173</v>
      </c>
      <c r="B2334" t="s">
        <v>338</v>
      </c>
      <c r="C2334" t="s">
        <v>81</v>
      </c>
      <c r="D2334">
        <v>33962</v>
      </c>
    </row>
    <row r="2335" spans="1:4" x14ac:dyDescent="0.25">
      <c r="A2335" s="279">
        <v>39173</v>
      </c>
      <c r="B2335" t="s">
        <v>338</v>
      </c>
      <c r="C2335" t="s">
        <v>82</v>
      </c>
      <c r="D2335">
        <v>29734</v>
      </c>
    </row>
    <row r="2336" spans="1:4" x14ac:dyDescent="0.25">
      <c r="A2336" s="279">
        <v>39173</v>
      </c>
      <c r="B2336" t="s">
        <v>338</v>
      </c>
      <c r="C2336" t="s">
        <v>84</v>
      </c>
      <c r="D2336">
        <v>1570</v>
      </c>
    </row>
    <row r="2337" spans="1:4" x14ac:dyDescent="0.25">
      <c r="A2337" s="279">
        <v>39173</v>
      </c>
      <c r="B2337" t="s">
        <v>338</v>
      </c>
      <c r="C2337" t="s">
        <v>83</v>
      </c>
      <c r="D2337">
        <v>0</v>
      </c>
    </row>
    <row r="2338" spans="1:4" x14ac:dyDescent="0.25">
      <c r="A2338" s="279">
        <v>39173</v>
      </c>
      <c r="B2338" t="s">
        <v>338</v>
      </c>
      <c r="C2338" t="s">
        <v>14</v>
      </c>
      <c r="D2338">
        <v>1035</v>
      </c>
    </row>
    <row r="2339" spans="1:4" x14ac:dyDescent="0.25">
      <c r="A2339" s="279">
        <v>39173</v>
      </c>
      <c r="B2339" t="s">
        <v>339</v>
      </c>
      <c r="C2339" t="s">
        <v>20</v>
      </c>
      <c r="D2339">
        <v>69578</v>
      </c>
    </row>
    <row r="2340" spans="1:4" x14ac:dyDescent="0.25">
      <c r="A2340" s="279">
        <v>39173</v>
      </c>
      <c r="B2340" t="s">
        <v>339</v>
      </c>
      <c r="C2340" t="s">
        <v>85</v>
      </c>
      <c r="D2340">
        <v>48770</v>
      </c>
    </row>
    <row r="2341" spans="1:4" x14ac:dyDescent="0.25">
      <c r="A2341" s="279">
        <v>39173</v>
      </c>
      <c r="B2341" t="s">
        <v>339</v>
      </c>
      <c r="C2341" t="s">
        <v>86</v>
      </c>
      <c r="D2341">
        <v>0</v>
      </c>
    </row>
    <row r="2342" spans="1:4" x14ac:dyDescent="0.25">
      <c r="A2342" s="279">
        <v>39173</v>
      </c>
      <c r="B2342" t="s">
        <v>339</v>
      </c>
      <c r="C2342" t="s">
        <v>87</v>
      </c>
      <c r="D2342">
        <v>0</v>
      </c>
    </row>
    <row r="2343" spans="1:4" x14ac:dyDescent="0.25">
      <c r="A2343" s="279">
        <v>39173</v>
      </c>
      <c r="B2343" t="s">
        <v>339</v>
      </c>
      <c r="C2343" t="s">
        <v>88</v>
      </c>
      <c r="D2343">
        <v>7114</v>
      </c>
    </row>
    <row r="2344" spans="1:4" x14ac:dyDescent="0.25">
      <c r="A2344" s="279">
        <v>39173</v>
      </c>
      <c r="B2344" t="s">
        <v>339</v>
      </c>
      <c r="C2344" t="s">
        <v>14</v>
      </c>
      <c r="D2344">
        <v>1031</v>
      </c>
    </row>
    <row r="2345" spans="1:4" x14ac:dyDescent="0.25">
      <c r="A2345" s="279">
        <v>39174</v>
      </c>
      <c r="B2345" t="s">
        <v>338</v>
      </c>
      <c r="C2345" t="s">
        <v>81</v>
      </c>
      <c r="D2345">
        <v>13266</v>
      </c>
    </row>
    <row r="2346" spans="1:4" x14ac:dyDescent="0.25">
      <c r="A2346" s="279">
        <v>39174</v>
      </c>
      <c r="B2346" t="s">
        <v>338</v>
      </c>
      <c r="C2346" t="s">
        <v>82</v>
      </c>
      <c r="D2346">
        <v>1876</v>
      </c>
    </row>
    <row r="2347" spans="1:4" x14ac:dyDescent="0.25">
      <c r="A2347" s="279">
        <v>39174</v>
      </c>
      <c r="B2347" t="s">
        <v>338</v>
      </c>
      <c r="C2347" t="s">
        <v>84</v>
      </c>
      <c r="D2347">
        <v>1200</v>
      </c>
    </row>
    <row r="2348" spans="1:4" x14ac:dyDescent="0.25">
      <c r="A2348" s="279">
        <v>39174</v>
      </c>
      <c r="B2348" t="s">
        <v>338</v>
      </c>
      <c r="C2348" t="s">
        <v>83</v>
      </c>
      <c r="D2348">
        <v>0</v>
      </c>
    </row>
    <row r="2349" spans="1:4" x14ac:dyDescent="0.25">
      <c r="A2349" s="279">
        <v>39174</v>
      </c>
      <c r="B2349" t="s">
        <v>338</v>
      </c>
      <c r="C2349" t="s">
        <v>14</v>
      </c>
      <c r="D2349">
        <v>1034</v>
      </c>
    </row>
    <row r="2350" spans="1:4" x14ac:dyDescent="0.25">
      <c r="A2350" s="279">
        <v>39174</v>
      </c>
      <c r="B2350" t="s">
        <v>339</v>
      </c>
      <c r="C2350" t="s">
        <v>20</v>
      </c>
      <c r="D2350">
        <v>63004</v>
      </c>
    </row>
    <row r="2351" spans="1:4" x14ac:dyDescent="0.25">
      <c r="A2351" s="279">
        <v>39174</v>
      </c>
      <c r="B2351" t="s">
        <v>339</v>
      </c>
      <c r="C2351" t="s">
        <v>85</v>
      </c>
      <c r="D2351">
        <v>43700</v>
      </c>
    </row>
    <row r="2352" spans="1:4" x14ac:dyDescent="0.25">
      <c r="A2352" s="279">
        <v>39174</v>
      </c>
      <c r="B2352" t="s">
        <v>339</v>
      </c>
      <c r="C2352" t="s">
        <v>86</v>
      </c>
      <c r="D2352">
        <v>5472</v>
      </c>
    </row>
    <row r="2353" spans="1:4" x14ac:dyDescent="0.25">
      <c r="A2353" s="279">
        <v>39174</v>
      </c>
      <c r="B2353" t="s">
        <v>339</v>
      </c>
      <c r="C2353" t="s">
        <v>87</v>
      </c>
      <c r="D2353">
        <v>0</v>
      </c>
    </row>
    <row r="2354" spans="1:4" x14ac:dyDescent="0.25">
      <c r="A2354" s="279">
        <v>39174</v>
      </c>
      <c r="B2354" t="s">
        <v>339</v>
      </c>
      <c r="C2354" t="s">
        <v>88</v>
      </c>
      <c r="D2354">
        <v>46</v>
      </c>
    </row>
    <row r="2355" spans="1:4" x14ac:dyDescent="0.25">
      <c r="A2355" s="279">
        <v>39174</v>
      </c>
      <c r="B2355" t="s">
        <v>339</v>
      </c>
      <c r="C2355" t="s">
        <v>14</v>
      </c>
      <c r="D2355">
        <v>1034</v>
      </c>
    </row>
    <row r="2356" spans="1:4" x14ac:dyDescent="0.25">
      <c r="A2356" s="279">
        <v>39175</v>
      </c>
      <c r="B2356" t="s">
        <v>338</v>
      </c>
      <c r="C2356" t="s">
        <v>81</v>
      </c>
      <c r="D2356">
        <v>23136</v>
      </c>
    </row>
    <row r="2357" spans="1:4" x14ac:dyDescent="0.25">
      <c r="A2357" s="279">
        <v>39175</v>
      </c>
      <c r="B2357" t="s">
        <v>338</v>
      </c>
      <c r="C2357" t="s">
        <v>82</v>
      </c>
      <c r="D2357">
        <v>8611</v>
      </c>
    </row>
    <row r="2358" spans="1:4" x14ac:dyDescent="0.25">
      <c r="A2358" s="279">
        <v>39175</v>
      </c>
      <c r="B2358" t="s">
        <v>338</v>
      </c>
      <c r="C2358" t="s">
        <v>84</v>
      </c>
      <c r="D2358">
        <v>1800</v>
      </c>
    </row>
    <row r="2359" spans="1:4" x14ac:dyDescent="0.25">
      <c r="A2359" s="279">
        <v>39175</v>
      </c>
      <c r="B2359" t="s">
        <v>338</v>
      </c>
      <c r="C2359" t="s">
        <v>83</v>
      </c>
      <c r="D2359">
        <v>0</v>
      </c>
    </row>
    <row r="2360" spans="1:4" x14ac:dyDescent="0.25">
      <c r="A2360" s="279">
        <v>39175</v>
      </c>
      <c r="B2360" t="s">
        <v>338</v>
      </c>
      <c r="C2360" t="s">
        <v>14</v>
      </c>
      <c r="D2360">
        <v>1034</v>
      </c>
    </row>
    <row r="2361" spans="1:4" x14ac:dyDescent="0.25">
      <c r="A2361" s="279">
        <v>39175</v>
      </c>
      <c r="B2361" t="s">
        <v>339</v>
      </c>
      <c r="C2361" t="s">
        <v>20</v>
      </c>
      <c r="D2361">
        <v>60864</v>
      </c>
    </row>
    <row r="2362" spans="1:4" x14ac:dyDescent="0.25">
      <c r="A2362" s="279">
        <v>39175</v>
      </c>
      <c r="B2362" t="s">
        <v>339</v>
      </c>
      <c r="C2362" t="s">
        <v>85</v>
      </c>
      <c r="D2362">
        <v>42494</v>
      </c>
    </row>
    <row r="2363" spans="1:4" x14ac:dyDescent="0.25">
      <c r="A2363" s="279">
        <v>39175</v>
      </c>
      <c r="B2363" t="s">
        <v>339</v>
      </c>
      <c r="C2363" t="s">
        <v>86</v>
      </c>
      <c r="D2363">
        <v>21425</v>
      </c>
    </row>
    <row r="2364" spans="1:4" x14ac:dyDescent="0.25">
      <c r="A2364" s="279">
        <v>39175</v>
      </c>
      <c r="B2364" t="s">
        <v>339</v>
      </c>
      <c r="C2364" t="s">
        <v>87</v>
      </c>
      <c r="D2364">
        <v>0</v>
      </c>
    </row>
    <row r="2365" spans="1:4" x14ac:dyDescent="0.25">
      <c r="A2365" s="279">
        <v>39175</v>
      </c>
      <c r="B2365" t="s">
        <v>339</v>
      </c>
      <c r="C2365" t="s">
        <v>88</v>
      </c>
      <c r="D2365">
        <v>0</v>
      </c>
    </row>
    <row r="2366" spans="1:4" x14ac:dyDescent="0.25">
      <c r="A2366" s="279">
        <v>39175</v>
      </c>
      <c r="B2366" t="s">
        <v>339</v>
      </c>
      <c r="C2366" t="s">
        <v>14</v>
      </c>
      <c r="D2366">
        <v>1032</v>
      </c>
    </row>
    <row r="2367" spans="1:4" x14ac:dyDescent="0.25">
      <c r="A2367" s="279">
        <v>39176</v>
      </c>
      <c r="B2367" t="s">
        <v>338</v>
      </c>
      <c r="C2367" t="s">
        <v>81</v>
      </c>
      <c r="D2367">
        <v>37139</v>
      </c>
    </row>
    <row r="2368" spans="1:4" x14ac:dyDescent="0.25">
      <c r="A2368" s="279">
        <v>39176</v>
      </c>
      <c r="B2368" t="s">
        <v>338</v>
      </c>
      <c r="C2368" t="s">
        <v>82</v>
      </c>
      <c r="D2368">
        <v>26291</v>
      </c>
    </row>
    <row r="2369" spans="1:4" x14ac:dyDescent="0.25">
      <c r="A2369" s="279">
        <v>39176</v>
      </c>
      <c r="B2369" t="s">
        <v>338</v>
      </c>
      <c r="C2369" t="s">
        <v>84</v>
      </c>
      <c r="D2369">
        <v>1751</v>
      </c>
    </row>
    <row r="2370" spans="1:4" x14ac:dyDescent="0.25">
      <c r="A2370" s="279">
        <v>39176</v>
      </c>
      <c r="B2370" t="s">
        <v>338</v>
      </c>
      <c r="C2370" t="s">
        <v>83</v>
      </c>
      <c r="D2370">
        <v>0</v>
      </c>
    </row>
    <row r="2371" spans="1:4" x14ac:dyDescent="0.25">
      <c r="A2371" s="279">
        <v>39176</v>
      </c>
      <c r="B2371" t="s">
        <v>338</v>
      </c>
      <c r="C2371" t="s">
        <v>14</v>
      </c>
      <c r="D2371">
        <v>1036</v>
      </c>
    </row>
    <row r="2372" spans="1:4" x14ac:dyDescent="0.25">
      <c r="A2372" s="279">
        <v>39176</v>
      </c>
      <c r="B2372" t="s">
        <v>339</v>
      </c>
      <c r="C2372" t="s">
        <v>20</v>
      </c>
      <c r="D2372">
        <v>91911</v>
      </c>
    </row>
    <row r="2373" spans="1:4" x14ac:dyDescent="0.25">
      <c r="A2373" s="279">
        <v>39176</v>
      </c>
      <c r="B2373" t="s">
        <v>339</v>
      </c>
      <c r="C2373" t="s">
        <v>85</v>
      </c>
      <c r="D2373">
        <v>49490</v>
      </c>
    </row>
    <row r="2374" spans="1:4" x14ac:dyDescent="0.25">
      <c r="A2374" s="279">
        <v>39176</v>
      </c>
      <c r="B2374" t="s">
        <v>339</v>
      </c>
      <c r="C2374" t="s">
        <v>86</v>
      </c>
      <c r="D2374">
        <v>26804</v>
      </c>
    </row>
    <row r="2375" spans="1:4" x14ac:dyDescent="0.25">
      <c r="A2375" s="279">
        <v>39176</v>
      </c>
      <c r="B2375" t="s">
        <v>339</v>
      </c>
      <c r="C2375" t="s">
        <v>87</v>
      </c>
      <c r="D2375">
        <v>4106</v>
      </c>
    </row>
    <row r="2376" spans="1:4" x14ac:dyDescent="0.25">
      <c r="A2376" s="279">
        <v>39176</v>
      </c>
      <c r="B2376" t="s">
        <v>339</v>
      </c>
      <c r="C2376" t="s">
        <v>88</v>
      </c>
      <c r="D2376">
        <v>4578</v>
      </c>
    </row>
    <row r="2377" spans="1:4" x14ac:dyDescent="0.25">
      <c r="A2377" s="279">
        <v>39176</v>
      </c>
      <c r="B2377" t="s">
        <v>339</v>
      </c>
      <c r="C2377" t="s">
        <v>14</v>
      </c>
      <c r="D2377">
        <v>1032</v>
      </c>
    </row>
    <row r="2378" spans="1:4" x14ac:dyDescent="0.25">
      <c r="A2378" s="279">
        <v>39177</v>
      </c>
      <c r="B2378" t="s">
        <v>338</v>
      </c>
      <c r="C2378" t="s">
        <v>81</v>
      </c>
      <c r="D2378">
        <v>55257</v>
      </c>
    </row>
    <row r="2379" spans="1:4" x14ac:dyDescent="0.25">
      <c r="A2379" s="279">
        <v>39177</v>
      </c>
      <c r="B2379" t="s">
        <v>338</v>
      </c>
      <c r="C2379" t="s">
        <v>82</v>
      </c>
      <c r="D2379">
        <v>32465</v>
      </c>
    </row>
    <row r="2380" spans="1:4" x14ac:dyDescent="0.25">
      <c r="A2380" s="279">
        <v>39177</v>
      </c>
      <c r="B2380" t="s">
        <v>338</v>
      </c>
      <c r="C2380" t="s">
        <v>84</v>
      </c>
      <c r="D2380">
        <v>2390</v>
      </c>
    </row>
    <row r="2381" spans="1:4" x14ac:dyDescent="0.25">
      <c r="A2381" s="279">
        <v>39177</v>
      </c>
      <c r="B2381" t="s">
        <v>338</v>
      </c>
      <c r="C2381" t="s">
        <v>83</v>
      </c>
      <c r="D2381">
        <v>0</v>
      </c>
    </row>
    <row r="2382" spans="1:4" x14ac:dyDescent="0.25">
      <c r="A2382" s="279">
        <v>39177</v>
      </c>
      <c r="B2382" t="s">
        <v>338</v>
      </c>
      <c r="C2382" t="s">
        <v>14</v>
      </c>
      <c r="D2382">
        <v>1036</v>
      </c>
    </row>
    <row r="2383" spans="1:4" x14ac:dyDescent="0.25">
      <c r="A2383" s="279">
        <v>39177</v>
      </c>
      <c r="B2383" t="s">
        <v>339</v>
      </c>
      <c r="C2383" t="s">
        <v>20</v>
      </c>
      <c r="D2383">
        <v>93696</v>
      </c>
    </row>
    <row r="2384" spans="1:4" x14ac:dyDescent="0.25">
      <c r="A2384" s="279">
        <v>39177</v>
      </c>
      <c r="B2384" t="s">
        <v>339</v>
      </c>
      <c r="C2384" t="s">
        <v>85</v>
      </c>
      <c r="D2384">
        <v>46055</v>
      </c>
    </row>
    <row r="2385" spans="1:4" x14ac:dyDescent="0.25">
      <c r="A2385" s="279">
        <v>39177</v>
      </c>
      <c r="B2385" t="s">
        <v>339</v>
      </c>
      <c r="C2385" t="s">
        <v>86</v>
      </c>
      <c r="D2385">
        <v>28883</v>
      </c>
    </row>
    <row r="2386" spans="1:4" x14ac:dyDescent="0.25">
      <c r="A2386" s="279">
        <v>39177</v>
      </c>
      <c r="B2386" t="s">
        <v>339</v>
      </c>
      <c r="C2386" t="s">
        <v>87</v>
      </c>
      <c r="D2386">
        <v>19455</v>
      </c>
    </row>
    <row r="2387" spans="1:4" x14ac:dyDescent="0.25">
      <c r="A2387" s="279">
        <v>39177</v>
      </c>
      <c r="B2387" t="s">
        <v>339</v>
      </c>
      <c r="C2387" t="s">
        <v>88</v>
      </c>
      <c r="D2387">
        <v>23143</v>
      </c>
    </row>
    <row r="2388" spans="1:4" x14ac:dyDescent="0.25">
      <c r="A2388" s="279">
        <v>39177</v>
      </c>
      <c r="B2388" t="s">
        <v>339</v>
      </c>
      <c r="C2388" t="s">
        <v>14</v>
      </c>
      <c r="D2388">
        <v>1036</v>
      </c>
    </row>
    <row r="2389" spans="1:4" x14ac:dyDescent="0.25">
      <c r="A2389" s="279">
        <v>39178</v>
      </c>
      <c r="B2389" t="s">
        <v>338</v>
      </c>
      <c r="C2389" t="s">
        <v>81</v>
      </c>
      <c r="D2389">
        <v>56064</v>
      </c>
    </row>
    <row r="2390" spans="1:4" x14ac:dyDescent="0.25">
      <c r="A2390" s="279">
        <v>39178</v>
      </c>
      <c r="B2390" t="s">
        <v>338</v>
      </c>
      <c r="C2390" t="s">
        <v>82</v>
      </c>
      <c r="D2390">
        <v>41640</v>
      </c>
    </row>
    <row r="2391" spans="1:4" x14ac:dyDescent="0.25">
      <c r="A2391" s="279">
        <v>39178</v>
      </c>
      <c r="B2391" t="s">
        <v>338</v>
      </c>
      <c r="C2391" t="s">
        <v>84</v>
      </c>
      <c r="D2391">
        <v>2230</v>
      </c>
    </row>
    <row r="2392" spans="1:4" x14ac:dyDescent="0.25">
      <c r="A2392" s="279">
        <v>39178</v>
      </c>
      <c r="B2392" t="s">
        <v>338</v>
      </c>
      <c r="C2392" t="s">
        <v>83</v>
      </c>
      <c r="D2392">
        <v>0</v>
      </c>
    </row>
    <row r="2393" spans="1:4" x14ac:dyDescent="0.25">
      <c r="A2393" s="279">
        <v>39178</v>
      </c>
      <c r="B2393" t="s">
        <v>338</v>
      </c>
      <c r="C2393" t="s">
        <v>14</v>
      </c>
      <c r="D2393">
        <v>1036</v>
      </c>
    </row>
    <row r="2394" spans="1:4" x14ac:dyDescent="0.25">
      <c r="A2394" s="279">
        <v>39178</v>
      </c>
      <c r="B2394" t="s">
        <v>339</v>
      </c>
      <c r="C2394" t="s">
        <v>20</v>
      </c>
      <c r="D2394">
        <v>81791</v>
      </c>
    </row>
    <row r="2395" spans="1:4" x14ac:dyDescent="0.25">
      <c r="A2395" s="279">
        <v>39178</v>
      </c>
      <c r="B2395" t="s">
        <v>339</v>
      </c>
      <c r="C2395" t="s">
        <v>85</v>
      </c>
      <c r="D2395">
        <v>43051</v>
      </c>
    </row>
    <row r="2396" spans="1:4" x14ac:dyDescent="0.25">
      <c r="A2396" s="279">
        <v>39178</v>
      </c>
      <c r="B2396" t="s">
        <v>339</v>
      </c>
      <c r="C2396" t="s">
        <v>86</v>
      </c>
      <c r="D2396">
        <v>20848</v>
      </c>
    </row>
    <row r="2397" spans="1:4" x14ac:dyDescent="0.25">
      <c r="A2397" s="279">
        <v>39178</v>
      </c>
      <c r="B2397" t="s">
        <v>339</v>
      </c>
      <c r="C2397" t="s">
        <v>87</v>
      </c>
      <c r="D2397">
        <v>19410</v>
      </c>
    </row>
    <row r="2398" spans="1:4" x14ac:dyDescent="0.25">
      <c r="A2398" s="279">
        <v>39178</v>
      </c>
      <c r="B2398" t="s">
        <v>339</v>
      </c>
      <c r="C2398" t="s">
        <v>88</v>
      </c>
      <c r="D2398">
        <v>22336</v>
      </c>
    </row>
    <row r="2399" spans="1:4" x14ac:dyDescent="0.25">
      <c r="A2399" s="279">
        <v>39178</v>
      </c>
      <c r="B2399" t="s">
        <v>339</v>
      </c>
      <c r="C2399" t="s">
        <v>14</v>
      </c>
      <c r="D2399">
        <v>1040</v>
      </c>
    </row>
    <row r="2400" spans="1:4" x14ac:dyDescent="0.25">
      <c r="A2400" s="279">
        <v>39179</v>
      </c>
      <c r="B2400" t="s">
        <v>338</v>
      </c>
      <c r="C2400" t="s">
        <v>81</v>
      </c>
      <c r="D2400">
        <v>51716</v>
      </c>
    </row>
    <row r="2401" spans="1:4" x14ac:dyDescent="0.25">
      <c r="A2401" s="279">
        <v>39179</v>
      </c>
      <c r="B2401" t="s">
        <v>338</v>
      </c>
      <c r="C2401" t="s">
        <v>82</v>
      </c>
      <c r="D2401">
        <v>48121</v>
      </c>
    </row>
    <row r="2402" spans="1:4" x14ac:dyDescent="0.25">
      <c r="A2402" s="279">
        <v>39179</v>
      </c>
      <c r="B2402" t="s">
        <v>338</v>
      </c>
      <c r="C2402" t="s">
        <v>84</v>
      </c>
      <c r="D2402">
        <v>2330</v>
      </c>
    </row>
    <row r="2403" spans="1:4" x14ac:dyDescent="0.25">
      <c r="A2403" s="279">
        <v>39179</v>
      </c>
      <c r="B2403" t="s">
        <v>338</v>
      </c>
      <c r="C2403" t="s">
        <v>83</v>
      </c>
      <c r="D2403">
        <v>0</v>
      </c>
    </row>
    <row r="2404" spans="1:4" x14ac:dyDescent="0.25">
      <c r="A2404" s="279">
        <v>39179</v>
      </c>
      <c r="B2404" t="s">
        <v>338</v>
      </c>
      <c r="C2404" t="s">
        <v>14</v>
      </c>
      <c r="D2404">
        <v>1036</v>
      </c>
    </row>
    <row r="2405" spans="1:4" x14ac:dyDescent="0.25">
      <c r="A2405" s="279">
        <v>39179</v>
      </c>
      <c r="B2405" t="s">
        <v>339</v>
      </c>
      <c r="C2405" t="s">
        <v>20</v>
      </c>
      <c r="D2405">
        <v>94838</v>
      </c>
    </row>
    <row r="2406" spans="1:4" x14ac:dyDescent="0.25">
      <c r="A2406" s="279">
        <v>39179</v>
      </c>
      <c r="B2406" t="s">
        <v>339</v>
      </c>
      <c r="C2406" t="s">
        <v>85</v>
      </c>
      <c r="D2406">
        <v>57022</v>
      </c>
    </row>
    <row r="2407" spans="1:4" x14ac:dyDescent="0.25">
      <c r="A2407" s="279">
        <v>39179</v>
      </c>
      <c r="B2407" t="s">
        <v>339</v>
      </c>
      <c r="C2407" t="s">
        <v>86</v>
      </c>
      <c r="D2407">
        <v>24894</v>
      </c>
    </row>
    <row r="2408" spans="1:4" x14ac:dyDescent="0.25">
      <c r="A2408" s="279">
        <v>39179</v>
      </c>
      <c r="B2408" t="s">
        <v>339</v>
      </c>
      <c r="C2408" t="s">
        <v>87</v>
      </c>
      <c r="D2408">
        <v>17905</v>
      </c>
    </row>
    <row r="2409" spans="1:4" x14ac:dyDescent="0.25">
      <c r="A2409" s="279">
        <v>39179</v>
      </c>
      <c r="B2409" t="s">
        <v>339</v>
      </c>
      <c r="C2409" t="s">
        <v>88</v>
      </c>
      <c r="D2409">
        <v>18739</v>
      </c>
    </row>
    <row r="2410" spans="1:4" x14ac:dyDescent="0.25">
      <c r="A2410" s="279">
        <v>39179</v>
      </c>
      <c r="B2410" t="s">
        <v>339</v>
      </c>
      <c r="C2410" t="s">
        <v>14</v>
      </c>
      <c r="D2410">
        <v>1039</v>
      </c>
    </row>
    <row r="2411" spans="1:4" x14ac:dyDescent="0.25">
      <c r="A2411" s="279">
        <v>39180</v>
      </c>
      <c r="B2411" t="s">
        <v>338</v>
      </c>
      <c r="C2411" t="s">
        <v>81</v>
      </c>
      <c r="D2411">
        <v>57867</v>
      </c>
    </row>
    <row r="2412" spans="1:4" x14ac:dyDescent="0.25">
      <c r="A2412" s="279">
        <v>39180</v>
      </c>
      <c r="B2412" t="s">
        <v>338</v>
      </c>
      <c r="C2412" t="s">
        <v>82</v>
      </c>
      <c r="D2412">
        <v>39667</v>
      </c>
    </row>
    <row r="2413" spans="1:4" x14ac:dyDescent="0.25">
      <c r="A2413" s="279">
        <v>39180</v>
      </c>
      <c r="B2413" t="s">
        <v>338</v>
      </c>
      <c r="C2413" t="s">
        <v>84</v>
      </c>
      <c r="D2413">
        <v>2260</v>
      </c>
    </row>
    <row r="2414" spans="1:4" x14ac:dyDescent="0.25">
      <c r="A2414" s="279">
        <v>39180</v>
      </c>
      <c r="B2414" t="s">
        <v>338</v>
      </c>
      <c r="C2414" t="s">
        <v>83</v>
      </c>
      <c r="D2414">
        <v>0</v>
      </c>
    </row>
    <row r="2415" spans="1:4" x14ac:dyDescent="0.25">
      <c r="A2415" s="279">
        <v>39180</v>
      </c>
      <c r="B2415" t="s">
        <v>338</v>
      </c>
      <c r="C2415" t="s">
        <v>14</v>
      </c>
      <c r="D2415">
        <v>1037</v>
      </c>
    </row>
    <row r="2416" spans="1:4" x14ac:dyDescent="0.25">
      <c r="A2416" s="279">
        <v>39180</v>
      </c>
      <c r="B2416" t="s">
        <v>339</v>
      </c>
      <c r="C2416" t="s">
        <v>20</v>
      </c>
      <c r="D2416">
        <v>91846</v>
      </c>
    </row>
    <row r="2417" spans="1:4" x14ac:dyDescent="0.25">
      <c r="A2417" s="279">
        <v>39180</v>
      </c>
      <c r="B2417" t="s">
        <v>339</v>
      </c>
      <c r="C2417" t="s">
        <v>85</v>
      </c>
      <c r="D2417">
        <v>56100</v>
      </c>
    </row>
    <row r="2418" spans="1:4" x14ac:dyDescent="0.25">
      <c r="A2418" s="279">
        <v>39180</v>
      </c>
      <c r="B2418" t="s">
        <v>339</v>
      </c>
      <c r="C2418" t="s">
        <v>86</v>
      </c>
      <c r="D2418">
        <v>24384</v>
      </c>
    </row>
    <row r="2419" spans="1:4" x14ac:dyDescent="0.25">
      <c r="A2419" s="279">
        <v>39180</v>
      </c>
      <c r="B2419" t="s">
        <v>339</v>
      </c>
      <c r="C2419" t="s">
        <v>87</v>
      </c>
      <c r="D2419">
        <v>17403</v>
      </c>
    </row>
    <row r="2420" spans="1:4" x14ac:dyDescent="0.25">
      <c r="A2420" s="279">
        <v>39180</v>
      </c>
      <c r="B2420" t="s">
        <v>339</v>
      </c>
      <c r="C2420" t="s">
        <v>88</v>
      </c>
      <c r="D2420">
        <v>22858</v>
      </c>
    </row>
    <row r="2421" spans="1:4" x14ac:dyDescent="0.25">
      <c r="A2421" s="279">
        <v>39180</v>
      </c>
      <c r="B2421" t="s">
        <v>339</v>
      </c>
      <c r="C2421" t="s">
        <v>14</v>
      </c>
      <c r="D2421">
        <v>1040</v>
      </c>
    </row>
    <row r="2422" spans="1:4" x14ac:dyDescent="0.25">
      <c r="A2422" s="279">
        <v>39181</v>
      </c>
      <c r="B2422" t="s">
        <v>338</v>
      </c>
      <c r="C2422" t="s">
        <v>81</v>
      </c>
      <c r="D2422">
        <v>62377</v>
      </c>
    </row>
    <row r="2423" spans="1:4" x14ac:dyDescent="0.25">
      <c r="A2423" s="279">
        <v>39181</v>
      </c>
      <c r="B2423" t="s">
        <v>338</v>
      </c>
      <c r="C2423" t="s">
        <v>82</v>
      </c>
      <c r="D2423">
        <v>35196</v>
      </c>
    </row>
    <row r="2424" spans="1:4" x14ac:dyDescent="0.25">
      <c r="A2424" s="279">
        <v>39181</v>
      </c>
      <c r="B2424" t="s">
        <v>338</v>
      </c>
      <c r="C2424" t="s">
        <v>84</v>
      </c>
      <c r="D2424">
        <v>2200</v>
      </c>
    </row>
    <row r="2425" spans="1:4" x14ac:dyDescent="0.25">
      <c r="A2425" s="279">
        <v>39181</v>
      </c>
      <c r="B2425" t="s">
        <v>338</v>
      </c>
      <c r="C2425" t="s">
        <v>83</v>
      </c>
      <c r="D2425">
        <v>0</v>
      </c>
    </row>
    <row r="2426" spans="1:4" x14ac:dyDescent="0.25">
      <c r="A2426" s="279">
        <v>39181</v>
      </c>
      <c r="B2426" t="s">
        <v>338</v>
      </c>
      <c r="C2426" t="s">
        <v>14</v>
      </c>
      <c r="D2426">
        <v>1037</v>
      </c>
    </row>
    <row r="2427" spans="1:4" x14ac:dyDescent="0.25">
      <c r="A2427" s="279">
        <v>39181</v>
      </c>
      <c r="B2427" t="s">
        <v>339</v>
      </c>
      <c r="C2427" t="s">
        <v>20</v>
      </c>
      <c r="D2427">
        <v>86151</v>
      </c>
    </row>
    <row r="2428" spans="1:4" x14ac:dyDescent="0.25">
      <c r="A2428" s="279">
        <v>39181</v>
      </c>
      <c r="B2428" t="s">
        <v>339</v>
      </c>
      <c r="C2428" t="s">
        <v>85</v>
      </c>
      <c r="D2428">
        <v>42050</v>
      </c>
    </row>
    <row r="2429" spans="1:4" x14ac:dyDescent="0.25">
      <c r="A2429" s="279">
        <v>39181</v>
      </c>
      <c r="B2429" t="s">
        <v>339</v>
      </c>
      <c r="C2429" t="s">
        <v>86</v>
      </c>
      <c r="D2429">
        <v>6658</v>
      </c>
    </row>
    <row r="2430" spans="1:4" x14ac:dyDescent="0.25">
      <c r="A2430" s="279">
        <v>39181</v>
      </c>
      <c r="B2430" t="s">
        <v>339</v>
      </c>
      <c r="C2430" t="s">
        <v>87</v>
      </c>
      <c r="D2430">
        <v>18726</v>
      </c>
    </row>
    <row r="2431" spans="1:4" x14ac:dyDescent="0.25">
      <c r="A2431" s="279">
        <v>39181</v>
      </c>
      <c r="B2431" t="s">
        <v>339</v>
      </c>
      <c r="C2431" t="s">
        <v>88</v>
      </c>
      <c r="D2431">
        <v>23491</v>
      </c>
    </row>
    <row r="2432" spans="1:4" x14ac:dyDescent="0.25">
      <c r="A2432" s="279">
        <v>39181</v>
      </c>
      <c r="B2432" t="s">
        <v>339</v>
      </c>
      <c r="C2432" t="s">
        <v>14</v>
      </c>
      <c r="D2432">
        <v>1039</v>
      </c>
    </row>
    <row r="2433" spans="1:4" x14ac:dyDescent="0.25">
      <c r="A2433" s="279">
        <v>39182</v>
      </c>
      <c r="B2433" t="s">
        <v>338</v>
      </c>
      <c r="C2433" t="s">
        <v>81</v>
      </c>
      <c r="D2433">
        <v>40333</v>
      </c>
    </row>
    <row r="2434" spans="1:4" x14ac:dyDescent="0.25">
      <c r="A2434" s="279">
        <v>39182</v>
      </c>
      <c r="B2434" t="s">
        <v>338</v>
      </c>
      <c r="C2434" t="s">
        <v>82</v>
      </c>
      <c r="D2434">
        <v>31506</v>
      </c>
    </row>
    <row r="2435" spans="1:4" x14ac:dyDescent="0.25">
      <c r="A2435" s="279">
        <v>39182</v>
      </c>
      <c r="B2435" t="s">
        <v>338</v>
      </c>
      <c r="C2435" t="s">
        <v>84</v>
      </c>
      <c r="D2435">
        <v>2100</v>
      </c>
    </row>
    <row r="2436" spans="1:4" x14ac:dyDescent="0.25">
      <c r="A2436" s="279">
        <v>39182</v>
      </c>
      <c r="B2436" t="s">
        <v>338</v>
      </c>
      <c r="C2436" t="s">
        <v>83</v>
      </c>
      <c r="D2436">
        <v>0</v>
      </c>
    </row>
    <row r="2437" spans="1:4" x14ac:dyDescent="0.25">
      <c r="A2437" s="279">
        <v>39182</v>
      </c>
      <c r="B2437" t="s">
        <v>338</v>
      </c>
      <c r="C2437" t="s">
        <v>14</v>
      </c>
      <c r="D2437">
        <v>1035</v>
      </c>
    </row>
    <row r="2438" spans="1:4" x14ac:dyDescent="0.25">
      <c r="A2438" s="279">
        <v>39182</v>
      </c>
      <c r="B2438" t="s">
        <v>339</v>
      </c>
      <c r="C2438" t="s">
        <v>20</v>
      </c>
      <c r="D2438">
        <v>72760</v>
      </c>
    </row>
    <row r="2439" spans="1:4" x14ac:dyDescent="0.25">
      <c r="A2439" s="279">
        <v>39182</v>
      </c>
      <c r="B2439" t="s">
        <v>339</v>
      </c>
      <c r="C2439" t="s">
        <v>85</v>
      </c>
      <c r="D2439">
        <v>53173</v>
      </c>
    </row>
    <row r="2440" spans="1:4" x14ac:dyDescent="0.25">
      <c r="A2440" s="279">
        <v>39182</v>
      </c>
      <c r="B2440" t="s">
        <v>339</v>
      </c>
      <c r="C2440" t="s">
        <v>86</v>
      </c>
      <c r="D2440">
        <v>4703</v>
      </c>
    </row>
    <row r="2441" spans="1:4" x14ac:dyDescent="0.25">
      <c r="A2441" s="279">
        <v>39182</v>
      </c>
      <c r="B2441" t="s">
        <v>339</v>
      </c>
      <c r="C2441" t="s">
        <v>87</v>
      </c>
      <c r="D2441">
        <v>20601</v>
      </c>
    </row>
    <row r="2442" spans="1:4" x14ac:dyDescent="0.25">
      <c r="A2442" s="279">
        <v>39182</v>
      </c>
      <c r="B2442" t="s">
        <v>339</v>
      </c>
      <c r="C2442" t="s">
        <v>88</v>
      </c>
      <c r="D2442">
        <v>23802</v>
      </c>
    </row>
    <row r="2443" spans="1:4" x14ac:dyDescent="0.25">
      <c r="A2443" s="279">
        <v>39182</v>
      </c>
      <c r="B2443" t="s">
        <v>339</v>
      </c>
      <c r="C2443" t="s">
        <v>14</v>
      </c>
      <c r="D2443">
        <v>1041</v>
      </c>
    </row>
    <row r="2444" spans="1:4" x14ac:dyDescent="0.25">
      <c r="A2444" s="279">
        <v>39183</v>
      </c>
      <c r="B2444" t="s">
        <v>338</v>
      </c>
      <c r="C2444" t="s">
        <v>81</v>
      </c>
      <c r="D2444">
        <v>9994</v>
      </c>
    </row>
    <row r="2445" spans="1:4" x14ac:dyDescent="0.25">
      <c r="A2445" s="279">
        <v>39183</v>
      </c>
      <c r="B2445" t="s">
        <v>338</v>
      </c>
      <c r="C2445" t="s">
        <v>82</v>
      </c>
      <c r="D2445">
        <v>30916</v>
      </c>
    </row>
    <row r="2446" spans="1:4" x14ac:dyDescent="0.25">
      <c r="A2446" s="279">
        <v>39183</v>
      </c>
      <c r="B2446" t="s">
        <v>338</v>
      </c>
      <c r="C2446" t="s">
        <v>84</v>
      </c>
      <c r="D2446">
        <v>2030</v>
      </c>
    </row>
    <row r="2447" spans="1:4" x14ac:dyDescent="0.25">
      <c r="A2447" s="279">
        <v>39183</v>
      </c>
      <c r="B2447" t="s">
        <v>338</v>
      </c>
      <c r="C2447" t="s">
        <v>83</v>
      </c>
      <c r="D2447">
        <v>0</v>
      </c>
    </row>
    <row r="2448" spans="1:4" x14ac:dyDescent="0.25">
      <c r="A2448" s="279">
        <v>39183</v>
      </c>
      <c r="B2448" t="s">
        <v>338</v>
      </c>
      <c r="C2448" t="s">
        <v>14</v>
      </c>
      <c r="D2448">
        <v>1034</v>
      </c>
    </row>
    <row r="2449" spans="1:4" x14ac:dyDescent="0.25">
      <c r="A2449" s="279">
        <v>39183</v>
      </c>
      <c r="B2449" t="s">
        <v>339</v>
      </c>
      <c r="C2449" t="s">
        <v>20</v>
      </c>
      <c r="D2449">
        <v>76818</v>
      </c>
    </row>
    <row r="2450" spans="1:4" x14ac:dyDescent="0.25">
      <c r="A2450" s="279">
        <v>39183</v>
      </c>
      <c r="B2450" t="s">
        <v>339</v>
      </c>
      <c r="C2450" t="s">
        <v>85</v>
      </c>
      <c r="D2450">
        <v>66138</v>
      </c>
    </row>
    <row r="2451" spans="1:4" x14ac:dyDescent="0.25">
      <c r="A2451" s="279">
        <v>39183</v>
      </c>
      <c r="B2451" t="s">
        <v>339</v>
      </c>
      <c r="C2451" t="s">
        <v>86</v>
      </c>
      <c r="D2451">
        <v>3938</v>
      </c>
    </row>
    <row r="2452" spans="1:4" x14ac:dyDescent="0.25">
      <c r="A2452" s="279">
        <v>39183</v>
      </c>
      <c r="B2452" t="s">
        <v>339</v>
      </c>
      <c r="C2452" t="s">
        <v>87</v>
      </c>
      <c r="D2452">
        <v>1690</v>
      </c>
    </row>
    <row r="2453" spans="1:4" x14ac:dyDescent="0.25">
      <c r="A2453" s="279">
        <v>39183</v>
      </c>
      <c r="B2453" t="s">
        <v>339</v>
      </c>
      <c r="C2453" t="s">
        <v>88</v>
      </c>
      <c r="D2453">
        <v>2592</v>
      </c>
    </row>
    <row r="2454" spans="1:4" x14ac:dyDescent="0.25">
      <c r="A2454" s="279">
        <v>39183</v>
      </c>
      <c r="B2454" t="s">
        <v>339</v>
      </c>
      <c r="C2454" t="s">
        <v>14</v>
      </c>
      <c r="D2454">
        <v>1041</v>
      </c>
    </row>
    <row r="2455" spans="1:4" x14ac:dyDescent="0.25">
      <c r="A2455" s="279">
        <v>39184</v>
      </c>
      <c r="B2455" t="s">
        <v>338</v>
      </c>
      <c r="C2455" t="s">
        <v>81</v>
      </c>
      <c r="D2455">
        <v>29152</v>
      </c>
    </row>
    <row r="2456" spans="1:4" x14ac:dyDescent="0.25">
      <c r="A2456" s="279">
        <v>39184</v>
      </c>
      <c r="B2456" t="s">
        <v>338</v>
      </c>
      <c r="C2456" t="s">
        <v>82</v>
      </c>
      <c r="D2456">
        <v>23655</v>
      </c>
    </row>
    <row r="2457" spans="1:4" x14ac:dyDescent="0.25">
      <c r="A2457" s="279">
        <v>39184</v>
      </c>
      <c r="B2457" t="s">
        <v>338</v>
      </c>
      <c r="C2457" t="s">
        <v>84</v>
      </c>
      <c r="D2457">
        <v>2030</v>
      </c>
    </row>
    <row r="2458" spans="1:4" x14ac:dyDescent="0.25">
      <c r="A2458" s="279">
        <v>39184</v>
      </c>
      <c r="B2458" t="s">
        <v>338</v>
      </c>
      <c r="C2458" t="s">
        <v>83</v>
      </c>
      <c r="D2458">
        <v>0</v>
      </c>
    </row>
    <row r="2459" spans="1:4" x14ac:dyDescent="0.25">
      <c r="A2459" s="279">
        <v>39184</v>
      </c>
      <c r="B2459" t="s">
        <v>338</v>
      </c>
      <c r="C2459" t="s">
        <v>14</v>
      </c>
      <c r="D2459">
        <v>1034</v>
      </c>
    </row>
    <row r="2460" spans="1:4" x14ac:dyDescent="0.25">
      <c r="A2460" s="279">
        <v>39184</v>
      </c>
      <c r="B2460" t="s">
        <v>339</v>
      </c>
      <c r="C2460" t="s">
        <v>20</v>
      </c>
      <c r="D2460">
        <v>88822</v>
      </c>
    </row>
    <row r="2461" spans="1:4" x14ac:dyDescent="0.25">
      <c r="A2461" s="279">
        <v>39184</v>
      </c>
      <c r="B2461" t="s">
        <v>339</v>
      </c>
      <c r="C2461" t="s">
        <v>85</v>
      </c>
      <c r="D2461">
        <v>58395</v>
      </c>
    </row>
    <row r="2462" spans="1:4" x14ac:dyDescent="0.25">
      <c r="A2462" s="279">
        <v>39184</v>
      </c>
      <c r="B2462" t="s">
        <v>339</v>
      </c>
      <c r="C2462" t="s">
        <v>86</v>
      </c>
      <c r="D2462">
        <v>0</v>
      </c>
    </row>
    <row r="2463" spans="1:4" x14ac:dyDescent="0.25">
      <c r="A2463" s="279">
        <v>39184</v>
      </c>
      <c r="B2463" t="s">
        <v>339</v>
      </c>
      <c r="C2463" t="s">
        <v>87</v>
      </c>
      <c r="D2463">
        <v>0</v>
      </c>
    </row>
    <row r="2464" spans="1:4" x14ac:dyDescent="0.25">
      <c r="A2464" s="279">
        <v>39184</v>
      </c>
      <c r="B2464" t="s">
        <v>339</v>
      </c>
      <c r="C2464" t="s">
        <v>88</v>
      </c>
      <c r="D2464">
        <v>24134</v>
      </c>
    </row>
    <row r="2465" spans="1:4" x14ac:dyDescent="0.25">
      <c r="A2465" s="279">
        <v>39184</v>
      </c>
      <c r="B2465" t="s">
        <v>339</v>
      </c>
      <c r="C2465" t="s">
        <v>14</v>
      </c>
      <c r="D2465">
        <v>1040</v>
      </c>
    </row>
    <row r="2466" spans="1:4" x14ac:dyDescent="0.25">
      <c r="A2466" s="279">
        <v>39185</v>
      </c>
      <c r="B2466" t="s">
        <v>338</v>
      </c>
      <c r="C2466" t="s">
        <v>81</v>
      </c>
      <c r="D2466">
        <v>41547</v>
      </c>
    </row>
    <row r="2467" spans="1:4" x14ac:dyDescent="0.25">
      <c r="A2467" s="279">
        <v>39185</v>
      </c>
      <c r="B2467" t="s">
        <v>338</v>
      </c>
      <c r="C2467" t="s">
        <v>82</v>
      </c>
      <c r="D2467">
        <v>35628</v>
      </c>
    </row>
    <row r="2468" spans="1:4" x14ac:dyDescent="0.25">
      <c r="A2468" s="279">
        <v>39185</v>
      </c>
      <c r="B2468" t="s">
        <v>338</v>
      </c>
      <c r="C2468" t="s">
        <v>84</v>
      </c>
      <c r="D2468">
        <v>2060</v>
      </c>
    </row>
    <row r="2469" spans="1:4" x14ac:dyDescent="0.25">
      <c r="A2469" s="279">
        <v>39185</v>
      </c>
      <c r="B2469" t="s">
        <v>338</v>
      </c>
      <c r="C2469" t="s">
        <v>83</v>
      </c>
      <c r="D2469">
        <v>0</v>
      </c>
    </row>
    <row r="2470" spans="1:4" x14ac:dyDescent="0.25">
      <c r="A2470" s="279">
        <v>39185</v>
      </c>
      <c r="B2470" t="s">
        <v>338</v>
      </c>
      <c r="C2470" t="s">
        <v>14</v>
      </c>
      <c r="D2470">
        <v>1033</v>
      </c>
    </row>
    <row r="2471" spans="1:4" x14ac:dyDescent="0.25">
      <c r="A2471" s="279">
        <v>39185</v>
      </c>
      <c r="B2471" t="s">
        <v>339</v>
      </c>
      <c r="C2471" t="s">
        <v>20</v>
      </c>
      <c r="D2471">
        <v>118159</v>
      </c>
    </row>
    <row r="2472" spans="1:4" x14ac:dyDescent="0.25">
      <c r="A2472" s="279">
        <v>39185</v>
      </c>
      <c r="B2472" t="s">
        <v>339</v>
      </c>
      <c r="C2472" t="s">
        <v>85</v>
      </c>
      <c r="D2472">
        <v>31921</v>
      </c>
    </row>
    <row r="2473" spans="1:4" x14ac:dyDescent="0.25">
      <c r="A2473" s="279">
        <v>39185</v>
      </c>
      <c r="B2473" t="s">
        <v>339</v>
      </c>
      <c r="C2473" t="s">
        <v>86</v>
      </c>
      <c r="D2473">
        <v>0</v>
      </c>
    </row>
    <row r="2474" spans="1:4" x14ac:dyDescent="0.25">
      <c r="A2474" s="279">
        <v>39185</v>
      </c>
      <c r="B2474" t="s">
        <v>339</v>
      </c>
      <c r="C2474" t="s">
        <v>87</v>
      </c>
      <c r="D2474">
        <v>0</v>
      </c>
    </row>
    <row r="2475" spans="1:4" x14ac:dyDescent="0.25">
      <c r="A2475" s="279">
        <v>39185</v>
      </c>
      <c r="B2475" t="s">
        <v>339</v>
      </c>
      <c r="C2475" t="s">
        <v>88</v>
      </c>
      <c r="D2475">
        <v>24532</v>
      </c>
    </row>
    <row r="2476" spans="1:4" x14ac:dyDescent="0.25">
      <c r="A2476" s="279">
        <v>39185</v>
      </c>
      <c r="B2476" t="s">
        <v>339</v>
      </c>
      <c r="C2476" t="s">
        <v>14</v>
      </c>
      <c r="D2476">
        <v>1038</v>
      </c>
    </row>
    <row r="2477" spans="1:4" x14ac:dyDescent="0.25">
      <c r="A2477" s="279">
        <v>39186</v>
      </c>
      <c r="B2477" t="s">
        <v>338</v>
      </c>
      <c r="C2477" t="s">
        <v>81</v>
      </c>
      <c r="D2477">
        <v>30847</v>
      </c>
    </row>
    <row r="2478" spans="1:4" x14ac:dyDescent="0.25">
      <c r="A2478" s="279">
        <v>39186</v>
      </c>
      <c r="B2478" t="s">
        <v>338</v>
      </c>
      <c r="C2478" t="s">
        <v>82</v>
      </c>
      <c r="D2478">
        <v>19639</v>
      </c>
    </row>
    <row r="2479" spans="1:4" x14ac:dyDescent="0.25">
      <c r="A2479" s="279">
        <v>39186</v>
      </c>
      <c r="B2479" t="s">
        <v>338</v>
      </c>
      <c r="C2479" t="s">
        <v>84</v>
      </c>
      <c r="D2479">
        <v>1680</v>
      </c>
    </row>
    <row r="2480" spans="1:4" x14ac:dyDescent="0.25">
      <c r="A2480" s="279">
        <v>39186</v>
      </c>
      <c r="B2480" t="s">
        <v>338</v>
      </c>
      <c r="C2480" t="s">
        <v>83</v>
      </c>
      <c r="D2480">
        <v>0</v>
      </c>
    </row>
    <row r="2481" spans="1:4" x14ac:dyDescent="0.25">
      <c r="A2481" s="279">
        <v>39186</v>
      </c>
      <c r="B2481" t="s">
        <v>338</v>
      </c>
      <c r="C2481" t="s">
        <v>14</v>
      </c>
      <c r="D2481">
        <v>1034</v>
      </c>
    </row>
    <row r="2482" spans="1:4" x14ac:dyDescent="0.25">
      <c r="A2482" s="279">
        <v>39186</v>
      </c>
      <c r="B2482" t="s">
        <v>339</v>
      </c>
      <c r="C2482" t="s">
        <v>20</v>
      </c>
      <c r="D2482">
        <v>91745</v>
      </c>
    </row>
    <row r="2483" spans="1:4" x14ac:dyDescent="0.25">
      <c r="A2483" s="279">
        <v>39186</v>
      </c>
      <c r="B2483" t="s">
        <v>339</v>
      </c>
      <c r="C2483" t="s">
        <v>85</v>
      </c>
      <c r="D2483">
        <v>37291</v>
      </c>
    </row>
    <row r="2484" spans="1:4" x14ac:dyDescent="0.25">
      <c r="A2484" s="279">
        <v>39186</v>
      </c>
      <c r="B2484" t="s">
        <v>339</v>
      </c>
      <c r="C2484" t="s">
        <v>86</v>
      </c>
      <c r="D2484">
        <v>0</v>
      </c>
    </row>
    <row r="2485" spans="1:4" x14ac:dyDescent="0.25">
      <c r="A2485" s="279">
        <v>39186</v>
      </c>
      <c r="B2485" t="s">
        <v>339</v>
      </c>
      <c r="C2485" t="s">
        <v>87</v>
      </c>
      <c r="D2485">
        <v>0</v>
      </c>
    </row>
    <row r="2486" spans="1:4" x14ac:dyDescent="0.25">
      <c r="A2486" s="279">
        <v>39186</v>
      </c>
      <c r="B2486" t="s">
        <v>339</v>
      </c>
      <c r="C2486" t="s">
        <v>88</v>
      </c>
      <c r="D2486">
        <v>18795</v>
      </c>
    </row>
    <row r="2487" spans="1:4" x14ac:dyDescent="0.25">
      <c r="A2487" s="279">
        <v>39186</v>
      </c>
      <c r="B2487" t="s">
        <v>339</v>
      </c>
      <c r="C2487" t="s">
        <v>14</v>
      </c>
      <c r="D2487">
        <v>1039</v>
      </c>
    </row>
    <row r="2488" spans="1:4" x14ac:dyDescent="0.25">
      <c r="A2488" s="279">
        <v>39187</v>
      </c>
      <c r="B2488" t="s">
        <v>338</v>
      </c>
      <c r="C2488" t="s">
        <v>81</v>
      </c>
      <c r="D2488">
        <v>51270</v>
      </c>
    </row>
    <row r="2489" spans="1:4" x14ac:dyDescent="0.25">
      <c r="A2489" s="279">
        <v>39187</v>
      </c>
      <c r="B2489" t="s">
        <v>338</v>
      </c>
      <c r="C2489" t="s">
        <v>82</v>
      </c>
      <c r="D2489">
        <v>45365</v>
      </c>
    </row>
    <row r="2490" spans="1:4" x14ac:dyDescent="0.25">
      <c r="A2490" s="279">
        <v>39187</v>
      </c>
      <c r="B2490" t="s">
        <v>338</v>
      </c>
      <c r="C2490" t="s">
        <v>84</v>
      </c>
      <c r="D2490">
        <v>2201</v>
      </c>
    </row>
    <row r="2491" spans="1:4" x14ac:dyDescent="0.25">
      <c r="A2491" s="279">
        <v>39187</v>
      </c>
      <c r="B2491" t="s">
        <v>338</v>
      </c>
      <c r="C2491" t="s">
        <v>83</v>
      </c>
      <c r="D2491">
        <v>0</v>
      </c>
    </row>
    <row r="2492" spans="1:4" x14ac:dyDescent="0.25">
      <c r="A2492" s="279">
        <v>39187</v>
      </c>
      <c r="B2492" t="s">
        <v>338</v>
      </c>
      <c r="C2492" t="s">
        <v>14</v>
      </c>
      <c r="D2492">
        <v>1035</v>
      </c>
    </row>
    <row r="2493" spans="1:4" x14ac:dyDescent="0.25">
      <c r="A2493" s="279">
        <v>39187</v>
      </c>
      <c r="B2493" t="s">
        <v>339</v>
      </c>
      <c r="C2493" t="s">
        <v>20</v>
      </c>
      <c r="D2493">
        <v>117104</v>
      </c>
    </row>
    <row r="2494" spans="1:4" x14ac:dyDescent="0.25">
      <c r="A2494" s="279">
        <v>39187</v>
      </c>
      <c r="B2494" t="s">
        <v>339</v>
      </c>
      <c r="C2494" t="s">
        <v>85</v>
      </c>
      <c r="D2494">
        <v>38157</v>
      </c>
    </row>
    <row r="2495" spans="1:4" x14ac:dyDescent="0.25">
      <c r="A2495" s="279">
        <v>39187</v>
      </c>
      <c r="B2495" t="s">
        <v>339</v>
      </c>
      <c r="C2495" t="s">
        <v>86</v>
      </c>
      <c r="D2495">
        <v>0</v>
      </c>
    </row>
    <row r="2496" spans="1:4" x14ac:dyDescent="0.25">
      <c r="A2496" s="279">
        <v>39187</v>
      </c>
      <c r="B2496" t="s">
        <v>339</v>
      </c>
      <c r="C2496" t="s">
        <v>87</v>
      </c>
      <c r="D2496">
        <v>0</v>
      </c>
    </row>
    <row r="2497" spans="1:4" x14ac:dyDescent="0.25">
      <c r="A2497" s="279">
        <v>39187</v>
      </c>
      <c r="B2497" t="s">
        <v>339</v>
      </c>
      <c r="C2497" t="s">
        <v>88</v>
      </c>
      <c r="D2497">
        <v>24589</v>
      </c>
    </row>
    <row r="2498" spans="1:4" x14ac:dyDescent="0.25">
      <c r="A2498" s="279">
        <v>39187</v>
      </c>
      <c r="B2498" t="s">
        <v>339</v>
      </c>
      <c r="C2498" t="s">
        <v>14</v>
      </c>
      <c r="D2498">
        <v>1034</v>
      </c>
    </row>
    <row r="2499" spans="1:4" x14ac:dyDescent="0.25">
      <c r="A2499" s="279">
        <v>39188</v>
      </c>
      <c r="B2499" t="s">
        <v>338</v>
      </c>
      <c r="C2499" t="s">
        <v>81</v>
      </c>
      <c r="D2499">
        <v>46287</v>
      </c>
    </row>
    <row r="2500" spans="1:4" x14ac:dyDescent="0.25">
      <c r="A2500" s="279">
        <v>39188</v>
      </c>
      <c r="B2500" t="s">
        <v>338</v>
      </c>
      <c r="C2500" t="s">
        <v>82</v>
      </c>
      <c r="D2500">
        <v>51239</v>
      </c>
    </row>
    <row r="2501" spans="1:4" x14ac:dyDescent="0.25">
      <c r="A2501" s="279">
        <v>39188</v>
      </c>
      <c r="B2501" t="s">
        <v>338</v>
      </c>
      <c r="C2501" t="s">
        <v>84</v>
      </c>
      <c r="D2501">
        <v>2420</v>
      </c>
    </row>
    <row r="2502" spans="1:4" x14ac:dyDescent="0.25">
      <c r="A2502" s="279">
        <v>39188</v>
      </c>
      <c r="B2502" t="s">
        <v>338</v>
      </c>
      <c r="C2502" t="s">
        <v>83</v>
      </c>
      <c r="D2502">
        <v>0</v>
      </c>
    </row>
    <row r="2503" spans="1:4" x14ac:dyDescent="0.25">
      <c r="A2503" s="279">
        <v>39188</v>
      </c>
      <c r="B2503" t="s">
        <v>338</v>
      </c>
      <c r="C2503" t="s">
        <v>14</v>
      </c>
      <c r="D2503">
        <v>1037</v>
      </c>
    </row>
    <row r="2504" spans="1:4" x14ac:dyDescent="0.25">
      <c r="A2504" s="279">
        <v>39188</v>
      </c>
      <c r="B2504" t="s">
        <v>339</v>
      </c>
      <c r="C2504" t="s">
        <v>20</v>
      </c>
      <c r="D2504">
        <v>82796</v>
      </c>
    </row>
    <row r="2505" spans="1:4" x14ac:dyDescent="0.25">
      <c r="A2505" s="279">
        <v>39188</v>
      </c>
      <c r="B2505" t="s">
        <v>339</v>
      </c>
      <c r="C2505" t="s">
        <v>85</v>
      </c>
      <c r="D2505">
        <v>43630</v>
      </c>
    </row>
    <row r="2506" spans="1:4" x14ac:dyDescent="0.25">
      <c r="A2506" s="279">
        <v>39188</v>
      </c>
      <c r="B2506" t="s">
        <v>339</v>
      </c>
      <c r="C2506" t="s">
        <v>86</v>
      </c>
      <c r="D2506">
        <v>27703</v>
      </c>
    </row>
    <row r="2507" spans="1:4" x14ac:dyDescent="0.25">
      <c r="A2507" s="279">
        <v>39188</v>
      </c>
      <c r="B2507" t="s">
        <v>339</v>
      </c>
      <c r="C2507" t="s">
        <v>87</v>
      </c>
      <c r="D2507">
        <v>19504</v>
      </c>
    </row>
    <row r="2508" spans="1:4" x14ac:dyDescent="0.25">
      <c r="A2508" s="279">
        <v>39188</v>
      </c>
      <c r="B2508" t="s">
        <v>339</v>
      </c>
      <c r="C2508" t="s">
        <v>88</v>
      </c>
      <c r="D2508">
        <v>26310</v>
      </c>
    </row>
    <row r="2509" spans="1:4" x14ac:dyDescent="0.25">
      <c r="A2509" s="279">
        <v>39188</v>
      </c>
      <c r="B2509" t="s">
        <v>339</v>
      </c>
      <c r="C2509" t="s">
        <v>14</v>
      </c>
      <c r="D2509">
        <v>1044</v>
      </c>
    </row>
    <row r="2510" spans="1:4" x14ac:dyDescent="0.25">
      <c r="A2510" s="279">
        <v>39189</v>
      </c>
      <c r="B2510" t="s">
        <v>338</v>
      </c>
      <c r="C2510" t="s">
        <v>81</v>
      </c>
      <c r="D2510">
        <v>48251</v>
      </c>
    </row>
    <row r="2511" spans="1:4" x14ac:dyDescent="0.25">
      <c r="A2511" s="279">
        <v>39189</v>
      </c>
      <c r="B2511" t="s">
        <v>338</v>
      </c>
      <c r="C2511" t="s">
        <v>82</v>
      </c>
      <c r="D2511">
        <v>44326</v>
      </c>
    </row>
    <row r="2512" spans="1:4" x14ac:dyDescent="0.25">
      <c r="A2512" s="279">
        <v>39189</v>
      </c>
      <c r="B2512" t="s">
        <v>338</v>
      </c>
      <c r="C2512" t="s">
        <v>84</v>
      </c>
      <c r="D2512">
        <v>2250</v>
      </c>
    </row>
    <row r="2513" spans="1:4" x14ac:dyDescent="0.25">
      <c r="A2513" s="279">
        <v>39189</v>
      </c>
      <c r="B2513" t="s">
        <v>338</v>
      </c>
      <c r="C2513" t="s">
        <v>83</v>
      </c>
      <c r="D2513">
        <v>0</v>
      </c>
    </row>
    <row r="2514" spans="1:4" x14ac:dyDescent="0.25">
      <c r="A2514" s="279">
        <v>39189</v>
      </c>
      <c r="B2514" t="s">
        <v>338</v>
      </c>
      <c r="C2514" t="s">
        <v>14</v>
      </c>
      <c r="D2514">
        <v>1036</v>
      </c>
    </row>
    <row r="2515" spans="1:4" x14ac:dyDescent="0.25">
      <c r="A2515" s="279">
        <v>39189</v>
      </c>
      <c r="B2515" t="s">
        <v>339</v>
      </c>
      <c r="C2515" t="s">
        <v>20</v>
      </c>
      <c r="D2515">
        <v>96207</v>
      </c>
    </row>
    <row r="2516" spans="1:4" x14ac:dyDescent="0.25">
      <c r="A2516" s="279">
        <v>39189</v>
      </c>
      <c r="B2516" t="s">
        <v>339</v>
      </c>
      <c r="C2516" t="s">
        <v>85</v>
      </c>
      <c r="D2516">
        <v>34916</v>
      </c>
    </row>
    <row r="2517" spans="1:4" x14ac:dyDescent="0.25">
      <c r="A2517" s="279">
        <v>39189</v>
      </c>
      <c r="B2517" t="s">
        <v>339</v>
      </c>
      <c r="C2517" t="s">
        <v>86</v>
      </c>
      <c r="D2517">
        <v>5397</v>
      </c>
    </row>
    <row r="2518" spans="1:4" x14ac:dyDescent="0.25">
      <c r="A2518" s="279">
        <v>39189</v>
      </c>
      <c r="B2518" t="s">
        <v>339</v>
      </c>
      <c r="C2518" t="s">
        <v>87</v>
      </c>
      <c r="D2518">
        <v>19411</v>
      </c>
    </row>
    <row r="2519" spans="1:4" x14ac:dyDescent="0.25">
      <c r="A2519" s="279">
        <v>39189</v>
      </c>
      <c r="B2519" t="s">
        <v>339</v>
      </c>
      <c r="C2519" t="s">
        <v>88</v>
      </c>
      <c r="D2519">
        <v>21160</v>
      </c>
    </row>
    <row r="2520" spans="1:4" x14ac:dyDescent="0.25">
      <c r="A2520" s="279">
        <v>39189</v>
      </c>
      <c r="B2520" t="s">
        <v>339</v>
      </c>
      <c r="C2520" t="s">
        <v>14</v>
      </c>
      <c r="D2520">
        <v>1034</v>
      </c>
    </row>
    <row r="2521" spans="1:4" x14ac:dyDescent="0.25">
      <c r="A2521" s="279">
        <v>39190</v>
      </c>
      <c r="B2521" t="s">
        <v>338</v>
      </c>
      <c r="C2521" t="s">
        <v>81</v>
      </c>
      <c r="D2521">
        <v>30260</v>
      </c>
    </row>
    <row r="2522" spans="1:4" x14ac:dyDescent="0.25">
      <c r="A2522" s="279">
        <v>39190</v>
      </c>
      <c r="B2522" t="s">
        <v>338</v>
      </c>
      <c r="C2522" t="s">
        <v>82</v>
      </c>
      <c r="D2522">
        <v>31676</v>
      </c>
    </row>
    <row r="2523" spans="1:4" x14ac:dyDescent="0.25">
      <c r="A2523" s="279">
        <v>39190</v>
      </c>
      <c r="B2523" t="s">
        <v>338</v>
      </c>
      <c r="C2523" t="s">
        <v>84</v>
      </c>
      <c r="D2523">
        <v>1900</v>
      </c>
    </row>
    <row r="2524" spans="1:4" x14ac:dyDescent="0.25">
      <c r="A2524" s="279">
        <v>39190</v>
      </c>
      <c r="B2524" t="s">
        <v>338</v>
      </c>
      <c r="C2524" t="s">
        <v>83</v>
      </c>
      <c r="D2524">
        <v>0</v>
      </c>
    </row>
    <row r="2525" spans="1:4" x14ac:dyDescent="0.25">
      <c r="A2525" s="279">
        <v>39190</v>
      </c>
      <c r="B2525" t="s">
        <v>338</v>
      </c>
      <c r="C2525" t="s">
        <v>14</v>
      </c>
      <c r="D2525">
        <v>1038</v>
      </c>
    </row>
    <row r="2526" spans="1:4" x14ac:dyDescent="0.25">
      <c r="A2526" s="279">
        <v>39190</v>
      </c>
      <c r="B2526" t="s">
        <v>339</v>
      </c>
      <c r="C2526" t="s">
        <v>20</v>
      </c>
      <c r="D2526">
        <v>95410</v>
      </c>
    </row>
    <row r="2527" spans="1:4" x14ac:dyDescent="0.25">
      <c r="A2527" s="279">
        <v>39190</v>
      </c>
      <c r="B2527" t="s">
        <v>339</v>
      </c>
      <c r="C2527" t="s">
        <v>85</v>
      </c>
      <c r="D2527">
        <v>33677</v>
      </c>
    </row>
    <row r="2528" spans="1:4" x14ac:dyDescent="0.25">
      <c r="A2528" s="279">
        <v>39190</v>
      </c>
      <c r="B2528" t="s">
        <v>339</v>
      </c>
      <c r="C2528" t="s">
        <v>86</v>
      </c>
      <c r="D2528">
        <v>12077</v>
      </c>
    </row>
    <row r="2529" spans="1:4" x14ac:dyDescent="0.25">
      <c r="A2529" s="279">
        <v>39190</v>
      </c>
      <c r="B2529" t="s">
        <v>339</v>
      </c>
      <c r="C2529" t="s">
        <v>87</v>
      </c>
      <c r="D2529">
        <v>49</v>
      </c>
    </row>
    <row r="2530" spans="1:4" x14ac:dyDescent="0.25">
      <c r="A2530" s="279">
        <v>39190</v>
      </c>
      <c r="B2530" t="s">
        <v>339</v>
      </c>
      <c r="C2530" t="s">
        <v>88</v>
      </c>
      <c r="D2530">
        <v>18610</v>
      </c>
    </row>
    <row r="2531" spans="1:4" x14ac:dyDescent="0.25">
      <c r="A2531" s="279">
        <v>39190</v>
      </c>
      <c r="B2531" t="s">
        <v>339</v>
      </c>
      <c r="C2531" t="s">
        <v>14</v>
      </c>
      <c r="D2531">
        <v>1030</v>
      </c>
    </row>
    <row r="2532" spans="1:4" x14ac:dyDescent="0.25">
      <c r="A2532" s="279">
        <v>39191</v>
      </c>
      <c r="B2532" t="s">
        <v>338</v>
      </c>
      <c r="C2532" t="s">
        <v>81</v>
      </c>
      <c r="D2532">
        <v>23991</v>
      </c>
    </row>
    <row r="2533" spans="1:4" x14ac:dyDescent="0.25">
      <c r="A2533" s="279">
        <v>39191</v>
      </c>
      <c r="B2533" t="s">
        <v>338</v>
      </c>
      <c r="C2533" t="s">
        <v>82</v>
      </c>
      <c r="D2533">
        <v>37558</v>
      </c>
    </row>
    <row r="2534" spans="1:4" x14ac:dyDescent="0.25">
      <c r="A2534" s="279">
        <v>39191</v>
      </c>
      <c r="B2534" t="s">
        <v>338</v>
      </c>
      <c r="C2534" t="s">
        <v>84</v>
      </c>
      <c r="D2534">
        <v>1700</v>
      </c>
    </row>
    <row r="2535" spans="1:4" x14ac:dyDescent="0.25">
      <c r="A2535" s="279">
        <v>39191</v>
      </c>
      <c r="B2535" t="s">
        <v>338</v>
      </c>
      <c r="C2535" t="s">
        <v>83</v>
      </c>
      <c r="D2535">
        <v>0</v>
      </c>
    </row>
    <row r="2536" spans="1:4" x14ac:dyDescent="0.25">
      <c r="A2536" s="279">
        <v>39191</v>
      </c>
      <c r="B2536" t="s">
        <v>338</v>
      </c>
      <c r="C2536" t="s">
        <v>14</v>
      </c>
      <c r="D2536">
        <v>1035</v>
      </c>
    </row>
    <row r="2537" spans="1:4" x14ac:dyDescent="0.25">
      <c r="A2537" s="279">
        <v>39191</v>
      </c>
      <c r="B2537" t="s">
        <v>339</v>
      </c>
      <c r="C2537" t="s">
        <v>20</v>
      </c>
      <c r="D2537">
        <v>107379</v>
      </c>
    </row>
    <row r="2538" spans="1:4" x14ac:dyDescent="0.25">
      <c r="A2538" s="279">
        <v>39191</v>
      </c>
      <c r="B2538" t="s">
        <v>339</v>
      </c>
      <c r="C2538" t="s">
        <v>85</v>
      </c>
      <c r="D2538">
        <v>22417</v>
      </c>
    </row>
    <row r="2539" spans="1:4" x14ac:dyDescent="0.25">
      <c r="A2539" s="279">
        <v>39191</v>
      </c>
      <c r="B2539" t="s">
        <v>339</v>
      </c>
      <c r="C2539" t="s">
        <v>86</v>
      </c>
      <c r="D2539">
        <v>3458</v>
      </c>
    </row>
    <row r="2540" spans="1:4" x14ac:dyDescent="0.25">
      <c r="A2540" s="279">
        <v>39191</v>
      </c>
      <c r="B2540" t="s">
        <v>339</v>
      </c>
      <c r="C2540" t="s">
        <v>87</v>
      </c>
      <c r="D2540">
        <v>0</v>
      </c>
    </row>
    <row r="2541" spans="1:4" x14ac:dyDescent="0.25">
      <c r="A2541" s="279">
        <v>39191</v>
      </c>
      <c r="B2541" t="s">
        <v>339</v>
      </c>
      <c r="C2541" t="s">
        <v>88</v>
      </c>
      <c r="D2541">
        <v>3959</v>
      </c>
    </row>
    <row r="2542" spans="1:4" x14ac:dyDescent="0.25">
      <c r="A2542" s="279">
        <v>39191</v>
      </c>
      <c r="B2542" t="s">
        <v>339</v>
      </c>
      <c r="C2542" t="s">
        <v>14</v>
      </c>
      <c r="D2542">
        <v>1035</v>
      </c>
    </row>
    <row r="2543" spans="1:4" x14ac:dyDescent="0.25">
      <c r="A2543" s="279">
        <v>39192</v>
      </c>
      <c r="B2543" t="s">
        <v>338</v>
      </c>
      <c r="C2543" t="s">
        <v>81</v>
      </c>
      <c r="D2543">
        <v>31817</v>
      </c>
    </row>
    <row r="2544" spans="1:4" x14ac:dyDescent="0.25">
      <c r="A2544" s="279">
        <v>39192</v>
      </c>
      <c r="B2544" t="s">
        <v>338</v>
      </c>
      <c r="C2544" t="s">
        <v>82</v>
      </c>
      <c r="D2544">
        <v>3682</v>
      </c>
    </row>
    <row r="2545" spans="1:4" x14ac:dyDescent="0.25">
      <c r="A2545" s="279">
        <v>39192</v>
      </c>
      <c r="B2545" t="s">
        <v>338</v>
      </c>
      <c r="C2545" t="s">
        <v>84</v>
      </c>
      <c r="D2545">
        <v>1210</v>
      </c>
    </row>
    <row r="2546" spans="1:4" x14ac:dyDescent="0.25">
      <c r="A2546" s="279">
        <v>39192</v>
      </c>
      <c r="B2546" t="s">
        <v>338</v>
      </c>
      <c r="C2546" t="s">
        <v>83</v>
      </c>
      <c r="D2546">
        <v>0</v>
      </c>
    </row>
    <row r="2547" spans="1:4" x14ac:dyDescent="0.25">
      <c r="A2547" s="279">
        <v>39192</v>
      </c>
      <c r="B2547" t="s">
        <v>338</v>
      </c>
      <c r="C2547" t="s">
        <v>14</v>
      </c>
      <c r="D2547">
        <v>1035</v>
      </c>
    </row>
    <row r="2548" spans="1:4" x14ac:dyDescent="0.25">
      <c r="A2548" s="279">
        <v>39192</v>
      </c>
      <c r="B2548" t="s">
        <v>339</v>
      </c>
      <c r="C2548" t="s">
        <v>20</v>
      </c>
      <c r="D2548">
        <v>89931</v>
      </c>
    </row>
    <row r="2549" spans="1:4" x14ac:dyDescent="0.25">
      <c r="A2549" s="279">
        <v>39192</v>
      </c>
      <c r="B2549" t="s">
        <v>339</v>
      </c>
      <c r="C2549" t="s">
        <v>85</v>
      </c>
      <c r="D2549">
        <v>1649</v>
      </c>
    </row>
    <row r="2550" spans="1:4" x14ac:dyDescent="0.25">
      <c r="A2550" s="279">
        <v>39192</v>
      </c>
      <c r="B2550" t="s">
        <v>339</v>
      </c>
      <c r="C2550" t="s">
        <v>86</v>
      </c>
      <c r="D2550">
        <v>3265</v>
      </c>
    </row>
    <row r="2551" spans="1:4" x14ac:dyDescent="0.25">
      <c r="A2551" s="279">
        <v>39192</v>
      </c>
      <c r="B2551" t="s">
        <v>339</v>
      </c>
      <c r="C2551" t="s">
        <v>87</v>
      </c>
      <c r="D2551">
        <v>0</v>
      </c>
    </row>
    <row r="2552" spans="1:4" x14ac:dyDescent="0.25">
      <c r="A2552" s="279">
        <v>39192</v>
      </c>
      <c r="B2552" t="s">
        <v>339</v>
      </c>
      <c r="C2552" t="s">
        <v>88</v>
      </c>
      <c r="D2552">
        <v>0</v>
      </c>
    </row>
    <row r="2553" spans="1:4" x14ac:dyDescent="0.25">
      <c r="A2553" s="279">
        <v>39192</v>
      </c>
      <c r="B2553" t="s">
        <v>339</v>
      </c>
      <c r="C2553" t="s">
        <v>14</v>
      </c>
      <c r="D2553">
        <v>1033</v>
      </c>
    </row>
    <row r="2554" spans="1:4" x14ac:dyDescent="0.25">
      <c r="A2554" s="279">
        <v>39193</v>
      </c>
      <c r="B2554" t="s">
        <v>338</v>
      </c>
      <c r="C2554" t="s">
        <v>81</v>
      </c>
      <c r="D2554">
        <v>1338</v>
      </c>
    </row>
    <row r="2555" spans="1:4" x14ac:dyDescent="0.25">
      <c r="A2555" s="279">
        <v>39193</v>
      </c>
      <c r="B2555" t="s">
        <v>338</v>
      </c>
      <c r="C2555" t="s">
        <v>82</v>
      </c>
      <c r="D2555">
        <v>0</v>
      </c>
    </row>
    <row r="2556" spans="1:4" x14ac:dyDescent="0.25">
      <c r="A2556" s="279">
        <v>39193</v>
      </c>
      <c r="B2556" t="s">
        <v>338</v>
      </c>
      <c r="C2556" t="s">
        <v>84</v>
      </c>
      <c r="D2556">
        <v>847</v>
      </c>
    </row>
    <row r="2557" spans="1:4" x14ac:dyDescent="0.25">
      <c r="A2557" s="279">
        <v>39193</v>
      </c>
      <c r="B2557" t="s">
        <v>338</v>
      </c>
      <c r="C2557" t="s">
        <v>83</v>
      </c>
      <c r="D2557">
        <v>0</v>
      </c>
    </row>
    <row r="2558" spans="1:4" x14ac:dyDescent="0.25">
      <c r="A2558" s="279">
        <v>39193</v>
      </c>
      <c r="B2558" t="s">
        <v>338</v>
      </c>
      <c r="C2558" t="s">
        <v>14</v>
      </c>
      <c r="D2558">
        <v>1034</v>
      </c>
    </row>
    <row r="2559" spans="1:4" x14ac:dyDescent="0.25">
      <c r="A2559" s="279">
        <v>39193</v>
      </c>
      <c r="B2559" t="s">
        <v>339</v>
      </c>
      <c r="C2559" t="s">
        <v>20</v>
      </c>
      <c r="D2559">
        <v>66383</v>
      </c>
    </row>
    <row r="2560" spans="1:4" x14ac:dyDescent="0.25">
      <c r="A2560" s="279">
        <v>39193</v>
      </c>
      <c r="B2560" t="s">
        <v>339</v>
      </c>
      <c r="C2560" t="s">
        <v>85</v>
      </c>
      <c r="D2560">
        <v>26351</v>
      </c>
    </row>
    <row r="2561" spans="1:4" x14ac:dyDescent="0.25">
      <c r="A2561" s="279">
        <v>39193</v>
      </c>
      <c r="B2561" t="s">
        <v>339</v>
      </c>
      <c r="C2561" t="s">
        <v>86</v>
      </c>
      <c r="D2561">
        <v>7728</v>
      </c>
    </row>
    <row r="2562" spans="1:4" x14ac:dyDescent="0.25">
      <c r="A2562" s="279">
        <v>39193</v>
      </c>
      <c r="B2562" t="s">
        <v>339</v>
      </c>
      <c r="C2562" t="s">
        <v>87</v>
      </c>
      <c r="D2562">
        <v>0</v>
      </c>
    </row>
    <row r="2563" spans="1:4" x14ac:dyDescent="0.25">
      <c r="A2563" s="279">
        <v>39193</v>
      </c>
      <c r="B2563" t="s">
        <v>339</v>
      </c>
      <c r="C2563" t="s">
        <v>88</v>
      </c>
      <c r="D2563">
        <v>0</v>
      </c>
    </row>
    <row r="2564" spans="1:4" x14ac:dyDescent="0.25">
      <c r="A2564" s="279">
        <v>39193</v>
      </c>
      <c r="B2564" t="s">
        <v>339</v>
      </c>
      <c r="C2564" t="s">
        <v>14</v>
      </c>
      <c r="D2564">
        <v>1032</v>
      </c>
    </row>
    <row r="2565" spans="1:4" x14ac:dyDescent="0.25">
      <c r="A2565" s="279">
        <v>39194</v>
      </c>
      <c r="B2565" t="s">
        <v>338</v>
      </c>
      <c r="C2565" t="s">
        <v>81</v>
      </c>
      <c r="D2565">
        <v>0</v>
      </c>
    </row>
    <row r="2566" spans="1:4" x14ac:dyDescent="0.25">
      <c r="A2566" s="279">
        <v>39194</v>
      </c>
      <c r="B2566" t="s">
        <v>338</v>
      </c>
      <c r="C2566" t="s">
        <v>82</v>
      </c>
      <c r="D2566">
        <v>0</v>
      </c>
    </row>
    <row r="2567" spans="1:4" x14ac:dyDescent="0.25">
      <c r="A2567" s="279">
        <v>39194</v>
      </c>
      <c r="B2567" t="s">
        <v>338</v>
      </c>
      <c r="C2567" t="s">
        <v>84</v>
      </c>
      <c r="D2567">
        <v>750</v>
      </c>
    </row>
    <row r="2568" spans="1:4" x14ac:dyDescent="0.25">
      <c r="A2568" s="279">
        <v>39194</v>
      </c>
      <c r="B2568" t="s">
        <v>338</v>
      </c>
      <c r="C2568" t="s">
        <v>83</v>
      </c>
      <c r="D2568">
        <v>0</v>
      </c>
    </row>
    <row r="2569" spans="1:4" x14ac:dyDescent="0.25">
      <c r="A2569" s="279">
        <v>39194</v>
      </c>
      <c r="B2569" t="s">
        <v>338</v>
      </c>
      <c r="C2569" t="s">
        <v>14</v>
      </c>
      <c r="D2569">
        <v>1036</v>
      </c>
    </row>
    <row r="2570" spans="1:4" x14ac:dyDescent="0.25">
      <c r="A2570" s="279">
        <v>39194</v>
      </c>
      <c r="B2570" t="s">
        <v>339</v>
      </c>
      <c r="C2570" t="s">
        <v>20</v>
      </c>
      <c r="D2570">
        <v>63350</v>
      </c>
    </row>
    <row r="2571" spans="1:4" x14ac:dyDescent="0.25">
      <c r="A2571" s="279">
        <v>39194</v>
      </c>
      <c r="B2571" t="s">
        <v>339</v>
      </c>
      <c r="C2571" t="s">
        <v>85</v>
      </c>
      <c r="D2571">
        <v>30178</v>
      </c>
    </row>
    <row r="2572" spans="1:4" x14ac:dyDescent="0.25">
      <c r="A2572" s="279">
        <v>39194</v>
      </c>
      <c r="B2572" t="s">
        <v>339</v>
      </c>
      <c r="C2572" t="s">
        <v>86</v>
      </c>
      <c r="D2572">
        <v>0</v>
      </c>
    </row>
    <row r="2573" spans="1:4" x14ac:dyDescent="0.25">
      <c r="A2573" s="279">
        <v>39194</v>
      </c>
      <c r="B2573" t="s">
        <v>339</v>
      </c>
      <c r="C2573" t="s">
        <v>87</v>
      </c>
      <c r="D2573">
        <v>0</v>
      </c>
    </row>
    <row r="2574" spans="1:4" x14ac:dyDescent="0.25">
      <c r="A2574" s="279">
        <v>39194</v>
      </c>
      <c r="B2574" t="s">
        <v>339</v>
      </c>
      <c r="C2574" t="s">
        <v>88</v>
      </c>
      <c r="D2574">
        <v>0</v>
      </c>
    </row>
    <row r="2575" spans="1:4" x14ac:dyDescent="0.25">
      <c r="A2575" s="279">
        <v>39194</v>
      </c>
      <c r="B2575" t="s">
        <v>339</v>
      </c>
      <c r="C2575" t="s">
        <v>14</v>
      </c>
      <c r="D2575">
        <v>1039</v>
      </c>
    </row>
    <row r="2576" spans="1:4" x14ac:dyDescent="0.25">
      <c r="A2576" s="279">
        <v>39195</v>
      </c>
      <c r="B2576" t="s">
        <v>338</v>
      </c>
      <c r="C2576" t="s">
        <v>81</v>
      </c>
      <c r="D2576">
        <v>0</v>
      </c>
    </row>
    <row r="2577" spans="1:4" x14ac:dyDescent="0.25">
      <c r="A2577" s="279">
        <v>39195</v>
      </c>
      <c r="B2577" t="s">
        <v>338</v>
      </c>
      <c r="C2577" t="s">
        <v>82</v>
      </c>
      <c r="D2577">
        <v>0</v>
      </c>
    </row>
    <row r="2578" spans="1:4" x14ac:dyDescent="0.25">
      <c r="A2578" s="279">
        <v>39195</v>
      </c>
      <c r="B2578" t="s">
        <v>338</v>
      </c>
      <c r="C2578" t="s">
        <v>84</v>
      </c>
      <c r="D2578">
        <v>570</v>
      </c>
    </row>
    <row r="2579" spans="1:4" x14ac:dyDescent="0.25">
      <c r="A2579" s="279">
        <v>39195</v>
      </c>
      <c r="B2579" t="s">
        <v>338</v>
      </c>
      <c r="C2579" t="s">
        <v>83</v>
      </c>
      <c r="D2579">
        <v>0</v>
      </c>
    </row>
    <row r="2580" spans="1:4" x14ac:dyDescent="0.25">
      <c r="A2580" s="279">
        <v>39195</v>
      </c>
      <c r="B2580" t="s">
        <v>338</v>
      </c>
      <c r="C2580" t="s">
        <v>14</v>
      </c>
      <c r="D2580">
        <v>1036</v>
      </c>
    </row>
    <row r="2581" spans="1:4" x14ac:dyDescent="0.25">
      <c r="A2581" s="279">
        <v>39195</v>
      </c>
      <c r="B2581" t="s">
        <v>339</v>
      </c>
      <c r="C2581" t="s">
        <v>20</v>
      </c>
      <c r="D2581">
        <v>56759</v>
      </c>
    </row>
    <row r="2582" spans="1:4" x14ac:dyDescent="0.25">
      <c r="A2582" s="279">
        <v>39195</v>
      </c>
      <c r="B2582" t="s">
        <v>339</v>
      </c>
      <c r="C2582" t="s">
        <v>85</v>
      </c>
      <c r="D2582">
        <v>25813</v>
      </c>
    </row>
    <row r="2583" spans="1:4" x14ac:dyDescent="0.25">
      <c r="A2583" s="279">
        <v>39195</v>
      </c>
      <c r="B2583" t="s">
        <v>339</v>
      </c>
      <c r="C2583" t="s">
        <v>86</v>
      </c>
      <c r="D2583">
        <v>0</v>
      </c>
    </row>
    <row r="2584" spans="1:4" x14ac:dyDescent="0.25">
      <c r="A2584" s="279">
        <v>39195</v>
      </c>
      <c r="B2584" t="s">
        <v>339</v>
      </c>
      <c r="C2584" t="s">
        <v>87</v>
      </c>
      <c r="D2584">
        <v>0</v>
      </c>
    </row>
    <row r="2585" spans="1:4" x14ac:dyDescent="0.25">
      <c r="A2585" s="279">
        <v>39195</v>
      </c>
      <c r="B2585" t="s">
        <v>339</v>
      </c>
      <c r="C2585" t="s">
        <v>88</v>
      </c>
      <c r="D2585">
        <v>0</v>
      </c>
    </row>
    <row r="2586" spans="1:4" x14ac:dyDescent="0.25">
      <c r="A2586" s="279">
        <v>39195</v>
      </c>
      <c r="B2586" t="s">
        <v>339</v>
      </c>
      <c r="C2586" t="s">
        <v>14</v>
      </c>
      <c r="D2586">
        <v>1039</v>
      </c>
    </row>
    <row r="2587" spans="1:4" x14ac:dyDescent="0.25">
      <c r="A2587" s="279">
        <v>39196</v>
      </c>
      <c r="B2587" t="s">
        <v>338</v>
      </c>
      <c r="C2587" t="s">
        <v>81</v>
      </c>
      <c r="D2587">
        <v>0</v>
      </c>
    </row>
    <row r="2588" spans="1:4" x14ac:dyDescent="0.25">
      <c r="A2588" s="279">
        <v>39196</v>
      </c>
      <c r="B2588" t="s">
        <v>338</v>
      </c>
      <c r="C2588" t="s">
        <v>82</v>
      </c>
      <c r="D2588">
        <v>0</v>
      </c>
    </row>
    <row r="2589" spans="1:4" x14ac:dyDescent="0.25">
      <c r="A2589" s="279">
        <v>39196</v>
      </c>
      <c r="B2589" t="s">
        <v>338</v>
      </c>
      <c r="C2589" t="s">
        <v>84</v>
      </c>
      <c r="D2589">
        <v>740</v>
      </c>
    </row>
    <row r="2590" spans="1:4" x14ac:dyDescent="0.25">
      <c r="A2590" s="279">
        <v>39196</v>
      </c>
      <c r="B2590" t="s">
        <v>338</v>
      </c>
      <c r="C2590" t="s">
        <v>83</v>
      </c>
      <c r="D2590">
        <v>0</v>
      </c>
    </row>
    <row r="2591" spans="1:4" x14ac:dyDescent="0.25">
      <c r="A2591" s="279">
        <v>39196</v>
      </c>
      <c r="B2591" t="s">
        <v>338</v>
      </c>
      <c r="C2591" t="s">
        <v>14</v>
      </c>
      <c r="D2591">
        <v>1036</v>
      </c>
    </row>
    <row r="2592" spans="1:4" x14ac:dyDescent="0.25">
      <c r="A2592" s="279">
        <v>39196</v>
      </c>
      <c r="B2592" t="s">
        <v>339</v>
      </c>
      <c r="C2592" t="s">
        <v>20</v>
      </c>
      <c r="D2592">
        <v>63026</v>
      </c>
    </row>
    <row r="2593" spans="1:4" x14ac:dyDescent="0.25">
      <c r="A2593" s="279">
        <v>39196</v>
      </c>
      <c r="B2593" t="s">
        <v>339</v>
      </c>
      <c r="C2593" t="s">
        <v>85</v>
      </c>
      <c r="D2593">
        <v>24802</v>
      </c>
    </row>
    <row r="2594" spans="1:4" x14ac:dyDescent="0.25">
      <c r="A2594" s="279">
        <v>39196</v>
      </c>
      <c r="B2594" t="s">
        <v>339</v>
      </c>
      <c r="C2594" t="s">
        <v>86</v>
      </c>
      <c r="D2594">
        <v>0</v>
      </c>
    </row>
    <row r="2595" spans="1:4" x14ac:dyDescent="0.25">
      <c r="A2595" s="279">
        <v>39196</v>
      </c>
      <c r="B2595" t="s">
        <v>339</v>
      </c>
      <c r="C2595" t="s">
        <v>87</v>
      </c>
      <c r="D2595">
        <v>0</v>
      </c>
    </row>
    <row r="2596" spans="1:4" x14ac:dyDescent="0.25">
      <c r="A2596" s="279">
        <v>39196</v>
      </c>
      <c r="B2596" t="s">
        <v>339</v>
      </c>
      <c r="C2596" t="s">
        <v>88</v>
      </c>
      <c r="D2596">
        <v>0</v>
      </c>
    </row>
    <row r="2597" spans="1:4" x14ac:dyDescent="0.25">
      <c r="A2597" s="279">
        <v>39196</v>
      </c>
      <c r="B2597" t="s">
        <v>339</v>
      </c>
      <c r="C2597" t="s">
        <v>14</v>
      </c>
      <c r="D2597">
        <v>1034</v>
      </c>
    </row>
    <row r="2598" spans="1:4" x14ac:dyDescent="0.25">
      <c r="A2598" s="279">
        <v>39197</v>
      </c>
      <c r="B2598" t="s">
        <v>338</v>
      </c>
      <c r="C2598" t="s">
        <v>81</v>
      </c>
      <c r="D2598">
        <v>0</v>
      </c>
    </row>
    <row r="2599" spans="1:4" x14ac:dyDescent="0.25">
      <c r="A2599" s="279">
        <v>39197</v>
      </c>
      <c r="B2599" t="s">
        <v>338</v>
      </c>
      <c r="C2599" t="s">
        <v>82</v>
      </c>
      <c r="D2599">
        <v>0</v>
      </c>
    </row>
    <row r="2600" spans="1:4" x14ac:dyDescent="0.25">
      <c r="A2600" s="279">
        <v>39197</v>
      </c>
      <c r="B2600" t="s">
        <v>338</v>
      </c>
      <c r="C2600" t="s">
        <v>84</v>
      </c>
      <c r="D2600">
        <v>1010</v>
      </c>
    </row>
    <row r="2601" spans="1:4" x14ac:dyDescent="0.25">
      <c r="A2601" s="279">
        <v>39197</v>
      </c>
      <c r="B2601" t="s">
        <v>338</v>
      </c>
      <c r="C2601" t="s">
        <v>83</v>
      </c>
      <c r="D2601">
        <v>0</v>
      </c>
    </row>
    <row r="2602" spans="1:4" x14ac:dyDescent="0.25">
      <c r="A2602" s="279">
        <v>39197</v>
      </c>
      <c r="B2602" t="s">
        <v>338</v>
      </c>
      <c r="C2602" t="s">
        <v>14</v>
      </c>
      <c r="D2602">
        <v>1037</v>
      </c>
    </row>
    <row r="2603" spans="1:4" x14ac:dyDescent="0.25">
      <c r="A2603" s="279">
        <v>39197</v>
      </c>
      <c r="B2603" t="s">
        <v>339</v>
      </c>
      <c r="C2603" t="s">
        <v>20</v>
      </c>
      <c r="D2603">
        <v>80358</v>
      </c>
    </row>
    <row r="2604" spans="1:4" x14ac:dyDescent="0.25">
      <c r="A2604" s="279">
        <v>39197</v>
      </c>
      <c r="B2604" t="s">
        <v>339</v>
      </c>
      <c r="C2604" t="s">
        <v>85</v>
      </c>
      <c r="D2604">
        <v>22174</v>
      </c>
    </row>
    <row r="2605" spans="1:4" x14ac:dyDescent="0.25">
      <c r="A2605" s="279">
        <v>39197</v>
      </c>
      <c r="B2605" t="s">
        <v>339</v>
      </c>
      <c r="C2605" t="s">
        <v>86</v>
      </c>
      <c r="D2605">
        <v>0</v>
      </c>
    </row>
    <row r="2606" spans="1:4" x14ac:dyDescent="0.25">
      <c r="A2606" s="279">
        <v>39197</v>
      </c>
      <c r="B2606" t="s">
        <v>339</v>
      </c>
      <c r="C2606" t="s">
        <v>87</v>
      </c>
      <c r="D2606">
        <v>0</v>
      </c>
    </row>
    <row r="2607" spans="1:4" x14ac:dyDescent="0.25">
      <c r="A2607" s="279">
        <v>39197</v>
      </c>
      <c r="B2607" t="s">
        <v>339</v>
      </c>
      <c r="C2607" t="s">
        <v>88</v>
      </c>
      <c r="D2607">
        <v>0</v>
      </c>
    </row>
    <row r="2608" spans="1:4" x14ac:dyDescent="0.25">
      <c r="A2608" s="279">
        <v>39197</v>
      </c>
      <c r="B2608" t="s">
        <v>339</v>
      </c>
      <c r="C2608" t="s">
        <v>14</v>
      </c>
      <c r="D2608">
        <v>1034</v>
      </c>
    </row>
    <row r="2609" spans="1:4" x14ac:dyDescent="0.25">
      <c r="A2609" s="279">
        <v>39198</v>
      </c>
      <c r="B2609" t="s">
        <v>338</v>
      </c>
      <c r="C2609" t="s">
        <v>81</v>
      </c>
      <c r="D2609">
        <v>2119</v>
      </c>
    </row>
    <row r="2610" spans="1:4" x14ac:dyDescent="0.25">
      <c r="A2610" s="279">
        <v>39198</v>
      </c>
      <c r="B2610" t="s">
        <v>338</v>
      </c>
      <c r="C2610" t="s">
        <v>82</v>
      </c>
      <c r="D2610">
        <v>0</v>
      </c>
    </row>
    <row r="2611" spans="1:4" x14ac:dyDescent="0.25">
      <c r="A2611" s="279">
        <v>39198</v>
      </c>
      <c r="B2611" t="s">
        <v>338</v>
      </c>
      <c r="C2611" t="s">
        <v>84</v>
      </c>
      <c r="D2611">
        <v>1270</v>
      </c>
    </row>
    <row r="2612" spans="1:4" x14ac:dyDescent="0.25">
      <c r="A2612" s="279">
        <v>39198</v>
      </c>
      <c r="B2612" t="s">
        <v>338</v>
      </c>
      <c r="C2612" t="s">
        <v>83</v>
      </c>
      <c r="D2612">
        <v>0</v>
      </c>
    </row>
    <row r="2613" spans="1:4" x14ac:dyDescent="0.25">
      <c r="A2613" s="279">
        <v>39198</v>
      </c>
      <c r="B2613" t="s">
        <v>338</v>
      </c>
      <c r="C2613" t="s">
        <v>14</v>
      </c>
      <c r="D2613">
        <v>1038</v>
      </c>
    </row>
    <row r="2614" spans="1:4" x14ac:dyDescent="0.25">
      <c r="A2614" s="279">
        <v>39198</v>
      </c>
      <c r="B2614" t="s">
        <v>339</v>
      </c>
      <c r="C2614" t="s">
        <v>20</v>
      </c>
      <c r="D2614">
        <v>95091</v>
      </c>
    </row>
    <row r="2615" spans="1:4" x14ac:dyDescent="0.25">
      <c r="A2615" s="279">
        <v>39198</v>
      </c>
      <c r="B2615" t="s">
        <v>339</v>
      </c>
      <c r="C2615" t="s">
        <v>85</v>
      </c>
      <c r="D2615">
        <v>28506</v>
      </c>
    </row>
    <row r="2616" spans="1:4" x14ac:dyDescent="0.25">
      <c r="A2616" s="279">
        <v>39198</v>
      </c>
      <c r="B2616" t="s">
        <v>339</v>
      </c>
      <c r="C2616" t="s">
        <v>86</v>
      </c>
      <c r="D2616">
        <v>0</v>
      </c>
    </row>
    <row r="2617" spans="1:4" x14ac:dyDescent="0.25">
      <c r="A2617" s="279">
        <v>39198</v>
      </c>
      <c r="B2617" t="s">
        <v>339</v>
      </c>
      <c r="C2617" t="s">
        <v>87</v>
      </c>
      <c r="D2617">
        <v>0</v>
      </c>
    </row>
    <row r="2618" spans="1:4" x14ac:dyDescent="0.25">
      <c r="A2618" s="279">
        <v>39198</v>
      </c>
      <c r="B2618" t="s">
        <v>339</v>
      </c>
      <c r="C2618" t="s">
        <v>88</v>
      </c>
      <c r="D2618">
        <v>0</v>
      </c>
    </row>
    <row r="2619" spans="1:4" x14ac:dyDescent="0.25">
      <c r="A2619" s="279">
        <v>39198</v>
      </c>
      <c r="B2619" t="s">
        <v>339</v>
      </c>
      <c r="C2619" t="s">
        <v>14</v>
      </c>
      <c r="D2619">
        <v>1034</v>
      </c>
    </row>
    <row r="2620" spans="1:4" x14ac:dyDescent="0.25">
      <c r="A2620" s="279">
        <v>39199</v>
      </c>
      <c r="B2620" t="s">
        <v>338</v>
      </c>
      <c r="C2620" t="s">
        <v>81</v>
      </c>
      <c r="D2620">
        <v>0</v>
      </c>
    </row>
    <row r="2621" spans="1:4" x14ac:dyDescent="0.25">
      <c r="A2621" s="279">
        <v>39199</v>
      </c>
      <c r="B2621" t="s">
        <v>338</v>
      </c>
      <c r="C2621" t="s">
        <v>82</v>
      </c>
      <c r="D2621">
        <v>0</v>
      </c>
    </row>
    <row r="2622" spans="1:4" x14ac:dyDescent="0.25">
      <c r="A2622" s="279">
        <v>39199</v>
      </c>
      <c r="B2622" t="s">
        <v>338</v>
      </c>
      <c r="C2622" t="s">
        <v>84</v>
      </c>
      <c r="D2622">
        <v>1110</v>
      </c>
    </row>
    <row r="2623" spans="1:4" x14ac:dyDescent="0.25">
      <c r="A2623" s="279">
        <v>39199</v>
      </c>
      <c r="B2623" t="s">
        <v>338</v>
      </c>
      <c r="C2623" t="s">
        <v>83</v>
      </c>
      <c r="D2623">
        <v>0</v>
      </c>
    </row>
    <row r="2624" spans="1:4" x14ac:dyDescent="0.25">
      <c r="A2624" s="279">
        <v>39199</v>
      </c>
      <c r="B2624" t="s">
        <v>338</v>
      </c>
      <c r="C2624" t="s">
        <v>14</v>
      </c>
      <c r="D2624">
        <v>1040</v>
      </c>
    </row>
    <row r="2625" spans="1:4" x14ac:dyDescent="0.25">
      <c r="A2625" s="279">
        <v>39199</v>
      </c>
      <c r="B2625" t="s">
        <v>339</v>
      </c>
      <c r="C2625" t="s">
        <v>20</v>
      </c>
      <c r="D2625">
        <v>89496</v>
      </c>
    </row>
    <row r="2626" spans="1:4" x14ac:dyDescent="0.25">
      <c r="A2626" s="279">
        <v>39199</v>
      </c>
      <c r="B2626" t="s">
        <v>339</v>
      </c>
      <c r="C2626" t="s">
        <v>85</v>
      </c>
      <c r="D2626">
        <v>22481</v>
      </c>
    </row>
    <row r="2627" spans="1:4" x14ac:dyDescent="0.25">
      <c r="A2627" s="279">
        <v>39199</v>
      </c>
      <c r="B2627" t="s">
        <v>339</v>
      </c>
      <c r="C2627" t="s">
        <v>86</v>
      </c>
      <c r="D2627">
        <v>0</v>
      </c>
    </row>
    <row r="2628" spans="1:4" x14ac:dyDescent="0.25">
      <c r="A2628" s="279">
        <v>39199</v>
      </c>
      <c r="B2628" t="s">
        <v>339</v>
      </c>
      <c r="C2628" t="s">
        <v>87</v>
      </c>
      <c r="D2628">
        <v>0</v>
      </c>
    </row>
    <row r="2629" spans="1:4" x14ac:dyDescent="0.25">
      <c r="A2629" s="279">
        <v>39199</v>
      </c>
      <c r="B2629" t="s">
        <v>339</v>
      </c>
      <c r="C2629" t="s">
        <v>88</v>
      </c>
      <c r="D2629">
        <v>0</v>
      </c>
    </row>
    <row r="2630" spans="1:4" x14ac:dyDescent="0.25">
      <c r="A2630" s="279">
        <v>39199</v>
      </c>
      <c r="B2630" t="s">
        <v>339</v>
      </c>
      <c r="C2630" t="s">
        <v>14</v>
      </c>
      <c r="D2630">
        <v>1034</v>
      </c>
    </row>
    <row r="2631" spans="1:4" x14ac:dyDescent="0.25">
      <c r="A2631" s="279">
        <v>39200</v>
      </c>
      <c r="B2631" t="s">
        <v>338</v>
      </c>
      <c r="C2631" t="s">
        <v>81</v>
      </c>
      <c r="D2631">
        <v>0</v>
      </c>
    </row>
    <row r="2632" spans="1:4" x14ac:dyDescent="0.25">
      <c r="A2632" s="279">
        <v>39200</v>
      </c>
      <c r="B2632" t="s">
        <v>338</v>
      </c>
      <c r="C2632" t="s">
        <v>82</v>
      </c>
      <c r="D2632">
        <v>0</v>
      </c>
    </row>
    <row r="2633" spans="1:4" x14ac:dyDescent="0.25">
      <c r="A2633" s="279">
        <v>39200</v>
      </c>
      <c r="B2633" t="s">
        <v>338</v>
      </c>
      <c r="C2633" t="s">
        <v>84</v>
      </c>
      <c r="D2633">
        <v>810</v>
      </c>
    </row>
    <row r="2634" spans="1:4" x14ac:dyDescent="0.25">
      <c r="A2634" s="279">
        <v>39200</v>
      </c>
      <c r="B2634" t="s">
        <v>338</v>
      </c>
      <c r="C2634" t="s">
        <v>83</v>
      </c>
      <c r="D2634">
        <v>0</v>
      </c>
    </row>
    <row r="2635" spans="1:4" x14ac:dyDescent="0.25">
      <c r="A2635" s="279">
        <v>39200</v>
      </c>
      <c r="B2635" t="s">
        <v>338</v>
      </c>
      <c r="C2635" t="s">
        <v>14</v>
      </c>
      <c r="D2635">
        <v>1037</v>
      </c>
    </row>
    <row r="2636" spans="1:4" x14ac:dyDescent="0.25">
      <c r="A2636" s="279">
        <v>39200</v>
      </c>
      <c r="B2636" t="s">
        <v>339</v>
      </c>
      <c r="C2636" t="s">
        <v>20</v>
      </c>
      <c r="D2636">
        <v>77103</v>
      </c>
    </row>
    <row r="2637" spans="1:4" x14ac:dyDescent="0.25">
      <c r="A2637" s="279">
        <v>39200</v>
      </c>
      <c r="B2637" t="s">
        <v>339</v>
      </c>
      <c r="C2637" t="s">
        <v>85</v>
      </c>
      <c r="D2637">
        <v>23221</v>
      </c>
    </row>
    <row r="2638" spans="1:4" x14ac:dyDescent="0.25">
      <c r="A2638" s="279">
        <v>39200</v>
      </c>
      <c r="B2638" t="s">
        <v>339</v>
      </c>
      <c r="C2638" t="s">
        <v>86</v>
      </c>
      <c r="D2638">
        <v>0</v>
      </c>
    </row>
    <row r="2639" spans="1:4" x14ac:dyDescent="0.25">
      <c r="A2639" s="279">
        <v>39200</v>
      </c>
      <c r="B2639" t="s">
        <v>339</v>
      </c>
      <c r="C2639" t="s">
        <v>87</v>
      </c>
      <c r="D2639">
        <v>0</v>
      </c>
    </row>
    <row r="2640" spans="1:4" x14ac:dyDescent="0.25">
      <c r="A2640" s="279">
        <v>39200</v>
      </c>
      <c r="B2640" t="s">
        <v>339</v>
      </c>
      <c r="C2640" t="s">
        <v>88</v>
      </c>
      <c r="D2640">
        <v>0</v>
      </c>
    </row>
    <row r="2641" spans="1:4" x14ac:dyDescent="0.25">
      <c r="A2641" s="279">
        <v>39200</v>
      </c>
      <c r="B2641" t="s">
        <v>339</v>
      </c>
      <c r="C2641" t="s">
        <v>14</v>
      </c>
      <c r="D2641">
        <v>1035</v>
      </c>
    </row>
    <row r="2642" spans="1:4" x14ac:dyDescent="0.25">
      <c r="A2642" s="279">
        <v>39201</v>
      </c>
      <c r="B2642" t="s">
        <v>338</v>
      </c>
      <c r="C2642" t="s">
        <v>81</v>
      </c>
      <c r="D2642">
        <v>0</v>
      </c>
    </row>
    <row r="2643" spans="1:4" x14ac:dyDescent="0.25">
      <c r="A2643" s="279">
        <v>39201</v>
      </c>
      <c r="B2643" t="s">
        <v>338</v>
      </c>
      <c r="C2643" t="s">
        <v>82</v>
      </c>
      <c r="D2643">
        <v>0</v>
      </c>
    </row>
    <row r="2644" spans="1:4" x14ac:dyDescent="0.25">
      <c r="A2644" s="279">
        <v>39201</v>
      </c>
      <c r="B2644" t="s">
        <v>338</v>
      </c>
      <c r="C2644" t="s">
        <v>84</v>
      </c>
      <c r="D2644">
        <v>710</v>
      </c>
    </row>
    <row r="2645" spans="1:4" x14ac:dyDescent="0.25">
      <c r="A2645" s="279">
        <v>39201</v>
      </c>
      <c r="B2645" t="s">
        <v>338</v>
      </c>
      <c r="C2645" t="s">
        <v>83</v>
      </c>
      <c r="D2645">
        <v>0</v>
      </c>
    </row>
    <row r="2646" spans="1:4" x14ac:dyDescent="0.25">
      <c r="A2646" s="279">
        <v>39201</v>
      </c>
      <c r="B2646" t="s">
        <v>338</v>
      </c>
      <c r="C2646" t="s">
        <v>14</v>
      </c>
      <c r="D2646">
        <v>1038</v>
      </c>
    </row>
    <row r="2647" spans="1:4" x14ac:dyDescent="0.25">
      <c r="A2647" s="279">
        <v>39201</v>
      </c>
      <c r="B2647" t="s">
        <v>339</v>
      </c>
      <c r="C2647" t="s">
        <v>20</v>
      </c>
      <c r="D2647">
        <v>79816</v>
      </c>
    </row>
    <row r="2648" spans="1:4" x14ac:dyDescent="0.25">
      <c r="A2648" s="279">
        <v>39201</v>
      </c>
      <c r="B2648" t="s">
        <v>339</v>
      </c>
      <c r="C2648" t="s">
        <v>85</v>
      </c>
      <c r="D2648">
        <v>19362</v>
      </c>
    </row>
    <row r="2649" spans="1:4" x14ac:dyDescent="0.25">
      <c r="A2649" s="279">
        <v>39201</v>
      </c>
      <c r="B2649" t="s">
        <v>339</v>
      </c>
      <c r="C2649" t="s">
        <v>86</v>
      </c>
      <c r="D2649">
        <v>0</v>
      </c>
    </row>
    <row r="2650" spans="1:4" x14ac:dyDescent="0.25">
      <c r="A2650" s="279">
        <v>39201</v>
      </c>
      <c r="B2650" t="s">
        <v>339</v>
      </c>
      <c r="C2650" t="s">
        <v>87</v>
      </c>
      <c r="D2650">
        <v>0</v>
      </c>
    </row>
    <row r="2651" spans="1:4" x14ac:dyDescent="0.25">
      <c r="A2651" s="279">
        <v>39201</v>
      </c>
      <c r="B2651" t="s">
        <v>339</v>
      </c>
      <c r="C2651" t="s">
        <v>88</v>
      </c>
      <c r="D2651">
        <v>0</v>
      </c>
    </row>
    <row r="2652" spans="1:4" x14ac:dyDescent="0.25">
      <c r="A2652" s="279">
        <v>39201</v>
      </c>
      <c r="B2652" t="s">
        <v>339</v>
      </c>
      <c r="C2652" t="s">
        <v>14</v>
      </c>
      <c r="D2652">
        <v>1038</v>
      </c>
    </row>
    <row r="2653" spans="1:4" x14ac:dyDescent="0.25">
      <c r="A2653" s="279">
        <v>39202</v>
      </c>
      <c r="B2653" t="s">
        <v>338</v>
      </c>
      <c r="C2653" t="s">
        <v>81</v>
      </c>
      <c r="D2653">
        <v>0</v>
      </c>
    </row>
    <row r="2654" spans="1:4" x14ac:dyDescent="0.25">
      <c r="A2654" s="279">
        <v>39202</v>
      </c>
      <c r="B2654" t="s">
        <v>338</v>
      </c>
      <c r="C2654" t="s">
        <v>82</v>
      </c>
      <c r="D2654">
        <v>0</v>
      </c>
    </row>
    <row r="2655" spans="1:4" x14ac:dyDescent="0.25">
      <c r="A2655" s="279">
        <v>39202</v>
      </c>
      <c r="B2655" t="s">
        <v>338</v>
      </c>
      <c r="C2655" t="s">
        <v>84</v>
      </c>
      <c r="D2655">
        <v>610</v>
      </c>
    </row>
    <row r="2656" spans="1:4" x14ac:dyDescent="0.25">
      <c r="A2656" s="279">
        <v>39202</v>
      </c>
      <c r="B2656" t="s">
        <v>338</v>
      </c>
      <c r="C2656" t="s">
        <v>83</v>
      </c>
      <c r="D2656">
        <v>0</v>
      </c>
    </row>
    <row r="2657" spans="1:4" x14ac:dyDescent="0.25">
      <c r="A2657" s="279">
        <v>39202</v>
      </c>
      <c r="B2657" t="s">
        <v>338</v>
      </c>
      <c r="C2657" t="s">
        <v>14</v>
      </c>
      <c r="D2657">
        <v>1040</v>
      </c>
    </row>
    <row r="2658" spans="1:4" x14ac:dyDescent="0.25">
      <c r="A2658" s="279">
        <v>39202</v>
      </c>
      <c r="B2658" t="s">
        <v>339</v>
      </c>
      <c r="C2658" t="s">
        <v>20</v>
      </c>
      <c r="D2658">
        <v>76656</v>
      </c>
    </row>
    <row r="2659" spans="1:4" x14ac:dyDescent="0.25">
      <c r="A2659" s="279">
        <v>39202</v>
      </c>
      <c r="B2659" t="s">
        <v>339</v>
      </c>
      <c r="C2659" t="s">
        <v>85</v>
      </c>
      <c r="D2659">
        <v>13570</v>
      </c>
    </row>
    <row r="2660" spans="1:4" x14ac:dyDescent="0.25">
      <c r="A2660" s="279">
        <v>39202</v>
      </c>
      <c r="B2660" t="s">
        <v>339</v>
      </c>
      <c r="C2660" t="s">
        <v>86</v>
      </c>
      <c r="D2660">
        <v>0</v>
      </c>
    </row>
    <row r="2661" spans="1:4" x14ac:dyDescent="0.25">
      <c r="A2661" s="279">
        <v>39202</v>
      </c>
      <c r="B2661" t="s">
        <v>339</v>
      </c>
      <c r="C2661" t="s">
        <v>87</v>
      </c>
      <c r="D2661">
        <v>0</v>
      </c>
    </row>
    <row r="2662" spans="1:4" x14ac:dyDescent="0.25">
      <c r="A2662" s="279">
        <v>39202</v>
      </c>
      <c r="B2662" t="s">
        <v>339</v>
      </c>
      <c r="C2662" t="s">
        <v>88</v>
      </c>
      <c r="D2662">
        <v>0</v>
      </c>
    </row>
    <row r="2663" spans="1:4" x14ac:dyDescent="0.25">
      <c r="A2663" s="279">
        <v>39202</v>
      </c>
      <c r="B2663" t="s">
        <v>339</v>
      </c>
      <c r="C2663" t="s">
        <v>14</v>
      </c>
      <c r="D2663">
        <v>1038</v>
      </c>
    </row>
    <row r="2664" spans="1:4" x14ac:dyDescent="0.25">
      <c r="A2664" s="279">
        <v>39203</v>
      </c>
      <c r="B2664" t="s">
        <v>338</v>
      </c>
      <c r="C2664" t="s">
        <v>81</v>
      </c>
      <c r="D2664">
        <v>0</v>
      </c>
    </row>
    <row r="2665" spans="1:4" x14ac:dyDescent="0.25">
      <c r="A2665" s="279">
        <v>39203</v>
      </c>
      <c r="B2665" t="s">
        <v>338</v>
      </c>
      <c r="C2665" t="s">
        <v>82</v>
      </c>
      <c r="D2665">
        <v>0</v>
      </c>
    </row>
    <row r="2666" spans="1:4" x14ac:dyDescent="0.25">
      <c r="A2666" s="279">
        <v>39203</v>
      </c>
      <c r="B2666" t="s">
        <v>338</v>
      </c>
      <c r="C2666" t="s">
        <v>84</v>
      </c>
      <c r="D2666">
        <v>821</v>
      </c>
    </row>
    <row r="2667" spans="1:4" x14ac:dyDescent="0.25">
      <c r="A2667" s="279">
        <v>39203</v>
      </c>
      <c r="B2667" t="s">
        <v>338</v>
      </c>
      <c r="C2667" t="s">
        <v>83</v>
      </c>
      <c r="D2667">
        <v>0</v>
      </c>
    </row>
    <row r="2668" spans="1:4" x14ac:dyDescent="0.25">
      <c r="A2668" s="279">
        <v>39203</v>
      </c>
      <c r="B2668" t="s">
        <v>338</v>
      </c>
      <c r="C2668" t="s">
        <v>14</v>
      </c>
      <c r="D2668">
        <v>1041</v>
      </c>
    </row>
    <row r="2669" spans="1:4" x14ac:dyDescent="0.25">
      <c r="A2669" s="279">
        <v>39203</v>
      </c>
      <c r="B2669" t="s">
        <v>339</v>
      </c>
      <c r="C2669" t="s">
        <v>20</v>
      </c>
      <c r="D2669">
        <v>85124</v>
      </c>
    </row>
    <row r="2670" spans="1:4" x14ac:dyDescent="0.25">
      <c r="A2670" s="279">
        <v>39203</v>
      </c>
      <c r="B2670" t="s">
        <v>339</v>
      </c>
      <c r="C2670" t="s">
        <v>85</v>
      </c>
      <c r="D2670">
        <v>18606</v>
      </c>
    </row>
    <row r="2671" spans="1:4" x14ac:dyDescent="0.25">
      <c r="A2671" s="279">
        <v>39203</v>
      </c>
      <c r="B2671" t="s">
        <v>339</v>
      </c>
      <c r="C2671" t="s">
        <v>86</v>
      </c>
      <c r="D2671">
        <v>0</v>
      </c>
    </row>
    <row r="2672" spans="1:4" x14ac:dyDescent="0.25">
      <c r="A2672" s="279">
        <v>39203</v>
      </c>
      <c r="B2672" t="s">
        <v>339</v>
      </c>
      <c r="C2672" t="s">
        <v>87</v>
      </c>
      <c r="D2672">
        <v>5</v>
      </c>
    </row>
    <row r="2673" spans="1:4" x14ac:dyDescent="0.25">
      <c r="A2673" s="279">
        <v>39203</v>
      </c>
      <c r="B2673" t="s">
        <v>339</v>
      </c>
      <c r="C2673" t="s">
        <v>88</v>
      </c>
      <c r="D2673">
        <v>0</v>
      </c>
    </row>
    <row r="2674" spans="1:4" x14ac:dyDescent="0.25">
      <c r="A2674" s="279">
        <v>39203</v>
      </c>
      <c r="B2674" t="s">
        <v>339</v>
      </c>
      <c r="C2674" t="s">
        <v>14</v>
      </c>
      <c r="D2674">
        <v>1039</v>
      </c>
    </row>
    <row r="2675" spans="1:4" x14ac:dyDescent="0.25">
      <c r="A2675" s="279">
        <v>39204</v>
      </c>
      <c r="B2675" t="s">
        <v>338</v>
      </c>
      <c r="C2675" t="s">
        <v>81</v>
      </c>
      <c r="D2675">
        <v>0</v>
      </c>
    </row>
    <row r="2676" spans="1:4" x14ac:dyDescent="0.25">
      <c r="A2676" s="279">
        <v>39204</v>
      </c>
      <c r="B2676" t="s">
        <v>338</v>
      </c>
      <c r="C2676" t="s">
        <v>82</v>
      </c>
      <c r="D2676">
        <v>0</v>
      </c>
    </row>
    <row r="2677" spans="1:4" x14ac:dyDescent="0.25">
      <c r="A2677" s="279">
        <v>39204</v>
      </c>
      <c r="B2677" t="s">
        <v>338</v>
      </c>
      <c r="C2677" t="s">
        <v>84</v>
      </c>
      <c r="D2677">
        <v>0</v>
      </c>
    </row>
    <row r="2678" spans="1:4" x14ac:dyDescent="0.25">
      <c r="A2678" s="279">
        <v>39204</v>
      </c>
      <c r="B2678" t="s">
        <v>338</v>
      </c>
      <c r="C2678" t="s">
        <v>83</v>
      </c>
      <c r="D2678">
        <v>0</v>
      </c>
    </row>
    <row r="2679" spans="1:4" x14ac:dyDescent="0.25">
      <c r="A2679" s="279">
        <v>39204</v>
      </c>
      <c r="B2679" t="s">
        <v>338</v>
      </c>
      <c r="C2679" t="s">
        <v>14</v>
      </c>
      <c r="D2679">
        <v>1045</v>
      </c>
    </row>
    <row r="2680" spans="1:4" x14ac:dyDescent="0.25">
      <c r="A2680" s="279">
        <v>39204</v>
      </c>
      <c r="B2680" t="s">
        <v>339</v>
      </c>
      <c r="C2680" t="s">
        <v>20</v>
      </c>
      <c r="D2680">
        <v>86302</v>
      </c>
    </row>
    <row r="2681" spans="1:4" x14ac:dyDescent="0.25">
      <c r="A2681" s="279">
        <v>39204</v>
      </c>
      <c r="B2681" t="s">
        <v>339</v>
      </c>
      <c r="C2681" t="s">
        <v>85</v>
      </c>
      <c r="D2681">
        <v>18873</v>
      </c>
    </row>
    <row r="2682" spans="1:4" x14ac:dyDescent="0.25">
      <c r="A2682" s="279">
        <v>39204</v>
      </c>
      <c r="B2682" t="s">
        <v>339</v>
      </c>
      <c r="C2682" t="s">
        <v>86</v>
      </c>
      <c r="D2682">
        <v>0</v>
      </c>
    </row>
    <row r="2683" spans="1:4" x14ac:dyDescent="0.25">
      <c r="A2683" s="279">
        <v>39204</v>
      </c>
      <c r="B2683" t="s">
        <v>339</v>
      </c>
      <c r="C2683" t="s">
        <v>87</v>
      </c>
      <c r="D2683">
        <v>0</v>
      </c>
    </row>
    <row r="2684" spans="1:4" x14ac:dyDescent="0.25">
      <c r="A2684" s="279">
        <v>39204</v>
      </c>
      <c r="B2684" t="s">
        <v>339</v>
      </c>
      <c r="C2684" t="s">
        <v>88</v>
      </c>
      <c r="D2684">
        <v>0</v>
      </c>
    </row>
    <row r="2685" spans="1:4" x14ac:dyDescent="0.25">
      <c r="A2685" s="279">
        <v>39204</v>
      </c>
      <c r="B2685" t="s">
        <v>339</v>
      </c>
      <c r="C2685" t="s">
        <v>14</v>
      </c>
      <c r="D2685">
        <v>1036</v>
      </c>
    </row>
    <row r="2686" spans="1:4" x14ac:dyDescent="0.25">
      <c r="A2686" s="279">
        <v>39205</v>
      </c>
      <c r="B2686" t="s">
        <v>338</v>
      </c>
      <c r="C2686" t="s">
        <v>81</v>
      </c>
      <c r="D2686">
        <v>0</v>
      </c>
    </row>
    <row r="2687" spans="1:4" x14ac:dyDescent="0.25">
      <c r="A2687" s="279">
        <v>39205</v>
      </c>
      <c r="B2687" t="s">
        <v>338</v>
      </c>
      <c r="C2687" t="s">
        <v>82</v>
      </c>
      <c r="D2687">
        <v>0</v>
      </c>
    </row>
    <row r="2688" spans="1:4" x14ac:dyDescent="0.25">
      <c r="A2688" s="279">
        <v>39205</v>
      </c>
      <c r="B2688" t="s">
        <v>338</v>
      </c>
      <c r="C2688" t="s">
        <v>84</v>
      </c>
      <c r="D2688">
        <v>0</v>
      </c>
    </row>
    <row r="2689" spans="1:4" x14ac:dyDescent="0.25">
      <c r="A2689" s="279">
        <v>39205</v>
      </c>
      <c r="B2689" t="s">
        <v>338</v>
      </c>
      <c r="C2689" t="s">
        <v>83</v>
      </c>
      <c r="D2689">
        <v>0</v>
      </c>
    </row>
    <row r="2690" spans="1:4" x14ac:dyDescent="0.25">
      <c r="A2690" s="279">
        <v>39205</v>
      </c>
      <c r="B2690" t="s">
        <v>338</v>
      </c>
      <c r="C2690" t="s">
        <v>14</v>
      </c>
      <c r="D2690">
        <v>1043</v>
      </c>
    </row>
    <row r="2691" spans="1:4" x14ac:dyDescent="0.25">
      <c r="A2691" s="279">
        <v>39205</v>
      </c>
      <c r="B2691" t="s">
        <v>339</v>
      </c>
      <c r="C2691" t="s">
        <v>20</v>
      </c>
      <c r="D2691">
        <v>77895</v>
      </c>
    </row>
    <row r="2692" spans="1:4" x14ac:dyDescent="0.25">
      <c r="A2692" s="279">
        <v>39205</v>
      </c>
      <c r="B2692" t="s">
        <v>339</v>
      </c>
      <c r="C2692" t="s">
        <v>85</v>
      </c>
      <c r="D2692">
        <v>21729</v>
      </c>
    </row>
    <row r="2693" spans="1:4" x14ac:dyDescent="0.25">
      <c r="A2693" s="279">
        <v>39205</v>
      </c>
      <c r="B2693" t="s">
        <v>339</v>
      </c>
      <c r="C2693" t="s">
        <v>86</v>
      </c>
      <c r="D2693">
        <v>0</v>
      </c>
    </row>
    <row r="2694" spans="1:4" x14ac:dyDescent="0.25">
      <c r="A2694" s="279">
        <v>39205</v>
      </c>
      <c r="B2694" t="s">
        <v>339</v>
      </c>
      <c r="C2694" t="s">
        <v>87</v>
      </c>
      <c r="D2694">
        <v>0</v>
      </c>
    </row>
    <row r="2695" spans="1:4" x14ac:dyDescent="0.25">
      <c r="A2695" s="279">
        <v>39205</v>
      </c>
      <c r="B2695" t="s">
        <v>339</v>
      </c>
      <c r="C2695" t="s">
        <v>88</v>
      </c>
      <c r="D2695">
        <v>0</v>
      </c>
    </row>
    <row r="2696" spans="1:4" x14ac:dyDescent="0.25">
      <c r="A2696" s="279">
        <v>39205</v>
      </c>
      <c r="B2696" t="s">
        <v>339</v>
      </c>
      <c r="C2696" t="s">
        <v>14</v>
      </c>
      <c r="D2696">
        <v>1036</v>
      </c>
    </row>
    <row r="2697" spans="1:4" x14ac:dyDescent="0.25">
      <c r="A2697" s="279">
        <v>39206</v>
      </c>
      <c r="B2697" t="s">
        <v>338</v>
      </c>
      <c r="C2697" t="s">
        <v>81</v>
      </c>
      <c r="D2697">
        <v>0</v>
      </c>
    </row>
    <row r="2698" spans="1:4" x14ac:dyDescent="0.25">
      <c r="A2698" s="279">
        <v>39206</v>
      </c>
      <c r="B2698" t="s">
        <v>338</v>
      </c>
      <c r="C2698" t="s">
        <v>82</v>
      </c>
      <c r="D2698">
        <v>0</v>
      </c>
    </row>
    <row r="2699" spans="1:4" x14ac:dyDescent="0.25">
      <c r="A2699" s="279">
        <v>39206</v>
      </c>
      <c r="B2699" t="s">
        <v>338</v>
      </c>
      <c r="C2699" t="s">
        <v>84</v>
      </c>
      <c r="D2699">
        <v>0</v>
      </c>
    </row>
    <row r="2700" spans="1:4" x14ac:dyDescent="0.25">
      <c r="A2700" s="279">
        <v>39206</v>
      </c>
      <c r="B2700" t="s">
        <v>338</v>
      </c>
      <c r="C2700" t="s">
        <v>83</v>
      </c>
      <c r="D2700">
        <v>0</v>
      </c>
    </row>
    <row r="2701" spans="1:4" x14ac:dyDescent="0.25">
      <c r="A2701" s="279">
        <v>39206</v>
      </c>
      <c r="B2701" t="s">
        <v>338</v>
      </c>
      <c r="C2701" t="s">
        <v>14</v>
      </c>
      <c r="D2701">
        <v>1043</v>
      </c>
    </row>
    <row r="2702" spans="1:4" x14ac:dyDescent="0.25">
      <c r="A2702" s="279">
        <v>39206</v>
      </c>
      <c r="B2702" t="s">
        <v>339</v>
      </c>
      <c r="C2702" t="s">
        <v>20</v>
      </c>
      <c r="D2702">
        <v>82242</v>
      </c>
    </row>
    <row r="2703" spans="1:4" x14ac:dyDescent="0.25">
      <c r="A2703" s="279">
        <v>39206</v>
      </c>
      <c r="B2703" t="s">
        <v>339</v>
      </c>
      <c r="C2703" t="s">
        <v>85</v>
      </c>
      <c r="D2703">
        <v>18084</v>
      </c>
    </row>
    <row r="2704" spans="1:4" x14ac:dyDescent="0.25">
      <c r="A2704" s="279">
        <v>39206</v>
      </c>
      <c r="B2704" t="s">
        <v>339</v>
      </c>
      <c r="C2704" t="s">
        <v>86</v>
      </c>
      <c r="D2704">
        <v>0</v>
      </c>
    </row>
    <row r="2705" spans="1:4" x14ac:dyDescent="0.25">
      <c r="A2705" s="279">
        <v>39206</v>
      </c>
      <c r="B2705" t="s">
        <v>339</v>
      </c>
      <c r="C2705" t="s">
        <v>87</v>
      </c>
      <c r="D2705">
        <v>0</v>
      </c>
    </row>
    <row r="2706" spans="1:4" x14ac:dyDescent="0.25">
      <c r="A2706" s="279">
        <v>39206</v>
      </c>
      <c r="B2706" t="s">
        <v>339</v>
      </c>
      <c r="C2706" t="s">
        <v>88</v>
      </c>
      <c r="D2706">
        <v>0</v>
      </c>
    </row>
    <row r="2707" spans="1:4" x14ac:dyDescent="0.25">
      <c r="A2707" s="279">
        <v>39206</v>
      </c>
      <c r="B2707" t="s">
        <v>339</v>
      </c>
      <c r="C2707" t="s">
        <v>14</v>
      </c>
      <c r="D2707">
        <v>1039</v>
      </c>
    </row>
    <row r="2708" spans="1:4" x14ac:dyDescent="0.25">
      <c r="A2708" s="279">
        <v>39207</v>
      </c>
      <c r="B2708" t="s">
        <v>338</v>
      </c>
      <c r="C2708" t="s">
        <v>81</v>
      </c>
      <c r="D2708">
        <v>0</v>
      </c>
    </row>
    <row r="2709" spans="1:4" x14ac:dyDescent="0.25">
      <c r="A2709" s="279">
        <v>39207</v>
      </c>
      <c r="B2709" t="s">
        <v>338</v>
      </c>
      <c r="C2709" t="s">
        <v>82</v>
      </c>
      <c r="D2709">
        <v>0</v>
      </c>
    </row>
    <row r="2710" spans="1:4" x14ac:dyDescent="0.25">
      <c r="A2710" s="279">
        <v>39207</v>
      </c>
      <c r="B2710" t="s">
        <v>338</v>
      </c>
      <c r="C2710" t="s">
        <v>84</v>
      </c>
      <c r="D2710">
        <v>0</v>
      </c>
    </row>
    <row r="2711" spans="1:4" x14ac:dyDescent="0.25">
      <c r="A2711" s="279">
        <v>39207</v>
      </c>
      <c r="B2711" t="s">
        <v>338</v>
      </c>
      <c r="C2711" t="s">
        <v>83</v>
      </c>
      <c r="D2711">
        <v>0</v>
      </c>
    </row>
    <row r="2712" spans="1:4" x14ac:dyDescent="0.25">
      <c r="A2712" s="279">
        <v>39207</v>
      </c>
      <c r="B2712" t="s">
        <v>338</v>
      </c>
      <c r="C2712" t="s">
        <v>14</v>
      </c>
      <c r="D2712">
        <v>1043</v>
      </c>
    </row>
    <row r="2713" spans="1:4" x14ac:dyDescent="0.25">
      <c r="A2713" s="279">
        <v>39207</v>
      </c>
      <c r="B2713" t="s">
        <v>339</v>
      </c>
      <c r="C2713" t="s">
        <v>20</v>
      </c>
      <c r="D2713">
        <v>80806</v>
      </c>
    </row>
    <row r="2714" spans="1:4" x14ac:dyDescent="0.25">
      <c r="A2714" s="279">
        <v>39207</v>
      </c>
      <c r="B2714" t="s">
        <v>339</v>
      </c>
      <c r="C2714" t="s">
        <v>85</v>
      </c>
      <c r="D2714">
        <v>19912</v>
      </c>
    </row>
    <row r="2715" spans="1:4" x14ac:dyDescent="0.25">
      <c r="A2715" s="279">
        <v>39207</v>
      </c>
      <c r="B2715" t="s">
        <v>339</v>
      </c>
      <c r="C2715" t="s">
        <v>86</v>
      </c>
      <c r="D2715">
        <v>0</v>
      </c>
    </row>
    <row r="2716" spans="1:4" x14ac:dyDescent="0.25">
      <c r="A2716" s="279">
        <v>39207</v>
      </c>
      <c r="B2716" t="s">
        <v>339</v>
      </c>
      <c r="C2716" t="s">
        <v>87</v>
      </c>
      <c r="D2716">
        <v>0</v>
      </c>
    </row>
    <row r="2717" spans="1:4" x14ac:dyDescent="0.25">
      <c r="A2717" s="279">
        <v>39207</v>
      </c>
      <c r="B2717" t="s">
        <v>339</v>
      </c>
      <c r="C2717" t="s">
        <v>88</v>
      </c>
      <c r="D2717">
        <v>0</v>
      </c>
    </row>
    <row r="2718" spans="1:4" x14ac:dyDescent="0.25">
      <c r="A2718" s="279">
        <v>39207</v>
      </c>
      <c r="B2718" t="s">
        <v>339</v>
      </c>
      <c r="C2718" t="s">
        <v>14</v>
      </c>
      <c r="D2718">
        <v>1044</v>
      </c>
    </row>
    <row r="2719" spans="1:4" x14ac:dyDescent="0.25">
      <c r="A2719" s="279">
        <v>39208</v>
      </c>
      <c r="B2719" t="s">
        <v>338</v>
      </c>
      <c r="C2719" t="s">
        <v>81</v>
      </c>
      <c r="D2719">
        <v>0</v>
      </c>
    </row>
    <row r="2720" spans="1:4" x14ac:dyDescent="0.25">
      <c r="A2720" s="279">
        <v>39208</v>
      </c>
      <c r="B2720" t="s">
        <v>338</v>
      </c>
      <c r="C2720" t="s">
        <v>82</v>
      </c>
      <c r="D2720">
        <v>3176</v>
      </c>
    </row>
    <row r="2721" spans="1:4" x14ac:dyDescent="0.25">
      <c r="A2721" s="279">
        <v>39208</v>
      </c>
      <c r="B2721" t="s">
        <v>338</v>
      </c>
      <c r="C2721" t="s">
        <v>84</v>
      </c>
      <c r="D2721">
        <v>0</v>
      </c>
    </row>
    <row r="2722" spans="1:4" x14ac:dyDescent="0.25">
      <c r="A2722" s="279">
        <v>39208</v>
      </c>
      <c r="B2722" t="s">
        <v>338</v>
      </c>
      <c r="C2722" t="s">
        <v>83</v>
      </c>
      <c r="D2722">
        <v>0</v>
      </c>
    </row>
    <row r="2723" spans="1:4" x14ac:dyDescent="0.25">
      <c r="A2723" s="279">
        <v>39208</v>
      </c>
      <c r="B2723" t="s">
        <v>338</v>
      </c>
      <c r="C2723" t="s">
        <v>14</v>
      </c>
      <c r="D2723">
        <v>1046</v>
      </c>
    </row>
    <row r="2724" spans="1:4" x14ac:dyDescent="0.25">
      <c r="A2724" s="279">
        <v>39208</v>
      </c>
      <c r="B2724" t="s">
        <v>339</v>
      </c>
      <c r="C2724" t="s">
        <v>20</v>
      </c>
      <c r="D2724">
        <v>102373</v>
      </c>
    </row>
    <row r="2725" spans="1:4" x14ac:dyDescent="0.25">
      <c r="A2725" s="279">
        <v>39208</v>
      </c>
      <c r="B2725" t="s">
        <v>339</v>
      </c>
      <c r="C2725" t="s">
        <v>85</v>
      </c>
      <c r="D2725">
        <v>20963</v>
      </c>
    </row>
    <row r="2726" spans="1:4" x14ac:dyDescent="0.25">
      <c r="A2726" s="279">
        <v>39208</v>
      </c>
      <c r="B2726" t="s">
        <v>339</v>
      </c>
      <c r="C2726" t="s">
        <v>86</v>
      </c>
      <c r="D2726">
        <v>3869</v>
      </c>
    </row>
    <row r="2727" spans="1:4" x14ac:dyDescent="0.25">
      <c r="A2727" s="279">
        <v>39208</v>
      </c>
      <c r="B2727" t="s">
        <v>339</v>
      </c>
      <c r="C2727" t="s">
        <v>87</v>
      </c>
      <c r="D2727">
        <v>0</v>
      </c>
    </row>
    <row r="2728" spans="1:4" x14ac:dyDescent="0.25">
      <c r="A2728" s="279">
        <v>39208</v>
      </c>
      <c r="B2728" t="s">
        <v>339</v>
      </c>
      <c r="C2728" t="s">
        <v>88</v>
      </c>
      <c r="D2728">
        <v>0</v>
      </c>
    </row>
    <row r="2729" spans="1:4" x14ac:dyDescent="0.25">
      <c r="A2729" s="279">
        <v>39208</v>
      </c>
      <c r="B2729" t="s">
        <v>339</v>
      </c>
      <c r="C2729" t="s">
        <v>14</v>
      </c>
      <c r="D2729">
        <v>1041</v>
      </c>
    </row>
    <row r="2730" spans="1:4" x14ac:dyDescent="0.25">
      <c r="A2730" s="279">
        <v>39209</v>
      </c>
      <c r="B2730" t="s">
        <v>338</v>
      </c>
      <c r="C2730" t="s">
        <v>81</v>
      </c>
      <c r="D2730">
        <v>0</v>
      </c>
    </row>
    <row r="2731" spans="1:4" x14ac:dyDescent="0.25">
      <c r="A2731" s="279">
        <v>39209</v>
      </c>
      <c r="B2731" t="s">
        <v>338</v>
      </c>
      <c r="C2731" t="s">
        <v>82</v>
      </c>
      <c r="D2731">
        <v>0</v>
      </c>
    </row>
    <row r="2732" spans="1:4" x14ac:dyDescent="0.25">
      <c r="A2732" s="279">
        <v>39209</v>
      </c>
      <c r="B2732" t="s">
        <v>338</v>
      </c>
      <c r="C2732" t="s">
        <v>84</v>
      </c>
      <c r="D2732">
        <v>0</v>
      </c>
    </row>
    <row r="2733" spans="1:4" x14ac:dyDescent="0.25">
      <c r="A2733" s="279">
        <v>39209</v>
      </c>
      <c r="B2733" t="s">
        <v>338</v>
      </c>
      <c r="C2733" t="s">
        <v>83</v>
      </c>
      <c r="D2733">
        <v>0</v>
      </c>
    </row>
    <row r="2734" spans="1:4" x14ac:dyDescent="0.25">
      <c r="A2734" s="279">
        <v>39209</v>
      </c>
      <c r="B2734" t="s">
        <v>338</v>
      </c>
      <c r="C2734" t="s">
        <v>14</v>
      </c>
      <c r="D2734">
        <v>1033</v>
      </c>
    </row>
    <row r="2735" spans="1:4" x14ac:dyDescent="0.25">
      <c r="A2735" s="279">
        <v>39209</v>
      </c>
      <c r="B2735" t="s">
        <v>339</v>
      </c>
      <c r="C2735" t="s">
        <v>20</v>
      </c>
      <c r="D2735">
        <v>97659</v>
      </c>
    </row>
    <row r="2736" spans="1:4" x14ac:dyDescent="0.25">
      <c r="A2736" s="279">
        <v>39209</v>
      </c>
      <c r="B2736" t="s">
        <v>339</v>
      </c>
      <c r="C2736" t="s">
        <v>85</v>
      </c>
      <c r="D2736">
        <v>24772</v>
      </c>
    </row>
    <row r="2737" spans="1:4" x14ac:dyDescent="0.25">
      <c r="A2737" s="279">
        <v>39209</v>
      </c>
      <c r="B2737" t="s">
        <v>339</v>
      </c>
      <c r="C2737" t="s">
        <v>86</v>
      </c>
      <c r="D2737">
        <v>222</v>
      </c>
    </row>
    <row r="2738" spans="1:4" x14ac:dyDescent="0.25">
      <c r="A2738" s="279">
        <v>39209</v>
      </c>
      <c r="B2738" t="s">
        <v>339</v>
      </c>
      <c r="C2738" t="s">
        <v>87</v>
      </c>
      <c r="D2738">
        <v>0</v>
      </c>
    </row>
    <row r="2739" spans="1:4" x14ac:dyDescent="0.25">
      <c r="A2739" s="279">
        <v>39209</v>
      </c>
      <c r="B2739" t="s">
        <v>339</v>
      </c>
      <c r="C2739" t="s">
        <v>88</v>
      </c>
      <c r="D2739">
        <v>0</v>
      </c>
    </row>
    <row r="2740" spans="1:4" x14ac:dyDescent="0.25">
      <c r="A2740" s="279">
        <v>39209</v>
      </c>
      <c r="B2740" t="s">
        <v>339</v>
      </c>
      <c r="C2740" t="s">
        <v>14</v>
      </c>
      <c r="D2740">
        <v>1047</v>
      </c>
    </row>
    <row r="2741" spans="1:4" x14ac:dyDescent="0.25">
      <c r="A2741" s="279">
        <v>39210</v>
      </c>
      <c r="B2741" t="s">
        <v>338</v>
      </c>
      <c r="C2741" t="s">
        <v>81</v>
      </c>
      <c r="D2741">
        <v>0</v>
      </c>
    </row>
    <row r="2742" spans="1:4" x14ac:dyDescent="0.25">
      <c r="A2742" s="279">
        <v>39210</v>
      </c>
      <c r="B2742" t="s">
        <v>338</v>
      </c>
      <c r="C2742" t="s">
        <v>82</v>
      </c>
      <c r="D2742">
        <v>0</v>
      </c>
    </row>
    <row r="2743" spans="1:4" x14ac:dyDescent="0.25">
      <c r="A2743" s="279">
        <v>39210</v>
      </c>
      <c r="B2743" t="s">
        <v>338</v>
      </c>
      <c r="C2743" t="s">
        <v>84</v>
      </c>
      <c r="D2743">
        <v>0</v>
      </c>
    </row>
    <row r="2744" spans="1:4" x14ac:dyDescent="0.25">
      <c r="A2744" s="279">
        <v>39210</v>
      </c>
      <c r="B2744" t="s">
        <v>338</v>
      </c>
      <c r="C2744" t="s">
        <v>83</v>
      </c>
      <c r="D2744">
        <v>0</v>
      </c>
    </row>
    <row r="2745" spans="1:4" x14ac:dyDescent="0.25">
      <c r="A2745" s="279">
        <v>39210</v>
      </c>
      <c r="B2745" t="s">
        <v>338</v>
      </c>
      <c r="C2745" t="s">
        <v>14</v>
      </c>
      <c r="D2745">
        <v>1033</v>
      </c>
    </row>
    <row r="2746" spans="1:4" x14ac:dyDescent="0.25">
      <c r="A2746" s="279">
        <v>39210</v>
      </c>
      <c r="B2746" t="s">
        <v>339</v>
      </c>
      <c r="C2746" t="s">
        <v>20</v>
      </c>
      <c r="D2746">
        <v>82780</v>
      </c>
    </row>
    <row r="2747" spans="1:4" x14ac:dyDescent="0.25">
      <c r="A2747" s="279">
        <v>39210</v>
      </c>
      <c r="B2747" t="s">
        <v>339</v>
      </c>
      <c r="C2747" t="s">
        <v>85</v>
      </c>
      <c r="D2747">
        <v>20884</v>
      </c>
    </row>
    <row r="2748" spans="1:4" x14ac:dyDescent="0.25">
      <c r="A2748" s="279">
        <v>39210</v>
      </c>
      <c r="B2748" t="s">
        <v>339</v>
      </c>
      <c r="C2748" t="s">
        <v>86</v>
      </c>
      <c r="D2748">
        <v>0</v>
      </c>
    </row>
    <row r="2749" spans="1:4" x14ac:dyDescent="0.25">
      <c r="A2749" s="279">
        <v>39210</v>
      </c>
      <c r="B2749" t="s">
        <v>339</v>
      </c>
      <c r="C2749" t="s">
        <v>87</v>
      </c>
      <c r="D2749">
        <v>0</v>
      </c>
    </row>
    <row r="2750" spans="1:4" x14ac:dyDescent="0.25">
      <c r="A2750" s="279">
        <v>39210</v>
      </c>
      <c r="B2750" t="s">
        <v>339</v>
      </c>
      <c r="C2750" t="s">
        <v>88</v>
      </c>
      <c r="D2750">
        <v>0</v>
      </c>
    </row>
    <row r="2751" spans="1:4" x14ac:dyDescent="0.25">
      <c r="A2751" s="279">
        <v>39210</v>
      </c>
      <c r="B2751" t="s">
        <v>339</v>
      </c>
      <c r="C2751" t="s">
        <v>14</v>
      </c>
      <c r="D2751">
        <v>1048</v>
      </c>
    </row>
    <row r="2752" spans="1:4" x14ac:dyDescent="0.25">
      <c r="A2752" s="279">
        <v>39211</v>
      </c>
      <c r="B2752" t="s">
        <v>338</v>
      </c>
      <c r="C2752" t="s">
        <v>81</v>
      </c>
      <c r="D2752">
        <v>0</v>
      </c>
    </row>
    <row r="2753" spans="1:4" x14ac:dyDescent="0.25">
      <c r="A2753" s="279">
        <v>39211</v>
      </c>
      <c r="B2753" t="s">
        <v>338</v>
      </c>
      <c r="C2753" t="s">
        <v>82</v>
      </c>
      <c r="D2753">
        <v>0</v>
      </c>
    </row>
    <row r="2754" spans="1:4" x14ac:dyDescent="0.25">
      <c r="A2754" s="279">
        <v>39211</v>
      </c>
      <c r="B2754" t="s">
        <v>338</v>
      </c>
      <c r="C2754" t="s">
        <v>84</v>
      </c>
      <c r="D2754">
        <v>0</v>
      </c>
    </row>
    <row r="2755" spans="1:4" x14ac:dyDescent="0.25">
      <c r="A2755" s="279">
        <v>39211</v>
      </c>
      <c r="B2755" t="s">
        <v>338</v>
      </c>
      <c r="C2755" t="s">
        <v>83</v>
      </c>
      <c r="D2755">
        <v>0</v>
      </c>
    </row>
    <row r="2756" spans="1:4" x14ac:dyDescent="0.25">
      <c r="A2756" s="279">
        <v>39211</v>
      </c>
      <c r="B2756" t="s">
        <v>338</v>
      </c>
      <c r="C2756" t="s">
        <v>14</v>
      </c>
      <c r="D2756">
        <v>1046</v>
      </c>
    </row>
    <row r="2757" spans="1:4" x14ac:dyDescent="0.25">
      <c r="A2757" s="279">
        <v>39211</v>
      </c>
      <c r="B2757" t="s">
        <v>339</v>
      </c>
      <c r="C2757" t="s">
        <v>20</v>
      </c>
      <c r="D2757">
        <v>76234</v>
      </c>
    </row>
    <row r="2758" spans="1:4" x14ac:dyDescent="0.25">
      <c r="A2758" s="279">
        <v>39211</v>
      </c>
      <c r="B2758" t="s">
        <v>339</v>
      </c>
      <c r="C2758" t="s">
        <v>85</v>
      </c>
      <c r="D2758">
        <v>20649</v>
      </c>
    </row>
    <row r="2759" spans="1:4" x14ac:dyDescent="0.25">
      <c r="A2759" s="279">
        <v>39211</v>
      </c>
      <c r="B2759" t="s">
        <v>339</v>
      </c>
      <c r="C2759" t="s">
        <v>86</v>
      </c>
      <c r="D2759">
        <v>0</v>
      </c>
    </row>
    <row r="2760" spans="1:4" x14ac:dyDescent="0.25">
      <c r="A2760" s="279">
        <v>39211</v>
      </c>
      <c r="B2760" t="s">
        <v>339</v>
      </c>
      <c r="C2760" t="s">
        <v>87</v>
      </c>
      <c r="D2760">
        <v>0</v>
      </c>
    </row>
    <row r="2761" spans="1:4" x14ac:dyDescent="0.25">
      <c r="A2761" s="279">
        <v>39211</v>
      </c>
      <c r="B2761" t="s">
        <v>339</v>
      </c>
      <c r="C2761" t="s">
        <v>88</v>
      </c>
      <c r="D2761">
        <v>0</v>
      </c>
    </row>
    <row r="2762" spans="1:4" x14ac:dyDescent="0.25">
      <c r="A2762" s="279">
        <v>39211</v>
      </c>
      <c r="B2762" t="s">
        <v>339</v>
      </c>
      <c r="C2762" t="s">
        <v>14</v>
      </c>
      <c r="D2762">
        <v>1046</v>
      </c>
    </row>
    <row r="2763" spans="1:4" x14ac:dyDescent="0.25">
      <c r="A2763" s="279">
        <v>39212</v>
      </c>
      <c r="B2763" t="s">
        <v>338</v>
      </c>
      <c r="C2763" t="s">
        <v>81</v>
      </c>
      <c r="D2763">
        <v>0</v>
      </c>
    </row>
    <row r="2764" spans="1:4" x14ac:dyDescent="0.25">
      <c r="A2764" s="279">
        <v>39212</v>
      </c>
      <c r="B2764" t="s">
        <v>338</v>
      </c>
      <c r="C2764" t="s">
        <v>82</v>
      </c>
      <c r="D2764">
        <v>0</v>
      </c>
    </row>
    <row r="2765" spans="1:4" x14ac:dyDescent="0.25">
      <c r="A2765" s="279">
        <v>39212</v>
      </c>
      <c r="B2765" t="s">
        <v>338</v>
      </c>
      <c r="C2765" t="s">
        <v>84</v>
      </c>
      <c r="D2765">
        <v>0</v>
      </c>
    </row>
    <row r="2766" spans="1:4" x14ac:dyDescent="0.25">
      <c r="A2766" s="279">
        <v>39212</v>
      </c>
      <c r="B2766" t="s">
        <v>338</v>
      </c>
      <c r="C2766" t="s">
        <v>83</v>
      </c>
      <c r="D2766">
        <v>0</v>
      </c>
    </row>
    <row r="2767" spans="1:4" x14ac:dyDescent="0.25">
      <c r="A2767" s="279">
        <v>39212</v>
      </c>
      <c r="B2767" t="s">
        <v>338</v>
      </c>
      <c r="C2767" t="s">
        <v>14</v>
      </c>
      <c r="D2767">
        <v>1051</v>
      </c>
    </row>
    <row r="2768" spans="1:4" x14ac:dyDescent="0.25">
      <c r="A2768" s="279">
        <v>39212</v>
      </c>
      <c r="B2768" t="s">
        <v>339</v>
      </c>
      <c r="C2768" t="s">
        <v>20</v>
      </c>
      <c r="D2768">
        <v>75768</v>
      </c>
    </row>
    <row r="2769" spans="1:4" x14ac:dyDescent="0.25">
      <c r="A2769" s="279">
        <v>39212</v>
      </c>
      <c r="B2769" t="s">
        <v>339</v>
      </c>
      <c r="C2769" t="s">
        <v>85</v>
      </c>
      <c r="D2769">
        <v>17696</v>
      </c>
    </row>
    <row r="2770" spans="1:4" x14ac:dyDescent="0.25">
      <c r="A2770" s="279">
        <v>39212</v>
      </c>
      <c r="B2770" t="s">
        <v>339</v>
      </c>
      <c r="C2770" t="s">
        <v>86</v>
      </c>
      <c r="D2770">
        <v>0</v>
      </c>
    </row>
    <row r="2771" spans="1:4" x14ac:dyDescent="0.25">
      <c r="A2771" s="279">
        <v>39212</v>
      </c>
      <c r="B2771" t="s">
        <v>339</v>
      </c>
      <c r="C2771" t="s">
        <v>87</v>
      </c>
      <c r="D2771">
        <v>0</v>
      </c>
    </row>
    <row r="2772" spans="1:4" x14ac:dyDescent="0.25">
      <c r="A2772" s="279">
        <v>39212</v>
      </c>
      <c r="B2772" t="s">
        <v>339</v>
      </c>
      <c r="C2772" t="s">
        <v>88</v>
      </c>
      <c r="D2772">
        <v>0</v>
      </c>
    </row>
    <row r="2773" spans="1:4" x14ac:dyDescent="0.25">
      <c r="A2773" s="279">
        <v>39212</v>
      </c>
      <c r="B2773" t="s">
        <v>339</v>
      </c>
      <c r="C2773" t="s">
        <v>14</v>
      </c>
      <c r="D2773">
        <v>1046</v>
      </c>
    </row>
    <row r="2774" spans="1:4" x14ac:dyDescent="0.25">
      <c r="A2774" s="279">
        <v>39213</v>
      </c>
      <c r="B2774" t="s">
        <v>338</v>
      </c>
      <c r="C2774" t="s">
        <v>81</v>
      </c>
      <c r="D2774">
        <v>0</v>
      </c>
    </row>
    <row r="2775" spans="1:4" x14ac:dyDescent="0.25">
      <c r="A2775" s="279">
        <v>39213</v>
      </c>
      <c r="B2775" t="s">
        <v>338</v>
      </c>
      <c r="C2775" t="s">
        <v>82</v>
      </c>
      <c r="D2775">
        <v>0</v>
      </c>
    </row>
    <row r="2776" spans="1:4" x14ac:dyDescent="0.25">
      <c r="A2776" s="279">
        <v>39213</v>
      </c>
      <c r="B2776" t="s">
        <v>338</v>
      </c>
      <c r="C2776" t="s">
        <v>84</v>
      </c>
      <c r="D2776">
        <v>0</v>
      </c>
    </row>
    <row r="2777" spans="1:4" x14ac:dyDescent="0.25">
      <c r="A2777" s="279">
        <v>39213</v>
      </c>
      <c r="B2777" t="s">
        <v>338</v>
      </c>
      <c r="C2777" t="s">
        <v>83</v>
      </c>
      <c r="D2777">
        <v>0</v>
      </c>
    </row>
    <row r="2778" spans="1:4" x14ac:dyDescent="0.25">
      <c r="A2778" s="279">
        <v>39213</v>
      </c>
      <c r="B2778" t="s">
        <v>338</v>
      </c>
      <c r="C2778" t="s">
        <v>14</v>
      </c>
      <c r="D2778">
        <v>1051</v>
      </c>
    </row>
    <row r="2779" spans="1:4" x14ac:dyDescent="0.25">
      <c r="A2779" s="279">
        <v>39213</v>
      </c>
      <c r="B2779" t="s">
        <v>339</v>
      </c>
      <c r="C2779" t="s">
        <v>20</v>
      </c>
      <c r="D2779">
        <v>73913</v>
      </c>
    </row>
    <row r="2780" spans="1:4" x14ac:dyDescent="0.25">
      <c r="A2780" s="279">
        <v>39213</v>
      </c>
      <c r="B2780" t="s">
        <v>339</v>
      </c>
      <c r="C2780" t="s">
        <v>85</v>
      </c>
      <c r="D2780">
        <v>17042</v>
      </c>
    </row>
    <row r="2781" spans="1:4" x14ac:dyDescent="0.25">
      <c r="A2781" s="279">
        <v>39213</v>
      </c>
      <c r="B2781" t="s">
        <v>339</v>
      </c>
      <c r="C2781" t="s">
        <v>86</v>
      </c>
      <c r="D2781">
        <v>0</v>
      </c>
    </row>
    <row r="2782" spans="1:4" x14ac:dyDescent="0.25">
      <c r="A2782" s="279">
        <v>39213</v>
      </c>
      <c r="B2782" t="s">
        <v>339</v>
      </c>
      <c r="C2782" t="s">
        <v>87</v>
      </c>
      <c r="D2782">
        <v>0</v>
      </c>
    </row>
    <row r="2783" spans="1:4" x14ac:dyDescent="0.25">
      <c r="A2783" s="279">
        <v>39213</v>
      </c>
      <c r="B2783" t="s">
        <v>339</v>
      </c>
      <c r="C2783" t="s">
        <v>88</v>
      </c>
      <c r="D2783">
        <v>0</v>
      </c>
    </row>
    <row r="2784" spans="1:4" x14ac:dyDescent="0.25">
      <c r="A2784" s="279">
        <v>39213</v>
      </c>
      <c r="B2784" t="s">
        <v>339</v>
      </c>
      <c r="C2784" t="s">
        <v>14</v>
      </c>
      <c r="D2784">
        <v>1046</v>
      </c>
    </row>
    <row r="2785" spans="1:4" x14ac:dyDescent="0.25">
      <c r="A2785" s="279">
        <v>39214</v>
      </c>
      <c r="B2785" t="s">
        <v>338</v>
      </c>
      <c r="C2785" t="s">
        <v>81</v>
      </c>
      <c r="D2785">
        <v>0</v>
      </c>
    </row>
    <row r="2786" spans="1:4" x14ac:dyDescent="0.25">
      <c r="A2786" s="279">
        <v>39214</v>
      </c>
      <c r="B2786" t="s">
        <v>338</v>
      </c>
      <c r="C2786" t="s">
        <v>82</v>
      </c>
      <c r="D2786">
        <v>0</v>
      </c>
    </row>
    <row r="2787" spans="1:4" x14ac:dyDescent="0.25">
      <c r="A2787" s="279">
        <v>39214</v>
      </c>
      <c r="B2787" t="s">
        <v>338</v>
      </c>
      <c r="C2787" t="s">
        <v>84</v>
      </c>
      <c r="D2787">
        <v>0</v>
      </c>
    </row>
    <row r="2788" spans="1:4" x14ac:dyDescent="0.25">
      <c r="A2788" s="279">
        <v>39214</v>
      </c>
      <c r="B2788" t="s">
        <v>338</v>
      </c>
      <c r="C2788" t="s">
        <v>83</v>
      </c>
      <c r="D2788">
        <v>0</v>
      </c>
    </row>
    <row r="2789" spans="1:4" x14ac:dyDescent="0.25">
      <c r="A2789" s="279">
        <v>39214</v>
      </c>
      <c r="B2789" t="s">
        <v>338</v>
      </c>
      <c r="C2789" t="s">
        <v>14</v>
      </c>
      <c r="D2789">
        <v>1044</v>
      </c>
    </row>
    <row r="2790" spans="1:4" x14ac:dyDescent="0.25">
      <c r="A2790" s="279">
        <v>39214</v>
      </c>
      <c r="B2790" t="s">
        <v>339</v>
      </c>
      <c r="C2790" t="s">
        <v>20</v>
      </c>
      <c r="D2790">
        <v>77288</v>
      </c>
    </row>
    <row r="2791" spans="1:4" x14ac:dyDescent="0.25">
      <c r="A2791" s="279">
        <v>39214</v>
      </c>
      <c r="B2791" t="s">
        <v>339</v>
      </c>
      <c r="C2791" t="s">
        <v>85</v>
      </c>
      <c r="D2791">
        <v>19897</v>
      </c>
    </row>
    <row r="2792" spans="1:4" x14ac:dyDescent="0.25">
      <c r="A2792" s="279">
        <v>39214</v>
      </c>
      <c r="B2792" t="s">
        <v>339</v>
      </c>
      <c r="C2792" t="s">
        <v>86</v>
      </c>
      <c r="D2792">
        <v>0</v>
      </c>
    </row>
    <row r="2793" spans="1:4" x14ac:dyDescent="0.25">
      <c r="A2793" s="279">
        <v>39214</v>
      </c>
      <c r="B2793" t="s">
        <v>339</v>
      </c>
      <c r="C2793" t="s">
        <v>87</v>
      </c>
      <c r="D2793">
        <v>0</v>
      </c>
    </row>
    <row r="2794" spans="1:4" x14ac:dyDescent="0.25">
      <c r="A2794" s="279">
        <v>39214</v>
      </c>
      <c r="B2794" t="s">
        <v>339</v>
      </c>
      <c r="C2794" t="s">
        <v>88</v>
      </c>
      <c r="D2794">
        <v>0</v>
      </c>
    </row>
    <row r="2795" spans="1:4" x14ac:dyDescent="0.25">
      <c r="A2795" s="279">
        <v>39214</v>
      </c>
      <c r="B2795" t="s">
        <v>339</v>
      </c>
      <c r="C2795" t="s">
        <v>14</v>
      </c>
      <c r="D2795">
        <v>1040</v>
      </c>
    </row>
    <row r="2796" spans="1:4" x14ac:dyDescent="0.25">
      <c r="A2796" s="279">
        <v>39215</v>
      </c>
      <c r="B2796" t="s">
        <v>338</v>
      </c>
      <c r="C2796" t="s">
        <v>81</v>
      </c>
      <c r="D2796">
        <v>0</v>
      </c>
    </row>
    <row r="2797" spans="1:4" x14ac:dyDescent="0.25">
      <c r="A2797" s="279">
        <v>39215</v>
      </c>
      <c r="B2797" t="s">
        <v>338</v>
      </c>
      <c r="C2797" t="s">
        <v>82</v>
      </c>
      <c r="D2797">
        <v>0</v>
      </c>
    </row>
    <row r="2798" spans="1:4" x14ac:dyDescent="0.25">
      <c r="A2798" s="279">
        <v>39215</v>
      </c>
      <c r="B2798" t="s">
        <v>338</v>
      </c>
      <c r="C2798" t="s">
        <v>84</v>
      </c>
      <c r="D2798">
        <v>0</v>
      </c>
    </row>
    <row r="2799" spans="1:4" x14ac:dyDescent="0.25">
      <c r="A2799" s="279">
        <v>39215</v>
      </c>
      <c r="B2799" t="s">
        <v>338</v>
      </c>
      <c r="C2799" t="s">
        <v>83</v>
      </c>
      <c r="D2799">
        <v>0</v>
      </c>
    </row>
    <row r="2800" spans="1:4" x14ac:dyDescent="0.25">
      <c r="A2800" s="279">
        <v>39215</v>
      </c>
      <c r="B2800" t="s">
        <v>338</v>
      </c>
      <c r="C2800" t="s">
        <v>14</v>
      </c>
      <c r="D2800">
        <v>1049</v>
      </c>
    </row>
    <row r="2801" spans="1:4" x14ac:dyDescent="0.25">
      <c r="A2801" s="279">
        <v>39215</v>
      </c>
      <c r="B2801" t="s">
        <v>339</v>
      </c>
      <c r="C2801" t="s">
        <v>20</v>
      </c>
      <c r="D2801">
        <v>91324</v>
      </c>
    </row>
    <row r="2802" spans="1:4" x14ac:dyDescent="0.25">
      <c r="A2802" s="279">
        <v>39215</v>
      </c>
      <c r="B2802" t="s">
        <v>339</v>
      </c>
      <c r="C2802" t="s">
        <v>85</v>
      </c>
      <c r="D2802">
        <v>18458</v>
      </c>
    </row>
    <row r="2803" spans="1:4" x14ac:dyDescent="0.25">
      <c r="A2803" s="279">
        <v>39215</v>
      </c>
      <c r="B2803" t="s">
        <v>339</v>
      </c>
      <c r="C2803" t="s">
        <v>86</v>
      </c>
      <c r="D2803">
        <v>0</v>
      </c>
    </row>
    <row r="2804" spans="1:4" x14ac:dyDescent="0.25">
      <c r="A2804" s="279">
        <v>39215</v>
      </c>
      <c r="B2804" t="s">
        <v>339</v>
      </c>
      <c r="C2804" t="s">
        <v>87</v>
      </c>
      <c r="D2804">
        <v>0</v>
      </c>
    </row>
    <row r="2805" spans="1:4" x14ac:dyDescent="0.25">
      <c r="A2805" s="279">
        <v>39215</v>
      </c>
      <c r="B2805" t="s">
        <v>339</v>
      </c>
      <c r="C2805" t="s">
        <v>88</v>
      </c>
      <c r="D2805">
        <v>0</v>
      </c>
    </row>
    <row r="2806" spans="1:4" x14ac:dyDescent="0.25">
      <c r="A2806" s="279">
        <v>39215</v>
      </c>
      <c r="B2806" t="s">
        <v>339</v>
      </c>
      <c r="C2806" t="s">
        <v>14</v>
      </c>
      <c r="D2806">
        <v>1046</v>
      </c>
    </row>
    <row r="2807" spans="1:4" x14ac:dyDescent="0.25">
      <c r="A2807" s="279">
        <v>39216</v>
      </c>
      <c r="B2807" t="s">
        <v>338</v>
      </c>
      <c r="C2807" t="s">
        <v>81</v>
      </c>
      <c r="D2807">
        <v>0</v>
      </c>
    </row>
    <row r="2808" spans="1:4" x14ac:dyDescent="0.25">
      <c r="A2808" s="279">
        <v>39216</v>
      </c>
      <c r="B2808" t="s">
        <v>338</v>
      </c>
      <c r="C2808" t="s">
        <v>82</v>
      </c>
      <c r="D2808">
        <v>0</v>
      </c>
    </row>
    <row r="2809" spans="1:4" x14ac:dyDescent="0.25">
      <c r="A2809" s="279">
        <v>39216</v>
      </c>
      <c r="B2809" t="s">
        <v>338</v>
      </c>
      <c r="C2809" t="s">
        <v>84</v>
      </c>
      <c r="D2809">
        <v>0</v>
      </c>
    </row>
    <row r="2810" spans="1:4" x14ac:dyDescent="0.25">
      <c r="A2810" s="279">
        <v>39216</v>
      </c>
      <c r="B2810" t="s">
        <v>338</v>
      </c>
      <c r="C2810" t="s">
        <v>83</v>
      </c>
      <c r="D2810">
        <v>0</v>
      </c>
    </row>
    <row r="2811" spans="1:4" x14ac:dyDescent="0.25">
      <c r="A2811" s="279">
        <v>39216</v>
      </c>
      <c r="B2811" t="s">
        <v>338</v>
      </c>
      <c r="C2811" t="s">
        <v>14</v>
      </c>
      <c r="D2811">
        <v>1049</v>
      </c>
    </row>
    <row r="2812" spans="1:4" x14ac:dyDescent="0.25">
      <c r="A2812" s="279">
        <v>39216</v>
      </c>
      <c r="B2812" t="s">
        <v>339</v>
      </c>
      <c r="C2812" t="s">
        <v>20</v>
      </c>
      <c r="D2812">
        <v>85706</v>
      </c>
    </row>
    <row r="2813" spans="1:4" x14ac:dyDescent="0.25">
      <c r="A2813" s="279">
        <v>39216</v>
      </c>
      <c r="B2813" t="s">
        <v>339</v>
      </c>
      <c r="C2813" t="s">
        <v>85</v>
      </c>
      <c r="D2813">
        <v>21704</v>
      </c>
    </row>
    <row r="2814" spans="1:4" x14ac:dyDescent="0.25">
      <c r="A2814" s="279">
        <v>39216</v>
      </c>
      <c r="B2814" t="s">
        <v>339</v>
      </c>
      <c r="C2814" t="s">
        <v>86</v>
      </c>
      <c r="D2814">
        <v>0</v>
      </c>
    </row>
    <row r="2815" spans="1:4" x14ac:dyDescent="0.25">
      <c r="A2815" s="279">
        <v>39216</v>
      </c>
      <c r="B2815" t="s">
        <v>339</v>
      </c>
      <c r="C2815" t="s">
        <v>87</v>
      </c>
      <c r="D2815">
        <v>0</v>
      </c>
    </row>
    <row r="2816" spans="1:4" x14ac:dyDescent="0.25">
      <c r="A2816" s="279">
        <v>39216</v>
      </c>
      <c r="B2816" t="s">
        <v>339</v>
      </c>
      <c r="C2816" t="s">
        <v>88</v>
      </c>
      <c r="D2816">
        <v>0</v>
      </c>
    </row>
    <row r="2817" spans="1:4" x14ac:dyDescent="0.25">
      <c r="A2817" s="279">
        <v>39216</v>
      </c>
      <c r="B2817" t="s">
        <v>339</v>
      </c>
      <c r="C2817" t="s">
        <v>14</v>
      </c>
      <c r="D2817">
        <v>1041</v>
      </c>
    </row>
    <row r="2818" spans="1:4" x14ac:dyDescent="0.25">
      <c r="A2818" s="279">
        <v>39217</v>
      </c>
      <c r="B2818" t="s">
        <v>338</v>
      </c>
      <c r="C2818" t="s">
        <v>81</v>
      </c>
      <c r="D2818">
        <v>0</v>
      </c>
    </row>
    <row r="2819" spans="1:4" x14ac:dyDescent="0.25">
      <c r="A2819" s="279">
        <v>39217</v>
      </c>
      <c r="B2819" t="s">
        <v>338</v>
      </c>
      <c r="C2819" t="s">
        <v>82</v>
      </c>
      <c r="D2819">
        <v>0</v>
      </c>
    </row>
    <row r="2820" spans="1:4" x14ac:dyDescent="0.25">
      <c r="A2820" s="279">
        <v>39217</v>
      </c>
      <c r="B2820" t="s">
        <v>338</v>
      </c>
      <c r="C2820" t="s">
        <v>84</v>
      </c>
      <c r="D2820">
        <v>0</v>
      </c>
    </row>
    <row r="2821" spans="1:4" x14ac:dyDescent="0.25">
      <c r="A2821" s="279">
        <v>39217</v>
      </c>
      <c r="B2821" t="s">
        <v>338</v>
      </c>
      <c r="C2821" t="s">
        <v>83</v>
      </c>
      <c r="D2821">
        <v>0</v>
      </c>
    </row>
    <row r="2822" spans="1:4" x14ac:dyDescent="0.25">
      <c r="A2822" s="279">
        <v>39217</v>
      </c>
      <c r="B2822" t="s">
        <v>338</v>
      </c>
      <c r="C2822" t="s">
        <v>14</v>
      </c>
      <c r="D2822">
        <v>1053</v>
      </c>
    </row>
    <row r="2823" spans="1:4" x14ac:dyDescent="0.25">
      <c r="A2823" s="279">
        <v>39217</v>
      </c>
      <c r="B2823" t="s">
        <v>339</v>
      </c>
      <c r="C2823" t="s">
        <v>20</v>
      </c>
      <c r="D2823">
        <v>78884</v>
      </c>
    </row>
    <row r="2824" spans="1:4" x14ac:dyDescent="0.25">
      <c r="A2824" s="279">
        <v>39217</v>
      </c>
      <c r="B2824" t="s">
        <v>339</v>
      </c>
      <c r="C2824" t="s">
        <v>85</v>
      </c>
      <c r="D2824">
        <v>18668</v>
      </c>
    </row>
    <row r="2825" spans="1:4" x14ac:dyDescent="0.25">
      <c r="A2825" s="279">
        <v>39217</v>
      </c>
      <c r="B2825" t="s">
        <v>339</v>
      </c>
      <c r="C2825" t="s">
        <v>86</v>
      </c>
      <c r="D2825">
        <v>0</v>
      </c>
    </row>
    <row r="2826" spans="1:4" x14ac:dyDescent="0.25">
      <c r="A2826" s="279">
        <v>39217</v>
      </c>
      <c r="B2826" t="s">
        <v>339</v>
      </c>
      <c r="C2826" t="s">
        <v>87</v>
      </c>
      <c r="D2826">
        <v>0</v>
      </c>
    </row>
    <row r="2827" spans="1:4" x14ac:dyDescent="0.25">
      <c r="A2827" s="279">
        <v>39217</v>
      </c>
      <c r="B2827" t="s">
        <v>339</v>
      </c>
      <c r="C2827" t="s">
        <v>88</v>
      </c>
      <c r="D2827">
        <v>7</v>
      </c>
    </row>
    <row r="2828" spans="1:4" x14ac:dyDescent="0.25">
      <c r="A2828" s="279">
        <v>39217</v>
      </c>
      <c r="B2828" t="s">
        <v>339</v>
      </c>
      <c r="C2828" t="s">
        <v>14</v>
      </c>
      <c r="D2828">
        <v>1035</v>
      </c>
    </row>
    <row r="2829" spans="1:4" x14ac:dyDescent="0.25">
      <c r="A2829" s="279">
        <v>39218</v>
      </c>
      <c r="B2829" t="s">
        <v>338</v>
      </c>
      <c r="C2829" t="s">
        <v>81</v>
      </c>
      <c r="D2829">
        <v>0</v>
      </c>
    </row>
    <row r="2830" spans="1:4" x14ac:dyDescent="0.25">
      <c r="A2830" s="279">
        <v>39218</v>
      </c>
      <c r="B2830" t="s">
        <v>338</v>
      </c>
      <c r="C2830" t="s">
        <v>82</v>
      </c>
      <c r="D2830">
        <v>0</v>
      </c>
    </row>
    <row r="2831" spans="1:4" x14ac:dyDescent="0.25">
      <c r="A2831" s="279">
        <v>39218</v>
      </c>
      <c r="B2831" t="s">
        <v>338</v>
      </c>
      <c r="C2831" t="s">
        <v>84</v>
      </c>
      <c r="D2831">
        <v>0</v>
      </c>
    </row>
    <row r="2832" spans="1:4" x14ac:dyDescent="0.25">
      <c r="A2832" s="279">
        <v>39218</v>
      </c>
      <c r="B2832" t="s">
        <v>338</v>
      </c>
      <c r="C2832" t="s">
        <v>83</v>
      </c>
      <c r="D2832">
        <v>0</v>
      </c>
    </row>
    <row r="2833" spans="1:4" x14ac:dyDescent="0.25">
      <c r="A2833" s="279">
        <v>39218</v>
      </c>
      <c r="B2833" t="s">
        <v>338</v>
      </c>
      <c r="C2833" t="s">
        <v>14</v>
      </c>
      <c r="D2833">
        <v>1059</v>
      </c>
    </row>
    <row r="2834" spans="1:4" x14ac:dyDescent="0.25">
      <c r="A2834" s="279">
        <v>39218</v>
      </c>
      <c r="B2834" t="s">
        <v>339</v>
      </c>
      <c r="C2834" t="s">
        <v>20</v>
      </c>
      <c r="D2834">
        <v>80741</v>
      </c>
    </row>
    <row r="2835" spans="1:4" x14ac:dyDescent="0.25">
      <c r="A2835" s="279">
        <v>39218</v>
      </c>
      <c r="B2835" t="s">
        <v>339</v>
      </c>
      <c r="C2835" t="s">
        <v>85</v>
      </c>
      <c r="D2835">
        <v>17369</v>
      </c>
    </row>
    <row r="2836" spans="1:4" x14ac:dyDescent="0.25">
      <c r="A2836" s="279">
        <v>39218</v>
      </c>
      <c r="B2836" t="s">
        <v>339</v>
      </c>
      <c r="C2836" t="s">
        <v>86</v>
      </c>
      <c r="D2836">
        <v>0</v>
      </c>
    </row>
    <row r="2837" spans="1:4" x14ac:dyDescent="0.25">
      <c r="A2837" s="279">
        <v>39218</v>
      </c>
      <c r="B2837" t="s">
        <v>339</v>
      </c>
      <c r="C2837" t="s">
        <v>87</v>
      </c>
      <c r="D2837">
        <v>0</v>
      </c>
    </row>
    <row r="2838" spans="1:4" x14ac:dyDescent="0.25">
      <c r="A2838" s="279">
        <v>39218</v>
      </c>
      <c r="B2838" t="s">
        <v>339</v>
      </c>
      <c r="C2838" t="s">
        <v>88</v>
      </c>
      <c r="D2838">
        <v>0</v>
      </c>
    </row>
    <row r="2839" spans="1:4" x14ac:dyDescent="0.25">
      <c r="A2839" s="279">
        <v>39218</v>
      </c>
      <c r="B2839" t="s">
        <v>339</v>
      </c>
      <c r="C2839" t="s">
        <v>14</v>
      </c>
      <c r="D2839">
        <v>1044</v>
      </c>
    </row>
    <row r="2840" spans="1:4" x14ac:dyDescent="0.25">
      <c r="A2840" s="279">
        <v>39219</v>
      </c>
      <c r="B2840" t="s">
        <v>338</v>
      </c>
      <c r="C2840" t="s">
        <v>81</v>
      </c>
      <c r="D2840">
        <v>138</v>
      </c>
    </row>
    <row r="2841" spans="1:4" x14ac:dyDescent="0.25">
      <c r="A2841" s="279">
        <v>39219</v>
      </c>
      <c r="B2841" t="s">
        <v>338</v>
      </c>
      <c r="C2841" t="s">
        <v>82</v>
      </c>
      <c r="D2841">
        <v>0</v>
      </c>
    </row>
    <row r="2842" spans="1:4" x14ac:dyDescent="0.25">
      <c r="A2842" s="279">
        <v>39219</v>
      </c>
      <c r="B2842" t="s">
        <v>338</v>
      </c>
      <c r="C2842" t="s">
        <v>84</v>
      </c>
      <c r="D2842">
        <v>506</v>
      </c>
    </row>
    <row r="2843" spans="1:4" x14ac:dyDescent="0.25">
      <c r="A2843" s="279">
        <v>39219</v>
      </c>
      <c r="B2843" t="s">
        <v>338</v>
      </c>
      <c r="C2843" t="s">
        <v>83</v>
      </c>
      <c r="D2843">
        <v>0</v>
      </c>
    </row>
    <row r="2844" spans="1:4" x14ac:dyDescent="0.25">
      <c r="A2844" s="279">
        <v>39219</v>
      </c>
      <c r="B2844" t="s">
        <v>338</v>
      </c>
      <c r="C2844" t="s">
        <v>14</v>
      </c>
      <c r="D2844">
        <v>1060</v>
      </c>
    </row>
    <row r="2845" spans="1:4" x14ac:dyDescent="0.25">
      <c r="A2845" s="279">
        <v>39219</v>
      </c>
      <c r="B2845" t="s">
        <v>339</v>
      </c>
      <c r="C2845" t="s">
        <v>20</v>
      </c>
      <c r="D2845">
        <v>85263</v>
      </c>
    </row>
    <row r="2846" spans="1:4" x14ac:dyDescent="0.25">
      <c r="A2846" s="279">
        <v>39219</v>
      </c>
      <c r="B2846" t="s">
        <v>339</v>
      </c>
      <c r="C2846" t="s">
        <v>85</v>
      </c>
      <c r="D2846">
        <v>20410</v>
      </c>
    </row>
    <row r="2847" spans="1:4" x14ac:dyDescent="0.25">
      <c r="A2847" s="279">
        <v>39219</v>
      </c>
      <c r="B2847" t="s">
        <v>339</v>
      </c>
      <c r="C2847" t="s">
        <v>86</v>
      </c>
      <c r="D2847">
        <v>0</v>
      </c>
    </row>
    <row r="2848" spans="1:4" x14ac:dyDescent="0.25">
      <c r="A2848" s="279">
        <v>39219</v>
      </c>
      <c r="B2848" t="s">
        <v>339</v>
      </c>
      <c r="C2848" t="s">
        <v>87</v>
      </c>
      <c r="D2848">
        <v>0</v>
      </c>
    </row>
    <row r="2849" spans="1:4" x14ac:dyDescent="0.25">
      <c r="A2849" s="279">
        <v>39219</v>
      </c>
      <c r="B2849" t="s">
        <v>339</v>
      </c>
      <c r="C2849" t="s">
        <v>88</v>
      </c>
      <c r="D2849">
        <v>0</v>
      </c>
    </row>
    <row r="2850" spans="1:4" x14ac:dyDescent="0.25">
      <c r="A2850" s="279">
        <v>39219</v>
      </c>
      <c r="B2850" t="s">
        <v>339</v>
      </c>
      <c r="C2850" t="s">
        <v>14</v>
      </c>
      <c r="D2850">
        <v>1033</v>
      </c>
    </row>
    <row r="2851" spans="1:4" x14ac:dyDescent="0.25">
      <c r="A2851" s="279">
        <v>39220</v>
      </c>
      <c r="B2851" t="s">
        <v>338</v>
      </c>
      <c r="C2851" t="s">
        <v>81</v>
      </c>
      <c r="D2851">
        <v>51</v>
      </c>
    </row>
    <row r="2852" spans="1:4" x14ac:dyDescent="0.25">
      <c r="A2852" s="279">
        <v>39220</v>
      </c>
      <c r="B2852" t="s">
        <v>338</v>
      </c>
      <c r="C2852" t="s">
        <v>82</v>
      </c>
      <c r="D2852">
        <v>0</v>
      </c>
    </row>
    <row r="2853" spans="1:4" x14ac:dyDescent="0.25">
      <c r="A2853" s="279">
        <v>39220</v>
      </c>
      <c r="B2853" t="s">
        <v>338</v>
      </c>
      <c r="C2853" t="s">
        <v>84</v>
      </c>
      <c r="D2853">
        <v>660</v>
      </c>
    </row>
    <row r="2854" spans="1:4" x14ac:dyDescent="0.25">
      <c r="A2854" s="279">
        <v>39220</v>
      </c>
      <c r="B2854" t="s">
        <v>338</v>
      </c>
      <c r="C2854" t="s">
        <v>83</v>
      </c>
      <c r="D2854">
        <v>0</v>
      </c>
    </row>
    <row r="2855" spans="1:4" x14ac:dyDescent="0.25">
      <c r="A2855" s="279">
        <v>39220</v>
      </c>
      <c r="B2855" t="s">
        <v>338</v>
      </c>
      <c r="C2855" t="s">
        <v>14</v>
      </c>
      <c r="D2855">
        <v>1058</v>
      </c>
    </row>
    <row r="2856" spans="1:4" x14ac:dyDescent="0.25">
      <c r="A2856" s="279">
        <v>39220</v>
      </c>
      <c r="B2856" t="s">
        <v>339</v>
      </c>
      <c r="C2856" t="s">
        <v>20</v>
      </c>
      <c r="D2856">
        <v>85905</v>
      </c>
    </row>
    <row r="2857" spans="1:4" x14ac:dyDescent="0.25">
      <c r="A2857" s="279">
        <v>39220</v>
      </c>
      <c r="B2857" t="s">
        <v>339</v>
      </c>
      <c r="C2857" t="s">
        <v>85</v>
      </c>
      <c r="D2857">
        <v>19718</v>
      </c>
    </row>
    <row r="2858" spans="1:4" x14ac:dyDescent="0.25">
      <c r="A2858" s="279">
        <v>39220</v>
      </c>
      <c r="B2858" t="s">
        <v>339</v>
      </c>
      <c r="C2858" t="s">
        <v>86</v>
      </c>
      <c r="D2858">
        <v>0</v>
      </c>
    </row>
    <row r="2859" spans="1:4" x14ac:dyDescent="0.25">
      <c r="A2859" s="279">
        <v>39220</v>
      </c>
      <c r="B2859" t="s">
        <v>339</v>
      </c>
      <c r="C2859" t="s">
        <v>87</v>
      </c>
      <c r="D2859">
        <v>0</v>
      </c>
    </row>
    <row r="2860" spans="1:4" x14ac:dyDescent="0.25">
      <c r="A2860" s="279">
        <v>39220</v>
      </c>
      <c r="B2860" t="s">
        <v>339</v>
      </c>
      <c r="C2860" t="s">
        <v>88</v>
      </c>
      <c r="D2860">
        <v>0</v>
      </c>
    </row>
    <row r="2861" spans="1:4" x14ac:dyDescent="0.25">
      <c r="A2861" s="279">
        <v>39220</v>
      </c>
      <c r="B2861" t="s">
        <v>339</v>
      </c>
      <c r="C2861" t="s">
        <v>14</v>
      </c>
      <c r="D2861">
        <v>1038</v>
      </c>
    </row>
    <row r="2862" spans="1:4" x14ac:dyDescent="0.25">
      <c r="A2862" s="279">
        <v>39221</v>
      </c>
      <c r="B2862" t="s">
        <v>338</v>
      </c>
      <c r="C2862" t="s">
        <v>81</v>
      </c>
      <c r="D2862">
        <v>0</v>
      </c>
    </row>
    <row r="2863" spans="1:4" x14ac:dyDescent="0.25">
      <c r="A2863" s="279">
        <v>39221</v>
      </c>
      <c r="B2863" t="s">
        <v>338</v>
      </c>
      <c r="C2863" t="s">
        <v>82</v>
      </c>
      <c r="D2863">
        <v>0</v>
      </c>
    </row>
    <row r="2864" spans="1:4" x14ac:dyDescent="0.25">
      <c r="A2864" s="279">
        <v>39221</v>
      </c>
      <c r="B2864" t="s">
        <v>338</v>
      </c>
      <c r="C2864" t="s">
        <v>84</v>
      </c>
      <c r="D2864">
        <v>500</v>
      </c>
    </row>
    <row r="2865" spans="1:4" x14ac:dyDescent="0.25">
      <c r="A2865" s="279">
        <v>39221</v>
      </c>
      <c r="B2865" t="s">
        <v>338</v>
      </c>
      <c r="C2865" t="s">
        <v>83</v>
      </c>
      <c r="D2865">
        <v>0</v>
      </c>
    </row>
    <row r="2866" spans="1:4" x14ac:dyDescent="0.25">
      <c r="A2866" s="279">
        <v>39221</v>
      </c>
      <c r="B2866" t="s">
        <v>338</v>
      </c>
      <c r="C2866" t="s">
        <v>14</v>
      </c>
      <c r="D2866">
        <v>1058</v>
      </c>
    </row>
    <row r="2867" spans="1:4" x14ac:dyDescent="0.25">
      <c r="A2867" s="279">
        <v>39221</v>
      </c>
      <c r="B2867" t="s">
        <v>339</v>
      </c>
      <c r="C2867" t="s">
        <v>20</v>
      </c>
      <c r="D2867">
        <v>78192</v>
      </c>
    </row>
    <row r="2868" spans="1:4" x14ac:dyDescent="0.25">
      <c r="A2868" s="279">
        <v>39221</v>
      </c>
      <c r="B2868" t="s">
        <v>339</v>
      </c>
      <c r="C2868" t="s">
        <v>85</v>
      </c>
      <c r="D2868">
        <v>16024</v>
      </c>
    </row>
    <row r="2869" spans="1:4" x14ac:dyDescent="0.25">
      <c r="A2869" s="279">
        <v>39221</v>
      </c>
      <c r="B2869" t="s">
        <v>339</v>
      </c>
      <c r="C2869" t="s">
        <v>86</v>
      </c>
      <c r="D2869">
        <v>0</v>
      </c>
    </row>
    <row r="2870" spans="1:4" x14ac:dyDescent="0.25">
      <c r="A2870" s="279">
        <v>39221</v>
      </c>
      <c r="B2870" t="s">
        <v>339</v>
      </c>
      <c r="C2870" t="s">
        <v>87</v>
      </c>
      <c r="D2870">
        <v>0</v>
      </c>
    </row>
    <row r="2871" spans="1:4" x14ac:dyDescent="0.25">
      <c r="A2871" s="279">
        <v>39221</v>
      </c>
      <c r="B2871" t="s">
        <v>339</v>
      </c>
      <c r="C2871" t="s">
        <v>88</v>
      </c>
      <c r="D2871">
        <v>0</v>
      </c>
    </row>
    <row r="2872" spans="1:4" x14ac:dyDescent="0.25">
      <c r="A2872" s="279">
        <v>39221</v>
      </c>
      <c r="B2872" t="s">
        <v>339</v>
      </c>
      <c r="C2872" t="s">
        <v>14</v>
      </c>
      <c r="D2872">
        <v>1038</v>
      </c>
    </row>
    <row r="2873" spans="1:4" x14ac:dyDescent="0.25">
      <c r="A2873" s="279">
        <v>39222</v>
      </c>
      <c r="B2873" t="s">
        <v>338</v>
      </c>
      <c r="C2873" t="s">
        <v>81</v>
      </c>
      <c r="D2873">
        <v>0</v>
      </c>
    </row>
    <row r="2874" spans="1:4" x14ac:dyDescent="0.25">
      <c r="A2874" s="279">
        <v>39222</v>
      </c>
      <c r="B2874" t="s">
        <v>338</v>
      </c>
      <c r="C2874" t="s">
        <v>82</v>
      </c>
      <c r="D2874">
        <v>0</v>
      </c>
    </row>
    <row r="2875" spans="1:4" x14ac:dyDescent="0.25">
      <c r="A2875" s="279">
        <v>39222</v>
      </c>
      <c r="B2875" t="s">
        <v>338</v>
      </c>
      <c r="C2875" t="s">
        <v>84</v>
      </c>
      <c r="D2875">
        <v>360</v>
      </c>
    </row>
    <row r="2876" spans="1:4" x14ac:dyDescent="0.25">
      <c r="A2876" s="279">
        <v>39222</v>
      </c>
      <c r="B2876" t="s">
        <v>338</v>
      </c>
      <c r="C2876" t="s">
        <v>83</v>
      </c>
      <c r="D2876">
        <v>0</v>
      </c>
    </row>
    <row r="2877" spans="1:4" x14ac:dyDescent="0.25">
      <c r="A2877" s="279">
        <v>39222</v>
      </c>
      <c r="B2877" t="s">
        <v>338</v>
      </c>
      <c r="C2877" t="s">
        <v>14</v>
      </c>
      <c r="D2877">
        <v>1058</v>
      </c>
    </row>
    <row r="2878" spans="1:4" x14ac:dyDescent="0.25">
      <c r="A2878" s="279">
        <v>39222</v>
      </c>
      <c r="B2878" t="s">
        <v>339</v>
      </c>
      <c r="C2878" t="s">
        <v>20</v>
      </c>
      <c r="D2878">
        <v>73264</v>
      </c>
    </row>
    <row r="2879" spans="1:4" x14ac:dyDescent="0.25">
      <c r="A2879" s="279">
        <v>39222</v>
      </c>
      <c r="B2879" t="s">
        <v>339</v>
      </c>
      <c r="C2879" t="s">
        <v>85</v>
      </c>
      <c r="D2879">
        <v>16545</v>
      </c>
    </row>
    <row r="2880" spans="1:4" x14ac:dyDescent="0.25">
      <c r="A2880" s="279">
        <v>39222</v>
      </c>
      <c r="B2880" t="s">
        <v>339</v>
      </c>
      <c r="C2880" t="s">
        <v>86</v>
      </c>
      <c r="D2880">
        <v>0</v>
      </c>
    </row>
    <row r="2881" spans="1:4" x14ac:dyDescent="0.25">
      <c r="A2881" s="279">
        <v>39222</v>
      </c>
      <c r="B2881" t="s">
        <v>339</v>
      </c>
      <c r="C2881" t="s">
        <v>87</v>
      </c>
      <c r="D2881">
        <v>0</v>
      </c>
    </row>
    <row r="2882" spans="1:4" x14ac:dyDescent="0.25">
      <c r="A2882" s="279">
        <v>39222</v>
      </c>
      <c r="B2882" t="s">
        <v>339</v>
      </c>
      <c r="C2882" t="s">
        <v>88</v>
      </c>
      <c r="D2882">
        <v>0</v>
      </c>
    </row>
    <row r="2883" spans="1:4" x14ac:dyDescent="0.25">
      <c r="A2883" s="279">
        <v>39222</v>
      </c>
      <c r="B2883" t="s">
        <v>339</v>
      </c>
      <c r="C2883" t="s">
        <v>14</v>
      </c>
      <c r="D2883">
        <v>1038</v>
      </c>
    </row>
    <row r="2884" spans="1:4" x14ac:dyDescent="0.25">
      <c r="A2884" s="279">
        <v>39223</v>
      </c>
      <c r="B2884" t="s">
        <v>338</v>
      </c>
      <c r="C2884" t="s">
        <v>81</v>
      </c>
      <c r="D2884">
        <v>0</v>
      </c>
    </row>
    <row r="2885" spans="1:4" x14ac:dyDescent="0.25">
      <c r="A2885" s="279">
        <v>39223</v>
      </c>
      <c r="B2885" t="s">
        <v>338</v>
      </c>
      <c r="C2885" t="s">
        <v>82</v>
      </c>
      <c r="D2885">
        <v>0</v>
      </c>
    </row>
    <row r="2886" spans="1:4" x14ac:dyDescent="0.25">
      <c r="A2886" s="279">
        <v>39223</v>
      </c>
      <c r="B2886" t="s">
        <v>338</v>
      </c>
      <c r="C2886" t="s">
        <v>84</v>
      </c>
      <c r="D2886">
        <v>410</v>
      </c>
    </row>
    <row r="2887" spans="1:4" x14ac:dyDescent="0.25">
      <c r="A2887" s="279">
        <v>39223</v>
      </c>
      <c r="B2887" t="s">
        <v>338</v>
      </c>
      <c r="C2887" t="s">
        <v>83</v>
      </c>
      <c r="D2887">
        <v>0</v>
      </c>
    </row>
    <row r="2888" spans="1:4" x14ac:dyDescent="0.25">
      <c r="A2888" s="279">
        <v>39223</v>
      </c>
      <c r="B2888" t="s">
        <v>338</v>
      </c>
      <c r="C2888" t="s">
        <v>14</v>
      </c>
      <c r="D2888">
        <v>1040</v>
      </c>
    </row>
    <row r="2889" spans="1:4" x14ac:dyDescent="0.25">
      <c r="A2889" s="279">
        <v>39223</v>
      </c>
      <c r="B2889" t="s">
        <v>339</v>
      </c>
      <c r="C2889" t="s">
        <v>20</v>
      </c>
      <c r="D2889">
        <v>77234</v>
      </c>
    </row>
    <row r="2890" spans="1:4" x14ac:dyDescent="0.25">
      <c r="A2890" s="279">
        <v>39223</v>
      </c>
      <c r="B2890" t="s">
        <v>339</v>
      </c>
      <c r="C2890" t="s">
        <v>85</v>
      </c>
      <c r="D2890">
        <v>14067</v>
      </c>
    </row>
    <row r="2891" spans="1:4" x14ac:dyDescent="0.25">
      <c r="A2891" s="279">
        <v>39223</v>
      </c>
      <c r="B2891" t="s">
        <v>339</v>
      </c>
      <c r="C2891" t="s">
        <v>86</v>
      </c>
      <c r="D2891">
        <v>0</v>
      </c>
    </row>
    <row r="2892" spans="1:4" x14ac:dyDescent="0.25">
      <c r="A2892" s="279">
        <v>39223</v>
      </c>
      <c r="B2892" t="s">
        <v>339</v>
      </c>
      <c r="C2892" t="s">
        <v>87</v>
      </c>
      <c r="D2892">
        <v>190</v>
      </c>
    </row>
    <row r="2893" spans="1:4" x14ac:dyDescent="0.25">
      <c r="A2893" s="279">
        <v>39223</v>
      </c>
      <c r="B2893" t="s">
        <v>339</v>
      </c>
      <c r="C2893" t="s">
        <v>88</v>
      </c>
      <c r="D2893">
        <v>0</v>
      </c>
    </row>
    <row r="2894" spans="1:4" x14ac:dyDescent="0.25">
      <c r="A2894" s="279">
        <v>39223</v>
      </c>
      <c r="B2894" t="s">
        <v>339</v>
      </c>
      <c r="C2894" t="s">
        <v>14</v>
      </c>
      <c r="D2894">
        <v>1038</v>
      </c>
    </row>
    <row r="2895" spans="1:4" x14ac:dyDescent="0.25">
      <c r="A2895" s="279">
        <v>39224</v>
      </c>
      <c r="B2895" t="s">
        <v>338</v>
      </c>
      <c r="C2895" t="s">
        <v>81</v>
      </c>
      <c r="D2895">
        <v>0</v>
      </c>
    </row>
    <row r="2896" spans="1:4" x14ac:dyDescent="0.25">
      <c r="A2896" s="279">
        <v>39224</v>
      </c>
      <c r="B2896" t="s">
        <v>338</v>
      </c>
      <c r="C2896" t="s">
        <v>82</v>
      </c>
      <c r="D2896">
        <v>0</v>
      </c>
    </row>
    <row r="2897" spans="1:4" x14ac:dyDescent="0.25">
      <c r="A2897" s="279">
        <v>39224</v>
      </c>
      <c r="B2897" t="s">
        <v>338</v>
      </c>
      <c r="C2897" t="s">
        <v>84</v>
      </c>
      <c r="D2897">
        <v>350</v>
      </c>
    </row>
    <row r="2898" spans="1:4" x14ac:dyDescent="0.25">
      <c r="A2898" s="279">
        <v>39224</v>
      </c>
      <c r="B2898" t="s">
        <v>338</v>
      </c>
      <c r="C2898" t="s">
        <v>83</v>
      </c>
      <c r="D2898">
        <v>0</v>
      </c>
    </row>
    <row r="2899" spans="1:4" x14ac:dyDescent="0.25">
      <c r="A2899" s="279">
        <v>39224</v>
      </c>
      <c r="B2899" t="s">
        <v>338</v>
      </c>
      <c r="C2899" t="s">
        <v>14</v>
      </c>
      <c r="D2899">
        <v>1058</v>
      </c>
    </row>
    <row r="2900" spans="1:4" x14ac:dyDescent="0.25">
      <c r="A2900" s="279">
        <v>39224</v>
      </c>
      <c r="B2900" t="s">
        <v>339</v>
      </c>
      <c r="C2900" t="s">
        <v>20</v>
      </c>
      <c r="D2900">
        <v>80876</v>
      </c>
    </row>
    <row r="2901" spans="1:4" x14ac:dyDescent="0.25">
      <c r="A2901" s="279">
        <v>39224</v>
      </c>
      <c r="B2901" t="s">
        <v>339</v>
      </c>
      <c r="C2901" t="s">
        <v>85</v>
      </c>
      <c r="D2901">
        <v>7810</v>
      </c>
    </row>
    <row r="2902" spans="1:4" x14ac:dyDescent="0.25">
      <c r="A2902" s="279">
        <v>39224</v>
      </c>
      <c r="B2902" t="s">
        <v>339</v>
      </c>
      <c r="C2902" t="s">
        <v>86</v>
      </c>
      <c r="D2902">
        <v>0</v>
      </c>
    </row>
    <row r="2903" spans="1:4" x14ac:dyDescent="0.25">
      <c r="A2903" s="279">
        <v>39224</v>
      </c>
      <c r="B2903" t="s">
        <v>339</v>
      </c>
      <c r="C2903" t="s">
        <v>87</v>
      </c>
      <c r="D2903">
        <v>0</v>
      </c>
    </row>
    <row r="2904" spans="1:4" x14ac:dyDescent="0.25">
      <c r="A2904" s="279">
        <v>39224</v>
      </c>
      <c r="B2904" t="s">
        <v>339</v>
      </c>
      <c r="C2904" t="s">
        <v>88</v>
      </c>
      <c r="D2904">
        <v>0</v>
      </c>
    </row>
    <row r="2905" spans="1:4" x14ac:dyDescent="0.25">
      <c r="A2905" s="279">
        <v>39224</v>
      </c>
      <c r="B2905" t="s">
        <v>339</v>
      </c>
      <c r="C2905" t="s">
        <v>14</v>
      </c>
      <c r="D2905">
        <v>1039</v>
      </c>
    </row>
    <row r="2906" spans="1:4" x14ac:dyDescent="0.25">
      <c r="A2906" s="279">
        <v>39225</v>
      </c>
      <c r="B2906" t="s">
        <v>338</v>
      </c>
      <c r="C2906" t="s">
        <v>81</v>
      </c>
      <c r="D2906">
        <v>0</v>
      </c>
    </row>
    <row r="2907" spans="1:4" x14ac:dyDescent="0.25">
      <c r="A2907" s="279">
        <v>39225</v>
      </c>
      <c r="B2907" t="s">
        <v>338</v>
      </c>
      <c r="C2907" t="s">
        <v>82</v>
      </c>
      <c r="D2907">
        <v>0</v>
      </c>
    </row>
    <row r="2908" spans="1:4" x14ac:dyDescent="0.25">
      <c r="A2908" s="279">
        <v>39225</v>
      </c>
      <c r="B2908" t="s">
        <v>338</v>
      </c>
      <c r="C2908" t="s">
        <v>84</v>
      </c>
      <c r="D2908">
        <v>280</v>
      </c>
    </row>
    <row r="2909" spans="1:4" x14ac:dyDescent="0.25">
      <c r="A2909" s="279">
        <v>39225</v>
      </c>
      <c r="B2909" t="s">
        <v>338</v>
      </c>
      <c r="C2909" t="s">
        <v>83</v>
      </c>
      <c r="D2909">
        <v>0</v>
      </c>
    </row>
    <row r="2910" spans="1:4" x14ac:dyDescent="0.25">
      <c r="A2910" s="279">
        <v>39225</v>
      </c>
      <c r="B2910" t="s">
        <v>338</v>
      </c>
      <c r="C2910" t="s">
        <v>14</v>
      </c>
      <c r="D2910">
        <v>1048</v>
      </c>
    </row>
    <row r="2911" spans="1:4" x14ac:dyDescent="0.25">
      <c r="A2911" s="279">
        <v>39225</v>
      </c>
      <c r="B2911" t="s">
        <v>339</v>
      </c>
      <c r="C2911" t="s">
        <v>20</v>
      </c>
      <c r="D2911">
        <v>78333</v>
      </c>
    </row>
    <row r="2912" spans="1:4" x14ac:dyDescent="0.25">
      <c r="A2912" s="279">
        <v>39225</v>
      </c>
      <c r="B2912" t="s">
        <v>339</v>
      </c>
      <c r="C2912" t="s">
        <v>85</v>
      </c>
      <c r="D2912">
        <v>8661</v>
      </c>
    </row>
    <row r="2913" spans="1:4" x14ac:dyDescent="0.25">
      <c r="A2913" s="279">
        <v>39225</v>
      </c>
      <c r="B2913" t="s">
        <v>339</v>
      </c>
      <c r="C2913" t="s">
        <v>86</v>
      </c>
      <c r="D2913">
        <v>0</v>
      </c>
    </row>
    <row r="2914" spans="1:4" x14ac:dyDescent="0.25">
      <c r="A2914" s="279">
        <v>39225</v>
      </c>
      <c r="B2914" t="s">
        <v>339</v>
      </c>
      <c r="C2914" t="s">
        <v>87</v>
      </c>
      <c r="D2914">
        <v>0</v>
      </c>
    </row>
    <row r="2915" spans="1:4" x14ac:dyDescent="0.25">
      <c r="A2915" s="279">
        <v>39225</v>
      </c>
      <c r="B2915" t="s">
        <v>339</v>
      </c>
      <c r="C2915" t="s">
        <v>88</v>
      </c>
      <c r="D2915">
        <v>0</v>
      </c>
    </row>
    <row r="2916" spans="1:4" x14ac:dyDescent="0.25">
      <c r="A2916" s="279">
        <v>39225</v>
      </c>
      <c r="B2916" t="s">
        <v>339</v>
      </c>
      <c r="C2916" t="s">
        <v>14</v>
      </c>
      <c r="D2916">
        <v>1039</v>
      </c>
    </row>
    <row r="2917" spans="1:4" x14ac:dyDescent="0.25">
      <c r="A2917" s="279">
        <v>39226</v>
      </c>
      <c r="B2917" t="s">
        <v>338</v>
      </c>
      <c r="C2917" t="s">
        <v>81</v>
      </c>
      <c r="D2917">
        <v>0</v>
      </c>
    </row>
    <row r="2918" spans="1:4" x14ac:dyDescent="0.25">
      <c r="A2918" s="279">
        <v>39226</v>
      </c>
      <c r="B2918" t="s">
        <v>338</v>
      </c>
      <c r="C2918" t="s">
        <v>82</v>
      </c>
      <c r="D2918">
        <v>0</v>
      </c>
    </row>
    <row r="2919" spans="1:4" x14ac:dyDescent="0.25">
      <c r="A2919" s="279">
        <v>39226</v>
      </c>
      <c r="B2919" t="s">
        <v>338</v>
      </c>
      <c r="C2919" t="s">
        <v>84</v>
      </c>
      <c r="D2919">
        <v>280</v>
      </c>
    </row>
    <row r="2920" spans="1:4" x14ac:dyDescent="0.25">
      <c r="A2920" s="279">
        <v>39226</v>
      </c>
      <c r="B2920" t="s">
        <v>338</v>
      </c>
      <c r="C2920" t="s">
        <v>83</v>
      </c>
      <c r="D2920">
        <v>0</v>
      </c>
    </row>
    <row r="2921" spans="1:4" x14ac:dyDescent="0.25">
      <c r="A2921" s="279">
        <v>39226</v>
      </c>
      <c r="B2921" t="s">
        <v>338</v>
      </c>
      <c r="C2921" t="s">
        <v>14</v>
      </c>
      <c r="D2921">
        <v>1047</v>
      </c>
    </row>
    <row r="2922" spans="1:4" x14ac:dyDescent="0.25">
      <c r="A2922" s="279">
        <v>39226</v>
      </c>
      <c r="B2922" t="s">
        <v>339</v>
      </c>
      <c r="C2922" t="s">
        <v>20</v>
      </c>
      <c r="D2922">
        <v>73050</v>
      </c>
    </row>
    <row r="2923" spans="1:4" x14ac:dyDescent="0.25">
      <c r="A2923" s="279">
        <v>39226</v>
      </c>
      <c r="B2923" t="s">
        <v>339</v>
      </c>
      <c r="C2923" t="s">
        <v>85</v>
      </c>
      <c r="D2923">
        <v>8203</v>
      </c>
    </row>
    <row r="2924" spans="1:4" x14ac:dyDescent="0.25">
      <c r="A2924" s="279">
        <v>39226</v>
      </c>
      <c r="B2924" t="s">
        <v>339</v>
      </c>
      <c r="C2924" t="s">
        <v>86</v>
      </c>
      <c r="D2924">
        <v>0</v>
      </c>
    </row>
    <row r="2925" spans="1:4" x14ac:dyDescent="0.25">
      <c r="A2925" s="279">
        <v>39226</v>
      </c>
      <c r="B2925" t="s">
        <v>339</v>
      </c>
      <c r="C2925" t="s">
        <v>87</v>
      </c>
      <c r="D2925">
        <v>0</v>
      </c>
    </row>
    <row r="2926" spans="1:4" x14ac:dyDescent="0.25">
      <c r="A2926" s="279">
        <v>39226</v>
      </c>
      <c r="B2926" t="s">
        <v>339</v>
      </c>
      <c r="C2926" t="s">
        <v>88</v>
      </c>
      <c r="D2926">
        <v>0</v>
      </c>
    </row>
    <row r="2927" spans="1:4" x14ac:dyDescent="0.25">
      <c r="A2927" s="279">
        <v>39226</v>
      </c>
      <c r="B2927" t="s">
        <v>339</v>
      </c>
      <c r="C2927" t="s">
        <v>14</v>
      </c>
      <c r="D2927">
        <v>1037</v>
      </c>
    </row>
    <row r="2928" spans="1:4" x14ac:dyDescent="0.25">
      <c r="A2928" s="279">
        <v>39227</v>
      </c>
      <c r="B2928" t="s">
        <v>338</v>
      </c>
      <c r="C2928" t="s">
        <v>81</v>
      </c>
      <c r="D2928">
        <v>0</v>
      </c>
    </row>
    <row r="2929" spans="1:4" x14ac:dyDescent="0.25">
      <c r="A2929" s="279">
        <v>39227</v>
      </c>
      <c r="B2929" t="s">
        <v>338</v>
      </c>
      <c r="C2929" t="s">
        <v>82</v>
      </c>
      <c r="D2929">
        <v>0</v>
      </c>
    </row>
    <row r="2930" spans="1:4" x14ac:dyDescent="0.25">
      <c r="A2930" s="279">
        <v>39227</v>
      </c>
      <c r="B2930" t="s">
        <v>338</v>
      </c>
      <c r="C2930" t="s">
        <v>84</v>
      </c>
      <c r="D2930">
        <v>250</v>
      </c>
    </row>
    <row r="2931" spans="1:4" x14ac:dyDescent="0.25">
      <c r="A2931" s="279">
        <v>39227</v>
      </c>
      <c r="B2931" t="s">
        <v>338</v>
      </c>
      <c r="C2931" t="s">
        <v>83</v>
      </c>
      <c r="D2931">
        <v>0</v>
      </c>
    </row>
    <row r="2932" spans="1:4" x14ac:dyDescent="0.25">
      <c r="A2932" s="279">
        <v>39227</v>
      </c>
      <c r="B2932" t="s">
        <v>338</v>
      </c>
      <c r="C2932" t="s">
        <v>14</v>
      </c>
      <c r="D2932">
        <v>1043</v>
      </c>
    </row>
    <row r="2933" spans="1:4" x14ac:dyDescent="0.25">
      <c r="A2933" s="279">
        <v>39227</v>
      </c>
      <c r="B2933" t="s">
        <v>339</v>
      </c>
      <c r="C2933" t="s">
        <v>20</v>
      </c>
      <c r="D2933">
        <v>65762</v>
      </c>
    </row>
    <row r="2934" spans="1:4" x14ac:dyDescent="0.25">
      <c r="A2934" s="279">
        <v>39227</v>
      </c>
      <c r="B2934" t="s">
        <v>339</v>
      </c>
      <c r="C2934" t="s">
        <v>85</v>
      </c>
      <c r="D2934">
        <v>7248</v>
      </c>
    </row>
    <row r="2935" spans="1:4" x14ac:dyDescent="0.25">
      <c r="A2935" s="279">
        <v>39227</v>
      </c>
      <c r="B2935" t="s">
        <v>339</v>
      </c>
      <c r="C2935" t="s">
        <v>86</v>
      </c>
      <c r="D2935">
        <v>0</v>
      </c>
    </row>
    <row r="2936" spans="1:4" x14ac:dyDescent="0.25">
      <c r="A2936" s="279">
        <v>39227</v>
      </c>
      <c r="B2936" t="s">
        <v>339</v>
      </c>
      <c r="C2936" t="s">
        <v>87</v>
      </c>
      <c r="D2936">
        <v>0</v>
      </c>
    </row>
    <row r="2937" spans="1:4" x14ac:dyDescent="0.25">
      <c r="A2937" s="279">
        <v>39227</v>
      </c>
      <c r="B2937" t="s">
        <v>339</v>
      </c>
      <c r="C2937" t="s">
        <v>88</v>
      </c>
      <c r="D2937">
        <v>0</v>
      </c>
    </row>
    <row r="2938" spans="1:4" x14ac:dyDescent="0.25">
      <c r="A2938" s="279">
        <v>39227</v>
      </c>
      <c r="B2938" t="s">
        <v>339</v>
      </c>
      <c r="C2938" t="s">
        <v>14</v>
      </c>
      <c r="D2938">
        <v>1036</v>
      </c>
    </row>
    <row r="2939" spans="1:4" x14ac:dyDescent="0.25">
      <c r="A2939" s="279">
        <v>39228</v>
      </c>
      <c r="B2939" t="s">
        <v>338</v>
      </c>
      <c r="C2939" t="s">
        <v>81</v>
      </c>
      <c r="D2939">
        <v>0</v>
      </c>
    </row>
    <row r="2940" spans="1:4" x14ac:dyDescent="0.25">
      <c r="A2940" s="279">
        <v>39228</v>
      </c>
      <c r="B2940" t="s">
        <v>338</v>
      </c>
      <c r="C2940" t="s">
        <v>82</v>
      </c>
      <c r="D2940">
        <v>0</v>
      </c>
    </row>
    <row r="2941" spans="1:4" x14ac:dyDescent="0.25">
      <c r="A2941" s="279">
        <v>39228</v>
      </c>
      <c r="B2941" t="s">
        <v>338</v>
      </c>
      <c r="C2941" t="s">
        <v>84</v>
      </c>
      <c r="D2941">
        <v>260</v>
      </c>
    </row>
    <row r="2942" spans="1:4" x14ac:dyDescent="0.25">
      <c r="A2942" s="279">
        <v>39228</v>
      </c>
      <c r="B2942" t="s">
        <v>338</v>
      </c>
      <c r="C2942" t="s">
        <v>83</v>
      </c>
      <c r="D2942">
        <v>0</v>
      </c>
    </row>
    <row r="2943" spans="1:4" x14ac:dyDescent="0.25">
      <c r="A2943" s="279">
        <v>39228</v>
      </c>
      <c r="B2943" t="s">
        <v>338</v>
      </c>
      <c r="C2943" t="s">
        <v>14</v>
      </c>
      <c r="D2943">
        <v>1045</v>
      </c>
    </row>
    <row r="2944" spans="1:4" x14ac:dyDescent="0.25">
      <c r="A2944" s="279">
        <v>39228</v>
      </c>
      <c r="B2944" t="s">
        <v>339</v>
      </c>
      <c r="C2944" t="s">
        <v>20</v>
      </c>
      <c r="D2944">
        <v>61484</v>
      </c>
    </row>
    <row r="2945" spans="1:4" x14ac:dyDescent="0.25">
      <c r="A2945" s="279">
        <v>39228</v>
      </c>
      <c r="B2945" t="s">
        <v>339</v>
      </c>
      <c r="C2945" t="s">
        <v>85</v>
      </c>
      <c r="D2945">
        <v>8291</v>
      </c>
    </row>
    <row r="2946" spans="1:4" x14ac:dyDescent="0.25">
      <c r="A2946" s="279">
        <v>39228</v>
      </c>
      <c r="B2946" t="s">
        <v>339</v>
      </c>
      <c r="C2946" t="s">
        <v>86</v>
      </c>
      <c r="D2946">
        <v>0</v>
      </c>
    </row>
    <row r="2947" spans="1:4" x14ac:dyDescent="0.25">
      <c r="A2947" s="279">
        <v>39228</v>
      </c>
      <c r="B2947" t="s">
        <v>339</v>
      </c>
      <c r="C2947" t="s">
        <v>87</v>
      </c>
      <c r="D2947">
        <v>0</v>
      </c>
    </row>
    <row r="2948" spans="1:4" x14ac:dyDescent="0.25">
      <c r="A2948" s="279">
        <v>39228</v>
      </c>
      <c r="B2948" t="s">
        <v>339</v>
      </c>
      <c r="C2948" t="s">
        <v>88</v>
      </c>
      <c r="D2948">
        <v>0</v>
      </c>
    </row>
    <row r="2949" spans="1:4" x14ac:dyDescent="0.25">
      <c r="A2949" s="279">
        <v>39228</v>
      </c>
      <c r="B2949" t="s">
        <v>339</v>
      </c>
      <c r="C2949" t="s">
        <v>14</v>
      </c>
      <c r="D2949">
        <v>1035</v>
      </c>
    </row>
    <row r="2950" spans="1:4" x14ac:dyDescent="0.25">
      <c r="A2950" s="279">
        <v>39229</v>
      </c>
      <c r="B2950" t="s">
        <v>338</v>
      </c>
      <c r="C2950" t="s">
        <v>81</v>
      </c>
      <c r="D2950">
        <v>0</v>
      </c>
    </row>
    <row r="2951" spans="1:4" x14ac:dyDescent="0.25">
      <c r="A2951" s="279">
        <v>39229</v>
      </c>
      <c r="B2951" t="s">
        <v>338</v>
      </c>
      <c r="C2951" t="s">
        <v>82</v>
      </c>
      <c r="D2951">
        <v>0</v>
      </c>
    </row>
    <row r="2952" spans="1:4" x14ac:dyDescent="0.25">
      <c r="A2952" s="279">
        <v>39229</v>
      </c>
      <c r="B2952" t="s">
        <v>338</v>
      </c>
      <c r="C2952" t="s">
        <v>84</v>
      </c>
      <c r="D2952">
        <v>250</v>
      </c>
    </row>
    <row r="2953" spans="1:4" x14ac:dyDescent="0.25">
      <c r="A2953" s="279">
        <v>39229</v>
      </c>
      <c r="B2953" t="s">
        <v>338</v>
      </c>
      <c r="C2953" t="s">
        <v>83</v>
      </c>
      <c r="D2953">
        <v>0</v>
      </c>
    </row>
    <row r="2954" spans="1:4" x14ac:dyDescent="0.25">
      <c r="A2954" s="279">
        <v>39229</v>
      </c>
      <c r="B2954" t="s">
        <v>338</v>
      </c>
      <c r="C2954" t="s">
        <v>14</v>
      </c>
      <c r="D2954">
        <v>1045</v>
      </c>
    </row>
    <row r="2955" spans="1:4" x14ac:dyDescent="0.25">
      <c r="A2955" s="279">
        <v>39229</v>
      </c>
      <c r="B2955" t="s">
        <v>339</v>
      </c>
      <c r="C2955" t="s">
        <v>20</v>
      </c>
      <c r="D2955">
        <v>59252</v>
      </c>
    </row>
    <row r="2956" spans="1:4" x14ac:dyDescent="0.25">
      <c r="A2956" s="279">
        <v>39229</v>
      </c>
      <c r="B2956" t="s">
        <v>339</v>
      </c>
      <c r="C2956" t="s">
        <v>85</v>
      </c>
      <c r="D2956">
        <v>8865</v>
      </c>
    </row>
    <row r="2957" spans="1:4" x14ac:dyDescent="0.25">
      <c r="A2957" s="279">
        <v>39229</v>
      </c>
      <c r="B2957" t="s">
        <v>339</v>
      </c>
      <c r="C2957" t="s">
        <v>86</v>
      </c>
      <c r="D2957">
        <v>0</v>
      </c>
    </row>
    <row r="2958" spans="1:4" x14ac:dyDescent="0.25">
      <c r="A2958" s="279">
        <v>39229</v>
      </c>
      <c r="B2958" t="s">
        <v>339</v>
      </c>
      <c r="C2958" t="s">
        <v>87</v>
      </c>
      <c r="D2958">
        <v>0</v>
      </c>
    </row>
    <row r="2959" spans="1:4" x14ac:dyDescent="0.25">
      <c r="A2959" s="279">
        <v>39229</v>
      </c>
      <c r="B2959" t="s">
        <v>339</v>
      </c>
      <c r="C2959" t="s">
        <v>88</v>
      </c>
      <c r="D2959">
        <v>0</v>
      </c>
    </row>
    <row r="2960" spans="1:4" x14ac:dyDescent="0.25">
      <c r="A2960" s="279">
        <v>39229</v>
      </c>
      <c r="B2960" t="s">
        <v>339</v>
      </c>
      <c r="C2960" t="s">
        <v>14</v>
      </c>
      <c r="D2960">
        <v>1051</v>
      </c>
    </row>
    <row r="2961" spans="1:4" x14ac:dyDescent="0.25">
      <c r="A2961" s="279">
        <v>39230</v>
      </c>
      <c r="B2961" t="s">
        <v>338</v>
      </c>
      <c r="C2961" t="s">
        <v>81</v>
      </c>
      <c r="D2961">
        <v>0</v>
      </c>
    </row>
    <row r="2962" spans="1:4" x14ac:dyDescent="0.25">
      <c r="A2962" s="279">
        <v>39230</v>
      </c>
      <c r="B2962" t="s">
        <v>338</v>
      </c>
      <c r="C2962" t="s">
        <v>82</v>
      </c>
      <c r="D2962">
        <v>0</v>
      </c>
    </row>
    <row r="2963" spans="1:4" x14ac:dyDescent="0.25">
      <c r="A2963" s="279">
        <v>39230</v>
      </c>
      <c r="B2963" t="s">
        <v>338</v>
      </c>
      <c r="C2963" t="s">
        <v>84</v>
      </c>
      <c r="D2963">
        <v>290</v>
      </c>
    </row>
    <row r="2964" spans="1:4" x14ac:dyDescent="0.25">
      <c r="A2964" s="279">
        <v>39230</v>
      </c>
      <c r="B2964" t="s">
        <v>338</v>
      </c>
      <c r="C2964" t="s">
        <v>83</v>
      </c>
      <c r="D2964">
        <v>0</v>
      </c>
    </row>
    <row r="2965" spans="1:4" x14ac:dyDescent="0.25">
      <c r="A2965" s="279">
        <v>39230</v>
      </c>
      <c r="B2965" t="s">
        <v>338</v>
      </c>
      <c r="C2965" t="s">
        <v>14</v>
      </c>
      <c r="D2965">
        <v>1045</v>
      </c>
    </row>
    <row r="2966" spans="1:4" x14ac:dyDescent="0.25">
      <c r="A2966" s="279">
        <v>39230</v>
      </c>
      <c r="B2966" t="s">
        <v>339</v>
      </c>
      <c r="C2966" t="s">
        <v>20</v>
      </c>
      <c r="D2966">
        <v>67042</v>
      </c>
    </row>
    <row r="2967" spans="1:4" x14ac:dyDescent="0.25">
      <c r="A2967" s="279">
        <v>39230</v>
      </c>
      <c r="B2967" t="s">
        <v>339</v>
      </c>
      <c r="C2967" t="s">
        <v>85</v>
      </c>
      <c r="D2967">
        <v>9492</v>
      </c>
    </row>
    <row r="2968" spans="1:4" x14ac:dyDescent="0.25">
      <c r="A2968" s="279">
        <v>39230</v>
      </c>
      <c r="B2968" t="s">
        <v>339</v>
      </c>
      <c r="C2968" t="s">
        <v>86</v>
      </c>
      <c r="D2968">
        <v>0</v>
      </c>
    </row>
    <row r="2969" spans="1:4" x14ac:dyDescent="0.25">
      <c r="A2969" s="279">
        <v>39230</v>
      </c>
      <c r="B2969" t="s">
        <v>339</v>
      </c>
      <c r="C2969" t="s">
        <v>87</v>
      </c>
      <c r="D2969">
        <v>0</v>
      </c>
    </row>
    <row r="2970" spans="1:4" x14ac:dyDescent="0.25">
      <c r="A2970" s="279">
        <v>39230</v>
      </c>
      <c r="B2970" t="s">
        <v>339</v>
      </c>
      <c r="C2970" t="s">
        <v>88</v>
      </c>
      <c r="D2970">
        <v>0</v>
      </c>
    </row>
    <row r="2971" spans="1:4" x14ac:dyDescent="0.25">
      <c r="A2971" s="279">
        <v>39230</v>
      </c>
      <c r="B2971" t="s">
        <v>339</v>
      </c>
      <c r="C2971" t="s">
        <v>14</v>
      </c>
      <c r="D2971">
        <v>1052</v>
      </c>
    </row>
    <row r="2972" spans="1:4" x14ac:dyDescent="0.25">
      <c r="A2972" s="279">
        <v>39231</v>
      </c>
      <c r="B2972" t="s">
        <v>338</v>
      </c>
      <c r="C2972" t="s">
        <v>81</v>
      </c>
      <c r="D2972">
        <v>0</v>
      </c>
    </row>
    <row r="2973" spans="1:4" x14ac:dyDescent="0.25">
      <c r="A2973" s="279">
        <v>39231</v>
      </c>
      <c r="B2973" t="s">
        <v>338</v>
      </c>
      <c r="C2973" t="s">
        <v>82</v>
      </c>
      <c r="D2973">
        <v>0</v>
      </c>
    </row>
    <row r="2974" spans="1:4" x14ac:dyDescent="0.25">
      <c r="A2974" s="279">
        <v>39231</v>
      </c>
      <c r="B2974" t="s">
        <v>338</v>
      </c>
      <c r="C2974" t="s">
        <v>84</v>
      </c>
      <c r="D2974">
        <v>270</v>
      </c>
    </row>
    <row r="2975" spans="1:4" x14ac:dyDescent="0.25">
      <c r="A2975" s="279">
        <v>39231</v>
      </c>
      <c r="B2975" t="s">
        <v>338</v>
      </c>
      <c r="C2975" t="s">
        <v>83</v>
      </c>
      <c r="D2975">
        <v>0</v>
      </c>
    </row>
    <row r="2976" spans="1:4" x14ac:dyDescent="0.25">
      <c r="A2976" s="279">
        <v>39231</v>
      </c>
      <c r="B2976" t="s">
        <v>338</v>
      </c>
      <c r="C2976" t="s">
        <v>14</v>
      </c>
      <c r="D2976">
        <v>1038</v>
      </c>
    </row>
    <row r="2977" spans="1:4" x14ac:dyDescent="0.25">
      <c r="A2977" s="279">
        <v>39231</v>
      </c>
      <c r="B2977" t="s">
        <v>339</v>
      </c>
      <c r="C2977" t="s">
        <v>20</v>
      </c>
      <c r="D2977">
        <v>69508</v>
      </c>
    </row>
    <row r="2978" spans="1:4" x14ac:dyDescent="0.25">
      <c r="A2978" s="279">
        <v>39231</v>
      </c>
      <c r="B2978" t="s">
        <v>339</v>
      </c>
      <c r="C2978" t="s">
        <v>85</v>
      </c>
      <c r="D2978">
        <v>9810</v>
      </c>
    </row>
    <row r="2979" spans="1:4" x14ac:dyDescent="0.25">
      <c r="A2979" s="279">
        <v>39231</v>
      </c>
      <c r="B2979" t="s">
        <v>339</v>
      </c>
      <c r="C2979" t="s">
        <v>86</v>
      </c>
      <c r="D2979">
        <v>0</v>
      </c>
    </row>
    <row r="2980" spans="1:4" x14ac:dyDescent="0.25">
      <c r="A2980" s="279">
        <v>39231</v>
      </c>
      <c r="B2980" t="s">
        <v>339</v>
      </c>
      <c r="C2980" t="s">
        <v>87</v>
      </c>
      <c r="D2980">
        <v>0</v>
      </c>
    </row>
    <row r="2981" spans="1:4" x14ac:dyDescent="0.25">
      <c r="A2981" s="279">
        <v>39231</v>
      </c>
      <c r="B2981" t="s">
        <v>339</v>
      </c>
      <c r="C2981" t="s">
        <v>88</v>
      </c>
      <c r="D2981">
        <v>0</v>
      </c>
    </row>
    <row r="2982" spans="1:4" x14ac:dyDescent="0.25">
      <c r="A2982" s="279">
        <v>39231</v>
      </c>
      <c r="B2982" t="s">
        <v>339</v>
      </c>
      <c r="C2982" t="s">
        <v>14</v>
      </c>
      <c r="D2982">
        <v>1050</v>
      </c>
    </row>
    <row r="2983" spans="1:4" x14ac:dyDescent="0.25">
      <c r="A2983" s="279">
        <v>39232</v>
      </c>
      <c r="B2983" t="s">
        <v>338</v>
      </c>
      <c r="C2983" t="s">
        <v>81</v>
      </c>
      <c r="D2983">
        <v>0</v>
      </c>
    </row>
    <row r="2984" spans="1:4" x14ac:dyDescent="0.25">
      <c r="A2984" s="279">
        <v>39232</v>
      </c>
      <c r="B2984" t="s">
        <v>338</v>
      </c>
      <c r="C2984" t="s">
        <v>82</v>
      </c>
      <c r="D2984">
        <v>0</v>
      </c>
    </row>
    <row r="2985" spans="1:4" x14ac:dyDescent="0.25">
      <c r="A2985" s="279">
        <v>39232</v>
      </c>
      <c r="B2985" t="s">
        <v>338</v>
      </c>
      <c r="C2985" t="s">
        <v>84</v>
      </c>
      <c r="D2985">
        <v>240</v>
      </c>
    </row>
    <row r="2986" spans="1:4" x14ac:dyDescent="0.25">
      <c r="A2986" s="279">
        <v>39232</v>
      </c>
      <c r="B2986" t="s">
        <v>338</v>
      </c>
      <c r="C2986" t="s">
        <v>83</v>
      </c>
      <c r="D2986">
        <v>0</v>
      </c>
    </row>
    <row r="2987" spans="1:4" x14ac:dyDescent="0.25">
      <c r="A2987" s="279">
        <v>39232</v>
      </c>
      <c r="B2987" t="s">
        <v>338</v>
      </c>
      <c r="C2987" t="s">
        <v>14</v>
      </c>
      <c r="D2987">
        <v>1038</v>
      </c>
    </row>
    <row r="2988" spans="1:4" x14ac:dyDescent="0.25">
      <c r="A2988" s="279">
        <v>39232</v>
      </c>
      <c r="B2988" t="s">
        <v>339</v>
      </c>
      <c r="C2988" t="s">
        <v>20</v>
      </c>
      <c r="D2988">
        <v>68476</v>
      </c>
    </row>
    <row r="2989" spans="1:4" x14ac:dyDescent="0.25">
      <c r="A2989" s="279">
        <v>39232</v>
      </c>
      <c r="B2989" t="s">
        <v>339</v>
      </c>
      <c r="C2989" t="s">
        <v>85</v>
      </c>
      <c r="D2989">
        <v>8550</v>
      </c>
    </row>
    <row r="2990" spans="1:4" x14ac:dyDescent="0.25">
      <c r="A2990" s="279">
        <v>39232</v>
      </c>
      <c r="B2990" t="s">
        <v>339</v>
      </c>
      <c r="C2990" t="s">
        <v>86</v>
      </c>
      <c r="D2990">
        <v>0</v>
      </c>
    </row>
    <row r="2991" spans="1:4" x14ac:dyDescent="0.25">
      <c r="A2991" s="279">
        <v>39232</v>
      </c>
      <c r="B2991" t="s">
        <v>339</v>
      </c>
      <c r="C2991" t="s">
        <v>87</v>
      </c>
      <c r="D2991">
        <v>0</v>
      </c>
    </row>
    <row r="2992" spans="1:4" x14ac:dyDescent="0.25">
      <c r="A2992" s="279">
        <v>39232</v>
      </c>
      <c r="B2992" t="s">
        <v>339</v>
      </c>
      <c r="C2992" t="s">
        <v>88</v>
      </c>
      <c r="D2992">
        <v>0</v>
      </c>
    </row>
    <row r="2993" spans="1:4" x14ac:dyDescent="0.25">
      <c r="A2993" s="279">
        <v>39232</v>
      </c>
      <c r="B2993" t="s">
        <v>339</v>
      </c>
      <c r="C2993" t="s">
        <v>14</v>
      </c>
      <c r="D2993">
        <v>1048</v>
      </c>
    </row>
    <row r="2994" spans="1:4" x14ac:dyDescent="0.25">
      <c r="A2994" s="279">
        <v>39233</v>
      </c>
      <c r="B2994" t="s">
        <v>338</v>
      </c>
      <c r="C2994" t="s">
        <v>81</v>
      </c>
      <c r="D2994">
        <v>0</v>
      </c>
    </row>
    <row r="2995" spans="1:4" x14ac:dyDescent="0.25">
      <c r="A2995" s="279">
        <v>39233</v>
      </c>
      <c r="B2995" t="s">
        <v>338</v>
      </c>
      <c r="C2995" t="s">
        <v>82</v>
      </c>
      <c r="D2995">
        <v>0</v>
      </c>
    </row>
    <row r="2996" spans="1:4" x14ac:dyDescent="0.25">
      <c r="A2996" s="279">
        <v>39233</v>
      </c>
      <c r="B2996" t="s">
        <v>338</v>
      </c>
      <c r="C2996" t="s">
        <v>84</v>
      </c>
      <c r="D2996">
        <v>240</v>
      </c>
    </row>
    <row r="2997" spans="1:4" x14ac:dyDescent="0.25">
      <c r="A2997" s="279">
        <v>39233</v>
      </c>
      <c r="B2997" t="s">
        <v>338</v>
      </c>
      <c r="C2997" t="s">
        <v>83</v>
      </c>
      <c r="D2997">
        <v>0</v>
      </c>
    </row>
    <row r="2998" spans="1:4" x14ac:dyDescent="0.25">
      <c r="A2998" s="279">
        <v>39233</v>
      </c>
      <c r="B2998" t="s">
        <v>338</v>
      </c>
      <c r="C2998" t="s">
        <v>14</v>
      </c>
      <c r="D2998">
        <v>1038</v>
      </c>
    </row>
    <row r="2999" spans="1:4" x14ac:dyDescent="0.25">
      <c r="A2999" s="279">
        <v>39233</v>
      </c>
      <c r="B2999" t="s">
        <v>339</v>
      </c>
      <c r="C2999" t="s">
        <v>20</v>
      </c>
      <c r="D2999">
        <v>71387</v>
      </c>
    </row>
    <row r="3000" spans="1:4" x14ac:dyDescent="0.25">
      <c r="A3000" s="279">
        <v>39233</v>
      </c>
      <c r="B3000" t="s">
        <v>339</v>
      </c>
      <c r="C3000" t="s">
        <v>85</v>
      </c>
      <c r="D3000">
        <v>4133</v>
      </c>
    </row>
    <row r="3001" spans="1:4" x14ac:dyDescent="0.25">
      <c r="A3001" s="279">
        <v>39233</v>
      </c>
      <c r="B3001" t="s">
        <v>339</v>
      </c>
      <c r="C3001" t="s">
        <v>86</v>
      </c>
      <c r="D3001">
        <v>0</v>
      </c>
    </row>
    <row r="3002" spans="1:4" x14ac:dyDescent="0.25">
      <c r="A3002" s="279">
        <v>39233</v>
      </c>
      <c r="B3002" t="s">
        <v>339</v>
      </c>
      <c r="C3002" t="s">
        <v>87</v>
      </c>
      <c r="D3002">
        <v>0</v>
      </c>
    </row>
    <row r="3003" spans="1:4" x14ac:dyDescent="0.25">
      <c r="A3003" s="279">
        <v>39233</v>
      </c>
      <c r="B3003" t="s">
        <v>339</v>
      </c>
      <c r="C3003" t="s">
        <v>88</v>
      </c>
      <c r="D3003">
        <v>0</v>
      </c>
    </row>
    <row r="3004" spans="1:4" x14ac:dyDescent="0.25">
      <c r="A3004" s="279">
        <v>39233</v>
      </c>
      <c r="B3004" t="s">
        <v>339</v>
      </c>
      <c r="C3004" t="s">
        <v>14</v>
      </c>
      <c r="D3004">
        <v>1037</v>
      </c>
    </row>
    <row r="3005" spans="1:4" x14ac:dyDescent="0.25">
      <c r="A3005" s="279">
        <v>39234</v>
      </c>
      <c r="B3005" t="s">
        <v>338</v>
      </c>
      <c r="C3005" t="s">
        <v>81</v>
      </c>
      <c r="D3005">
        <v>0</v>
      </c>
    </row>
    <row r="3006" spans="1:4" x14ac:dyDescent="0.25">
      <c r="A3006" s="279">
        <v>39234</v>
      </c>
      <c r="B3006" t="s">
        <v>338</v>
      </c>
      <c r="C3006" t="s">
        <v>82</v>
      </c>
      <c r="D3006">
        <v>0</v>
      </c>
    </row>
    <row r="3007" spans="1:4" x14ac:dyDescent="0.25">
      <c r="A3007" s="279">
        <v>39234</v>
      </c>
      <c r="B3007" t="s">
        <v>338</v>
      </c>
      <c r="C3007" t="s">
        <v>84</v>
      </c>
      <c r="D3007">
        <v>260</v>
      </c>
    </row>
    <row r="3008" spans="1:4" x14ac:dyDescent="0.25">
      <c r="A3008" s="279">
        <v>39234</v>
      </c>
      <c r="B3008" t="s">
        <v>338</v>
      </c>
      <c r="C3008" t="s">
        <v>83</v>
      </c>
      <c r="D3008">
        <v>0</v>
      </c>
    </row>
    <row r="3009" spans="1:4" x14ac:dyDescent="0.25">
      <c r="A3009" s="279">
        <v>39234</v>
      </c>
      <c r="B3009" t="s">
        <v>338</v>
      </c>
      <c r="C3009" t="s">
        <v>14</v>
      </c>
      <c r="D3009">
        <v>1036</v>
      </c>
    </row>
    <row r="3010" spans="1:4" x14ac:dyDescent="0.25">
      <c r="A3010" s="279">
        <v>39234</v>
      </c>
      <c r="B3010" t="s">
        <v>339</v>
      </c>
      <c r="C3010" t="s">
        <v>20</v>
      </c>
      <c r="D3010">
        <v>64428</v>
      </c>
    </row>
    <row r="3011" spans="1:4" x14ac:dyDescent="0.25">
      <c r="A3011" s="279">
        <v>39234</v>
      </c>
      <c r="B3011" t="s">
        <v>339</v>
      </c>
      <c r="C3011" t="s">
        <v>85</v>
      </c>
      <c r="D3011">
        <v>5519</v>
      </c>
    </row>
    <row r="3012" spans="1:4" x14ac:dyDescent="0.25">
      <c r="A3012" s="279">
        <v>39234</v>
      </c>
      <c r="B3012" t="s">
        <v>339</v>
      </c>
      <c r="C3012" t="s">
        <v>86</v>
      </c>
      <c r="D3012">
        <v>0</v>
      </c>
    </row>
    <row r="3013" spans="1:4" x14ac:dyDescent="0.25">
      <c r="A3013" s="279">
        <v>39234</v>
      </c>
      <c r="B3013" t="s">
        <v>339</v>
      </c>
      <c r="C3013" t="s">
        <v>87</v>
      </c>
      <c r="D3013">
        <v>0</v>
      </c>
    </row>
    <row r="3014" spans="1:4" x14ac:dyDescent="0.25">
      <c r="A3014" s="279">
        <v>39234</v>
      </c>
      <c r="B3014" t="s">
        <v>339</v>
      </c>
      <c r="C3014" t="s">
        <v>88</v>
      </c>
      <c r="D3014">
        <v>0</v>
      </c>
    </row>
    <row r="3015" spans="1:4" x14ac:dyDescent="0.25">
      <c r="A3015" s="279">
        <v>39234</v>
      </c>
      <c r="B3015" t="s">
        <v>339</v>
      </c>
      <c r="C3015" t="s">
        <v>14</v>
      </c>
      <c r="D3015">
        <v>1036</v>
      </c>
    </row>
    <row r="3016" spans="1:4" x14ac:dyDescent="0.25">
      <c r="A3016" s="279">
        <v>39235</v>
      </c>
      <c r="B3016" t="s">
        <v>338</v>
      </c>
      <c r="C3016" t="s">
        <v>81</v>
      </c>
      <c r="D3016">
        <v>0</v>
      </c>
    </row>
    <row r="3017" spans="1:4" x14ac:dyDescent="0.25">
      <c r="A3017" s="279">
        <v>39235</v>
      </c>
      <c r="B3017" t="s">
        <v>338</v>
      </c>
      <c r="C3017" t="s">
        <v>82</v>
      </c>
      <c r="D3017">
        <v>0</v>
      </c>
    </row>
    <row r="3018" spans="1:4" x14ac:dyDescent="0.25">
      <c r="A3018" s="279">
        <v>39235</v>
      </c>
      <c r="B3018" t="s">
        <v>338</v>
      </c>
      <c r="C3018" t="s">
        <v>84</v>
      </c>
      <c r="D3018">
        <v>200</v>
      </c>
    </row>
    <row r="3019" spans="1:4" x14ac:dyDescent="0.25">
      <c r="A3019" s="279">
        <v>39235</v>
      </c>
      <c r="B3019" t="s">
        <v>338</v>
      </c>
      <c r="C3019" t="s">
        <v>83</v>
      </c>
      <c r="D3019">
        <v>0</v>
      </c>
    </row>
    <row r="3020" spans="1:4" x14ac:dyDescent="0.25">
      <c r="A3020" s="279">
        <v>39235</v>
      </c>
      <c r="B3020" t="s">
        <v>338</v>
      </c>
      <c r="C3020" t="s">
        <v>14</v>
      </c>
      <c r="D3020">
        <v>1034</v>
      </c>
    </row>
    <row r="3021" spans="1:4" x14ac:dyDescent="0.25">
      <c r="A3021" s="279">
        <v>39235</v>
      </c>
      <c r="B3021" t="s">
        <v>339</v>
      </c>
      <c r="C3021" t="s">
        <v>20</v>
      </c>
      <c r="D3021">
        <v>60123</v>
      </c>
    </row>
    <row r="3022" spans="1:4" x14ac:dyDescent="0.25">
      <c r="A3022" s="279">
        <v>39235</v>
      </c>
      <c r="B3022" t="s">
        <v>339</v>
      </c>
      <c r="C3022" t="s">
        <v>85</v>
      </c>
      <c r="D3022">
        <v>4949</v>
      </c>
    </row>
    <row r="3023" spans="1:4" x14ac:dyDescent="0.25">
      <c r="A3023" s="279">
        <v>39235</v>
      </c>
      <c r="B3023" t="s">
        <v>339</v>
      </c>
      <c r="C3023" t="s">
        <v>86</v>
      </c>
      <c r="D3023">
        <v>0</v>
      </c>
    </row>
    <row r="3024" spans="1:4" x14ac:dyDescent="0.25">
      <c r="A3024" s="279">
        <v>39235</v>
      </c>
      <c r="B3024" t="s">
        <v>339</v>
      </c>
      <c r="C3024" t="s">
        <v>87</v>
      </c>
      <c r="D3024">
        <v>0</v>
      </c>
    </row>
    <row r="3025" spans="1:4" x14ac:dyDescent="0.25">
      <c r="A3025" s="279">
        <v>39235</v>
      </c>
      <c r="B3025" t="s">
        <v>339</v>
      </c>
      <c r="C3025" t="s">
        <v>88</v>
      </c>
      <c r="D3025">
        <v>0</v>
      </c>
    </row>
    <row r="3026" spans="1:4" x14ac:dyDescent="0.25">
      <c r="A3026" s="279">
        <v>39235</v>
      </c>
      <c r="B3026" t="s">
        <v>339</v>
      </c>
      <c r="C3026" t="s">
        <v>14</v>
      </c>
      <c r="D3026">
        <v>1036</v>
      </c>
    </row>
    <row r="3027" spans="1:4" x14ac:dyDescent="0.25">
      <c r="A3027" s="279">
        <v>39236</v>
      </c>
      <c r="B3027" t="s">
        <v>338</v>
      </c>
      <c r="C3027" t="s">
        <v>81</v>
      </c>
      <c r="D3027">
        <v>0</v>
      </c>
    </row>
    <row r="3028" spans="1:4" x14ac:dyDescent="0.25">
      <c r="A3028" s="279">
        <v>39236</v>
      </c>
      <c r="B3028" t="s">
        <v>338</v>
      </c>
      <c r="C3028" t="s">
        <v>82</v>
      </c>
      <c r="D3028">
        <v>0</v>
      </c>
    </row>
    <row r="3029" spans="1:4" x14ac:dyDescent="0.25">
      <c r="A3029" s="279">
        <v>39236</v>
      </c>
      <c r="B3029" t="s">
        <v>338</v>
      </c>
      <c r="C3029" t="s">
        <v>84</v>
      </c>
      <c r="D3029">
        <v>240</v>
      </c>
    </row>
    <row r="3030" spans="1:4" x14ac:dyDescent="0.25">
      <c r="A3030" s="279">
        <v>39236</v>
      </c>
      <c r="B3030" t="s">
        <v>338</v>
      </c>
      <c r="C3030" t="s">
        <v>83</v>
      </c>
      <c r="D3030">
        <v>0</v>
      </c>
    </row>
    <row r="3031" spans="1:4" x14ac:dyDescent="0.25">
      <c r="A3031" s="279">
        <v>39236</v>
      </c>
      <c r="B3031" t="s">
        <v>338</v>
      </c>
      <c r="C3031" t="s">
        <v>14</v>
      </c>
      <c r="D3031">
        <v>1033</v>
      </c>
    </row>
    <row r="3032" spans="1:4" x14ac:dyDescent="0.25">
      <c r="A3032" s="279">
        <v>39236</v>
      </c>
      <c r="B3032" t="s">
        <v>339</v>
      </c>
      <c r="C3032" t="s">
        <v>20</v>
      </c>
      <c r="D3032">
        <v>61940</v>
      </c>
    </row>
    <row r="3033" spans="1:4" x14ac:dyDescent="0.25">
      <c r="A3033" s="279">
        <v>39236</v>
      </c>
      <c r="B3033" t="s">
        <v>339</v>
      </c>
      <c r="C3033" t="s">
        <v>85</v>
      </c>
      <c r="D3033">
        <v>8114</v>
      </c>
    </row>
    <row r="3034" spans="1:4" x14ac:dyDescent="0.25">
      <c r="A3034" s="279">
        <v>39236</v>
      </c>
      <c r="B3034" t="s">
        <v>339</v>
      </c>
      <c r="C3034" t="s">
        <v>86</v>
      </c>
      <c r="D3034">
        <v>0</v>
      </c>
    </row>
    <row r="3035" spans="1:4" x14ac:dyDescent="0.25">
      <c r="A3035" s="279">
        <v>39236</v>
      </c>
      <c r="B3035" t="s">
        <v>339</v>
      </c>
      <c r="C3035" t="s">
        <v>87</v>
      </c>
      <c r="D3035">
        <v>0</v>
      </c>
    </row>
    <row r="3036" spans="1:4" x14ac:dyDescent="0.25">
      <c r="A3036" s="279">
        <v>39236</v>
      </c>
      <c r="B3036" t="s">
        <v>339</v>
      </c>
      <c r="C3036" t="s">
        <v>88</v>
      </c>
      <c r="D3036">
        <v>0</v>
      </c>
    </row>
    <row r="3037" spans="1:4" x14ac:dyDescent="0.25">
      <c r="A3037" s="279">
        <v>39236</v>
      </c>
      <c r="B3037" t="s">
        <v>339</v>
      </c>
      <c r="C3037" t="s">
        <v>14</v>
      </c>
      <c r="D3037">
        <v>1036</v>
      </c>
    </row>
    <row r="3038" spans="1:4" x14ac:dyDescent="0.25">
      <c r="A3038" s="279">
        <v>39237</v>
      </c>
      <c r="B3038" t="s">
        <v>338</v>
      </c>
      <c r="C3038" t="s">
        <v>81</v>
      </c>
      <c r="D3038">
        <v>0</v>
      </c>
    </row>
    <row r="3039" spans="1:4" x14ac:dyDescent="0.25">
      <c r="A3039" s="279">
        <v>39237</v>
      </c>
      <c r="B3039" t="s">
        <v>338</v>
      </c>
      <c r="C3039" t="s">
        <v>82</v>
      </c>
      <c r="D3039">
        <v>0</v>
      </c>
    </row>
    <row r="3040" spans="1:4" x14ac:dyDescent="0.25">
      <c r="A3040" s="279">
        <v>39237</v>
      </c>
      <c r="B3040" t="s">
        <v>338</v>
      </c>
      <c r="C3040" t="s">
        <v>84</v>
      </c>
      <c r="D3040">
        <v>290</v>
      </c>
    </row>
    <row r="3041" spans="1:4" x14ac:dyDescent="0.25">
      <c r="A3041" s="279">
        <v>39237</v>
      </c>
      <c r="B3041" t="s">
        <v>338</v>
      </c>
      <c r="C3041" t="s">
        <v>83</v>
      </c>
      <c r="D3041">
        <v>0</v>
      </c>
    </row>
    <row r="3042" spans="1:4" x14ac:dyDescent="0.25">
      <c r="A3042" s="279">
        <v>39237</v>
      </c>
      <c r="B3042" t="s">
        <v>338</v>
      </c>
      <c r="C3042" t="s">
        <v>14</v>
      </c>
      <c r="D3042">
        <v>1032</v>
      </c>
    </row>
    <row r="3043" spans="1:4" x14ac:dyDescent="0.25">
      <c r="A3043" s="279">
        <v>39237</v>
      </c>
      <c r="B3043" t="s">
        <v>339</v>
      </c>
      <c r="C3043" t="s">
        <v>20</v>
      </c>
      <c r="D3043">
        <v>61952</v>
      </c>
    </row>
    <row r="3044" spans="1:4" x14ac:dyDescent="0.25">
      <c r="A3044" s="279">
        <v>39237</v>
      </c>
      <c r="B3044" t="s">
        <v>339</v>
      </c>
      <c r="C3044" t="s">
        <v>85</v>
      </c>
      <c r="D3044">
        <v>8119</v>
      </c>
    </row>
    <row r="3045" spans="1:4" x14ac:dyDescent="0.25">
      <c r="A3045" s="279">
        <v>39237</v>
      </c>
      <c r="B3045" t="s">
        <v>339</v>
      </c>
      <c r="C3045" t="s">
        <v>86</v>
      </c>
      <c r="D3045">
        <v>0</v>
      </c>
    </row>
    <row r="3046" spans="1:4" x14ac:dyDescent="0.25">
      <c r="A3046" s="279">
        <v>39237</v>
      </c>
      <c r="B3046" t="s">
        <v>339</v>
      </c>
      <c r="C3046" t="s">
        <v>87</v>
      </c>
      <c r="D3046">
        <v>0</v>
      </c>
    </row>
    <row r="3047" spans="1:4" x14ac:dyDescent="0.25">
      <c r="A3047" s="279">
        <v>39237</v>
      </c>
      <c r="B3047" t="s">
        <v>339</v>
      </c>
      <c r="C3047" t="s">
        <v>88</v>
      </c>
      <c r="D3047">
        <v>0</v>
      </c>
    </row>
    <row r="3048" spans="1:4" x14ac:dyDescent="0.25">
      <c r="A3048" s="279">
        <v>39237</v>
      </c>
      <c r="B3048" t="s">
        <v>339</v>
      </c>
      <c r="C3048" t="s">
        <v>14</v>
      </c>
      <c r="D3048">
        <v>1037</v>
      </c>
    </row>
    <row r="3049" spans="1:4" x14ac:dyDescent="0.25">
      <c r="A3049" s="279">
        <v>39238</v>
      </c>
      <c r="B3049" t="s">
        <v>338</v>
      </c>
      <c r="C3049" t="s">
        <v>81</v>
      </c>
      <c r="D3049">
        <v>0</v>
      </c>
    </row>
    <row r="3050" spans="1:4" x14ac:dyDescent="0.25">
      <c r="A3050" s="279">
        <v>39238</v>
      </c>
      <c r="B3050" t="s">
        <v>338</v>
      </c>
      <c r="C3050" t="s">
        <v>82</v>
      </c>
      <c r="D3050">
        <v>0</v>
      </c>
    </row>
    <row r="3051" spans="1:4" x14ac:dyDescent="0.25">
      <c r="A3051" s="279">
        <v>39238</v>
      </c>
      <c r="B3051" t="s">
        <v>338</v>
      </c>
      <c r="C3051" t="s">
        <v>84</v>
      </c>
      <c r="D3051">
        <v>270</v>
      </c>
    </row>
    <row r="3052" spans="1:4" x14ac:dyDescent="0.25">
      <c r="A3052" s="279">
        <v>39238</v>
      </c>
      <c r="B3052" t="s">
        <v>338</v>
      </c>
      <c r="C3052" t="s">
        <v>83</v>
      </c>
      <c r="D3052">
        <v>0</v>
      </c>
    </row>
    <row r="3053" spans="1:4" x14ac:dyDescent="0.25">
      <c r="A3053" s="279">
        <v>39238</v>
      </c>
      <c r="B3053" t="s">
        <v>338</v>
      </c>
      <c r="C3053" t="s">
        <v>14</v>
      </c>
      <c r="D3053">
        <v>1032</v>
      </c>
    </row>
    <row r="3054" spans="1:4" x14ac:dyDescent="0.25">
      <c r="A3054" s="279">
        <v>39238</v>
      </c>
      <c r="B3054" t="s">
        <v>339</v>
      </c>
      <c r="C3054" t="s">
        <v>20</v>
      </c>
      <c r="D3054">
        <v>63771</v>
      </c>
    </row>
    <row r="3055" spans="1:4" x14ac:dyDescent="0.25">
      <c r="A3055" s="279">
        <v>39238</v>
      </c>
      <c r="B3055" t="s">
        <v>339</v>
      </c>
      <c r="C3055" t="s">
        <v>85</v>
      </c>
      <c r="D3055">
        <v>9832</v>
      </c>
    </row>
    <row r="3056" spans="1:4" x14ac:dyDescent="0.25">
      <c r="A3056" s="279">
        <v>39238</v>
      </c>
      <c r="B3056" t="s">
        <v>339</v>
      </c>
      <c r="C3056" t="s">
        <v>86</v>
      </c>
      <c r="D3056">
        <v>0</v>
      </c>
    </row>
    <row r="3057" spans="1:4" x14ac:dyDescent="0.25">
      <c r="A3057" s="279">
        <v>39238</v>
      </c>
      <c r="B3057" t="s">
        <v>339</v>
      </c>
      <c r="C3057" t="s">
        <v>87</v>
      </c>
      <c r="D3057">
        <v>0</v>
      </c>
    </row>
    <row r="3058" spans="1:4" x14ac:dyDescent="0.25">
      <c r="A3058" s="279">
        <v>39238</v>
      </c>
      <c r="B3058" t="s">
        <v>339</v>
      </c>
      <c r="C3058" t="s">
        <v>88</v>
      </c>
      <c r="D3058">
        <v>0</v>
      </c>
    </row>
    <row r="3059" spans="1:4" x14ac:dyDescent="0.25">
      <c r="A3059" s="279">
        <v>39238</v>
      </c>
      <c r="B3059" t="s">
        <v>339</v>
      </c>
      <c r="C3059" t="s">
        <v>14</v>
      </c>
      <c r="D3059">
        <v>1038</v>
      </c>
    </row>
    <row r="3060" spans="1:4" x14ac:dyDescent="0.25">
      <c r="A3060" s="279">
        <v>39239</v>
      </c>
      <c r="B3060" t="s">
        <v>338</v>
      </c>
      <c r="C3060" t="s">
        <v>81</v>
      </c>
      <c r="D3060">
        <v>0</v>
      </c>
    </row>
    <row r="3061" spans="1:4" x14ac:dyDescent="0.25">
      <c r="A3061" s="279">
        <v>39239</v>
      </c>
      <c r="B3061" t="s">
        <v>338</v>
      </c>
      <c r="C3061" t="s">
        <v>82</v>
      </c>
      <c r="D3061">
        <v>0</v>
      </c>
    </row>
    <row r="3062" spans="1:4" x14ac:dyDescent="0.25">
      <c r="A3062" s="279">
        <v>39239</v>
      </c>
      <c r="B3062" t="s">
        <v>338</v>
      </c>
      <c r="C3062" t="s">
        <v>84</v>
      </c>
      <c r="D3062">
        <v>290</v>
      </c>
    </row>
    <row r="3063" spans="1:4" x14ac:dyDescent="0.25">
      <c r="A3063" s="279">
        <v>39239</v>
      </c>
      <c r="B3063" t="s">
        <v>338</v>
      </c>
      <c r="C3063" t="s">
        <v>83</v>
      </c>
      <c r="D3063">
        <v>0</v>
      </c>
    </row>
    <row r="3064" spans="1:4" x14ac:dyDescent="0.25">
      <c r="A3064" s="279">
        <v>39239</v>
      </c>
      <c r="B3064" t="s">
        <v>338</v>
      </c>
      <c r="C3064" t="s">
        <v>14</v>
      </c>
      <c r="D3064">
        <v>1034</v>
      </c>
    </row>
    <row r="3065" spans="1:4" x14ac:dyDescent="0.25">
      <c r="A3065" s="279">
        <v>39239</v>
      </c>
      <c r="B3065" t="s">
        <v>339</v>
      </c>
      <c r="C3065" t="s">
        <v>20</v>
      </c>
      <c r="D3065">
        <v>63751</v>
      </c>
    </row>
    <row r="3066" spans="1:4" x14ac:dyDescent="0.25">
      <c r="A3066" s="279">
        <v>39239</v>
      </c>
      <c r="B3066" t="s">
        <v>339</v>
      </c>
      <c r="C3066" t="s">
        <v>85</v>
      </c>
      <c r="D3066">
        <v>12925</v>
      </c>
    </row>
    <row r="3067" spans="1:4" x14ac:dyDescent="0.25">
      <c r="A3067" s="279">
        <v>39239</v>
      </c>
      <c r="B3067" t="s">
        <v>339</v>
      </c>
      <c r="C3067" t="s">
        <v>86</v>
      </c>
      <c r="D3067">
        <v>0</v>
      </c>
    </row>
    <row r="3068" spans="1:4" x14ac:dyDescent="0.25">
      <c r="A3068" s="279">
        <v>39239</v>
      </c>
      <c r="B3068" t="s">
        <v>339</v>
      </c>
      <c r="C3068" t="s">
        <v>87</v>
      </c>
      <c r="D3068">
        <v>5</v>
      </c>
    </row>
    <row r="3069" spans="1:4" x14ac:dyDescent="0.25">
      <c r="A3069" s="279">
        <v>39239</v>
      </c>
      <c r="B3069" t="s">
        <v>339</v>
      </c>
      <c r="C3069" t="s">
        <v>88</v>
      </c>
      <c r="D3069">
        <v>0</v>
      </c>
    </row>
    <row r="3070" spans="1:4" x14ac:dyDescent="0.25">
      <c r="A3070" s="279">
        <v>39239</v>
      </c>
      <c r="B3070" t="s">
        <v>339</v>
      </c>
      <c r="C3070" t="s">
        <v>14</v>
      </c>
      <c r="D3070">
        <v>1039</v>
      </c>
    </row>
    <row r="3071" spans="1:4" x14ac:dyDescent="0.25">
      <c r="A3071" s="279">
        <v>39240</v>
      </c>
      <c r="B3071" t="s">
        <v>338</v>
      </c>
      <c r="C3071" t="s">
        <v>81</v>
      </c>
      <c r="D3071">
        <v>0</v>
      </c>
    </row>
    <row r="3072" spans="1:4" x14ac:dyDescent="0.25">
      <c r="A3072" s="279">
        <v>39240</v>
      </c>
      <c r="B3072" t="s">
        <v>338</v>
      </c>
      <c r="C3072" t="s">
        <v>82</v>
      </c>
      <c r="D3072">
        <v>0</v>
      </c>
    </row>
    <row r="3073" spans="1:4" x14ac:dyDescent="0.25">
      <c r="A3073" s="279">
        <v>39240</v>
      </c>
      <c r="B3073" t="s">
        <v>338</v>
      </c>
      <c r="C3073" t="s">
        <v>84</v>
      </c>
      <c r="D3073">
        <v>270</v>
      </c>
    </row>
    <row r="3074" spans="1:4" x14ac:dyDescent="0.25">
      <c r="A3074" s="279">
        <v>39240</v>
      </c>
      <c r="B3074" t="s">
        <v>338</v>
      </c>
      <c r="C3074" t="s">
        <v>83</v>
      </c>
      <c r="D3074">
        <v>0</v>
      </c>
    </row>
    <row r="3075" spans="1:4" x14ac:dyDescent="0.25">
      <c r="A3075" s="279">
        <v>39240</v>
      </c>
      <c r="B3075" t="s">
        <v>338</v>
      </c>
      <c r="C3075" t="s">
        <v>14</v>
      </c>
      <c r="D3075">
        <v>1034</v>
      </c>
    </row>
    <row r="3076" spans="1:4" x14ac:dyDescent="0.25">
      <c r="A3076" s="279">
        <v>39240</v>
      </c>
      <c r="B3076" t="s">
        <v>339</v>
      </c>
      <c r="C3076" t="s">
        <v>20</v>
      </c>
      <c r="D3076">
        <v>63208</v>
      </c>
    </row>
    <row r="3077" spans="1:4" x14ac:dyDescent="0.25">
      <c r="A3077" s="279">
        <v>39240</v>
      </c>
      <c r="B3077" t="s">
        <v>339</v>
      </c>
      <c r="C3077" t="s">
        <v>85</v>
      </c>
      <c r="D3077">
        <v>10869</v>
      </c>
    </row>
    <row r="3078" spans="1:4" x14ac:dyDescent="0.25">
      <c r="A3078" s="279">
        <v>39240</v>
      </c>
      <c r="B3078" t="s">
        <v>339</v>
      </c>
      <c r="C3078" t="s">
        <v>86</v>
      </c>
      <c r="D3078">
        <v>0</v>
      </c>
    </row>
    <row r="3079" spans="1:4" x14ac:dyDescent="0.25">
      <c r="A3079" s="279">
        <v>39240</v>
      </c>
      <c r="B3079" t="s">
        <v>339</v>
      </c>
      <c r="C3079" t="s">
        <v>87</v>
      </c>
      <c r="D3079">
        <v>0</v>
      </c>
    </row>
    <row r="3080" spans="1:4" x14ac:dyDescent="0.25">
      <c r="A3080" s="279">
        <v>39240</v>
      </c>
      <c r="B3080" t="s">
        <v>339</v>
      </c>
      <c r="C3080" t="s">
        <v>88</v>
      </c>
      <c r="D3080">
        <v>51</v>
      </c>
    </row>
    <row r="3081" spans="1:4" x14ac:dyDescent="0.25">
      <c r="A3081" s="279">
        <v>39240</v>
      </c>
      <c r="B3081" t="s">
        <v>339</v>
      </c>
      <c r="C3081" t="s">
        <v>14</v>
      </c>
      <c r="D3081">
        <v>1039</v>
      </c>
    </row>
    <row r="3082" spans="1:4" x14ac:dyDescent="0.25">
      <c r="A3082" s="279">
        <v>39241</v>
      </c>
      <c r="B3082" t="s">
        <v>338</v>
      </c>
      <c r="C3082" t="s">
        <v>81</v>
      </c>
      <c r="D3082">
        <v>0</v>
      </c>
    </row>
    <row r="3083" spans="1:4" x14ac:dyDescent="0.25">
      <c r="A3083" s="279">
        <v>39241</v>
      </c>
      <c r="B3083" t="s">
        <v>338</v>
      </c>
      <c r="C3083" t="s">
        <v>82</v>
      </c>
      <c r="D3083">
        <v>0</v>
      </c>
    </row>
    <row r="3084" spans="1:4" x14ac:dyDescent="0.25">
      <c r="A3084" s="279">
        <v>39241</v>
      </c>
      <c r="B3084" t="s">
        <v>338</v>
      </c>
      <c r="C3084" t="s">
        <v>84</v>
      </c>
      <c r="D3084">
        <v>250</v>
      </c>
    </row>
    <row r="3085" spans="1:4" x14ac:dyDescent="0.25">
      <c r="A3085" s="279">
        <v>39241</v>
      </c>
      <c r="B3085" t="s">
        <v>338</v>
      </c>
      <c r="C3085" t="s">
        <v>83</v>
      </c>
      <c r="D3085">
        <v>0</v>
      </c>
    </row>
    <row r="3086" spans="1:4" x14ac:dyDescent="0.25">
      <c r="A3086" s="279">
        <v>39241</v>
      </c>
      <c r="B3086" t="s">
        <v>338</v>
      </c>
      <c r="C3086" t="s">
        <v>14</v>
      </c>
      <c r="D3086">
        <v>1037</v>
      </c>
    </row>
    <row r="3087" spans="1:4" x14ac:dyDescent="0.25">
      <c r="A3087" s="279">
        <v>39241</v>
      </c>
      <c r="B3087" t="s">
        <v>339</v>
      </c>
      <c r="C3087" t="s">
        <v>20</v>
      </c>
      <c r="D3087">
        <v>62116</v>
      </c>
    </row>
    <row r="3088" spans="1:4" x14ac:dyDescent="0.25">
      <c r="A3088" s="279">
        <v>39241</v>
      </c>
      <c r="B3088" t="s">
        <v>339</v>
      </c>
      <c r="C3088" t="s">
        <v>85</v>
      </c>
      <c r="D3088">
        <v>6542</v>
      </c>
    </row>
    <row r="3089" spans="1:4" x14ac:dyDescent="0.25">
      <c r="A3089" s="279">
        <v>39241</v>
      </c>
      <c r="B3089" t="s">
        <v>339</v>
      </c>
      <c r="C3089" t="s">
        <v>86</v>
      </c>
      <c r="D3089">
        <v>0</v>
      </c>
    </row>
    <row r="3090" spans="1:4" x14ac:dyDescent="0.25">
      <c r="A3090" s="279">
        <v>39241</v>
      </c>
      <c r="B3090" t="s">
        <v>339</v>
      </c>
      <c r="C3090" t="s">
        <v>87</v>
      </c>
      <c r="D3090">
        <v>0</v>
      </c>
    </row>
    <row r="3091" spans="1:4" x14ac:dyDescent="0.25">
      <c r="A3091" s="279">
        <v>39241</v>
      </c>
      <c r="B3091" t="s">
        <v>339</v>
      </c>
      <c r="C3091" t="s">
        <v>88</v>
      </c>
      <c r="D3091">
        <v>0</v>
      </c>
    </row>
    <row r="3092" spans="1:4" x14ac:dyDescent="0.25">
      <c r="A3092" s="279">
        <v>39241</v>
      </c>
      <c r="B3092" t="s">
        <v>339</v>
      </c>
      <c r="C3092" t="s">
        <v>14</v>
      </c>
      <c r="D3092">
        <v>1039</v>
      </c>
    </row>
    <row r="3093" spans="1:4" x14ac:dyDescent="0.25">
      <c r="A3093" s="279">
        <v>39242</v>
      </c>
      <c r="B3093" t="s">
        <v>338</v>
      </c>
      <c r="C3093" t="s">
        <v>81</v>
      </c>
      <c r="D3093">
        <v>0</v>
      </c>
    </row>
    <row r="3094" spans="1:4" x14ac:dyDescent="0.25">
      <c r="A3094" s="279">
        <v>39242</v>
      </c>
      <c r="B3094" t="s">
        <v>338</v>
      </c>
      <c r="C3094" t="s">
        <v>82</v>
      </c>
      <c r="D3094">
        <v>0</v>
      </c>
    </row>
    <row r="3095" spans="1:4" x14ac:dyDescent="0.25">
      <c r="A3095" s="279">
        <v>39242</v>
      </c>
      <c r="B3095" t="s">
        <v>338</v>
      </c>
      <c r="C3095" t="s">
        <v>84</v>
      </c>
      <c r="D3095">
        <v>200</v>
      </c>
    </row>
    <row r="3096" spans="1:4" x14ac:dyDescent="0.25">
      <c r="A3096" s="279">
        <v>39242</v>
      </c>
      <c r="B3096" t="s">
        <v>338</v>
      </c>
      <c r="C3096" t="s">
        <v>83</v>
      </c>
      <c r="D3096">
        <v>0</v>
      </c>
    </row>
    <row r="3097" spans="1:4" x14ac:dyDescent="0.25">
      <c r="A3097" s="279">
        <v>39242</v>
      </c>
      <c r="B3097" t="s">
        <v>338</v>
      </c>
      <c r="C3097" t="s">
        <v>14</v>
      </c>
      <c r="D3097">
        <v>1040</v>
      </c>
    </row>
    <row r="3098" spans="1:4" x14ac:dyDescent="0.25">
      <c r="A3098" s="279">
        <v>39242</v>
      </c>
      <c r="B3098" t="s">
        <v>339</v>
      </c>
      <c r="C3098" t="s">
        <v>20</v>
      </c>
      <c r="D3098">
        <v>63064</v>
      </c>
    </row>
    <row r="3099" spans="1:4" x14ac:dyDescent="0.25">
      <c r="A3099" s="279">
        <v>39242</v>
      </c>
      <c r="B3099" t="s">
        <v>339</v>
      </c>
      <c r="C3099" t="s">
        <v>85</v>
      </c>
      <c r="D3099">
        <v>5801</v>
      </c>
    </row>
    <row r="3100" spans="1:4" x14ac:dyDescent="0.25">
      <c r="A3100" s="279">
        <v>39242</v>
      </c>
      <c r="B3100" t="s">
        <v>339</v>
      </c>
      <c r="C3100" t="s">
        <v>86</v>
      </c>
      <c r="D3100">
        <v>0</v>
      </c>
    </row>
    <row r="3101" spans="1:4" x14ac:dyDescent="0.25">
      <c r="A3101" s="279">
        <v>39242</v>
      </c>
      <c r="B3101" t="s">
        <v>339</v>
      </c>
      <c r="C3101" t="s">
        <v>87</v>
      </c>
      <c r="D3101">
        <v>0</v>
      </c>
    </row>
    <row r="3102" spans="1:4" x14ac:dyDescent="0.25">
      <c r="A3102" s="279">
        <v>39242</v>
      </c>
      <c r="B3102" t="s">
        <v>339</v>
      </c>
      <c r="C3102" t="s">
        <v>88</v>
      </c>
      <c r="D3102">
        <v>0</v>
      </c>
    </row>
    <row r="3103" spans="1:4" x14ac:dyDescent="0.25">
      <c r="A3103" s="279">
        <v>39242</v>
      </c>
      <c r="B3103" t="s">
        <v>339</v>
      </c>
      <c r="C3103" t="s">
        <v>14</v>
      </c>
      <c r="D3103">
        <v>1038</v>
      </c>
    </row>
    <row r="3104" spans="1:4" x14ac:dyDescent="0.25">
      <c r="A3104" s="279">
        <v>39243</v>
      </c>
      <c r="B3104" t="s">
        <v>338</v>
      </c>
      <c r="C3104" t="s">
        <v>81</v>
      </c>
      <c r="D3104">
        <v>0</v>
      </c>
    </row>
    <row r="3105" spans="1:4" x14ac:dyDescent="0.25">
      <c r="A3105" s="279">
        <v>39243</v>
      </c>
      <c r="B3105" t="s">
        <v>338</v>
      </c>
      <c r="C3105" t="s">
        <v>82</v>
      </c>
      <c r="D3105">
        <v>0</v>
      </c>
    </row>
    <row r="3106" spans="1:4" x14ac:dyDescent="0.25">
      <c r="A3106" s="279">
        <v>39243</v>
      </c>
      <c r="B3106" t="s">
        <v>338</v>
      </c>
      <c r="C3106" t="s">
        <v>84</v>
      </c>
      <c r="D3106">
        <v>260</v>
      </c>
    </row>
    <row r="3107" spans="1:4" x14ac:dyDescent="0.25">
      <c r="A3107" s="279">
        <v>39243</v>
      </c>
      <c r="B3107" t="s">
        <v>338</v>
      </c>
      <c r="C3107" t="s">
        <v>83</v>
      </c>
      <c r="D3107">
        <v>0</v>
      </c>
    </row>
    <row r="3108" spans="1:4" x14ac:dyDescent="0.25">
      <c r="A3108" s="279">
        <v>39243</v>
      </c>
      <c r="B3108" t="s">
        <v>338</v>
      </c>
      <c r="C3108" t="s">
        <v>14</v>
      </c>
      <c r="D3108">
        <v>1033</v>
      </c>
    </row>
    <row r="3109" spans="1:4" x14ac:dyDescent="0.25">
      <c r="A3109" s="279">
        <v>39243</v>
      </c>
      <c r="B3109" t="s">
        <v>339</v>
      </c>
      <c r="C3109" t="s">
        <v>20</v>
      </c>
      <c r="D3109">
        <v>65682</v>
      </c>
    </row>
    <row r="3110" spans="1:4" x14ac:dyDescent="0.25">
      <c r="A3110" s="279">
        <v>39243</v>
      </c>
      <c r="B3110" t="s">
        <v>339</v>
      </c>
      <c r="C3110" t="s">
        <v>85</v>
      </c>
      <c r="D3110">
        <v>8000</v>
      </c>
    </row>
    <row r="3111" spans="1:4" x14ac:dyDescent="0.25">
      <c r="A3111" s="279">
        <v>39243</v>
      </c>
      <c r="B3111" t="s">
        <v>339</v>
      </c>
      <c r="C3111" t="s">
        <v>86</v>
      </c>
      <c r="D3111">
        <v>0</v>
      </c>
    </row>
    <row r="3112" spans="1:4" x14ac:dyDescent="0.25">
      <c r="A3112" s="279">
        <v>39243</v>
      </c>
      <c r="B3112" t="s">
        <v>339</v>
      </c>
      <c r="C3112" t="s">
        <v>87</v>
      </c>
      <c r="D3112">
        <v>0</v>
      </c>
    </row>
    <row r="3113" spans="1:4" x14ac:dyDescent="0.25">
      <c r="A3113" s="279">
        <v>39243</v>
      </c>
      <c r="B3113" t="s">
        <v>339</v>
      </c>
      <c r="C3113" t="s">
        <v>88</v>
      </c>
      <c r="D3113">
        <v>0</v>
      </c>
    </row>
    <row r="3114" spans="1:4" x14ac:dyDescent="0.25">
      <c r="A3114" s="279">
        <v>39243</v>
      </c>
      <c r="B3114" t="s">
        <v>339</v>
      </c>
      <c r="C3114" t="s">
        <v>14</v>
      </c>
      <c r="D3114">
        <v>1044</v>
      </c>
    </row>
    <row r="3115" spans="1:4" x14ac:dyDescent="0.25">
      <c r="A3115" s="279">
        <v>39244</v>
      </c>
      <c r="B3115" t="s">
        <v>338</v>
      </c>
      <c r="C3115" t="s">
        <v>81</v>
      </c>
      <c r="D3115">
        <v>0</v>
      </c>
    </row>
    <row r="3116" spans="1:4" x14ac:dyDescent="0.25">
      <c r="A3116" s="279">
        <v>39244</v>
      </c>
      <c r="B3116" t="s">
        <v>338</v>
      </c>
      <c r="C3116" t="s">
        <v>82</v>
      </c>
      <c r="D3116">
        <v>0</v>
      </c>
    </row>
    <row r="3117" spans="1:4" x14ac:dyDescent="0.25">
      <c r="A3117" s="279">
        <v>39244</v>
      </c>
      <c r="B3117" t="s">
        <v>338</v>
      </c>
      <c r="C3117" t="s">
        <v>84</v>
      </c>
      <c r="D3117">
        <v>270</v>
      </c>
    </row>
    <row r="3118" spans="1:4" x14ac:dyDescent="0.25">
      <c r="A3118" s="279">
        <v>39244</v>
      </c>
      <c r="B3118" t="s">
        <v>338</v>
      </c>
      <c r="C3118" t="s">
        <v>83</v>
      </c>
      <c r="D3118">
        <v>0</v>
      </c>
    </row>
    <row r="3119" spans="1:4" x14ac:dyDescent="0.25">
      <c r="A3119" s="279">
        <v>39244</v>
      </c>
      <c r="B3119" t="s">
        <v>338</v>
      </c>
      <c r="C3119" t="s">
        <v>14</v>
      </c>
      <c r="D3119">
        <v>1034</v>
      </c>
    </row>
    <row r="3120" spans="1:4" x14ac:dyDescent="0.25">
      <c r="A3120" s="279">
        <v>39244</v>
      </c>
      <c r="B3120" t="s">
        <v>339</v>
      </c>
      <c r="C3120" t="s">
        <v>20</v>
      </c>
      <c r="D3120">
        <v>64988</v>
      </c>
    </row>
    <row r="3121" spans="1:4" x14ac:dyDescent="0.25">
      <c r="A3121" s="279">
        <v>39244</v>
      </c>
      <c r="B3121" t="s">
        <v>339</v>
      </c>
      <c r="C3121" t="s">
        <v>85</v>
      </c>
      <c r="D3121">
        <v>8913</v>
      </c>
    </row>
    <row r="3122" spans="1:4" x14ac:dyDescent="0.25">
      <c r="A3122" s="279">
        <v>39244</v>
      </c>
      <c r="B3122" t="s">
        <v>339</v>
      </c>
      <c r="C3122" t="s">
        <v>86</v>
      </c>
      <c r="D3122">
        <v>0</v>
      </c>
    </row>
    <row r="3123" spans="1:4" x14ac:dyDescent="0.25">
      <c r="A3123" s="279">
        <v>39244</v>
      </c>
      <c r="B3123" t="s">
        <v>339</v>
      </c>
      <c r="C3123" t="s">
        <v>87</v>
      </c>
      <c r="D3123">
        <v>0</v>
      </c>
    </row>
    <row r="3124" spans="1:4" x14ac:dyDescent="0.25">
      <c r="A3124" s="279">
        <v>39244</v>
      </c>
      <c r="B3124" t="s">
        <v>339</v>
      </c>
      <c r="C3124" t="s">
        <v>88</v>
      </c>
      <c r="D3124">
        <v>0</v>
      </c>
    </row>
    <row r="3125" spans="1:4" x14ac:dyDescent="0.25">
      <c r="A3125" s="279">
        <v>39244</v>
      </c>
      <c r="B3125" t="s">
        <v>339</v>
      </c>
      <c r="C3125" t="s">
        <v>14</v>
      </c>
      <c r="D3125">
        <v>1045</v>
      </c>
    </row>
    <row r="3126" spans="1:4" x14ac:dyDescent="0.25">
      <c r="A3126" s="279">
        <v>39245</v>
      </c>
      <c r="B3126" t="s">
        <v>338</v>
      </c>
      <c r="C3126" t="s">
        <v>81</v>
      </c>
      <c r="D3126">
        <v>0</v>
      </c>
    </row>
    <row r="3127" spans="1:4" x14ac:dyDescent="0.25">
      <c r="A3127" s="279">
        <v>39245</v>
      </c>
      <c r="B3127" t="s">
        <v>338</v>
      </c>
      <c r="C3127" t="s">
        <v>82</v>
      </c>
      <c r="D3127">
        <v>0</v>
      </c>
    </row>
    <row r="3128" spans="1:4" x14ac:dyDescent="0.25">
      <c r="A3128" s="279">
        <v>39245</v>
      </c>
      <c r="B3128" t="s">
        <v>338</v>
      </c>
      <c r="C3128" t="s">
        <v>84</v>
      </c>
      <c r="D3128">
        <v>290</v>
      </c>
    </row>
    <row r="3129" spans="1:4" x14ac:dyDescent="0.25">
      <c r="A3129" s="279">
        <v>39245</v>
      </c>
      <c r="B3129" t="s">
        <v>338</v>
      </c>
      <c r="C3129" t="s">
        <v>83</v>
      </c>
      <c r="D3129">
        <v>0</v>
      </c>
    </row>
    <row r="3130" spans="1:4" x14ac:dyDescent="0.25">
      <c r="A3130" s="279">
        <v>39245</v>
      </c>
      <c r="B3130" t="s">
        <v>338</v>
      </c>
      <c r="C3130" t="s">
        <v>14</v>
      </c>
      <c r="D3130">
        <v>1032</v>
      </c>
    </row>
    <row r="3131" spans="1:4" x14ac:dyDescent="0.25">
      <c r="A3131" s="279">
        <v>39245</v>
      </c>
      <c r="B3131" t="s">
        <v>339</v>
      </c>
      <c r="C3131" t="s">
        <v>20</v>
      </c>
      <c r="D3131">
        <v>65904</v>
      </c>
    </row>
    <row r="3132" spans="1:4" x14ac:dyDescent="0.25">
      <c r="A3132" s="279">
        <v>39245</v>
      </c>
      <c r="B3132" t="s">
        <v>339</v>
      </c>
      <c r="C3132" t="s">
        <v>85</v>
      </c>
      <c r="D3132">
        <v>8697</v>
      </c>
    </row>
    <row r="3133" spans="1:4" x14ac:dyDescent="0.25">
      <c r="A3133" s="279">
        <v>39245</v>
      </c>
      <c r="B3133" t="s">
        <v>339</v>
      </c>
      <c r="C3133" t="s">
        <v>86</v>
      </c>
      <c r="D3133">
        <v>0</v>
      </c>
    </row>
    <row r="3134" spans="1:4" x14ac:dyDescent="0.25">
      <c r="A3134" s="279">
        <v>39245</v>
      </c>
      <c r="B3134" t="s">
        <v>339</v>
      </c>
      <c r="C3134" t="s">
        <v>87</v>
      </c>
      <c r="D3134">
        <v>0</v>
      </c>
    </row>
    <row r="3135" spans="1:4" x14ac:dyDescent="0.25">
      <c r="A3135" s="279">
        <v>39245</v>
      </c>
      <c r="B3135" t="s">
        <v>339</v>
      </c>
      <c r="C3135" t="s">
        <v>88</v>
      </c>
      <c r="D3135">
        <v>0</v>
      </c>
    </row>
    <row r="3136" spans="1:4" x14ac:dyDescent="0.25">
      <c r="A3136" s="279">
        <v>39245</v>
      </c>
      <c r="B3136" t="s">
        <v>339</v>
      </c>
      <c r="C3136" t="s">
        <v>14</v>
      </c>
      <c r="D3136">
        <v>1042</v>
      </c>
    </row>
    <row r="3137" spans="1:4" x14ac:dyDescent="0.25">
      <c r="A3137" s="279">
        <v>39246</v>
      </c>
      <c r="B3137" t="s">
        <v>338</v>
      </c>
      <c r="C3137" t="s">
        <v>81</v>
      </c>
      <c r="D3137">
        <v>0</v>
      </c>
    </row>
    <row r="3138" spans="1:4" x14ac:dyDescent="0.25">
      <c r="A3138" s="279">
        <v>39246</v>
      </c>
      <c r="B3138" t="s">
        <v>338</v>
      </c>
      <c r="C3138" t="s">
        <v>82</v>
      </c>
      <c r="D3138">
        <v>0</v>
      </c>
    </row>
    <row r="3139" spans="1:4" x14ac:dyDescent="0.25">
      <c r="A3139" s="279">
        <v>39246</v>
      </c>
      <c r="B3139" t="s">
        <v>338</v>
      </c>
      <c r="C3139" t="s">
        <v>84</v>
      </c>
      <c r="D3139">
        <v>300</v>
      </c>
    </row>
    <row r="3140" spans="1:4" x14ac:dyDescent="0.25">
      <c r="A3140" s="279">
        <v>39246</v>
      </c>
      <c r="B3140" t="s">
        <v>338</v>
      </c>
      <c r="C3140" t="s">
        <v>83</v>
      </c>
      <c r="D3140">
        <v>0</v>
      </c>
    </row>
    <row r="3141" spans="1:4" x14ac:dyDescent="0.25">
      <c r="A3141" s="279">
        <v>39246</v>
      </c>
      <c r="B3141" t="s">
        <v>338</v>
      </c>
      <c r="C3141" t="s">
        <v>14</v>
      </c>
      <c r="D3141">
        <v>1033</v>
      </c>
    </row>
    <row r="3142" spans="1:4" x14ac:dyDescent="0.25">
      <c r="A3142" s="279">
        <v>39246</v>
      </c>
      <c r="B3142" t="s">
        <v>339</v>
      </c>
      <c r="C3142" t="s">
        <v>20</v>
      </c>
      <c r="D3142">
        <v>69763</v>
      </c>
    </row>
    <row r="3143" spans="1:4" x14ac:dyDescent="0.25">
      <c r="A3143" s="279">
        <v>39246</v>
      </c>
      <c r="B3143" t="s">
        <v>339</v>
      </c>
      <c r="C3143" t="s">
        <v>85</v>
      </c>
      <c r="D3143">
        <v>8201</v>
      </c>
    </row>
    <row r="3144" spans="1:4" x14ac:dyDescent="0.25">
      <c r="A3144" s="279">
        <v>39246</v>
      </c>
      <c r="B3144" t="s">
        <v>339</v>
      </c>
      <c r="C3144" t="s">
        <v>86</v>
      </c>
      <c r="D3144">
        <v>0</v>
      </c>
    </row>
    <row r="3145" spans="1:4" x14ac:dyDescent="0.25">
      <c r="A3145" s="279">
        <v>39246</v>
      </c>
      <c r="B3145" t="s">
        <v>339</v>
      </c>
      <c r="C3145" t="s">
        <v>87</v>
      </c>
      <c r="D3145">
        <v>0</v>
      </c>
    </row>
    <row r="3146" spans="1:4" x14ac:dyDescent="0.25">
      <c r="A3146" s="279">
        <v>39246</v>
      </c>
      <c r="B3146" t="s">
        <v>339</v>
      </c>
      <c r="C3146" t="s">
        <v>88</v>
      </c>
      <c r="D3146">
        <v>0</v>
      </c>
    </row>
    <row r="3147" spans="1:4" x14ac:dyDescent="0.25">
      <c r="A3147" s="279">
        <v>39246</v>
      </c>
      <c r="B3147" t="s">
        <v>339</v>
      </c>
      <c r="C3147" t="s">
        <v>14</v>
      </c>
      <c r="D3147">
        <v>1043</v>
      </c>
    </row>
    <row r="3148" spans="1:4" x14ac:dyDescent="0.25">
      <c r="A3148" s="279">
        <v>39247</v>
      </c>
      <c r="B3148" t="s">
        <v>338</v>
      </c>
      <c r="C3148" t="s">
        <v>81</v>
      </c>
      <c r="D3148">
        <v>0</v>
      </c>
    </row>
    <row r="3149" spans="1:4" x14ac:dyDescent="0.25">
      <c r="A3149" s="279">
        <v>39247</v>
      </c>
      <c r="B3149" t="s">
        <v>338</v>
      </c>
      <c r="C3149" t="s">
        <v>82</v>
      </c>
      <c r="D3149">
        <v>0</v>
      </c>
    </row>
    <row r="3150" spans="1:4" x14ac:dyDescent="0.25">
      <c r="A3150" s="279">
        <v>39247</v>
      </c>
      <c r="B3150" t="s">
        <v>338</v>
      </c>
      <c r="C3150" t="s">
        <v>84</v>
      </c>
      <c r="D3150">
        <v>340</v>
      </c>
    </row>
    <row r="3151" spans="1:4" x14ac:dyDescent="0.25">
      <c r="A3151" s="279">
        <v>39247</v>
      </c>
      <c r="B3151" t="s">
        <v>338</v>
      </c>
      <c r="C3151" t="s">
        <v>83</v>
      </c>
      <c r="D3151">
        <v>0</v>
      </c>
    </row>
    <row r="3152" spans="1:4" x14ac:dyDescent="0.25">
      <c r="A3152" s="279">
        <v>39247</v>
      </c>
      <c r="B3152" t="s">
        <v>338</v>
      </c>
      <c r="C3152" t="s">
        <v>14</v>
      </c>
      <c r="D3152">
        <v>1036</v>
      </c>
    </row>
    <row r="3153" spans="1:4" x14ac:dyDescent="0.25">
      <c r="A3153" s="279">
        <v>39247</v>
      </c>
      <c r="B3153" t="s">
        <v>339</v>
      </c>
      <c r="C3153" t="s">
        <v>20</v>
      </c>
      <c r="D3153">
        <v>69132</v>
      </c>
    </row>
    <row r="3154" spans="1:4" x14ac:dyDescent="0.25">
      <c r="A3154" s="279">
        <v>39247</v>
      </c>
      <c r="B3154" t="s">
        <v>339</v>
      </c>
      <c r="C3154" t="s">
        <v>85</v>
      </c>
      <c r="D3154">
        <v>9003</v>
      </c>
    </row>
    <row r="3155" spans="1:4" x14ac:dyDescent="0.25">
      <c r="A3155" s="279">
        <v>39247</v>
      </c>
      <c r="B3155" t="s">
        <v>339</v>
      </c>
      <c r="C3155" t="s">
        <v>86</v>
      </c>
      <c r="D3155">
        <v>0</v>
      </c>
    </row>
    <row r="3156" spans="1:4" x14ac:dyDescent="0.25">
      <c r="A3156" s="279">
        <v>39247</v>
      </c>
      <c r="B3156" t="s">
        <v>339</v>
      </c>
      <c r="C3156" t="s">
        <v>87</v>
      </c>
      <c r="D3156">
        <v>5</v>
      </c>
    </row>
    <row r="3157" spans="1:4" x14ac:dyDescent="0.25">
      <c r="A3157" s="279">
        <v>39247</v>
      </c>
      <c r="B3157" t="s">
        <v>339</v>
      </c>
      <c r="C3157" t="s">
        <v>88</v>
      </c>
      <c r="D3157">
        <v>0</v>
      </c>
    </row>
    <row r="3158" spans="1:4" x14ac:dyDescent="0.25">
      <c r="A3158" s="279">
        <v>39247</v>
      </c>
      <c r="B3158" t="s">
        <v>339</v>
      </c>
      <c r="C3158" t="s">
        <v>14</v>
      </c>
      <c r="D3158">
        <v>1034</v>
      </c>
    </row>
    <row r="3159" spans="1:4" x14ac:dyDescent="0.25">
      <c r="A3159" s="279">
        <v>39248</v>
      </c>
      <c r="B3159" t="s">
        <v>338</v>
      </c>
      <c r="C3159" t="s">
        <v>81</v>
      </c>
      <c r="D3159">
        <v>0</v>
      </c>
    </row>
    <row r="3160" spans="1:4" x14ac:dyDescent="0.25">
      <c r="A3160" s="279">
        <v>39248</v>
      </c>
      <c r="B3160" t="s">
        <v>338</v>
      </c>
      <c r="C3160" t="s">
        <v>82</v>
      </c>
      <c r="D3160">
        <v>0</v>
      </c>
    </row>
    <row r="3161" spans="1:4" x14ac:dyDescent="0.25">
      <c r="A3161" s="279">
        <v>39248</v>
      </c>
      <c r="B3161" t="s">
        <v>338</v>
      </c>
      <c r="C3161" t="s">
        <v>84</v>
      </c>
      <c r="D3161">
        <v>280</v>
      </c>
    </row>
    <row r="3162" spans="1:4" x14ac:dyDescent="0.25">
      <c r="A3162" s="279">
        <v>39248</v>
      </c>
      <c r="B3162" t="s">
        <v>338</v>
      </c>
      <c r="C3162" t="s">
        <v>83</v>
      </c>
      <c r="D3162">
        <v>0</v>
      </c>
    </row>
    <row r="3163" spans="1:4" x14ac:dyDescent="0.25">
      <c r="A3163" s="279">
        <v>39248</v>
      </c>
      <c r="B3163" t="s">
        <v>338</v>
      </c>
      <c r="C3163" t="s">
        <v>14</v>
      </c>
      <c r="D3163">
        <v>1036</v>
      </c>
    </row>
    <row r="3164" spans="1:4" x14ac:dyDescent="0.25">
      <c r="A3164" s="279">
        <v>39248</v>
      </c>
      <c r="B3164" t="s">
        <v>339</v>
      </c>
      <c r="C3164" t="s">
        <v>20</v>
      </c>
      <c r="D3164">
        <v>65445</v>
      </c>
    </row>
    <row r="3165" spans="1:4" x14ac:dyDescent="0.25">
      <c r="A3165" s="279">
        <v>39248</v>
      </c>
      <c r="B3165" t="s">
        <v>339</v>
      </c>
      <c r="C3165" t="s">
        <v>85</v>
      </c>
      <c r="D3165">
        <v>6983</v>
      </c>
    </row>
    <row r="3166" spans="1:4" x14ac:dyDescent="0.25">
      <c r="A3166" s="279">
        <v>39248</v>
      </c>
      <c r="B3166" t="s">
        <v>339</v>
      </c>
      <c r="C3166" t="s">
        <v>86</v>
      </c>
      <c r="D3166">
        <v>0</v>
      </c>
    </row>
    <row r="3167" spans="1:4" x14ac:dyDescent="0.25">
      <c r="A3167" s="279">
        <v>39248</v>
      </c>
      <c r="B3167" t="s">
        <v>339</v>
      </c>
      <c r="C3167" t="s">
        <v>87</v>
      </c>
      <c r="D3167">
        <v>10</v>
      </c>
    </row>
    <row r="3168" spans="1:4" x14ac:dyDescent="0.25">
      <c r="A3168" s="279">
        <v>39248</v>
      </c>
      <c r="B3168" t="s">
        <v>339</v>
      </c>
      <c r="C3168" t="s">
        <v>88</v>
      </c>
      <c r="D3168">
        <v>0</v>
      </c>
    </row>
    <row r="3169" spans="1:4" x14ac:dyDescent="0.25">
      <c r="A3169" s="279">
        <v>39248</v>
      </c>
      <c r="B3169" t="s">
        <v>339</v>
      </c>
      <c r="C3169" t="s">
        <v>14</v>
      </c>
      <c r="D3169">
        <v>1038</v>
      </c>
    </row>
    <row r="3170" spans="1:4" x14ac:dyDescent="0.25">
      <c r="A3170" s="279">
        <v>39249</v>
      </c>
      <c r="B3170" t="s">
        <v>338</v>
      </c>
      <c r="C3170" t="s">
        <v>81</v>
      </c>
      <c r="D3170">
        <v>0</v>
      </c>
    </row>
    <row r="3171" spans="1:4" x14ac:dyDescent="0.25">
      <c r="A3171" s="279">
        <v>39249</v>
      </c>
      <c r="B3171" t="s">
        <v>338</v>
      </c>
      <c r="C3171" t="s">
        <v>82</v>
      </c>
      <c r="D3171">
        <v>0</v>
      </c>
    </row>
    <row r="3172" spans="1:4" x14ac:dyDescent="0.25">
      <c r="A3172" s="279">
        <v>39249</v>
      </c>
      <c r="B3172" t="s">
        <v>338</v>
      </c>
      <c r="C3172" t="s">
        <v>84</v>
      </c>
      <c r="D3172">
        <v>220</v>
      </c>
    </row>
    <row r="3173" spans="1:4" x14ac:dyDescent="0.25">
      <c r="A3173" s="279">
        <v>39249</v>
      </c>
      <c r="B3173" t="s">
        <v>338</v>
      </c>
      <c r="C3173" t="s">
        <v>83</v>
      </c>
      <c r="D3173">
        <v>0</v>
      </c>
    </row>
    <row r="3174" spans="1:4" x14ac:dyDescent="0.25">
      <c r="A3174" s="279">
        <v>39249</v>
      </c>
      <c r="B3174" t="s">
        <v>338</v>
      </c>
      <c r="C3174" t="s">
        <v>14</v>
      </c>
      <c r="D3174">
        <v>1035</v>
      </c>
    </row>
    <row r="3175" spans="1:4" x14ac:dyDescent="0.25">
      <c r="A3175" s="279">
        <v>39249</v>
      </c>
      <c r="B3175" t="s">
        <v>339</v>
      </c>
      <c r="C3175" t="s">
        <v>20</v>
      </c>
      <c r="D3175">
        <v>60906</v>
      </c>
    </row>
    <row r="3176" spans="1:4" x14ac:dyDescent="0.25">
      <c r="A3176" s="279">
        <v>39249</v>
      </c>
      <c r="B3176" t="s">
        <v>339</v>
      </c>
      <c r="C3176" t="s">
        <v>85</v>
      </c>
      <c r="D3176">
        <v>6398</v>
      </c>
    </row>
    <row r="3177" spans="1:4" x14ac:dyDescent="0.25">
      <c r="A3177" s="279">
        <v>39249</v>
      </c>
      <c r="B3177" t="s">
        <v>339</v>
      </c>
      <c r="C3177" t="s">
        <v>86</v>
      </c>
      <c r="D3177">
        <v>0</v>
      </c>
    </row>
    <row r="3178" spans="1:4" x14ac:dyDescent="0.25">
      <c r="A3178" s="279">
        <v>39249</v>
      </c>
      <c r="B3178" t="s">
        <v>339</v>
      </c>
      <c r="C3178" t="s">
        <v>87</v>
      </c>
      <c r="D3178">
        <v>0</v>
      </c>
    </row>
    <row r="3179" spans="1:4" x14ac:dyDescent="0.25">
      <c r="A3179" s="279">
        <v>39249</v>
      </c>
      <c r="B3179" t="s">
        <v>339</v>
      </c>
      <c r="C3179" t="s">
        <v>88</v>
      </c>
      <c r="D3179">
        <v>0</v>
      </c>
    </row>
    <row r="3180" spans="1:4" x14ac:dyDescent="0.25">
      <c r="A3180" s="279">
        <v>39249</v>
      </c>
      <c r="B3180" t="s">
        <v>339</v>
      </c>
      <c r="C3180" t="s">
        <v>14</v>
      </c>
      <c r="D3180">
        <v>1038</v>
      </c>
    </row>
    <row r="3181" spans="1:4" x14ac:dyDescent="0.25">
      <c r="A3181" s="279">
        <v>39250</v>
      </c>
      <c r="B3181" t="s">
        <v>338</v>
      </c>
      <c r="C3181" t="s">
        <v>81</v>
      </c>
      <c r="D3181">
        <v>0</v>
      </c>
    </row>
    <row r="3182" spans="1:4" x14ac:dyDescent="0.25">
      <c r="A3182" s="279">
        <v>39250</v>
      </c>
      <c r="B3182" t="s">
        <v>338</v>
      </c>
      <c r="C3182" t="s">
        <v>82</v>
      </c>
      <c r="D3182">
        <v>0</v>
      </c>
    </row>
    <row r="3183" spans="1:4" x14ac:dyDescent="0.25">
      <c r="A3183" s="279">
        <v>39250</v>
      </c>
      <c r="B3183" t="s">
        <v>338</v>
      </c>
      <c r="C3183" t="s">
        <v>84</v>
      </c>
      <c r="D3183">
        <v>210</v>
      </c>
    </row>
    <row r="3184" spans="1:4" x14ac:dyDescent="0.25">
      <c r="A3184" s="279">
        <v>39250</v>
      </c>
      <c r="B3184" t="s">
        <v>338</v>
      </c>
      <c r="C3184" t="s">
        <v>83</v>
      </c>
      <c r="D3184">
        <v>0</v>
      </c>
    </row>
    <row r="3185" spans="1:4" x14ac:dyDescent="0.25">
      <c r="A3185" s="279">
        <v>39250</v>
      </c>
      <c r="B3185" t="s">
        <v>338</v>
      </c>
      <c r="C3185" t="s">
        <v>14</v>
      </c>
      <c r="D3185">
        <v>1033</v>
      </c>
    </row>
    <row r="3186" spans="1:4" x14ac:dyDescent="0.25">
      <c r="A3186" s="279">
        <v>39250</v>
      </c>
      <c r="B3186" t="s">
        <v>339</v>
      </c>
      <c r="C3186" t="s">
        <v>20</v>
      </c>
      <c r="D3186">
        <v>59919</v>
      </c>
    </row>
    <row r="3187" spans="1:4" x14ac:dyDescent="0.25">
      <c r="A3187" s="279">
        <v>39250</v>
      </c>
      <c r="B3187" t="s">
        <v>339</v>
      </c>
      <c r="C3187" t="s">
        <v>85</v>
      </c>
      <c r="D3187">
        <v>8916</v>
      </c>
    </row>
    <row r="3188" spans="1:4" x14ac:dyDescent="0.25">
      <c r="A3188" s="279">
        <v>39250</v>
      </c>
      <c r="B3188" t="s">
        <v>339</v>
      </c>
      <c r="C3188" t="s">
        <v>86</v>
      </c>
      <c r="D3188">
        <v>0</v>
      </c>
    </row>
    <row r="3189" spans="1:4" x14ac:dyDescent="0.25">
      <c r="A3189" s="279">
        <v>39250</v>
      </c>
      <c r="B3189" t="s">
        <v>339</v>
      </c>
      <c r="C3189" t="s">
        <v>87</v>
      </c>
      <c r="D3189">
        <v>0</v>
      </c>
    </row>
    <row r="3190" spans="1:4" x14ac:dyDescent="0.25">
      <c r="A3190" s="279">
        <v>39250</v>
      </c>
      <c r="B3190" t="s">
        <v>339</v>
      </c>
      <c r="C3190" t="s">
        <v>88</v>
      </c>
      <c r="D3190">
        <v>0</v>
      </c>
    </row>
    <row r="3191" spans="1:4" x14ac:dyDescent="0.25">
      <c r="A3191" s="279">
        <v>39250</v>
      </c>
      <c r="B3191" t="s">
        <v>339</v>
      </c>
      <c r="C3191" t="s">
        <v>14</v>
      </c>
      <c r="D3191">
        <v>1037</v>
      </c>
    </row>
    <row r="3192" spans="1:4" x14ac:dyDescent="0.25">
      <c r="A3192" s="279">
        <v>39251</v>
      </c>
      <c r="B3192" t="s">
        <v>338</v>
      </c>
      <c r="C3192" t="s">
        <v>81</v>
      </c>
      <c r="D3192">
        <v>0</v>
      </c>
    </row>
    <row r="3193" spans="1:4" x14ac:dyDescent="0.25">
      <c r="A3193" s="279">
        <v>39251</v>
      </c>
      <c r="B3193" t="s">
        <v>338</v>
      </c>
      <c r="C3193" t="s">
        <v>82</v>
      </c>
      <c r="D3193">
        <v>0</v>
      </c>
    </row>
    <row r="3194" spans="1:4" x14ac:dyDescent="0.25">
      <c r="A3194" s="279">
        <v>39251</v>
      </c>
      <c r="B3194" t="s">
        <v>338</v>
      </c>
      <c r="C3194" t="s">
        <v>84</v>
      </c>
      <c r="D3194">
        <v>240</v>
      </c>
    </row>
    <row r="3195" spans="1:4" x14ac:dyDescent="0.25">
      <c r="A3195" s="279">
        <v>39251</v>
      </c>
      <c r="B3195" t="s">
        <v>338</v>
      </c>
      <c r="C3195" t="s">
        <v>83</v>
      </c>
      <c r="D3195">
        <v>0</v>
      </c>
    </row>
    <row r="3196" spans="1:4" x14ac:dyDescent="0.25">
      <c r="A3196" s="279">
        <v>39251</v>
      </c>
      <c r="B3196" t="s">
        <v>338</v>
      </c>
      <c r="C3196" t="s">
        <v>14</v>
      </c>
      <c r="D3196">
        <v>1034</v>
      </c>
    </row>
    <row r="3197" spans="1:4" x14ac:dyDescent="0.25">
      <c r="A3197" s="279">
        <v>39251</v>
      </c>
      <c r="B3197" t="s">
        <v>339</v>
      </c>
      <c r="C3197" t="s">
        <v>20</v>
      </c>
      <c r="D3197">
        <v>65823</v>
      </c>
    </row>
    <row r="3198" spans="1:4" x14ac:dyDescent="0.25">
      <c r="A3198" s="279">
        <v>39251</v>
      </c>
      <c r="B3198" t="s">
        <v>339</v>
      </c>
      <c r="C3198" t="s">
        <v>85</v>
      </c>
      <c r="D3198">
        <v>7743</v>
      </c>
    </row>
    <row r="3199" spans="1:4" x14ac:dyDescent="0.25">
      <c r="A3199" s="279">
        <v>39251</v>
      </c>
      <c r="B3199" t="s">
        <v>339</v>
      </c>
      <c r="C3199" t="s">
        <v>86</v>
      </c>
      <c r="D3199">
        <v>0</v>
      </c>
    </row>
    <row r="3200" spans="1:4" x14ac:dyDescent="0.25">
      <c r="A3200" s="279">
        <v>39251</v>
      </c>
      <c r="B3200" t="s">
        <v>339</v>
      </c>
      <c r="C3200" t="s">
        <v>87</v>
      </c>
      <c r="D3200">
        <v>0</v>
      </c>
    </row>
    <row r="3201" spans="1:4" x14ac:dyDescent="0.25">
      <c r="A3201" s="279">
        <v>39251</v>
      </c>
      <c r="B3201" t="s">
        <v>339</v>
      </c>
      <c r="C3201" t="s">
        <v>88</v>
      </c>
      <c r="D3201">
        <v>0</v>
      </c>
    </row>
    <row r="3202" spans="1:4" x14ac:dyDescent="0.25">
      <c r="A3202" s="279">
        <v>39251</v>
      </c>
      <c r="B3202" t="s">
        <v>339</v>
      </c>
      <c r="C3202" t="s">
        <v>14</v>
      </c>
      <c r="D3202">
        <v>1045</v>
      </c>
    </row>
    <row r="3203" spans="1:4" x14ac:dyDescent="0.25">
      <c r="A3203" s="279">
        <v>39252</v>
      </c>
      <c r="B3203" t="s">
        <v>338</v>
      </c>
      <c r="C3203" t="s">
        <v>81</v>
      </c>
      <c r="D3203">
        <v>0</v>
      </c>
    </row>
    <row r="3204" spans="1:4" x14ac:dyDescent="0.25">
      <c r="A3204" s="279">
        <v>39252</v>
      </c>
      <c r="B3204" t="s">
        <v>338</v>
      </c>
      <c r="C3204" t="s">
        <v>82</v>
      </c>
      <c r="D3204">
        <v>0</v>
      </c>
    </row>
    <row r="3205" spans="1:4" x14ac:dyDescent="0.25">
      <c r="A3205" s="279">
        <v>39252</v>
      </c>
      <c r="B3205" t="s">
        <v>338</v>
      </c>
      <c r="C3205" t="s">
        <v>84</v>
      </c>
      <c r="D3205">
        <v>230</v>
      </c>
    </row>
    <row r="3206" spans="1:4" x14ac:dyDescent="0.25">
      <c r="A3206" s="279">
        <v>39252</v>
      </c>
      <c r="B3206" t="s">
        <v>338</v>
      </c>
      <c r="C3206" t="s">
        <v>83</v>
      </c>
      <c r="D3206">
        <v>0</v>
      </c>
    </row>
    <row r="3207" spans="1:4" x14ac:dyDescent="0.25">
      <c r="A3207" s="279">
        <v>39252</v>
      </c>
      <c r="B3207" t="s">
        <v>338</v>
      </c>
      <c r="C3207" t="s">
        <v>14</v>
      </c>
      <c r="D3207">
        <v>1034</v>
      </c>
    </row>
    <row r="3208" spans="1:4" x14ac:dyDescent="0.25">
      <c r="A3208" s="279">
        <v>39252</v>
      </c>
      <c r="B3208" t="s">
        <v>339</v>
      </c>
      <c r="C3208" t="s">
        <v>20</v>
      </c>
      <c r="D3208">
        <v>62543</v>
      </c>
    </row>
    <row r="3209" spans="1:4" x14ac:dyDescent="0.25">
      <c r="A3209" s="279">
        <v>39252</v>
      </c>
      <c r="B3209" t="s">
        <v>339</v>
      </c>
      <c r="C3209" t="s">
        <v>85</v>
      </c>
      <c r="D3209">
        <v>8328</v>
      </c>
    </row>
    <row r="3210" spans="1:4" x14ac:dyDescent="0.25">
      <c r="A3210" s="279">
        <v>39252</v>
      </c>
      <c r="B3210" t="s">
        <v>339</v>
      </c>
      <c r="C3210" t="s">
        <v>86</v>
      </c>
      <c r="D3210">
        <v>0</v>
      </c>
    </row>
    <row r="3211" spans="1:4" x14ac:dyDescent="0.25">
      <c r="A3211" s="279">
        <v>39252</v>
      </c>
      <c r="B3211" t="s">
        <v>339</v>
      </c>
      <c r="C3211" t="s">
        <v>87</v>
      </c>
      <c r="D3211">
        <v>0</v>
      </c>
    </row>
    <row r="3212" spans="1:4" x14ac:dyDescent="0.25">
      <c r="A3212" s="279">
        <v>39252</v>
      </c>
      <c r="B3212" t="s">
        <v>339</v>
      </c>
      <c r="C3212" t="s">
        <v>88</v>
      </c>
      <c r="D3212">
        <v>0</v>
      </c>
    </row>
    <row r="3213" spans="1:4" x14ac:dyDescent="0.25">
      <c r="A3213" s="279">
        <v>39252</v>
      </c>
      <c r="B3213" t="s">
        <v>339</v>
      </c>
      <c r="C3213" t="s">
        <v>14</v>
      </c>
      <c r="D3213">
        <v>1041</v>
      </c>
    </row>
    <row r="3214" spans="1:4" x14ac:dyDescent="0.25">
      <c r="A3214" s="279">
        <v>39253</v>
      </c>
      <c r="B3214" t="s">
        <v>338</v>
      </c>
      <c r="C3214" t="s">
        <v>81</v>
      </c>
      <c r="D3214">
        <v>0</v>
      </c>
    </row>
    <row r="3215" spans="1:4" x14ac:dyDescent="0.25">
      <c r="A3215" s="279">
        <v>39253</v>
      </c>
      <c r="B3215" t="s">
        <v>338</v>
      </c>
      <c r="C3215" t="s">
        <v>82</v>
      </c>
      <c r="D3215">
        <v>0</v>
      </c>
    </row>
    <row r="3216" spans="1:4" x14ac:dyDescent="0.25">
      <c r="A3216" s="279">
        <v>39253</v>
      </c>
      <c r="B3216" t="s">
        <v>338</v>
      </c>
      <c r="C3216" t="s">
        <v>84</v>
      </c>
      <c r="D3216">
        <v>240</v>
      </c>
    </row>
    <row r="3217" spans="1:4" x14ac:dyDescent="0.25">
      <c r="A3217" s="279">
        <v>39253</v>
      </c>
      <c r="B3217" t="s">
        <v>338</v>
      </c>
      <c r="C3217" t="s">
        <v>83</v>
      </c>
      <c r="D3217">
        <v>0</v>
      </c>
    </row>
    <row r="3218" spans="1:4" x14ac:dyDescent="0.25">
      <c r="A3218" s="279">
        <v>39253</v>
      </c>
      <c r="B3218" t="s">
        <v>338</v>
      </c>
      <c r="C3218" t="s">
        <v>14</v>
      </c>
      <c r="D3218">
        <v>1033</v>
      </c>
    </row>
    <row r="3219" spans="1:4" x14ac:dyDescent="0.25">
      <c r="A3219" s="279">
        <v>39253</v>
      </c>
      <c r="B3219" t="s">
        <v>339</v>
      </c>
      <c r="C3219" t="s">
        <v>20</v>
      </c>
      <c r="D3219">
        <v>55114</v>
      </c>
    </row>
    <row r="3220" spans="1:4" x14ac:dyDescent="0.25">
      <c r="A3220" s="279">
        <v>39253</v>
      </c>
      <c r="B3220" t="s">
        <v>339</v>
      </c>
      <c r="C3220" t="s">
        <v>85</v>
      </c>
      <c r="D3220">
        <v>6724</v>
      </c>
    </row>
    <row r="3221" spans="1:4" x14ac:dyDescent="0.25">
      <c r="A3221" s="279">
        <v>39253</v>
      </c>
      <c r="B3221" t="s">
        <v>339</v>
      </c>
      <c r="C3221" t="s">
        <v>86</v>
      </c>
      <c r="D3221">
        <v>0</v>
      </c>
    </row>
    <row r="3222" spans="1:4" x14ac:dyDescent="0.25">
      <c r="A3222" s="279">
        <v>39253</v>
      </c>
      <c r="B3222" t="s">
        <v>339</v>
      </c>
      <c r="C3222" t="s">
        <v>87</v>
      </c>
      <c r="D3222">
        <v>0</v>
      </c>
    </row>
    <row r="3223" spans="1:4" x14ac:dyDescent="0.25">
      <c r="A3223" s="279">
        <v>39253</v>
      </c>
      <c r="B3223" t="s">
        <v>339</v>
      </c>
      <c r="C3223" t="s">
        <v>88</v>
      </c>
      <c r="D3223">
        <v>10431</v>
      </c>
    </row>
    <row r="3224" spans="1:4" x14ac:dyDescent="0.25">
      <c r="A3224" s="279">
        <v>39253</v>
      </c>
      <c r="B3224" t="s">
        <v>339</v>
      </c>
      <c r="C3224" t="s">
        <v>14</v>
      </c>
      <c r="D3224">
        <v>1042</v>
      </c>
    </row>
    <row r="3225" spans="1:4" x14ac:dyDescent="0.25">
      <c r="A3225" s="279">
        <v>39254</v>
      </c>
      <c r="B3225" t="s">
        <v>338</v>
      </c>
      <c r="C3225" t="s">
        <v>81</v>
      </c>
      <c r="D3225">
        <v>0</v>
      </c>
    </row>
    <row r="3226" spans="1:4" x14ac:dyDescent="0.25">
      <c r="A3226" s="279">
        <v>39254</v>
      </c>
      <c r="B3226" t="s">
        <v>338</v>
      </c>
      <c r="C3226" t="s">
        <v>82</v>
      </c>
      <c r="D3226">
        <v>0</v>
      </c>
    </row>
    <row r="3227" spans="1:4" x14ac:dyDescent="0.25">
      <c r="A3227" s="279">
        <v>39254</v>
      </c>
      <c r="B3227" t="s">
        <v>338</v>
      </c>
      <c r="C3227" t="s">
        <v>84</v>
      </c>
      <c r="D3227">
        <v>250</v>
      </c>
    </row>
    <row r="3228" spans="1:4" x14ac:dyDescent="0.25">
      <c r="A3228" s="279">
        <v>39254</v>
      </c>
      <c r="B3228" t="s">
        <v>338</v>
      </c>
      <c r="C3228" t="s">
        <v>83</v>
      </c>
      <c r="D3228">
        <v>0</v>
      </c>
    </row>
    <row r="3229" spans="1:4" x14ac:dyDescent="0.25">
      <c r="A3229" s="279">
        <v>39254</v>
      </c>
      <c r="B3229" t="s">
        <v>338</v>
      </c>
      <c r="C3229" t="s">
        <v>14</v>
      </c>
      <c r="D3229">
        <v>1035</v>
      </c>
    </row>
    <row r="3230" spans="1:4" x14ac:dyDescent="0.25">
      <c r="A3230" s="279">
        <v>39254</v>
      </c>
      <c r="B3230" t="s">
        <v>339</v>
      </c>
      <c r="C3230" t="s">
        <v>20</v>
      </c>
      <c r="D3230">
        <v>46600</v>
      </c>
    </row>
    <row r="3231" spans="1:4" x14ac:dyDescent="0.25">
      <c r="A3231" s="279">
        <v>39254</v>
      </c>
      <c r="B3231" t="s">
        <v>339</v>
      </c>
      <c r="C3231" t="s">
        <v>85</v>
      </c>
      <c r="D3231">
        <v>6328</v>
      </c>
    </row>
    <row r="3232" spans="1:4" x14ac:dyDescent="0.25">
      <c r="A3232" s="279">
        <v>39254</v>
      </c>
      <c r="B3232" t="s">
        <v>339</v>
      </c>
      <c r="C3232" t="s">
        <v>86</v>
      </c>
      <c r="D3232">
        <v>0</v>
      </c>
    </row>
    <row r="3233" spans="1:4" x14ac:dyDescent="0.25">
      <c r="A3233" s="279">
        <v>39254</v>
      </c>
      <c r="B3233" t="s">
        <v>339</v>
      </c>
      <c r="C3233" t="s">
        <v>87</v>
      </c>
      <c r="D3233">
        <v>0</v>
      </c>
    </row>
    <row r="3234" spans="1:4" x14ac:dyDescent="0.25">
      <c r="A3234" s="279">
        <v>39254</v>
      </c>
      <c r="B3234" t="s">
        <v>339</v>
      </c>
      <c r="C3234" t="s">
        <v>88</v>
      </c>
      <c r="D3234">
        <v>16867</v>
      </c>
    </row>
    <row r="3235" spans="1:4" x14ac:dyDescent="0.25">
      <c r="A3235" s="279">
        <v>39254</v>
      </c>
      <c r="B3235" t="s">
        <v>339</v>
      </c>
      <c r="C3235" t="s">
        <v>14</v>
      </c>
      <c r="D3235">
        <v>1043</v>
      </c>
    </row>
    <row r="3236" spans="1:4" x14ac:dyDescent="0.25">
      <c r="A3236" s="279">
        <v>39255</v>
      </c>
      <c r="B3236" t="s">
        <v>338</v>
      </c>
      <c r="C3236" t="s">
        <v>81</v>
      </c>
      <c r="D3236">
        <v>0</v>
      </c>
    </row>
    <row r="3237" spans="1:4" x14ac:dyDescent="0.25">
      <c r="A3237" s="279">
        <v>39255</v>
      </c>
      <c r="B3237" t="s">
        <v>338</v>
      </c>
      <c r="C3237" t="s">
        <v>82</v>
      </c>
      <c r="D3237">
        <v>0</v>
      </c>
    </row>
    <row r="3238" spans="1:4" x14ac:dyDescent="0.25">
      <c r="A3238" s="279">
        <v>39255</v>
      </c>
      <c r="B3238" t="s">
        <v>338</v>
      </c>
      <c r="C3238" t="s">
        <v>84</v>
      </c>
      <c r="D3238">
        <v>260</v>
      </c>
    </row>
    <row r="3239" spans="1:4" x14ac:dyDescent="0.25">
      <c r="A3239" s="279">
        <v>39255</v>
      </c>
      <c r="B3239" t="s">
        <v>338</v>
      </c>
      <c r="C3239" t="s">
        <v>83</v>
      </c>
      <c r="D3239">
        <v>0</v>
      </c>
    </row>
    <row r="3240" spans="1:4" x14ac:dyDescent="0.25">
      <c r="A3240" s="279">
        <v>39255</v>
      </c>
      <c r="B3240" t="s">
        <v>338</v>
      </c>
      <c r="C3240" t="s">
        <v>14</v>
      </c>
      <c r="D3240">
        <v>1038</v>
      </c>
    </row>
    <row r="3241" spans="1:4" x14ac:dyDescent="0.25">
      <c r="A3241" s="279">
        <v>39255</v>
      </c>
      <c r="B3241" t="s">
        <v>339</v>
      </c>
      <c r="C3241" t="s">
        <v>20</v>
      </c>
      <c r="D3241">
        <v>56114</v>
      </c>
    </row>
    <row r="3242" spans="1:4" x14ac:dyDescent="0.25">
      <c r="A3242" s="279">
        <v>39255</v>
      </c>
      <c r="B3242" t="s">
        <v>339</v>
      </c>
      <c r="C3242" t="s">
        <v>85</v>
      </c>
      <c r="D3242">
        <v>6137</v>
      </c>
    </row>
    <row r="3243" spans="1:4" x14ac:dyDescent="0.25">
      <c r="A3243" s="279">
        <v>39255</v>
      </c>
      <c r="B3243" t="s">
        <v>339</v>
      </c>
      <c r="C3243" t="s">
        <v>86</v>
      </c>
      <c r="D3243">
        <v>0</v>
      </c>
    </row>
    <row r="3244" spans="1:4" x14ac:dyDescent="0.25">
      <c r="A3244" s="279">
        <v>39255</v>
      </c>
      <c r="B3244" t="s">
        <v>339</v>
      </c>
      <c r="C3244" t="s">
        <v>87</v>
      </c>
      <c r="D3244">
        <v>0</v>
      </c>
    </row>
    <row r="3245" spans="1:4" x14ac:dyDescent="0.25">
      <c r="A3245" s="279">
        <v>39255</v>
      </c>
      <c r="B3245" t="s">
        <v>339</v>
      </c>
      <c r="C3245" t="s">
        <v>88</v>
      </c>
      <c r="D3245">
        <v>8179</v>
      </c>
    </row>
    <row r="3246" spans="1:4" x14ac:dyDescent="0.25">
      <c r="A3246" s="279">
        <v>39255</v>
      </c>
      <c r="B3246" t="s">
        <v>339</v>
      </c>
      <c r="C3246" t="s">
        <v>14</v>
      </c>
      <c r="D3246">
        <v>1042</v>
      </c>
    </row>
    <row r="3247" spans="1:4" x14ac:dyDescent="0.25">
      <c r="A3247" s="279">
        <v>39256</v>
      </c>
      <c r="B3247" t="s">
        <v>338</v>
      </c>
      <c r="C3247" t="s">
        <v>81</v>
      </c>
      <c r="D3247">
        <v>0</v>
      </c>
    </row>
    <row r="3248" spans="1:4" x14ac:dyDescent="0.25">
      <c r="A3248" s="279">
        <v>39256</v>
      </c>
      <c r="B3248" t="s">
        <v>338</v>
      </c>
      <c r="C3248" t="s">
        <v>82</v>
      </c>
      <c r="D3248">
        <v>0</v>
      </c>
    </row>
    <row r="3249" spans="1:4" x14ac:dyDescent="0.25">
      <c r="A3249" s="279">
        <v>39256</v>
      </c>
      <c r="B3249" t="s">
        <v>338</v>
      </c>
      <c r="C3249" t="s">
        <v>84</v>
      </c>
      <c r="D3249">
        <v>230</v>
      </c>
    </row>
    <row r="3250" spans="1:4" x14ac:dyDescent="0.25">
      <c r="A3250" s="279">
        <v>39256</v>
      </c>
      <c r="B3250" t="s">
        <v>338</v>
      </c>
      <c r="C3250" t="s">
        <v>83</v>
      </c>
      <c r="D3250">
        <v>0</v>
      </c>
    </row>
    <row r="3251" spans="1:4" x14ac:dyDescent="0.25">
      <c r="A3251" s="279">
        <v>39256</v>
      </c>
      <c r="B3251" t="s">
        <v>338</v>
      </c>
      <c r="C3251" t="s">
        <v>14</v>
      </c>
      <c r="D3251">
        <v>1035</v>
      </c>
    </row>
    <row r="3252" spans="1:4" x14ac:dyDescent="0.25">
      <c r="A3252" s="279">
        <v>39256</v>
      </c>
      <c r="B3252" t="s">
        <v>339</v>
      </c>
      <c r="C3252" t="s">
        <v>20</v>
      </c>
      <c r="D3252">
        <v>61422</v>
      </c>
    </row>
    <row r="3253" spans="1:4" x14ac:dyDescent="0.25">
      <c r="A3253" s="279">
        <v>39256</v>
      </c>
      <c r="B3253" t="s">
        <v>339</v>
      </c>
      <c r="C3253" t="s">
        <v>85</v>
      </c>
      <c r="D3253">
        <v>7315</v>
      </c>
    </row>
    <row r="3254" spans="1:4" x14ac:dyDescent="0.25">
      <c r="A3254" s="279">
        <v>39256</v>
      </c>
      <c r="B3254" t="s">
        <v>339</v>
      </c>
      <c r="C3254" t="s">
        <v>86</v>
      </c>
      <c r="D3254">
        <v>0</v>
      </c>
    </row>
    <row r="3255" spans="1:4" x14ac:dyDescent="0.25">
      <c r="A3255" s="279">
        <v>39256</v>
      </c>
      <c r="B3255" t="s">
        <v>339</v>
      </c>
      <c r="C3255" t="s">
        <v>87</v>
      </c>
      <c r="D3255">
        <v>0</v>
      </c>
    </row>
    <row r="3256" spans="1:4" x14ac:dyDescent="0.25">
      <c r="A3256" s="279">
        <v>39256</v>
      </c>
      <c r="B3256" t="s">
        <v>339</v>
      </c>
      <c r="C3256" t="s">
        <v>88</v>
      </c>
      <c r="D3256">
        <v>0</v>
      </c>
    </row>
    <row r="3257" spans="1:4" x14ac:dyDescent="0.25">
      <c r="A3257" s="279">
        <v>39256</v>
      </c>
      <c r="B3257" t="s">
        <v>339</v>
      </c>
      <c r="C3257" t="s">
        <v>14</v>
      </c>
      <c r="D3257">
        <v>1038</v>
      </c>
    </row>
    <row r="3258" spans="1:4" x14ac:dyDescent="0.25">
      <c r="A3258" s="279">
        <v>39257</v>
      </c>
      <c r="B3258" t="s">
        <v>338</v>
      </c>
      <c r="C3258" t="s">
        <v>81</v>
      </c>
      <c r="D3258">
        <v>0</v>
      </c>
    </row>
    <row r="3259" spans="1:4" x14ac:dyDescent="0.25">
      <c r="A3259" s="279">
        <v>39257</v>
      </c>
      <c r="B3259" t="s">
        <v>338</v>
      </c>
      <c r="C3259" t="s">
        <v>82</v>
      </c>
      <c r="D3259">
        <v>0</v>
      </c>
    </row>
    <row r="3260" spans="1:4" x14ac:dyDescent="0.25">
      <c r="A3260" s="279">
        <v>39257</v>
      </c>
      <c r="B3260" t="s">
        <v>338</v>
      </c>
      <c r="C3260" t="s">
        <v>84</v>
      </c>
      <c r="D3260">
        <v>210</v>
      </c>
    </row>
    <row r="3261" spans="1:4" x14ac:dyDescent="0.25">
      <c r="A3261" s="279">
        <v>39257</v>
      </c>
      <c r="B3261" t="s">
        <v>338</v>
      </c>
      <c r="C3261" t="s">
        <v>83</v>
      </c>
      <c r="D3261">
        <v>0</v>
      </c>
    </row>
    <row r="3262" spans="1:4" x14ac:dyDescent="0.25">
      <c r="A3262" s="279">
        <v>39257</v>
      </c>
      <c r="B3262" t="s">
        <v>338</v>
      </c>
      <c r="C3262" t="s">
        <v>14</v>
      </c>
      <c r="D3262">
        <v>1035</v>
      </c>
    </row>
    <row r="3263" spans="1:4" x14ac:dyDescent="0.25">
      <c r="A3263" s="279">
        <v>39257</v>
      </c>
      <c r="B3263" t="s">
        <v>339</v>
      </c>
      <c r="C3263" t="s">
        <v>20</v>
      </c>
      <c r="D3263">
        <v>63987</v>
      </c>
    </row>
    <row r="3264" spans="1:4" x14ac:dyDescent="0.25">
      <c r="A3264" s="279">
        <v>39257</v>
      </c>
      <c r="B3264" t="s">
        <v>339</v>
      </c>
      <c r="C3264" t="s">
        <v>85</v>
      </c>
      <c r="D3264">
        <v>6014</v>
      </c>
    </row>
    <row r="3265" spans="1:4" x14ac:dyDescent="0.25">
      <c r="A3265" s="279">
        <v>39257</v>
      </c>
      <c r="B3265" t="s">
        <v>339</v>
      </c>
      <c r="C3265" t="s">
        <v>86</v>
      </c>
      <c r="D3265">
        <v>0</v>
      </c>
    </row>
    <row r="3266" spans="1:4" x14ac:dyDescent="0.25">
      <c r="A3266" s="279">
        <v>39257</v>
      </c>
      <c r="B3266" t="s">
        <v>339</v>
      </c>
      <c r="C3266" t="s">
        <v>87</v>
      </c>
      <c r="D3266">
        <v>0</v>
      </c>
    </row>
    <row r="3267" spans="1:4" x14ac:dyDescent="0.25">
      <c r="A3267" s="279">
        <v>39257</v>
      </c>
      <c r="B3267" t="s">
        <v>339</v>
      </c>
      <c r="C3267" t="s">
        <v>88</v>
      </c>
      <c r="D3267">
        <v>0</v>
      </c>
    </row>
    <row r="3268" spans="1:4" x14ac:dyDescent="0.25">
      <c r="A3268" s="279">
        <v>39257</v>
      </c>
      <c r="B3268" t="s">
        <v>339</v>
      </c>
      <c r="C3268" t="s">
        <v>14</v>
      </c>
      <c r="D3268">
        <v>1038</v>
      </c>
    </row>
    <row r="3269" spans="1:4" x14ac:dyDescent="0.25">
      <c r="A3269" s="279">
        <v>39258</v>
      </c>
      <c r="B3269" t="s">
        <v>338</v>
      </c>
      <c r="C3269" t="s">
        <v>81</v>
      </c>
      <c r="D3269">
        <v>0</v>
      </c>
    </row>
    <row r="3270" spans="1:4" x14ac:dyDescent="0.25">
      <c r="A3270" s="279">
        <v>39258</v>
      </c>
      <c r="B3270" t="s">
        <v>338</v>
      </c>
      <c r="C3270" t="s">
        <v>82</v>
      </c>
      <c r="D3270">
        <v>0</v>
      </c>
    </row>
    <row r="3271" spans="1:4" x14ac:dyDescent="0.25">
      <c r="A3271" s="279">
        <v>39258</v>
      </c>
      <c r="B3271" t="s">
        <v>338</v>
      </c>
      <c r="C3271" t="s">
        <v>84</v>
      </c>
      <c r="D3271">
        <v>240</v>
      </c>
    </row>
    <row r="3272" spans="1:4" x14ac:dyDescent="0.25">
      <c r="A3272" s="279">
        <v>39258</v>
      </c>
      <c r="B3272" t="s">
        <v>338</v>
      </c>
      <c r="C3272" t="s">
        <v>83</v>
      </c>
      <c r="D3272">
        <v>0</v>
      </c>
    </row>
    <row r="3273" spans="1:4" x14ac:dyDescent="0.25">
      <c r="A3273" s="279">
        <v>39258</v>
      </c>
      <c r="B3273" t="s">
        <v>338</v>
      </c>
      <c r="C3273" t="s">
        <v>14</v>
      </c>
      <c r="D3273">
        <v>1035</v>
      </c>
    </row>
    <row r="3274" spans="1:4" x14ac:dyDescent="0.25">
      <c r="A3274" s="279">
        <v>39258</v>
      </c>
      <c r="B3274" t="s">
        <v>339</v>
      </c>
      <c r="C3274" t="s">
        <v>20</v>
      </c>
      <c r="D3274">
        <v>68098</v>
      </c>
    </row>
    <row r="3275" spans="1:4" x14ac:dyDescent="0.25">
      <c r="A3275" s="279">
        <v>39258</v>
      </c>
      <c r="B3275" t="s">
        <v>339</v>
      </c>
      <c r="C3275" t="s">
        <v>85</v>
      </c>
      <c r="D3275">
        <v>6430</v>
      </c>
    </row>
    <row r="3276" spans="1:4" x14ac:dyDescent="0.25">
      <c r="A3276" s="279">
        <v>39258</v>
      </c>
      <c r="B3276" t="s">
        <v>339</v>
      </c>
      <c r="C3276" t="s">
        <v>86</v>
      </c>
      <c r="D3276">
        <v>0</v>
      </c>
    </row>
    <row r="3277" spans="1:4" x14ac:dyDescent="0.25">
      <c r="A3277" s="279">
        <v>39258</v>
      </c>
      <c r="B3277" t="s">
        <v>339</v>
      </c>
      <c r="C3277" t="s">
        <v>87</v>
      </c>
      <c r="D3277">
        <v>0</v>
      </c>
    </row>
    <row r="3278" spans="1:4" x14ac:dyDescent="0.25">
      <c r="A3278" s="279">
        <v>39258</v>
      </c>
      <c r="B3278" t="s">
        <v>339</v>
      </c>
      <c r="C3278" t="s">
        <v>88</v>
      </c>
      <c r="D3278">
        <v>0</v>
      </c>
    </row>
    <row r="3279" spans="1:4" x14ac:dyDescent="0.25">
      <c r="A3279" s="279">
        <v>39258</v>
      </c>
      <c r="B3279" t="s">
        <v>339</v>
      </c>
      <c r="C3279" t="s">
        <v>14</v>
      </c>
      <c r="D3279">
        <v>1034</v>
      </c>
    </row>
    <row r="3280" spans="1:4" x14ac:dyDescent="0.25">
      <c r="A3280" s="279">
        <v>39259</v>
      </c>
      <c r="B3280" t="s">
        <v>338</v>
      </c>
      <c r="C3280" t="s">
        <v>81</v>
      </c>
      <c r="D3280">
        <v>0</v>
      </c>
    </row>
    <row r="3281" spans="1:4" x14ac:dyDescent="0.25">
      <c r="A3281" s="279">
        <v>39259</v>
      </c>
      <c r="B3281" t="s">
        <v>338</v>
      </c>
      <c r="C3281" t="s">
        <v>82</v>
      </c>
      <c r="D3281">
        <v>0</v>
      </c>
    </row>
    <row r="3282" spans="1:4" x14ac:dyDescent="0.25">
      <c r="A3282" s="279">
        <v>39259</v>
      </c>
      <c r="B3282" t="s">
        <v>338</v>
      </c>
      <c r="C3282" t="s">
        <v>84</v>
      </c>
      <c r="D3282">
        <v>240</v>
      </c>
    </row>
    <row r="3283" spans="1:4" x14ac:dyDescent="0.25">
      <c r="A3283" s="279">
        <v>39259</v>
      </c>
      <c r="B3283" t="s">
        <v>338</v>
      </c>
      <c r="C3283" t="s">
        <v>83</v>
      </c>
      <c r="D3283">
        <v>0</v>
      </c>
    </row>
    <row r="3284" spans="1:4" x14ac:dyDescent="0.25">
      <c r="A3284" s="279">
        <v>39259</v>
      </c>
      <c r="B3284" t="s">
        <v>338</v>
      </c>
      <c r="C3284" t="s">
        <v>14</v>
      </c>
      <c r="D3284">
        <v>1037</v>
      </c>
    </row>
    <row r="3285" spans="1:4" x14ac:dyDescent="0.25">
      <c r="A3285" s="279">
        <v>39259</v>
      </c>
      <c r="B3285" t="s">
        <v>339</v>
      </c>
      <c r="C3285" t="s">
        <v>20</v>
      </c>
      <c r="D3285">
        <v>64243</v>
      </c>
    </row>
    <row r="3286" spans="1:4" x14ac:dyDescent="0.25">
      <c r="A3286" s="279">
        <v>39259</v>
      </c>
      <c r="B3286" t="s">
        <v>339</v>
      </c>
      <c r="C3286" t="s">
        <v>85</v>
      </c>
      <c r="D3286">
        <v>6503</v>
      </c>
    </row>
    <row r="3287" spans="1:4" x14ac:dyDescent="0.25">
      <c r="A3287" s="279">
        <v>39259</v>
      </c>
      <c r="B3287" t="s">
        <v>339</v>
      </c>
      <c r="C3287" t="s">
        <v>86</v>
      </c>
      <c r="D3287">
        <v>0</v>
      </c>
    </row>
    <row r="3288" spans="1:4" x14ac:dyDescent="0.25">
      <c r="A3288" s="279">
        <v>39259</v>
      </c>
      <c r="B3288" t="s">
        <v>339</v>
      </c>
      <c r="C3288" t="s">
        <v>87</v>
      </c>
      <c r="D3288">
        <v>0</v>
      </c>
    </row>
    <row r="3289" spans="1:4" x14ac:dyDescent="0.25">
      <c r="A3289" s="279">
        <v>39259</v>
      </c>
      <c r="B3289" t="s">
        <v>339</v>
      </c>
      <c r="C3289" t="s">
        <v>88</v>
      </c>
      <c r="D3289">
        <v>0</v>
      </c>
    </row>
    <row r="3290" spans="1:4" x14ac:dyDescent="0.25">
      <c r="A3290" s="279">
        <v>39259</v>
      </c>
      <c r="B3290" t="s">
        <v>339</v>
      </c>
      <c r="C3290" t="s">
        <v>14</v>
      </c>
      <c r="D3290">
        <v>1033</v>
      </c>
    </row>
    <row r="3291" spans="1:4" x14ac:dyDescent="0.25">
      <c r="A3291" s="279">
        <v>39260</v>
      </c>
      <c r="B3291" t="s">
        <v>338</v>
      </c>
      <c r="C3291" t="s">
        <v>81</v>
      </c>
      <c r="D3291">
        <v>0</v>
      </c>
    </row>
    <row r="3292" spans="1:4" x14ac:dyDescent="0.25">
      <c r="A3292" s="279">
        <v>39260</v>
      </c>
      <c r="B3292" t="s">
        <v>338</v>
      </c>
      <c r="C3292" t="s">
        <v>82</v>
      </c>
      <c r="D3292">
        <v>0</v>
      </c>
    </row>
    <row r="3293" spans="1:4" x14ac:dyDescent="0.25">
      <c r="A3293" s="279">
        <v>39260</v>
      </c>
      <c r="B3293" t="s">
        <v>338</v>
      </c>
      <c r="C3293" t="s">
        <v>84</v>
      </c>
      <c r="D3293">
        <v>240</v>
      </c>
    </row>
    <row r="3294" spans="1:4" x14ac:dyDescent="0.25">
      <c r="A3294" s="279">
        <v>39260</v>
      </c>
      <c r="B3294" t="s">
        <v>338</v>
      </c>
      <c r="C3294" t="s">
        <v>83</v>
      </c>
      <c r="D3294">
        <v>0</v>
      </c>
    </row>
    <row r="3295" spans="1:4" x14ac:dyDescent="0.25">
      <c r="A3295" s="279">
        <v>39260</v>
      </c>
      <c r="B3295" t="s">
        <v>338</v>
      </c>
      <c r="C3295" t="s">
        <v>14</v>
      </c>
      <c r="D3295">
        <v>1035</v>
      </c>
    </row>
    <row r="3296" spans="1:4" x14ac:dyDescent="0.25">
      <c r="A3296" s="279">
        <v>39260</v>
      </c>
      <c r="B3296" t="s">
        <v>339</v>
      </c>
      <c r="C3296" t="s">
        <v>20</v>
      </c>
      <c r="D3296">
        <v>60640</v>
      </c>
    </row>
    <row r="3297" spans="1:4" x14ac:dyDescent="0.25">
      <c r="A3297" s="279">
        <v>39260</v>
      </c>
      <c r="B3297" t="s">
        <v>339</v>
      </c>
      <c r="C3297" t="s">
        <v>85</v>
      </c>
      <c r="D3297">
        <v>6962</v>
      </c>
    </row>
    <row r="3298" spans="1:4" x14ac:dyDescent="0.25">
      <c r="A3298" s="279">
        <v>39260</v>
      </c>
      <c r="B3298" t="s">
        <v>339</v>
      </c>
      <c r="C3298" t="s">
        <v>86</v>
      </c>
      <c r="D3298">
        <v>0</v>
      </c>
    </row>
    <row r="3299" spans="1:4" x14ac:dyDescent="0.25">
      <c r="A3299" s="279">
        <v>39260</v>
      </c>
      <c r="B3299" t="s">
        <v>339</v>
      </c>
      <c r="C3299" t="s">
        <v>87</v>
      </c>
      <c r="D3299">
        <v>0</v>
      </c>
    </row>
    <row r="3300" spans="1:4" x14ac:dyDescent="0.25">
      <c r="A3300" s="279">
        <v>39260</v>
      </c>
      <c r="B3300" t="s">
        <v>339</v>
      </c>
      <c r="C3300" t="s">
        <v>88</v>
      </c>
      <c r="D3300">
        <v>0</v>
      </c>
    </row>
    <row r="3301" spans="1:4" x14ac:dyDescent="0.25">
      <c r="A3301" s="279">
        <v>39260</v>
      </c>
      <c r="B3301" t="s">
        <v>339</v>
      </c>
      <c r="C3301" t="s">
        <v>14</v>
      </c>
      <c r="D3301">
        <v>1036</v>
      </c>
    </row>
    <row r="3302" spans="1:4" x14ac:dyDescent="0.25">
      <c r="A3302" s="279">
        <v>39261</v>
      </c>
      <c r="B3302" t="s">
        <v>338</v>
      </c>
      <c r="C3302" t="s">
        <v>81</v>
      </c>
      <c r="D3302">
        <v>0</v>
      </c>
    </row>
    <row r="3303" spans="1:4" x14ac:dyDescent="0.25">
      <c r="A3303" s="279">
        <v>39261</v>
      </c>
      <c r="B3303" t="s">
        <v>338</v>
      </c>
      <c r="C3303" t="s">
        <v>82</v>
      </c>
      <c r="D3303">
        <v>0</v>
      </c>
    </row>
    <row r="3304" spans="1:4" x14ac:dyDescent="0.25">
      <c r="A3304" s="279">
        <v>39261</v>
      </c>
      <c r="B3304" t="s">
        <v>338</v>
      </c>
      <c r="C3304" t="s">
        <v>84</v>
      </c>
      <c r="D3304">
        <v>240</v>
      </c>
    </row>
    <row r="3305" spans="1:4" x14ac:dyDescent="0.25">
      <c r="A3305" s="279">
        <v>39261</v>
      </c>
      <c r="B3305" t="s">
        <v>338</v>
      </c>
      <c r="C3305" t="s">
        <v>83</v>
      </c>
      <c r="D3305">
        <v>0</v>
      </c>
    </row>
    <row r="3306" spans="1:4" x14ac:dyDescent="0.25">
      <c r="A3306" s="279">
        <v>39261</v>
      </c>
      <c r="B3306" t="s">
        <v>338</v>
      </c>
      <c r="C3306" t="s">
        <v>14</v>
      </c>
      <c r="D3306">
        <v>1036</v>
      </c>
    </row>
    <row r="3307" spans="1:4" x14ac:dyDescent="0.25">
      <c r="A3307" s="279">
        <v>39261</v>
      </c>
      <c r="B3307" t="s">
        <v>339</v>
      </c>
      <c r="C3307" t="s">
        <v>20</v>
      </c>
      <c r="D3307">
        <v>62522</v>
      </c>
    </row>
    <row r="3308" spans="1:4" x14ac:dyDescent="0.25">
      <c r="A3308" s="279">
        <v>39261</v>
      </c>
      <c r="B3308" t="s">
        <v>339</v>
      </c>
      <c r="C3308" t="s">
        <v>85</v>
      </c>
      <c r="D3308">
        <v>7161</v>
      </c>
    </row>
    <row r="3309" spans="1:4" x14ac:dyDescent="0.25">
      <c r="A3309" s="279">
        <v>39261</v>
      </c>
      <c r="B3309" t="s">
        <v>339</v>
      </c>
      <c r="C3309" t="s">
        <v>86</v>
      </c>
      <c r="D3309">
        <v>0</v>
      </c>
    </row>
    <row r="3310" spans="1:4" x14ac:dyDescent="0.25">
      <c r="A3310" s="279">
        <v>39261</v>
      </c>
      <c r="B3310" t="s">
        <v>339</v>
      </c>
      <c r="C3310" t="s">
        <v>87</v>
      </c>
      <c r="D3310">
        <v>0</v>
      </c>
    </row>
    <row r="3311" spans="1:4" x14ac:dyDescent="0.25">
      <c r="A3311" s="279">
        <v>39261</v>
      </c>
      <c r="B3311" t="s">
        <v>339</v>
      </c>
      <c r="C3311" t="s">
        <v>88</v>
      </c>
      <c r="D3311">
        <v>0</v>
      </c>
    </row>
    <row r="3312" spans="1:4" x14ac:dyDescent="0.25">
      <c r="A3312" s="279">
        <v>39261</v>
      </c>
      <c r="B3312" t="s">
        <v>339</v>
      </c>
      <c r="C3312" t="s">
        <v>14</v>
      </c>
      <c r="D3312">
        <v>1036</v>
      </c>
    </row>
    <row r="3313" spans="1:4" x14ac:dyDescent="0.25">
      <c r="A3313" s="279">
        <v>39262</v>
      </c>
      <c r="B3313" t="s">
        <v>338</v>
      </c>
      <c r="C3313" t="s">
        <v>81</v>
      </c>
      <c r="D3313">
        <v>0</v>
      </c>
    </row>
    <row r="3314" spans="1:4" x14ac:dyDescent="0.25">
      <c r="A3314" s="279">
        <v>39262</v>
      </c>
      <c r="B3314" t="s">
        <v>338</v>
      </c>
      <c r="C3314" t="s">
        <v>82</v>
      </c>
      <c r="D3314">
        <v>0</v>
      </c>
    </row>
    <row r="3315" spans="1:4" x14ac:dyDescent="0.25">
      <c r="A3315" s="279">
        <v>39262</v>
      </c>
      <c r="B3315" t="s">
        <v>338</v>
      </c>
      <c r="C3315" t="s">
        <v>84</v>
      </c>
      <c r="D3315">
        <v>290</v>
      </c>
    </row>
    <row r="3316" spans="1:4" x14ac:dyDescent="0.25">
      <c r="A3316" s="279">
        <v>39262</v>
      </c>
      <c r="B3316" t="s">
        <v>338</v>
      </c>
      <c r="C3316" t="s">
        <v>83</v>
      </c>
      <c r="D3316">
        <v>0</v>
      </c>
    </row>
    <row r="3317" spans="1:4" x14ac:dyDescent="0.25">
      <c r="A3317" s="279">
        <v>39262</v>
      </c>
      <c r="B3317" t="s">
        <v>338</v>
      </c>
      <c r="C3317" t="s">
        <v>14</v>
      </c>
      <c r="D3317">
        <v>1035</v>
      </c>
    </row>
    <row r="3318" spans="1:4" x14ac:dyDescent="0.25">
      <c r="A3318" s="279">
        <v>39262</v>
      </c>
      <c r="B3318" t="s">
        <v>339</v>
      </c>
      <c r="C3318" t="s">
        <v>20</v>
      </c>
      <c r="D3318">
        <v>62381</v>
      </c>
    </row>
    <row r="3319" spans="1:4" x14ac:dyDescent="0.25">
      <c r="A3319" s="279">
        <v>39262</v>
      </c>
      <c r="B3319" t="s">
        <v>339</v>
      </c>
      <c r="C3319" t="s">
        <v>85</v>
      </c>
      <c r="D3319">
        <v>6869</v>
      </c>
    </row>
    <row r="3320" spans="1:4" x14ac:dyDescent="0.25">
      <c r="A3320" s="279">
        <v>39262</v>
      </c>
      <c r="B3320" t="s">
        <v>339</v>
      </c>
      <c r="C3320" t="s">
        <v>86</v>
      </c>
      <c r="D3320">
        <v>0</v>
      </c>
    </row>
    <row r="3321" spans="1:4" x14ac:dyDescent="0.25">
      <c r="A3321" s="279">
        <v>39262</v>
      </c>
      <c r="B3321" t="s">
        <v>339</v>
      </c>
      <c r="C3321" t="s">
        <v>87</v>
      </c>
      <c r="D3321">
        <v>5</v>
      </c>
    </row>
    <row r="3322" spans="1:4" x14ac:dyDescent="0.25">
      <c r="A3322" s="279">
        <v>39262</v>
      </c>
      <c r="B3322" t="s">
        <v>339</v>
      </c>
      <c r="C3322" t="s">
        <v>88</v>
      </c>
      <c r="D3322">
        <v>0</v>
      </c>
    </row>
    <row r="3323" spans="1:4" x14ac:dyDescent="0.25">
      <c r="A3323" s="279">
        <v>39262</v>
      </c>
      <c r="B3323" t="s">
        <v>339</v>
      </c>
      <c r="C3323" t="s">
        <v>14</v>
      </c>
      <c r="D3323">
        <v>1038</v>
      </c>
    </row>
    <row r="3324" spans="1:4" x14ac:dyDescent="0.25">
      <c r="A3324" s="279">
        <v>39263</v>
      </c>
      <c r="B3324" t="s">
        <v>338</v>
      </c>
      <c r="C3324" t="s">
        <v>81</v>
      </c>
      <c r="D3324">
        <v>0</v>
      </c>
    </row>
    <row r="3325" spans="1:4" x14ac:dyDescent="0.25">
      <c r="A3325" s="279">
        <v>39263</v>
      </c>
      <c r="B3325" t="s">
        <v>338</v>
      </c>
      <c r="C3325" t="s">
        <v>82</v>
      </c>
      <c r="D3325">
        <v>0</v>
      </c>
    </row>
    <row r="3326" spans="1:4" x14ac:dyDescent="0.25">
      <c r="A3326" s="279">
        <v>39263</v>
      </c>
      <c r="B3326" t="s">
        <v>338</v>
      </c>
      <c r="C3326" t="s">
        <v>84</v>
      </c>
      <c r="D3326">
        <v>220</v>
      </c>
    </row>
    <row r="3327" spans="1:4" x14ac:dyDescent="0.25">
      <c r="A3327" s="279">
        <v>39263</v>
      </c>
      <c r="B3327" t="s">
        <v>338</v>
      </c>
      <c r="C3327" t="s">
        <v>83</v>
      </c>
      <c r="D3327">
        <v>0</v>
      </c>
    </row>
    <row r="3328" spans="1:4" x14ac:dyDescent="0.25">
      <c r="A3328" s="279">
        <v>39263</v>
      </c>
      <c r="B3328" t="s">
        <v>338</v>
      </c>
      <c r="C3328" t="s">
        <v>14</v>
      </c>
      <c r="D3328">
        <v>1037</v>
      </c>
    </row>
    <row r="3329" spans="1:4" x14ac:dyDescent="0.25">
      <c r="A3329" s="279">
        <v>39263</v>
      </c>
      <c r="B3329" t="s">
        <v>339</v>
      </c>
      <c r="C3329" t="s">
        <v>20</v>
      </c>
      <c r="D3329">
        <v>54692</v>
      </c>
    </row>
    <row r="3330" spans="1:4" x14ac:dyDescent="0.25">
      <c r="A3330" s="279">
        <v>39263</v>
      </c>
      <c r="B3330" t="s">
        <v>339</v>
      </c>
      <c r="C3330" t="s">
        <v>85</v>
      </c>
      <c r="D3330">
        <v>7670</v>
      </c>
    </row>
    <row r="3331" spans="1:4" x14ac:dyDescent="0.25">
      <c r="A3331" s="279">
        <v>39263</v>
      </c>
      <c r="B3331" t="s">
        <v>339</v>
      </c>
      <c r="C3331" t="s">
        <v>86</v>
      </c>
      <c r="D3331">
        <v>0</v>
      </c>
    </row>
    <row r="3332" spans="1:4" x14ac:dyDescent="0.25">
      <c r="A3332" s="279">
        <v>39263</v>
      </c>
      <c r="B3332" t="s">
        <v>339</v>
      </c>
      <c r="C3332" t="s">
        <v>87</v>
      </c>
      <c r="D3332">
        <v>0</v>
      </c>
    </row>
    <row r="3333" spans="1:4" x14ac:dyDescent="0.25">
      <c r="A3333" s="279">
        <v>39263</v>
      </c>
      <c r="B3333" t="s">
        <v>339</v>
      </c>
      <c r="C3333" t="s">
        <v>88</v>
      </c>
      <c r="D3333">
        <v>0</v>
      </c>
    </row>
    <row r="3334" spans="1:4" x14ac:dyDescent="0.25">
      <c r="A3334" s="279">
        <v>39263</v>
      </c>
      <c r="B3334" t="s">
        <v>339</v>
      </c>
      <c r="C3334" t="s">
        <v>14</v>
      </c>
      <c r="D3334">
        <v>1038</v>
      </c>
    </row>
    <row r="3335" spans="1:4" x14ac:dyDescent="0.25">
      <c r="A3335" s="279">
        <v>39264</v>
      </c>
      <c r="B3335" t="s">
        <v>338</v>
      </c>
      <c r="C3335" t="s">
        <v>81</v>
      </c>
      <c r="D3335">
        <v>0</v>
      </c>
    </row>
    <row r="3336" spans="1:4" x14ac:dyDescent="0.25">
      <c r="A3336" s="279">
        <v>39264</v>
      </c>
      <c r="B3336" t="s">
        <v>338</v>
      </c>
      <c r="C3336" t="s">
        <v>82</v>
      </c>
      <c r="D3336">
        <v>0</v>
      </c>
    </row>
    <row r="3337" spans="1:4" x14ac:dyDescent="0.25">
      <c r="A3337" s="279">
        <v>39264</v>
      </c>
      <c r="B3337" t="s">
        <v>338</v>
      </c>
      <c r="C3337" t="s">
        <v>84</v>
      </c>
      <c r="D3337">
        <v>230</v>
      </c>
    </row>
    <row r="3338" spans="1:4" x14ac:dyDescent="0.25">
      <c r="A3338" s="279">
        <v>39264</v>
      </c>
      <c r="B3338" t="s">
        <v>338</v>
      </c>
      <c r="C3338" t="s">
        <v>83</v>
      </c>
      <c r="D3338">
        <v>0</v>
      </c>
    </row>
    <row r="3339" spans="1:4" x14ac:dyDescent="0.25">
      <c r="A3339" s="279">
        <v>39264</v>
      </c>
      <c r="B3339" t="s">
        <v>338</v>
      </c>
      <c r="C3339" t="s">
        <v>14</v>
      </c>
      <c r="D3339">
        <v>1033</v>
      </c>
    </row>
    <row r="3340" spans="1:4" x14ac:dyDescent="0.25">
      <c r="A3340" s="279">
        <v>39264</v>
      </c>
      <c r="B3340" t="s">
        <v>339</v>
      </c>
      <c r="C3340" t="s">
        <v>20</v>
      </c>
      <c r="D3340">
        <v>45258</v>
      </c>
    </row>
    <row r="3341" spans="1:4" x14ac:dyDescent="0.25">
      <c r="A3341" s="279">
        <v>39264</v>
      </c>
      <c r="B3341" t="s">
        <v>339</v>
      </c>
      <c r="C3341" t="s">
        <v>85</v>
      </c>
      <c r="D3341">
        <v>16893</v>
      </c>
    </row>
    <row r="3342" spans="1:4" x14ac:dyDescent="0.25">
      <c r="A3342" s="279">
        <v>39264</v>
      </c>
      <c r="B3342" t="s">
        <v>339</v>
      </c>
      <c r="C3342" t="s">
        <v>86</v>
      </c>
      <c r="D3342">
        <v>0</v>
      </c>
    </row>
    <row r="3343" spans="1:4" x14ac:dyDescent="0.25">
      <c r="A3343" s="279">
        <v>39264</v>
      </c>
      <c r="B3343" t="s">
        <v>339</v>
      </c>
      <c r="C3343" t="s">
        <v>87</v>
      </c>
      <c r="D3343">
        <v>0</v>
      </c>
    </row>
    <row r="3344" spans="1:4" x14ac:dyDescent="0.25">
      <c r="A3344" s="279">
        <v>39264</v>
      </c>
      <c r="B3344" t="s">
        <v>339</v>
      </c>
      <c r="C3344" t="s">
        <v>88</v>
      </c>
      <c r="D3344">
        <v>0</v>
      </c>
    </row>
    <row r="3345" spans="1:4" x14ac:dyDescent="0.25">
      <c r="A3345" s="279">
        <v>39264</v>
      </c>
      <c r="B3345" t="s">
        <v>339</v>
      </c>
      <c r="C3345" t="s">
        <v>14</v>
      </c>
      <c r="D3345">
        <v>1039</v>
      </c>
    </row>
    <row r="3346" spans="1:4" x14ac:dyDescent="0.25">
      <c r="A3346" s="279">
        <v>39265</v>
      </c>
      <c r="B3346" t="s">
        <v>338</v>
      </c>
      <c r="C3346" t="s">
        <v>81</v>
      </c>
      <c r="D3346">
        <v>0</v>
      </c>
    </row>
    <row r="3347" spans="1:4" x14ac:dyDescent="0.25">
      <c r="A3347" s="279">
        <v>39265</v>
      </c>
      <c r="B3347" t="s">
        <v>338</v>
      </c>
      <c r="C3347" t="s">
        <v>82</v>
      </c>
      <c r="D3347">
        <v>0</v>
      </c>
    </row>
    <row r="3348" spans="1:4" x14ac:dyDescent="0.25">
      <c r="A3348" s="279">
        <v>39265</v>
      </c>
      <c r="B3348" t="s">
        <v>338</v>
      </c>
      <c r="C3348" t="s">
        <v>84</v>
      </c>
      <c r="D3348">
        <v>270</v>
      </c>
    </row>
    <row r="3349" spans="1:4" x14ac:dyDescent="0.25">
      <c r="A3349" s="279">
        <v>39265</v>
      </c>
      <c r="B3349" t="s">
        <v>338</v>
      </c>
      <c r="C3349" t="s">
        <v>83</v>
      </c>
      <c r="D3349">
        <v>0</v>
      </c>
    </row>
    <row r="3350" spans="1:4" x14ac:dyDescent="0.25">
      <c r="A3350" s="279">
        <v>39265</v>
      </c>
      <c r="B3350" t="s">
        <v>338</v>
      </c>
      <c r="C3350" t="s">
        <v>14</v>
      </c>
      <c r="D3350">
        <v>1033</v>
      </c>
    </row>
    <row r="3351" spans="1:4" x14ac:dyDescent="0.25">
      <c r="A3351" s="279">
        <v>39265</v>
      </c>
      <c r="B3351" t="s">
        <v>339</v>
      </c>
      <c r="C3351" t="s">
        <v>20</v>
      </c>
      <c r="D3351">
        <v>42612</v>
      </c>
    </row>
    <row r="3352" spans="1:4" x14ac:dyDescent="0.25">
      <c r="A3352" s="279">
        <v>39265</v>
      </c>
      <c r="B3352" t="s">
        <v>339</v>
      </c>
      <c r="C3352" t="s">
        <v>85</v>
      </c>
      <c r="D3352">
        <v>16527</v>
      </c>
    </row>
    <row r="3353" spans="1:4" x14ac:dyDescent="0.25">
      <c r="A3353" s="279">
        <v>39265</v>
      </c>
      <c r="B3353" t="s">
        <v>339</v>
      </c>
      <c r="C3353" t="s">
        <v>86</v>
      </c>
      <c r="D3353">
        <v>0</v>
      </c>
    </row>
    <row r="3354" spans="1:4" x14ac:dyDescent="0.25">
      <c r="A3354" s="279">
        <v>39265</v>
      </c>
      <c r="B3354" t="s">
        <v>339</v>
      </c>
      <c r="C3354" t="s">
        <v>87</v>
      </c>
      <c r="D3354">
        <v>0</v>
      </c>
    </row>
    <row r="3355" spans="1:4" x14ac:dyDescent="0.25">
      <c r="A3355" s="279">
        <v>39265</v>
      </c>
      <c r="B3355" t="s">
        <v>339</v>
      </c>
      <c r="C3355" t="s">
        <v>88</v>
      </c>
      <c r="D3355">
        <v>0</v>
      </c>
    </row>
    <row r="3356" spans="1:4" x14ac:dyDescent="0.25">
      <c r="A3356" s="279">
        <v>39265</v>
      </c>
      <c r="B3356" t="s">
        <v>339</v>
      </c>
      <c r="C3356" t="s">
        <v>14</v>
      </c>
      <c r="D3356">
        <v>1040</v>
      </c>
    </row>
    <row r="3357" spans="1:4" x14ac:dyDescent="0.25">
      <c r="A3357" s="279">
        <v>39266</v>
      </c>
      <c r="B3357" t="s">
        <v>338</v>
      </c>
      <c r="C3357" t="s">
        <v>81</v>
      </c>
      <c r="D3357">
        <v>0</v>
      </c>
    </row>
    <row r="3358" spans="1:4" x14ac:dyDescent="0.25">
      <c r="A3358" s="279">
        <v>39266</v>
      </c>
      <c r="B3358" t="s">
        <v>338</v>
      </c>
      <c r="C3358" t="s">
        <v>82</v>
      </c>
      <c r="D3358">
        <v>0</v>
      </c>
    </row>
    <row r="3359" spans="1:4" x14ac:dyDescent="0.25">
      <c r="A3359" s="279">
        <v>39266</v>
      </c>
      <c r="B3359" t="s">
        <v>338</v>
      </c>
      <c r="C3359" t="s">
        <v>84</v>
      </c>
      <c r="D3359">
        <v>230</v>
      </c>
    </row>
    <row r="3360" spans="1:4" x14ac:dyDescent="0.25">
      <c r="A3360" s="279">
        <v>39266</v>
      </c>
      <c r="B3360" t="s">
        <v>338</v>
      </c>
      <c r="C3360" t="s">
        <v>83</v>
      </c>
      <c r="D3360">
        <v>0</v>
      </c>
    </row>
    <row r="3361" spans="1:4" x14ac:dyDescent="0.25">
      <c r="A3361" s="279">
        <v>39266</v>
      </c>
      <c r="B3361" t="s">
        <v>338</v>
      </c>
      <c r="C3361" t="s">
        <v>14</v>
      </c>
      <c r="D3361">
        <v>1033</v>
      </c>
    </row>
    <row r="3362" spans="1:4" x14ac:dyDescent="0.25">
      <c r="A3362" s="279">
        <v>39266</v>
      </c>
      <c r="B3362" t="s">
        <v>339</v>
      </c>
      <c r="C3362" t="s">
        <v>20</v>
      </c>
      <c r="D3362">
        <v>38372</v>
      </c>
    </row>
    <row r="3363" spans="1:4" x14ac:dyDescent="0.25">
      <c r="A3363" s="279">
        <v>39266</v>
      </c>
      <c r="B3363" t="s">
        <v>339</v>
      </c>
      <c r="C3363" t="s">
        <v>85</v>
      </c>
      <c r="D3363">
        <v>15704</v>
      </c>
    </row>
    <row r="3364" spans="1:4" x14ac:dyDescent="0.25">
      <c r="A3364" s="279">
        <v>39266</v>
      </c>
      <c r="B3364" t="s">
        <v>339</v>
      </c>
      <c r="C3364" t="s">
        <v>86</v>
      </c>
      <c r="D3364">
        <v>0</v>
      </c>
    </row>
    <row r="3365" spans="1:4" x14ac:dyDescent="0.25">
      <c r="A3365" s="279">
        <v>39266</v>
      </c>
      <c r="B3365" t="s">
        <v>339</v>
      </c>
      <c r="C3365" t="s">
        <v>87</v>
      </c>
      <c r="D3365">
        <v>0</v>
      </c>
    </row>
    <row r="3366" spans="1:4" x14ac:dyDescent="0.25">
      <c r="A3366" s="279">
        <v>39266</v>
      </c>
      <c r="B3366" t="s">
        <v>339</v>
      </c>
      <c r="C3366" t="s">
        <v>88</v>
      </c>
      <c r="D3366">
        <v>0</v>
      </c>
    </row>
    <row r="3367" spans="1:4" x14ac:dyDescent="0.25">
      <c r="A3367" s="279">
        <v>39266</v>
      </c>
      <c r="B3367" t="s">
        <v>339</v>
      </c>
      <c r="C3367" t="s">
        <v>14</v>
      </c>
      <c r="D3367">
        <v>1041</v>
      </c>
    </row>
    <row r="3368" spans="1:4" x14ac:dyDescent="0.25">
      <c r="A3368" s="279">
        <v>39267</v>
      </c>
      <c r="B3368" t="s">
        <v>338</v>
      </c>
      <c r="C3368" t="s">
        <v>81</v>
      </c>
      <c r="D3368">
        <v>0</v>
      </c>
    </row>
    <row r="3369" spans="1:4" x14ac:dyDescent="0.25">
      <c r="A3369" s="279">
        <v>39267</v>
      </c>
      <c r="B3369" t="s">
        <v>338</v>
      </c>
      <c r="C3369" t="s">
        <v>82</v>
      </c>
      <c r="D3369">
        <v>0</v>
      </c>
    </row>
    <row r="3370" spans="1:4" x14ac:dyDescent="0.25">
      <c r="A3370" s="279">
        <v>39267</v>
      </c>
      <c r="B3370" t="s">
        <v>338</v>
      </c>
      <c r="C3370" t="s">
        <v>84</v>
      </c>
      <c r="D3370">
        <v>240</v>
      </c>
    </row>
    <row r="3371" spans="1:4" x14ac:dyDescent="0.25">
      <c r="A3371" s="279">
        <v>39267</v>
      </c>
      <c r="B3371" t="s">
        <v>338</v>
      </c>
      <c r="C3371" t="s">
        <v>83</v>
      </c>
      <c r="D3371">
        <v>0</v>
      </c>
    </row>
    <row r="3372" spans="1:4" x14ac:dyDescent="0.25">
      <c r="A3372" s="279">
        <v>39267</v>
      </c>
      <c r="B3372" t="s">
        <v>338</v>
      </c>
      <c r="C3372" t="s">
        <v>14</v>
      </c>
      <c r="D3372">
        <v>1033</v>
      </c>
    </row>
    <row r="3373" spans="1:4" x14ac:dyDescent="0.25">
      <c r="A3373" s="279">
        <v>39267</v>
      </c>
      <c r="B3373" t="s">
        <v>339</v>
      </c>
      <c r="C3373" t="s">
        <v>20</v>
      </c>
      <c r="D3373">
        <v>37611</v>
      </c>
    </row>
    <row r="3374" spans="1:4" x14ac:dyDescent="0.25">
      <c r="A3374" s="279">
        <v>39267</v>
      </c>
      <c r="B3374" t="s">
        <v>339</v>
      </c>
      <c r="C3374" t="s">
        <v>85</v>
      </c>
      <c r="D3374">
        <v>17156</v>
      </c>
    </row>
    <row r="3375" spans="1:4" x14ac:dyDescent="0.25">
      <c r="A3375" s="279">
        <v>39267</v>
      </c>
      <c r="B3375" t="s">
        <v>339</v>
      </c>
      <c r="C3375" t="s">
        <v>86</v>
      </c>
      <c r="D3375">
        <v>0</v>
      </c>
    </row>
    <row r="3376" spans="1:4" x14ac:dyDescent="0.25">
      <c r="A3376" s="279">
        <v>39267</v>
      </c>
      <c r="B3376" t="s">
        <v>339</v>
      </c>
      <c r="C3376" t="s">
        <v>87</v>
      </c>
      <c r="D3376">
        <v>0</v>
      </c>
    </row>
    <row r="3377" spans="1:4" x14ac:dyDescent="0.25">
      <c r="A3377" s="279">
        <v>39267</v>
      </c>
      <c r="B3377" t="s">
        <v>339</v>
      </c>
      <c r="C3377" t="s">
        <v>88</v>
      </c>
      <c r="D3377">
        <v>0</v>
      </c>
    </row>
    <row r="3378" spans="1:4" x14ac:dyDescent="0.25">
      <c r="A3378" s="279">
        <v>39267</v>
      </c>
      <c r="B3378" t="s">
        <v>339</v>
      </c>
      <c r="C3378" t="s">
        <v>14</v>
      </c>
      <c r="D3378">
        <v>1038</v>
      </c>
    </row>
    <row r="3379" spans="1:4" x14ac:dyDescent="0.25">
      <c r="A3379" s="279">
        <v>39268</v>
      </c>
      <c r="B3379" t="s">
        <v>338</v>
      </c>
      <c r="C3379" t="s">
        <v>81</v>
      </c>
      <c r="D3379">
        <v>0</v>
      </c>
    </row>
    <row r="3380" spans="1:4" x14ac:dyDescent="0.25">
      <c r="A3380" s="279">
        <v>39268</v>
      </c>
      <c r="B3380" t="s">
        <v>338</v>
      </c>
      <c r="C3380" t="s">
        <v>82</v>
      </c>
      <c r="D3380">
        <v>0</v>
      </c>
    </row>
    <row r="3381" spans="1:4" x14ac:dyDescent="0.25">
      <c r="A3381" s="279">
        <v>39268</v>
      </c>
      <c r="B3381" t="s">
        <v>338</v>
      </c>
      <c r="C3381" t="s">
        <v>84</v>
      </c>
      <c r="D3381">
        <v>270</v>
      </c>
    </row>
    <row r="3382" spans="1:4" x14ac:dyDescent="0.25">
      <c r="A3382" s="279">
        <v>39268</v>
      </c>
      <c r="B3382" t="s">
        <v>338</v>
      </c>
      <c r="C3382" t="s">
        <v>83</v>
      </c>
      <c r="D3382">
        <v>0</v>
      </c>
    </row>
    <row r="3383" spans="1:4" x14ac:dyDescent="0.25">
      <c r="A3383" s="279">
        <v>39268</v>
      </c>
      <c r="B3383" t="s">
        <v>338</v>
      </c>
      <c r="C3383" t="s">
        <v>14</v>
      </c>
      <c r="D3383">
        <v>1033</v>
      </c>
    </row>
    <row r="3384" spans="1:4" x14ac:dyDescent="0.25">
      <c r="A3384" s="279">
        <v>39268</v>
      </c>
      <c r="B3384" t="s">
        <v>339</v>
      </c>
      <c r="C3384" t="s">
        <v>20</v>
      </c>
      <c r="D3384">
        <v>41353</v>
      </c>
    </row>
    <row r="3385" spans="1:4" x14ac:dyDescent="0.25">
      <c r="A3385" s="279">
        <v>39268</v>
      </c>
      <c r="B3385" t="s">
        <v>339</v>
      </c>
      <c r="C3385" t="s">
        <v>85</v>
      </c>
      <c r="D3385">
        <v>20457</v>
      </c>
    </row>
    <row r="3386" spans="1:4" x14ac:dyDescent="0.25">
      <c r="A3386" s="279">
        <v>39268</v>
      </c>
      <c r="B3386" t="s">
        <v>339</v>
      </c>
      <c r="C3386" t="s">
        <v>86</v>
      </c>
      <c r="D3386">
        <v>0</v>
      </c>
    </row>
    <row r="3387" spans="1:4" x14ac:dyDescent="0.25">
      <c r="A3387" s="279">
        <v>39268</v>
      </c>
      <c r="B3387" t="s">
        <v>339</v>
      </c>
      <c r="C3387" t="s">
        <v>87</v>
      </c>
      <c r="D3387">
        <v>0</v>
      </c>
    </row>
    <row r="3388" spans="1:4" x14ac:dyDescent="0.25">
      <c r="A3388" s="279">
        <v>39268</v>
      </c>
      <c r="B3388" t="s">
        <v>339</v>
      </c>
      <c r="C3388" t="s">
        <v>88</v>
      </c>
      <c r="D3388">
        <v>0</v>
      </c>
    </row>
    <row r="3389" spans="1:4" x14ac:dyDescent="0.25">
      <c r="A3389" s="279">
        <v>39268</v>
      </c>
      <c r="B3389" t="s">
        <v>339</v>
      </c>
      <c r="C3389" t="s">
        <v>14</v>
      </c>
      <c r="D3389">
        <v>1036</v>
      </c>
    </row>
    <row r="3390" spans="1:4" x14ac:dyDescent="0.25">
      <c r="A3390" s="279">
        <v>39269</v>
      </c>
      <c r="B3390" t="s">
        <v>338</v>
      </c>
      <c r="C3390" t="s">
        <v>81</v>
      </c>
      <c r="D3390">
        <v>0</v>
      </c>
    </row>
    <row r="3391" spans="1:4" x14ac:dyDescent="0.25">
      <c r="A3391" s="279">
        <v>39269</v>
      </c>
      <c r="B3391" t="s">
        <v>338</v>
      </c>
      <c r="C3391" t="s">
        <v>82</v>
      </c>
      <c r="D3391">
        <v>0</v>
      </c>
    </row>
    <row r="3392" spans="1:4" x14ac:dyDescent="0.25">
      <c r="A3392" s="279">
        <v>39269</v>
      </c>
      <c r="B3392" t="s">
        <v>338</v>
      </c>
      <c r="C3392" t="s">
        <v>84</v>
      </c>
      <c r="D3392">
        <v>220</v>
      </c>
    </row>
    <row r="3393" spans="1:4" x14ac:dyDescent="0.25">
      <c r="A3393" s="279">
        <v>39269</v>
      </c>
      <c r="B3393" t="s">
        <v>338</v>
      </c>
      <c r="C3393" t="s">
        <v>83</v>
      </c>
      <c r="D3393">
        <v>0</v>
      </c>
    </row>
    <row r="3394" spans="1:4" x14ac:dyDescent="0.25">
      <c r="A3394" s="279">
        <v>39269</v>
      </c>
      <c r="B3394" t="s">
        <v>338</v>
      </c>
      <c r="C3394" t="s">
        <v>14</v>
      </c>
      <c r="D3394">
        <v>1034</v>
      </c>
    </row>
    <row r="3395" spans="1:4" x14ac:dyDescent="0.25">
      <c r="A3395" s="279">
        <v>39269</v>
      </c>
      <c r="B3395" t="s">
        <v>339</v>
      </c>
      <c r="C3395" t="s">
        <v>20</v>
      </c>
      <c r="D3395">
        <v>39795</v>
      </c>
    </row>
    <row r="3396" spans="1:4" x14ac:dyDescent="0.25">
      <c r="A3396" s="279">
        <v>39269</v>
      </c>
      <c r="B3396" t="s">
        <v>339</v>
      </c>
      <c r="C3396" t="s">
        <v>85</v>
      </c>
      <c r="D3396">
        <v>20062</v>
      </c>
    </row>
    <row r="3397" spans="1:4" x14ac:dyDescent="0.25">
      <c r="A3397" s="279">
        <v>39269</v>
      </c>
      <c r="B3397" t="s">
        <v>339</v>
      </c>
      <c r="C3397" t="s">
        <v>86</v>
      </c>
      <c r="D3397">
        <v>0</v>
      </c>
    </row>
    <row r="3398" spans="1:4" x14ac:dyDescent="0.25">
      <c r="A3398" s="279">
        <v>39269</v>
      </c>
      <c r="B3398" t="s">
        <v>339</v>
      </c>
      <c r="C3398" t="s">
        <v>87</v>
      </c>
      <c r="D3398">
        <v>0</v>
      </c>
    </row>
    <row r="3399" spans="1:4" x14ac:dyDescent="0.25">
      <c r="A3399" s="279">
        <v>39269</v>
      </c>
      <c r="B3399" t="s">
        <v>339</v>
      </c>
      <c r="C3399" t="s">
        <v>88</v>
      </c>
      <c r="D3399">
        <v>0</v>
      </c>
    </row>
    <row r="3400" spans="1:4" x14ac:dyDescent="0.25">
      <c r="A3400" s="279">
        <v>39269</v>
      </c>
      <c r="B3400" t="s">
        <v>339</v>
      </c>
      <c r="C3400" t="s">
        <v>14</v>
      </c>
      <c r="D3400">
        <v>1037</v>
      </c>
    </row>
    <row r="3401" spans="1:4" x14ac:dyDescent="0.25">
      <c r="A3401" s="279">
        <v>39270</v>
      </c>
      <c r="B3401" t="s">
        <v>338</v>
      </c>
      <c r="C3401" t="s">
        <v>81</v>
      </c>
      <c r="D3401">
        <v>0</v>
      </c>
    </row>
    <row r="3402" spans="1:4" x14ac:dyDescent="0.25">
      <c r="A3402" s="279">
        <v>39270</v>
      </c>
      <c r="B3402" t="s">
        <v>338</v>
      </c>
      <c r="C3402" t="s">
        <v>82</v>
      </c>
      <c r="D3402">
        <v>0</v>
      </c>
    </row>
    <row r="3403" spans="1:4" x14ac:dyDescent="0.25">
      <c r="A3403" s="279">
        <v>39270</v>
      </c>
      <c r="B3403" t="s">
        <v>338</v>
      </c>
      <c r="C3403" t="s">
        <v>84</v>
      </c>
      <c r="D3403">
        <v>190</v>
      </c>
    </row>
    <row r="3404" spans="1:4" x14ac:dyDescent="0.25">
      <c r="A3404" s="279">
        <v>39270</v>
      </c>
      <c r="B3404" t="s">
        <v>338</v>
      </c>
      <c r="C3404" t="s">
        <v>83</v>
      </c>
      <c r="D3404">
        <v>0</v>
      </c>
    </row>
    <row r="3405" spans="1:4" x14ac:dyDescent="0.25">
      <c r="A3405" s="279">
        <v>39270</v>
      </c>
      <c r="B3405" t="s">
        <v>338</v>
      </c>
      <c r="C3405" t="s">
        <v>14</v>
      </c>
      <c r="D3405">
        <v>1032</v>
      </c>
    </row>
    <row r="3406" spans="1:4" x14ac:dyDescent="0.25">
      <c r="A3406" s="279">
        <v>39270</v>
      </c>
      <c r="B3406" t="s">
        <v>339</v>
      </c>
      <c r="C3406" t="s">
        <v>20</v>
      </c>
      <c r="D3406">
        <v>37741</v>
      </c>
    </row>
    <row r="3407" spans="1:4" x14ac:dyDescent="0.25">
      <c r="A3407" s="279">
        <v>39270</v>
      </c>
      <c r="B3407" t="s">
        <v>339</v>
      </c>
      <c r="C3407" t="s">
        <v>85</v>
      </c>
      <c r="D3407">
        <v>19844</v>
      </c>
    </row>
    <row r="3408" spans="1:4" x14ac:dyDescent="0.25">
      <c r="A3408" s="279">
        <v>39270</v>
      </c>
      <c r="B3408" t="s">
        <v>339</v>
      </c>
      <c r="C3408" t="s">
        <v>86</v>
      </c>
      <c r="D3408">
        <v>0</v>
      </c>
    </row>
    <row r="3409" spans="1:4" x14ac:dyDescent="0.25">
      <c r="A3409" s="279">
        <v>39270</v>
      </c>
      <c r="B3409" t="s">
        <v>339</v>
      </c>
      <c r="C3409" t="s">
        <v>87</v>
      </c>
      <c r="D3409">
        <v>0</v>
      </c>
    </row>
    <row r="3410" spans="1:4" x14ac:dyDescent="0.25">
      <c r="A3410" s="279">
        <v>39270</v>
      </c>
      <c r="B3410" t="s">
        <v>339</v>
      </c>
      <c r="C3410" t="s">
        <v>88</v>
      </c>
      <c r="D3410">
        <v>0</v>
      </c>
    </row>
    <row r="3411" spans="1:4" x14ac:dyDescent="0.25">
      <c r="A3411" s="279">
        <v>39270</v>
      </c>
      <c r="B3411" t="s">
        <v>339</v>
      </c>
      <c r="C3411" t="s">
        <v>14</v>
      </c>
      <c r="D3411">
        <v>1036</v>
      </c>
    </row>
    <row r="3412" spans="1:4" x14ac:dyDescent="0.25">
      <c r="A3412" s="279">
        <v>39271</v>
      </c>
      <c r="B3412" t="s">
        <v>338</v>
      </c>
      <c r="C3412" t="s">
        <v>81</v>
      </c>
      <c r="D3412">
        <v>0</v>
      </c>
    </row>
    <row r="3413" spans="1:4" x14ac:dyDescent="0.25">
      <c r="A3413" s="279">
        <v>39271</v>
      </c>
      <c r="B3413" t="s">
        <v>338</v>
      </c>
      <c r="C3413" t="s">
        <v>82</v>
      </c>
      <c r="D3413">
        <v>0</v>
      </c>
    </row>
    <row r="3414" spans="1:4" x14ac:dyDescent="0.25">
      <c r="A3414" s="279">
        <v>39271</v>
      </c>
      <c r="B3414" t="s">
        <v>338</v>
      </c>
      <c r="C3414" t="s">
        <v>84</v>
      </c>
      <c r="D3414">
        <v>190</v>
      </c>
    </row>
    <row r="3415" spans="1:4" x14ac:dyDescent="0.25">
      <c r="A3415" s="279">
        <v>39271</v>
      </c>
      <c r="B3415" t="s">
        <v>338</v>
      </c>
      <c r="C3415" t="s">
        <v>83</v>
      </c>
      <c r="D3415">
        <v>0</v>
      </c>
    </row>
    <row r="3416" spans="1:4" x14ac:dyDescent="0.25">
      <c r="A3416" s="279">
        <v>39271</v>
      </c>
      <c r="B3416" t="s">
        <v>338</v>
      </c>
      <c r="C3416" t="s">
        <v>14</v>
      </c>
      <c r="D3416">
        <v>1038</v>
      </c>
    </row>
    <row r="3417" spans="1:4" x14ac:dyDescent="0.25">
      <c r="A3417" s="279">
        <v>39271</v>
      </c>
      <c r="B3417" t="s">
        <v>339</v>
      </c>
      <c r="C3417" t="s">
        <v>20</v>
      </c>
      <c r="D3417">
        <v>37367</v>
      </c>
    </row>
    <row r="3418" spans="1:4" x14ac:dyDescent="0.25">
      <c r="A3418" s="279">
        <v>39271</v>
      </c>
      <c r="B3418" t="s">
        <v>339</v>
      </c>
      <c r="C3418" t="s">
        <v>85</v>
      </c>
      <c r="D3418">
        <v>22873</v>
      </c>
    </row>
    <row r="3419" spans="1:4" x14ac:dyDescent="0.25">
      <c r="A3419" s="279">
        <v>39271</v>
      </c>
      <c r="B3419" t="s">
        <v>339</v>
      </c>
      <c r="C3419" t="s">
        <v>86</v>
      </c>
      <c r="D3419">
        <v>0</v>
      </c>
    </row>
    <row r="3420" spans="1:4" x14ac:dyDescent="0.25">
      <c r="A3420" s="279">
        <v>39271</v>
      </c>
      <c r="B3420" t="s">
        <v>339</v>
      </c>
      <c r="C3420" t="s">
        <v>87</v>
      </c>
      <c r="D3420">
        <v>0</v>
      </c>
    </row>
    <row r="3421" spans="1:4" x14ac:dyDescent="0.25">
      <c r="A3421" s="279">
        <v>39271</v>
      </c>
      <c r="B3421" t="s">
        <v>339</v>
      </c>
      <c r="C3421" t="s">
        <v>88</v>
      </c>
      <c r="D3421">
        <v>0</v>
      </c>
    </row>
    <row r="3422" spans="1:4" x14ac:dyDescent="0.25">
      <c r="A3422" s="279">
        <v>39271</v>
      </c>
      <c r="B3422" t="s">
        <v>339</v>
      </c>
      <c r="C3422" t="s">
        <v>14</v>
      </c>
      <c r="D3422">
        <v>1035</v>
      </c>
    </row>
    <row r="3423" spans="1:4" x14ac:dyDescent="0.25">
      <c r="A3423" s="279">
        <v>39272</v>
      </c>
      <c r="B3423" t="s">
        <v>338</v>
      </c>
      <c r="C3423" t="s">
        <v>81</v>
      </c>
      <c r="D3423">
        <v>0</v>
      </c>
    </row>
    <row r="3424" spans="1:4" x14ac:dyDescent="0.25">
      <c r="A3424" s="279">
        <v>39272</v>
      </c>
      <c r="B3424" t="s">
        <v>338</v>
      </c>
      <c r="C3424" t="s">
        <v>82</v>
      </c>
      <c r="D3424">
        <v>0</v>
      </c>
    </row>
    <row r="3425" spans="1:4" x14ac:dyDescent="0.25">
      <c r="A3425" s="279">
        <v>39272</v>
      </c>
      <c r="B3425" t="s">
        <v>338</v>
      </c>
      <c r="C3425" t="s">
        <v>84</v>
      </c>
      <c r="D3425">
        <v>240</v>
      </c>
    </row>
    <row r="3426" spans="1:4" x14ac:dyDescent="0.25">
      <c r="A3426" s="279">
        <v>39272</v>
      </c>
      <c r="B3426" t="s">
        <v>338</v>
      </c>
      <c r="C3426" t="s">
        <v>83</v>
      </c>
      <c r="D3426">
        <v>0</v>
      </c>
    </row>
    <row r="3427" spans="1:4" x14ac:dyDescent="0.25">
      <c r="A3427" s="279">
        <v>39272</v>
      </c>
      <c r="B3427" t="s">
        <v>338</v>
      </c>
      <c r="C3427" t="s">
        <v>14</v>
      </c>
      <c r="D3427">
        <v>1035</v>
      </c>
    </row>
    <row r="3428" spans="1:4" x14ac:dyDescent="0.25">
      <c r="A3428" s="279">
        <v>39272</v>
      </c>
      <c r="B3428" t="s">
        <v>339</v>
      </c>
      <c r="C3428" t="s">
        <v>20</v>
      </c>
      <c r="D3428">
        <v>39251</v>
      </c>
    </row>
    <row r="3429" spans="1:4" x14ac:dyDescent="0.25">
      <c r="A3429" s="279">
        <v>39272</v>
      </c>
      <c r="B3429" t="s">
        <v>339</v>
      </c>
      <c r="C3429" t="s">
        <v>85</v>
      </c>
      <c r="D3429">
        <v>22284</v>
      </c>
    </row>
    <row r="3430" spans="1:4" x14ac:dyDescent="0.25">
      <c r="A3430" s="279">
        <v>39272</v>
      </c>
      <c r="B3430" t="s">
        <v>339</v>
      </c>
      <c r="C3430" t="s">
        <v>86</v>
      </c>
      <c r="D3430">
        <v>0</v>
      </c>
    </row>
    <row r="3431" spans="1:4" x14ac:dyDescent="0.25">
      <c r="A3431" s="279">
        <v>39272</v>
      </c>
      <c r="B3431" t="s">
        <v>339</v>
      </c>
      <c r="C3431" t="s">
        <v>87</v>
      </c>
      <c r="D3431">
        <v>0</v>
      </c>
    </row>
    <row r="3432" spans="1:4" x14ac:dyDescent="0.25">
      <c r="A3432" s="279">
        <v>39272</v>
      </c>
      <c r="B3432" t="s">
        <v>339</v>
      </c>
      <c r="C3432" t="s">
        <v>88</v>
      </c>
      <c r="D3432">
        <v>0</v>
      </c>
    </row>
    <row r="3433" spans="1:4" x14ac:dyDescent="0.25">
      <c r="A3433" s="279">
        <v>39272</v>
      </c>
      <c r="B3433" t="s">
        <v>339</v>
      </c>
      <c r="C3433" t="s">
        <v>14</v>
      </c>
      <c r="D3433">
        <v>1037</v>
      </c>
    </row>
    <row r="3434" spans="1:4" x14ac:dyDescent="0.25">
      <c r="A3434" s="279">
        <v>39273</v>
      </c>
      <c r="B3434" t="s">
        <v>338</v>
      </c>
      <c r="C3434" t="s">
        <v>81</v>
      </c>
      <c r="D3434">
        <v>0</v>
      </c>
    </row>
    <row r="3435" spans="1:4" x14ac:dyDescent="0.25">
      <c r="A3435" s="279">
        <v>39273</v>
      </c>
      <c r="B3435" t="s">
        <v>338</v>
      </c>
      <c r="C3435" t="s">
        <v>82</v>
      </c>
      <c r="D3435">
        <v>0</v>
      </c>
    </row>
    <row r="3436" spans="1:4" x14ac:dyDescent="0.25">
      <c r="A3436" s="279">
        <v>39273</v>
      </c>
      <c r="B3436" t="s">
        <v>338</v>
      </c>
      <c r="C3436" t="s">
        <v>84</v>
      </c>
      <c r="D3436">
        <v>240</v>
      </c>
    </row>
    <row r="3437" spans="1:4" x14ac:dyDescent="0.25">
      <c r="A3437" s="279">
        <v>39273</v>
      </c>
      <c r="B3437" t="s">
        <v>338</v>
      </c>
      <c r="C3437" t="s">
        <v>83</v>
      </c>
      <c r="D3437">
        <v>0</v>
      </c>
    </row>
    <row r="3438" spans="1:4" x14ac:dyDescent="0.25">
      <c r="A3438" s="279">
        <v>39273</v>
      </c>
      <c r="B3438" t="s">
        <v>338</v>
      </c>
      <c r="C3438" t="s">
        <v>14</v>
      </c>
      <c r="D3438">
        <v>1037</v>
      </c>
    </row>
    <row r="3439" spans="1:4" x14ac:dyDescent="0.25">
      <c r="A3439" s="279">
        <v>39273</v>
      </c>
      <c r="B3439" t="s">
        <v>339</v>
      </c>
      <c r="C3439" t="s">
        <v>20</v>
      </c>
      <c r="D3439">
        <v>38721</v>
      </c>
    </row>
    <row r="3440" spans="1:4" x14ac:dyDescent="0.25">
      <c r="A3440" s="279">
        <v>39273</v>
      </c>
      <c r="B3440" t="s">
        <v>339</v>
      </c>
      <c r="C3440" t="s">
        <v>85</v>
      </c>
      <c r="D3440">
        <v>22829</v>
      </c>
    </row>
    <row r="3441" spans="1:4" x14ac:dyDescent="0.25">
      <c r="A3441" s="279">
        <v>39273</v>
      </c>
      <c r="B3441" t="s">
        <v>339</v>
      </c>
      <c r="C3441" t="s">
        <v>86</v>
      </c>
      <c r="D3441">
        <v>0</v>
      </c>
    </row>
    <row r="3442" spans="1:4" x14ac:dyDescent="0.25">
      <c r="A3442" s="279">
        <v>39273</v>
      </c>
      <c r="B3442" t="s">
        <v>339</v>
      </c>
      <c r="C3442" t="s">
        <v>87</v>
      </c>
      <c r="D3442">
        <v>0</v>
      </c>
    </row>
    <row r="3443" spans="1:4" x14ac:dyDescent="0.25">
      <c r="A3443" s="279">
        <v>39273</v>
      </c>
      <c r="B3443" t="s">
        <v>339</v>
      </c>
      <c r="C3443" t="s">
        <v>88</v>
      </c>
      <c r="D3443">
        <v>0</v>
      </c>
    </row>
    <row r="3444" spans="1:4" x14ac:dyDescent="0.25">
      <c r="A3444" s="279">
        <v>39273</v>
      </c>
      <c r="B3444" t="s">
        <v>339</v>
      </c>
      <c r="C3444" t="s">
        <v>14</v>
      </c>
      <c r="D3444">
        <v>1036</v>
      </c>
    </row>
    <row r="3445" spans="1:4" x14ac:dyDescent="0.25">
      <c r="A3445" s="279">
        <v>39274</v>
      </c>
      <c r="B3445" t="s">
        <v>338</v>
      </c>
      <c r="C3445" t="s">
        <v>81</v>
      </c>
      <c r="D3445">
        <v>0</v>
      </c>
    </row>
    <row r="3446" spans="1:4" x14ac:dyDescent="0.25">
      <c r="A3446" s="279">
        <v>39274</v>
      </c>
      <c r="B3446" t="s">
        <v>338</v>
      </c>
      <c r="C3446" t="s">
        <v>82</v>
      </c>
      <c r="D3446">
        <v>0</v>
      </c>
    </row>
    <row r="3447" spans="1:4" x14ac:dyDescent="0.25">
      <c r="A3447" s="279">
        <v>39274</v>
      </c>
      <c r="B3447" t="s">
        <v>338</v>
      </c>
      <c r="C3447" t="s">
        <v>84</v>
      </c>
      <c r="D3447">
        <v>230</v>
      </c>
    </row>
    <row r="3448" spans="1:4" x14ac:dyDescent="0.25">
      <c r="A3448" s="279">
        <v>39274</v>
      </c>
      <c r="B3448" t="s">
        <v>338</v>
      </c>
      <c r="C3448" t="s">
        <v>83</v>
      </c>
      <c r="D3448">
        <v>0</v>
      </c>
    </row>
    <row r="3449" spans="1:4" x14ac:dyDescent="0.25">
      <c r="A3449" s="279">
        <v>39274</v>
      </c>
      <c r="B3449" t="s">
        <v>338</v>
      </c>
      <c r="C3449" t="s">
        <v>14</v>
      </c>
      <c r="D3449">
        <v>1040</v>
      </c>
    </row>
    <row r="3450" spans="1:4" x14ac:dyDescent="0.25">
      <c r="A3450" s="279">
        <v>39274</v>
      </c>
      <c r="B3450" t="s">
        <v>339</v>
      </c>
      <c r="C3450" t="s">
        <v>20</v>
      </c>
      <c r="D3450">
        <v>38833</v>
      </c>
    </row>
    <row r="3451" spans="1:4" x14ac:dyDescent="0.25">
      <c r="A3451" s="279">
        <v>39274</v>
      </c>
      <c r="B3451" t="s">
        <v>339</v>
      </c>
      <c r="C3451" t="s">
        <v>85</v>
      </c>
      <c r="D3451">
        <v>24188</v>
      </c>
    </row>
    <row r="3452" spans="1:4" x14ac:dyDescent="0.25">
      <c r="A3452" s="279">
        <v>39274</v>
      </c>
      <c r="B3452" t="s">
        <v>339</v>
      </c>
      <c r="C3452" t="s">
        <v>86</v>
      </c>
      <c r="D3452">
        <v>0</v>
      </c>
    </row>
    <row r="3453" spans="1:4" x14ac:dyDescent="0.25">
      <c r="A3453" s="279">
        <v>39274</v>
      </c>
      <c r="B3453" t="s">
        <v>339</v>
      </c>
      <c r="C3453" t="s">
        <v>87</v>
      </c>
      <c r="D3453">
        <v>0</v>
      </c>
    </row>
    <row r="3454" spans="1:4" x14ac:dyDescent="0.25">
      <c r="A3454" s="279">
        <v>39274</v>
      </c>
      <c r="B3454" t="s">
        <v>339</v>
      </c>
      <c r="C3454" t="s">
        <v>88</v>
      </c>
      <c r="D3454">
        <v>0</v>
      </c>
    </row>
    <row r="3455" spans="1:4" x14ac:dyDescent="0.25">
      <c r="A3455" s="279">
        <v>39274</v>
      </c>
      <c r="B3455" t="s">
        <v>339</v>
      </c>
      <c r="C3455" t="s">
        <v>14</v>
      </c>
      <c r="D3455">
        <v>1038</v>
      </c>
    </row>
    <row r="3456" spans="1:4" x14ac:dyDescent="0.25">
      <c r="A3456" s="279">
        <v>39275</v>
      </c>
      <c r="B3456" t="s">
        <v>338</v>
      </c>
      <c r="C3456" t="s">
        <v>81</v>
      </c>
      <c r="D3456">
        <v>0</v>
      </c>
    </row>
    <row r="3457" spans="1:4" x14ac:dyDescent="0.25">
      <c r="A3457" s="279">
        <v>39275</v>
      </c>
      <c r="B3457" t="s">
        <v>338</v>
      </c>
      <c r="C3457" t="s">
        <v>82</v>
      </c>
      <c r="D3457">
        <v>0</v>
      </c>
    </row>
    <row r="3458" spans="1:4" x14ac:dyDescent="0.25">
      <c r="A3458" s="279">
        <v>39275</v>
      </c>
      <c r="B3458" t="s">
        <v>338</v>
      </c>
      <c r="C3458" t="s">
        <v>84</v>
      </c>
      <c r="D3458">
        <v>250</v>
      </c>
    </row>
    <row r="3459" spans="1:4" x14ac:dyDescent="0.25">
      <c r="A3459" s="279">
        <v>39275</v>
      </c>
      <c r="B3459" t="s">
        <v>338</v>
      </c>
      <c r="C3459" t="s">
        <v>83</v>
      </c>
      <c r="D3459">
        <v>0</v>
      </c>
    </row>
    <row r="3460" spans="1:4" x14ac:dyDescent="0.25">
      <c r="A3460" s="279">
        <v>39275</v>
      </c>
      <c r="B3460" t="s">
        <v>338</v>
      </c>
      <c r="C3460" t="s">
        <v>14</v>
      </c>
      <c r="D3460">
        <v>1033</v>
      </c>
    </row>
    <row r="3461" spans="1:4" x14ac:dyDescent="0.25">
      <c r="A3461" s="279">
        <v>39275</v>
      </c>
      <c r="B3461" t="s">
        <v>339</v>
      </c>
      <c r="C3461" t="s">
        <v>20</v>
      </c>
      <c r="D3461">
        <v>42329</v>
      </c>
    </row>
    <row r="3462" spans="1:4" x14ac:dyDescent="0.25">
      <c r="A3462" s="279">
        <v>39275</v>
      </c>
      <c r="B3462" t="s">
        <v>339</v>
      </c>
      <c r="C3462" t="s">
        <v>85</v>
      </c>
      <c r="D3462">
        <v>22223</v>
      </c>
    </row>
    <row r="3463" spans="1:4" x14ac:dyDescent="0.25">
      <c r="A3463" s="279">
        <v>39275</v>
      </c>
      <c r="B3463" t="s">
        <v>339</v>
      </c>
      <c r="C3463" t="s">
        <v>86</v>
      </c>
      <c r="D3463">
        <v>0</v>
      </c>
    </row>
    <row r="3464" spans="1:4" x14ac:dyDescent="0.25">
      <c r="A3464" s="279">
        <v>39275</v>
      </c>
      <c r="B3464" t="s">
        <v>339</v>
      </c>
      <c r="C3464" t="s">
        <v>87</v>
      </c>
      <c r="D3464">
        <v>0</v>
      </c>
    </row>
    <row r="3465" spans="1:4" x14ac:dyDescent="0.25">
      <c r="A3465" s="279">
        <v>39275</v>
      </c>
      <c r="B3465" t="s">
        <v>339</v>
      </c>
      <c r="C3465" t="s">
        <v>88</v>
      </c>
      <c r="D3465">
        <v>0</v>
      </c>
    </row>
    <row r="3466" spans="1:4" x14ac:dyDescent="0.25">
      <c r="A3466" s="279">
        <v>39275</v>
      </c>
      <c r="B3466" t="s">
        <v>339</v>
      </c>
      <c r="C3466" t="s">
        <v>14</v>
      </c>
      <c r="D3466">
        <v>1039</v>
      </c>
    </row>
    <row r="3467" spans="1:4" x14ac:dyDescent="0.25">
      <c r="A3467" s="279">
        <v>39276</v>
      </c>
      <c r="B3467" t="s">
        <v>338</v>
      </c>
      <c r="C3467" t="s">
        <v>81</v>
      </c>
      <c r="D3467">
        <v>0</v>
      </c>
    </row>
    <row r="3468" spans="1:4" x14ac:dyDescent="0.25">
      <c r="A3468" s="279">
        <v>39276</v>
      </c>
      <c r="B3468" t="s">
        <v>338</v>
      </c>
      <c r="C3468" t="s">
        <v>82</v>
      </c>
      <c r="D3468">
        <v>0</v>
      </c>
    </row>
    <row r="3469" spans="1:4" x14ac:dyDescent="0.25">
      <c r="A3469" s="279">
        <v>39276</v>
      </c>
      <c r="B3469" t="s">
        <v>338</v>
      </c>
      <c r="C3469" t="s">
        <v>84</v>
      </c>
      <c r="D3469">
        <v>240</v>
      </c>
    </row>
    <row r="3470" spans="1:4" x14ac:dyDescent="0.25">
      <c r="A3470" s="279">
        <v>39276</v>
      </c>
      <c r="B3470" t="s">
        <v>338</v>
      </c>
      <c r="C3470" t="s">
        <v>83</v>
      </c>
      <c r="D3470">
        <v>0</v>
      </c>
    </row>
    <row r="3471" spans="1:4" x14ac:dyDescent="0.25">
      <c r="A3471" s="279">
        <v>39276</v>
      </c>
      <c r="B3471" t="s">
        <v>338</v>
      </c>
      <c r="C3471" t="s">
        <v>14</v>
      </c>
      <c r="D3471">
        <v>1032</v>
      </c>
    </row>
    <row r="3472" spans="1:4" x14ac:dyDescent="0.25">
      <c r="A3472" s="279">
        <v>39276</v>
      </c>
      <c r="B3472" t="s">
        <v>339</v>
      </c>
      <c r="C3472" t="s">
        <v>20</v>
      </c>
      <c r="D3472">
        <v>40162</v>
      </c>
    </row>
    <row r="3473" spans="1:4" x14ac:dyDescent="0.25">
      <c r="A3473" s="279">
        <v>39276</v>
      </c>
      <c r="B3473" t="s">
        <v>339</v>
      </c>
      <c r="C3473" t="s">
        <v>85</v>
      </c>
      <c r="D3473">
        <v>20636</v>
      </c>
    </row>
    <row r="3474" spans="1:4" x14ac:dyDescent="0.25">
      <c r="A3474" s="279">
        <v>39276</v>
      </c>
      <c r="B3474" t="s">
        <v>339</v>
      </c>
      <c r="C3474" t="s">
        <v>86</v>
      </c>
      <c r="D3474">
        <v>0</v>
      </c>
    </row>
    <row r="3475" spans="1:4" x14ac:dyDescent="0.25">
      <c r="A3475" s="279">
        <v>39276</v>
      </c>
      <c r="B3475" t="s">
        <v>339</v>
      </c>
      <c r="C3475" t="s">
        <v>87</v>
      </c>
      <c r="D3475">
        <v>0</v>
      </c>
    </row>
    <row r="3476" spans="1:4" x14ac:dyDescent="0.25">
      <c r="A3476" s="279">
        <v>39276</v>
      </c>
      <c r="B3476" t="s">
        <v>339</v>
      </c>
      <c r="C3476" t="s">
        <v>88</v>
      </c>
      <c r="D3476">
        <v>0</v>
      </c>
    </row>
    <row r="3477" spans="1:4" x14ac:dyDescent="0.25">
      <c r="A3477" s="279">
        <v>39276</v>
      </c>
      <c r="B3477" t="s">
        <v>339</v>
      </c>
      <c r="C3477" t="s">
        <v>14</v>
      </c>
      <c r="D3477">
        <v>1037</v>
      </c>
    </row>
    <row r="3478" spans="1:4" x14ac:dyDescent="0.25">
      <c r="A3478" s="279">
        <v>39277</v>
      </c>
      <c r="B3478" t="s">
        <v>338</v>
      </c>
      <c r="C3478" t="s">
        <v>81</v>
      </c>
      <c r="D3478">
        <v>0</v>
      </c>
    </row>
    <row r="3479" spans="1:4" x14ac:dyDescent="0.25">
      <c r="A3479" s="279">
        <v>39277</v>
      </c>
      <c r="B3479" t="s">
        <v>338</v>
      </c>
      <c r="C3479" t="s">
        <v>82</v>
      </c>
      <c r="D3479">
        <v>0</v>
      </c>
    </row>
    <row r="3480" spans="1:4" x14ac:dyDescent="0.25">
      <c r="A3480" s="279">
        <v>39277</v>
      </c>
      <c r="B3480" t="s">
        <v>338</v>
      </c>
      <c r="C3480" t="s">
        <v>84</v>
      </c>
      <c r="D3480">
        <v>210</v>
      </c>
    </row>
    <row r="3481" spans="1:4" x14ac:dyDescent="0.25">
      <c r="A3481" s="279">
        <v>39277</v>
      </c>
      <c r="B3481" t="s">
        <v>338</v>
      </c>
      <c r="C3481" t="s">
        <v>83</v>
      </c>
      <c r="D3481">
        <v>0</v>
      </c>
    </row>
    <row r="3482" spans="1:4" x14ac:dyDescent="0.25">
      <c r="A3482" s="279">
        <v>39277</v>
      </c>
      <c r="B3482" t="s">
        <v>338</v>
      </c>
      <c r="C3482" t="s">
        <v>14</v>
      </c>
      <c r="D3482">
        <v>1033</v>
      </c>
    </row>
    <row r="3483" spans="1:4" x14ac:dyDescent="0.25">
      <c r="A3483" s="279">
        <v>39277</v>
      </c>
      <c r="B3483" t="s">
        <v>339</v>
      </c>
      <c r="C3483" t="s">
        <v>20</v>
      </c>
      <c r="D3483">
        <v>38678</v>
      </c>
    </row>
    <row r="3484" spans="1:4" x14ac:dyDescent="0.25">
      <c r="A3484" s="279">
        <v>39277</v>
      </c>
      <c r="B3484" t="s">
        <v>339</v>
      </c>
      <c r="C3484" t="s">
        <v>85</v>
      </c>
      <c r="D3484">
        <v>19450</v>
      </c>
    </row>
    <row r="3485" spans="1:4" x14ac:dyDescent="0.25">
      <c r="A3485" s="279">
        <v>39277</v>
      </c>
      <c r="B3485" t="s">
        <v>339</v>
      </c>
      <c r="C3485" t="s">
        <v>86</v>
      </c>
      <c r="D3485">
        <v>0</v>
      </c>
    </row>
    <row r="3486" spans="1:4" x14ac:dyDescent="0.25">
      <c r="A3486" s="279">
        <v>39277</v>
      </c>
      <c r="B3486" t="s">
        <v>339</v>
      </c>
      <c r="C3486" t="s">
        <v>87</v>
      </c>
      <c r="D3486">
        <v>0</v>
      </c>
    </row>
    <row r="3487" spans="1:4" x14ac:dyDescent="0.25">
      <c r="A3487" s="279">
        <v>39277</v>
      </c>
      <c r="B3487" t="s">
        <v>339</v>
      </c>
      <c r="C3487" t="s">
        <v>88</v>
      </c>
      <c r="D3487">
        <v>0</v>
      </c>
    </row>
    <row r="3488" spans="1:4" x14ac:dyDescent="0.25">
      <c r="A3488" s="279">
        <v>39277</v>
      </c>
      <c r="B3488" t="s">
        <v>339</v>
      </c>
      <c r="C3488" t="s">
        <v>14</v>
      </c>
      <c r="D3488">
        <v>1037</v>
      </c>
    </row>
    <row r="3489" spans="1:4" x14ac:dyDescent="0.25">
      <c r="A3489" s="279">
        <v>39278</v>
      </c>
      <c r="B3489" t="s">
        <v>338</v>
      </c>
      <c r="C3489" t="s">
        <v>81</v>
      </c>
      <c r="D3489">
        <v>0</v>
      </c>
    </row>
    <row r="3490" spans="1:4" x14ac:dyDescent="0.25">
      <c r="A3490" s="279">
        <v>39278</v>
      </c>
      <c r="B3490" t="s">
        <v>338</v>
      </c>
      <c r="C3490" t="s">
        <v>82</v>
      </c>
      <c r="D3490">
        <v>0</v>
      </c>
    </row>
    <row r="3491" spans="1:4" x14ac:dyDescent="0.25">
      <c r="A3491" s="279">
        <v>39278</v>
      </c>
      <c r="B3491" t="s">
        <v>338</v>
      </c>
      <c r="C3491" t="s">
        <v>84</v>
      </c>
      <c r="D3491">
        <v>210</v>
      </c>
    </row>
    <row r="3492" spans="1:4" x14ac:dyDescent="0.25">
      <c r="A3492" s="279">
        <v>39278</v>
      </c>
      <c r="B3492" t="s">
        <v>338</v>
      </c>
      <c r="C3492" t="s">
        <v>83</v>
      </c>
      <c r="D3492">
        <v>0</v>
      </c>
    </row>
    <row r="3493" spans="1:4" x14ac:dyDescent="0.25">
      <c r="A3493" s="279">
        <v>39278</v>
      </c>
      <c r="B3493" t="s">
        <v>338</v>
      </c>
      <c r="C3493" t="s">
        <v>14</v>
      </c>
      <c r="D3493">
        <v>1033</v>
      </c>
    </row>
    <row r="3494" spans="1:4" x14ac:dyDescent="0.25">
      <c r="A3494" s="279">
        <v>39278</v>
      </c>
      <c r="B3494" t="s">
        <v>339</v>
      </c>
      <c r="C3494" t="s">
        <v>20</v>
      </c>
      <c r="D3494">
        <v>37895</v>
      </c>
    </row>
    <row r="3495" spans="1:4" x14ac:dyDescent="0.25">
      <c r="A3495" s="279">
        <v>39278</v>
      </c>
      <c r="B3495" t="s">
        <v>339</v>
      </c>
      <c r="C3495" t="s">
        <v>85</v>
      </c>
      <c r="D3495">
        <v>22378</v>
      </c>
    </row>
    <row r="3496" spans="1:4" x14ac:dyDescent="0.25">
      <c r="A3496" s="279">
        <v>39278</v>
      </c>
      <c r="B3496" t="s">
        <v>339</v>
      </c>
      <c r="C3496" t="s">
        <v>86</v>
      </c>
      <c r="D3496">
        <v>0</v>
      </c>
    </row>
    <row r="3497" spans="1:4" x14ac:dyDescent="0.25">
      <c r="A3497" s="279">
        <v>39278</v>
      </c>
      <c r="B3497" t="s">
        <v>339</v>
      </c>
      <c r="C3497" t="s">
        <v>87</v>
      </c>
      <c r="D3497">
        <v>0</v>
      </c>
    </row>
    <row r="3498" spans="1:4" x14ac:dyDescent="0.25">
      <c r="A3498" s="279">
        <v>39278</v>
      </c>
      <c r="B3498" t="s">
        <v>339</v>
      </c>
      <c r="C3498" t="s">
        <v>88</v>
      </c>
      <c r="D3498">
        <v>0</v>
      </c>
    </row>
    <row r="3499" spans="1:4" x14ac:dyDescent="0.25">
      <c r="A3499" s="279">
        <v>39278</v>
      </c>
      <c r="B3499" t="s">
        <v>339</v>
      </c>
      <c r="C3499" t="s">
        <v>14</v>
      </c>
      <c r="D3499">
        <v>1038</v>
      </c>
    </row>
    <row r="3500" spans="1:4" x14ac:dyDescent="0.25">
      <c r="A3500" s="279">
        <v>39279</v>
      </c>
      <c r="B3500" t="s">
        <v>338</v>
      </c>
      <c r="C3500" t="s">
        <v>81</v>
      </c>
      <c r="D3500">
        <v>0</v>
      </c>
    </row>
    <row r="3501" spans="1:4" x14ac:dyDescent="0.25">
      <c r="A3501" s="279">
        <v>39279</v>
      </c>
      <c r="B3501" t="s">
        <v>338</v>
      </c>
      <c r="C3501" t="s">
        <v>82</v>
      </c>
      <c r="D3501">
        <v>0</v>
      </c>
    </row>
    <row r="3502" spans="1:4" x14ac:dyDescent="0.25">
      <c r="A3502" s="279">
        <v>39279</v>
      </c>
      <c r="B3502" t="s">
        <v>338</v>
      </c>
      <c r="C3502" t="s">
        <v>84</v>
      </c>
      <c r="D3502">
        <v>250</v>
      </c>
    </row>
    <row r="3503" spans="1:4" x14ac:dyDescent="0.25">
      <c r="A3503" s="279">
        <v>39279</v>
      </c>
      <c r="B3503" t="s">
        <v>338</v>
      </c>
      <c r="C3503" t="s">
        <v>83</v>
      </c>
      <c r="D3503">
        <v>0</v>
      </c>
    </row>
    <row r="3504" spans="1:4" x14ac:dyDescent="0.25">
      <c r="A3504" s="279">
        <v>39279</v>
      </c>
      <c r="B3504" t="s">
        <v>338</v>
      </c>
      <c r="C3504" t="s">
        <v>14</v>
      </c>
      <c r="D3504">
        <v>1032</v>
      </c>
    </row>
    <row r="3505" spans="1:4" x14ac:dyDescent="0.25">
      <c r="A3505" s="279">
        <v>39279</v>
      </c>
      <c r="B3505" t="s">
        <v>339</v>
      </c>
      <c r="C3505" t="s">
        <v>20</v>
      </c>
      <c r="D3505">
        <v>39251</v>
      </c>
    </row>
    <row r="3506" spans="1:4" x14ac:dyDescent="0.25">
      <c r="A3506" s="279">
        <v>39279</v>
      </c>
      <c r="B3506" t="s">
        <v>339</v>
      </c>
      <c r="C3506" t="s">
        <v>85</v>
      </c>
      <c r="D3506">
        <v>23119</v>
      </c>
    </row>
    <row r="3507" spans="1:4" x14ac:dyDescent="0.25">
      <c r="A3507" s="279">
        <v>39279</v>
      </c>
      <c r="B3507" t="s">
        <v>339</v>
      </c>
      <c r="C3507" t="s">
        <v>86</v>
      </c>
      <c r="D3507">
        <v>0</v>
      </c>
    </row>
    <row r="3508" spans="1:4" x14ac:dyDescent="0.25">
      <c r="A3508" s="279">
        <v>39279</v>
      </c>
      <c r="B3508" t="s">
        <v>339</v>
      </c>
      <c r="C3508" t="s">
        <v>87</v>
      </c>
      <c r="D3508">
        <v>0</v>
      </c>
    </row>
    <row r="3509" spans="1:4" x14ac:dyDescent="0.25">
      <c r="A3509" s="279">
        <v>39279</v>
      </c>
      <c r="B3509" t="s">
        <v>339</v>
      </c>
      <c r="C3509" t="s">
        <v>88</v>
      </c>
      <c r="D3509">
        <v>0</v>
      </c>
    </row>
    <row r="3510" spans="1:4" x14ac:dyDescent="0.25">
      <c r="A3510" s="279">
        <v>39279</v>
      </c>
      <c r="B3510" t="s">
        <v>339</v>
      </c>
      <c r="C3510" t="s">
        <v>14</v>
      </c>
      <c r="D3510">
        <v>1038</v>
      </c>
    </row>
    <row r="3511" spans="1:4" x14ac:dyDescent="0.25">
      <c r="A3511" s="279">
        <v>39280</v>
      </c>
      <c r="B3511" t="s">
        <v>338</v>
      </c>
      <c r="C3511" t="s">
        <v>81</v>
      </c>
      <c r="D3511">
        <v>0</v>
      </c>
    </row>
    <row r="3512" spans="1:4" x14ac:dyDescent="0.25">
      <c r="A3512" s="279">
        <v>39280</v>
      </c>
      <c r="B3512" t="s">
        <v>338</v>
      </c>
      <c r="C3512" t="s">
        <v>82</v>
      </c>
      <c r="D3512">
        <v>0</v>
      </c>
    </row>
    <row r="3513" spans="1:4" x14ac:dyDescent="0.25">
      <c r="A3513" s="279">
        <v>39280</v>
      </c>
      <c r="B3513" t="s">
        <v>338</v>
      </c>
      <c r="C3513" t="s">
        <v>84</v>
      </c>
      <c r="D3513">
        <v>260</v>
      </c>
    </row>
    <row r="3514" spans="1:4" x14ac:dyDescent="0.25">
      <c r="A3514" s="279">
        <v>39280</v>
      </c>
      <c r="B3514" t="s">
        <v>338</v>
      </c>
      <c r="C3514" t="s">
        <v>83</v>
      </c>
      <c r="D3514">
        <v>0</v>
      </c>
    </row>
    <row r="3515" spans="1:4" x14ac:dyDescent="0.25">
      <c r="A3515" s="279">
        <v>39280</v>
      </c>
      <c r="B3515" t="s">
        <v>338</v>
      </c>
      <c r="C3515" t="s">
        <v>14</v>
      </c>
      <c r="D3515">
        <v>1032</v>
      </c>
    </row>
    <row r="3516" spans="1:4" x14ac:dyDescent="0.25">
      <c r="A3516" s="279">
        <v>39280</v>
      </c>
      <c r="B3516" t="s">
        <v>339</v>
      </c>
      <c r="C3516" t="s">
        <v>20</v>
      </c>
      <c r="D3516">
        <v>33053</v>
      </c>
    </row>
    <row r="3517" spans="1:4" x14ac:dyDescent="0.25">
      <c r="A3517" s="279">
        <v>39280</v>
      </c>
      <c r="B3517" t="s">
        <v>339</v>
      </c>
      <c r="C3517" t="s">
        <v>85</v>
      </c>
      <c r="D3517">
        <v>28384</v>
      </c>
    </row>
    <row r="3518" spans="1:4" x14ac:dyDescent="0.25">
      <c r="A3518" s="279">
        <v>39280</v>
      </c>
      <c r="B3518" t="s">
        <v>339</v>
      </c>
      <c r="C3518" t="s">
        <v>86</v>
      </c>
      <c r="D3518">
        <v>0</v>
      </c>
    </row>
    <row r="3519" spans="1:4" x14ac:dyDescent="0.25">
      <c r="A3519" s="279">
        <v>39280</v>
      </c>
      <c r="B3519" t="s">
        <v>339</v>
      </c>
      <c r="C3519" t="s">
        <v>87</v>
      </c>
      <c r="D3519">
        <v>0</v>
      </c>
    </row>
    <row r="3520" spans="1:4" x14ac:dyDescent="0.25">
      <c r="A3520" s="279">
        <v>39280</v>
      </c>
      <c r="B3520" t="s">
        <v>339</v>
      </c>
      <c r="C3520" t="s">
        <v>88</v>
      </c>
      <c r="D3520">
        <v>0</v>
      </c>
    </row>
    <row r="3521" spans="1:4" x14ac:dyDescent="0.25">
      <c r="A3521" s="279">
        <v>39280</v>
      </c>
      <c r="B3521" t="s">
        <v>339</v>
      </c>
      <c r="C3521" t="s">
        <v>14</v>
      </c>
      <c r="D3521">
        <v>1037</v>
      </c>
    </row>
    <row r="3522" spans="1:4" x14ac:dyDescent="0.25">
      <c r="A3522" s="279">
        <v>39281</v>
      </c>
      <c r="B3522" t="s">
        <v>338</v>
      </c>
      <c r="C3522" t="s">
        <v>81</v>
      </c>
      <c r="D3522">
        <v>0</v>
      </c>
    </row>
    <row r="3523" spans="1:4" x14ac:dyDescent="0.25">
      <c r="A3523" s="279">
        <v>39281</v>
      </c>
      <c r="B3523" t="s">
        <v>338</v>
      </c>
      <c r="C3523" t="s">
        <v>82</v>
      </c>
      <c r="D3523">
        <v>0</v>
      </c>
    </row>
    <row r="3524" spans="1:4" x14ac:dyDescent="0.25">
      <c r="A3524" s="279">
        <v>39281</v>
      </c>
      <c r="B3524" t="s">
        <v>338</v>
      </c>
      <c r="C3524" t="s">
        <v>84</v>
      </c>
      <c r="D3524">
        <v>250</v>
      </c>
    </row>
    <row r="3525" spans="1:4" x14ac:dyDescent="0.25">
      <c r="A3525" s="279">
        <v>39281</v>
      </c>
      <c r="B3525" t="s">
        <v>338</v>
      </c>
      <c r="C3525" t="s">
        <v>83</v>
      </c>
      <c r="D3525">
        <v>0</v>
      </c>
    </row>
    <row r="3526" spans="1:4" x14ac:dyDescent="0.25">
      <c r="A3526" s="279">
        <v>39281</v>
      </c>
      <c r="B3526" t="s">
        <v>338</v>
      </c>
      <c r="C3526" t="s">
        <v>14</v>
      </c>
      <c r="D3526">
        <v>1034</v>
      </c>
    </row>
    <row r="3527" spans="1:4" x14ac:dyDescent="0.25">
      <c r="A3527" s="279">
        <v>39281</v>
      </c>
      <c r="B3527" t="s">
        <v>339</v>
      </c>
      <c r="C3527" t="s">
        <v>20</v>
      </c>
      <c r="D3527">
        <v>35616</v>
      </c>
    </row>
    <row r="3528" spans="1:4" x14ac:dyDescent="0.25">
      <c r="A3528" s="279">
        <v>39281</v>
      </c>
      <c r="B3528" t="s">
        <v>339</v>
      </c>
      <c r="C3528" t="s">
        <v>85</v>
      </c>
      <c r="D3528">
        <v>26951</v>
      </c>
    </row>
    <row r="3529" spans="1:4" x14ac:dyDescent="0.25">
      <c r="A3529" s="279">
        <v>39281</v>
      </c>
      <c r="B3529" t="s">
        <v>339</v>
      </c>
      <c r="C3529" t="s">
        <v>86</v>
      </c>
      <c r="D3529">
        <v>0</v>
      </c>
    </row>
    <row r="3530" spans="1:4" x14ac:dyDescent="0.25">
      <c r="A3530" s="279">
        <v>39281</v>
      </c>
      <c r="B3530" t="s">
        <v>339</v>
      </c>
      <c r="C3530" t="s">
        <v>87</v>
      </c>
      <c r="D3530">
        <v>0</v>
      </c>
    </row>
    <row r="3531" spans="1:4" x14ac:dyDescent="0.25">
      <c r="A3531" s="279">
        <v>39281</v>
      </c>
      <c r="B3531" t="s">
        <v>339</v>
      </c>
      <c r="C3531" t="s">
        <v>88</v>
      </c>
      <c r="D3531">
        <v>0</v>
      </c>
    </row>
    <row r="3532" spans="1:4" x14ac:dyDescent="0.25">
      <c r="A3532" s="279">
        <v>39281</v>
      </c>
      <c r="B3532" t="s">
        <v>339</v>
      </c>
      <c r="C3532" t="s">
        <v>14</v>
      </c>
      <c r="D3532">
        <v>1038</v>
      </c>
    </row>
    <row r="3533" spans="1:4" x14ac:dyDescent="0.25">
      <c r="A3533" s="279">
        <v>39282</v>
      </c>
      <c r="B3533" t="s">
        <v>338</v>
      </c>
      <c r="C3533" t="s">
        <v>81</v>
      </c>
      <c r="D3533">
        <v>0</v>
      </c>
    </row>
    <row r="3534" spans="1:4" x14ac:dyDescent="0.25">
      <c r="A3534" s="279">
        <v>39282</v>
      </c>
      <c r="B3534" t="s">
        <v>338</v>
      </c>
      <c r="C3534" t="s">
        <v>82</v>
      </c>
      <c r="D3534">
        <v>0</v>
      </c>
    </row>
    <row r="3535" spans="1:4" x14ac:dyDescent="0.25">
      <c r="A3535" s="279">
        <v>39282</v>
      </c>
      <c r="B3535" t="s">
        <v>338</v>
      </c>
      <c r="C3535" t="s">
        <v>84</v>
      </c>
      <c r="D3535">
        <v>240</v>
      </c>
    </row>
    <row r="3536" spans="1:4" x14ac:dyDescent="0.25">
      <c r="A3536" s="279">
        <v>39282</v>
      </c>
      <c r="B3536" t="s">
        <v>338</v>
      </c>
      <c r="C3536" t="s">
        <v>83</v>
      </c>
      <c r="D3536">
        <v>0</v>
      </c>
    </row>
    <row r="3537" spans="1:4" x14ac:dyDescent="0.25">
      <c r="A3537" s="279">
        <v>39282</v>
      </c>
      <c r="B3537" t="s">
        <v>338</v>
      </c>
      <c r="C3537" t="s">
        <v>14</v>
      </c>
      <c r="D3537">
        <v>1033</v>
      </c>
    </row>
    <row r="3538" spans="1:4" x14ac:dyDescent="0.25">
      <c r="A3538" s="279">
        <v>39282</v>
      </c>
      <c r="B3538" t="s">
        <v>339</v>
      </c>
      <c r="C3538" t="s">
        <v>20</v>
      </c>
      <c r="D3538">
        <v>33611</v>
      </c>
    </row>
    <row r="3539" spans="1:4" x14ac:dyDescent="0.25">
      <c r="A3539" s="279">
        <v>39282</v>
      </c>
      <c r="B3539" t="s">
        <v>339</v>
      </c>
      <c r="C3539" t="s">
        <v>85</v>
      </c>
      <c r="D3539">
        <v>28177</v>
      </c>
    </row>
    <row r="3540" spans="1:4" x14ac:dyDescent="0.25">
      <c r="A3540" s="279">
        <v>39282</v>
      </c>
      <c r="B3540" t="s">
        <v>339</v>
      </c>
      <c r="C3540" t="s">
        <v>86</v>
      </c>
      <c r="D3540">
        <v>0</v>
      </c>
    </row>
    <row r="3541" spans="1:4" x14ac:dyDescent="0.25">
      <c r="A3541" s="279">
        <v>39282</v>
      </c>
      <c r="B3541" t="s">
        <v>339</v>
      </c>
      <c r="C3541" t="s">
        <v>87</v>
      </c>
      <c r="D3541">
        <v>0</v>
      </c>
    </row>
    <row r="3542" spans="1:4" x14ac:dyDescent="0.25">
      <c r="A3542" s="279">
        <v>39282</v>
      </c>
      <c r="B3542" t="s">
        <v>339</v>
      </c>
      <c r="C3542" t="s">
        <v>88</v>
      </c>
      <c r="D3542">
        <v>0</v>
      </c>
    </row>
    <row r="3543" spans="1:4" x14ac:dyDescent="0.25">
      <c r="A3543" s="279">
        <v>39282</v>
      </c>
      <c r="B3543" t="s">
        <v>339</v>
      </c>
      <c r="C3543" t="s">
        <v>14</v>
      </c>
      <c r="D3543">
        <v>1037</v>
      </c>
    </row>
    <row r="3544" spans="1:4" x14ac:dyDescent="0.25">
      <c r="A3544" s="279">
        <v>39283</v>
      </c>
      <c r="B3544" t="s">
        <v>338</v>
      </c>
      <c r="C3544" t="s">
        <v>81</v>
      </c>
      <c r="D3544">
        <v>0</v>
      </c>
    </row>
    <row r="3545" spans="1:4" x14ac:dyDescent="0.25">
      <c r="A3545" s="279">
        <v>39283</v>
      </c>
      <c r="B3545" t="s">
        <v>338</v>
      </c>
      <c r="C3545" t="s">
        <v>82</v>
      </c>
      <c r="D3545">
        <v>0</v>
      </c>
    </row>
    <row r="3546" spans="1:4" x14ac:dyDescent="0.25">
      <c r="A3546" s="279">
        <v>39283</v>
      </c>
      <c r="B3546" t="s">
        <v>338</v>
      </c>
      <c r="C3546" t="s">
        <v>84</v>
      </c>
      <c r="D3546">
        <v>230</v>
      </c>
    </row>
    <row r="3547" spans="1:4" x14ac:dyDescent="0.25">
      <c r="A3547" s="279">
        <v>39283</v>
      </c>
      <c r="B3547" t="s">
        <v>338</v>
      </c>
      <c r="C3547" t="s">
        <v>83</v>
      </c>
      <c r="D3547">
        <v>0</v>
      </c>
    </row>
    <row r="3548" spans="1:4" x14ac:dyDescent="0.25">
      <c r="A3548" s="279">
        <v>39283</v>
      </c>
      <c r="B3548" t="s">
        <v>338</v>
      </c>
      <c r="C3548" t="s">
        <v>14</v>
      </c>
      <c r="D3548">
        <v>1033</v>
      </c>
    </row>
    <row r="3549" spans="1:4" x14ac:dyDescent="0.25">
      <c r="A3549" s="279">
        <v>39283</v>
      </c>
      <c r="B3549" t="s">
        <v>339</v>
      </c>
      <c r="C3549" t="s">
        <v>20</v>
      </c>
      <c r="D3549">
        <v>35637</v>
      </c>
    </row>
    <row r="3550" spans="1:4" x14ac:dyDescent="0.25">
      <c r="A3550" s="279">
        <v>39283</v>
      </c>
      <c r="B3550" t="s">
        <v>339</v>
      </c>
      <c r="C3550" t="s">
        <v>85</v>
      </c>
      <c r="D3550">
        <v>25731</v>
      </c>
    </row>
    <row r="3551" spans="1:4" x14ac:dyDescent="0.25">
      <c r="A3551" s="279">
        <v>39283</v>
      </c>
      <c r="B3551" t="s">
        <v>339</v>
      </c>
      <c r="C3551" t="s">
        <v>86</v>
      </c>
      <c r="D3551">
        <v>0</v>
      </c>
    </row>
    <row r="3552" spans="1:4" x14ac:dyDescent="0.25">
      <c r="A3552" s="279">
        <v>39283</v>
      </c>
      <c r="B3552" t="s">
        <v>339</v>
      </c>
      <c r="C3552" t="s">
        <v>87</v>
      </c>
      <c r="D3552">
        <v>0</v>
      </c>
    </row>
    <row r="3553" spans="1:4" x14ac:dyDescent="0.25">
      <c r="A3553" s="279">
        <v>39283</v>
      </c>
      <c r="B3553" t="s">
        <v>339</v>
      </c>
      <c r="C3553" t="s">
        <v>88</v>
      </c>
      <c r="D3553">
        <v>0</v>
      </c>
    </row>
    <row r="3554" spans="1:4" x14ac:dyDescent="0.25">
      <c r="A3554" s="279">
        <v>39283</v>
      </c>
      <c r="B3554" t="s">
        <v>339</v>
      </c>
      <c r="C3554" t="s">
        <v>14</v>
      </c>
      <c r="D3554">
        <v>1038</v>
      </c>
    </row>
    <row r="3555" spans="1:4" x14ac:dyDescent="0.25">
      <c r="A3555" s="279">
        <v>39284</v>
      </c>
      <c r="B3555" t="s">
        <v>338</v>
      </c>
      <c r="C3555" t="s">
        <v>81</v>
      </c>
      <c r="D3555">
        <v>0</v>
      </c>
    </row>
    <row r="3556" spans="1:4" x14ac:dyDescent="0.25">
      <c r="A3556" s="279">
        <v>39284</v>
      </c>
      <c r="B3556" t="s">
        <v>338</v>
      </c>
      <c r="C3556" t="s">
        <v>82</v>
      </c>
      <c r="D3556">
        <v>0</v>
      </c>
    </row>
    <row r="3557" spans="1:4" x14ac:dyDescent="0.25">
      <c r="A3557" s="279">
        <v>39284</v>
      </c>
      <c r="B3557" t="s">
        <v>338</v>
      </c>
      <c r="C3557" t="s">
        <v>84</v>
      </c>
      <c r="D3557">
        <v>200</v>
      </c>
    </row>
    <row r="3558" spans="1:4" x14ac:dyDescent="0.25">
      <c r="A3558" s="279">
        <v>39284</v>
      </c>
      <c r="B3558" t="s">
        <v>338</v>
      </c>
      <c r="C3558" t="s">
        <v>83</v>
      </c>
      <c r="D3558">
        <v>0</v>
      </c>
    </row>
    <row r="3559" spans="1:4" x14ac:dyDescent="0.25">
      <c r="A3559" s="279">
        <v>39284</v>
      </c>
      <c r="B3559" t="s">
        <v>338</v>
      </c>
      <c r="C3559" t="s">
        <v>14</v>
      </c>
      <c r="D3559">
        <v>1033</v>
      </c>
    </row>
    <row r="3560" spans="1:4" x14ac:dyDescent="0.25">
      <c r="A3560" s="279">
        <v>39284</v>
      </c>
      <c r="B3560" t="s">
        <v>339</v>
      </c>
      <c r="C3560" t="s">
        <v>20</v>
      </c>
      <c r="D3560">
        <v>34015</v>
      </c>
    </row>
    <row r="3561" spans="1:4" x14ac:dyDescent="0.25">
      <c r="A3561" s="279">
        <v>39284</v>
      </c>
      <c r="B3561" t="s">
        <v>339</v>
      </c>
      <c r="C3561" t="s">
        <v>85</v>
      </c>
      <c r="D3561">
        <v>25658</v>
      </c>
    </row>
    <row r="3562" spans="1:4" x14ac:dyDescent="0.25">
      <c r="A3562" s="279">
        <v>39284</v>
      </c>
      <c r="B3562" t="s">
        <v>339</v>
      </c>
      <c r="C3562" t="s">
        <v>86</v>
      </c>
      <c r="D3562">
        <v>0</v>
      </c>
    </row>
    <row r="3563" spans="1:4" x14ac:dyDescent="0.25">
      <c r="A3563" s="279">
        <v>39284</v>
      </c>
      <c r="B3563" t="s">
        <v>339</v>
      </c>
      <c r="C3563" t="s">
        <v>87</v>
      </c>
      <c r="D3563">
        <v>0</v>
      </c>
    </row>
    <row r="3564" spans="1:4" x14ac:dyDescent="0.25">
      <c r="A3564" s="279">
        <v>39284</v>
      </c>
      <c r="B3564" t="s">
        <v>339</v>
      </c>
      <c r="C3564" t="s">
        <v>88</v>
      </c>
      <c r="D3564">
        <v>0</v>
      </c>
    </row>
    <row r="3565" spans="1:4" x14ac:dyDescent="0.25">
      <c r="A3565" s="279">
        <v>39284</v>
      </c>
      <c r="B3565" t="s">
        <v>339</v>
      </c>
      <c r="C3565" t="s">
        <v>14</v>
      </c>
      <c r="D3565">
        <v>1036</v>
      </c>
    </row>
    <row r="3566" spans="1:4" x14ac:dyDescent="0.25">
      <c r="A3566" s="279">
        <v>39285</v>
      </c>
      <c r="B3566" t="s">
        <v>338</v>
      </c>
      <c r="C3566" t="s">
        <v>81</v>
      </c>
      <c r="D3566">
        <v>0</v>
      </c>
    </row>
    <row r="3567" spans="1:4" x14ac:dyDescent="0.25">
      <c r="A3567" s="279">
        <v>39285</v>
      </c>
      <c r="B3567" t="s">
        <v>338</v>
      </c>
      <c r="C3567" t="s">
        <v>82</v>
      </c>
      <c r="D3567">
        <v>0</v>
      </c>
    </row>
    <row r="3568" spans="1:4" x14ac:dyDescent="0.25">
      <c r="A3568" s="279">
        <v>39285</v>
      </c>
      <c r="B3568" t="s">
        <v>338</v>
      </c>
      <c r="C3568" t="s">
        <v>84</v>
      </c>
      <c r="D3568">
        <v>210</v>
      </c>
    </row>
    <row r="3569" spans="1:4" x14ac:dyDescent="0.25">
      <c r="A3569" s="279">
        <v>39285</v>
      </c>
      <c r="B3569" t="s">
        <v>338</v>
      </c>
      <c r="C3569" t="s">
        <v>83</v>
      </c>
      <c r="D3569">
        <v>0</v>
      </c>
    </row>
    <row r="3570" spans="1:4" x14ac:dyDescent="0.25">
      <c r="A3570" s="279">
        <v>39285</v>
      </c>
      <c r="B3570" t="s">
        <v>338</v>
      </c>
      <c r="C3570" t="s">
        <v>14</v>
      </c>
      <c r="D3570">
        <v>1033</v>
      </c>
    </row>
    <row r="3571" spans="1:4" x14ac:dyDescent="0.25">
      <c r="A3571" s="279">
        <v>39285</v>
      </c>
      <c r="B3571" t="s">
        <v>339</v>
      </c>
      <c r="C3571" t="s">
        <v>20</v>
      </c>
      <c r="D3571">
        <v>36313</v>
      </c>
    </row>
    <row r="3572" spans="1:4" x14ac:dyDescent="0.25">
      <c r="A3572" s="279">
        <v>39285</v>
      </c>
      <c r="B3572" t="s">
        <v>339</v>
      </c>
      <c r="C3572" t="s">
        <v>85</v>
      </c>
      <c r="D3572">
        <v>26061</v>
      </c>
    </row>
    <row r="3573" spans="1:4" x14ac:dyDescent="0.25">
      <c r="A3573" s="279">
        <v>39285</v>
      </c>
      <c r="B3573" t="s">
        <v>339</v>
      </c>
      <c r="C3573" t="s">
        <v>86</v>
      </c>
      <c r="D3573">
        <v>0</v>
      </c>
    </row>
    <row r="3574" spans="1:4" x14ac:dyDescent="0.25">
      <c r="A3574" s="279">
        <v>39285</v>
      </c>
      <c r="B3574" t="s">
        <v>339</v>
      </c>
      <c r="C3574" t="s">
        <v>87</v>
      </c>
      <c r="D3574">
        <v>0</v>
      </c>
    </row>
    <row r="3575" spans="1:4" x14ac:dyDescent="0.25">
      <c r="A3575" s="279">
        <v>39285</v>
      </c>
      <c r="B3575" t="s">
        <v>339</v>
      </c>
      <c r="C3575" t="s">
        <v>88</v>
      </c>
      <c r="D3575">
        <v>0</v>
      </c>
    </row>
    <row r="3576" spans="1:4" x14ac:dyDescent="0.25">
      <c r="A3576" s="279">
        <v>39285</v>
      </c>
      <c r="B3576" t="s">
        <v>339</v>
      </c>
      <c r="C3576" t="s">
        <v>14</v>
      </c>
      <c r="D3576">
        <v>1036</v>
      </c>
    </row>
    <row r="3577" spans="1:4" x14ac:dyDescent="0.25">
      <c r="A3577" s="279">
        <v>39286</v>
      </c>
      <c r="B3577" t="s">
        <v>338</v>
      </c>
      <c r="C3577" t="s">
        <v>81</v>
      </c>
      <c r="D3577">
        <v>0</v>
      </c>
    </row>
    <row r="3578" spans="1:4" x14ac:dyDescent="0.25">
      <c r="A3578" s="279">
        <v>39286</v>
      </c>
      <c r="B3578" t="s">
        <v>338</v>
      </c>
      <c r="C3578" t="s">
        <v>82</v>
      </c>
      <c r="D3578">
        <v>0</v>
      </c>
    </row>
    <row r="3579" spans="1:4" x14ac:dyDescent="0.25">
      <c r="A3579" s="279">
        <v>39286</v>
      </c>
      <c r="B3579" t="s">
        <v>338</v>
      </c>
      <c r="C3579" t="s">
        <v>84</v>
      </c>
      <c r="D3579">
        <v>290</v>
      </c>
    </row>
    <row r="3580" spans="1:4" x14ac:dyDescent="0.25">
      <c r="A3580" s="279">
        <v>39286</v>
      </c>
      <c r="B3580" t="s">
        <v>338</v>
      </c>
      <c r="C3580" t="s">
        <v>83</v>
      </c>
      <c r="D3580">
        <v>0</v>
      </c>
    </row>
    <row r="3581" spans="1:4" x14ac:dyDescent="0.25">
      <c r="A3581" s="279">
        <v>39286</v>
      </c>
      <c r="B3581" t="s">
        <v>338</v>
      </c>
      <c r="C3581" t="s">
        <v>14</v>
      </c>
      <c r="D3581">
        <v>1031</v>
      </c>
    </row>
    <row r="3582" spans="1:4" x14ac:dyDescent="0.25">
      <c r="A3582" s="279">
        <v>39286</v>
      </c>
      <c r="B3582" t="s">
        <v>339</v>
      </c>
      <c r="C3582" t="s">
        <v>20</v>
      </c>
      <c r="D3582">
        <v>40262</v>
      </c>
    </row>
    <row r="3583" spans="1:4" x14ac:dyDescent="0.25">
      <c r="A3583" s="279">
        <v>39286</v>
      </c>
      <c r="B3583" t="s">
        <v>339</v>
      </c>
      <c r="C3583" t="s">
        <v>85</v>
      </c>
      <c r="D3583">
        <v>25623</v>
      </c>
    </row>
    <row r="3584" spans="1:4" x14ac:dyDescent="0.25">
      <c r="A3584" s="279">
        <v>39286</v>
      </c>
      <c r="B3584" t="s">
        <v>339</v>
      </c>
      <c r="C3584" t="s">
        <v>86</v>
      </c>
      <c r="D3584">
        <v>0</v>
      </c>
    </row>
    <row r="3585" spans="1:4" x14ac:dyDescent="0.25">
      <c r="A3585" s="279">
        <v>39286</v>
      </c>
      <c r="B3585" t="s">
        <v>339</v>
      </c>
      <c r="C3585" t="s">
        <v>87</v>
      </c>
      <c r="D3585">
        <v>0</v>
      </c>
    </row>
    <row r="3586" spans="1:4" x14ac:dyDescent="0.25">
      <c r="A3586" s="279">
        <v>39286</v>
      </c>
      <c r="B3586" t="s">
        <v>339</v>
      </c>
      <c r="C3586" t="s">
        <v>88</v>
      </c>
      <c r="D3586">
        <v>0</v>
      </c>
    </row>
    <row r="3587" spans="1:4" x14ac:dyDescent="0.25">
      <c r="A3587" s="279">
        <v>39286</v>
      </c>
      <c r="B3587" t="s">
        <v>339</v>
      </c>
      <c r="C3587" t="s">
        <v>14</v>
      </c>
      <c r="D3587">
        <v>1035</v>
      </c>
    </row>
    <row r="3588" spans="1:4" x14ac:dyDescent="0.25">
      <c r="A3588" s="279">
        <v>39287</v>
      </c>
      <c r="B3588" t="s">
        <v>338</v>
      </c>
      <c r="C3588" t="s">
        <v>81</v>
      </c>
      <c r="D3588">
        <v>0</v>
      </c>
    </row>
    <row r="3589" spans="1:4" x14ac:dyDescent="0.25">
      <c r="A3589" s="279">
        <v>39287</v>
      </c>
      <c r="B3589" t="s">
        <v>338</v>
      </c>
      <c r="C3589" t="s">
        <v>82</v>
      </c>
      <c r="D3589">
        <v>0</v>
      </c>
    </row>
    <row r="3590" spans="1:4" x14ac:dyDescent="0.25">
      <c r="A3590" s="279">
        <v>39287</v>
      </c>
      <c r="B3590" t="s">
        <v>338</v>
      </c>
      <c r="C3590" t="s">
        <v>84</v>
      </c>
      <c r="D3590">
        <v>260</v>
      </c>
    </row>
    <row r="3591" spans="1:4" x14ac:dyDescent="0.25">
      <c r="A3591" s="279">
        <v>39287</v>
      </c>
      <c r="B3591" t="s">
        <v>338</v>
      </c>
      <c r="C3591" t="s">
        <v>83</v>
      </c>
      <c r="D3591">
        <v>0</v>
      </c>
    </row>
    <row r="3592" spans="1:4" x14ac:dyDescent="0.25">
      <c r="A3592" s="279">
        <v>39287</v>
      </c>
      <c r="B3592" t="s">
        <v>338</v>
      </c>
      <c r="C3592" t="s">
        <v>14</v>
      </c>
      <c r="D3592">
        <v>1031</v>
      </c>
    </row>
    <row r="3593" spans="1:4" x14ac:dyDescent="0.25">
      <c r="A3593" s="279">
        <v>39287</v>
      </c>
      <c r="B3593" t="s">
        <v>339</v>
      </c>
      <c r="C3593" t="s">
        <v>20</v>
      </c>
      <c r="D3593">
        <v>36611</v>
      </c>
    </row>
    <row r="3594" spans="1:4" x14ac:dyDescent="0.25">
      <c r="A3594" s="279">
        <v>39287</v>
      </c>
      <c r="B3594" t="s">
        <v>339</v>
      </c>
      <c r="C3594" t="s">
        <v>85</v>
      </c>
      <c r="D3594">
        <v>27543</v>
      </c>
    </row>
    <row r="3595" spans="1:4" x14ac:dyDescent="0.25">
      <c r="A3595" s="279">
        <v>39287</v>
      </c>
      <c r="B3595" t="s">
        <v>339</v>
      </c>
      <c r="C3595" t="s">
        <v>86</v>
      </c>
      <c r="D3595">
        <v>0</v>
      </c>
    </row>
    <row r="3596" spans="1:4" x14ac:dyDescent="0.25">
      <c r="A3596" s="279">
        <v>39287</v>
      </c>
      <c r="B3596" t="s">
        <v>339</v>
      </c>
      <c r="C3596" t="s">
        <v>87</v>
      </c>
      <c r="D3596">
        <v>0</v>
      </c>
    </row>
    <row r="3597" spans="1:4" x14ac:dyDescent="0.25">
      <c r="A3597" s="279">
        <v>39287</v>
      </c>
      <c r="B3597" t="s">
        <v>339</v>
      </c>
      <c r="C3597" t="s">
        <v>88</v>
      </c>
      <c r="D3597">
        <v>0</v>
      </c>
    </row>
    <row r="3598" spans="1:4" x14ac:dyDescent="0.25">
      <c r="A3598" s="279">
        <v>39287</v>
      </c>
      <c r="B3598" t="s">
        <v>339</v>
      </c>
      <c r="C3598" t="s">
        <v>14</v>
      </c>
      <c r="D3598">
        <v>1034</v>
      </c>
    </row>
    <row r="3599" spans="1:4" x14ac:dyDescent="0.25">
      <c r="A3599" s="279">
        <v>39288</v>
      </c>
      <c r="B3599" t="s">
        <v>338</v>
      </c>
      <c r="C3599" t="s">
        <v>81</v>
      </c>
      <c r="D3599">
        <v>0</v>
      </c>
    </row>
    <row r="3600" spans="1:4" x14ac:dyDescent="0.25">
      <c r="A3600" s="279">
        <v>39288</v>
      </c>
      <c r="B3600" t="s">
        <v>338</v>
      </c>
      <c r="C3600" t="s">
        <v>82</v>
      </c>
      <c r="D3600">
        <v>0</v>
      </c>
    </row>
    <row r="3601" spans="1:4" x14ac:dyDescent="0.25">
      <c r="A3601" s="279">
        <v>39288</v>
      </c>
      <c r="B3601" t="s">
        <v>338</v>
      </c>
      <c r="C3601" t="s">
        <v>84</v>
      </c>
      <c r="D3601">
        <v>240</v>
      </c>
    </row>
    <row r="3602" spans="1:4" x14ac:dyDescent="0.25">
      <c r="A3602" s="279">
        <v>39288</v>
      </c>
      <c r="B3602" t="s">
        <v>338</v>
      </c>
      <c r="C3602" t="s">
        <v>83</v>
      </c>
      <c r="D3602">
        <v>0</v>
      </c>
    </row>
    <row r="3603" spans="1:4" x14ac:dyDescent="0.25">
      <c r="A3603" s="279">
        <v>39288</v>
      </c>
      <c r="B3603" t="s">
        <v>338</v>
      </c>
      <c r="C3603" t="s">
        <v>14</v>
      </c>
      <c r="D3603">
        <v>1030</v>
      </c>
    </row>
    <row r="3604" spans="1:4" x14ac:dyDescent="0.25">
      <c r="A3604" s="279">
        <v>39288</v>
      </c>
      <c r="B3604" t="s">
        <v>339</v>
      </c>
      <c r="C3604" t="s">
        <v>20</v>
      </c>
      <c r="D3604">
        <v>36716</v>
      </c>
    </row>
    <row r="3605" spans="1:4" x14ac:dyDescent="0.25">
      <c r="A3605" s="279">
        <v>39288</v>
      </c>
      <c r="B3605" t="s">
        <v>339</v>
      </c>
      <c r="C3605" t="s">
        <v>85</v>
      </c>
      <c r="D3605">
        <v>27027</v>
      </c>
    </row>
    <row r="3606" spans="1:4" x14ac:dyDescent="0.25">
      <c r="A3606" s="279">
        <v>39288</v>
      </c>
      <c r="B3606" t="s">
        <v>339</v>
      </c>
      <c r="C3606" t="s">
        <v>86</v>
      </c>
      <c r="D3606">
        <v>0</v>
      </c>
    </row>
    <row r="3607" spans="1:4" x14ac:dyDescent="0.25">
      <c r="A3607" s="279">
        <v>39288</v>
      </c>
      <c r="B3607" t="s">
        <v>339</v>
      </c>
      <c r="C3607" t="s">
        <v>87</v>
      </c>
      <c r="D3607">
        <v>0</v>
      </c>
    </row>
    <row r="3608" spans="1:4" x14ac:dyDescent="0.25">
      <c r="A3608" s="279">
        <v>39288</v>
      </c>
      <c r="B3608" t="s">
        <v>339</v>
      </c>
      <c r="C3608" t="s">
        <v>88</v>
      </c>
      <c r="D3608">
        <v>0</v>
      </c>
    </row>
    <row r="3609" spans="1:4" x14ac:dyDescent="0.25">
      <c r="A3609" s="279">
        <v>39288</v>
      </c>
      <c r="B3609" t="s">
        <v>339</v>
      </c>
      <c r="C3609" t="s">
        <v>14</v>
      </c>
      <c r="D3609">
        <v>1035</v>
      </c>
    </row>
    <row r="3610" spans="1:4" x14ac:dyDescent="0.25">
      <c r="A3610" s="279">
        <v>39289</v>
      </c>
      <c r="B3610" t="s">
        <v>338</v>
      </c>
      <c r="C3610" t="s">
        <v>81</v>
      </c>
      <c r="D3610">
        <v>0</v>
      </c>
    </row>
    <row r="3611" spans="1:4" x14ac:dyDescent="0.25">
      <c r="A3611" s="279">
        <v>39289</v>
      </c>
      <c r="B3611" t="s">
        <v>338</v>
      </c>
      <c r="C3611" t="s">
        <v>82</v>
      </c>
      <c r="D3611">
        <v>0</v>
      </c>
    </row>
    <row r="3612" spans="1:4" x14ac:dyDescent="0.25">
      <c r="A3612" s="279">
        <v>39289</v>
      </c>
      <c r="B3612" t="s">
        <v>338</v>
      </c>
      <c r="C3612" t="s">
        <v>84</v>
      </c>
      <c r="D3612">
        <v>240</v>
      </c>
    </row>
    <row r="3613" spans="1:4" x14ac:dyDescent="0.25">
      <c r="A3613" s="279">
        <v>39289</v>
      </c>
      <c r="B3613" t="s">
        <v>338</v>
      </c>
      <c r="C3613" t="s">
        <v>83</v>
      </c>
      <c r="D3613">
        <v>0</v>
      </c>
    </row>
    <row r="3614" spans="1:4" x14ac:dyDescent="0.25">
      <c r="A3614" s="279">
        <v>39289</v>
      </c>
      <c r="B3614" t="s">
        <v>338</v>
      </c>
      <c r="C3614" t="s">
        <v>14</v>
      </c>
      <c r="D3614">
        <v>1033</v>
      </c>
    </row>
    <row r="3615" spans="1:4" x14ac:dyDescent="0.25">
      <c r="A3615" s="279">
        <v>39289</v>
      </c>
      <c r="B3615" t="s">
        <v>339</v>
      </c>
      <c r="C3615" t="s">
        <v>20</v>
      </c>
      <c r="D3615">
        <v>37596</v>
      </c>
    </row>
    <row r="3616" spans="1:4" x14ac:dyDescent="0.25">
      <c r="A3616" s="279">
        <v>39289</v>
      </c>
      <c r="B3616" t="s">
        <v>339</v>
      </c>
      <c r="C3616" t="s">
        <v>85</v>
      </c>
      <c r="D3616">
        <v>24617</v>
      </c>
    </row>
    <row r="3617" spans="1:4" x14ac:dyDescent="0.25">
      <c r="A3617" s="279">
        <v>39289</v>
      </c>
      <c r="B3617" t="s">
        <v>339</v>
      </c>
      <c r="C3617" t="s">
        <v>86</v>
      </c>
      <c r="D3617">
        <v>0</v>
      </c>
    </row>
    <row r="3618" spans="1:4" x14ac:dyDescent="0.25">
      <c r="A3618" s="279">
        <v>39289</v>
      </c>
      <c r="B3618" t="s">
        <v>339</v>
      </c>
      <c r="C3618" t="s">
        <v>87</v>
      </c>
      <c r="D3618">
        <v>0</v>
      </c>
    </row>
    <row r="3619" spans="1:4" x14ac:dyDescent="0.25">
      <c r="A3619" s="279">
        <v>39289</v>
      </c>
      <c r="B3619" t="s">
        <v>339</v>
      </c>
      <c r="C3619" t="s">
        <v>88</v>
      </c>
      <c r="D3619">
        <v>0</v>
      </c>
    </row>
    <row r="3620" spans="1:4" x14ac:dyDescent="0.25">
      <c r="A3620" s="279">
        <v>39289</v>
      </c>
      <c r="B3620" t="s">
        <v>339</v>
      </c>
      <c r="C3620" t="s">
        <v>14</v>
      </c>
      <c r="D3620">
        <v>1034</v>
      </c>
    </row>
    <row r="3621" spans="1:4" x14ac:dyDescent="0.25">
      <c r="A3621" s="279">
        <v>39290</v>
      </c>
      <c r="B3621" t="s">
        <v>338</v>
      </c>
      <c r="C3621" t="s">
        <v>81</v>
      </c>
      <c r="D3621">
        <v>0</v>
      </c>
    </row>
    <row r="3622" spans="1:4" x14ac:dyDescent="0.25">
      <c r="A3622" s="279">
        <v>39290</v>
      </c>
      <c r="B3622" t="s">
        <v>338</v>
      </c>
      <c r="C3622" t="s">
        <v>82</v>
      </c>
      <c r="D3622">
        <v>0</v>
      </c>
    </row>
    <row r="3623" spans="1:4" x14ac:dyDescent="0.25">
      <c r="A3623" s="279">
        <v>39290</v>
      </c>
      <c r="B3623" t="s">
        <v>338</v>
      </c>
      <c r="C3623" t="s">
        <v>84</v>
      </c>
      <c r="D3623">
        <v>220</v>
      </c>
    </row>
    <row r="3624" spans="1:4" x14ac:dyDescent="0.25">
      <c r="A3624" s="279">
        <v>39290</v>
      </c>
      <c r="B3624" t="s">
        <v>338</v>
      </c>
      <c r="C3624" t="s">
        <v>83</v>
      </c>
      <c r="D3624">
        <v>0</v>
      </c>
    </row>
    <row r="3625" spans="1:4" x14ac:dyDescent="0.25">
      <c r="A3625" s="279">
        <v>39290</v>
      </c>
      <c r="B3625" t="s">
        <v>338</v>
      </c>
      <c r="C3625" t="s">
        <v>14</v>
      </c>
      <c r="D3625">
        <v>1036</v>
      </c>
    </row>
    <row r="3626" spans="1:4" x14ac:dyDescent="0.25">
      <c r="A3626" s="279">
        <v>39290</v>
      </c>
      <c r="B3626" t="s">
        <v>339</v>
      </c>
      <c r="C3626" t="s">
        <v>20</v>
      </c>
      <c r="D3626">
        <v>33939</v>
      </c>
    </row>
    <row r="3627" spans="1:4" x14ac:dyDescent="0.25">
      <c r="A3627" s="279">
        <v>39290</v>
      </c>
      <c r="B3627" t="s">
        <v>339</v>
      </c>
      <c r="C3627" t="s">
        <v>85</v>
      </c>
      <c r="D3627">
        <v>24942</v>
      </c>
    </row>
    <row r="3628" spans="1:4" x14ac:dyDescent="0.25">
      <c r="A3628" s="279">
        <v>39290</v>
      </c>
      <c r="B3628" t="s">
        <v>339</v>
      </c>
      <c r="C3628" t="s">
        <v>86</v>
      </c>
      <c r="D3628">
        <v>0</v>
      </c>
    </row>
    <row r="3629" spans="1:4" x14ac:dyDescent="0.25">
      <c r="A3629" s="279">
        <v>39290</v>
      </c>
      <c r="B3629" t="s">
        <v>339</v>
      </c>
      <c r="C3629" t="s">
        <v>87</v>
      </c>
      <c r="D3629">
        <v>0</v>
      </c>
    </row>
    <row r="3630" spans="1:4" x14ac:dyDescent="0.25">
      <c r="A3630" s="279">
        <v>39290</v>
      </c>
      <c r="B3630" t="s">
        <v>339</v>
      </c>
      <c r="C3630" t="s">
        <v>88</v>
      </c>
      <c r="D3630">
        <v>0</v>
      </c>
    </row>
    <row r="3631" spans="1:4" x14ac:dyDescent="0.25">
      <c r="A3631" s="279">
        <v>39290</v>
      </c>
      <c r="B3631" t="s">
        <v>339</v>
      </c>
      <c r="C3631" t="s">
        <v>14</v>
      </c>
      <c r="D3631">
        <v>1034</v>
      </c>
    </row>
    <row r="3632" spans="1:4" x14ac:dyDescent="0.25">
      <c r="A3632" s="279">
        <v>39291</v>
      </c>
      <c r="B3632" t="s">
        <v>338</v>
      </c>
      <c r="C3632" t="s">
        <v>81</v>
      </c>
      <c r="D3632">
        <v>0</v>
      </c>
    </row>
    <row r="3633" spans="1:4" x14ac:dyDescent="0.25">
      <c r="A3633" s="279">
        <v>39291</v>
      </c>
      <c r="B3633" t="s">
        <v>338</v>
      </c>
      <c r="C3633" t="s">
        <v>82</v>
      </c>
      <c r="D3633">
        <v>0</v>
      </c>
    </row>
    <row r="3634" spans="1:4" x14ac:dyDescent="0.25">
      <c r="A3634" s="279">
        <v>39291</v>
      </c>
      <c r="B3634" t="s">
        <v>338</v>
      </c>
      <c r="C3634" t="s">
        <v>84</v>
      </c>
      <c r="D3634">
        <v>190</v>
      </c>
    </row>
    <row r="3635" spans="1:4" x14ac:dyDescent="0.25">
      <c r="A3635" s="279">
        <v>39291</v>
      </c>
      <c r="B3635" t="s">
        <v>338</v>
      </c>
      <c r="C3635" t="s">
        <v>83</v>
      </c>
      <c r="D3635">
        <v>0</v>
      </c>
    </row>
    <row r="3636" spans="1:4" x14ac:dyDescent="0.25">
      <c r="A3636" s="279">
        <v>39291</v>
      </c>
      <c r="B3636" t="s">
        <v>338</v>
      </c>
      <c r="C3636" t="s">
        <v>14</v>
      </c>
      <c r="D3636">
        <v>1036</v>
      </c>
    </row>
    <row r="3637" spans="1:4" x14ac:dyDescent="0.25">
      <c r="A3637" s="279">
        <v>39291</v>
      </c>
      <c r="B3637" t="s">
        <v>339</v>
      </c>
      <c r="C3637" t="s">
        <v>20</v>
      </c>
      <c r="D3637">
        <v>32563</v>
      </c>
    </row>
    <row r="3638" spans="1:4" x14ac:dyDescent="0.25">
      <c r="A3638" s="279">
        <v>39291</v>
      </c>
      <c r="B3638" t="s">
        <v>339</v>
      </c>
      <c r="C3638" t="s">
        <v>85</v>
      </c>
      <c r="D3638">
        <v>23578</v>
      </c>
    </row>
    <row r="3639" spans="1:4" x14ac:dyDescent="0.25">
      <c r="A3639" s="279">
        <v>39291</v>
      </c>
      <c r="B3639" t="s">
        <v>339</v>
      </c>
      <c r="C3639" t="s">
        <v>86</v>
      </c>
      <c r="D3639">
        <v>0</v>
      </c>
    </row>
    <row r="3640" spans="1:4" x14ac:dyDescent="0.25">
      <c r="A3640" s="279">
        <v>39291</v>
      </c>
      <c r="B3640" t="s">
        <v>339</v>
      </c>
      <c r="C3640" t="s">
        <v>87</v>
      </c>
      <c r="D3640">
        <v>0</v>
      </c>
    </row>
    <row r="3641" spans="1:4" x14ac:dyDescent="0.25">
      <c r="A3641" s="279">
        <v>39291</v>
      </c>
      <c r="B3641" t="s">
        <v>339</v>
      </c>
      <c r="C3641" t="s">
        <v>88</v>
      </c>
      <c r="D3641">
        <v>0</v>
      </c>
    </row>
    <row r="3642" spans="1:4" x14ac:dyDescent="0.25">
      <c r="A3642" s="279">
        <v>39291</v>
      </c>
      <c r="B3642" t="s">
        <v>339</v>
      </c>
      <c r="C3642" t="s">
        <v>14</v>
      </c>
      <c r="D3642">
        <v>1031</v>
      </c>
    </row>
    <row r="3643" spans="1:4" x14ac:dyDescent="0.25">
      <c r="A3643" s="279">
        <v>39292</v>
      </c>
      <c r="B3643" t="s">
        <v>338</v>
      </c>
      <c r="C3643" t="s">
        <v>81</v>
      </c>
      <c r="D3643">
        <v>0</v>
      </c>
    </row>
    <row r="3644" spans="1:4" x14ac:dyDescent="0.25">
      <c r="A3644" s="279">
        <v>39292</v>
      </c>
      <c r="B3644" t="s">
        <v>338</v>
      </c>
      <c r="C3644" t="s">
        <v>82</v>
      </c>
      <c r="D3644">
        <v>0</v>
      </c>
    </row>
    <row r="3645" spans="1:4" x14ac:dyDescent="0.25">
      <c r="A3645" s="279">
        <v>39292</v>
      </c>
      <c r="B3645" t="s">
        <v>338</v>
      </c>
      <c r="C3645" t="s">
        <v>84</v>
      </c>
      <c r="D3645">
        <v>210</v>
      </c>
    </row>
    <row r="3646" spans="1:4" x14ac:dyDescent="0.25">
      <c r="A3646" s="279">
        <v>39292</v>
      </c>
      <c r="B3646" t="s">
        <v>338</v>
      </c>
      <c r="C3646" t="s">
        <v>83</v>
      </c>
      <c r="D3646">
        <v>0</v>
      </c>
    </row>
    <row r="3647" spans="1:4" x14ac:dyDescent="0.25">
      <c r="A3647" s="279">
        <v>39292</v>
      </c>
      <c r="B3647" t="s">
        <v>338</v>
      </c>
      <c r="C3647" t="s">
        <v>14</v>
      </c>
      <c r="D3647">
        <v>1032</v>
      </c>
    </row>
    <row r="3648" spans="1:4" x14ac:dyDescent="0.25">
      <c r="A3648" s="279">
        <v>39292</v>
      </c>
      <c r="B3648" t="s">
        <v>339</v>
      </c>
      <c r="C3648" t="s">
        <v>20</v>
      </c>
      <c r="D3648">
        <v>36046</v>
      </c>
    </row>
    <row r="3649" spans="1:4" x14ac:dyDescent="0.25">
      <c r="A3649" s="279">
        <v>39292</v>
      </c>
      <c r="B3649" t="s">
        <v>339</v>
      </c>
      <c r="C3649" t="s">
        <v>85</v>
      </c>
      <c r="D3649">
        <v>24523</v>
      </c>
    </row>
    <row r="3650" spans="1:4" x14ac:dyDescent="0.25">
      <c r="A3650" s="279">
        <v>39292</v>
      </c>
      <c r="B3650" t="s">
        <v>339</v>
      </c>
      <c r="C3650" t="s">
        <v>86</v>
      </c>
      <c r="D3650">
        <v>0</v>
      </c>
    </row>
    <row r="3651" spans="1:4" x14ac:dyDescent="0.25">
      <c r="A3651" s="279">
        <v>39292</v>
      </c>
      <c r="B3651" t="s">
        <v>339</v>
      </c>
      <c r="C3651" t="s">
        <v>87</v>
      </c>
      <c r="D3651">
        <v>5</v>
      </c>
    </row>
    <row r="3652" spans="1:4" x14ac:dyDescent="0.25">
      <c r="A3652" s="279">
        <v>39292</v>
      </c>
      <c r="B3652" t="s">
        <v>339</v>
      </c>
      <c r="C3652" t="s">
        <v>88</v>
      </c>
      <c r="D3652">
        <v>0</v>
      </c>
    </row>
    <row r="3653" spans="1:4" x14ac:dyDescent="0.25">
      <c r="A3653" s="279">
        <v>39292</v>
      </c>
      <c r="B3653" t="s">
        <v>339</v>
      </c>
      <c r="C3653" t="s">
        <v>14</v>
      </c>
      <c r="D3653">
        <v>1035</v>
      </c>
    </row>
    <row r="3654" spans="1:4" x14ac:dyDescent="0.25">
      <c r="A3654" s="279">
        <v>39293</v>
      </c>
      <c r="B3654" t="s">
        <v>338</v>
      </c>
      <c r="C3654" t="s">
        <v>81</v>
      </c>
      <c r="D3654">
        <v>0</v>
      </c>
    </row>
    <row r="3655" spans="1:4" x14ac:dyDescent="0.25">
      <c r="A3655" s="279">
        <v>39293</v>
      </c>
      <c r="B3655" t="s">
        <v>338</v>
      </c>
      <c r="C3655" t="s">
        <v>82</v>
      </c>
      <c r="D3655">
        <v>0</v>
      </c>
    </row>
    <row r="3656" spans="1:4" x14ac:dyDescent="0.25">
      <c r="A3656" s="279">
        <v>39293</v>
      </c>
      <c r="B3656" t="s">
        <v>338</v>
      </c>
      <c r="C3656" t="s">
        <v>84</v>
      </c>
      <c r="D3656">
        <v>250</v>
      </c>
    </row>
    <row r="3657" spans="1:4" x14ac:dyDescent="0.25">
      <c r="A3657" s="279">
        <v>39293</v>
      </c>
      <c r="B3657" t="s">
        <v>338</v>
      </c>
      <c r="C3657" t="s">
        <v>83</v>
      </c>
      <c r="D3657">
        <v>0</v>
      </c>
    </row>
    <row r="3658" spans="1:4" x14ac:dyDescent="0.25">
      <c r="A3658" s="279">
        <v>39293</v>
      </c>
      <c r="B3658" t="s">
        <v>338</v>
      </c>
      <c r="C3658" t="s">
        <v>14</v>
      </c>
      <c r="D3658">
        <v>1032</v>
      </c>
    </row>
    <row r="3659" spans="1:4" x14ac:dyDescent="0.25">
      <c r="A3659" s="279">
        <v>39293</v>
      </c>
      <c r="B3659" t="s">
        <v>339</v>
      </c>
      <c r="C3659" t="s">
        <v>20</v>
      </c>
      <c r="D3659">
        <v>38286</v>
      </c>
    </row>
    <row r="3660" spans="1:4" x14ac:dyDescent="0.25">
      <c r="A3660" s="279">
        <v>39293</v>
      </c>
      <c r="B3660" t="s">
        <v>339</v>
      </c>
      <c r="C3660" t="s">
        <v>85</v>
      </c>
      <c r="D3660">
        <v>24423</v>
      </c>
    </row>
    <row r="3661" spans="1:4" x14ac:dyDescent="0.25">
      <c r="A3661" s="279">
        <v>39293</v>
      </c>
      <c r="B3661" t="s">
        <v>339</v>
      </c>
      <c r="C3661" t="s">
        <v>86</v>
      </c>
      <c r="D3661">
        <v>0</v>
      </c>
    </row>
    <row r="3662" spans="1:4" x14ac:dyDescent="0.25">
      <c r="A3662" s="279">
        <v>39293</v>
      </c>
      <c r="B3662" t="s">
        <v>339</v>
      </c>
      <c r="C3662" t="s">
        <v>87</v>
      </c>
      <c r="D3662">
        <v>0</v>
      </c>
    </row>
    <row r="3663" spans="1:4" x14ac:dyDescent="0.25">
      <c r="A3663" s="279">
        <v>39293</v>
      </c>
      <c r="B3663" t="s">
        <v>339</v>
      </c>
      <c r="C3663" t="s">
        <v>88</v>
      </c>
      <c r="D3663">
        <v>0</v>
      </c>
    </row>
    <row r="3664" spans="1:4" x14ac:dyDescent="0.25">
      <c r="A3664" s="279">
        <v>39293</v>
      </c>
      <c r="B3664" t="s">
        <v>339</v>
      </c>
      <c r="C3664" t="s">
        <v>14</v>
      </c>
      <c r="D3664">
        <v>1033</v>
      </c>
    </row>
    <row r="3665" spans="1:4" x14ac:dyDescent="0.25">
      <c r="A3665" s="279">
        <v>39294</v>
      </c>
      <c r="B3665" t="s">
        <v>338</v>
      </c>
      <c r="C3665" t="s">
        <v>81</v>
      </c>
      <c r="D3665">
        <v>0</v>
      </c>
    </row>
    <row r="3666" spans="1:4" x14ac:dyDescent="0.25">
      <c r="A3666" s="279">
        <v>39294</v>
      </c>
      <c r="B3666" t="s">
        <v>338</v>
      </c>
      <c r="C3666" t="s">
        <v>82</v>
      </c>
      <c r="D3666">
        <v>0</v>
      </c>
    </row>
    <row r="3667" spans="1:4" x14ac:dyDescent="0.25">
      <c r="A3667" s="279">
        <v>39294</v>
      </c>
      <c r="B3667" t="s">
        <v>338</v>
      </c>
      <c r="C3667" t="s">
        <v>84</v>
      </c>
      <c r="D3667">
        <v>240</v>
      </c>
    </row>
    <row r="3668" spans="1:4" x14ac:dyDescent="0.25">
      <c r="A3668" s="279">
        <v>39294</v>
      </c>
      <c r="B3668" t="s">
        <v>338</v>
      </c>
      <c r="C3668" t="s">
        <v>83</v>
      </c>
      <c r="D3668">
        <v>0</v>
      </c>
    </row>
    <row r="3669" spans="1:4" x14ac:dyDescent="0.25">
      <c r="A3669" s="279">
        <v>39294</v>
      </c>
      <c r="B3669" t="s">
        <v>338</v>
      </c>
      <c r="C3669" t="s">
        <v>14</v>
      </c>
      <c r="D3669">
        <v>1031</v>
      </c>
    </row>
    <row r="3670" spans="1:4" x14ac:dyDescent="0.25">
      <c r="A3670" s="279">
        <v>39294</v>
      </c>
      <c r="B3670" t="s">
        <v>339</v>
      </c>
      <c r="C3670" t="s">
        <v>20</v>
      </c>
      <c r="D3670">
        <v>37360</v>
      </c>
    </row>
    <row r="3671" spans="1:4" x14ac:dyDescent="0.25">
      <c r="A3671" s="279">
        <v>39294</v>
      </c>
      <c r="B3671" t="s">
        <v>339</v>
      </c>
      <c r="C3671" t="s">
        <v>85</v>
      </c>
      <c r="D3671">
        <v>24538</v>
      </c>
    </row>
    <row r="3672" spans="1:4" x14ac:dyDescent="0.25">
      <c r="A3672" s="279">
        <v>39294</v>
      </c>
      <c r="B3672" t="s">
        <v>339</v>
      </c>
      <c r="C3672" t="s">
        <v>86</v>
      </c>
      <c r="D3672">
        <v>0</v>
      </c>
    </row>
    <row r="3673" spans="1:4" x14ac:dyDescent="0.25">
      <c r="A3673" s="279">
        <v>39294</v>
      </c>
      <c r="B3673" t="s">
        <v>339</v>
      </c>
      <c r="C3673" t="s">
        <v>87</v>
      </c>
      <c r="D3673">
        <v>5</v>
      </c>
    </row>
    <row r="3674" spans="1:4" x14ac:dyDescent="0.25">
      <c r="A3674" s="279">
        <v>39294</v>
      </c>
      <c r="B3674" t="s">
        <v>339</v>
      </c>
      <c r="C3674" t="s">
        <v>88</v>
      </c>
      <c r="D3674">
        <v>0</v>
      </c>
    </row>
    <row r="3675" spans="1:4" x14ac:dyDescent="0.25">
      <c r="A3675" s="279">
        <v>39294</v>
      </c>
      <c r="B3675" t="s">
        <v>339</v>
      </c>
      <c r="C3675" t="s">
        <v>14</v>
      </c>
      <c r="D3675">
        <v>1036</v>
      </c>
    </row>
    <row r="3676" spans="1:4" x14ac:dyDescent="0.25">
      <c r="A3676" s="279">
        <v>39295</v>
      </c>
      <c r="B3676" t="s">
        <v>338</v>
      </c>
      <c r="C3676" t="s">
        <v>81</v>
      </c>
      <c r="D3676">
        <v>0</v>
      </c>
    </row>
    <row r="3677" spans="1:4" x14ac:dyDescent="0.25">
      <c r="A3677" s="279">
        <v>39295</v>
      </c>
      <c r="B3677" t="s">
        <v>338</v>
      </c>
      <c r="C3677" t="s">
        <v>82</v>
      </c>
      <c r="D3677">
        <v>0</v>
      </c>
    </row>
    <row r="3678" spans="1:4" x14ac:dyDescent="0.25">
      <c r="A3678" s="279">
        <v>39295</v>
      </c>
      <c r="B3678" t="s">
        <v>338</v>
      </c>
      <c r="C3678" t="s">
        <v>84</v>
      </c>
      <c r="D3678">
        <v>250</v>
      </c>
    </row>
    <row r="3679" spans="1:4" x14ac:dyDescent="0.25">
      <c r="A3679" s="279">
        <v>39295</v>
      </c>
      <c r="B3679" t="s">
        <v>338</v>
      </c>
      <c r="C3679" t="s">
        <v>83</v>
      </c>
      <c r="D3679">
        <v>0</v>
      </c>
    </row>
    <row r="3680" spans="1:4" x14ac:dyDescent="0.25">
      <c r="A3680" s="279">
        <v>39295</v>
      </c>
      <c r="B3680" t="s">
        <v>338</v>
      </c>
      <c r="C3680" t="s">
        <v>14</v>
      </c>
      <c r="D3680">
        <v>1032</v>
      </c>
    </row>
    <row r="3681" spans="1:4" x14ac:dyDescent="0.25">
      <c r="A3681" s="279">
        <v>39295</v>
      </c>
      <c r="B3681" t="s">
        <v>339</v>
      </c>
      <c r="C3681" t="s">
        <v>20</v>
      </c>
      <c r="D3681">
        <v>36837</v>
      </c>
    </row>
    <row r="3682" spans="1:4" x14ac:dyDescent="0.25">
      <c r="A3682" s="279">
        <v>39295</v>
      </c>
      <c r="B3682" t="s">
        <v>339</v>
      </c>
      <c r="C3682" t="s">
        <v>85</v>
      </c>
      <c r="D3682">
        <v>24597</v>
      </c>
    </row>
    <row r="3683" spans="1:4" x14ac:dyDescent="0.25">
      <c r="A3683" s="279">
        <v>39295</v>
      </c>
      <c r="B3683" t="s">
        <v>339</v>
      </c>
      <c r="C3683" t="s">
        <v>86</v>
      </c>
      <c r="D3683">
        <v>0</v>
      </c>
    </row>
    <row r="3684" spans="1:4" x14ac:dyDescent="0.25">
      <c r="A3684" s="279">
        <v>39295</v>
      </c>
      <c r="B3684" t="s">
        <v>339</v>
      </c>
      <c r="C3684" t="s">
        <v>87</v>
      </c>
      <c r="D3684">
        <v>0</v>
      </c>
    </row>
    <row r="3685" spans="1:4" x14ac:dyDescent="0.25">
      <c r="A3685" s="279">
        <v>39295</v>
      </c>
      <c r="B3685" t="s">
        <v>339</v>
      </c>
      <c r="C3685" t="s">
        <v>88</v>
      </c>
      <c r="D3685">
        <v>0</v>
      </c>
    </row>
    <row r="3686" spans="1:4" x14ac:dyDescent="0.25">
      <c r="A3686" s="279">
        <v>39295</v>
      </c>
      <c r="B3686" t="s">
        <v>339</v>
      </c>
      <c r="C3686" t="s">
        <v>14</v>
      </c>
      <c r="D3686">
        <v>1035</v>
      </c>
    </row>
    <row r="3687" spans="1:4" x14ac:dyDescent="0.25">
      <c r="A3687" s="279">
        <v>39296</v>
      </c>
      <c r="B3687" t="s">
        <v>338</v>
      </c>
      <c r="C3687" t="s">
        <v>81</v>
      </c>
      <c r="D3687">
        <v>0</v>
      </c>
    </row>
    <row r="3688" spans="1:4" x14ac:dyDescent="0.25">
      <c r="A3688" s="279">
        <v>39296</v>
      </c>
      <c r="B3688" t="s">
        <v>338</v>
      </c>
      <c r="C3688" t="s">
        <v>82</v>
      </c>
      <c r="D3688">
        <v>0</v>
      </c>
    </row>
    <row r="3689" spans="1:4" x14ac:dyDescent="0.25">
      <c r="A3689" s="279">
        <v>39296</v>
      </c>
      <c r="B3689" t="s">
        <v>338</v>
      </c>
      <c r="C3689" t="s">
        <v>84</v>
      </c>
      <c r="D3689">
        <v>230</v>
      </c>
    </row>
    <row r="3690" spans="1:4" x14ac:dyDescent="0.25">
      <c r="A3690" s="279">
        <v>39296</v>
      </c>
      <c r="B3690" t="s">
        <v>338</v>
      </c>
      <c r="C3690" t="s">
        <v>83</v>
      </c>
      <c r="D3690">
        <v>0</v>
      </c>
    </row>
    <row r="3691" spans="1:4" x14ac:dyDescent="0.25">
      <c r="A3691" s="279">
        <v>39296</v>
      </c>
      <c r="B3691" t="s">
        <v>338</v>
      </c>
      <c r="C3691" t="s">
        <v>14</v>
      </c>
      <c r="D3691">
        <v>1032</v>
      </c>
    </row>
    <row r="3692" spans="1:4" x14ac:dyDescent="0.25">
      <c r="A3692" s="279">
        <v>39296</v>
      </c>
      <c r="B3692" t="s">
        <v>339</v>
      </c>
      <c r="C3692" t="s">
        <v>20</v>
      </c>
      <c r="D3692">
        <v>34533</v>
      </c>
    </row>
    <row r="3693" spans="1:4" x14ac:dyDescent="0.25">
      <c r="A3693" s="279">
        <v>39296</v>
      </c>
      <c r="B3693" t="s">
        <v>339</v>
      </c>
      <c r="C3693" t="s">
        <v>85</v>
      </c>
      <c r="D3693">
        <v>26349</v>
      </c>
    </row>
    <row r="3694" spans="1:4" x14ac:dyDescent="0.25">
      <c r="A3694" s="279">
        <v>39296</v>
      </c>
      <c r="B3694" t="s">
        <v>339</v>
      </c>
      <c r="C3694" t="s">
        <v>86</v>
      </c>
      <c r="D3694">
        <v>0</v>
      </c>
    </row>
    <row r="3695" spans="1:4" x14ac:dyDescent="0.25">
      <c r="A3695" s="279">
        <v>39296</v>
      </c>
      <c r="B3695" t="s">
        <v>339</v>
      </c>
      <c r="C3695" t="s">
        <v>87</v>
      </c>
      <c r="D3695">
        <v>0</v>
      </c>
    </row>
    <row r="3696" spans="1:4" x14ac:dyDescent="0.25">
      <c r="A3696" s="279">
        <v>39296</v>
      </c>
      <c r="B3696" t="s">
        <v>339</v>
      </c>
      <c r="C3696" t="s">
        <v>88</v>
      </c>
      <c r="D3696">
        <v>0</v>
      </c>
    </row>
    <row r="3697" spans="1:4" x14ac:dyDescent="0.25">
      <c r="A3697" s="279">
        <v>39296</v>
      </c>
      <c r="B3697" t="s">
        <v>339</v>
      </c>
      <c r="C3697" t="s">
        <v>14</v>
      </c>
      <c r="D3697">
        <v>1035</v>
      </c>
    </row>
    <row r="3698" spans="1:4" x14ac:dyDescent="0.25">
      <c r="A3698" s="279">
        <v>39297</v>
      </c>
      <c r="B3698" t="s">
        <v>338</v>
      </c>
      <c r="C3698" t="s">
        <v>81</v>
      </c>
      <c r="D3698">
        <v>0</v>
      </c>
    </row>
    <row r="3699" spans="1:4" x14ac:dyDescent="0.25">
      <c r="A3699" s="279">
        <v>39297</v>
      </c>
      <c r="B3699" t="s">
        <v>338</v>
      </c>
      <c r="C3699" t="s">
        <v>82</v>
      </c>
      <c r="D3699">
        <v>0</v>
      </c>
    </row>
    <row r="3700" spans="1:4" x14ac:dyDescent="0.25">
      <c r="A3700" s="279">
        <v>39297</v>
      </c>
      <c r="B3700" t="s">
        <v>338</v>
      </c>
      <c r="C3700" t="s">
        <v>84</v>
      </c>
      <c r="D3700">
        <v>220</v>
      </c>
    </row>
    <row r="3701" spans="1:4" x14ac:dyDescent="0.25">
      <c r="A3701" s="279">
        <v>39297</v>
      </c>
      <c r="B3701" t="s">
        <v>338</v>
      </c>
      <c r="C3701" t="s">
        <v>83</v>
      </c>
      <c r="D3701">
        <v>0</v>
      </c>
    </row>
    <row r="3702" spans="1:4" x14ac:dyDescent="0.25">
      <c r="A3702" s="279">
        <v>39297</v>
      </c>
      <c r="B3702" t="s">
        <v>338</v>
      </c>
      <c r="C3702" t="s">
        <v>14</v>
      </c>
      <c r="D3702">
        <v>1032</v>
      </c>
    </row>
    <row r="3703" spans="1:4" x14ac:dyDescent="0.25">
      <c r="A3703" s="279">
        <v>39297</v>
      </c>
      <c r="B3703" t="s">
        <v>339</v>
      </c>
      <c r="C3703" t="s">
        <v>20</v>
      </c>
      <c r="D3703">
        <v>32858</v>
      </c>
    </row>
    <row r="3704" spans="1:4" x14ac:dyDescent="0.25">
      <c r="A3704" s="279">
        <v>39297</v>
      </c>
      <c r="B3704" t="s">
        <v>339</v>
      </c>
      <c r="C3704" t="s">
        <v>85</v>
      </c>
      <c r="D3704">
        <v>25114</v>
      </c>
    </row>
    <row r="3705" spans="1:4" x14ac:dyDescent="0.25">
      <c r="A3705" s="279">
        <v>39297</v>
      </c>
      <c r="B3705" t="s">
        <v>339</v>
      </c>
      <c r="C3705" t="s">
        <v>86</v>
      </c>
      <c r="D3705">
        <v>0</v>
      </c>
    </row>
    <row r="3706" spans="1:4" x14ac:dyDescent="0.25">
      <c r="A3706" s="279">
        <v>39297</v>
      </c>
      <c r="B3706" t="s">
        <v>339</v>
      </c>
      <c r="C3706" t="s">
        <v>87</v>
      </c>
      <c r="D3706">
        <v>133</v>
      </c>
    </row>
    <row r="3707" spans="1:4" x14ac:dyDescent="0.25">
      <c r="A3707" s="279">
        <v>39297</v>
      </c>
      <c r="B3707" t="s">
        <v>339</v>
      </c>
      <c r="C3707" t="s">
        <v>88</v>
      </c>
      <c r="D3707">
        <v>0</v>
      </c>
    </row>
    <row r="3708" spans="1:4" x14ac:dyDescent="0.25">
      <c r="A3708" s="279">
        <v>39297</v>
      </c>
      <c r="B3708" t="s">
        <v>339</v>
      </c>
      <c r="C3708" t="s">
        <v>14</v>
      </c>
      <c r="D3708">
        <v>1032</v>
      </c>
    </row>
    <row r="3709" spans="1:4" x14ac:dyDescent="0.25">
      <c r="A3709" s="279">
        <v>39298</v>
      </c>
      <c r="B3709" t="s">
        <v>338</v>
      </c>
      <c r="C3709" t="s">
        <v>81</v>
      </c>
      <c r="D3709">
        <v>0</v>
      </c>
    </row>
    <row r="3710" spans="1:4" x14ac:dyDescent="0.25">
      <c r="A3710" s="279">
        <v>39298</v>
      </c>
      <c r="B3710" t="s">
        <v>338</v>
      </c>
      <c r="C3710" t="s">
        <v>82</v>
      </c>
      <c r="D3710">
        <v>0</v>
      </c>
    </row>
    <row r="3711" spans="1:4" x14ac:dyDescent="0.25">
      <c r="A3711" s="279">
        <v>39298</v>
      </c>
      <c r="B3711" t="s">
        <v>338</v>
      </c>
      <c r="C3711" t="s">
        <v>84</v>
      </c>
      <c r="D3711">
        <v>200</v>
      </c>
    </row>
    <row r="3712" spans="1:4" x14ac:dyDescent="0.25">
      <c r="A3712" s="279">
        <v>39298</v>
      </c>
      <c r="B3712" t="s">
        <v>338</v>
      </c>
      <c r="C3712" t="s">
        <v>83</v>
      </c>
      <c r="D3712">
        <v>0</v>
      </c>
    </row>
    <row r="3713" spans="1:4" x14ac:dyDescent="0.25">
      <c r="A3713" s="279">
        <v>39298</v>
      </c>
      <c r="B3713" t="s">
        <v>338</v>
      </c>
      <c r="C3713" t="s">
        <v>14</v>
      </c>
      <c r="D3713">
        <v>1030</v>
      </c>
    </row>
    <row r="3714" spans="1:4" x14ac:dyDescent="0.25">
      <c r="A3714" s="279">
        <v>39298</v>
      </c>
      <c r="B3714" t="s">
        <v>339</v>
      </c>
      <c r="C3714" t="s">
        <v>20</v>
      </c>
      <c r="D3714">
        <v>30323</v>
      </c>
    </row>
    <row r="3715" spans="1:4" x14ac:dyDescent="0.25">
      <c r="A3715" s="279">
        <v>39298</v>
      </c>
      <c r="B3715" t="s">
        <v>339</v>
      </c>
      <c r="C3715" t="s">
        <v>85</v>
      </c>
      <c r="D3715">
        <v>23896</v>
      </c>
    </row>
    <row r="3716" spans="1:4" x14ac:dyDescent="0.25">
      <c r="A3716" s="279">
        <v>39298</v>
      </c>
      <c r="B3716" t="s">
        <v>339</v>
      </c>
      <c r="C3716" t="s">
        <v>86</v>
      </c>
      <c r="D3716">
        <v>0</v>
      </c>
    </row>
    <row r="3717" spans="1:4" x14ac:dyDescent="0.25">
      <c r="A3717" s="279">
        <v>39298</v>
      </c>
      <c r="B3717" t="s">
        <v>339</v>
      </c>
      <c r="C3717" t="s">
        <v>87</v>
      </c>
      <c r="D3717">
        <v>0</v>
      </c>
    </row>
    <row r="3718" spans="1:4" x14ac:dyDescent="0.25">
      <c r="A3718" s="279">
        <v>39298</v>
      </c>
      <c r="B3718" t="s">
        <v>339</v>
      </c>
      <c r="C3718" t="s">
        <v>88</v>
      </c>
      <c r="D3718">
        <v>0</v>
      </c>
    </row>
    <row r="3719" spans="1:4" x14ac:dyDescent="0.25">
      <c r="A3719" s="279">
        <v>39298</v>
      </c>
      <c r="B3719" t="s">
        <v>339</v>
      </c>
      <c r="C3719" t="s">
        <v>14</v>
      </c>
      <c r="D3719">
        <v>1036</v>
      </c>
    </row>
    <row r="3720" spans="1:4" x14ac:dyDescent="0.25">
      <c r="A3720" s="279">
        <v>39299</v>
      </c>
      <c r="B3720" t="s">
        <v>338</v>
      </c>
      <c r="C3720" t="s">
        <v>81</v>
      </c>
      <c r="D3720">
        <v>0</v>
      </c>
    </row>
    <row r="3721" spans="1:4" x14ac:dyDescent="0.25">
      <c r="A3721" s="279">
        <v>39299</v>
      </c>
      <c r="B3721" t="s">
        <v>338</v>
      </c>
      <c r="C3721" t="s">
        <v>82</v>
      </c>
      <c r="D3721">
        <v>0</v>
      </c>
    </row>
    <row r="3722" spans="1:4" x14ac:dyDescent="0.25">
      <c r="A3722" s="279">
        <v>39299</v>
      </c>
      <c r="B3722" t="s">
        <v>338</v>
      </c>
      <c r="C3722" t="s">
        <v>84</v>
      </c>
      <c r="D3722">
        <v>200</v>
      </c>
    </row>
    <row r="3723" spans="1:4" x14ac:dyDescent="0.25">
      <c r="A3723" s="279">
        <v>39299</v>
      </c>
      <c r="B3723" t="s">
        <v>338</v>
      </c>
      <c r="C3723" t="s">
        <v>83</v>
      </c>
      <c r="D3723">
        <v>0</v>
      </c>
    </row>
    <row r="3724" spans="1:4" x14ac:dyDescent="0.25">
      <c r="A3724" s="279">
        <v>39299</v>
      </c>
      <c r="B3724" t="s">
        <v>338</v>
      </c>
      <c r="C3724" t="s">
        <v>14</v>
      </c>
      <c r="D3724">
        <v>1030</v>
      </c>
    </row>
    <row r="3725" spans="1:4" x14ac:dyDescent="0.25">
      <c r="A3725" s="279">
        <v>39299</v>
      </c>
      <c r="B3725" t="s">
        <v>339</v>
      </c>
      <c r="C3725" t="s">
        <v>20</v>
      </c>
      <c r="D3725">
        <v>32618</v>
      </c>
    </row>
    <row r="3726" spans="1:4" x14ac:dyDescent="0.25">
      <c r="A3726" s="279">
        <v>39299</v>
      </c>
      <c r="B3726" t="s">
        <v>339</v>
      </c>
      <c r="C3726" t="s">
        <v>85</v>
      </c>
      <c r="D3726">
        <v>23676</v>
      </c>
    </row>
    <row r="3727" spans="1:4" x14ac:dyDescent="0.25">
      <c r="A3727" s="279">
        <v>39299</v>
      </c>
      <c r="B3727" t="s">
        <v>339</v>
      </c>
      <c r="C3727" t="s">
        <v>86</v>
      </c>
      <c r="D3727">
        <v>0</v>
      </c>
    </row>
    <row r="3728" spans="1:4" x14ac:dyDescent="0.25">
      <c r="A3728" s="279">
        <v>39299</v>
      </c>
      <c r="B3728" t="s">
        <v>339</v>
      </c>
      <c r="C3728" t="s">
        <v>87</v>
      </c>
      <c r="D3728">
        <v>0</v>
      </c>
    </row>
    <row r="3729" spans="1:4" x14ac:dyDescent="0.25">
      <c r="A3729" s="279">
        <v>39299</v>
      </c>
      <c r="B3729" t="s">
        <v>339</v>
      </c>
      <c r="C3729" t="s">
        <v>88</v>
      </c>
      <c r="D3729">
        <v>0</v>
      </c>
    </row>
    <row r="3730" spans="1:4" x14ac:dyDescent="0.25">
      <c r="A3730" s="279">
        <v>39299</v>
      </c>
      <c r="B3730" t="s">
        <v>339</v>
      </c>
      <c r="C3730" t="s">
        <v>14</v>
      </c>
      <c r="D3730">
        <v>1036</v>
      </c>
    </row>
    <row r="3731" spans="1:4" x14ac:dyDescent="0.25">
      <c r="A3731" s="279">
        <v>39300</v>
      </c>
      <c r="B3731" t="s">
        <v>338</v>
      </c>
      <c r="C3731" t="s">
        <v>81</v>
      </c>
      <c r="D3731">
        <v>0</v>
      </c>
    </row>
    <row r="3732" spans="1:4" x14ac:dyDescent="0.25">
      <c r="A3732" s="279">
        <v>39300</v>
      </c>
      <c r="B3732" t="s">
        <v>338</v>
      </c>
      <c r="C3732" t="s">
        <v>82</v>
      </c>
      <c r="D3732">
        <v>0</v>
      </c>
    </row>
    <row r="3733" spans="1:4" x14ac:dyDescent="0.25">
      <c r="A3733" s="279">
        <v>39300</v>
      </c>
      <c r="B3733" t="s">
        <v>338</v>
      </c>
      <c r="C3733" t="s">
        <v>84</v>
      </c>
      <c r="D3733">
        <v>230</v>
      </c>
    </row>
    <row r="3734" spans="1:4" x14ac:dyDescent="0.25">
      <c r="A3734" s="279">
        <v>39300</v>
      </c>
      <c r="B3734" t="s">
        <v>338</v>
      </c>
      <c r="C3734" t="s">
        <v>83</v>
      </c>
      <c r="D3734">
        <v>0</v>
      </c>
    </row>
    <row r="3735" spans="1:4" x14ac:dyDescent="0.25">
      <c r="A3735" s="279">
        <v>39300</v>
      </c>
      <c r="B3735" t="s">
        <v>338</v>
      </c>
      <c r="C3735" t="s">
        <v>14</v>
      </c>
      <c r="D3735">
        <v>1032</v>
      </c>
    </row>
    <row r="3736" spans="1:4" x14ac:dyDescent="0.25">
      <c r="A3736" s="279">
        <v>39300</v>
      </c>
      <c r="B3736" t="s">
        <v>339</v>
      </c>
      <c r="C3736" t="s">
        <v>20</v>
      </c>
      <c r="D3736">
        <v>36637</v>
      </c>
    </row>
    <row r="3737" spans="1:4" x14ac:dyDescent="0.25">
      <c r="A3737" s="279">
        <v>39300</v>
      </c>
      <c r="B3737" t="s">
        <v>339</v>
      </c>
      <c r="C3737" t="s">
        <v>85</v>
      </c>
      <c r="D3737">
        <v>22523</v>
      </c>
    </row>
    <row r="3738" spans="1:4" x14ac:dyDescent="0.25">
      <c r="A3738" s="279">
        <v>39300</v>
      </c>
      <c r="B3738" t="s">
        <v>339</v>
      </c>
      <c r="C3738" t="s">
        <v>86</v>
      </c>
      <c r="D3738">
        <v>0</v>
      </c>
    </row>
    <row r="3739" spans="1:4" x14ac:dyDescent="0.25">
      <c r="A3739" s="279">
        <v>39300</v>
      </c>
      <c r="B3739" t="s">
        <v>339</v>
      </c>
      <c r="C3739" t="s">
        <v>87</v>
      </c>
      <c r="D3739">
        <v>5</v>
      </c>
    </row>
    <row r="3740" spans="1:4" x14ac:dyDescent="0.25">
      <c r="A3740" s="279">
        <v>39300</v>
      </c>
      <c r="B3740" t="s">
        <v>339</v>
      </c>
      <c r="C3740" t="s">
        <v>88</v>
      </c>
      <c r="D3740">
        <v>0</v>
      </c>
    </row>
    <row r="3741" spans="1:4" x14ac:dyDescent="0.25">
      <c r="A3741" s="279">
        <v>39300</v>
      </c>
      <c r="B3741" t="s">
        <v>339</v>
      </c>
      <c r="C3741" t="s">
        <v>14</v>
      </c>
      <c r="D3741">
        <v>1037</v>
      </c>
    </row>
    <row r="3742" spans="1:4" x14ac:dyDescent="0.25">
      <c r="A3742" s="279">
        <v>39301</v>
      </c>
      <c r="B3742" t="s">
        <v>338</v>
      </c>
      <c r="C3742" t="s">
        <v>81</v>
      </c>
      <c r="D3742">
        <v>0</v>
      </c>
    </row>
    <row r="3743" spans="1:4" x14ac:dyDescent="0.25">
      <c r="A3743" s="279">
        <v>39301</v>
      </c>
      <c r="B3743" t="s">
        <v>338</v>
      </c>
      <c r="C3743" t="s">
        <v>82</v>
      </c>
      <c r="D3743">
        <v>0</v>
      </c>
    </row>
    <row r="3744" spans="1:4" x14ac:dyDescent="0.25">
      <c r="A3744" s="279">
        <v>39301</v>
      </c>
      <c r="B3744" t="s">
        <v>338</v>
      </c>
      <c r="C3744" t="s">
        <v>84</v>
      </c>
      <c r="D3744">
        <v>230</v>
      </c>
    </row>
    <row r="3745" spans="1:4" x14ac:dyDescent="0.25">
      <c r="A3745" s="279">
        <v>39301</v>
      </c>
      <c r="B3745" t="s">
        <v>338</v>
      </c>
      <c r="C3745" t="s">
        <v>83</v>
      </c>
      <c r="D3745">
        <v>0</v>
      </c>
    </row>
    <row r="3746" spans="1:4" x14ac:dyDescent="0.25">
      <c r="A3746" s="279">
        <v>39301</v>
      </c>
      <c r="B3746" t="s">
        <v>338</v>
      </c>
      <c r="C3746" t="s">
        <v>14</v>
      </c>
      <c r="D3746">
        <v>1032</v>
      </c>
    </row>
    <row r="3747" spans="1:4" x14ac:dyDescent="0.25">
      <c r="A3747" s="279">
        <v>39301</v>
      </c>
      <c r="B3747" t="s">
        <v>339</v>
      </c>
      <c r="C3747" t="s">
        <v>20</v>
      </c>
      <c r="D3747">
        <v>32683</v>
      </c>
    </row>
    <row r="3748" spans="1:4" x14ac:dyDescent="0.25">
      <c r="A3748" s="279">
        <v>39301</v>
      </c>
      <c r="B3748" t="s">
        <v>339</v>
      </c>
      <c r="C3748" t="s">
        <v>85</v>
      </c>
      <c r="D3748">
        <v>25026</v>
      </c>
    </row>
    <row r="3749" spans="1:4" x14ac:dyDescent="0.25">
      <c r="A3749" s="279">
        <v>39301</v>
      </c>
      <c r="B3749" t="s">
        <v>339</v>
      </c>
      <c r="C3749" t="s">
        <v>86</v>
      </c>
      <c r="D3749">
        <v>0</v>
      </c>
    </row>
    <row r="3750" spans="1:4" x14ac:dyDescent="0.25">
      <c r="A3750" s="279">
        <v>39301</v>
      </c>
      <c r="B3750" t="s">
        <v>339</v>
      </c>
      <c r="C3750" t="s">
        <v>87</v>
      </c>
      <c r="D3750">
        <v>0</v>
      </c>
    </row>
    <row r="3751" spans="1:4" x14ac:dyDescent="0.25">
      <c r="A3751" s="279">
        <v>39301</v>
      </c>
      <c r="B3751" t="s">
        <v>339</v>
      </c>
      <c r="C3751" t="s">
        <v>88</v>
      </c>
      <c r="D3751">
        <v>0</v>
      </c>
    </row>
    <row r="3752" spans="1:4" x14ac:dyDescent="0.25">
      <c r="A3752" s="279">
        <v>39301</v>
      </c>
      <c r="B3752" t="s">
        <v>339</v>
      </c>
      <c r="C3752" t="s">
        <v>14</v>
      </c>
      <c r="D3752">
        <v>1036</v>
      </c>
    </row>
    <row r="3753" spans="1:4" x14ac:dyDescent="0.25">
      <c r="A3753" s="279">
        <v>39302</v>
      </c>
      <c r="B3753" t="s">
        <v>338</v>
      </c>
      <c r="C3753" t="s">
        <v>81</v>
      </c>
      <c r="D3753">
        <v>0</v>
      </c>
    </row>
    <row r="3754" spans="1:4" x14ac:dyDescent="0.25">
      <c r="A3754" s="279">
        <v>39302</v>
      </c>
      <c r="B3754" t="s">
        <v>338</v>
      </c>
      <c r="C3754" t="s">
        <v>82</v>
      </c>
      <c r="D3754">
        <v>0</v>
      </c>
    </row>
    <row r="3755" spans="1:4" x14ac:dyDescent="0.25">
      <c r="A3755" s="279">
        <v>39302</v>
      </c>
      <c r="B3755" t="s">
        <v>338</v>
      </c>
      <c r="C3755" t="s">
        <v>84</v>
      </c>
      <c r="D3755">
        <v>230</v>
      </c>
    </row>
    <row r="3756" spans="1:4" x14ac:dyDescent="0.25">
      <c r="A3756" s="279">
        <v>39302</v>
      </c>
      <c r="B3756" t="s">
        <v>338</v>
      </c>
      <c r="C3756" t="s">
        <v>83</v>
      </c>
      <c r="D3756">
        <v>0</v>
      </c>
    </row>
    <row r="3757" spans="1:4" x14ac:dyDescent="0.25">
      <c r="A3757" s="279">
        <v>39302</v>
      </c>
      <c r="B3757" t="s">
        <v>338</v>
      </c>
      <c r="C3757" t="s">
        <v>14</v>
      </c>
      <c r="D3757">
        <v>1032</v>
      </c>
    </row>
    <row r="3758" spans="1:4" x14ac:dyDescent="0.25">
      <c r="A3758" s="279">
        <v>39302</v>
      </c>
      <c r="B3758" t="s">
        <v>339</v>
      </c>
      <c r="C3758" t="s">
        <v>20</v>
      </c>
      <c r="D3758">
        <v>33325</v>
      </c>
    </row>
    <row r="3759" spans="1:4" x14ac:dyDescent="0.25">
      <c r="A3759" s="279">
        <v>39302</v>
      </c>
      <c r="B3759" t="s">
        <v>339</v>
      </c>
      <c r="C3759" t="s">
        <v>85</v>
      </c>
      <c r="D3759">
        <v>25378</v>
      </c>
    </row>
    <row r="3760" spans="1:4" x14ac:dyDescent="0.25">
      <c r="A3760" s="279">
        <v>39302</v>
      </c>
      <c r="B3760" t="s">
        <v>339</v>
      </c>
      <c r="C3760" t="s">
        <v>86</v>
      </c>
      <c r="D3760">
        <v>0</v>
      </c>
    </row>
    <row r="3761" spans="1:4" x14ac:dyDescent="0.25">
      <c r="A3761" s="279">
        <v>39302</v>
      </c>
      <c r="B3761" t="s">
        <v>339</v>
      </c>
      <c r="C3761" t="s">
        <v>87</v>
      </c>
      <c r="D3761">
        <v>0</v>
      </c>
    </row>
    <row r="3762" spans="1:4" x14ac:dyDescent="0.25">
      <c r="A3762" s="279">
        <v>39302</v>
      </c>
      <c r="B3762" t="s">
        <v>339</v>
      </c>
      <c r="C3762" t="s">
        <v>88</v>
      </c>
      <c r="D3762">
        <v>0</v>
      </c>
    </row>
    <row r="3763" spans="1:4" x14ac:dyDescent="0.25">
      <c r="A3763" s="279">
        <v>39302</v>
      </c>
      <c r="B3763" t="s">
        <v>339</v>
      </c>
      <c r="C3763" t="s">
        <v>14</v>
      </c>
      <c r="D3763">
        <v>1038</v>
      </c>
    </row>
    <row r="3764" spans="1:4" x14ac:dyDescent="0.25">
      <c r="A3764" s="279">
        <v>39303</v>
      </c>
      <c r="B3764" t="s">
        <v>338</v>
      </c>
      <c r="C3764" t="s">
        <v>81</v>
      </c>
      <c r="D3764">
        <v>0</v>
      </c>
    </row>
    <row r="3765" spans="1:4" x14ac:dyDescent="0.25">
      <c r="A3765" s="279">
        <v>39303</v>
      </c>
      <c r="B3765" t="s">
        <v>338</v>
      </c>
      <c r="C3765" t="s">
        <v>82</v>
      </c>
      <c r="D3765">
        <v>0</v>
      </c>
    </row>
    <row r="3766" spans="1:4" x14ac:dyDescent="0.25">
      <c r="A3766" s="279">
        <v>39303</v>
      </c>
      <c r="B3766" t="s">
        <v>338</v>
      </c>
      <c r="C3766" t="s">
        <v>84</v>
      </c>
      <c r="D3766">
        <v>230</v>
      </c>
    </row>
    <row r="3767" spans="1:4" x14ac:dyDescent="0.25">
      <c r="A3767" s="279">
        <v>39303</v>
      </c>
      <c r="B3767" t="s">
        <v>338</v>
      </c>
      <c r="C3767" t="s">
        <v>83</v>
      </c>
      <c r="D3767">
        <v>0</v>
      </c>
    </row>
    <row r="3768" spans="1:4" x14ac:dyDescent="0.25">
      <c r="A3768" s="279">
        <v>39303</v>
      </c>
      <c r="B3768" t="s">
        <v>338</v>
      </c>
      <c r="C3768" t="s">
        <v>14</v>
      </c>
      <c r="D3768">
        <v>1032</v>
      </c>
    </row>
    <row r="3769" spans="1:4" x14ac:dyDescent="0.25">
      <c r="A3769" s="279">
        <v>39303</v>
      </c>
      <c r="B3769" t="s">
        <v>339</v>
      </c>
      <c r="C3769" t="s">
        <v>20</v>
      </c>
      <c r="D3769">
        <v>32197</v>
      </c>
    </row>
    <row r="3770" spans="1:4" x14ac:dyDescent="0.25">
      <c r="A3770" s="279">
        <v>39303</v>
      </c>
      <c r="B3770" t="s">
        <v>339</v>
      </c>
      <c r="C3770" t="s">
        <v>85</v>
      </c>
      <c r="D3770">
        <v>24317</v>
      </c>
    </row>
    <row r="3771" spans="1:4" x14ac:dyDescent="0.25">
      <c r="A3771" s="279">
        <v>39303</v>
      </c>
      <c r="B3771" t="s">
        <v>339</v>
      </c>
      <c r="C3771" t="s">
        <v>86</v>
      </c>
      <c r="D3771">
        <v>0</v>
      </c>
    </row>
    <row r="3772" spans="1:4" x14ac:dyDescent="0.25">
      <c r="A3772" s="279">
        <v>39303</v>
      </c>
      <c r="B3772" t="s">
        <v>339</v>
      </c>
      <c r="C3772" t="s">
        <v>87</v>
      </c>
      <c r="D3772">
        <v>0</v>
      </c>
    </row>
    <row r="3773" spans="1:4" x14ac:dyDescent="0.25">
      <c r="A3773" s="279">
        <v>39303</v>
      </c>
      <c r="B3773" t="s">
        <v>339</v>
      </c>
      <c r="C3773" t="s">
        <v>88</v>
      </c>
      <c r="D3773">
        <v>0</v>
      </c>
    </row>
    <row r="3774" spans="1:4" x14ac:dyDescent="0.25">
      <c r="A3774" s="279">
        <v>39303</v>
      </c>
      <c r="B3774" t="s">
        <v>339</v>
      </c>
      <c r="C3774" t="s">
        <v>14</v>
      </c>
      <c r="D3774">
        <v>1040</v>
      </c>
    </row>
    <row r="3775" spans="1:4" x14ac:dyDescent="0.25">
      <c r="A3775" s="279">
        <v>39304</v>
      </c>
      <c r="B3775" t="s">
        <v>338</v>
      </c>
      <c r="C3775" t="s">
        <v>81</v>
      </c>
      <c r="D3775">
        <v>0</v>
      </c>
    </row>
    <row r="3776" spans="1:4" x14ac:dyDescent="0.25">
      <c r="A3776" s="279">
        <v>39304</v>
      </c>
      <c r="B3776" t="s">
        <v>338</v>
      </c>
      <c r="C3776" t="s">
        <v>82</v>
      </c>
      <c r="D3776">
        <v>0</v>
      </c>
    </row>
    <row r="3777" spans="1:4" x14ac:dyDescent="0.25">
      <c r="A3777" s="279">
        <v>39304</v>
      </c>
      <c r="B3777" t="s">
        <v>338</v>
      </c>
      <c r="C3777" t="s">
        <v>84</v>
      </c>
      <c r="D3777">
        <v>240</v>
      </c>
    </row>
    <row r="3778" spans="1:4" x14ac:dyDescent="0.25">
      <c r="A3778" s="279">
        <v>39304</v>
      </c>
      <c r="B3778" t="s">
        <v>338</v>
      </c>
      <c r="C3778" t="s">
        <v>83</v>
      </c>
      <c r="D3778">
        <v>0</v>
      </c>
    </row>
    <row r="3779" spans="1:4" x14ac:dyDescent="0.25">
      <c r="A3779" s="279">
        <v>39304</v>
      </c>
      <c r="B3779" t="s">
        <v>338</v>
      </c>
      <c r="C3779" t="s">
        <v>14</v>
      </c>
      <c r="D3779">
        <v>1032</v>
      </c>
    </row>
    <row r="3780" spans="1:4" x14ac:dyDescent="0.25">
      <c r="A3780" s="279">
        <v>39304</v>
      </c>
      <c r="B3780" t="s">
        <v>339</v>
      </c>
      <c r="C3780" t="s">
        <v>20</v>
      </c>
      <c r="D3780">
        <v>36206</v>
      </c>
    </row>
    <row r="3781" spans="1:4" x14ac:dyDescent="0.25">
      <c r="A3781" s="279">
        <v>39304</v>
      </c>
      <c r="B3781" t="s">
        <v>339</v>
      </c>
      <c r="C3781" t="s">
        <v>85</v>
      </c>
      <c r="D3781">
        <v>22325</v>
      </c>
    </row>
    <row r="3782" spans="1:4" x14ac:dyDescent="0.25">
      <c r="A3782" s="279">
        <v>39304</v>
      </c>
      <c r="B3782" t="s">
        <v>339</v>
      </c>
      <c r="C3782" t="s">
        <v>86</v>
      </c>
      <c r="D3782">
        <v>0</v>
      </c>
    </row>
    <row r="3783" spans="1:4" x14ac:dyDescent="0.25">
      <c r="A3783" s="279">
        <v>39304</v>
      </c>
      <c r="B3783" t="s">
        <v>339</v>
      </c>
      <c r="C3783" t="s">
        <v>87</v>
      </c>
      <c r="D3783">
        <v>0</v>
      </c>
    </row>
    <row r="3784" spans="1:4" x14ac:dyDescent="0.25">
      <c r="A3784" s="279">
        <v>39304</v>
      </c>
      <c r="B3784" t="s">
        <v>339</v>
      </c>
      <c r="C3784" t="s">
        <v>88</v>
      </c>
      <c r="D3784">
        <v>0</v>
      </c>
    </row>
    <row r="3785" spans="1:4" x14ac:dyDescent="0.25">
      <c r="A3785" s="279">
        <v>39304</v>
      </c>
      <c r="B3785" t="s">
        <v>339</v>
      </c>
      <c r="C3785" t="s">
        <v>14</v>
      </c>
      <c r="D3785">
        <v>1038</v>
      </c>
    </row>
    <row r="3786" spans="1:4" x14ac:dyDescent="0.25">
      <c r="A3786" s="279">
        <v>39305</v>
      </c>
      <c r="B3786" t="s">
        <v>338</v>
      </c>
      <c r="C3786" t="s">
        <v>81</v>
      </c>
      <c r="D3786">
        <v>0</v>
      </c>
    </row>
    <row r="3787" spans="1:4" x14ac:dyDescent="0.25">
      <c r="A3787" s="279">
        <v>39305</v>
      </c>
      <c r="B3787" t="s">
        <v>338</v>
      </c>
      <c r="C3787" t="s">
        <v>82</v>
      </c>
      <c r="D3787">
        <v>0</v>
      </c>
    </row>
    <row r="3788" spans="1:4" x14ac:dyDescent="0.25">
      <c r="A3788" s="279">
        <v>39305</v>
      </c>
      <c r="B3788" t="s">
        <v>338</v>
      </c>
      <c r="C3788" t="s">
        <v>84</v>
      </c>
      <c r="D3788">
        <v>200</v>
      </c>
    </row>
    <row r="3789" spans="1:4" x14ac:dyDescent="0.25">
      <c r="A3789" s="279">
        <v>39305</v>
      </c>
      <c r="B3789" t="s">
        <v>338</v>
      </c>
      <c r="C3789" t="s">
        <v>83</v>
      </c>
      <c r="D3789">
        <v>0</v>
      </c>
    </row>
    <row r="3790" spans="1:4" x14ac:dyDescent="0.25">
      <c r="A3790" s="279">
        <v>39305</v>
      </c>
      <c r="B3790" t="s">
        <v>338</v>
      </c>
      <c r="C3790" t="s">
        <v>14</v>
      </c>
      <c r="D3790">
        <v>1033</v>
      </c>
    </row>
    <row r="3791" spans="1:4" x14ac:dyDescent="0.25">
      <c r="A3791" s="279">
        <v>39305</v>
      </c>
      <c r="B3791" t="s">
        <v>339</v>
      </c>
      <c r="C3791" t="s">
        <v>20</v>
      </c>
      <c r="D3791">
        <v>35861</v>
      </c>
    </row>
    <row r="3792" spans="1:4" x14ac:dyDescent="0.25">
      <c r="A3792" s="279">
        <v>39305</v>
      </c>
      <c r="B3792" t="s">
        <v>339</v>
      </c>
      <c r="C3792" t="s">
        <v>85</v>
      </c>
      <c r="D3792">
        <v>21252</v>
      </c>
    </row>
    <row r="3793" spans="1:4" x14ac:dyDescent="0.25">
      <c r="A3793" s="279">
        <v>39305</v>
      </c>
      <c r="B3793" t="s">
        <v>339</v>
      </c>
      <c r="C3793" t="s">
        <v>86</v>
      </c>
      <c r="D3793">
        <v>0</v>
      </c>
    </row>
    <row r="3794" spans="1:4" x14ac:dyDescent="0.25">
      <c r="A3794" s="279">
        <v>39305</v>
      </c>
      <c r="B3794" t="s">
        <v>339</v>
      </c>
      <c r="C3794" t="s">
        <v>87</v>
      </c>
      <c r="D3794">
        <v>0</v>
      </c>
    </row>
    <row r="3795" spans="1:4" x14ac:dyDescent="0.25">
      <c r="A3795" s="279">
        <v>39305</v>
      </c>
      <c r="B3795" t="s">
        <v>339</v>
      </c>
      <c r="C3795" t="s">
        <v>88</v>
      </c>
      <c r="D3795">
        <v>0</v>
      </c>
    </row>
    <row r="3796" spans="1:4" x14ac:dyDescent="0.25">
      <c r="A3796" s="279">
        <v>39305</v>
      </c>
      <c r="B3796" t="s">
        <v>339</v>
      </c>
      <c r="C3796" t="s">
        <v>14</v>
      </c>
      <c r="D3796">
        <v>1045</v>
      </c>
    </row>
    <row r="3797" spans="1:4" x14ac:dyDescent="0.25">
      <c r="A3797" s="279">
        <v>39306</v>
      </c>
      <c r="B3797" t="s">
        <v>338</v>
      </c>
      <c r="C3797" t="s">
        <v>81</v>
      </c>
      <c r="D3797">
        <v>0</v>
      </c>
    </row>
    <row r="3798" spans="1:4" x14ac:dyDescent="0.25">
      <c r="A3798" s="279">
        <v>39306</v>
      </c>
      <c r="B3798" t="s">
        <v>338</v>
      </c>
      <c r="C3798" t="s">
        <v>82</v>
      </c>
      <c r="D3798">
        <v>0</v>
      </c>
    </row>
    <row r="3799" spans="1:4" x14ac:dyDescent="0.25">
      <c r="A3799" s="279">
        <v>39306</v>
      </c>
      <c r="B3799" t="s">
        <v>338</v>
      </c>
      <c r="C3799" t="s">
        <v>84</v>
      </c>
      <c r="D3799">
        <v>200</v>
      </c>
    </row>
    <row r="3800" spans="1:4" x14ac:dyDescent="0.25">
      <c r="A3800" s="279">
        <v>39306</v>
      </c>
      <c r="B3800" t="s">
        <v>338</v>
      </c>
      <c r="C3800" t="s">
        <v>83</v>
      </c>
      <c r="D3800">
        <v>0</v>
      </c>
    </row>
    <row r="3801" spans="1:4" x14ac:dyDescent="0.25">
      <c r="A3801" s="279">
        <v>39306</v>
      </c>
      <c r="B3801" t="s">
        <v>338</v>
      </c>
      <c r="C3801" t="s">
        <v>14</v>
      </c>
      <c r="D3801">
        <v>1033</v>
      </c>
    </row>
    <row r="3802" spans="1:4" x14ac:dyDescent="0.25">
      <c r="A3802" s="279">
        <v>39306</v>
      </c>
      <c r="B3802" t="s">
        <v>339</v>
      </c>
      <c r="C3802" t="s">
        <v>20</v>
      </c>
      <c r="D3802">
        <v>31590</v>
      </c>
    </row>
    <row r="3803" spans="1:4" x14ac:dyDescent="0.25">
      <c r="A3803" s="279">
        <v>39306</v>
      </c>
      <c r="B3803" t="s">
        <v>339</v>
      </c>
      <c r="C3803" t="s">
        <v>85</v>
      </c>
      <c r="D3803">
        <v>24839</v>
      </c>
    </row>
    <row r="3804" spans="1:4" x14ac:dyDescent="0.25">
      <c r="A3804" s="279">
        <v>39306</v>
      </c>
      <c r="B3804" t="s">
        <v>339</v>
      </c>
      <c r="C3804" t="s">
        <v>86</v>
      </c>
      <c r="D3804">
        <v>0</v>
      </c>
    </row>
    <row r="3805" spans="1:4" x14ac:dyDescent="0.25">
      <c r="A3805" s="279">
        <v>39306</v>
      </c>
      <c r="B3805" t="s">
        <v>339</v>
      </c>
      <c r="C3805" t="s">
        <v>87</v>
      </c>
      <c r="D3805">
        <v>5</v>
      </c>
    </row>
    <row r="3806" spans="1:4" x14ac:dyDescent="0.25">
      <c r="A3806" s="279">
        <v>39306</v>
      </c>
      <c r="B3806" t="s">
        <v>339</v>
      </c>
      <c r="C3806" t="s">
        <v>88</v>
      </c>
      <c r="D3806">
        <v>0</v>
      </c>
    </row>
    <row r="3807" spans="1:4" x14ac:dyDescent="0.25">
      <c r="A3807" s="279">
        <v>39306</v>
      </c>
      <c r="B3807" t="s">
        <v>339</v>
      </c>
      <c r="C3807" t="s">
        <v>14</v>
      </c>
      <c r="D3807">
        <v>1044</v>
      </c>
    </row>
    <row r="3808" spans="1:4" x14ac:dyDescent="0.25">
      <c r="A3808" s="279">
        <v>39307</v>
      </c>
      <c r="B3808" t="s">
        <v>338</v>
      </c>
      <c r="C3808" t="s">
        <v>81</v>
      </c>
      <c r="D3808">
        <v>0</v>
      </c>
    </row>
    <row r="3809" spans="1:4" x14ac:dyDescent="0.25">
      <c r="A3809" s="279">
        <v>39307</v>
      </c>
      <c r="B3809" t="s">
        <v>338</v>
      </c>
      <c r="C3809" t="s">
        <v>82</v>
      </c>
      <c r="D3809">
        <v>0</v>
      </c>
    </row>
    <row r="3810" spans="1:4" x14ac:dyDescent="0.25">
      <c r="A3810" s="279">
        <v>39307</v>
      </c>
      <c r="B3810" t="s">
        <v>338</v>
      </c>
      <c r="C3810" t="s">
        <v>84</v>
      </c>
      <c r="D3810">
        <v>230</v>
      </c>
    </row>
    <row r="3811" spans="1:4" x14ac:dyDescent="0.25">
      <c r="A3811" s="279">
        <v>39307</v>
      </c>
      <c r="B3811" t="s">
        <v>338</v>
      </c>
      <c r="C3811" t="s">
        <v>83</v>
      </c>
      <c r="D3811">
        <v>0</v>
      </c>
    </row>
    <row r="3812" spans="1:4" x14ac:dyDescent="0.25">
      <c r="A3812" s="279">
        <v>39307</v>
      </c>
      <c r="B3812" t="s">
        <v>338</v>
      </c>
      <c r="C3812" t="s">
        <v>14</v>
      </c>
      <c r="D3812">
        <v>1033</v>
      </c>
    </row>
    <row r="3813" spans="1:4" x14ac:dyDescent="0.25">
      <c r="A3813" s="279">
        <v>39307</v>
      </c>
      <c r="B3813" t="s">
        <v>339</v>
      </c>
      <c r="C3813" t="s">
        <v>20</v>
      </c>
      <c r="D3813">
        <v>34305</v>
      </c>
    </row>
    <row r="3814" spans="1:4" x14ac:dyDescent="0.25">
      <c r="A3814" s="279">
        <v>39307</v>
      </c>
      <c r="B3814" t="s">
        <v>339</v>
      </c>
      <c r="C3814" t="s">
        <v>85</v>
      </c>
      <c r="D3814">
        <v>25141</v>
      </c>
    </row>
    <row r="3815" spans="1:4" x14ac:dyDescent="0.25">
      <c r="A3815" s="279">
        <v>39307</v>
      </c>
      <c r="B3815" t="s">
        <v>339</v>
      </c>
      <c r="C3815" t="s">
        <v>86</v>
      </c>
      <c r="D3815">
        <v>0</v>
      </c>
    </row>
    <row r="3816" spans="1:4" x14ac:dyDescent="0.25">
      <c r="A3816" s="279">
        <v>39307</v>
      </c>
      <c r="B3816" t="s">
        <v>339</v>
      </c>
      <c r="C3816" t="s">
        <v>87</v>
      </c>
      <c r="D3816">
        <v>0</v>
      </c>
    </row>
    <row r="3817" spans="1:4" x14ac:dyDescent="0.25">
      <c r="A3817" s="279">
        <v>39307</v>
      </c>
      <c r="B3817" t="s">
        <v>339</v>
      </c>
      <c r="C3817" t="s">
        <v>88</v>
      </c>
      <c r="D3817">
        <v>0</v>
      </c>
    </row>
    <row r="3818" spans="1:4" x14ac:dyDescent="0.25">
      <c r="A3818" s="279">
        <v>39307</v>
      </c>
      <c r="B3818" t="s">
        <v>339</v>
      </c>
      <c r="C3818" t="s">
        <v>14</v>
      </c>
      <c r="D3818">
        <v>1046</v>
      </c>
    </row>
    <row r="3819" spans="1:4" x14ac:dyDescent="0.25">
      <c r="A3819" s="279">
        <v>39308</v>
      </c>
      <c r="B3819" t="s">
        <v>338</v>
      </c>
      <c r="C3819" t="s">
        <v>81</v>
      </c>
      <c r="D3819">
        <v>0</v>
      </c>
    </row>
    <row r="3820" spans="1:4" x14ac:dyDescent="0.25">
      <c r="A3820" s="279">
        <v>39308</v>
      </c>
      <c r="B3820" t="s">
        <v>338</v>
      </c>
      <c r="C3820" t="s">
        <v>82</v>
      </c>
      <c r="D3820">
        <v>0</v>
      </c>
    </row>
    <row r="3821" spans="1:4" x14ac:dyDescent="0.25">
      <c r="A3821" s="279">
        <v>39308</v>
      </c>
      <c r="B3821" t="s">
        <v>338</v>
      </c>
      <c r="C3821" t="s">
        <v>84</v>
      </c>
      <c r="D3821">
        <v>230</v>
      </c>
    </row>
    <row r="3822" spans="1:4" x14ac:dyDescent="0.25">
      <c r="A3822" s="279">
        <v>39308</v>
      </c>
      <c r="B3822" t="s">
        <v>338</v>
      </c>
      <c r="C3822" t="s">
        <v>83</v>
      </c>
      <c r="D3822">
        <v>0</v>
      </c>
    </row>
    <row r="3823" spans="1:4" x14ac:dyDescent="0.25">
      <c r="A3823" s="279">
        <v>39308</v>
      </c>
      <c r="B3823" t="s">
        <v>338</v>
      </c>
      <c r="C3823" t="s">
        <v>14</v>
      </c>
      <c r="D3823">
        <v>1034</v>
      </c>
    </row>
    <row r="3824" spans="1:4" x14ac:dyDescent="0.25">
      <c r="A3824" s="279">
        <v>39308</v>
      </c>
      <c r="B3824" t="s">
        <v>339</v>
      </c>
      <c r="C3824" t="s">
        <v>20</v>
      </c>
      <c r="D3824">
        <v>35204</v>
      </c>
    </row>
    <row r="3825" spans="1:4" x14ac:dyDescent="0.25">
      <c r="A3825" s="279">
        <v>39308</v>
      </c>
      <c r="B3825" t="s">
        <v>339</v>
      </c>
      <c r="C3825" t="s">
        <v>85</v>
      </c>
      <c r="D3825">
        <v>25255</v>
      </c>
    </row>
    <row r="3826" spans="1:4" x14ac:dyDescent="0.25">
      <c r="A3826" s="279">
        <v>39308</v>
      </c>
      <c r="B3826" t="s">
        <v>339</v>
      </c>
      <c r="C3826" t="s">
        <v>86</v>
      </c>
      <c r="D3826">
        <v>0</v>
      </c>
    </row>
    <row r="3827" spans="1:4" x14ac:dyDescent="0.25">
      <c r="A3827" s="279">
        <v>39308</v>
      </c>
      <c r="B3827" t="s">
        <v>339</v>
      </c>
      <c r="C3827" t="s">
        <v>87</v>
      </c>
      <c r="D3827">
        <v>0</v>
      </c>
    </row>
    <row r="3828" spans="1:4" x14ac:dyDescent="0.25">
      <c r="A3828" s="279">
        <v>39308</v>
      </c>
      <c r="B3828" t="s">
        <v>339</v>
      </c>
      <c r="C3828" t="s">
        <v>88</v>
      </c>
      <c r="D3828">
        <v>0</v>
      </c>
    </row>
    <row r="3829" spans="1:4" x14ac:dyDescent="0.25">
      <c r="A3829" s="279">
        <v>39308</v>
      </c>
      <c r="B3829" t="s">
        <v>339</v>
      </c>
      <c r="C3829" t="s">
        <v>14</v>
      </c>
      <c r="D3829">
        <v>1033</v>
      </c>
    </row>
    <row r="3830" spans="1:4" x14ac:dyDescent="0.25">
      <c r="A3830" s="279">
        <v>39309</v>
      </c>
      <c r="B3830" t="s">
        <v>338</v>
      </c>
      <c r="C3830" t="s">
        <v>81</v>
      </c>
      <c r="D3830">
        <v>0</v>
      </c>
    </row>
    <row r="3831" spans="1:4" x14ac:dyDescent="0.25">
      <c r="A3831" s="279">
        <v>39309</v>
      </c>
      <c r="B3831" t="s">
        <v>338</v>
      </c>
      <c r="C3831" t="s">
        <v>82</v>
      </c>
      <c r="D3831">
        <v>0</v>
      </c>
    </row>
    <row r="3832" spans="1:4" x14ac:dyDescent="0.25">
      <c r="A3832" s="279">
        <v>39309</v>
      </c>
      <c r="B3832" t="s">
        <v>338</v>
      </c>
      <c r="C3832" t="s">
        <v>84</v>
      </c>
      <c r="D3832">
        <v>220</v>
      </c>
    </row>
    <row r="3833" spans="1:4" x14ac:dyDescent="0.25">
      <c r="A3833" s="279">
        <v>39309</v>
      </c>
      <c r="B3833" t="s">
        <v>338</v>
      </c>
      <c r="C3833" t="s">
        <v>83</v>
      </c>
      <c r="D3833">
        <v>0</v>
      </c>
    </row>
    <row r="3834" spans="1:4" x14ac:dyDescent="0.25">
      <c r="A3834" s="279">
        <v>39309</v>
      </c>
      <c r="B3834" t="s">
        <v>338</v>
      </c>
      <c r="C3834" t="s">
        <v>14</v>
      </c>
      <c r="D3834">
        <v>1034</v>
      </c>
    </row>
    <row r="3835" spans="1:4" x14ac:dyDescent="0.25">
      <c r="A3835" s="279">
        <v>39309</v>
      </c>
      <c r="B3835" t="s">
        <v>339</v>
      </c>
      <c r="C3835" t="s">
        <v>20</v>
      </c>
      <c r="D3835">
        <v>33852</v>
      </c>
    </row>
    <row r="3836" spans="1:4" x14ac:dyDescent="0.25">
      <c r="A3836" s="279">
        <v>39309</v>
      </c>
      <c r="B3836" t="s">
        <v>339</v>
      </c>
      <c r="C3836" t="s">
        <v>85</v>
      </c>
      <c r="D3836">
        <v>25925</v>
      </c>
    </row>
    <row r="3837" spans="1:4" x14ac:dyDescent="0.25">
      <c r="A3837" s="279">
        <v>39309</v>
      </c>
      <c r="B3837" t="s">
        <v>339</v>
      </c>
      <c r="C3837" t="s">
        <v>86</v>
      </c>
      <c r="D3837">
        <v>0</v>
      </c>
    </row>
    <row r="3838" spans="1:4" x14ac:dyDescent="0.25">
      <c r="A3838" s="279">
        <v>39309</v>
      </c>
      <c r="B3838" t="s">
        <v>339</v>
      </c>
      <c r="C3838" t="s">
        <v>87</v>
      </c>
      <c r="D3838">
        <v>0</v>
      </c>
    </row>
    <row r="3839" spans="1:4" x14ac:dyDescent="0.25">
      <c r="A3839" s="279">
        <v>39309</v>
      </c>
      <c r="B3839" t="s">
        <v>339</v>
      </c>
      <c r="C3839" t="s">
        <v>88</v>
      </c>
      <c r="D3839">
        <v>0</v>
      </c>
    </row>
    <row r="3840" spans="1:4" x14ac:dyDescent="0.25">
      <c r="A3840" s="279">
        <v>39309</v>
      </c>
      <c r="B3840" t="s">
        <v>339</v>
      </c>
      <c r="C3840" t="s">
        <v>14</v>
      </c>
      <c r="D3840">
        <v>1048</v>
      </c>
    </row>
    <row r="3841" spans="1:4" x14ac:dyDescent="0.25">
      <c r="A3841" s="279">
        <v>39310</v>
      </c>
      <c r="B3841" t="s">
        <v>338</v>
      </c>
      <c r="C3841" t="s">
        <v>81</v>
      </c>
      <c r="D3841">
        <v>0</v>
      </c>
    </row>
    <row r="3842" spans="1:4" x14ac:dyDescent="0.25">
      <c r="A3842" s="279">
        <v>39310</v>
      </c>
      <c r="B3842" t="s">
        <v>338</v>
      </c>
      <c r="C3842" t="s">
        <v>82</v>
      </c>
      <c r="D3842">
        <v>0</v>
      </c>
    </row>
    <row r="3843" spans="1:4" x14ac:dyDescent="0.25">
      <c r="A3843" s="279">
        <v>39310</v>
      </c>
      <c r="B3843" t="s">
        <v>338</v>
      </c>
      <c r="C3843" t="s">
        <v>84</v>
      </c>
      <c r="D3843">
        <v>230</v>
      </c>
    </row>
    <row r="3844" spans="1:4" x14ac:dyDescent="0.25">
      <c r="A3844" s="279">
        <v>39310</v>
      </c>
      <c r="B3844" t="s">
        <v>338</v>
      </c>
      <c r="C3844" t="s">
        <v>83</v>
      </c>
      <c r="D3844">
        <v>0</v>
      </c>
    </row>
    <row r="3845" spans="1:4" x14ac:dyDescent="0.25">
      <c r="A3845" s="279">
        <v>39310</v>
      </c>
      <c r="B3845" t="s">
        <v>338</v>
      </c>
      <c r="C3845" t="s">
        <v>14</v>
      </c>
      <c r="D3845">
        <v>1036</v>
      </c>
    </row>
    <row r="3846" spans="1:4" x14ac:dyDescent="0.25">
      <c r="A3846" s="279">
        <v>39310</v>
      </c>
      <c r="B3846" t="s">
        <v>339</v>
      </c>
      <c r="C3846" t="s">
        <v>20</v>
      </c>
      <c r="D3846">
        <v>34478</v>
      </c>
    </row>
    <row r="3847" spans="1:4" x14ac:dyDescent="0.25">
      <c r="A3847" s="279">
        <v>39310</v>
      </c>
      <c r="B3847" t="s">
        <v>339</v>
      </c>
      <c r="C3847" t="s">
        <v>85</v>
      </c>
      <c r="D3847">
        <v>24611</v>
      </c>
    </row>
    <row r="3848" spans="1:4" x14ac:dyDescent="0.25">
      <c r="A3848" s="279">
        <v>39310</v>
      </c>
      <c r="B3848" t="s">
        <v>339</v>
      </c>
      <c r="C3848" t="s">
        <v>86</v>
      </c>
      <c r="D3848">
        <v>0</v>
      </c>
    </row>
    <row r="3849" spans="1:4" x14ac:dyDescent="0.25">
      <c r="A3849" s="279">
        <v>39310</v>
      </c>
      <c r="B3849" t="s">
        <v>339</v>
      </c>
      <c r="C3849" t="s">
        <v>87</v>
      </c>
      <c r="D3849">
        <v>0</v>
      </c>
    </row>
    <row r="3850" spans="1:4" x14ac:dyDescent="0.25">
      <c r="A3850" s="279">
        <v>39310</v>
      </c>
      <c r="B3850" t="s">
        <v>339</v>
      </c>
      <c r="C3850" t="s">
        <v>88</v>
      </c>
      <c r="D3850">
        <v>0</v>
      </c>
    </row>
    <row r="3851" spans="1:4" x14ac:dyDescent="0.25">
      <c r="A3851" s="279">
        <v>39310</v>
      </c>
      <c r="B3851" t="s">
        <v>339</v>
      </c>
      <c r="C3851" t="s">
        <v>14</v>
      </c>
      <c r="D3851">
        <v>1032</v>
      </c>
    </row>
    <row r="3852" spans="1:4" x14ac:dyDescent="0.25">
      <c r="A3852" s="279">
        <v>39311</v>
      </c>
      <c r="B3852" t="s">
        <v>338</v>
      </c>
      <c r="C3852" t="s">
        <v>81</v>
      </c>
      <c r="D3852">
        <v>0</v>
      </c>
    </row>
    <row r="3853" spans="1:4" x14ac:dyDescent="0.25">
      <c r="A3853" s="279">
        <v>39311</v>
      </c>
      <c r="B3853" t="s">
        <v>338</v>
      </c>
      <c r="C3853" t="s">
        <v>82</v>
      </c>
      <c r="D3853">
        <v>0</v>
      </c>
    </row>
    <row r="3854" spans="1:4" x14ac:dyDescent="0.25">
      <c r="A3854" s="279">
        <v>39311</v>
      </c>
      <c r="B3854" t="s">
        <v>338</v>
      </c>
      <c r="C3854" t="s">
        <v>84</v>
      </c>
      <c r="D3854">
        <v>220</v>
      </c>
    </row>
    <row r="3855" spans="1:4" x14ac:dyDescent="0.25">
      <c r="A3855" s="279">
        <v>39311</v>
      </c>
      <c r="B3855" t="s">
        <v>338</v>
      </c>
      <c r="C3855" t="s">
        <v>83</v>
      </c>
      <c r="D3855">
        <v>0</v>
      </c>
    </row>
    <row r="3856" spans="1:4" x14ac:dyDescent="0.25">
      <c r="A3856" s="279">
        <v>39311</v>
      </c>
      <c r="B3856" t="s">
        <v>338</v>
      </c>
      <c r="C3856" t="s">
        <v>14</v>
      </c>
      <c r="D3856">
        <v>1034</v>
      </c>
    </row>
    <row r="3857" spans="1:4" x14ac:dyDescent="0.25">
      <c r="A3857" s="279">
        <v>39311</v>
      </c>
      <c r="B3857" t="s">
        <v>339</v>
      </c>
      <c r="C3857" t="s">
        <v>20</v>
      </c>
      <c r="D3857">
        <v>33167</v>
      </c>
    </row>
    <row r="3858" spans="1:4" x14ac:dyDescent="0.25">
      <c r="A3858" s="279">
        <v>39311</v>
      </c>
      <c r="B3858" t="s">
        <v>339</v>
      </c>
      <c r="C3858" t="s">
        <v>85</v>
      </c>
      <c r="D3858">
        <v>26201</v>
      </c>
    </row>
    <row r="3859" spans="1:4" x14ac:dyDescent="0.25">
      <c r="A3859" s="279">
        <v>39311</v>
      </c>
      <c r="B3859" t="s">
        <v>339</v>
      </c>
      <c r="C3859" t="s">
        <v>86</v>
      </c>
      <c r="D3859">
        <v>0</v>
      </c>
    </row>
    <row r="3860" spans="1:4" x14ac:dyDescent="0.25">
      <c r="A3860" s="279">
        <v>39311</v>
      </c>
      <c r="B3860" t="s">
        <v>339</v>
      </c>
      <c r="C3860" t="s">
        <v>87</v>
      </c>
      <c r="D3860">
        <v>0</v>
      </c>
    </row>
    <row r="3861" spans="1:4" x14ac:dyDescent="0.25">
      <c r="A3861" s="279">
        <v>39311</v>
      </c>
      <c r="B3861" t="s">
        <v>339</v>
      </c>
      <c r="C3861" t="s">
        <v>88</v>
      </c>
      <c r="D3861">
        <v>0</v>
      </c>
    </row>
    <row r="3862" spans="1:4" x14ac:dyDescent="0.25">
      <c r="A3862" s="279">
        <v>39311</v>
      </c>
      <c r="B3862" t="s">
        <v>339</v>
      </c>
      <c r="C3862" t="s">
        <v>14</v>
      </c>
      <c r="D3862">
        <v>1048</v>
      </c>
    </row>
    <row r="3863" spans="1:4" x14ac:dyDescent="0.25">
      <c r="A3863" s="279">
        <v>39312</v>
      </c>
      <c r="B3863" t="s">
        <v>338</v>
      </c>
      <c r="C3863" t="s">
        <v>81</v>
      </c>
      <c r="D3863">
        <v>0</v>
      </c>
    </row>
    <row r="3864" spans="1:4" x14ac:dyDescent="0.25">
      <c r="A3864" s="279">
        <v>39312</v>
      </c>
      <c r="B3864" t="s">
        <v>338</v>
      </c>
      <c r="C3864" t="s">
        <v>82</v>
      </c>
      <c r="D3864">
        <v>0</v>
      </c>
    </row>
    <row r="3865" spans="1:4" x14ac:dyDescent="0.25">
      <c r="A3865" s="279">
        <v>39312</v>
      </c>
      <c r="B3865" t="s">
        <v>338</v>
      </c>
      <c r="C3865" t="s">
        <v>84</v>
      </c>
      <c r="D3865">
        <v>200</v>
      </c>
    </row>
    <row r="3866" spans="1:4" x14ac:dyDescent="0.25">
      <c r="A3866" s="279">
        <v>39312</v>
      </c>
      <c r="B3866" t="s">
        <v>338</v>
      </c>
      <c r="C3866" t="s">
        <v>83</v>
      </c>
      <c r="D3866">
        <v>0</v>
      </c>
    </row>
    <row r="3867" spans="1:4" x14ac:dyDescent="0.25">
      <c r="A3867" s="279">
        <v>39312</v>
      </c>
      <c r="B3867" t="s">
        <v>338</v>
      </c>
      <c r="C3867" t="s">
        <v>14</v>
      </c>
      <c r="D3867">
        <v>1031</v>
      </c>
    </row>
    <row r="3868" spans="1:4" x14ac:dyDescent="0.25">
      <c r="A3868" s="279">
        <v>39312</v>
      </c>
      <c r="B3868" t="s">
        <v>339</v>
      </c>
      <c r="C3868" t="s">
        <v>20</v>
      </c>
      <c r="D3868">
        <v>34629</v>
      </c>
    </row>
    <row r="3869" spans="1:4" x14ac:dyDescent="0.25">
      <c r="A3869" s="279">
        <v>39312</v>
      </c>
      <c r="B3869" t="s">
        <v>339</v>
      </c>
      <c r="C3869" t="s">
        <v>85</v>
      </c>
      <c r="D3869">
        <v>22449</v>
      </c>
    </row>
    <row r="3870" spans="1:4" x14ac:dyDescent="0.25">
      <c r="A3870" s="279">
        <v>39312</v>
      </c>
      <c r="B3870" t="s">
        <v>339</v>
      </c>
      <c r="C3870" t="s">
        <v>86</v>
      </c>
      <c r="D3870">
        <v>0</v>
      </c>
    </row>
    <row r="3871" spans="1:4" x14ac:dyDescent="0.25">
      <c r="A3871" s="279">
        <v>39312</v>
      </c>
      <c r="B3871" t="s">
        <v>339</v>
      </c>
      <c r="C3871" t="s">
        <v>87</v>
      </c>
      <c r="D3871">
        <v>0</v>
      </c>
    </row>
    <row r="3872" spans="1:4" x14ac:dyDescent="0.25">
      <c r="A3872" s="279">
        <v>39312</v>
      </c>
      <c r="B3872" t="s">
        <v>339</v>
      </c>
      <c r="C3872" t="s">
        <v>88</v>
      </c>
      <c r="D3872">
        <v>0</v>
      </c>
    </row>
    <row r="3873" spans="1:4" x14ac:dyDescent="0.25">
      <c r="A3873" s="279">
        <v>39312</v>
      </c>
      <c r="B3873" t="s">
        <v>339</v>
      </c>
      <c r="C3873" t="s">
        <v>14</v>
      </c>
      <c r="D3873">
        <v>1035</v>
      </c>
    </row>
    <row r="3874" spans="1:4" x14ac:dyDescent="0.25">
      <c r="A3874" s="279">
        <v>39313</v>
      </c>
      <c r="B3874" t="s">
        <v>338</v>
      </c>
      <c r="C3874" t="s">
        <v>81</v>
      </c>
      <c r="D3874">
        <v>0</v>
      </c>
    </row>
    <row r="3875" spans="1:4" x14ac:dyDescent="0.25">
      <c r="A3875" s="279">
        <v>39313</v>
      </c>
      <c r="B3875" t="s">
        <v>338</v>
      </c>
      <c r="C3875" t="s">
        <v>82</v>
      </c>
      <c r="D3875">
        <v>0</v>
      </c>
    </row>
    <row r="3876" spans="1:4" x14ac:dyDescent="0.25">
      <c r="A3876" s="279">
        <v>39313</v>
      </c>
      <c r="B3876" t="s">
        <v>338</v>
      </c>
      <c r="C3876" t="s">
        <v>84</v>
      </c>
      <c r="D3876">
        <v>230</v>
      </c>
    </row>
    <row r="3877" spans="1:4" x14ac:dyDescent="0.25">
      <c r="A3877" s="279">
        <v>39313</v>
      </c>
      <c r="B3877" t="s">
        <v>338</v>
      </c>
      <c r="C3877" t="s">
        <v>83</v>
      </c>
      <c r="D3877">
        <v>0</v>
      </c>
    </row>
    <row r="3878" spans="1:4" x14ac:dyDescent="0.25">
      <c r="A3878" s="279">
        <v>39313</v>
      </c>
      <c r="B3878" t="s">
        <v>338</v>
      </c>
      <c r="C3878" t="s">
        <v>14</v>
      </c>
      <c r="D3878">
        <v>1033</v>
      </c>
    </row>
    <row r="3879" spans="1:4" x14ac:dyDescent="0.25">
      <c r="A3879" s="279">
        <v>39313</v>
      </c>
      <c r="B3879" t="s">
        <v>339</v>
      </c>
      <c r="C3879" t="s">
        <v>20</v>
      </c>
      <c r="D3879">
        <v>35892</v>
      </c>
    </row>
    <row r="3880" spans="1:4" x14ac:dyDescent="0.25">
      <c r="A3880" s="279">
        <v>39313</v>
      </c>
      <c r="B3880" t="s">
        <v>339</v>
      </c>
      <c r="C3880" t="s">
        <v>85</v>
      </c>
      <c r="D3880">
        <v>24138</v>
      </c>
    </row>
    <row r="3881" spans="1:4" x14ac:dyDescent="0.25">
      <c r="A3881" s="279">
        <v>39313</v>
      </c>
      <c r="B3881" t="s">
        <v>339</v>
      </c>
      <c r="C3881" t="s">
        <v>86</v>
      </c>
      <c r="D3881">
        <v>0</v>
      </c>
    </row>
    <row r="3882" spans="1:4" x14ac:dyDescent="0.25">
      <c r="A3882" s="279">
        <v>39313</v>
      </c>
      <c r="B3882" t="s">
        <v>339</v>
      </c>
      <c r="C3882" t="s">
        <v>87</v>
      </c>
      <c r="D3882">
        <v>0</v>
      </c>
    </row>
    <row r="3883" spans="1:4" x14ac:dyDescent="0.25">
      <c r="A3883" s="279">
        <v>39313</v>
      </c>
      <c r="B3883" t="s">
        <v>339</v>
      </c>
      <c r="C3883" t="s">
        <v>88</v>
      </c>
      <c r="D3883">
        <v>0</v>
      </c>
    </row>
    <row r="3884" spans="1:4" x14ac:dyDescent="0.25">
      <c r="A3884" s="279">
        <v>39313</v>
      </c>
      <c r="B3884" t="s">
        <v>339</v>
      </c>
      <c r="C3884" t="s">
        <v>14</v>
      </c>
      <c r="D3884">
        <v>1035</v>
      </c>
    </row>
    <row r="3885" spans="1:4" x14ac:dyDescent="0.25">
      <c r="A3885" s="279">
        <v>39314</v>
      </c>
      <c r="B3885" t="s">
        <v>338</v>
      </c>
      <c r="C3885" t="s">
        <v>81</v>
      </c>
      <c r="D3885">
        <v>0</v>
      </c>
    </row>
    <row r="3886" spans="1:4" x14ac:dyDescent="0.25">
      <c r="A3886" s="279">
        <v>39314</v>
      </c>
      <c r="B3886" t="s">
        <v>338</v>
      </c>
      <c r="C3886" t="s">
        <v>82</v>
      </c>
      <c r="D3886">
        <v>0</v>
      </c>
    </row>
    <row r="3887" spans="1:4" x14ac:dyDescent="0.25">
      <c r="A3887" s="279">
        <v>39314</v>
      </c>
      <c r="B3887" t="s">
        <v>338</v>
      </c>
      <c r="C3887" t="s">
        <v>84</v>
      </c>
      <c r="D3887">
        <v>280</v>
      </c>
    </row>
    <row r="3888" spans="1:4" x14ac:dyDescent="0.25">
      <c r="A3888" s="279">
        <v>39314</v>
      </c>
      <c r="B3888" t="s">
        <v>338</v>
      </c>
      <c r="C3888" t="s">
        <v>83</v>
      </c>
      <c r="D3888">
        <v>0</v>
      </c>
    </row>
    <row r="3889" spans="1:4" x14ac:dyDescent="0.25">
      <c r="A3889" s="279">
        <v>39314</v>
      </c>
      <c r="B3889" t="s">
        <v>338</v>
      </c>
      <c r="C3889" t="s">
        <v>14</v>
      </c>
      <c r="D3889">
        <v>1033</v>
      </c>
    </row>
    <row r="3890" spans="1:4" x14ac:dyDescent="0.25">
      <c r="A3890" s="279">
        <v>39314</v>
      </c>
      <c r="B3890" t="s">
        <v>339</v>
      </c>
      <c r="C3890" t="s">
        <v>20</v>
      </c>
      <c r="D3890">
        <v>40184</v>
      </c>
    </row>
    <row r="3891" spans="1:4" x14ac:dyDescent="0.25">
      <c r="A3891" s="279">
        <v>39314</v>
      </c>
      <c r="B3891" t="s">
        <v>339</v>
      </c>
      <c r="C3891" t="s">
        <v>85</v>
      </c>
      <c r="D3891">
        <v>25759</v>
      </c>
    </row>
    <row r="3892" spans="1:4" x14ac:dyDescent="0.25">
      <c r="A3892" s="279">
        <v>39314</v>
      </c>
      <c r="B3892" t="s">
        <v>339</v>
      </c>
      <c r="C3892" t="s">
        <v>86</v>
      </c>
      <c r="D3892">
        <v>0</v>
      </c>
    </row>
    <row r="3893" spans="1:4" x14ac:dyDescent="0.25">
      <c r="A3893" s="279">
        <v>39314</v>
      </c>
      <c r="B3893" t="s">
        <v>339</v>
      </c>
      <c r="C3893" t="s">
        <v>87</v>
      </c>
      <c r="D3893">
        <v>0</v>
      </c>
    </row>
    <row r="3894" spans="1:4" x14ac:dyDescent="0.25">
      <c r="A3894" s="279">
        <v>39314</v>
      </c>
      <c r="B3894" t="s">
        <v>339</v>
      </c>
      <c r="C3894" t="s">
        <v>88</v>
      </c>
      <c r="D3894">
        <v>0</v>
      </c>
    </row>
    <row r="3895" spans="1:4" x14ac:dyDescent="0.25">
      <c r="A3895" s="279">
        <v>39314</v>
      </c>
      <c r="B3895" t="s">
        <v>339</v>
      </c>
      <c r="C3895" t="s">
        <v>14</v>
      </c>
      <c r="D3895">
        <v>1034</v>
      </c>
    </row>
    <row r="3896" spans="1:4" x14ac:dyDescent="0.25">
      <c r="A3896" s="279">
        <v>39315</v>
      </c>
      <c r="B3896" t="s">
        <v>338</v>
      </c>
      <c r="C3896" t="s">
        <v>81</v>
      </c>
      <c r="D3896">
        <v>0</v>
      </c>
    </row>
    <row r="3897" spans="1:4" x14ac:dyDescent="0.25">
      <c r="A3897" s="279">
        <v>39315</v>
      </c>
      <c r="B3897" t="s">
        <v>338</v>
      </c>
      <c r="C3897" t="s">
        <v>82</v>
      </c>
      <c r="D3897">
        <v>0</v>
      </c>
    </row>
    <row r="3898" spans="1:4" x14ac:dyDescent="0.25">
      <c r="A3898" s="279">
        <v>39315</v>
      </c>
      <c r="B3898" t="s">
        <v>338</v>
      </c>
      <c r="C3898" t="s">
        <v>84</v>
      </c>
      <c r="D3898">
        <v>310</v>
      </c>
    </row>
    <row r="3899" spans="1:4" x14ac:dyDescent="0.25">
      <c r="A3899" s="279">
        <v>39315</v>
      </c>
      <c r="B3899" t="s">
        <v>338</v>
      </c>
      <c r="C3899" t="s">
        <v>83</v>
      </c>
      <c r="D3899">
        <v>0</v>
      </c>
    </row>
    <row r="3900" spans="1:4" x14ac:dyDescent="0.25">
      <c r="A3900" s="279">
        <v>39315</v>
      </c>
      <c r="B3900" t="s">
        <v>338</v>
      </c>
      <c r="C3900" t="s">
        <v>14</v>
      </c>
      <c r="D3900">
        <v>1040</v>
      </c>
    </row>
    <row r="3901" spans="1:4" x14ac:dyDescent="0.25">
      <c r="A3901" s="279">
        <v>39315</v>
      </c>
      <c r="B3901" t="s">
        <v>339</v>
      </c>
      <c r="C3901" t="s">
        <v>20</v>
      </c>
      <c r="D3901">
        <v>41144</v>
      </c>
    </row>
    <row r="3902" spans="1:4" x14ac:dyDescent="0.25">
      <c r="A3902" s="279">
        <v>39315</v>
      </c>
      <c r="B3902" t="s">
        <v>339</v>
      </c>
      <c r="C3902" t="s">
        <v>85</v>
      </c>
      <c r="D3902">
        <v>27775</v>
      </c>
    </row>
    <row r="3903" spans="1:4" x14ac:dyDescent="0.25">
      <c r="A3903" s="279">
        <v>39315</v>
      </c>
      <c r="B3903" t="s">
        <v>339</v>
      </c>
      <c r="C3903" t="s">
        <v>86</v>
      </c>
      <c r="D3903">
        <v>0</v>
      </c>
    </row>
    <row r="3904" spans="1:4" x14ac:dyDescent="0.25">
      <c r="A3904" s="279">
        <v>39315</v>
      </c>
      <c r="B3904" t="s">
        <v>339</v>
      </c>
      <c r="C3904" t="s">
        <v>87</v>
      </c>
      <c r="D3904">
        <v>0</v>
      </c>
    </row>
    <row r="3905" spans="1:4" x14ac:dyDescent="0.25">
      <c r="A3905" s="279">
        <v>39315</v>
      </c>
      <c r="B3905" t="s">
        <v>339</v>
      </c>
      <c r="C3905" t="s">
        <v>88</v>
      </c>
      <c r="D3905">
        <v>0</v>
      </c>
    </row>
    <row r="3906" spans="1:4" x14ac:dyDescent="0.25">
      <c r="A3906" s="279">
        <v>39315</v>
      </c>
      <c r="B3906" t="s">
        <v>339</v>
      </c>
      <c r="C3906" t="s">
        <v>14</v>
      </c>
      <c r="D3906">
        <v>1038</v>
      </c>
    </row>
    <row r="3907" spans="1:4" x14ac:dyDescent="0.25">
      <c r="A3907" s="279">
        <v>39316</v>
      </c>
      <c r="B3907" t="s">
        <v>338</v>
      </c>
      <c r="C3907" t="s">
        <v>81</v>
      </c>
      <c r="D3907">
        <v>0</v>
      </c>
    </row>
    <row r="3908" spans="1:4" x14ac:dyDescent="0.25">
      <c r="A3908" s="279">
        <v>39316</v>
      </c>
      <c r="B3908" t="s">
        <v>338</v>
      </c>
      <c r="C3908" t="s">
        <v>82</v>
      </c>
      <c r="D3908">
        <v>0</v>
      </c>
    </row>
    <row r="3909" spans="1:4" x14ac:dyDescent="0.25">
      <c r="A3909" s="279">
        <v>39316</v>
      </c>
      <c r="B3909" t="s">
        <v>338</v>
      </c>
      <c r="C3909" t="s">
        <v>84</v>
      </c>
      <c r="D3909">
        <v>300</v>
      </c>
    </row>
    <row r="3910" spans="1:4" x14ac:dyDescent="0.25">
      <c r="A3910" s="279">
        <v>39316</v>
      </c>
      <c r="B3910" t="s">
        <v>338</v>
      </c>
      <c r="C3910" t="s">
        <v>83</v>
      </c>
      <c r="D3910">
        <v>0</v>
      </c>
    </row>
    <row r="3911" spans="1:4" x14ac:dyDescent="0.25">
      <c r="A3911" s="279">
        <v>39316</v>
      </c>
      <c r="B3911" t="s">
        <v>338</v>
      </c>
      <c r="C3911" t="s">
        <v>14</v>
      </c>
      <c r="D3911">
        <v>1032</v>
      </c>
    </row>
    <row r="3912" spans="1:4" x14ac:dyDescent="0.25">
      <c r="A3912" s="279">
        <v>39316</v>
      </c>
      <c r="B3912" t="s">
        <v>339</v>
      </c>
      <c r="C3912" t="s">
        <v>20</v>
      </c>
      <c r="D3912">
        <v>45683</v>
      </c>
    </row>
    <row r="3913" spans="1:4" x14ac:dyDescent="0.25">
      <c r="A3913" s="279">
        <v>39316</v>
      </c>
      <c r="B3913" t="s">
        <v>339</v>
      </c>
      <c r="C3913" t="s">
        <v>85</v>
      </c>
      <c r="D3913">
        <v>22493</v>
      </c>
    </row>
    <row r="3914" spans="1:4" x14ac:dyDescent="0.25">
      <c r="A3914" s="279">
        <v>39316</v>
      </c>
      <c r="B3914" t="s">
        <v>339</v>
      </c>
      <c r="C3914" t="s">
        <v>86</v>
      </c>
      <c r="D3914">
        <v>0</v>
      </c>
    </row>
    <row r="3915" spans="1:4" x14ac:dyDescent="0.25">
      <c r="A3915" s="279">
        <v>39316</v>
      </c>
      <c r="B3915" t="s">
        <v>339</v>
      </c>
      <c r="C3915" t="s">
        <v>87</v>
      </c>
      <c r="D3915">
        <v>5</v>
      </c>
    </row>
    <row r="3916" spans="1:4" x14ac:dyDescent="0.25">
      <c r="A3916" s="279">
        <v>39316</v>
      </c>
      <c r="B3916" t="s">
        <v>339</v>
      </c>
      <c r="C3916" t="s">
        <v>88</v>
      </c>
      <c r="D3916">
        <v>0</v>
      </c>
    </row>
    <row r="3917" spans="1:4" x14ac:dyDescent="0.25">
      <c r="A3917" s="279">
        <v>39316</v>
      </c>
      <c r="B3917" t="s">
        <v>339</v>
      </c>
      <c r="C3917" t="s">
        <v>14</v>
      </c>
      <c r="D3917">
        <v>1039</v>
      </c>
    </row>
    <row r="3918" spans="1:4" x14ac:dyDescent="0.25">
      <c r="A3918" s="279">
        <v>39317</v>
      </c>
      <c r="B3918" t="s">
        <v>338</v>
      </c>
      <c r="C3918" t="s">
        <v>81</v>
      </c>
      <c r="D3918">
        <v>0</v>
      </c>
    </row>
    <row r="3919" spans="1:4" x14ac:dyDescent="0.25">
      <c r="A3919" s="279">
        <v>39317</v>
      </c>
      <c r="B3919" t="s">
        <v>338</v>
      </c>
      <c r="C3919" t="s">
        <v>82</v>
      </c>
      <c r="D3919">
        <v>0</v>
      </c>
    </row>
    <row r="3920" spans="1:4" x14ac:dyDescent="0.25">
      <c r="A3920" s="279">
        <v>39317</v>
      </c>
      <c r="B3920" t="s">
        <v>338</v>
      </c>
      <c r="C3920" t="s">
        <v>84</v>
      </c>
      <c r="D3920">
        <v>260</v>
      </c>
    </row>
    <row r="3921" spans="1:4" x14ac:dyDescent="0.25">
      <c r="A3921" s="279">
        <v>39317</v>
      </c>
      <c r="B3921" t="s">
        <v>338</v>
      </c>
      <c r="C3921" t="s">
        <v>83</v>
      </c>
      <c r="D3921">
        <v>0</v>
      </c>
    </row>
    <row r="3922" spans="1:4" x14ac:dyDescent="0.25">
      <c r="A3922" s="279">
        <v>39317</v>
      </c>
      <c r="B3922" t="s">
        <v>338</v>
      </c>
      <c r="C3922" t="s">
        <v>14</v>
      </c>
      <c r="D3922">
        <v>1033</v>
      </c>
    </row>
    <row r="3923" spans="1:4" x14ac:dyDescent="0.25">
      <c r="A3923" s="279">
        <v>39317</v>
      </c>
      <c r="B3923" t="s">
        <v>339</v>
      </c>
      <c r="C3923" t="s">
        <v>20</v>
      </c>
      <c r="D3923">
        <v>40151</v>
      </c>
    </row>
    <row r="3924" spans="1:4" x14ac:dyDescent="0.25">
      <c r="A3924" s="279">
        <v>39317</v>
      </c>
      <c r="B3924" t="s">
        <v>339</v>
      </c>
      <c r="C3924" t="s">
        <v>85</v>
      </c>
      <c r="D3924">
        <v>25898</v>
      </c>
    </row>
    <row r="3925" spans="1:4" x14ac:dyDescent="0.25">
      <c r="A3925" s="279">
        <v>39317</v>
      </c>
      <c r="B3925" t="s">
        <v>339</v>
      </c>
      <c r="C3925" t="s">
        <v>86</v>
      </c>
      <c r="D3925">
        <v>0</v>
      </c>
    </row>
    <row r="3926" spans="1:4" x14ac:dyDescent="0.25">
      <c r="A3926" s="279">
        <v>39317</v>
      </c>
      <c r="B3926" t="s">
        <v>339</v>
      </c>
      <c r="C3926" t="s">
        <v>87</v>
      </c>
      <c r="D3926">
        <v>0</v>
      </c>
    </row>
    <row r="3927" spans="1:4" x14ac:dyDescent="0.25">
      <c r="A3927" s="279">
        <v>39317</v>
      </c>
      <c r="B3927" t="s">
        <v>339</v>
      </c>
      <c r="C3927" t="s">
        <v>88</v>
      </c>
      <c r="D3927">
        <v>0</v>
      </c>
    </row>
    <row r="3928" spans="1:4" x14ac:dyDescent="0.25">
      <c r="A3928" s="279">
        <v>39317</v>
      </c>
      <c r="B3928" t="s">
        <v>339</v>
      </c>
      <c r="C3928" t="s">
        <v>14</v>
      </c>
      <c r="D3928">
        <v>1044</v>
      </c>
    </row>
    <row r="3929" spans="1:4" x14ac:dyDescent="0.25">
      <c r="A3929" s="279">
        <v>39318</v>
      </c>
      <c r="B3929" t="s">
        <v>338</v>
      </c>
      <c r="C3929" t="s">
        <v>81</v>
      </c>
      <c r="D3929">
        <v>0</v>
      </c>
    </row>
    <row r="3930" spans="1:4" x14ac:dyDescent="0.25">
      <c r="A3930" s="279">
        <v>39318</v>
      </c>
      <c r="B3930" t="s">
        <v>338</v>
      </c>
      <c r="C3930" t="s">
        <v>82</v>
      </c>
      <c r="D3930">
        <v>0</v>
      </c>
    </row>
    <row r="3931" spans="1:4" x14ac:dyDescent="0.25">
      <c r="A3931" s="279">
        <v>39318</v>
      </c>
      <c r="B3931" t="s">
        <v>338</v>
      </c>
      <c r="C3931" t="s">
        <v>84</v>
      </c>
      <c r="D3931">
        <v>230</v>
      </c>
    </row>
    <row r="3932" spans="1:4" x14ac:dyDescent="0.25">
      <c r="A3932" s="279">
        <v>39318</v>
      </c>
      <c r="B3932" t="s">
        <v>338</v>
      </c>
      <c r="C3932" t="s">
        <v>83</v>
      </c>
      <c r="D3932">
        <v>0</v>
      </c>
    </row>
    <row r="3933" spans="1:4" x14ac:dyDescent="0.25">
      <c r="A3933" s="279">
        <v>39318</v>
      </c>
      <c r="B3933" t="s">
        <v>338</v>
      </c>
      <c r="C3933" t="s">
        <v>14</v>
      </c>
      <c r="D3933">
        <v>1032</v>
      </c>
    </row>
    <row r="3934" spans="1:4" x14ac:dyDescent="0.25">
      <c r="A3934" s="279">
        <v>39318</v>
      </c>
      <c r="B3934" t="s">
        <v>339</v>
      </c>
      <c r="C3934" t="s">
        <v>20</v>
      </c>
      <c r="D3934">
        <v>37047</v>
      </c>
    </row>
    <row r="3935" spans="1:4" x14ac:dyDescent="0.25">
      <c r="A3935" s="279">
        <v>39318</v>
      </c>
      <c r="B3935" t="s">
        <v>339</v>
      </c>
      <c r="C3935" t="s">
        <v>85</v>
      </c>
      <c r="D3935">
        <v>26245</v>
      </c>
    </row>
    <row r="3936" spans="1:4" x14ac:dyDescent="0.25">
      <c r="A3936" s="279">
        <v>39318</v>
      </c>
      <c r="B3936" t="s">
        <v>339</v>
      </c>
      <c r="C3936" t="s">
        <v>86</v>
      </c>
      <c r="D3936">
        <v>0</v>
      </c>
    </row>
    <row r="3937" spans="1:4" x14ac:dyDescent="0.25">
      <c r="A3937" s="279">
        <v>39318</v>
      </c>
      <c r="B3937" t="s">
        <v>339</v>
      </c>
      <c r="C3937" t="s">
        <v>87</v>
      </c>
      <c r="D3937">
        <v>0</v>
      </c>
    </row>
    <row r="3938" spans="1:4" x14ac:dyDescent="0.25">
      <c r="A3938" s="279">
        <v>39318</v>
      </c>
      <c r="B3938" t="s">
        <v>339</v>
      </c>
      <c r="C3938" t="s">
        <v>88</v>
      </c>
      <c r="D3938">
        <v>0</v>
      </c>
    </row>
    <row r="3939" spans="1:4" x14ac:dyDescent="0.25">
      <c r="A3939" s="279">
        <v>39318</v>
      </c>
      <c r="B3939" t="s">
        <v>339</v>
      </c>
      <c r="C3939" t="s">
        <v>14</v>
      </c>
      <c r="D3939">
        <v>1037</v>
      </c>
    </row>
    <row r="3940" spans="1:4" x14ac:dyDescent="0.25">
      <c r="A3940" s="279">
        <v>39319</v>
      </c>
      <c r="B3940" t="s">
        <v>338</v>
      </c>
      <c r="C3940" t="s">
        <v>81</v>
      </c>
      <c r="D3940">
        <v>0</v>
      </c>
    </row>
    <row r="3941" spans="1:4" x14ac:dyDescent="0.25">
      <c r="A3941" s="279">
        <v>39319</v>
      </c>
      <c r="B3941" t="s">
        <v>338</v>
      </c>
      <c r="C3941" t="s">
        <v>82</v>
      </c>
      <c r="D3941">
        <v>0</v>
      </c>
    </row>
    <row r="3942" spans="1:4" x14ac:dyDescent="0.25">
      <c r="A3942" s="279">
        <v>39319</v>
      </c>
      <c r="B3942" t="s">
        <v>338</v>
      </c>
      <c r="C3942" t="s">
        <v>84</v>
      </c>
      <c r="D3942">
        <v>190</v>
      </c>
    </row>
    <row r="3943" spans="1:4" x14ac:dyDescent="0.25">
      <c r="A3943" s="279">
        <v>39319</v>
      </c>
      <c r="B3943" t="s">
        <v>338</v>
      </c>
      <c r="C3943" t="s">
        <v>83</v>
      </c>
      <c r="D3943">
        <v>0</v>
      </c>
    </row>
    <row r="3944" spans="1:4" x14ac:dyDescent="0.25">
      <c r="A3944" s="279">
        <v>39319</v>
      </c>
      <c r="B3944" t="s">
        <v>338</v>
      </c>
      <c r="C3944" t="s">
        <v>14</v>
      </c>
      <c r="D3944">
        <v>1032</v>
      </c>
    </row>
    <row r="3945" spans="1:4" x14ac:dyDescent="0.25">
      <c r="A3945" s="279">
        <v>39319</v>
      </c>
      <c r="B3945" t="s">
        <v>339</v>
      </c>
      <c r="C3945" t="s">
        <v>20</v>
      </c>
      <c r="D3945">
        <v>29319</v>
      </c>
    </row>
    <row r="3946" spans="1:4" x14ac:dyDescent="0.25">
      <c r="A3946" s="279">
        <v>39319</v>
      </c>
      <c r="B3946" t="s">
        <v>339</v>
      </c>
      <c r="C3946" t="s">
        <v>85</v>
      </c>
      <c r="D3946">
        <v>27108</v>
      </c>
    </row>
    <row r="3947" spans="1:4" x14ac:dyDescent="0.25">
      <c r="A3947" s="279">
        <v>39319</v>
      </c>
      <c r="B3947" t="s">
        <v>339</v>
      </c>
      <c r="C3947" t="s">
        <v>86</v>
      </c>
      <c r="D3947">
        <v>0</v>
      </c>
    </row>
    <row r="3948" spans="1:4" x14ac:dyDescent="0.25">
      <c r="A3948" s="279">
        <v>39319</v>
      </c>
      <c r="B3948" t="s">
        <v>339</v>
      </c>
      <c r="C3948" t="s">
        <v>87</v>
      </c>
      <c r="D3948">
        <v>0</v>
      </c>
    </row>
    <row r="3949" spans="1:4" x14ac:dyDescent="0.25">
      <c r="A3949" s="279">
        <v>39319</v>
      </c>
      <c r="B3949" t="s">
        <v>339</v>
      </c>
      <c r="C3949" t="s">
        <v>88</v>
      </c>
      <c r="D3949">
        <v>0</v>
      </c>
    </row>
    <row r="3950" spans="1:4" x14ac:dyDescent="0.25">
      <c r="A3950" s="279">
        <v>39319</v>
      </c>
      <c r="B3950" t="s">
        <v>339</v>
      </c>
      <c r="C3950" t="s">
        <v>14</v>
      </c>
      <c r="D3950">
        <v>1039</v>
      </c>
    </row>
    <row r="3951" spans="1:4" x14ac:dyDescent="0.25">
      <c r="A3951" s="279">
        <v>39320</v>
      </c>
      <c r="B3951" t="s">
        <v>338</v>
      </c>
      <c r="C3951" t="s">
        <v>81</v>
      </c>
      <c r="D3951">
        <v>0</v>
      </c>
    </row>
    <row r="3952" spans="1:4" x14ac:dyDescent="0.25">
      <c r="A3952" s="279">
        <v>39320</v>
      </c>
      <c r="B3952" t="s">
        <v>338</v>
      </c>
      <c r="C3952" t="s">
        <v>82</v>
      </c>
      <c r="D3952">
        <v>0</v>
      </c>
    </row>
    <row r="3953" spans="1:4" x14ac:dyDescent="0.25">
      <c r="A3953" s="279">
        <v>39320</v>
      </c>
      <c r="B3953" t="s">
        <v>338</v>
      </c>
      <c r="C3953" t="s">
        <v>84</v>
      </c>
      <c r="D3953">
        <v>210</v>
      </c>
    </row>
    <row r="3954" spans="1:4" x14ac:dyDescent="0.25">
      <c r="A3954" s="279">
        <v>39320</v>
      </c>
      <c r="B3954" t="s">
        <v>338</v>
      </c>
      <c r="C3954" t="s">
        <v>83</v>
      </c>
      <c r="D3954">
        <v>0</v>
      </c>
    </row>
    <row r="3955" spans="1:4" x14ac:dyDescent="0.25">
      <c r="A3955" s="279">
        <v>39320</v>
      </c>
      <c r="B3955" t="s">
        <v>338</v>
      </c>
      <c r="C3955" t="s">
        <v>14</v>
      </c>
      <c r="D3955">
        <v>1034</v>
      </c>
    </row>
    <row r="3956" spans="1:4" x14ac:dyDescent="0.25">
      <c r="A3956" s="279">
        <v>39320</v>
      </c>
      <c r="B3956" t="s">
        <v>339</v>
      </c>
      <c r="C3956" t="s">
        <v>20</v>
      </c>
      <c r="D3956">
        <v>36372</v>
      </c>
    </row>
    <row r="3957" spans="1:4" x14ac:dyDescent="0.25">
      <c r="A3957" s="279">
        <v>39320</v>
      </c>
      <c r="B3957" t="s">
        <v>339</v>
      </c>
      <c r="C3957" t="s">
        <v>85</v>
      </c>
      <c r="D3957">
        <v>25980</v>
      </c>
    </row>
    <row r="3958" spans="1:4" x14ac:dyDescent="0.25">
      <c r="A3958" s="279">
        <v>39320</v>
      </c>
      <c r="B3958" t="s">
        <v>339</v>
      </c>
      <c r="C3958" t="s">
        <v>86</v>
      </c>
      <c r="D3958">
        <v>0</v>
      </c>
    </row>
    <row r="3959" spans="1:4" x14ac:dyDescent="0.25">
      <c r="A3959" s="279">
        <v>39320</v>
      </c>
      <c r="B3959" t="s">
        <v>339</v>
      </c>
      <c r="C3959" t="s">
        <v>87</v>
      </c>
      <c r="D3959">
        <v>0</v>
      </c>
    </row>
    <row r="3960" spans="1:4" x14ac:dyDescent="0.25">
      <c r="A3960" s="279">
        <v>39320</v>
      </c>
      <c r="B3960" t="s">
        <v>339</v>
      </c>
      <c r="C3960" t="s">
        <v>88</v>
      </c>
      <c r="D3960">
        <v>0</v>
      </c>
    </row>
    <row r="3961" spans="1:4" x14ac:dyDescent="0.25">
      <c r="A3961" s="279">
        <v>39320</v>
      </c>
      <c r="B3961" t="s">
        <v>339</v>
      </c>
      <c r="C3961" t="s">
        <v>14</v>
      </c>
      <c r="D3961">
        <v>1035</v>
      </c>
    </row>
    <row r="3962" spans="1:4" x14ac:dyDescent="0.25">
      <c r="A3962" s="279">
        <v>39321</v>
      </c>
      <c r="B3962" t="s">
        <v>338</v>
      </c>
      <c r="C3962" t="s">
        <v>81</v>
      </c>
      <c r="D3962">
        <v>0</v>
      </c>
    </row>
    <row r="3963" spans="1:4" x14ac:dyDescent="0.25">
      <c r="A3963" s="279">
        <v>39321</v>
      </c>
      <c r="B3963" t="s">
        <v>338</v>
      </c>
      <c r="C3963" t="s">
        <v>82</v>
      </c>
      <c r="D3963">
        <v>0</v>
      </c>
    </row>
    <row r="3964" spans="1:4" x14ac:dyDescent="0.25">
      <c r="A3964" s="279">
        <v>39321</v>
      </c>
      <c r="B3964" t="s">
        <v>338</v>
      </c>
      <c r="C3964" t="s">
        <v>84</v>
      </c>
      <c r="D3964">
        <v>250</v>
      </c>
    </row>
    <row r="3965" spans="1:4" x14ac:dyDescent="0.25">
      <c r="A3965" s="279">
        <v>39321</v>
      </c>
      <c r="B3965" t="s">
        <v>338</v>
      </c>
      <c r="C3965" t="s">
        <v>83</v>
      </c>
      <c r="D3965">
        <v>0</v>
      </c>
    </row>
    <row r="3966" spans="1:4" x14ac:dyDescent="0.25">
      <c r="A3966" s="279">
        <v>39321</v>
      </c>
      <c r="B3966" t="s">
        <v>338</v>
      </c>
      <c r="C3966" t="s">
        <v>14</v>
      </c>
      <c r="D3966">
        <v>1033</v>
      </c>
    </row>
    <row r="3967" spans="1:4" x14ac:dyDescent="0.25">
      <c r="A3967" s="279">
        <v>39321</v>
      </c>
      <c r="B3967" t="s">
        <v>339</v>
      </c>
      <c r="C3967" t="s">
        <v>20</v>
      </c>
      <c r="D3967">
        <v>37982</v>
      </c>
    </row>
    <row r="3968" spans="1:4" x14ac:dyDescent="0.25">
      <c r="A3968" s="279">
        <v>39321</v>
      </c>
      <c r="B3968" t="s">
        <v>339</v>
      </c>
      <c r="C3968" t="s">
        <v>85</v>
      </c>
      <c r="D3968">
        <v>27669</v>
      </c>
    </row>
    <row r="3969" spans="1:4" x14ac:dyDescent="0.25">
      <c r="A3969" s="279">
        <v>39321</v>
      </c>
      <c r="B3969" t="s">
        <v>339</v>
      </c>
      <c r="C3969" t="s">
        <v>86</v>
      </c>
      <c r="D3969">
        <v>0</v>
      </c>
    </row>
    <row r="3970" spans="1:4" x14ac:dyDescent="0.25">
      <c r="A3970" s="279">
        <v>39321</v>
      </c>
      <c r="B3970" t="s">
        <v>339</v>
      </c>
      <c r="C3970" t="s">
        <v>87</v>
      </c>
      <c r="D3970">
        <v>0</v>
      </c>
    </row>
    <row r="3971" spans="1:4" x14ac:dyDescent="0.25">
      <c r="A3971" s="279">
        <v>39321</v>
      </c>
      <c r="B3971" t="s">
        <v>339</v>
      </c>
      <c r="C3971" t="s">
        <v>88</v>
      </c>
      <c r="D3971">
        <v>0</v>
      </c>
    </row>
    <row r="3972" spans="1:4" x14ac:dyDescent="0.25">
      <c r="A3972" s="279">
        <v>39321</v>
      </c>
      <c r="B3972" t="s">
        <v>339</v>
      </c>
      <c r="C3972" t="s">
        <v>14</v>
      </c>
      <c r="D3972">
        <v>1036</v>
      </c>
    </row>
    <row r="3973" spans="1:4" x14ac:dyDescent="0.25">
      <c r="A3973" s="279">
        <v>39322</v>
      </c>
      <c r="B3973" t="s">
        <v>338</v>
      </c>
      <c r="C3973" t="s">
        <v>81</v>
      </c>
      <c r="D3973">
        <v>0</v>
      </c>
    </row>
    <row r="3974" spans="1:4" x14ac:dyDescent="0.25">
      <c r="A3974" s="279">
        <v>39322</v>
      </c>
      <c r="B3974" t="s">
        <v>338</v>
      </c>
      <c r="C3974" t="s">
        <v>82</v>
      </c>
      <c r="D3974">
        <v>0</v>
      </c>
    </row>
    <row r="3975" spans="1:4" x14ac:dyDescent="0.25">
      <c r="A3975" s="279">
        <v>39322</v>
      </c>
      <c r="B3975" t="s">
        <v>338</v>
      </c>
      <c r="C3975" t="s">
        <v>84</v>
      </c>
      <c r="D3975">
        <v>250</v>
      </c>
    </row>
    <row r="3976" spans="1:4" x14ac:dyDescent="0.25">
      <c r="A3976" s="279">
        <v>39322</v>
      </c>
      <c r="B3976" t="s">
        <v>338</v>
      </c>
      <c r="C3976" t="s">
        <v>83</v>
      </c>
      <c r="D3976">
        <v>0</v>
      </c>
    </row>
    <row r="3977" spans="1:4" x14ac:dyDescent="0.25">
      <c r="A3977" s="279">
        <v>39322</v>
      </c>
      <c r="B3977" t="s">
        <v>338</v>
      </c>
      <c r="C3977" t="s">
        <v>14</v>
      </c>
      <c r="D3977">
        <v>1033</v>
      </c>
    </row>
    <row r="3978" spans="1:4" x14ac:dyDescent="0.25">
      <c r="A3978" s="279">
        <v>39322</v>
      </c>
      <c r="B3978" t="s">
        <v>339</v>
      </c>
      <c r="C3978" t="s">
        <v>20</v>
      </c>
      <c r="D3978">
        <v>38362</v>
      </c>
    </row>
    <row r="3979" spans="1:4" x14ac:dyDescent="0.25">
      <c r="A3979" s="279">
        <v>39322</v>
      </c>
      <c r="B3979" t="s">
        <v>339</v>
      </c>
      <c r="C3979" t="s">
        <v>85</v>
      </c>
      <c r="D3979">
        <v>27318</v>
      </c>
    </row>
    <row r="3980" spans="1:4" x14ac:dyDescent="0.25">
      <c r="A3980" s="279">
        <v>39322</v>
      </c>
      <c r="B3980" t="s">
        <v>339</v>
      </c>
      <c r="C3980" t="s">
        <v>86</v>
      </c>
      <c r="D3980">
        <v>0</v>
      </c>
    </row>
    <row r="3981" spans="1:4" x14ac:dyDescent="0.25">
      <c r="A3981" s="279">
        <v>39322</v>
      </c>
      <c r="B3981" t="s">
        <v>339</v>
      </c>
      <c r="C3981" t="s">
        <v>87</v>
      </c>
      <c r="D3981">
        <v>0</v>
      </c>
    </row>
    <row r="3982" spans="1:4" x14ac:dyDescent="0.25">
      <c r="A3982" s="279">
        <v>39322</v>
      </c>
      <c r="B3982" t="s">
        <v>339</v>
      </c>
      <c r="C3982" t="s">
        <v>88</v>
      </c>
      <c r="D3982">
        <v>0</v>
      </c>
    </row>
    <row r="3983" spans="1:4" x14ac:dyDescent="0.25">
      <c r="A3983" s="279">
        <v>39322</v>
      </c>
      <c r="B3983" t="s">
        <v>339</v>
      </c>
      <c r="C3983" t="s">
        <v>14</v>
      </c>
      <c r="D3983">
        <v>1036</v>
      </c>
    </row>
    <row r="3984" spans="1:4" x14ac:dyDescent="0.25">
      <c r="A3984" s="279">
        <v>39323</v>
      </c>
      <c r="B3984" t="s">
        <v>338</v>
      </c>
      <c r="C3984" t="s">
        <v>81</v>
      </c>
      <c r="D3984">
        <v>0</v>
      </c>
    </row>
    <row r="3985" spans="1:4" x14ac:dyDescent="0.25">
      <c r="A3985" s="279">
        <v>39323</v>
      </c>
      <c r="B3985" t="s">
        <v>338</v>
      </c>
      <c r="C3985" t="s">
        <v>82</v>
      </c>
      <c r="D3985">
        <v>0</v>
      </c>
    </row>
    <row r="3986" spans="1:4" x14ac:dyDescent="0.25">
      <c r="A3986" s="279">
        <v>39323</v>
      </c>
      <c r="B3986" t="s">
        <v>338</v>
      </c>
      <c r="C3986" t="s">
        <v>84</v>
      </c>
      <c r="D3986">
        <v>230</v>
      </c>
    </row>
    <row r="3987" spans="1:4" x14ac:dyDescent="0.25">
      <c r="A3987" s="279">
        <v>39323</v>
      </c>
      <c r="B3987" t="s">
        <v>338</v>
      </c>
      <c r="C3987" t="s">
        <v>83</v>
      </c>
      <c r="D3987">
        <v>0</v>
      </c>
    </row>
    <row r="3988" spans="1:4" x14ac:dyDescent="0.25">
      <c r="A3988" s="279">
        <v>39323</v>
      </c>
      <c r="B3988" t="s">
        <v>338</v>
      </c>
      <c r="C3988" t="s">
        <v>14</v>
      </c>
      <c r="D3988">
        <v>1034</v>
      </c>
    </row>
    <row r="3989" spans="1:4" x14ac:dyDescent="0.25">
      <c r="A3989" s="279">
        <v>39323</v>
      </c>
      <c r="B3989" t="s">
        <v>339</v>
      </c>
      <c r="C3989" t="s">
        <v>20</v>
      </c>
      <c r="D3989">
        <v>36929</v>
      </c>
    </row>
    <row r="3990" spans="1:4" x14ac:dyDescent="0.25">
      <c r="A3990" s="279">
        <v>39323</v>
      </c>
      <c r="B3990" t="s">
        <v>339</v>
      </c>
      <c r="C3990" t="s">
        <v>85</v>
      </c>
      <c r="D3990">
        <v>27402</v>
      </c>
    </row>
    <row r="3991" spans="1:4" x14ac:dyDescent="0.25">
      <c r="A3991" s="279">
        <v>39323</v>
      </c>
      <c r="B3991" t="s">
        <v>339</v>
      </c>
      <c r="C3991" t="s">
        <v>86</v>
      </c>
      <c r="D3991">
        <v>0</v>
      </c>
    </row>
    <row r="3992" spans="1:4" x14ac:dyDescent="0.25">
      <c r="A3992" s="279">
        <v>39323</v>
      </c>
      <c r="B3992" t="s">
        <v>339</v>
      </c>
      <c r="C3992" t="s">
        <v>87</v>
      </c>
      <c r="D3992">
        <v>0</v>
      </c>
    </row>
    <row r="3993" spans="1:4" x14ac:dyDescent="0.25">
      <c r="A3993" s="279">
        <v>39323</v>
      </c>
      <c r="B3993" t="s">
        <v>339</v>
      </c>
      <c r="C3993" t="s">
        <v>88</v>
      </c>
      <c r="D3993">
        <v>0</v>
      </c>
    </row>
    <row r="3994" spans="1:4" x14ac:dyDescent="0.25">
      <c r="A3994" s="279">
        <v>39323</v>
      </c>
      <c r="B3994" t="s">
        <v>339</v>
      </c>
      <c r="C3994" t="s">
        <v>14</v>
      </c>
      <c r="D3994">
        <v>1036</v>
      </c>
    </row>
    <row r="3995" spans="1:4" x14ac:dyDescent="0.25">
      <c r="A3995" s="279">
        <v>39324</v>
      </c>
      <c r="B3995" t="s">
        <v>338</v>
      </c>
      <c r="C3995" t="s">
        <v>81</v>
      </c>
      <c r="D3995">
        <v>0</v>
      </c>
    </row>
    <row r="3996" spans="1:4" x14ac:dyDescent="0.25">
      <c r="A3996" s="279">
        <v>39324</v>
      </c>
      <c r="B3996" t="s">
        <v>338</v>
      </c>
      <c r="C3996" t="s">
        <v>82</v>
      </c>
      <c r="D3996">
        <v>0</v>
      </c>
    </row>
    <row r="3997" spans="1:4" x14ac:dyDescent="0.25">
      <c r="A3997" s="279">
        <v>39324</v>
      </c>
      <c r="B3997" t="s">
        <v>338</v>
      </c>
      <c r="C3997" t="s">
        <v>84</v>
      </c>
      <c r="D3997">
        <v>230</v>
      </c>
    </row>
    <row r="3998" spans="1:4" x14ac:dyDescent="0.25">
      <c r="A3998" s="279">
        <v>39324</v>
      </c>
      <c r="B3998" t="s">
        <v>338</v>
      </c>
      <c r="C3998" t="s">
        <v>83</v>
      </c>
      <c r="D3998">
        <v>0</v>
      </c>
    </row>
    <row r="3999" spans="1:4" x14ac:dyDescent="0.25">
      <c r="A3999" s="279">
        <v>39324</v>
      </c>
      <c r="B3999" t="s">
        <v>338</v>
      </c>
      <c r="C3999" t="s">
        <v>14</v>
      </c>
      <c r="D3999">
        <v>1034</v>
      </c>
    </row>
    <row r="4000" spans="1:4" x14ac:dyDescent="0.25">
      <c r="A4000" s="279">
        <v>39324</v>
      </c>
      <c r="B4000" t="s">
        <v>339</v>
      </c>
      <c r="C4000" t="s">
        <v>20</v>
      </c>
      <c r="D4000">
        <v>36213</v>
      </c>
    </row>
    <row r="4001" spans="1:4" x14ac:dyDescent="0.25">
      <c r="A4001" s="279">
        <v>39324</v>
      </c>
      <c r="B4001" t="s">
        <v>339</v>
      </c>
      <c r="C4001" t="s">
        <v>85</v>
      </c>
      <c r="D4001">
        <v>26931</v>
      </c>
    </row>
    <row r="4002" spans="1:4" x14ac:dyDescent="0.25">
      <c r="A4002" s="279">
        <v>39324</v>
      </c>
      <c r="B4002" t="s">
        <v>339</v>
      </c>
      <c r="C4002" t="s">
        <v>86</v>
      </c>
      <c r="D4002">
        <v>0</v>
      </c>
    </row>
    <row r="4003" spans="1:4" x14ac:dyDescent="0.25">
      <c r="A4003" s="279">
        <v>39324</v>
      </c>
      <c r="B4003" t="s">
        <v>339</v>
      </c>
      <c r="C4003" t="s">
        <v>87</v>
      </c>
      <c r="D4003">
        <v>0</v>
      </c>
    </row>
    <row r="4004" spans="1:4" x14ac:dyDescent="0.25">
      <c r="A4004" s="279">
        <v>39324</v>
      </c>
      <c r="B4004" t="s">
        <v>339</v>
      </c>
      <c r="C4004" t="s">
        <v>88</v>
      </c>
      <c r="D4004">
        <v>0</v>
      </c>
    </row>
    <row r="4005" spans="1:4" x14ac:dyDescent="0.25">
      <c r="A4005" s="279">
        <v>39324</v>
      </c>
      <c r="B4005" t="s">
        <v>339</v>
      </c>
      <c r="C4005" t="s">
        <v>14</v>
      </c>
      <c r="D4005">
        <v>1036</v>
      </c>
    </row>
    <row r="4006" spans="1:4" x14ac:dyDescent="0.25">
      <c r="A4006" s="279">
        <v>39325</v>
      </c>
      <c r="B4006" t="s">
        <v>338</v>
      </c>
      <c r="C4006" t="s">
        <v>81</v>
      </c>
      <c r="D4006">
        <v>0</v>
      </c>
    </row>
    <row r="4007" spans="1:4" x14ac:dyDescent="0.25">
      <c r="A4007" s="279">
        <v>39325</v>
      </c>
      <c r="B4007" t="s">
        <v>338</v>
      </c>
      <c r="C4007" t="s">
        <v>82</v>
      </c>
      <c r="D4007">
        <v>0</v>
      </c>
    </row>
    <row r="4008" spans="1:4" x14ac:dyDescent="0.25">
      <c r="A4008" s="279">
        <v>39325</v>
      </c>
      <c r="B4008" t="s">
        <v>338</v>
      </c>
      <c r="C4008" t="s">
        <v>84</v>
      </c>
      <c r="D4008">
        <v>220</v>
      </c>
    </row>
    <row r="4009" spans="1:4" x14ac:dyDescent="0.25">
      <c r="A4009" s="279">
        <v>39325</v>
      </c>
      <c r="B4009" t="s">
        <v>338</v>
      </c>
      <c r="C4009" t="s">
        <v>83</v>
      </c>
      <c r="D4009">
        <v>0</v>
      </c>
    </row>
    <row r="4010" spans="1:4" x14ac:dyDescent="0.25">
      <c r="A4010" s="279">
        <v>39325</v>
      </c>
      <c r="B4010" t="s">
        <v>338</v>
      </c>
      <c r="C4010" t="s">
        <v>14</v>
      </c>
      <c r="D4010">
        <v>1034</v>
      </c>
    </row>
    <row r="4011" spans="1:4" x14ac:dyDescent="0.25">
      <c r="A4011" s="279">
        <v>39325</v>
      </c>
      <c r="B4011" t="s">
        <v>339</v>
      </c>
      <c r="C4011" t="s">
        <v>20</v>
      </c>
      <c r="D4011">
        <v>34670</v>
      </c>
    </row>
    <row r="4012" spans="1:4" x14ac:dyDescent="0.25">
      <c r="A4012" s="279">
        <v>39325</v>
      </c>
      <c r="B4012" t="s">
        <v>339</v>
      </c>
      <c r="C4012" t="s">
        <v>85</v>
      </c>
      <c r="D4012">
        <v>24779</v>
      </c>
    </row>
    <row r="4013" spans="1:4" x14ac:dyDescent="0.25">
      <c r="A4013" s="279">
        <v>39325</v>
      </c>
      <c r="B4013" t="s">
        <v>339</v>
      </c>
      <c r="C4013" t="s">
        <v>86</v>
      </c>
      <c r="D4013">
        <v>0</v>
      </c>
    </row>
    <row r="4014" spans="1:4" x14ac:dyDescent="0.25">
      <c r="A4014" s="279">
        <v>39325</v>
      </c>
      <c r="B4014" t="s">
        <v>339</v>
      </c>
      <c r="C4014" t="s">
        <v>87</v>
      </c>
      <c r="D4014">
        <v>0</v>
      </c>
    </row>
    <row r="4015" spans="1:4" x14ac:dyDescent="0.25">
      <c r="A4015" s="279">
        <v>39325</v>
      </c>
      <c r="B4015" t="s">
        <v>339</v>
      </c>
      <c r="C4015" t="s">
        <v>88</v>
      </c>
      <c r="D4015">
        <v>0</v>
      </c>
    </row>
    <row r="4016" spans="1:4" x14ac:dyDescent="0.25">
      <c r="A4016" s="279">
        <v>39325</v>
      </c>
      <c r="B4016" t="s">
        <v>339</v>
      </c>
      <c r="C4016" t="s">
        <v>14</v>
      </c>
      <c r="D4016">
        <v>1036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E14B-9D02-4731-ADA5-4A91C4DB9A4F}">
  <dimension ref="A1:C2191"/>
  <sheetViews>
    <sheetView workbookViewId="0">
      <selection activeCell="E11" sqref="E11"/>
    </sheetView>
  </sheetViews>
  <sheetFormatPr defaultRowHeight="15.75" x14ac:dyDescent="0.25"/>
  <cols>
    <col min="1" max="1" width="13.875" bestFit="1" customWidth="1"/>
    <col min="2" max="2" width="23.25" bestFit="1" customWidth="1"/>
    <col min="3" max="3" width="32.375" bestFit="1" customWidth="1"/>
  </cols>
  <sheetData>
    <row r="1" spans="1:3" x14ac:dyDescent="0.25">
      <c r="A1" t="s">
        <v>58</v>
      </c>
      <c r="B1" t="s">
        <v>346</v>
      </c>
      <c r="C1" t="s">
        <v>337</v>
      </c>
    </row>
    <row r="2" spans="1:3" x14ac:dyDescent="0.25">
      <c r="A2" s="279">
        <v>38961</v>
      </c>
      <c r="B2" t="s">
        <v>340</v>
      </c>
      <c r="C2">
        <v>9.6</v>
      </c>
    </row>
    <row r="3" spans="1:3" x14ac:dyDescent="0.25">
      <c r="A3" s="279">
        <v>38961</v>
      </c>
      <c r="B3" t="s">
        <v>341</v>
      </c>
      <c r="C3">
        <v>70</v>
      </c>
    </row>
    <row r="4" spans="1:3" x14ac:dyDescent="0.25">
      <c r="A4" s="279">
        <v>38961</v>
      </c>
      <c r="B4" t="s">
        <v>342</v>
      </c>
      <c r="C4">
        <v>60</v>
      </c>
    </row>
    <row r="5" spans="1:3" x14ac:dyDescent="0.25">
      <c r="A5" s="279">
        <v>38961</v>
      </c>
      <c r="B5" t="s">
        <v>343</v>
      </c>
      <c r="C5">
        <v>65</v>
      </c>
    </row>
    <row r="6" spans="1:3" x14ac:dyDescent="0.25">
      <c r="A6" s="279">
        <v>38961</v>
      </c>
      <c r="B6" t="s">
        <v>344</v>
      </c>
      <c r="C6" t="s">
        <v>237</v>
      </c>
    </row>
    <row r="7" spans="1:3" x14ac:dyDescent="0.25">
      <c r="A7" s="279">
        <v>38961</v>
      </c>
      <c r="B7" t="s">
        <v>345</v>
      </c>
      <c r="C7" t="s">
        <v>238</v>
      </c>
    </row>
    <row r="8" spans="1:3" x14ac:dyDescent="0.25">
      <c r="A8" s="279">
        <v>38962</v>
      </c>
      <c r="B8" t="s">
        <v>340</v>
      </c>
      <c r="C8">
        <v>2.2999999999999998</v>
      </c>
    </row>
    <row r="9" spans="1:3" x14ac:dyDescent="0.25">
      <c r="A9" s="279">
        <v>38962</v>
      </c>
      <c r="B9" t="s">
        <v>341</v>
      </c>
      <c r="C9">
        <v>73</v>
      </c>
    </row>
    <row r="10" spans="1:3" x14ac:dyDescent="0.25">
      <c r="A10" s="279">
        <v>38962</v>
      </c>
      <c r="B10" t="s">
        <v>342</v>
      </c>
      <c r="C10">
        <v>65</v>
      </c>
    </row>
    <row r="11" spans="1:3" x14ac:dyDescent="0.25">
      <c r="A11" s="279">
        <v>38962</v>
      </c>
      <c r="B11" t="s">
        <v>343</v>
      </c>
      <c r="C11">
        <v>69</v>
      </c>
    </row>
    <row r="12" spans="1:3" x14ac:dyDescent="0.25">
      <c r="A12" s="279">
        <v>38962</v>
      </c>
      <c r="B12" t="s">
        <v>344</v>
      </c>
      <c r="C12" t="s">
        <v>237</v>
      </c>
    </row>
    <row r="13" spans="1:3" x14ac:dyDescent="0.25">
      <c r="A13" s="279">
        <v>38962</v>
      </c>
      <c r="B13" t="s">
        <v>345</v>
      </c>
      <c r="C13" t="s">
        <v>239</v>
      </c>
    </row>
    <row r="14" spans="1:3" x14ac:dyDescent="0.25">
      <c r="A14" s="279">
        <v>38963</v>
      </c>
      <c r="B14" t="s">
        <v>340</v>
      </c>
      <c r="C14">
        <v>2.8</v>
      </c>
    </row>
    <row r="15" spans="1:3" x14ac:dyDescent="0.25">
      <c r="A15" s="279">
        <v>38963</v>
      </c>
      <c r="B15" t="s">
        <v>341</v>
      </c>
      <c r="C15">
        <v>80</v>
      </c>
    </row>
    <row r="16" spans="1:3" x14ac:dyDescent="0.25">
      <c r="A16" s="279">
        <v>38963</v>
      </c>
      <c r="B16" t="s">
        <v>342</v>
      </c>
      <c r="C16">
        <v>66</v>
      </c>
    </row>
    <row r="17" spans="1:3" x14ac:dyDescent="0.25">
      <c r="A17" s="279">
        <v>38963</v>
      </c>
      <c r="B17" t="s">
        <v>343</v>
      </c>
      <c r="C17">
        <v>71</v>
      </c>
    </row>
    <row r="18" spans="1:3" x14ac:dyDescent="0.25">
      <c r="A18" s="279">
        <v>38963</v>
      </c>
      <c r="B18" t="s">
        <v>344</v>
      </c>
      <c r="C18" t="s">
        <v>240</v>
      </c>
    </row>
    <row r="19" spans="1:3" x14ac:dyDescent="0.25">
      <c r="A19" s="279">
        <v>38963</v>
      </c>
      <c r="B19" t="s">
        <v>345</v>
      </c>
      <c r="C19" t="s">
        <v>241</v>
      </c>
    </row>
    <row r="20" spans="1:3" x14ac:dyDescent="0.25">
      <c r="A20" s="279">
        <v>38964</v>
      </c>
      <c r="B20" t="s">
        <v>340</v>
      </c>
      <c r="C20">
        <v>2.7</v>
      </c>
    </row>
    <row r="21" spans="1:3" x14ac:dyDescent="0.25">
      <c r="A21" s="279">
        <v>38964</v>
      </c>
      <c r="B21" t="s">
        <v>341</v>
      </c>
      <c r="C21">
        <v>83</v>
      </c>
    </row>
    <row r="22" spans="1:3" x14ac:dyDescent="0.25">
      <c r="A22" s="279">
        <v>38964</v>
      </c>
      <c r="B22" t="s">
        <v>342</v>
      </c>
      <c r="C22">
        <v>67</v>
      </c>
    </row>
    <row r="23" spans="1:3" x14ac:dyDescent="0.25">
      <c r="A23" s="279">
        <v>38964</v>
      </c>
      <c r="B23" t="s">
        <v>343</v>
      </c>
      <c r="C23">
        <v>74</v>
      </c>
    </row>
    <row r="24" spans="1:3" x14ac:dyDescent="0.25">
      <c r="A24" s="279">
        <v>38964</v>
      </c>
      <c r="B24" t="s">
        <v>344</v>
      </c>
      <c r="C24" t="s">
        <v>242</v>
      </c>
    </row>
    <row r="25" spans="1:3" x14ac:dyDescent="0.25">
      <c r="A25" s="279">
        <v>38964</v>
      </c>
      <c r="B25" t="s">
        <v>345</v>
      </c>
      <c r="C25" t="s">
        <v>243</v>
      </c>
    </row>
    <row r="26" spans="1:3" x14ac:dyDescent="0.25">
      <c r="A26" s="279">
        <v>38965</v>
      </c>
      <c r="B26" t="s">
        <v>340</v>
      </c>
      <c r="C26">
        <v>3.1</v>
      </c>
    </row>
    <row r="27" spans="1:3" x14ac:dyDescent="0.25">
      <c r="A27" s="279">
        <v>38965</v>
      </c>
      <c r="B27" t="s">
        <v>341</v>
      </c>
      <c r="C27">
        <v>69</v>
      </c>
    </row>
    <row r="28" spans="1:3" x14ac:dyDescent="0.25">
      <c r="A28" s="279">
        <v>38965</v>
      </c>
      <c r="B28" t="s">
        <v>342</v>
      </c>
      <c r="C28">
        <v>63</v>
      </c>
    </row>
    <row r="29" spans="1:3" x14ac:dyDescent="0.25">
      <c r="A29" s="279">
        <v>38965</v>
      </c>
      <c r="B29" t="s">
        <v>343</v>
      </c>
      <c r="C29">
        <v>65</v>
      </c>
    </row>
    <row r="30" spans="1:3" x14ac:dyDescent="0.25">
      <c r="A30" s="279">
        <v>38965</v>
      </c>
      <c r="B30" t="s">
        <v>344</v>
      </c>
      <c r="C30" t="s">
        <v>237</v>
      </c>
    </row>
    <row r="31" spans="1:3" x14ac:dyDescent="0.25">
      <c r="A31" s="279">
        <v>38965</v>
      </c>
      <c r="B31" t="s">
        <v>345</v>
      </c>
      <c r="C31" t="s">
        <v>239</v>
      </c>
    </row>
    <row r="32" spans="1:3" x14ac:dyDescent="0.25">
      <c r="A32" s="279">
        <v>38966</v>
      </c>
      <c r="B32" t="s">
        <v>340</v>
      </c>
      <c r="C32">
        <v>1.6</v>
      </c>
    </row>
    <row r="33" spans="1:3" x14ac:dyDescent="0.25">
      <c r="A33" s="279">
        <v>38966</v>
      </c>
      <c r="B33" t="s">
        <v>341</v>
      </c>
      <c r="C33">
        <v>82</v>
      </c>
    </row>
    <row r="34" spans="1:3" x14ac:dyDescent="0.25">
      <c r="A34" s="279">
        <v>38966</v>
      </c>
      <c r="B34" t="s">
        <v>342</v>
      </c>
      <c r="C34">
        <v>64</v>
      </c>
    </row>
    <row r="35" spans="1:3" x14ac:dyDescent="0.25">
      <c r="A35" s="279">
        <v>38966</v>
      </c>
      <c r="B35" t="s">
        <v>343</v>
      </c>
      <c r="C35">
        <v>72</v>
      </c>
    </row>
    <row r="36" spans="1:3" x14ac:dyDescent="0.25">
      <c r="A36" s="279">
        <v>38966</v>
      </c>
      <c r="B36" t="s">
        <v>344</v>
      </c>
      <c r="C36" t="s">
        <v>242</v>
      </c>
    </row>
    <row r="37" spans="1:3" x14ac:dyDescent="0.25">
      <c r="A37" s="279">
        <v>38966</v>
      </c>
      <c r="B37" t="s">
        <v>345</v>
      </c>
      <c r="C37" t="s">
        <v>244</v>
      </c>
    </row>
    <row r="38" spans="1:3" x14ac:dyDescent="0.25">
      <c r="A38" s="279">
        <v>38967</v>
      </c>
      <c r="B38" t="s">
        <v>340</v>
      </c>
      <c r="C38">
        <v>0.5</v>
      </c>
    </row>
    <row r="39" spans="1:3" x14ac:dyDescent="0.25">
      <c r="A39" s="279">
        <v>38967</v>
      </c>
      <c r="B39" t="s">
        <v>341</v>
      </c>
      <c r="C39">
        <v>87</v>
      </c>
    </row>
    <row r="40" spans="1:3" x14ac:dyDescent="0.25">
      <c r="A40" s="279">
        <v>38967</v>
      </c>
      <c r="B40" t="s">
        <v>342</v>
      </c>
      <c r="C40">
        <v>67</v>
      </c>
    </row>
    <row r="41" spans="1:3" x14ac:dyDescent="0.25">
      <c r="A41" s="279">
        <v>38967</v>
      </c>
      <c r="B41" t="s">
        <v>343</v>
      </c>
      <c r="C41">
        <v>75</v>
      </c>
    </row>
    <row r="42" spans="1:3" x14ac:dyDescent="0.25">
      <c r="A42" s="279">
        <v>38967</v>
      </c>
      <c r="B42" t="s">
        <v>344</v>
      </c>
      <c r="C42" t="s">
        <v>240</v>
      </c>
    </row>
    <row r="43" spans="1:3" x14ac:dyDescent="0.25">
      <c r="A43" s="279">
        <v>38967</v>
      </c>
      <c r="B43" t="s">
        <v>345</v>
      </c>
      <c r="C43" t="s">
        <v>243</v>
      </c>
    </row>
    <row r="44" spans="1:3" x14ac:dyDescent="0.25">
      <c r="A44" s="279">
        <v>38968</v>
      </c>
      <c r="B44" t="s">
        <v>340</v>
      </c>
      <c r="C44">
        <v>2.4</v>
      </c>
    </row>
    <row r="45" spans="1:3" x14ac:dyDescent="0.25">
      <c r="A45" s="279">
        <v>38968</v>
      </c>
      <c r="B45" t="s">
        <v>341</v>
      </c>
      <c r="C45">
        <v>89</v>
      </c>
    </row>
    <row r="46" spans="1:3" x14ac:dyDescent="0.25">
      <c r="A46" s="279">
        <v>38968</v>
      </c>
      <c r="B46" t="s">
        <v>342</v>
      </c>
      <c r="C46">
        <v>68</v>
      </c>
    </row>
    <row r="47" spans="1:3" x14ac:dyDescent="0.25">
      <c r="A47" s="279">
        <v>38968</v>
      </c>
      <c r="B47" t="s">
        <v>343</v>
      </c>
      <c r="C47">
        <v>77</v>
      </c>
    </row>
    <row r="48" spans="1:3" x14ac:dyDescent="0.25">
      <c r="A48" s="279">
        <v>38968</v>
      </c>
      <c r="B48" t="s">
        <v>344</v>
      </c>
      <c r="C48" t="s">
        <v>245</v>
      </c>
    </row>
    <row r="49" spans="1:3" x14ac:dyDescent="0.25">
      <c r="A49" s="279">
        <v>38968</v>
      </c>
      <c r="B49" t="s">
        <v>345</v>
      </c>
      <c r="C49" t="s">
        <v>243</v>
      </c>
    </row>
    <row r="50" spans="1:3" x14ac:dyDescent="0.25">
      <c r="A50" s="279">
        <v>38969</v>
      </c>
      <c r="B50" t="s">
        <v>340</v>
      </c>
      <c r="C50">
        <v>2.7</v>
      </c>
    </row>
    <row r="51" spans="1:3" x14ac:dyDescent="0.25">
      <c r="A51" s="279">
        <v>38969</v>
      </c>
      <c r="B51" t="s">
        <v>341</v>
      </c>
      <c r="C51">
        <v>89</v>
      </c>
    </row>
    <row r="52" spans="1:3" x14ac:dyDescent="0.25">
      <c r="A52" s="279">
        <v>38969</v>
      </c>
      <c r="B52" t="s">
        <v>342</v>
      </c>
      <c r="C52">
        <v>68</v>
      </c>
    </row>
    <row r="53" spans="1:3" x14ac:dyDescent="0.25">
      <c r="A53" s="279">
        <v>38969</v>
      </c>
      <c r="B53" t="s">
        <v>343</v>
      </c>
      <c r="C53">
        <v>78</v>
      </c>
    </row>
    <row r="54" spans="1:3" x14ac:dyDescent="0.25">
      <c r="A54" s="279">
        <v>38969</v>
      </c>
      <c r="B54" t="s">
        <v>344</v>
      </c>
      <c r="C54" t="s">
        <v>245</v>
      </c>
    </row>
    <row r="55" spans="1:3" x14ac:dyDescent="0.25">
      <c r="A55" s="279">
        <v>38969</v>
      </c>
      <c r="B55" t="s">
        <v>345</v>
      </c>
      <c r="C55" t="s">
        <v>243</v>
      </c>
    </row>
    <row r="56" spans="1:3" x14ac:dyDescent="0.25">
      <c r="A56" s="279">
        <v>38970</v>
      </c>
      <c r="B56" t="s">
        <v>340</v>
      </c>
      <c r="C56">
        <v>1.7</v>
      </c>
    </row>
    <row r="57" spans="1:3" x14ac:dyDescent="0.25">
      <c r="A57" s="279">
        <v>38970</v>
      </c>
      <c r="B57" t="s">
        <v>341</v>
      </c>
      <c r="C57">
        <v>85</v>
      </c>
    </row>
    <row r="58" spans="1:3" x14ac:dyDescent="0.25">
      <c r="A58" s="279">
        <v>38970</v>
      </c>
      <c r="B58" t="s">
        <v>342</v>
      </c>
      <c r="C58">
        <v>65</v>
      </c>
    </row>
    <row r="59" spans="1:3" x14ac:dyDescent="0.25">
      <c r="A59" s="279">
        <v>38970</v>
      </c>
      <c r="B59" t="s">
        <v>343</v>
      </c>
      <c r="C59">
        <v>73</v>
      </c>
    </row>
    <row r="60" spans="1:3" x14ac:dyDescent="0.25">
      <c r="A60" s="279">
        <v>38970</v>
      </c>
      <c r="B60" t="s">
        <v>344</v>
      </c>
      <c r="C60" t="s">
        <v>246</v>
      </c>
    </row>
    <row r="61" spans="1:3" x14ac:dyDescent="0.25">
      <c r="A61" s="279">
        <v>38970</v>
      </c>
      <c r="B61" t="s">
        <v>345</v>
      </c>
      <c r="C61" t="s">
        <v>243</v>
      </c>
    </row>
    <row r="62" spans="1:3" x14ac:dyDescent="0.25">
      <c r="A62" s="279">
        <v>38971</v>
      </c>
      <c r="B62" t="s">
        <v>340</v>
      </c>
      <c r="C62">
        <v>2.5</v>
      </c>
    </row>
    <row r="63" spans="1:3" x14ac:dyDescent="0.25">
      <c r="A63" s="279">
        <v>38971</v>
      </c>
      <c r="B63" t="s">
        <v>341</v>
      </c>
      <c r="C63">
        <v>75</v>
      </c>
    </row>
    <row r="64" spans="1:3" x14ac:dyDescent="0.25">
      <c r="A64" s="279">
        <v>38971</v>
      </c>
      <c r="B64" t="s">
        <v>342</v>
      </c>
      <c r="C64">
        <v>57</v>
      </c>
    </row>
    <row r="65" spans="1:3" x14ac:dyDescent="0.25">
      <c r="A65" s="279">
        <v>38971</v>
      </c>
      <c r="B65" t="s">
        <v>343</v>
      </c>
      <c r="C65">
        <v>66</v>
      </c>
    </row>
    <row r="66" spans="1:3" x14ac:dyDescent="0.25">
      <c r="A66" s="279">
        <v>38971</v>
      </c>
      <c r="B66" t="s">
        <v>344</v>
      </c>
      <c r="C66" t="s">
        <v>246</v>
      </c>
    </row>
    <row r="67" spans="1:3" x14ac:dyDescent="0.25">
      <c r="A67" s="279">
        <v>38971</v>
      </c>
      <c r="B67" t="s">
        <v>345</v>
      </c>
      <c r="C67" t="s">
        <v>243</v>
      </c>
    </row>
    <row r="68" spans="1:3" x14ac:dyDescent="0.25">
      <c r="A68" s="279">
        <v>38972</v>
      </c>
      <c r="B68" t="s">
        <v>340</v>
      </c>
      <c r="C68">
        <v>1.4</v>
      </c>
    </row>
    <row r="69" spans="1:3" x14ac:dyDescent="0.25">
      <c r="A69" s="279">
        <v>38972</v>
      </c>
      <c r="B69" t="s">
        <v>341</v>
      </c>
      <c r="C69">
        <v>77</v>
      </c>
    </row>
    <row r="70" spans="1:3" x14ac:dyDescent="0.25">
      <c r="A70" s="279">
        <v>38972</v>
      </c>
      <c r="B70" t="s">
        <v>342</v>
      </c>
      <c r="C70">
        <v>59</v>
      </c>
    </row>
    <row r="71" spans="1:3" x14ac:dyDescent="0.25">
      <c r="A71" s="279">
        <v>38972</v>
      </c>
      <c r="B71" t="s">
        <v>343</v>
      </c>
      <c r="C71">
        <v>66</v>
      </c>
    </row>
    <row r="72" spans="1:3" x14ac:dyDescent="0.25">
      <c r="A72" s="279">
        <v>38972</v>
      </c>
      <c r="B72" t="s">
        <v>344</v>
      </c>
      <c r="C72" t="s">
        <v>246</v>
      </c>
    </row>
    <row r="73" spans="1:3" x14ac:dyDescent="0.25">
      <c r="A73" s="279">
        <v>38972</v>
      </c>
      <c r="B73" t="s">
        <v>345</v>
      </c>
      <c r="C73" t="s">
        <v>243</v>
      </c>
    </row>
    <row r="74" spans="1:3" x14ac:dyDescent="0.25">
      <c r="A74" s="279">
        <v>38973</v>
      </c>
      <c r="B74" t="s">
        <v>340</v>
      </c>
      <c r="C74">
        <v>3</v>
      </c>
    </row>
    <row r="75" spans="1:3" x14ac:dyDescent="0.25">
      <c r="A75" s="279">
        <v>38973</v>
      </c>
      <c r="B75" t="s">
        <v>341</v>
      </c>
      <c r="C75">
        <v>74</v>
      </c>
    </row>
    <row r="76" spans="1:3" x14ac:dyDescent="0.25">
      <c r="A76" s="279">
        <v>38973</v>
      </c>
      <c r="B76" t="s">
        <v>342</v>
      </c>
      <c r="C76">
        <v>65</v>
      </c>
    </row>
    <row r="77" spans="1:3" x14ac:dyDescent="0.25">
      <c r="A77" s="279">
        <v>38973</v>
      </c>
      <c r="B77" t="s">
        <v>343</v>
      </c>
      <c r="C77">
        <v>69</v>
      </c>
    </row>
    <row r="78" spans="1:3" x14ac:dyDescent="0.25">
      <c r="A78" s="279">
        <v>38973</v>
      </c>
      <c r="B78" t="s">
        <v>344</v>
      </c>
      <c r="C78" t="s">
        <v>247</v>
      </c>
    </row>
    <row r="79" spans="1:3" x14ac:dyDescent="0.25">
      <c r="A79" s="279">
        <v>38973</v>
      </c>
      <c r="B79" t="s">
        <v>345</v>
      </c>
      <c r="C79" t="s">
        <v>248</v>
      </c>
    </row>
    <row r="80" spans="1:3" x14ac:dyDescent="0.25">
      <c r="A80" s="279">
        <v>38974</v>
      </c>
      <c r="B80" t="s">
        <v>340</v>
      </c>
      <c r="C80">
        <v>2.8</v>
      </c>
    </row>
    <row r="81" spans="1:3" x14ac:dyDescent="0.25">
      <c r="A81" s="279">
        <v>38974</v>
      </c>
      <c r="B81" t="s">
        <v>341</v>
      </c>
      <c r="C81">
        <v>72</v>
      </c>
    </row>
    <row r="82" spans="1:3" x14ac:dyDescent="0.25">
      <c r="A82" s="279">
        <v>38974</v>
      </c>
      <c r="B82" t="s">
        <v>342</v>
      </c>
      <c r="C82">
        <v>67</v>
      </c>
    </row>
    <row r="83" spans="1:3" x14ac:dyDescent="0.25">
      <c r="A83" s="279">
        <v>38974</v>
      </c>
      <c r="B83" t="s">
        <v>343</v>
      </c>
      <c r="C83">
        <v>69</v>
      </c>
    </row>
    <row r="84" spans="1:3" x14ac:dyDescent="0.25">
      <c r="A84" s="279">
        <v>38974</v>
      </c>
      <c r="B84" t="s">
        <v>344</v>
      </c>
      <c r="C84" t="s">
        <v>249</v>
      </c>
    </row>
    <row r="85" spans="1:3" x14ac:dyDescent="0.25">
      <c r="A85" s="279">
        <v>38974</v>
      </c>
      <c r="B85" t="s">
        <v>345</v>
      </c>
      <c r="C85" t="s">
        <v>239</v>
      </c>
    </row>
    <row r="86" spans="1:3" x14ac:dyDescent="0.25">
      <c r="A86" s="279">
        <v>38975</v>
      </c>
      <c r="B86" t="s">
        <v>340</v>
      </c>
      <c r="C86">
        <v>6.5</v>
      </c>
    </row>
    <row r="87" spans="1:3" x14ac:dyDescent="0.25">
      <c r="A87" s="279">
        <v>38975</v>
      </c>
      <c r="B87" t="s">
        <v>341</v>
      </c>
      <c r="C87">
        <v>79</v>
      </c>
    </row>
    <row r="88" spans="1:3" x14ac:dyDescent="0.25">
      <c r="A88" s="279">
        <v>38975</v>
      </c>
      <c r="B88" t="s">
        <v>342</v>
      </c>
      <c r="C88">
        <v>67</v>
      </c>
    </row>
    <row r="89" spans="1:3" x14ac:dyDescent="0.25">
      <c r="A89" s="279">
        <v>38975</v>
      </c>
      <c r="B89" t="s">
        <v>343</v>
      </c>
      <c r="C89">
        <v>71</v>
      </c>
    </row>
    <row r="90" spans="1:3" x14ac:dyDescent="0.25">
      <c r="A90" s="279">
        <v>38975</v>
      </c>
      <c r="B90" t="s">
        <v>344</v>
      </c>
      <c r="C90" t="s">
        <v>250</v>
      </c>
    </row>
    <row r="91" spans="1:3" x14ac:dyDescent="0.25">
      <c r="A91" s="279">
        <v>38975</v>
      </c>
      <c r="B91" t="s">
        <v>345</v>
      </c>
      <c r="C91" t="s">
        <v>239</v>
      </c>
    </row>
    <row r="92" spans="1:3" x14ac:dyDescent="0.25">
      <c r="A92" s="279">
        <v>38976</v>
      </c>
      <c r="B92" t="s">
        <v>340</v>
      </c>
      <c r="C92">
        <v>3.7</v>
      </c>
    </row>
    <row r="93" spans="1:3" x14ac:dyDescent="0.25">
      <c r="A93" s="279">
        <v>38976</v>
      </c>
      <c r="B93" t="s">
        <v>341</v>
      </c>
      <c r="C93">
        <v>82</v>
      </c>
    </row>
    <row r="94" spans="1:3" x14ac:dyDescent="0.25">
      <c r="A94" s="279">
        <v>38976</v>
      </c>
      <c r="B94" t="s">
        <v>342</v>
      </c>
      <c r="C94">
        <v>66</v>
      </c>
    </row>
    <row r="95" spans="1:3" x14ac:dyDescent="0.25">
      <c r="A95" s="279">
        <v>38976</v>
      </c>
      <c r="B95" t="s">
        <v>343</v>
      </c>
      <c r="C95">
        <v>72</v>
      </c>
    </row>
    <row r="96" spans="1:3" x14ac:dyDescent="0.25">
      <c r="A96" s="279">
        <v>38976</v>
      </c>
      <c r="B96" t="s">
        <v>344</v>
      </c>
      <c r="C96" t="s">
        <v>250</v>
      </c>
    </row>
    <row r="97" spans="1:3" x14ac:dyDescent="0.25">
      <c r="A97" s="279">
        <v>38976</v>
      </c>
      <c r="B97" t="s">
        <v>345</v>
      </c>
      <c r="C97" t="s">
        <v>238</v>
      </c>
    </row>
    <row r="98" spans="1:3" x14ac:dyDescent="0.25">
      <c r="A98" s="279">
        <v>38977</v>
      </c>
      <c r="B98" t="s">
        <v>340</v>
      </c>
      <c r="C98">
        <v>2.2000000000000002</v>
      </c>
    </row>
    <row r="99" spans="1:3" x14ac:dyDescent="0.25">
      <c r="A99" s="279">
        <v>38977</v>
      </c>
      <c r="B99" t="s">
        <v>341</v>
      </c>
      <c r="C99">
        <v>86</v>
      </c>
    </row>
    <row r="100" spans="1:3" x14ac:dyDescent="0.25">
      <c r="A100" s="279">
        <v>38977</v>
      </c>
      <c r="B100" t="s">
        <v>342</v>
      </c>
      <c r="C100">
        <v>67</v>
      </c>
    </row>
    <row r="101" spans="1:3" x14ac:dyDescent="0.25">
      <c r="A101" s="279">
        <v>38977</v>
      </c>
      <c r="B101" t="s">
        <v>343</v>
      </c>
      <c r="C101">
        <v>75</v>
      </c>
    </row>
    <row r="102" spans="1:3" x14ac:dyDescent="0.25">
      <c r="A102" s="279">
        <v>38977</v>
      </c>
      <c r="B102" t="s">
        <v>344</v>
      </c>
      <c r="C102" t="s">
        <v>245</v>
      </c>
    </row>
    <row r="103" spans="1:3" x14ac:dyDescent="0.25">
      <c r="A103" s="279">
        <v>38977</v>
      </c>
      <c r="B103" t="s">
        <v>345</v>
      </c>
      <c r="C103" t="s">
        <v>243</v>
      </c>
    </row>
    <row r="104" spans="1:3" x14ac:dyDescent="0.25">
      <c r="A104" s="279">
        <v>38978</v>
      </c>
      <c r="B104" t="s">
        <v>340</v>
      </c>
      <c r="C104">
        <v>3.1</v>
      </c>
    </row>
    <row r="105" spans="1:3" x14ac:dyDescent="0.25">
      <c r="A105" s="279">
        <v>38978</v>
      </c>
      <c r="B105" t="s">
        <v>341</v>
      </c>
      <c r="C105">
        <v>90</v>
      </c>
    </row>
    <row r="106" spans="1:3" x14ac:dyDescent="0.25">
      <c r="A106" s="279">
        <v>38978</v>
      </c>
      <c r="B106" t="s">
        <v>342</v>
      </c>
      <c r="C106">
        <v>68</v>
      </c>
    </row>
    <row r="107" spans="1:3" x14ac:dyDescent="0.25">
      <c r="A107" s="279">
        <v>38978</v>
      </c>
      <c r="B107" t="s">
        <v>343</v>
      </c>
      <c r="C107">
        <v>77</v>
      </c>
    </row>
    <row r="108" spans="1:3" x14ac:dyDescent="0.25">
      <c r="A108" s="279">
        <v>38978</v>
      </c>
      <c r="B108" t="s">
        <v>344</v>
      </c>
      <c r="C108" t="s">
        <v>247</v>
      </c>
    </row>
    <row r="109" spans="1:3" x14ac:dyDescent="0.25">
      <c r="A109" s="279">
        <v>38978</v>
      </c>
      <c r="B109" t="s">
        <v>345</v>
      </c>
      <c r="C109" t="s">
        <v>243</v>
      </c>
    </row>
    <row r="110" spans="1:3" x14ac:dyDescent="0.25">
      <c r="A110" s="279">
        <v>38979</v>
      </c>
      <c r="B110" t="s">
        <v>340</v>
      </c>
      <c r="C110">
        <v>4.8</v>
      </c>
    </row>
    <row r="111" spans="1:3" x14ac:dyDescent="0.25">
      <c r="A111" s="279">
        <v>38979</v>
      </c>
      <c r="B111" t="s">
        <v>341</v>
      </c>
      <c r="C111">
        <v>82</v>
      </c>
    </row>
    <row r="112" spans="1:3" x14ac:dyDescent="0.25">
      <c r="A112" s="279">
        <v>38979</v>
      </c>
      <c r="B112" t="s">
        <v>342</v>
      </c>
      <c r="C112">
        <v>62</v>
      </c>
    </row>
    <row r="113" spans="1:3" x14ac:dyDescent="0.25">
      <c r="A113" s="279">
        <v>38979</v>
      </c>
      <c r="B113" t="s">
        <v>343</v>
      </c>
      <c r="C113">
        <v>73</v>
      </c>
    </row>
    <row r="114" spans="1:3" x14ac:dyDescent="0.25">
      <c r="A114" s="279">
        <v>38979</v>
      </c>
      <c r="B114" t="s">
        <v>344</v>
      </c>
      <c r="C114" t="s">
        <v>240</v>
      </c>
    </row>
    <row r="115" spans="1:3" x14ac:dyDescent="0.25">
      <c r="A115" s="279">
        <v>38979</v>
      </c>
      <c r="B115" t="s">
        <v>345</v>
      </c>
      <c r="C115" t="s">
        <v>251</v>
      </c>
    </row>
    <row r="116" spans="1:3" x14ac:dyDescent="0.25">
      <c r="A116" s="279">
        <v>38980</v>
      </c>
      <c r="B116" t="s">
        <v>340</v>
      </c>
      <c r="C116">
        <v>7.9</v>
      </c>
    </row>
    <row r="117" spans="1:3" x14ac:dyDescent="0.25">
      <c r="A117" s="279">
        <v>38980</v>
      </c>
      <c r="B117" t="s">
        <v>341</v>
      </c>
      <c r="C117">
        <v>74</v>
      </c>
    </row>
    <row r="118" spans="1:3" x14ac:dyDescent="0.25">
      <c r="A118" s="279">
        <v>38980</v>
      </c>
      <c r="B118" t="s">
        <v>342</v>
      </c>
      <c r="C118">
        <v>54</v>
      </c>
    </row>
    <row r="119" spans="1:3" x14ac:dyDescent="0.25">
      <c r="A119" s="279">
        <v>38980</v>
      </c>
      <c r="B119" t="s">
        <v>343</v>
      </c>
      <c r="C119">
        <v>64</v>
      </c>
    </row>
    <row r="120" spans="1:3" x14ac:dyDescent="0.25">
      <c r="A120" s="279">
        <v>38980</v>
      </c>
      <c r="B120" t="s">
        <v>344</v>
      </c>
      <c r="C120" t="s">
        <v>240</v>
      </c>
    </row>
    <row r="121" spans="1:3" x14ac:dyDescent="0.25">
      <c r="A121" s="279">
        <v>38980</v>
      </c>
      <c r="B121" t="s">
        <v>345</v>
      </c>
      <c r="C121" t="s">
        <v>243</v>
      </c>
    </row>
    <row r="122" spans="1:3" x14ac:dyDescent="0.25">
      <c r="A122" s="279">
        <v>38981</v>
      </c>
      <c r="B122" t="s">
        <v>340</v>
      </c>
      <c r="C122">
        <v>3</v>
      </c>
    </row>
    <row r="123" spans="1:3" x14ac:dyDescent="0.25">
      <c r="A123" s="279">
        <v>38981</v>
      </c>
      <c r="B123" t="s">
        <v>341</v>
      </c>
      <c r="C123">
        <v>73</v>
      </c>
    </row>
    <row r="124" spans="1:3" x14ac:dyDescent="0.25">
      <c r="A124" s="279">
        <v>38981</v>
      </c>
      <c r="B124" t="s">
        <v>342</v>
      </c>
      <c r="C124">
        <v>55</v>
      </c>
    </row>
    <row r="125" spans="1:3" x14ac:dyDescent="0.25">
      <c r="A125" s="279">
        <v>38981</v>
      </c>
      <c r="B125" t="s">
        <v>343</v>
      </c>
      <c r="C125">
        <v>63</v>
      </c>
    </row>
    <row r="126" spans="1:3" x14ac:dyDescent="0.25">
      <c r="A126" s="279">
        <v>38981</v>
      </c>
      <c r="B126" t="s">
        <v>344</v>
      </c>
      <c r="C126" t="s">
        <v>240</v>
      </c>
    </row>
    <row r="127" spans="1:3" x14ac:dyDescent="0.25">
      <c r="A127" s="279">
        <v>38981</v>
      </c>
      <c r="B127" t="s">
        <v>345</v>
      </c>
      <c r="C127" t="s">
        <v>243</v>
      </c>
    </row>
    <row r="128" spans="1:3" x14ac:dyDescent="0.25">
      <c r="A128" s="279">
        <v>38982</v>
      </c>
      <c r="B128" t="s">
        <v>340</v>
      </c>
      <c r="C128">
        <v>5.0999999999999996</v>
      </c>
    </row>
    <row r="129" spans="1:3" x14ac:dyDescent="0.25">
      <c r="A129" s="279">
        <v>38982</v>
      </c>
      <c r="B129" t="s">
        <v>341</v>
      </c>
      <c r="C129">
        <v>76</v>
      </c>
    </row>
    <row r="130" spans="1:3" x14ac:dyDescent="0.25">
      <c r="A130" s="279">
        <v>38982</v>
      </c>
      <c r="B130" t="s">
        <v>342</v>
      </c>
      <c r="C130">
        <v>65</v>
      </c>
    </row>
    <row r="131" spans="1:3" x14ac:dyDescent="0.25">
      <c r="A131" s="279">
        <v>38982</v>
      </c>
      <c r="B131" t="s">
        <v>343</v>
      </c>
      <c r="C131">
        <v>69</v>
      </c>
    </row>
    <row r="132" spans="1:3" x14ac:dyDescent="0.25">
      <c r="A132" s="279">
        <v>38982</v>
      </c>
      <c r="B132" t="s">
        <v>344</v>
      </c>
      <c r="C132" t="s">
        <v>252</v>
      </c>
    </row>
    <row r="133" spans="1:3" x14ac:dyDescent="0.25">
      <c r="A133" s="279">
        <v>38982</v>
      </c>
      <c r="B133" t="s">
        <v>345</v>
      </c>
      <c r="C133" t="s">
        <v>243</v>
      </c>
    </row>
    <row r="134" spans="1:3" x14ac:dyDescent="0.25">
      <c r="A134" s="279">
        <v>38983</v>
      </c>
      <c r="B134" t="s">
        <v>340</v>
      </c>
      <c r="C134">
        <v>4.5999999999999996</v>
      </c>
    </row>
    <row r="135" spans="1:3" x14ac:dyDescent="0.25">
      <c r="A135" s="279">
        <v>38983</v>
      </c>
      <c r="B135" t="s">
        <v>341</v>
      </c>
      <c r="C135">
        <v>84</v>
      </c>
    </row>
    <row r="136" spans="1:3" x14ac:dyDescent="0.25">
      <c r="A136" s="279">
        <v>38983</v>
      </c>
      <c r="B136" t="s">
        <v>342</v>
      </c>
      <c r="C136">
        <v>70</v>
      </c>
    </row>
    <row r="137" spans="1:3" x14ac:dyDescent="0.25">
      <c r="A137" s="279">
        <v>38983</v>
      </c>
      <c r="B137" t="s">
        <v>343</v>
      </c>
      <c r="C137">
        <v>76</v>
      </c>
    </row>
    <row r="138" spans="1:3" x14ac:dyDescent="0.25">
      <c r="A138" s="279">
        <v>38983</v>
      </c>
      <c r="B138" t="s">
        <v>344</v>
      </c>
      <c r="C138" t="s">
        <v>245</v>
      </c>
    </row>
    <row r="139" spans="1:3" x14ac:dyDescent="0.25">
      <c r="A139" s="279">
        <v>38983</v>
      </c>
      <c r="B139" t="s">
        <v>345</v>
      </c>
      <c r="C139" t="s">
        <v>253</v>
      </c>
    </row>
    <row r="140" spans="1:3" x14ac:dyDescent="0.25">
      <c r="A140" s="279">
        <v>38984</v>
      </c>
      <c r="B140" t="s">
        <v>340</v>
      </c>
      <c r="C140">
        <v>5</v>
      </c>
    </row>
    <row r="141" spans="1:3" x14ac:dyDescent="0.25">
      <c r="A141" s="279">
        <v>38984</v>
      </c>
      <c r="B141" t="s">
        <v>341</v>
      </c>
      <c r="C141">
        <v>83</v>
      </c>
    </row>
    <row r="142" spans="1:3" x14ac:dyDescent="0.25">
      <c r="A142" s="279">
        <v>38984</v>
      </c>
      <c r="B142" t="s">
        <v>342</v>
      </c>
      <c r="C142">
        <v>64</v>
      </c>
    </row>
    <row r="143" spans="1:3" x14ac:dyDescent="0.25">
      <c r="A143" s="279">
        <v>38984</v>
      </c>
      <c r="B143" t="s">
        <v>343</v>
      </c>
      <c r="C143">
        <v>73</v>
      </c>
    </row>
    <row r="144" spans="1:3" x14ac:dyDescent="0.25">
      <c r="A144" s="279">
        <v>38984</v>
      </c>
      <c r="B144" t="s">
        <v>344</v>
      </c>
      <c r="C144" t="s">
        <v>242</v>
      </c>
    </row>
    <row r="145" spans="1:3" x14ac:dyDescent="0.25">
      <c r="A145" s="279">
        <v>38984</v>
      </c>
      <c r="B145" t="s">
        <v>345</v>
      </c>
      <c r="C145" t="s">
        <v>253</v>
      </c>
    </row>
    <row r="146" spans="1:3" x14ac:dyDescent="0.25">
      <c r="A146" s="279">
        <v>38985</v>
      </c>
      <c r="B146" t="s">
        <v>340</v>
      </c>
      <c r="C146">
        <v>4</v>
      </c>
    </row>
    <row r="147" spans="1:3" x14ac:dyDescent="0.25">
      <c r="A147" s="279">
        <v>38985</v>
      </c>
      <c r="B147" t="s">
        <v>341</v>
      </c>
      <c r="C147">
        <v>79</v>
      </c>
    </row>
    <row r="148" spans="1:3" x14ac:dyDescent="0.25">
      <c r="A148" s="279">
        <v>38985</v>
      </c>
      <c r="B148" t="s">
        <v>342</v>
      </c>
      <c r="C148">
        <v>60</v>
      </c>
    </row>
    <row r="149" spans="1:3" x14ac:dyDescent="0.25">
      <c r="A149" s="279">
        <v>38985</v>
      </c>
      <c r="B149" t="s">
        <v>343</v>
      </c>
      <c r="C149">
        <v>69</v>
      </c>
    </row>
    <row r="150" spans="1:3" x14ac:dyDescent="0.25">
      <c r="A150" s="279">
        <v>38985</v>
      </c>
      <c r="B150" t="s">
        <v>344</v>
      </c>
      <c r="C150" t="s">
        <v>245</v>
      </c>
    </row>
    <row r="151" spans="1:3" x14ac:dyDescent="0.25">
      <c r="A151" s="279">
        <v>38985</v>
      </c>
      <c r="B151" t="s">
        <v>345</v>
      </c>
      <c r="C151" t="s">
        <v>243</v>
      </c>
    </row>
    <row r="152" spans="1:3" x14ac:dyDescent="0.25">
      <c r="A152" s="279">
        <v>38986</v>
      </c>
      <c r="B152" t="s">
        <v>340</v>
      </c>
      <c r="C152">
        <v>2.7</v>
      </c>
    </row>
    <row r="153" spans="1:3" x14ac:dyDescent="0.25">
      <c r="A153" s="279">
        <v>38986</v>
      </c>
      <c r="B153" t="s">
        <v>341</v>
      </c>
      <c r="C153">
        <v>79</v>
      </c>
    </row>
    <row r="154" spans="1:3" x14ac:dyDescent="0.25">
      <c r="A154" s="279">
        <v>38986</v>
      </c>
      <c r="B154" t="s">
        <v>342</v>
      </c>
      <c r="C154">
        <v>58</v>
      </c>
    </row>
    <row r="155" spans="1:3" x14ac:dyDescent="0.25">
      <c r="A155" s="279">
        <v>38986</v>
      </c>
      <c r="B155" t="s">
        <v>343</v>
      </c>
      <c r="C155">
        <v>68</v>
      </c>
    </row>
    <row r="156" spans="1:3" x14ac:dyDescent="0.25">
      <c r="A156" s="279">
        <v>38986</v>
      </c>
      <c r="B156" t="s">
        <v>344</v>
      </c>
      <c r="C156" t="s">
        <v>249</v>
      </c>
    </row>
    <row r="157" spans="1:3" x14ac:dyDescent="0.25">
      <c r="A157" s="279">
        <v>38986</v>
      </c>
      <c r="B157" t="s">
        <v>345</v>
      </c>
      <c r="C157" t="s">
        <v>243</v>
      </c>
    </row>
    <row r="158" spans="1:3" x14ac:dyDescent="0.25">
      <c r="A158" s="279">
        <v>38987</v>
      </c>
      <c r="B158" t="s">
        <v>340</v>
      </c>
      <c r="C158">
        <v>2.6</v>
      </c>
    </row>
    <row r="159" spans="1:3" x14ac:dyDescent="0.25">
      <c r="A159" s="279">
        <v>38987</v>
      </c>
      <c r="B159" t="s">
        <v>341</v>
      </c>
      <c r="C159">
        <v>82</v>
      </c>
    </row>
    <row r="160" spans="1:3" x14ac:dyDescent="0.25">
      <c r="A160" s="279">
        <v>38987</v>
      </c>
      <c r="B160" t="s">
        <v>342</v>
      </c>
      <c r="C160">
        <v>59</v>
      </c>
    </row>
    <row r="161" spans="1:3" x14ac:dyDescent="0.25">
      <c r="A161" s="279">
        <v>38987</v>
      </c>
      <c r="B161" t="s">
        <v>343</v>
      </c>
      <c r="C161">
        <v>69</v>
      </c>
    </row>
    <row r="162" spans="1:3" x14ac:dyDescent="0.25">
      <c r="A162" s="279">
        <v>38987</v>
      </c>
      <c r="B162" t="s">
        <v>344</v>
      </c>
      <c r="C162" t="s">
        <v>249</v>
      </c>
    </row>
    <row r="163" spans="1:3" x14ac:dyDescent="0.25">
      <c r="A163" s="279">
        <v>38987</v>
      </c>
      <c r="B163" t="s">
        <v>345</v>
      </c>
      <c r="C163" t="s">
        <v>243</v>
      </c>
    </row>
    <row r="164" spans="1:3" x14ac:dyDescent="0.25">
      <c r="A164" s="279">
        <v>38988</v>
      </c>
      <c r="B164" t="s">
        <v>340</v>
      </c>
      <c r="C164">
        <v>5.6</v>
      </c>
    </row>
    <row r="165" spans="1:3" x14ac:dyDescent="0.25">
      <c r="A165" s="279">
        <v>38988</v>
      </c>
      <c r="B165" t="s">
        <v>341</v>
      </c>
      <c r="C165">
        <v>81</v>
      </c>
    </row>
    <row r="166" spans="1:3" x14ac:dyDescent="0.25">
      <c r="A166" s="279">
        <v>38988</v>
      </c>
      <c r="B166" t="s">
        <v>342</v>
      </c>
      <c r="C166">
        <v>59</v>
      </c>
    </row>
    <row r="167" spans="1:3" x14ac:dyDescent="0.25">
      <c r="A167" s="279">
        <v>38988</v>
      </c>
      <c r="B167" t="s">
        <v>343</v>
      </c>
      <c r="C167">
        <v>69</v>
      </c>
    </row>
    <row r="168" spans="1:3" x14ac:dyDescent="0.25">
      <c r="A168" s="279">
        <v>38988</v>
      </c>
      <c r="B168" t="s">
        <v>344</v>
      </c>
      <c r="C168" t="s">
        <v>247</v>
      </c>
    </row>
    <row r="169" spans="1:3" x14ac:dyDescent="0.25">
      <c r="A169" s="279">
        <v>38988</v>
      </c>
      <c r="B169" t="s">
        <v>345</v>
      </c>
      <c r="C169" t="s">
        <v>241</v>
      </c>
    </row>
    <row r="170" spans="1:3" x14ac:dyDescent="0.25">
      <c r="A170" s="279">
        <v>38989</v>
      </c>
      <c r="B170" t="s">
        <v>340</v>
      </c>
      <c r="C170">
        <v>4.8</v>
      </c>
    </row>
    <row r="171" spans="1:3" x14ac:dyDescent="0.25">
      <c r="A171" s="279">
        <v>38989</v>
      </c>
      <c r="B171" t="s">
        <v>341</v>
      </c>
      <c r="C171">
        <v>69</v>
      </c>
    </row>
    <row r="172" spans="1:3" x14ac:dyDescent="0.25">
      <c r="A172" s="279">
        <v>38989</v>
      </c>
      <c r="B172" t="s">
        <v>342</v>
      </c>
      <c r="C172">
        <v>52</v>
      </c>
    </row>
    <row r="173" spans="1:3" x14ac:dyDescent="0.25">
      <c r="A173" s="279">
        <v>38989</v>
      </c>
      <c r="B173" t="s">
        <v>343</v>
      </c>
      <c r="C173">
        <v>60</v>
      </c>
    </row>
    <row r="174" spans="1:3" x14ac:dyDescent="0.25">
      <c r="A174" s="279">
        <v>38989</v>
      </c>
      <c r="B174" t="s">
        <v>344</v>
      </c>
      <c r="C174" t="s">
        <v>240</v>
      </c>
    </row>
    <row r="175" spans="1:3" x14ac:dyDescent="0.25">
      <c r="A175" s="279">
        <v>38989</v>
      </c>
      <c r="B175" t="s">
        <v>345</v>
      </c>
      <c r="C175" t="s">
        <v>241</v>
      </c>
    </row>
    <row r="176" spans="1:3" x14ac:dyDescent="0.25">
      <c r="A176" s="279">
        <v>38990</v>
      </c>
      <c r="B176" t="s">
        <v>340</v>
      </c>
      <c r="C176">
        <v>2.6</v>
      </c>
    </row>
    <row r="177" spans="1:3" x14ac:dyDescent="0.25">
      <c r="A177" s="279">
        <v>38990</v>
      </c>
      <c r="B177" t="s">
        <v>341</v>
      </c>
      <c r="C177">
        <v>68</v>
      </c>
    </row>
    <row r="178" spans="1:3" x14ac:dyDescent="0.25">
      <c r="A178" s="279">
        <v>38990</v>
      </c>
      <c r="B178" t="s">
        <v>342</v>
      </c>
      <c r="C178">
        <v>61</v>
      </c>
    </row>
    <row r="179" spans="1:3" x14ac:dyDescent="0.25">
      <c r="A179" s="279">
        <v>38990</v>
      </c>
      <c r="B179" t="s">
        <v>343</v>
      </c>
      <c r="C179">
        <v>64</v>
      </c>
    </row>
    <row r="180" spans="1:3" x14ac:dyDescent="0.25">
      <c r="A180" s="279">
        <v>38990</v>
      </c>
      <c r="B180" t="s">
        <v>344</v>
      </c>
      <c r="C180" t="s">
        <v>247</v>
      </c>
    </row>
    <row r="181" spans="1:3" x14ac:dyDescent="0.25">
      <c r="A181" s="279">
        <v>38990</v>
      </c>
      <c r="B181" t="s">
        <v>345</v>
      </c>
      <c r="C181" t="s">
        <v>238</v>
      </c>
    </row>
    <row r="182" spans="1:3" x14ac:dyDescent="0.25">
      <c r="A182" s="279">
        <v>38991</v>
      </c>
      <c r="B182" t="s">
        <v>340</v>
      </c>
      <c r="C182">
        <v>4.9000000000000004</v>
      </c>
    </row>
    <row r="183" spans="1:3" x14ac:dyDescent="0.25">
      <c r="A183" s="279">
        <v>38991</v>
      </c>
      <c r="B183" t="s">
        <v>341</v>
      </c>
      <c r="C183">
        <v>74</v>
      </c>
    </row>
    <row r="184" spans="1:3" x14ac:dyDescent="0.25">
      <c r="A184" s="279">
        <v>38991</v>
      </c>
      <c r="B184" t="s">
        <v>342</v>
      </c>
      <c r="C184">
        <v>57</v>
      </c>
    </row>
    <row r="185" spans="1:3" x14ac:dyDescent="0.25">
      <c r="A185" s="279">
        <v>38991</v>
      </c>
      <c r="B185" t="s">
        <v>343</v>
      </c>
      <c r="C185">
        <v>64</v>
      </c>
    </row>
    <row r="186" spans="1:3" x14ac:dyDescent="0.25">
      <c r="A186" s="279">
        <v>38991</v>
      </c>
      <c r="B186" t="s">
        <v>344</v>
      </c>
      <c r="C186" t="s">
        <v>242</v>
      </c>
    </row>
    <row r="187" spans="1:3" x14ac:dyDescent="0.25">
      <c r="A187" s="279">
        <v>38991</v>
      </c>
      <c r="B187" t="s">
        <v>345</v>
      </c>
      <c r="C187" t="s">
        <v>254</v>
      </c>
    </row>
    <row r="188" spans="1:3" x14ac:dyDescent="0.25">
      <c r="A188" s="279">
        <v>38992</v>
      </c>
      <c r="B188" t="s">
        <v>340</v>
      </c>
      <c r="C188">
        <v>4.0999999999999996</v>
      </c>
    </row>
    <row r="189" spans="1:3" x14ac:dyDescent="0.25">
      <c r="A189" s="279">
        <v>38992</v>
      </c>
      <c r="B189" t="s">
        <v>341</v>
      </c>
      <c r="C189">
        <v>75</v>
      </c>
    </row>
    <row r="190" spans="1:3" x14ac:dyDescent="0.25">
      <c r="A190" s="279">
        <v>38992</v>
      </c>
      <c r="B190" t="s">
        <v>342</v>
      </c>
      <c r="C190">
        <v>61</v>
      </c>
    </row>
    <row r="191" spans="1:3" x14ac:dyDescent="0.25">
      <c r="A191" s="279">
        <v>38992</v>
      </c>
      <c r="B191" t="s">
        <v>343</v>
      </c>
      <c r="C191">
        <v>66</v>
      </c>
    </row>
    <row r="192" spans="1:3" x14ac:dyDescent="0.25">
      <c r="A192" s="279">
        <v>38992</v>
      </c>
      <c r="B192" t="s">
        <v>344</v>
      </c>
      <c r="C192" t="s">
        <v>245</v>
      </c>
    </row>
    <row r="193" spans="1:3" x14ac:dyDescent="0.25">
      <c r="A193" s="279">
        <v>38992</v>
      </c>
      <c r="B193" t="s">
        <v>345</v>
      </c>
      <c r="C193" t="s">
        <v>243</v>
      </c>
    </row>
    <row r="194" spans="1:3" x14ac:dyDescent="0.25">
      <c r="A194" s="279">
        <v>38993</v>
      </c>
      <c r="B194" t="s">
        <v>340</v>
      </c>
      <c r="C194">
        <v>3.7</v>
      </c>
    </row>
    <row r="195" spans="1:3" x14ac:dyDescent="0.25">
      <c r="A195" s="279">
        <v>38993</v>
      </c>
      <c r="B195" t="s">
        <v>341</v>
      </c>
      <c r="C195">
        <v>86</v>
      </c>
    </row>
    <row r="196" spans="1:3" x14ac:dyDescent="0.25">
      <c r="A196" s="279">
        <v>38993</v>
      </c>
      <c r="B196" t="s">
        <v>342</v>
      </c>
      <c r="C196">
        <v>67</v>
      </c>
    </row>
    <row r="197" spans="1:3" x14ac:dyDescent="0.25">
      <c r="A197" s="279">
        <v>38993</v>
      </c>
      <c r="B197" t="s">
        <v>343</v>
      </c>
      <c r="C197">
        <v>75</v>
      </c>
    </row>
    <row r="198" spans="1:3" x14ac:dyDescent="0.25">
      <c r="A198" s="279">
        <v>38993</v>
      </c>
      <c r="B198" t="s">
        <v>344</v>
      </c>
      <c r="C198" t="s">
        <v>245</v>
      </c>
    </row>
    <row r="199" spans="1:3" x14ac:dyDescent="0.25">
      <c r="A199" s="279">
        <v>38993</v>
      </c>
      <c r="B199" t="s">
        <v>345</v>
      </c>
      <c r="C199" t="s">
        <v>243</v>
      </c>
    </row>
    <row r="200" spans="1:3" x14ac:dyDescent="0.25">
      <c r="A200" s="279">
        <v>38994</v>
      </c>
      <c r="B200" t="s">
        <v>340</v>
      </c>
      <c r="C200">
        <v>6.6</v>
      </c>
    </row>
    <row r="201" spans="1:3" x14ac:dyDescent="0.25">
      <c r="A201" s="279">
        <v>38994</v>
      </c>
      <c r="B201" t="s">
        <v>341</v>
      </c>
      <c r="C201">
        <v>88</v>
      </c>
    </row>
    <row r="202" spans="1:3" x14ac:dyDescent="0.25">
      <c r="A202" s="279">
        <v>38994</v>
      </c>
      <c r="B202" t="s">
        <v>342</v>
      </c>
      <c r="C202">
        <v>59</v>
      </c>
    </row>
    <row r="203" spans="1:3" x14ac:dyDescent="0.25">
      <c r="A203" s="279">
        <v>38994</v>
      </c>
      <c r="B203" t="s">
        <v>343</v>
      </c>
      <c r="C203">
        <v>75</v>
      </c>
    </row>
    <row r="204" spans="1:3" x14ac:dyDescent="0.25">
      <c r="A204" s="279">
        <v>38994</v>
      </c>
      <c r="B204" t="s">
        <v>344</v>
      </c>
      <c r="C204" t="s">
        <v>247</v>
      </c>
    </row>
    <row r="205" spans="1:3" x14ac:dyDescent="0.25">
      <c r="A205" s="279">
        <v>38994</v>
      </c>
      <c r="B205" t="s">
        <v>345</v>
      </c>
      <c r="C205" t="s">
        <v>241</v>
      </c>
    </row>
    <row r="206" spans="1:3" x14ac:dyDescent="0.25">
      <c r="A206" s="279">
        <v>38995</v>
      </c>
      <c r="B206" t="s">
        <v>340</v>
      </c>
      <c r="C206">
        <v>5.4</v>
      </c>
    </row>
    <row r="207" spans="1:3" x14ac:dyDescent="0.25">
      <c r="A207" s="279">
        <v>38995</v>
      </c>
      <c r="B207" t="s">
        <v>341</v>
      </c>
      <c r="C207">
        <v>72</v>
      </c>
    </row>
    <row r="208" spans="1:3" x14ac:dyDescent="0.25">
      <c r="A208" s="279">
        <v>38995</v>
      </c>
      <c r="B208" t="s">
        <v>342</v>
      </c>
      <c r="C208">
        <v>53</v>
      </c>
    </row>
    <row r="209" spans="1:3" x14ac:dyDescent="0.25">
      <c r="A209" s="279">
        <v>38995</v>
      </c>
      <c r="B209" t="s">
        <v>343</v>
      </c>
      <c r="C209">
        <v>60</v>
      </c>
    </row>
    <row r="210" spans="1:3" x14ac:dyDescent="0.25">
      <c r="A210" s="279">
        <v>38995</v>
      </c>
      <c r="B210" t="s">
        <v>344</v>
      </c>
      <c r="C210" t="s">
        <v>250</v>
      </c>
    </row>
    <row r="211" spans="1:3" x14ac:dyDescent="0.25">
      <c r="A211" s="279">
        <v>38995</v>
      </c>
      <c r="B211" t="s">
        <v>345</v>
      </c>
      <c r="C211" t="s">
        <v>243</v>
      </c>
    </row>
    <row r="212" spans="1:3" x14ac:dyDescent="0.25">
      <c r="A212" s="279">
        <v>38996</v>
      </c>
      <c r="B212" t="s">
        <v>340</v>
      </c>
      <c r="C212">
        <v>10</v>
      </c>
    </row>
    <row r="213" spans="1:3" x14ac:dyDescent="0.25">
      <c r="A213" s="279">
        <v>38996</v>
      </c>
      <c r="B213" t="s">
        <v>341</v>
      </c>
      <c r="C213">
        <v>57</v>
      </c>
    </row>
    <row r="214" spans="1:3" x14ac:dyDescent="0.25">
      <c r="A214" s="279">
        <v>38996</v>
      </c>
      <c r="B214" t="s">
        <v>342</v>
      </c>
      <c r="C214">
        <v>51</v>
      </c>
    </row>
    <row r="215" spans="1:3" x14ac:dyDescent="0.25">
      <c r="A215" s="279">
        <v>38996</v>
      </c>
      <c r="B215" t="s">
        <v>343</v>
      </c>
      <c r="C215">
        <v>55</v>
      </c>
    </row>
    <row r="216" spans="1:3" x14ac:dyDescent="0.25">
      <c r="A216" s="279">
        <v>38996</v>
      </c>
      <c r="B216" t="s">
        <v>344</v>
      </c>
      <c r="C216" t="s">
        <v>246</v>
      </c>
    </row>
    <row r="217" spans="1:3" x14ac:dyDescent="0.25">
      <c r="A217" s="279">
        <v>38996</v>
      </c>
      <c r="B217" t="s">
        <v>345</v>
      </c>
      <c r="C217" t="s">
        <v>239</v>
      </c>
    </row>
    <row r="218" spans="1:3" x14ac:dyDescent="0.25">
      <c r="A218" s="279">
        <v>38997</v>
      </c>
      <c r="B218" t="s">
        <v>340</v>
      </c>
      <c r="C218">
        <v>5.9</v>
      </c>
    </row>
    <row r="219" spans="1:3" x14ac:dyDescent="0.25">
      <c r="A219" s="279">
        <v>38997</v>
      </c>
      <c r="B219" t="s">
        <v>341</v>
      </c>
      <c r="C219">
        <v>65</v>
      </c>
    </row>
    <row r="220" spans="1:3" x14ac:dyDescent="0.25">
      <c r="A220" s="279">
        <v>38997</v>
      </c>
      <c r="B220" t="s">
        <v>342</v>
      </c>
      <c r="C220">
        <v>54</v>
      </c>
    </row>
    <row r="221" spans="1:3" x14ac:dyDescent="0.25">
      <c r="A221" s="279">
        <v>38997</v>
      </c>
      <c r="B221" t="s">
        <v>343</v>
      </c>
      <c r="C221">
        <v>59</v>
      </c>
    </row>
    <row r="222" spans="1:3" x14ac:dyDescent="0.25">
      <c r="A222" s="279">
        <v>38997</v>
      </c>
      <c r="B222" t="s">
        <v>344</v>
      </c>
      <c r="C222" t="s">
        <v>246</v>
      </c>
    </row>
    <row r="223" spans="1:3" x14ac:dyDescent="0.25">
      <c r="A223" s="279">
        <v>38997</v>
      </c>
      <c r="B223" t="s">
        <v>345</v>
      </c>
      <c r="C223" t="s">
        <v>238</v>
      </c>
    </row>
    <row r="224" spans="1:3" x14ac:dyDescent="0.25">
      <c r="A224" s="279">
        <v>38998</v>
      </c>
      <c r="B224" t="s">
        <v>340</v>
      </c>
      <c r="C224">
        <v>1.9</v>
      </c>
    </row>
    <row r="225" spans="1:3" x14ac:dyDescent="0.25">
      <c r="A225" s="279">
        <v>38998</v>
      </c>
      <c r="B225" t="s">
        <v>341</v>
      </c>
      <c r="C225">
        <v>77</v>
      </c>
    </row>
    <row r="226" spans="1:3" x14ac:dyDescent="0.25">
      <c r="A226" s="279">
        <v>38998</v>
      </c>
      <c r="B226" t="s">
        <v>342</v>
      </c>
      <c r="C226">
        <v>57</v>
      </c>
    </row>
    <row r="227" spans="1:3" x14ac:dyDescent="0.25">
      <c r="A227" s="279">
        <v>38998</v>
      </c>
      <c r="B227" t="s">
        <v>343</v>
      </c>
      <c r="C227">
        <v>65</v>
      </c>
    </row>
    <row r="228" spans="1:3" x14ac:dyDescent="0.25">
      <c r="A228" s="279">
        <v>38998</v>
      </c>
      <c r="B228" t="s">
        <v>344</v>
      </c>
      <c r="C228" t="s">
        <v>245</v>
      </c>
    </row>
    <row r="229" spans="1:3" x14ac:dyDescent="0.25">
      <c r="A229" s="279">
        <v>38998</v>
      </c>
      <c r="B229" t="s">
        <v>345</v>
      </c>
      <c r="C229" t="s">
        <v>243</v>
      </c>
    </row>
    <row r="230" spans="1:3" x14ac:dyDescent="0.25">
      <c r="A230" s="279">
        <v>38999</v>
      </c>
      <c r="B230" t="s">
        <v>340</v>
      </c>
      <c r="C230">
        <v>2.2000000000000002</v>
      </c>
    </row>
    <row r="231" spans="1:3" x14ac:dyDescent="0.25">
      <c r="A231" s="279">
        <v>38999</v>
      </c>
      <c r="B231" t="s">
        <v>341</v>
      </c>
      <c r="C231">
        <v>84</v>
      </c>
    </row>
    <row r="232" spans="1:3" x14ac:dyDescent="0.25">
      <c r="A232" s="279">
        <v>38999</v>
      </c>
      <c r="B232" t="s">
        <v>342</v>
      </c>
      <c r="C232">
        <v>61</v>
      </c>
    </row>
    <row r="233" spans="1:3" x14ac:dyDescent="0.25">
      <c r="A233" s="279">
        <v>38999</v>
      </c>
      <c r="B233" t="s">
        <v>343</v>
      </c>
      <c r="C233">
        <v>71</v>
      </c>
    </row>
    <row r="234" spans="1:3" x14ac:dyDescent="0.25">
      <c r="A234" s="279">
        <v>38999</v>
      </c>
      <c r="B234" t="s">
        <v>344</v>
      </c>
      <c r="C234" t="s">
        <v>242</v>
      </c>
    </row>
    <row r="235" spans="1:3" x14ac:dyDescent="0.25">
      <c r="A235" s="279">
        <v>38999</v>
      </c>
      <c r="B235" t="s">
        <v>345</v>
      </c>
      <c r="C235" t="s">
        <v>243</v>
      </c>
    </row>
    <row r="236" spans="1:3" x14ac:dyDescent="0.25">
      <c r="A236" s="279">
        <v>39000</v>
      </c>
      <c r="B236" t="s">
        <v>340</v>
      </c>
      <c r="C236">
        <v>2.2000000000000002</v>
      </c>
    </row>
    <row r="237" spans="1:3" x14ac:dyDescent="0.25">
      <c r="A237" s="279">
        <v>39000</v>
      </c>
      <c r="B237" t="s">
        <v>341</v>
      </c>
      <c r="C237">
        <v>85</v>
      </c>
    </row>
    <row r="238" spans="1:3" x14ac:dyDescent="0.25">
      <c r="A238" s="279">
        <v>39000</v>
      </c>
      <c r="B238" t="s">
        <v>342</v>
      </c>
      <c r="C238">
        <v>63</v>
      </c>
    </row>
    <row r="239" spans="1:3" x14ac:dyDescent="0.25">
      <c r="A239" s="279">
        <v>39000</v>
      </c>
      <c r="B239" t="s">
        <v>343</v>
      </c>
      <c r="C239">
        <v>71</v>
      </c>
    </row>
    <row r="240" spans="1:3" x14ac:dyDescent="0.25">
      <c r="A240" s="279">
        <v>39000</v>
      </c>
      <c r="B240" t="s">
        <v>344</v>
      </c>
      <c r="C240" t="s">
        <v>237</v>
      </c>
    </row>
    <row r="241" spans="1:3" x14ac:dyDescent="0.25">
      <c r="A241" s="279">
        <v>39000</v>
      </c>
      <c r="B241" t="s">
        <v>345</v>
      </c>
      <c r="C241" t="s">
        <v>243</v>
      </c>
    </row>
    <row r="242" spans="1:3" x14ac:dyDescent="0.25">
      <c r="A242" s="279">
        <v>39001</v>
      </c>
      <c r="B242" t="s">
        <v>340</v>
      </c>
      <c r="C242">
        <v>3.4</v>
      </c>
    </row>
    <row r="243" spans="1:3" x14ac:dyDescent="0.25">
      <c r="A243" s="279">
        <v>39001</v>
      </c>
      <c r="B243" t="s">
        <v>341</v>
      </c>
      <c r="C243">
        <v>72</v>
      </c>
    </row>
    <row r="244" spans="1:3" x14ac:dyDescent="0.25">
      <c r="A244" s="279">
        <v>39001</v>
      </c>
      <c r="B244" t="s">
        <v>342</v>
      </c>
      <c r="C244">
        <v>62</v>
      </c>
    </row>
    <row r="245" spans="1:3" x14ac:dyDescent="0.25">
      <c r="A245" s="279">
        <v>39001</v>
      </c>
      <c r="B245" t="s">
        <v>343</v>
      </c>
      <c r="C245">
        <v>65</v>
      </c>
    </row>
    <row r="246" spans="1:3" x14ac:dyDescent="0.25">
      <c r="A246" s="279">
        <v>39001</v>
      </c>
      <c r="B246" t="s">
        <v>344</v>
      </c>
      <c r="C246" t="s">
        <v>246</v>
      </c>
    </row>
    <row r="247" spans="1:3" x14ac:dyDescent="0.25">
      <c r="A247" s="279">
        <v>39001</v>
      </c>
      <c r="B247" t="s">
        <v>345</v>
      </c>
      <c r="C247" t="s">
        <v>255</v>
      </c>
    </row>
    <row r="248" spans="1:3" x14ac:dyDescent="0.25">
      <c r="A248" s="279">
        <v>39002</v>
      </c>
      <c r="B248" t="s">
        <v>340</v>
      </c>
      <c r="C248">
        <v>6.4</v>
      </c>
    </row>
    <row r="249" spans="1:3" x14ac:dyDescent="0.25">
      <c r="A249" s="279">
        <v>39002</v>
      </c>
      <c r="B249" t="s">
        <v>341</v>
      </c>
      <c r="C249">
        <v>75</v>
      </c>
    </row>
    <row r="250" spans="1:3" x14ac:dyDescent="0.25">
      <c r="A250" s="279">
        <v>39002</v>
      </c>
      <c r="B250" t="s">
        <v>342</v>
      </c>
      <c r="C250">
        <v>44</v>
      </c>
    </row>
    <row r="251" spans="1:3" x14ac:dyDescent="0.25">
      <c r="A251" s="279">
        <v>39002</v>
      </c>
      <c r="B251" t="s">
        <v>343</v>
      </c>
      <c r="C251">
        <v>59</v>
      </c>
    </row>
    <row r="252" spans="1:3" x14ac:dyDescent="0.25">
      <c r="A252" s="279">
        <v>39002</v>
      </c>
      <c r="B252" t="s">
        <v>344</v>
      </c>
      <c r="C252" t="s">
        <v>242</v>
      </c>
    </row>
    <row r="253" spans="1:3" x14ac:dyDescent="0.25">
      <c r="A253" s="279">
        <v>39002</v>
      </c>
      <c r="B253" t="s">
        <v>345</v>
      </c>
      <c r="C253" t="s">
        <v>256</v>
      </c>
    </row>
    <row r="254" spans="1:3" x14ac:dyDescent="0.25">
      <c r="A254" s="279">
        <v>39003</v>
      </c>
      <c r="B254" t="s">
        <v>340</v>
      </c>
      <c r="C254">
        <v>4.0999999999999996</v>
      </c>
    </row>
    <row r="255" spans="1:3" x14ac:dyDescent="0.25">
      <c r="A255" s="279">
        <v>39003</v>
      </c>
      <c r="B255" t="s">
        <v>341</v>
      </c>
      <c r="C255">
        <v>60</v>
      </c>
    </row>
    <row r="256" spans="1:3" x14ac:dyDescent="0.25">
      <c r="A256" s="279">
        <v>39003</v>
      </c>
      <c r="B256" t="s">
        <v>342</v>
      </c>
      <c r="C256">
        <v>43</v>
      </c>
    </row>
    <row r="257" spans="1:3" x14ac:dyDescent="0.25">
      <c r="A257" s="279">
        <v>39003</v>
      </c>
      <c r="B257" t="s">
        <v>343</v>
      </c>
      <c r="C257">
        <v>52</v>
      </c>
    </row>
    <row r="258" spans="1:3" x14ac:dyDescent="0.25">
      <c r="A258" s="279">
        <v>39003</v>
      </c>
      <c r="B258" t="s">
        <v>344</v>
      </c>
      <c r="C258" t="s">
        <v>245</v>
      </c>
    </row>
    <row r="259" spans="1:3" x14ac:dyDescent="0.25">
      <c r="A259" s="279">
        <v>39003</v>
      </c>
      <c r="B259" t="s">
        <v>345</v>
      </c>
      <c r="C259" t="s">
        <v>243</v>
      </c>
    </row>
    <row r="260" spans="1:3" x14ac:dyDescent="0.25">
      <c r="A260" s="279">
        <v>39004</v>
      </c>
      <c r="B260" t="s">
        <v>340</v>
      </c>
      <c r="C260">
        <v>4.8</v>
      </c>
    </row>
    <row r="261" spans="1:3" x14ac:dyDescent="0.25">
      <c r="A261" s="279">
        <v>39004</v>
      </c>
      <c r="B261" t="s">
        <v>341</v>
      </c>
      <c r="C261">
        <v>65</v>
      </c>
    </row>
    <row r="262" spans="1:3" x14ac:dyDescent="0.25">
      <c r="A262" s="279">
        <v>39004</v>
      </c>
      <c r="B262" t="s">
        <v>342</v>
      </c>
      <c r="C262">
        <v>44</v>
      </c>
    </row>
    <row r="263" spans="1:3" x14ac:dyDescent="0.25">
      <c r="A263" s="279">
        <v>39004</v>
      </c>
      <c r="B263" t="s">
        <v>343</v>
      </c>
      <c r="C263">
        <v>54</v>
      </c>
    </row>
    <row r="264" spans="1:3" x14ac:dyDescent="0.25">
      <c r="A264" s="279">
        <v>39004</v>
      </c>
      <c r="B264" t="s">
        <v>344</v>
      </c>
      <c r="C264" t="s">
        <v>242</v>
      </c>
    </row>
    <row r="265" spans="1:3" x14ac:dyDescent="0.25">
      <c r="A265" s="279">
        <v>39004</v>
      </c>
      <c r="B265" t="s">
        <v>345</v>
      </c>
      <c r="C265" t="s">
        <v>257</v>
      </c>
    </row>
    <row r="266" spans="1:3" x14ac:dyDescent="0.25">
      <c r="A266" s="279">
        <v>39005</v>
      </c>
      <c r="B266" t="s">
        <v>340</v>
      </c>
      <c r="C266">
        <v>3.3</v>
      </c>
    </row>
    <row r="267" spans="1:3" x14ac:dyDescent="0.25">
      <c r="A267" s="279">
        <v>39005</v>
      </c>
      <c r="B267" t="s">
        <v>341</v>
      </c>
      <c r="C267">
        <v>63</v>
      </c>
    </row>
    <row r="268" spans="1:3" x14ac:dyDescent="0.25">
      <c r="A268" s="279">
        <v>39005</v>
      </c>
      <c r="B268" t="s">
        <v>342</v>
      </c>
      <c r="C268">
        <v>44</v>
      </c>
    </row>
    <row r="269" spans="1:3" x14ac:dyDescent="0.25">
      <c r="A269" s="279">
        <v>39005</v>
      </c>
      <c r="B269" t="s">
        <v>343</v>
      </c>
      <c r="C269">
        <v>53</v>
      </c>
    </row>
    <row r="270" spans="1:3" x14ac:dyDescent="0.25">
      <c r="A270" s="279">
        <v>39005</v>
      </c>
      <c r="B270" t="s">
        <v>344</v>
      </c>
      <c r="C270" t="s">
        <v>240</v>
      </c>
    </row>
    <row r="271" spans="1:3" x14ac:dyDescent="0.25">
      <c r="A271" s="279">
        <v>39005</v>
      </c>
      <c r="B271" t="s">
        <v>345</v>
      </c>
      <c r="C271" t="s">
        <v>257</v>
      </c>
    </row>
    <row r="272" spans="1:3" x14ac:dyDescent="0.25">
      <c r="A272" s="279">
        <v>39006</v>
      </c>
      <c r="B272" t="s">
        <v>340</v>
      </c>
      <c r="C272">
        <v>2</v>
      </c>
    </row>
    <row r="273" spans="1:3" x14ac:dyDescent="0.25">
      <c r="A273" s="279">
        <v>39006</v>
      </c>
      <c r="B273" t="s">
        <v>341</v>
      </c>
      <c r="C273">
        <v>70</v>
      </c>
    </row>
    <row r="274" spans="1:3" x14ac:dyDescent="0.25">
      <c r="A274" s="279">
        <v>39006</v>
      </c>
      <c r="B274" t="s">
        <v>342</v>
      </c>
      <c r="C274">
        <v>54</v>
      </c>
    </row>
    <row r="275" spans="1:3" x14ac:dyDescent="0.25">
      <c r="A275" s="279">
        <v>39006</v>
      </c>
      <c r="B275" t="s">
        <v>343</v>
      </c>
      <c r="C275">
        <v>60</v>
      </c>
    </row>
    <row r="276" spans="1:3" x14ac:dyDescent="0.25">
      <c r="A276" s="279">
        <v>39006</v>
      </c>
      <c r="B276" t="s">
        <v>344</v>
      </c>
      <c r="C276" t="s">
        <v>237</v>
      </c>
    </row>
    <row r="277" spans="1:3" x14ac:dyDescent="0.25">
      <c r="A277" s="279">
        <v>39006</v>
      </c>
      <c r="B277" t="s">
        <v>345</v>
      </c>
      <c r="C277" t="s">
        <v>243</v>
      </c>
    </row>
    <row r="278" spans="1:3" x14ac:dyDescent="0.25">
      <c r="A278" s="279">
        <v>39007</v>
      </c>
      <c r="B278" t="s">
        <v>340</v>
      </c>
      <c r="C278">
        <v>3.6</v>
      </c>
    </row>
    <row r="279" spans="1:3" x14ac:dyDescent="0.25">
      <c r="A279" s="279">
        <v>39007</v>
      </c>
      <c r="B279" t="s">
        <v>341</v>
      </c>
      <c r="C279">
        <v>68</v>
      </c>
    </row>
    <row r="280" spans="1:3" x14ac:dyDescent="0.25">
      <c r="A280" s="279">
        <v>39007</v>
      </c>
      <c r="B280" t="s">
        <v>342</v>
      </c>
      <c r="C280">
        <v>58</v>
      </c>
    </row>
    <row r="281" spans="1:3" x14ac:dyDescent="0.25">
      <c r="A281" s="279">
        <v>39007</v>
      </c>
      <c r="B281" t="s">
        <v>343</v>
      </c>
      <c r="C281">
        <v>63</v>
      </c>
    </row>
    <row r="282" spans="1:3" x14ac:dyDescent="0.25">
      <c r="A282" s="279">
        <v>39007</v>
      </c>
      <c r="B282" t="s">
        <v>344</v>
      </c>
      <c r="C282" t="s">
        <v>249</v>
      </c>
    </row>
    <row r="283" spans="1:3" x14ac:dyDescent="0.25">
      <c r="A283" s="279">
        <v>39007</v>
      </c>
      <c r="B283" t="s">
        <v>345</v>
      </c>
      <c r="C283" t="s">
        <v>239</v>
      </c>
    </row>
    <row r="284" spans="1:3" x14ac:dyDescent="0.25">
      <c r="A284" s="279">
        <v>39008</v>
      </c>
      <c r="B284" t="s">
        <v>340</v>
      </c>
      <c r="C284">
        <v>2.7</v>
      </c>
    </row>
    <row r="285" spans="1:3" x14ac:dyDescent="0.25">
      <c r="A285" s="279">
        <v>39008</v>
      </c>
      <c r="B285" t="s">
        <v>341</v>
      </c>
      <c r="C285">
        <v>78</v>
      </c>
    </row>
    <row r="286" spans="1:3" x14ac:dyDescent="0.25">
      <c r="A286" s="279">
        <v>39008</v>
      </c>
      <c r="B286" t="s">
        <v>342</v>
      </c>
      <c r="C286">
        <v>62</v>
      </c>
    </row>
    <row r="287" spans="1:3" x14ac:dyDescent="0.25">
      <c r="A287" s="279">
        <v>39008</v>
      </c>
      <c r="B287" t="s">
        <v>343</v>
      </c>
      <c r="C287">
        <v>68</v>
      </c>
    </row>
    <row r="288" spans="1:3" x14ac:dyDescent="0.25">
      <c r="A288" s="279">
        <v>39008</v>
      </c>
      <c r="B288" t="s">
        <v>344</v>
      </c>
      <c r="C288" t="s">
        <v>242</v>
      </c>
    </row>
    <row r="289" spans="1:3" x14ac:dyDescent="0.25">
      <c r="A289" s="279">
        <v>39008</v>
      </c>
      <c r="B289" t="s">
        <v>345</v>
      </c>
      <c r="C289" t="s">
        <v>241</v>
      </c>
    </row>
    <row r="290" spans="1:3" x14ac:dyDescent="0.25">
      <c r="A290" s="279">
        <v>39009</v>
      </c>
      <c r="B290" t="s">
        <v>340</v>
      </c>
      <c r="C290">
        <v>2.7</v>
      </c>
    </row>
    <row r="291" spans="1:3" x14ac:dyDescent="0.25">
      <c r="A291" s="279">
        <v>39009</v>
      </c>
      <c r="B291" t="s">
        <v>341</v>
      </c>
      <c r="C291">
        <v>71</v>
      </c>
    </row>
    <row r="292" spans="1:3" x14ac:dyDescent="0.25">
      <c r="A292" s="279">
        <v>39009</v>
      </c>
      <c r="B292" t="s">
        <v>342</v>
      </c>
      <c r="C292">
        <v>64</v>
      </c>
    </row>
    <row r="293" spans="1:3" x14ac:dyDescent="0.25">
      <c r="A293" s="279">
        <v>39009</v>
      </c>
      <c r="B293" t="s">
        <v>343</v>
      </c>
      <c r="C293">
        <v>67</v>
      </c>
    </row>
    <row r="294" spans="1:3" x14ac:dyDescent="0.25">
      <c r="A294" s="279">
        <v>39009</v>
      </c>
      <c r="B294" t="s">
        <v>344</v>
      </c>
      <c r="C294" t="s">
        <v>252</v>
      </c>
    </row>
    <row r="295" spans="1:3" x14ac:dyDescent="0.25">
      <c r="A295" s="279">
        <v>39009</v>
      </c>
      <c r="B295" t="s">
        <v>345</v>
      </c>
      <c r="C295" t="s">
        <v>251</v>
      </c>
    </row>
    <row r="296" spans="1:3" x14ac:dyDescent="0.25">
      <c r="A296" s="279">
        <v>39010</v>
      </c>
      <c r="B296" t="s">
        <v>340</v>
      </c>
      <c r="C296">
        <v>6.8</v>
      </c>
    </row>
    <row r="297" spans="1:3" x14ac:dyDescent="0.25">
      <c r="A297" s="279">
        <v>39010</v>
      </c>
      <c r="B297" t="s">
        <v>341</v>
      </c>
      <c r="C297">
        <v>70</v>
      </c>
    </row>
    <row r="298" spans="1:3" x14ac:dyDescent="0.25">
      <c r="A298" s="279">
        <v>39010</v>
      </c>
      <c r="B298" t="s">
        <v>342</v>
      </c>
      <c r="C298">
        <v>47</v>
      </c>
    </row>
    <row r="299" spans="1:3" x14ac:dyDescent="0.25">
      <c r="A299" s="279">
        <v>39010</v>
      </c>
      <c r="B299" t="s">
        <v>343</v>
      </c>
      <c r="C299">
        <v>55</v>
      </c>
    </row>
    <row r="300" spans="1:3" x14ac:dyDescent="0.25">
      <c r="A300" s="279">
        <v>39010</v>
      </c>
      <c r="B300" t="s">
        <v>344</v>
      </c>
      <c r="C300" t="s">
        <v>240</v>
      </c>
    </row>
    <row r="301" spans="1:3" x14ac:dyDescent="0.25">
      <c r="A301" s="279">
        <v>39010</v>
      </c>
      <c r="B301" t="s">
        <v>345</v>
      </c>
      <c r="C301" t="s">
        <v>253</v>
      </c>
    </row>
    <row r="302" spans="1:3" x14ac:dyDescent="0.25">
      <c r="A302" s="279">
        <v>39011</v>
      </c>
      <c r="B302" t="s">
        <v>340</v>
      </c>
      <c r="C302">
        <v>4.0999999999999996</v>
      </c>
    </row>
    <row r="303" spans="1:3" x14ac:dyDescent="0.25">
      <c r="A303" s="279">
        <v>39011</v>
      </c>
      <c r="B303" t="s">
        <v>341</v>
      </c>
      <c r="C303">
        <v>62</v>
      </c>
    </row>
    <row r="304" spans="1:3" x14ac:dyDescent="0.25">
      <c r="A304" s="279">
        <v>39011</v>
      </c>
      <c r="B304" t="s">
        <v>342</v>
      </c>
      <c r="C304">
        <v>46</v>
      </c>
    </row>
    <row r="305" spans="1:3" x14ac:dyDescent="0.25">
      <c r="A305" s="279">
        <v>39011</v>
      </c>
      <c r="B305" t="s">
        <v>343</v>
      </c>
      <c r="C305">
        <v>54</v>
      </c>
    </row>
    <row r="306" spans="1:3" x14ac:dyDescent="0.25">
      <c r="A306" s="279">
        <v>39011</v>
      </c>
      <c r="B306" t="s">
        <v>344</v>
      </c>
      <c r="C306" t="s">
        <v>242</v>
      </c>
    </row>
    <row r="307" spans="1:3" x14ac:dyDescent="0.25">
      <c r="A307" s="279">
        <v>39011</v>
      </c>
      <c r="B307" t="s">
        <v>345</v>
      </c>
      <c r="C307" t="s">
        <v>241</v>
      </c>
    </row>
    <row r="308" spans="1:3" x14ac:dyDescent="0.25">
      <c r="A308" s="279">
        <v>39012</v>
      </c>
      <c r="B308" t="s">
        <v>340</v>
      </c>
      <c r="C308">
        <v>4.8</v>
      </c>
    </row>
    <row r="309" spans="1:3" x14ac:dyDescent="0.25">
      <c r="A309" s="279">
        <v>39012</v>
      </c>
      <c r="B309" t="s">
        <v>341</v>
      </c>
      <c r="C309">
        <v>65</v>
      </c>
    </row>
    <row r="310" spans="1:3" x14ac:dyDescent="0.25">
      <c r="A310" s="279">
        <v>39012</v>
      </c>
      <c r="B310" t="s">
        <v>342</v>
      </c>
      <c r="C310">
        <v>49</v>
      </c>
    </row>
    <row r="311" spans="1:3" x14ac:dyDescent="0.25">
      <c r="A311" s="279">
        <v>39012</v>
      </c>
      <c r="B311" t="s">
        <v>343</v>
      </c>
      <c r="C311">
        <v>57</v>
      </c>
    </row>
    <row r="312" spans="1:3" x14ac:dyDescent="0.25">
      <c r="A312" s="279">
        <v>39012</v>
      </c>
      <c r="B312" t="s">
        <v>344</v>
      </c>
      <c r="C312" t="s">
        <v>252</v>
      </c>
    </row>
    <row r="313" spans="1:3" x14ac:dyDescent="0.25">
      <c r="A313" s="279">
        <v>39012</v>
      </c>
      <c r="B313" t="s">
        <v>345</v>
      </c>
      <c r="C313" t="s">
        <v>258</v>
      </c>
    </row>
    <row r="314" spans="1:3" x14ac:dyDescent="0.25">
      <c r="A314" s="279">
        <v>39013</v>
      </c>
      <c r="B314" t="s">
        <v>340</v>
      </c>
      <c r="C314">
        <v>9.4</v>
      </c>
    </row>
    <row r="315" spans="1:3" x14ac:dyDescent="0.25">
      <c r="A315" s="279">
        <v>39013</v>
      </c>
      <c r="B315" t="s">
        <v>341</v>
      </c>
      <c r="C315">
        <v>55</v>
      </c>
    </row>
    <row r="316" spans="1:3" x14ac:dyDescent="0.25">
      <c r="A316" s="279">
        <v>39013</v>
      </c>
      <c r="B316" t="s">
        <v>342</v>
      </c>
      <c r="C316">
        <v>42</v>
      </c>
    </row>
    <row r="317" spans="1:3" x14ac:dyDescent="0.25">
      <c r="A317" s="279">
        <v>39013</v>
      </c>
      <c r="B317" t="s">
        <v>343</v>
      </c>
      <c r="C317">
        <v>48</v>
      </c>
    </row>
    <row r="318" spans="1:3" x14ac:dyDescent="0.25">
      <c r="A318" s="279">
        <v>39013</v>
      </c>
      <c r="B318" t="s">
        <v>344</v>
      </c>
      <c r="C318" t="s">
        <v>242</v>
      </c>
    </row>
    <row r="319" spans="1:3" x14ac:dyDescent="0.25">
      <c r="A319" s="279">
        <v>39013</v>
      </c>
      <c r="B319" t="s">
        <v>345</v>
      </c>
      <c r="C319" t="s">
        <v>243</v>
      </c>
    </row>
    <row r="320" spans="1:3" x14ac:dyDescent="0.25">
      <c r="A320" s="279">
        <v>39014</v>
      </c>
      <c r="B320" t="s">
        <v>340</v>
      </c>
      <c r="C320">
        <v>8.4</v>
      </c>
    </row>
    <row r="321" spans="1:3" x14ac:dyDescent="0.25">
      <c r="A321" s="279">
        <v>39014</v>
      </c>
      <c r="B321" t="s">
        <v>341</v>
      </c>
      <c r="C321">
        <v>54</v>
      </c>
    </row>
    <row r="322" spans="1:3" x14ac:dyDescent="0.25">
      <c r="A322" s="279">
        <v>39014</v>
      </c>
      <c r="B322" t="s">
        <v>342</v>
      </c>
      <c r="C322">
        <v>44</v>
      </c>
    </row>
    <row r="323" spans="1:3" x14ac:dyDescent="0.25">
      <c r="A323" s="279">
        <v>39014</v>
      </c>
      <c r="B323" t="s">
        <v>343</v>
      </c>
      <c r="C323">
        <v>48</v>
      </c>
    </row>
    <row r="324" spans="1:3" x14ac:dyDescent="0.25">
      <c r="A324" s="279">
        <v>39014</v>
      </c>
      <c r="B324" t="s">
        <v>344</v>
      </c>
      <c r="C324" t="s">
        <v>242</v>
      </c>
    </row>
    <row r="325" spans="1:3" x14ac:dyDescent="0.25">
      <c r="A325" s="279">
        <v>39014</v>
      </c>
      <c r="B325" t="s">
        <v>345</v>
      </c>
      <c r="C325" t="s">
        <v>259</v>
      </c>
    </row>
    <row r="326" spans="1:3" x14ac:dyDescent="0.25">
      <c r="A326" s="279">
        <v>39015</v>
      </c>
      <c r="B326" t="s">
        <v>340</v>
      </c>
      <c r="C326">
        <v>7.1</v>
      </c>
    </row>
    <row r="327" spans="1:3" x14ac:dyDescent="0.25">
      <c r="A327" s="279">
        <v>39015</v>
      </c>
      <c r="B327" t="s">
        <v>341</v>
      </c>
      <c r="C327">
        <v>56</v>
      </c>
    </row>
    <row r="328" spans="1:3" x14ac:dyDescent="0.25">
      <c r="A328" s="279">
        <v>39015</v>
      </c>
      <c r="B328" t="s">
        <v>342</v>
      </c>
      <c r="C328">
        <v>44</v>
      </c>
    </row>
    <row r="329" spans="1:3" x14ac:dyDescent="0.25">
      <c r="A329" s="279">
        <v>39015</v>
      </c>
      <c r="B329" t="s">
        <v>343</v>
      </c>
      <c r="C329">
        <v>50</v>
      </c>
    </row>
    <row r="330" spans="1:3" x14ac:dyDescent="0.25">
      <c r="A330" s="279">
        <v>39015</v>
      </c>
      <c r="B330" t="s">
        <v>344</v>
      </c>
      <c r="C330" t="s">
        <v>240</v>
      </c>
    </row>
    <row r="331" spans="1:3" x14ac:dyDescent="0.25">
      <c r="A331" s="279">
        <v>39015</v>
      </c>
      <c r="B331" t="s">
        <v>345</v>
      </c>
      <c r="C331" t="s">
        <v>241</v>
      </c>
    </row>
    <row r="332" spans="1:3" x14ac:dyDescent="0.25">
      <c r="A332" s="279">
        <v>39016</v>
      </c>
      <c r="B332" t="s">
        <v>340</v>
      </c>
      <c r="C332">
        <v>5</v>
      </c>
    </row>
    <row r="333" spans="1:3" x14ac:dyDescent="0.25">
      <c r="A333" s="279">
        <v>39016</v>
      </c>
      <c r="B333" t="s">
        <v>341</v>
      </c>
      <c r="C333">
        <v>53</v>
      </c>
    </row>
    <row r="334" spans="1:3" x14ac:dyDescent="0.25">
      <c r="A334" s="279">
        <v>39016</v>
      </c>
      <c r="B334" t="s">
        <v>342</v>
      </c>
      <c r="C334">
        <v>41</v>
      </c>
    </row>
    <row r="335" spans="1:3" x14ac:dyDescent="0.25">
      <c r="A335" s="279">
        <v>39016</v>
      </c>
      <c r="B335" t="s">
        <v>343</v>
      </c>
      <c r="C335">
        <v>46</v>
      </c>
    </row>
    <row r="336" spans="1:3" x14ac:dyDescent="0.25">
      <c r="A336" s="279">
        <v>39016</v>
      </c>
      <c r="B336" t="s">
        <v>344</v>
      </c>
      <c r="C336" t="s">
        <v>240</v>
      </c>
    </row>
    <row r="337" spans="1:3" x14ac:dyDescent="0.25">
      <c r="A337" s="279">
        <v>39016</v>
      </c>
      <c r="B337" t="s">
        <v>345</v>
      </c>
      <c r="C337" t="s">
        <v>259</v>
      </c>
    </row>
    <row r="338" spans="1:3" x14ac:dyDescent="0.25">
      <c r="A338" s="279">
        <v>39017</v>
      </c>
      <c r="B338" t="s">
        <v>340</v>
      </c>
      <c r="C338">
        <v>5.0999999999999996</v>
      </c>
    </row>
    <row r="339" spans="1:3" x14ac:dyDescent="0.25">
      <c r="A339" s="279">
        <v>39017</v>
      </c>
      <c r="B339" t="s">
        <v>341</v>
      </c>
      <c r="C339">
        <v>67</v>
      </c>
    </row>
    <row r="340" spans="1:3" x14ac:dyDescent="0.25">
      <c r="A340" s="279">
        <v>39017</v>
      </c>
      <c r="B340" t="s">
        <v>342</v>
      </c>
      <c r="C340">
        <v>46</v>
      </c>
    </row>
    <row r="341" spans="1:3" x14ac:dyDescent="0.25">
      <c r="A341" s="279">
        <v>39017</v>
      </c>
      <c r="B341" t="s">
        <v>343</v>
      </c>
      <c r="C341">
        <v>53</v>
      </c>
    </row>
    <row r="342" spans="1:3" x14ac:dyDescent="0.25">
      <c r="A342" s="279">
        <v>39017</v>
      </c>
      <c r="B342" t="s">
        <v>344</v>
      </c>
      <c r="C342" t="s">
        <v>249</v>
      </c>
    </row>
    <row r="343" spans="1:3" x14ac:dyDescent="0.25">
      <c r="A343" s="279">
        <v>39017</v>
      </c>
      <c r="B343" t="s">
        <v>345</v>
      </c>
      <c r="C343" t="s">
        <v>255</v>
      </c>
    </row>
    <row r="344" spans="1:3" x14ac:dyDescent="0.25">
      <c r="A344" s="279">
        <v>39018</v>
      </c>
      <c r="B344" t="s">
        <v>340</v>
      </c>
      <c r="C344">
        <v>9.4</v>
      </c>
    </row>
    <row r="345" spans="1:3" x14ac:dyDescent="0.25">
      <c r="A345" s="279">
        <v>39018</v>
      </c>
      <c r="B345" t="s">
        <v>341</v>
      </c>
      <c r="C345">
        <v>71</v>
      </c>
    </row>
    <row r="346" spans="1:3" x14ac:dyDescent="0.25">
      <c r="A346" s="279">
        <v>39018</v>
      </c>
      <c r="B346" t="s">
        <v>342</v>
      </c>
      <c r="C346">
        <v>47</v>
      </c>
    </row>
    <row r="347" spans="1:3" x14ac:dyDescent="0.25">
      <c r="A347" s="279">
        <v>39018</v>
      </c>
      <c r="B347" t="s">
        <v>343</v>
      </c>
      <c r="C347">
        <v>55</v>
      </c>
    </row>
    <row r="348" spans="1:3" x14ac:dyDescent="0.25">
      <c r="A348" s="279">
        <v>39018</v>
      </c>
      <c r="B348" t="s">
        <v>344</v>
      </c>
      <c r="C348" t="s">
        <v>245</v>
      </c>
    </row>
    <row r="349" spans="1:3" x14ac:dyDescent="0.25">
      <c r="A349" s="279">
        <v>39018</v>
      </c>
      <c r="B349" t="s">
        <v>345</v>
      </c>
      <c r="C349" t="s">
        <v>260</v>
      </c>
    </row>
    <row r="350" spans="1:3" x14ac:dyDescent="0.25">
      <c r="A350" s="279">
        <v>39019</v>
      </c>
      <c r="B350" t="s">
        <v>340</v>
      </c>
      <c r="C350">
        <v>6.5</v>
      </c>
    </row>
    <row r="351" spans="1:3" x14ac:dyDescent="0.25">
      <c r="A351" s="279">
        <v>39019</v>
      </c>
      <c r="B351" t="s">
        <v>341</v>
      </c>
      <c r="C351">
        <v>59</v>
      </c>
    </row>
    <row r="352" spans="1:3" x14ac:dyDescent="0.25">
      <c r="A352" s="279">
        <v>39019</v>
      </c>
      <c r="B352" t="s">
        <v>342</v>
      </c>
      <c r="C352">
        <v>45</v>
      </c>
    </row>
    <row r="353" spans="1:3" x14ac:dyDescent="0.25">
      <c r="A353" s="279">
        <v>39019</v>
      </c>
      <c r="B353" t="s">
        <v>343</v>
      </c>
      <c r="C353">
        <v>51</v>
      </c>
    </row>
    <row r="354" spans="1:3" x14ac:dyDescent="0.25">
      <c r="A354" s="279">
        <v>39019</v>
      </c>
      <c r="B354" t="s">
        <v>344</v>
      </c>
      <c r="C354" t="s">
        <v>242</v>
      </c>
    </row>
    <row r="355" spans="1:3" x14ac:dyDescent="0.25">
      <c r="A355" s="279">
        <v>39019</v>
      </c>
      <c r="B355" t="s">
        <v>345</v>
      </c>
      <c r="C355" t="s">
        <v>243</v>
      </c>
    </row>
    <row r="356" spans="1:3" x14ac:dyDescent="0.25">
      <c r="A356" s="279">
        <v>39020</v>
      </c>
      <c r="B356" t="s">
        <v>340</v>
      </c>
      <c r="C356">
        <v>3.9</v>
      </c>
    </row>
    <row r="357" spans="1:3" x14ac:dyDescent="0.25">
      <c r="A357" s="279">
        <v>39020</v>
      </c>
      <c r="B357" t="s">
        <v>341</v>
      </c>
      <c r="C357">
        <v>69</v>
      </c>
    </row>
    <row r="358" spans="1:3" x14ac:dyDescent="0.25">
      <c r="A358" s="279">
        <v>39020</v>
      </c>
      <c r="B358" t="s">
        <v>342</v>
      </c>
      <c r="C358">
        <v>48</v>
      </c>
    </row>
    <row r="359" spans="1:3" x14ac:dyDescent="0.25">
      <c r="A359" s="279">
        <v>39020</v>
      </c>
      <c r="B359" t="s">
        <v>343</v>
      </c>
      <c r="C359">
        <v>57</v>
      </c>
    </row>
    <row r="360" spans="1:3" x14ac:dyDescent="0.25">
      <c r="A360" s="279">
        <v>39020</v>
      </c>
      <c r="B360" t="s">
        <v>344</v>
      </c>
      <c r="C360" t="s">
        <v>245</v>
      </c>
    </row>
    <row r="361" spans="1:3" x14ac:dyDescent="0.25">
      <c r="A361" s="279">
        <v>39020</v>
      </c>
      <c r="B361" t="s">
        <v>345</v>
      </c>
      <c r="C361" t="s">
        <v>243</v>
      </c>
    </row>
    <row r="362" spans="1:3" x14ac:dyDescent="0.25">
      <c r="A362" s="279">
        <v>39021</v>
      </c>
      <c r="B362" t="s">
        <v>340</v>
      </c>
      <c r="C362">
        <v>3.5</v>
      </c>
    </row>
    <row r="363" spans="1:3" x14ac:dyDescent="0.25">
      <c r="A363" s="279">
        <v>39021</v>
      </c>
      <c r="B363" t="s">
        <v>341</v>
      </c>
      <c r="C363">
        <v>75</v>
      </c>
    </row>
    <row r="364" spans="1:3" x14ac:dyDescent="0.25">
      <c r="A364" s="279">
        <v>39021</v>
      </c>
      <c r="B364" t="s">
        <v>342</v>
      </c>
      <c r="C364">
        <v>59</v>
      </c>
    </row>
    <row r="365" spans="1:3" x14ac:dyDescent="0.25">
      <c r="A365" s="279">
        <v>39021</v>
      </c>
      <c r="B365" t="s">
        <v>343</v>
      </c>
      <c r="C365">
        <v>65</v>
      </c>
    </row>
    <row r="366" spans="1:3" x14ac:dyDescent="0.25">
      <c r="A366" s="279">
        <v>39021</v>
      </c>
      <c r="B366" t="s">
        <v>344</v>
      </c>
      <c r="C366" t="s">
        <v>245</v>
      </c>
    </row>
    <row r="367" spans="1:3" x14ac:dyDescent="0.25">
      <c r="A367" s="279">
        <v>39021</v>
      </c>
      <c r="B367" t="s">
        <v>345</v>
      </c>
      <c r="C367" t="s">
        <v>261</v>
      </c>
    </row>
    <row r="368" spans="1:3" x14ac:dyDescent="0.25">
      <c r="A368" s="279">
        <v>39022</v>
      </c>
      <c r="B368" t="s">
        <v>340</v>
      </c>
      <c r="C368">
        <v>4.4000000000000004</v>
      </c>
    </row>
    <row r="369" spans="1:3" x14ac:dyDescent="0.25">
      <c r="A369" s="279">
        <v>39022</v>
      </c>
      <c r="B369" t="s">
        <v>341</v>
      </c>
      <c r="C369">
        <v>77</v>
      </c>
    </row>
    <row r="370" spans="1:3" x14ac:dyDescent="0.25">
      <c r="A370" s="279">
        <v>39022</v>
      </c>
      <c r="B370" t="s">
        <v>342</v>
      </c>
      <c r="C370">
        <v>48</v>
      </c>
    </row>
    <row r="371" spans="1:3" x14ac:dyDescent="0.25">
      <c r="A371" s="279">
        <v>39022</v>
      </c>
      <c r="B371" t="s">
        <v>343</v>
      </c>
      <c r="C371">
        <v>63</v>
      </c>
    </row>
    <row r="372" spans="1:3" x14ac:dyDescent="0.25">
      <c r="A372" s="279">
        <v>39022</v>
      </c>
      <c r="B372" t="s">
        <v>344</v>
      </c>
      <c r="C372" t="s">
        <v>242</v>
      </c>
    </row>
    <row r="373" spans="1:3" x14ac:dyDescent="0.25">
      <c r="A373" s="279">
        <v>39022</v>
      </c>
      <c r="B373" t="s">
        <v>345</v>
      </c>
      <c r="C373" t="s">
        <v>241</v>
      </c>
    </row>
    <row r="374" spans="1:3" x14ac:dyDescent="0.25">
      <c r="A374" s="279">
        <v>39023</v>
      </c>
      <c r="B374" t="s">
        <v>340</v>
      </c>
      <c r="C374">
        <v>7.5</v>
      </c>
    </row>
    <row r="375" spans="1:3" x14ac:dyDescent="0.25">
      <c r="A375" s="279">
        <v>39023</v>
      </c>
      <c r="B375" t="s">
        <v>341</v>
      </c>
      <c r="C375">
        <v>58</v>
      </c>
    </row>
    <row r="376" spans="1:3" x14ac:dyDescent="0.25">
      <c r="A376" s="279">
        <v>39023</v>
      </c>
      <c r="B376" t="s">
        <v>342</v>
      </c>
      <c r="C376">
        <v>38</v>
      </c>
    </row>
    <row r="377" spans="1:3" x14ac:dyDescent="0.25">
      <c r="A377" s="279">
        <v>39023</v>
      </c>
      <c r="B377" t="s">
        <v>343</v>
      </c>
      <c r="C377">
        <v>48</v>
      </c>
    </row>
    <row r="378" spans="1:3" x14ac:dyDescent="0.25">
      <c r="A378" s="279">
        <v>39023</v>
      </c>
      <c r="B378" t="s">
        <v>344</v>
      </c>
      <c r="C378" t="s">
        <v>240</v>
      </c>
    </row>
    <row r="379" spans="1:3" x14ac:dyDescent="0.25">
      <c r="A379" s="279">
        <v>39023</v>
      </c>
      <c r="B379" t="s">
        <v>345</v>
      </c>
      <c r="C379" t="s">
        <v>241</v>
      </c>
    </row>
    <row r="380" spans="1:3" x14ac:dyDescent="0.25">
      <c r="A380" s="279">
        <v>39024</v>
      </c>
      <c r="B380" t="s">
        <v>340</v>
      </c>
      <c r="C380">
        <v>6.2</v>
      </c>
    </row>
    <row r="381" spans="1:3" x14ac:dyDescent="0.25">
      <c r="A381" s="279">
        <v>39024</v>
      </c>
      <c r="B381" t="s">
        <v>341</v>
      </c>
      <c r="C381">
        <v>50</v>
      </c>
    </row>
    <row r="382" spans="1:3" x14ac:dyDescent="0.25">
      <c r="A382" s="279">
        <v>39024</v>
      </c>
      <c r="B382" t="s">
        <v>342</v>
      </c>
      <c r="C382">
        <v>36</v>
      </c>
    </row>
    <row r="383" spans="1:3" x14ac:dyDescent="0.25">
      <c r="A383" s="279">
        <v>39024</v>
      </c>
      <c r="B383" t="s">
        <v>343</v>
      </c>
      <c r="C383">
        <v>42</v>
      </c>
    </row>
    <row r="384" spans="1:3" x14ac:dyDescent="0.25">
      <c r="A384" s="279">
        <v>39024</v>
      </c>
      <c r="B384" t="s">
        <v>344</v>
      </c>
      <c r="C384" t="s">
        <v>240</v>
      </c>
    </row>
    <row r="385" spans="1:3" x14ac:dyDescent="0.25">
      <c r="A385" s="279">
        <v>39024</v>
      </c>
      <c r="B385" t="s">
        <v>345</v>
      </c>
      <c r="C385" t="s">
        <v>241</v>
      </c>
    </row>
    <row r="386" spans="1:3" x14ac:dyDescent="0.25">
      <c r="A386" s="279">
        <v>39025</v>
      </c>
      <c r="B386" t="s">
        <v>340</v>
      </c>
      <c r="C386">
        <v>2.5</v>
      </c>
    </row>
    <row r="387" spans="1:3" x14ac:dyDescent="0.25">
      <c r="A387" s="279">
        <v>39025</v>
      </c>
      <c r="B387" t="s">
        <v>341</v>
      </c>
      <c r="C387">
        <v>52</v>
      </c>
    </row>
    <row r="388" spans="1:3" x14ac:dyDescent="0.25">
      <c r="A388" s="279">
        <v>39025</v>
      </c>
      <c r="B388" t="s">
        <v>342</v>
      </c>
      <c r="C388">
        <v>39</v>
      </c>
    </row>
    <row r="389" spans="1:3" x14ac:dyDescent="0.25">
      <c r="A389" s="279">
        <v>39025</v>
      </c>
      <c r="B389" t="s">
        <v>343</v>
      </c>
      <c r="C389">
        <v>44</v>
      </c>
    </row>
    <row r="390" spans="1:3" x14ac:dyDescent="0.25">
      <c r="A390" s="279">
        <v>39025</v>
      </c>
      <c r="B390" t="s">
        <v>344</v>
      </c>
      <c r="C390" t="s">
        <v>262</v>
      </c>
    </row>
    <row r="391" spans="1:3" x14ac:dyDescent="0.25">
      <c r="A391" s="279">
        <v>39025</v>
      </c>
      <c r="B391" t="s">
        <v>345</v>
      </c>
      <c r="C391" t="s">
        <v>243</v>
      </c>
    </row>
    <row r="392" spans="1:3" x14ac:dyDescent="0.25">
      <c r="A392" s="279">
        <v>39026</v>
      </c>
      <c r="B392" t="s">
        <v>340</v>
      </c>
      <c r="C392">
        <v>1</v>
      </c>
    </row>
    <row r="393" spans="1:3" x14ac:dyDescent="0.25">
      <c r="A393" s="279">
        <v>39026</v>
      </c>
      <c r="B393" t="s">
        <v>341</v>
      </c>
      <c r="C393">
        <v>57</v>
      </c>
    </row>
    <row r="394" spans="1:3" x14ac:dyDescent="0.25">
      <c r="A394" s="279">
        <v>39026</v>
      </c>
      <c r="B394" t="s">
        <v>342</v>
      </c>
      <c r="C394">
        <v>38</v>
      </c>
    </row>
    <row r="395" spans="1:3" x14ac:dyDescent="0.25">
      <c r="A395" s="279">
        <v>39026</v>
      </c>
      <c r="B395" t="s">
        <v>343</v>
      </c>
      <c r="C395">
        <v>46</v>
      </c>
    </row>
    <row r="396" spans="1:3" x14ac:dyDescent="0.25">
      <c r="A396" s="279">
        <v>39026</v>
      </c>
      <c r="B396" t="s">
        <v>344</v>
      </c>
      <c r="C396" t="s">
        <v>245</v>
      </c>
    </row>
    <row r="397" spans="1:3" x14ac:dyDescent="0.25">
      <c r="A397" s="279">
        <v>39026</v>
      </c>
      <c r="B397" t="s">
        <v>345</v>
      </c>
      <c r="C397" t="s">
        <v>243</v>
      </c>
    </row>
    <row r="398" spans="1:3" x14ac:dyDescent="0.25">
      <c r="A398" s="279">
        <v>39027</v>
      </c>
      <c r="B398" t="s">
        <v>340</v>
      </c>
      <c r="C398">
        <v>2.1</v>
      </c>
    </row>
    <row r="399" spans="1:3" x14ac:dyDescent="0.25">
      <c r="A399" s="279">
        <v>39027</v>
      </c>
      <c r="B399" t="s">
        <v>341</v>
      </c>
      <c r="C399">
        <v>62</v>
      </c>
    </row>
    <row r="400" spans="1:3" x14ac:dyDescent="0.25">
      <c r="A400" s="279">
        <v>39027</v>
      </c>
      <c r="B400" t="s">
        <v>342</v>
      </c>
      <c r="C400">
        <v>44</v>
      </c>
    </row>
    <row r="401" spans="1:3" x14ac:dyDescent="0.25">
      <c r="A401" s="279">
        <v>39027</v>
      </c>
      <c r="B401" t="s">
        <v>343</v>
      </c>
      <c r="C401">
        <v>52</v>
      </c>
    </row>
    <row r="402" spans="1:3" x14ac:dyDescent="0.25">
      <c r="A402" s="279">
        <v>39027</v>
      </c>
      <c r="B402" t="s">
        <v>344</v>
      </c>
      <c r="C402" t="s">
        <v>247</v>
      </c>
    </row>
    <row r="403" spans="1:3" x14ac:dyDescent="0.25">
      <c r="A403" s="279">
        <v>39027</v>
      </c>
      <c r="B403" t="s">
        <v>345</v>
      </c>
      <c r="C403" t="s">
        <v>241</v>
      </c>
    </row>
    <row r="404" spans="1:3" x14ac:dyDescent="0.25">
      <c r="A404" s="279">
        <v>39028</v>
      </c>
      <c r="B404" t="s">
        <v>340</v>
      </c>
      <c r="C404">
        <v>2.8</v>
      </c>
    </row>
    <row r="405" spans="1:3" x14ac:dyDescent="0.25">
      <c r="A405" s="279">
        <v>39028</v>
      </c>
      <c r="B405" t="s">
        <v>341</v>
      </c>
      <c r="C405">
        <v>65</v>
      </c>
    </row>
    <row r="406" spans="1:3" x14ac:dyDescent="0.25">
      <c r="A406" s="279">
        <v>39028</v>
      </c>
      <c r="B406" t="s">
        <v>342</v>
      </c>
      <c r="C406">
        <v>58</v>
      </c>
    </row>
    <row r="407" spans="1:3" x14ac:dyDescent="0.25">
      <c r="A407" s="279">
        <v>39028</v>
      </c>
      <c r="B407" t="s">
        <v>343</v>
      </c>
      <c r="C407">
        <v>60</v>
      </c>
    </row>
    <row r="408" spans="1:3" x14ac:dyDescent="0.25">
      <c r="A408" s="279">
        <v>39028</v>
      </c>
      <c r="B408" t="s">
        <v>344</v>
      </c>
      <c r="C408" t="s">
        <v>237</v>
      </c>
    </row>
    <row r="409" spans="1:3" x14ac:dyDescent="0.25">
      <c r="A409" s="279">
        <v>39028</v>
      </c>
      <c r="B409" t="s">
        <v>345</v>
      </c>
      <c r="C409" t="s">
        <v>261</v>
      </c>
    </row>
    <row r="410" spans="1:3" x14ac:dyDescent="0.25">
      <c r="A410" s="279">
        <v>39029</v>
      </c>
      <c r="B410" t="s">
        <v>340</v>
      </c>
      <c r="C410">
        <v>5.6</v>
      </c>
    </row>
    <row r="411" spans="1:3" x14ac:dyDescent="0.25">
      <c r="A411" s="279">
        <v>39029</v>
      </c>
      <c r="B411" t="s">
        <v>341</v>
      </c>
      <c r="C411">
        <v>66</v>
      </c>
    </row>
    <row r="412" spans="1:3" x14ac:dyDescent="0.25">
      <c r="A412" s="279">
        <v>39029</v>
      </c>
      <c r="B412" t="s">
        <v>342</v>
      </c>
      <c r="C412">
        <v>58</v>
      </c>
    </row>
    <row r="413" spans="1:3" x14ac:dyDescent="0.25">
      <c r="A413" s="279">
        <v>39029</v>
      </c>
      <c r="B413" t="s">
        <v>343</v>
      </c>
      <c r="C413">
        <v>60</v>
      </c>
    </row>
    <row r="414" spans="1:3" x14ac:dyDescent="0.25">
      <c r="A414" s="279">
        <v>39029</v>
      </c>
      <c r="B414" t="s">
        <v>344</v>
      </c>
      <c r="C414" t="s">
        <v>246</v>
      </c>
    </row>
    <row r="415" spans="1:3" x14ac:dyDescent="0.25">
      <c r="A415" s="279">
        <v>39029</v>
      </c>
      <c r="B415" t="s">
        <v>345</v>
      </c>
      <c r="C415" t="s">
        <v>239</v>
      </c>
    </row>
    <row r="416" spans="1:3" x14ac:dyDescent="0.25">
      <c r="A416" s="279">
        <v>39030</v>
      </c>
      <c r="B416" t="s">
        <v>340</v>
      </c>
      <c r="C416">
        <v>4</v>
      </c>
    </row>
    <row r="417" spans="1:3" x14ac:dyDescent="0.25">
      <c r="A417" s="279">
        <v>39030</v>
      </c>
      <c r="B417" t="s">
        <v>341</v>
      </c>
      <c r="C417">
        <v>73</v>
      </c>
    </row>
    <row r="418" spans="1:3" x14ac:dyDescent="0.25">
      <c r="A418" s="279">
        <v>39030</v>
      </c>
      <c r="B418" t="s">
        <v>342</v>
      </c>
      <c r="C418">
        <v>55</v>
      </c>
    </row>
    <row r="419" spans="1:3" x14ac:dyDescent="0.25">
      <c r="A419" s="279">
        <v>39030</v>
      </c>
      <c r="B419" t="s">
        <v>343</v>
      </c>
      <c r="C419">
        <v>63</v>
      </c>
    </row>
    <row r="420" spans="1:3" x14ac:dyDescent="0.25">
      <c r="A420" s="279">
        <v>39030</v>
      </c>
      <c r="B420" t="s">
        <v>344</v>
      </c>
      <c r="C420" t="s">
        <v>240</v>
      </c>
    </row>
    <row r="421" spans="1:3" x14ac:dyDescent="0.25">
      <c r="A421" s="279">
        <v>39030</v>
      </c>
      <c r="B421" t="s">
        <v>345</v>
      </c>
      <c r="C421" t="s">
        <v>241</v>
      </c>
    </row>
    <row r="422" spans="1:3" x14ac:dyDescent="0.25">
      <c r="A422" s="279">
        <v>39031</v>
      </c>
      <c r="B422" t="s">
        <v>340</v>
      </c>
      <c r="C422">
        <v>2.2999999999999998</v>
      </c>
    </row>
    <row r="423" spans="1:3" x14ac:dyDescent="0.25">
      <c r="A423" s="279">
        <v>39031</v>
      </c>
      <c r="B423" t="s">
        <v>341</v>
      </c>
      <c r="C423">
        <v>71</v>
      </c>
    </row>
    <row r="424" spans="1:3" x14ac:dyDescent="0.25">
      <c r="A424" s="279">
        <v>39031</v>
      </c>
      <c r="B424" t="s">
        <v>342</v>
      </c>
      <c r="C424">
        <v>50</v>
      </c>
    </row>
    <row r="425" spans="1:3" x14ac:dyDescent="0.25">
      <c r="A425" s="279">
        <v>39031</v>
      </c>
      <c r="B425" t="s">
        <v>343</v>
      </c>
      <c r="C425">
        <v>59</v>
      </c>
    </row>
    <row r="426" spans="1:3" x14ac:dyDescent="0.25">
      <c r="A426" s="279">
        <v>39031</v>
      </c>
      <c r="B426" t="s">
        <v>344</v>
      </c>
      <c r="C426" t="s">
        <v>240</v>
      </c>
    </row>
    <row r="427" spans="1:3" x14ac:dyDescent="0.25">
      <c r="A427" s="279">
        <v>39031</v>
      </c>
      <c r="B427" t="s">
        <v>345</v>
      </c>
      <c r="C427" t="s">
        <v>243</v>
      </c>
    </row>
    <row r="428" spans="1:3" x14ac:dyDescent="0.25">
      <c r="A428" s="279">
        <v>39032</v>
      </c>
      <c r="B428" t="s">
        <v>340</v>
      </c>
      <c r="C428">
        <v>4.0999999999999996</v>
      </c>
    </row>
    <row r="429" spans="1:3" x14ac:dyDescent="0.25">
      <c r="A429" s="279">
        <v>39032</v>
      </c>
      <c r="B429" t="s">
        <v>341</v>
      </c>
      <c r="C429">
        <v>79</v>
      </c>
    </row>
    <row r="430" spans="1:3" x14ac:dyDescent="0.25">
      <c r="A430" s="279">
        <v>39032</v>
      </c>
      <c r="B430" t="s">
        <v>342</v>
      </c>
      <c r="C430">
        <v>59</v>
      </c>
    </row>
    <row r="431" spans="1:3" x14ac:dyDescent="0.25">
      <c r="A431" s="279">
        <v>39032</v>
      </c>
      <c r="B431" t="s">
        <v>343</v>
      </c>
      <c r="C431">
        <v>67</v>
      </c>
    </row>
    <row r="432" spans="1:3" x14ac:dyDescent="0.25">
      <c r="A432" s="279">
        <v>39032</v>
      </c>
      <c r="B432" t="s">
        <v>344</v>
      </c>
      <c r="C432" t="s">
        <v>247</v>
      </c>
    </row>
    <row r="433" spans="1:3" x14ac:dyDescent="0.25">
      <c r="A433" s="279">
        <v>39032</v>
      </c>
      <c r="B433" t="s">
        <v>345</v>
      </c>
      <c r="C433" t="s">
        <v>243</v>
      </c>
    </row>
    <row r="434" spans="1:3" x14ac:dyDescent="0.25">
      <c r="A434" s="279">
        <v>39033</v>
      </c>
      <c r="B434" t="s">
        <v>340</v>
      </c>
      <c r="C434">
        <v>10.5</v>
      </c>
    </row>
    <row r="435" spans="1:3" x14ac:dyDescent="0.25">
      <c r="A435" s="279">
        <v>39033</v>
      </c>
      <c r="B435" t="s">
        <v>341</v>
      </c>
      <c r="C435">
        <v>65</v>
      </c>
    </row>
    <row r="436" spans="1:3" x14ac:dyDescent="0.25">
      <c r="A436" s="279">
        <v>39033</v>
      </c>
      <c r="B436" t="s">
        <v>342</v>
      </c>
      <c r="C436">
        <v>53</v>
      </c>
    </row>
    <row r="437" spans="1:3" x14ac:dyDescent="0.25">
      <c r="A437" s="279">
        <v>39033</v>
      </c>
      <c r="B437" t="s">
        <v>343</v>
      </c>
      <c r="C437">
        <v>59</v>
      </c>
    </row>
    <row r="438" spans="1:3" x14ac:dyDescent="0.25">
      <c r="A438" s="279">
        <v>39033</v>
      </c>
      <c r="B438" t="s">
        <v>344</v>
      </c>
      <c r="C438" t="s">
        <v>250</v>
      </c>
    </row>
    <row r="439" spans="1:3" x14ac:dyDescent="0.25">
      <c r="A439" s="279">
        <v>39033</v>
      </c>
      <c r="B439" t="s">
        <v>345</v>
      </c>
      <c r="C439" t="s">
        <v>239</v>
      </c>
    </row>
    <row r="440" spans="1:3" x14ac:dyDescent="0.25">
      <c r="A440" s="279">
        <v>39034</v>
      </c>
      <c r="B440" t="s">
        <v>340</v>
      </c>
      <c r="C440">
        <v>7.4</v>
      </c>
    </row>
    <row r="441" spans="1:3" x14ac:dyDescent="0.25">
      <c r="A441" s="279">
        <v>39034</v>
      </c>
      <c r="B441" t="s">
        <v>341</v>
      </c>
      <c r="C441">
        <v>63</v>
      </c>
    </row>
    <row r="442" spans="1:3" x14ac:dyDescent="0.25">
      <c r="A442" s="279">
        <v>39034</v>
      </c>
      <c r="B442" t="s">
        <v>342</v>
      </c>
      <c r="C442">
        <v>59</v>
      </c>
    </row>
    <row r="443" spans="1:3" x14ac:dyDescent="0.25">
      <c r="A443" s="279">
        <v>39034</v>
      </c>
      <c r="B443" t="s">
        <v>343</v>
      </c>
      <c r="C443">
        <v>61</v>
      </c>
    </row>
    <row r="444" spans="1:3" x14ac:dyDescent="0.25">
      <c r="A444" s="279">
        <v>39034</v>
      </c>
      <c r="B444" t="s">
        <v>344</v>
      </c>
      <c r="C444" t="s">
        <v>250</v>
      </c>
    </row>
    <row r="445" spans="1:3" x14ac:dyDescent="0.25">
      <c r="A445" s="279">
        <v>39034</v>
      </c>
      <c r="B445" t="s">
        <v>345</v>
      </c>
      <c r="C445" t="s">
        <v>239</v>
      </c>
    </row>
    <row r="446" spans="1:3" x14ac:dyDescent="0.25">
      <c r="A446" s="279">
        <v>39035</v>
      </c>
      <c r="B446" t="s">
        <v>340</v>
      </c>
      <c r="C446">
        <v>2.2999999999999998</v>
      </c>
    </row>
    <row r="447" spans="1:3" x14ac:dyDescent="0.25">
      <c r="A447" s="279">
        <v>39035</v>
      </c>
      <c r="B447" t="s">
        <v>341</v>
      </c>
      <c r="C447">
        <v>64</v>
      </c>
    </row>
    <row r="448" spans="1:3" x14ac:dyDescent="0.25">
      <c r="A448" s="279">
        <v>39035</v>
      </c>
      <c r="B448" t="s">
        <v>342</v>
      </c>
      <c r="C448">
        <v>58</v>
      </c>
    </row>
    <row r="449" spans="1:3" x14ac:dyDescent="0.25">
      <c r="A449" s="279">
        <v>39035</v>
      </c>
      <c r="B449" t="s">
        <v>343</v>
      </c>
      <c r="C449">
        <v>60</v>
      </c>
    </row>
    <row r="450" spans="1:3" x14ac:dyDescent="0.25">
      <c r="A450" s="279">
        <v>39035</v>
      </c>
      <c r="B450" t="s">
        <v>344</v>
      </c>
      <c r="C450" t="s">
        <v>245</v>
      </c>
    </row>
    <row r="451" spans="1:3" x14ac:dyDescent="0.25">
      <c r="A451" s="279">
        <v>39035</v>
      </c>
      <c r="B451" t="s">
        <v>345</v>
      </c>
      <c r="C451" t="s">
        <v>251</v>
      </c>
    </row>
    <row r="452" spans="1:3" x14ac:dyDescent="0.25">
      <c r="A452" s="279">
        <v>39036</v>
      </c>
      <c r="B452" t="s">
        <v>340</v>
      </c>
      <c r="C452">
        <v>2.4</v>
      </c>
    </row>
    <row r="453" spans="1:3" x14ac:dyDescent="0.25">
      <c r="A453" s="279">
        <v>39036</v>
      </c>
      <c r="B453" t="s">
        <v>341</v>
      </c>
      <c r="C453">
        <v>75</v>
      </c>
    </row>
    <row r="454" spans="1:3" x14ac:dyDescent="0.25">
      <c r="A454" s="279">
        <v>39036</v>
      </c>
      <c r="B454" t="s">
        <v>342</v>
      </c>
      <c r="C454">
        <v>58</v>
      </c>
    </row>
    <row r="455" spans="1:3" x14ac:dyDescent="0.25">
      <c r="A455" s="279">
        <v>39036</v>
      </c>
      <c r="B455" t="s">
        <v>343</v>
      </c>
      <c r="C455">
        <v>65</v>
      </c>
    </row>
    <row r="456" spans="1:3" x14ac:dyDescent="0.25">
      <c r="A456" s="279">
        <v>39036</v>
      </c>
      <c r="B456" t="s">
        <v>344</v>
      </c>
      <c r="C456" t="s">
        <v>237</v>
      </c>
    </row>
    <row r="457" spans="1:3" x14ac:dyDescent="0.25">
      <c r="A457" s="279">
        <v>39036</v>
      </c>
      <c r="B457" t="s">
        <v>345</v>
      </c>
      <c r="C457" t="s">
        <v>256</v>
      </c>
    </row>
    <row r="458" spans="1:3" x14ac:dyDescent="0.25">
      <c r="A458" s="279">
        <v>39037</v>
      </c>
      <c r="B458" t="s">
        <v>340</v>
      </c>
      <c r="C458">
        <v>9.1</v>
      </c>
    </row>
    <row r="459" spans="1:3" x14ac:dyDescent="0.25">
      <c r="A459" s="279">
        <v>39037</v>
      </c>
      <c r="B459" t="s">
        <v>341</v>
      </c>
      <c r="C459">
        <v>74</v>
      </c>
    </row>
    <row r="460" spans="1:3" x14ac:dyDescent="0.25">
      <c r="A460" s="279">
        <v>39037</v>
      </c>
      <c r="B460" t="s">
        <v>342</v>
      </c>
      <c r="C460">
        <v>56</v>
      </c>
    </row>
    <row r="461" spans="1:3" x14ac:dyDescent="0.25">
      <c r="A461" s="279">
        <v>39037</v>
      </c>
      <c r="B461" t="s">
        <v>343</v>
      </c>
      <c r="C461">
        <v>67</v>
      </c>
    </row>
    <row r="462" spans="1:3" x14ac:dyDescent="0.25">
      <c r="A462" s="279">
        <v>39037</v>
      </c>
      <c r="B462" t="s">
        <v>344</v>
      </c>
      <c r="C462" t="s">
        <v>249</v>
      </c>
    </row>
    <row r="463" spans="1:3" x14ac:dyDescent="0.25">
      <c r="A463" s="279">
        <v>39037</v>
      </c>
      <c r="B463" t="s">
        <v>345</v>
      </c>
      <c r="C463" t="s">
        <v>263</v>
      </c>
    </row>
    <row r="464" spans="1:3" x14ac:dyDescent="0.25">
      <c r="A464" s="279">
        <v>39038</v>
      </c>
      <c r="B464" t="s">
        <v>340</v>
      </c>
      <c r="C464">
        <v>7.5</v>
      </c>
    </row>
    <row r="465" spans="1:3" x14ac:dyDescent="0.25">
      <c r="A465" s="279">
        <v>39038</v>
      </c>
      <c r="B465" t="s">
        <v>341</v>
      </c>
      <c r="C465">
        <v>66</v>
      </c>
    </row>
    <row r="466" spans="1:3" x14ac:dyDescent="0.25">
      <c r="A466" s="279">
        <v>39038</v>
      </c>
      <c r="B466" t="s">
        <v>342</v>
      </c>
      <c r="C466">
        <v>44</v>
      </c>
    </row>
    <row r="467" spans="1:3" x14ac:dyDescent="0.25">
      <c r="A467" s="279">
        <v>39038</v>
      </c>
      <c r="B467" t="s">
        <v>343</v>
      </c>
      <c r="C467">
        <v>53</v>
      </c>
    </row>
    <row r="468" spans="1:3" x14ac:dyDescent="0.25">
      <c r="A468" s="279">
        <v>39038</v>
      </c>
      <c r="B468" t="s">
        <v>344</v>
      </c>
      <c r="C468" t="s">
        <v>240</v>
      </c>
    </row>
    <row r="469" spans="1:3" x14ac:dyDescent="0.25">
      <c r="A469" s="279">
        <v>39038</v>
      </c>
      <c r="B469" t="s">
        <v>345</v>
      </c>
      <c r="C469" t="s">
        <v>251</v>
      </c>
    </row>
    <row r="470" spans="1:3" x14ac:dyDescent="0.25">
      <c r="A470" s="279">
        <v>39039</v>
      </c>
      <c r="B470" t="s">
        <v>340</v>
      </c>
      <c r="C470">
        <v>5.3</v>
      </c>
    </row>
    <row r="471" spans="1:3" x14ac:dyDescent="0.25">
      <c r="A471" s="279">
        <v>39039</v>
      </c>
      <c r="B471" t="s">
        <v>341</v>
      </c>
      <c r="C471">
        <v>54</v>
      </c>
    </row>
    <row r="472" spans="1:3" x14ac:dyDescent="0.25">
      <c r="A472" s="279">
        <v>39039</v>
      </c>
      <c r="B472" t="s">
        <v>342</v>
      </c>
      <c r="C472">
        <v>44</v>
      </c>
    </row>
    <row r="473" spans="1:3" x14ac:dyDescent="0.25">
      <c r="A473" s="279">
        <v>39039</v>
      </c>
      <c r="B473" t="s">
        <v>343</v>
      </c>
      <c r="C473">
        <v>48</v>
      </c>
    </row>
    <row r="474" spans="1:3" x14ac:dyDescent="0.25">
      <c r="A474" s="279">
        <v>39039</v>
      </c>
      <c r="B474" t="s">
        <v>344</v>
      </c>
      <c r="C474" t="s">
        <v>240</v>
      </c>
    </row>
    <row r="475" spans="1:3" x14ac:dyDescent="0.25">
      <c r="A475" s="279">
        <v>39039</v>
      </c>
      <c r="B475" t="s">
        <v>345</v>
      </c>
      <c r="C475" t="s">
        <v>251</v>
      </c>
    </row>
    <row r="476" spans="1:3" x14ac:dyDescent="0.25">
      <c r="A476" s="279">
        <v>39040</v>
      </c>
      <c r="B476" t="s">
        <v>340</v>
      </c>
      <c r="C476">
        <v>5.3</v>
      </c>
    </row>
    <row r="477" spans="1:3" x14ac:dyDescent="0.25">
      <c r="A477" s="279">
        <v>39040</v>
      </c>
      <c r="B477" t="s">
        <v>341</v>
      </c>
      <c r="C477">
        <v>51</v>
      </c>
    </row>
    <row r="478" spans="1:3" x14ac:dyDescent="0.25">
      <c r="A478" s="279">
        <v>39040</v>
      </c>
      <c r="B478" t="s">
        <v>342</v>
      </c>
      <c r="C478">
        <v>43</v>
      </c>
    </row>
    <row r="479" spans="1:3" x14ac:dyDescent="0.25">
      <c r="A479" s="279">
        <v>39040</v>
      </c>
      <c r="B479" t="s">
        <v>343</v>
      </c>
      <c r="C479">
        <v>47</v>
      </c>
    </row>
    <row r="480" spans="1:3" x14ac:dyDescent="0.25">
      <c r="A480" s="279">
        <v>39040</v>
      </c>
      <c r="B480" t="s">
        <v>344</v>
      </c>
      <c r="C480" t="s">
        <v>240</v>
      </c>
    </row>
    <row r="481" spans="1:3" x14ac:dyDescent="0.25">
      <c r="A481" s="279">
        <v>39040</v>
      </c>
      <c r="B481" t="s">
        <v>345</v>
      </c>
      <c r="C481" t="s">
        <v>251</v>
      </c>
    </row>
    <row r="482" spans="1:3" x14ac:dyDescent="0.25">
      <c r="A482" s="279">
        <v>39041</v>
      </c>
      <c r="B482" t="s">
        <v>340</v>
      </c>
      <c r="C482">
        <v>7.1</v>
      </c>
    </row>
    <row r="483" spans="1:3" x14ac:dyDescent="0.25">
      <c r="A483" s="279">
        <v>39041</v>
      </c>
      <c r="B483" t="s">
        <v>341</v>
      </c>
      <c r="C483">
        <v>47</v>
      </c>
    </row>
    <row r="484" spans="1:3" x14ac:dyDescent="0.25">
      <c r="A484" s="279">
        <v>39041</v>
      </c>
      <c r="B484" t="s">
        <v>342</v>
      </c>
      <c r="C484">
        <v>39</v>
      </c>
    </row>
    <row r="485" spans="1:3" x14ac:dyDescent="0.25">
      <c r="A485" s="279">
        <v>39041</v>
      </c>
      <c r="B485" t="s">
        <v>343</v>
      </c>
      <c r="C485">
        <v>42</v>
      </c>
    </row>
    <row r="486" spans="1:3" x14ac:dyDescent="0.25">
      <c r="A486" s="279">
        <v>39041</v>
      </c>
      <c r="B486" t="s">
        <v>344</v>
      </c>
      <c r="C486" t="s">
        <v>240</v>
      </c>
    </row>
    <row r="487" spans="1:3" x14ac:dyDescent="0.25">
      <c r="A487" s="279">
        <v>39041</v>
      </c>
      <c r="B487" t="s">
        <v>345</v>
      </c>
      <c r="C487" t="s">
        <v>251</v>
      </c>
    </row>
    <row r="488" spans="1:3" x14ac:dyDescent="0.25">
      <c r="A488" s="279">
        <v>39042</v>
      </c>
      <c r="B488" t="s">
        <v>340</v>
      </c>
      <c r="C488">
        <v>8.6</v>
      </c>
    </row>
    <row r="489" spans="1:3" x14ac:dyDescent="0.25">
      <c r="A489" s="279">
        <v>39042</v>
      </c>
      <c r="B489" t="s">
        <v>341</v>
      </c>
      <c r="C489">
        <v>52</v>
      </c>
    </row>
    <row r="490" spans="1:3" x14ac:dyDescent="0.25">
      <c r="A490" s="279">
        <v>39042</v>
      </c>
      <c r="B490" t="s">
        <v>342</v>
      </c>
      <c r="C490">
        <v>43</v>
      </c>
    </row>
    <row r="491" spans="1:3" x14ac:dyDescent="0.25">
      <c r="A491" s="279">
        <v>39042</v>
      </c>
      <c r="B491" t="s">
        <v>343</v>
      </c>
      <c r="C491">
        <v>45</v>
      </c>
    </row>
    <row r="492" spans="1:3" x14ac:dyDescent="0.25">
      <c r="A492" s="279">
        <v>39042</v>
      </c>
      <c r="B492" t="s">
        <v>344</v>
      </c>
      <c r="C492" t="s">
        <v>250</v>
      </c>
    </row>
    <row r="493" spans="1:3" x14ac:dyDescent="0.25">
      <c r="A493" s="279">
        <v>39042</v>
      </c>
      <c r="B493" t="s">
        <v>345</v>
      </c>
      <c r="C493" t="s">
        <v>243</v>
      </c>
    </row>
    <row r="494" spans="1:3" x14ac:dyDescent="0.25">
      <c r="A494" s="279">
        <v>39043</v>
      </c>
      <c r="B494" t="s">
        <v>340</v>
      </c>
      <c r="C494">
        <v>12</v>
      </c>
    </row>
    <row r="495" spans="1:3" x14ac:dyDescent="0.25">
      <c r="A495" s="279">
        <v>39043</v>
      </c>
      <c r="B495" t="s">
        <v>341</v>
      </c>
      <c r="C495">
        <v>46</v>
      </c>
    </row>
    <row r="496" spans="1:3" x14ac:dyDescent="0.25">
      <c r="A496" s="279">
        <v>39043</v>
      </c>
      <c r="B496" t="s">
        <v>342</v>
      </c>
      <c r="C496">
        <v>41</v>
      </c>
    </row>
    <row r="497" spans="1:3" x14ac:dyDescent="0.25">
      <c r="A497" s="279">
        <v>39043</v>
      </c>
      <c r="B497" t="s">
        <v>343</v>
      </c>
      <c r="C497">
        <v>44</v>
      </c>
    </row>
    <row r="498" spans="1:3" x14ac:dyDescent="0.25">
      <c r="A498" s="279">
        <v>39043</v>
      </c>
      <c r="B498" t="s">
        <v>344</v>
      </c>
      <c r="C498" t="s">
        <v>246</v>
      </c>
    </row>
    <row r="499" spans="1:3" x14ac:dyDescent="0.25">
      <c r="A499" s="279">
        <v>39043</v>
      </c>
      <c r="B499" t="s">
        <v>345</v>
      </c>
      <c r="C499" t="s">
        <v>259</v>
      </c>
    </row>
    <row r="500" spans="1:3" x14ac:dyDescent="0.25">
      <c r="A500" s="279">
        <v>39044</v>
      </c>
      <c r="B500" t="s">
        <v>340</v>
      </c>
      <c r="C500">
        <v>7.4</v>
      </c>
    </row>
    <row r="501" spans="1:3" x14ac:dyDescent="0.25">
      <c r="A501" s="279">
        <v>39044</v>
      </c>
      <c r="B501" t="s">
        <v>341</v>
      </c>
      <c r="C501">
        <v>55</v>
      </c>
    </row>
    <row r="502" spans="1:3" x14ac:dyDescent="0.25">
      <c r="A502" s="279">
        <v>39044</v>
      </c>
      <c r="B502" t="s">
        <v>342</v>
      </c>
      <c r="C502">
        <v>44</v>
      </c>
    </row>
    <row r="503" spans="1:3" x14ac:dyDescent="0.25">
      <c r="A503" s="279">
        <v>39044</v>
      </c>
      <c r="B503" t="s">
        <v>343</v>
      </c>
      <c r="C503">
        <v>46</v>
      </c>
    </row>
    <row r="504" spans="1:3" x14ac:dyDescent="0.25">
      <c r="A504" s="279">
        <v>39044</v>
      </c>
      <c r="B504" t="s">
        <v>344</v>
      </c>
      <c r="C504" t="s">
        <v>240</v>
      </c>
    </row>
    <row r="505" spans="1:3" x14ac:dyDescent="0.25">
      <c r="A505" s="279">
        <v>39044</v>
      </c>
      <c r="B505" t="s">
        <v>345</v>
      </c>
      <c r="C505" t="s">
        <v>239</v>
      </c>
    </row>
    <row r="506" spans="1:3" x14ac:dyDescent="0.25">
      <c r="A506" s="279">
        <v>39045</v>
      </c>
      <c r="B506" t="s">
        <v>340</v>
      </c>
      <c r="C506">
        <v>4.5</v>
      </c>
    </row>
    <row r="507" spans="1:3" x14ac:dyDescent="0.25">
      <c r="A507" s="279">
        <v>39045</v>
      </c>
      <c r="B507" t="s">
        <v>341</v>
      </c>
      <c r="C507">
        <v>67</v>
      </c>
    </row>
    <row r="508" spans="1:3" x14ac:dyDescent="0.25">
      <c r="A508" s="279">
        <v>39045</v>
      </c>
      <c r="B508" t="s">
        <v>342</v>
      </c>
      <c r="C508">
        <v>42</v>
      </c>
    </row>
    <row r="509" spans="1:3" x14ac:dyDescent="0.25">
      <c r="A509" s="279">
        <v>39045</v>
      </c>
      <c r="B509" t="s">
        <v>343</v>
      </c>
      <c r="C509">
        <v>53</v>
      </c>
    </row>
    <row r="510" spans="1:3" x14ac:dyDescent="0.25">
      <c r="A510" s="279">
        <v>39045</v>
      </c>
      <c r="B510" t="s">
        <v>344</v>
      </c>
      <c r="C510" t="s">
        <v>250</v>
      </c>
    </row>
    <row r="511" spans="1:3" x14ac:dyDescent="0.25">
      <c r="A511" s="279">
        <v>39045</v>
      </c>
      <c r="B511" t="s">
        <v>345</v>
      </c>
      <c r="C511" t="s">
        <v>243</v>
      </c>
    </row>
    <row r="512" spans="1:3" x14ac:dyDescent="0.25">
      <c r="A512" s="279">
        <v>39046</v>
      </c>
      <c r="B512" t="s">
        <v>340</v>
      </c>
      <c r="C512">
        <v>1.1000000000000001</v>
      </c>
    </row>
    <row r="513" spans="1:3" x14ac:dyDescent="0.25">
      <c r="A513" s="279">
        <v>39046</v>
      </c>
      <c r="B513" t="s">
        <v>341</v>
      </c>
      <c r="C513">
        <v>63</v>
      </c>
    </row>
    <row r="514" spans="1:3" x14ac:dyDescent="0.25">
      <c r="A514" s="279">
        <v>39046</v>
      </c>
      <c r="B514" t="s">
        <v>342</v>
      </c>
      <c r="C514">
        <v>40</v>
      </c>
    </row>
    <row r="515" spans="1:3" x14ac:dyDescent="0.25">
      <c r="A515" s="279">
        <v>39046</v>
      </c>
      <c r="B515" t="s">
        <v>343</v>
      </c>
      <c r="C515">
        <v>49</v>
      </c>
    </row>
    <row r="516" spans="1:3" x14ac:dyDescent="0.25">
      <c r="A516" s="279">
        <v>39046</v>
      </c>
      <c r="B516" t="s">
        <v>344</v>
      </c>
      <c r="C516" t="s">
        <v>249</v>
      </c>
    </row>
    <row r="517" spans="1:3" x14ac:dyDescent="0.25">
      <c r="A517" s="279">
        <v>39046</v>
      </c>
      <c r="B517" t="s">
        <v>345</v>
      </c>
      <c r="C517" t="s">
        <v>243</v>
      </c>
    </row>
    <row r="518" spans="1:3" x14ac:dyDescent="0.25">
      <c r="A518" s="279">
        <v>39047</v>
      </c>
      <c r="B518" t="s">
        <v>340</v>
      </c>
      <c r="C518">
        <v>2.2999999999999998</v>
      </c>
    </row>
    <row r="519" spans="1:3" x14ac:dyDescent="0.25">
      <c r="A519" s="279">
        <v>39047</v>
      </c>
      <c r="B519" t="s">
        <v>341</v>
      </c>
      <c r="C519">
        <v>63</v>
      </c>
    </row>
    <row r="520" spans="1:3" x14ac:dyDescent="0.25">
      <c r="A520" s="279">
        <v>39047</v>
      </c>
      <c r="B520" t="s">
        <v>342</v>
      </c>
      <c r="C520">
        <v>44</v>
      </c>
    </row>
    <row r="521" spans="1:3" x14ac:dyDescent="0.25">
      <c r="A521" s="279">
        <v>39047</v>
      </c>
      <c r="B521" t="s">
        <v>343</v>
      </c>
      <c r="C521">
        <v>52</v>
      </c>
    </row>
    <row r="522" spans="1:3" x14ac:dyDescent="0.25">
      <c r="A522" s="279">
        <v>39047</v>
      </c>
      <c r="B522" t="s">
        <v>344</v>
      </c>
      <c r="C522" t="s">
        <v>245</v>
      </c>
    </row>
    <row r="523" spans="1:3" x14ac:dyDescent="0.25">
      <c r="A523" s="279">
        <v>39047</v>
      </c>
      <c r="B523" t="s">
        <v>345</v>
      </c>
      <c r="C523" t="s">
        <v>243</v>
      </c>
    </row>
    <row r="524" spans="1:3" x14ac:dyDescent="0.25">
      <c r="A524" s="279">
        <v>39048</v>
      </c>
      <c r="B524" t="s">
        <v>340</v>
      </c>
      <c r="C524">
        <v>1.9</v>
      </c>
    </row>
    <row r="525" spans="1:3" x14ac:dyDescent="0.25">
      <c r="A525" s="279">
        <v>39048</v>
      </c>
      <c r="B525" t="s">
        <v>341</v>
      </c>
      <c r="C525">
        <v>62</v>
      </c>
    </row>
    <row r="526" spans="1:3" x14ac:dyDescent="0.25">
      <c r="A526" s="279">
        <v>39048</v>
      </c>
      <c r="B526" t="s">
        <v>342</v>
      </c>
      <c r="C526">
        <v>46</v>
      </c>
    </row>
    <row r="527" spans="1:3" x14ac:dyDescent="0.25">
      <c r="A527" s="279">
        <v>39048</v>
      </c>
      <c r="B527" t="s">
        <v>343</v>
      </c>
      <c r="C527">
        <v>53</v>
      </c>
    </row>
    <row r="528" spans="1:3" x14ac:dyDescent="0.25">
      <c r="A528" s="279">
        <v>39048</v>
      </c>
      <c r="B528" t="s">
        <v>344</v>
      </c>
      <c r="C528" t="s">
        <v>245</v>
      </c>
    </row>
    <row r="529" spans="1:3" x14ac:dyDescent="0.25">
      <c r="A529" s="279">
        <v>39048</v>
      </c>
      <c r="B529" t="s">
        <v>345</v>
      </c>
      <c r="C529" t="s">
        <v>243</v>
      </c>
    </row>
    <row r="530" spans="1:3" x14ac:dyDescent="0.25">
      <c r="A530" s="279">
        <v>39049</v>
      </c>
      <c r="B530" t="s">
        <v>340</v>
      </c>
      <c r="C530">
        <v>1.6</v>
      </c>
    </row>
    <row r="531" spans="1:3" x14ac:dyDescent="0.25">
      <c r="A531" s="279">
        <v>39049</v>
      </c>
      <c r="B531" t="s">
        <v>341</v>
      </c>
      <c r="C531">
        <v>67</v>
      </c>
    </row>
    <row r="532" spans="1:3" x14ac:dyDescent="0.25">
      <c r="A532" s="279">
        <v>39049</v>
      </c>
      <c r="B532" t="s">
        <v>342</v>
      </c>
      <c r="C532">
        <v>53</v>
      </c>
    </row>
    <row r="533" spans="1:3" x14ac:dyDescent="0.25">
      <c r="A533" s="279">
        <v>39049</v>
      </c>
      <c r="B533" t="s">
        <v>343</v>
      </c>
      <c r="C533">
        <v>57</v>
      </c>
    </row>
    <row r="534" spans="1:3" x14ac:dyDescent="0.25">
      <c r="A534" s="279">
        <v>39049</v>
      </c>
      <c r="B534" t="s">
        <v>344</v>
      </c>
      <c r="C534" t="s">
        <v>237</v>
      </c>
    </row>
    <row r="535" spans="1:3" x14ac:dyDescent="0.25">
      <c r="A535" s="279">
        <v>39049</v>
      </c>
      <c r="B535" t="s">
        <v>345</v>
      </c>
      <c r="C535" t="s">
        <v>259</v>
      </c>
    </row>
    <row r="536" spans="1:3" x14ac:dyDescent="0.25">
      <c r="A536" s="279">
        <v>39050</v>
      </c>
      <c r="B536" t="s">
        <v>340</v>
      </c>
      <c r="C536">
        <v>2.1</v>
      </c>
    </row>
    <row r="537" spans="1:3" x14ac:dyDescent="0.25">
      <c r="A537" s="279">
        <v>39050</v>
      </c>
      <c r="B537" t="s">
        <v>341</v>
      </c>
      <c r="C537">
        <v>65</v>
      </c>
    </row>
    <row r="538" spans="1:3" x14ac:dyDescent="0.25">
      <c r="A538" s="279">
        <v>39050</v>
      </c>
      <c r="B538" t="s">
        <v>342</v>
      </c>
      <c r="C538">
        <v>57</v>
      </c>
    </row>
    <row r="539" spans="1:3" x14ac:dyDescent="0.25">
      <c r="A539" s="279">
        <v>39050</v>
      </c>
      <c r="B539" t="s">
        <v>343</v>
      </c>
      <c r="C539">
        <v>60</v>
      </c>
    </row>
    <row r="540" spans="1:3" x14ac:dyDescent="0.25">
      <c r="A540" s="279">
        <v>39050</v>
      </c>
      <c r="B540" t="s">
        <v>344</v>
      </c>
      <c r="C540" t="s">
        <v>252</v>
      </c>
    </row>
    <row r="541" spans="1:3" x14ac:dyDescent="0.25">
      <c r="A541" s="279">
        <v>39050</v>
      </c>
      <c r="B541" t="s">
        <v>345</v>
      </c>
      <c r="C541" t="s">
        <v>259</v>
      </c>
    </row>
    <row r="542" spans="1:3" x14ac:dyDescent="0.25">
      <c r="A542" s="279">
        <v>39051</v>
      </c>
      <c r="B542" t="s">
        <v>340</v>
      </c>
      <c r="C542">
        <v>6.8</v>
      </c>
    </row>
    <row r="543" spans="1:3" x14ac:dyDescent="0.25">
      <c r="A543" s="279">
        <v>39051</v>
      </c>
      <c r="B543" t="s">
        <v>341</v>
      </c>
      <c r="C543">
        <v>74</v>
      </c>
    </row>
    <row r="544" spans="1:3" x14ac:dyDescent="0.25">
      <c r="A544" s="279">
        <v>39051</v>
      </c>
      <c r="B544" t="s">
        <v>342</v>
      </c>
      <c r="C544">
        <v>63</v>
      </c>
    </row>
    <row r="545" spans="1:3" x14ac:dyDescent="0.25">
      <c r="A545" s="279">
        <v>39051</v>
      </c>
      <c r="B545" t="s">
        <v>343</v>
      </c>
      <c r="C545">
        <v>68</v>
      </c>
    </row>
    <row r="546" spans="1:3" x14ac:dyDescent="0.25">
      <c r="A546" s="279">
        <v>39051</v>
      </c>
      <c r="B546" t="s">
        <v>344</v>
      </c>
      <c r="C546" t="s">
        <v>252</v>
      </c>
    </row>
    <row r="547" spans="1:3" x14ac:dyDescent="0.25">
      <c r="A547" s="279">
        <v>39051</v>
      </c>
      <c r="B547" t="s">
        <v>345</v>
      </c>
      <c r="C547" t="s">
        <v>259</v>
      </c>
    </row>
    <row r="548" spans="1:3" x14ac:dyDescent="0.25">
      <c r="A548" s="279">
        <v>39052</v>
      </c>
      <c r="B548" t="s">
        <v>340</v>
      </c>
      <c r="C548">
        <v>10.3</v>
      </c>
    </row>
    <row r="549" spans="1:3" x14ac:dyDescent="0.25">
      <c r="A549" s="279">
        <v>39052</v>
      </c>
      <c r="B549" t="s">
        <v>341</v>
      </c>
      <c r="C549">
        <v>73</v>
      </c>
    </row>
    <row r="550" spans="1:3" x14ac:dyDescent="0.25">
      <c r="A550" s="279">
        <v>39052</v>
      </c>
      <c r="B550" t="s">
        <v>342</v>
      </c>
      <c r="C550">
        <v>42</v>
      </c>
    </row>
    <row r="551" spans="1:3" x14ac:dyDescent="0.25">
      <c r="A551" s="279">
        <v>39052</v>
      </c>
      <c r="B551" t="s">
        <v>343</v>
      </c>
      <c r="C551">
        <v>59</v>
      </c>
    </row>
    <row r="552" spans="1:3" x14ac:dyDescent="0.25">
      <c r="A552" s="279">
        <v>39052</v>
      </c>
      <c r="B552" t="s">
        <v>344</v>
      </c>
      <c r="C552" t="s">
        <v>242</v>
      </c>
    </row>
    <row r="553" spans="1:3" x14ac:dyDescent="0.25">
      <c r="A553" s="279">
        <v>39052</v>
      </c>
      <c r="B553" t="s">
        <v>345</v>
      </c>
      <c r="C553" t="s">
        <v>261</v>
      </c>
    </row>
    <row r="554" spans="1:3" x14ac:dyDescent="0.25">
      <c r="A554" s="279">
        <v>39053</v>
      </c>
      <c r="B554" t="s">
        <v>340</v>
      </c>
      <c r="C554">
        <v>7.1</v>
      </c>
    </row>
    <row r="555" spans="1:3" x14ac:dyDescent="0.25">
      <c r="A555" s="279">
        <v>39053</v>
      </c>
      <c r="B555" t="s">
        <v>341</v>
      </c>
      <c r="C555">
        <v>51</v>
      </c>
    </row>
    <row r="556" spans="1:3" x14ac:dyDescent="0.25">
      <c r="A556" s="279">
        <v>39053</v>
      </c>
      <c r="B556" t="s">
        <v>342</v>
      </c>
      <c r="C556">
        <v>36</v>
      </c>
    </row>
    <row r="557" spans="1:3" x14ac:dyDescent="0.25">
      <c r="A557" s="279">
        <v>39053</v>
      </c>
      <c r="B557" t="s">
        <v>343</v>
      </c>
      <c r="C557">
        <v>42</v>
      </c>
    </row>
    <row r="558" spans="1:3" x14ac:dyDescent="0.25">
      <c r="A558" s="279">
        <v>39053</v>
      </c>
      <c r="B558" t="s">
        <v>344</v>
      </c>
      <c r="C558" t="s">
        <v>240</v>
      </c>
    </row>
    <row r="559" spans="1:3" x14ac:dyDescent="0.25">
      <c r="A559" s="279">
        <v>39053</v>
      </c>
      <c r="B559" t="s">
        <v>345</v>
      </c>
      <c r="C559" t="s">
        <v>243</v>
      </c>
    </row>
    <row r="560" spans="1:3" x14ac:dyDescent="0.25">
      <c r="A560" s="279">
        <v>39054</v>
      </c>
      <c r="B560" t="s">
        <v>340</v>
      </c>
      <c r="C560">
        <v>3.8</v>
      </c>
    </row>
    <row r="561" spans="1:3" x14ac:dyDescent="0.25">
      <c r="A561" s="279">
        <v>39054</v>
      </c>
      <c r="B561" t="s">
        <v>341</v>
      </c>
      <c r="C561">
        <v>51</v>
      </c>
    </row>
    <row r="562" spans="1:3" x14ac:dyDescent="0.25">
      <c r="A562" s="279">
        <v>39054</v>
      </c>
      <c r="B562" t="s">
        <v>342</v>
      </c>
      <c r="C562">
        <v>38</v>
      </c>
    </row>
    <row r="563" spans="1:3" x14ac:dyDescent="0.25">
      <c r="A563" s="279">
        <v>39054</v>
      </c>
      <c r="B563" t="s">
        <v>343</v>
      </c>
      <c r="C563">
        <v>44</v>
      </c>
    </row>
    <row r="564" spans="1:3" x14ac:dyDescent="0.25">
      <c r="A564" s="279">
        <v>39054</v>
      </c>
      <c r="B564" t="s">
        <v>344</v>
      </c>
      <c r="C564" t="s">
        <v>252</v>
      </c>
    </row>
    <row r="565" spans="1:3" x14ac:dyDescent="0.25">
      <c r="A565" s="279">
        <v>39054</v>
      </c>
      <c r="B565" t="s">
        <v>345</v>
      </c>
      <c r="C565" t="s">
        <v>264</v>
      </c>
    </row>
    <row r="566" spans="1:3" x14ac:dyDescent="0.25">
      <c r="A566" s="279">
        <v>39055</v>
      </c>
      <c r="B566" t="s">
        <v>340</v>
      </c>
      <c r="C566">
        <v>6.8</v>
      </c>
    </row>
    <row r="567" spans="1:3" x14ac:dyDescent="0.25">
      <c r="A567" s="279">
        <v>39055</v>
      </c>
      <c r="B567" t="s">
        <v>341</v>
      </c>
      <c r="C567">
        <v>41</v>
      </c>
    </row>
    <row r="568" spans="1:3" x14ac:dyDescent="0.25">
      <c r="A568" s="279">
        <v>39055</v>
      </c>
      <c r="B568" t="s">
        <v>342</v>
      </c>
      <c r="C568">
        <v>32</v>
      </c>
    </row>
    <row r="569" spans="1:3" x14ac:dyDescent="0.25">
      <c r="A569" s="279">
        <v>39055</v>
      </c>
      <c r="B569" t="s">
        <v>343</v>
      </c>
      <c r="C569">
        <v>36</v>
      </c>
    </row>
    <row r="570" spans="1:3" x14ac:dyDescent="0.25">
      <c r="A570" s="279">
        <v>39055</v>
      </c>
      <c r="B570" t="s">
        <v>344</v>
      </c>
      <c r="C570" t="s">
        <v>240</v>
      </c>
    </row>
    <row r="571" spans="1:3" x14ac:dyDescent="0.25">
      <c r="A571" s="279">
        <v>39055</v>
      </c>
      <c r="B571" t="s">
        <v>345</v>
      </c>
      <c r="C571" t="s">
        <v>243</v>
      </c>
    </row>
    <row r="572" spans="1:3" x14ac:dyDescent="0.25">
      <c r="A572" s="279">
        <v>39056</v>
      </c>
      <c r="B572" t="s">
        <v>340</v>
      </c>
      <c r="C572">
        <v>3.8</v>
      </c>
    </row>
    <row r="573" spans="1:3" x14ac:dyDescent="0.25">
      <c r="A573" s="279">
        <v>39056</v>
      </c>
      <c r="B573" t="s">
        <v>341</v>
      </c>
      <c r="C573">
        <v>44</v>
      </c>
    </row>
    <row r="574" spans="1:3" x14ac:dyDescent="0.25">
      <c r="A574" s="279">
        <v>39056</v>
      </c>
      <c r="B574" t="s">
        <v>342</v>
      </c>
      <c r="C574">
        <v>31</v>
      </c>
    </row>
    <row r="575" spans="1:3" x14ac:dyDescent="0.25">
      <c r="A575" s="279">
        <v>39056</v>
      </c>
      <c r="B575" t="s">
        <v>343</v>
      </c>
      <c r="C575">
        <v>36</v>
      </c>
    </row>
    <row r="576" spans="1:3" x14ac:dyDescent="0.25">
      <c r="A576" s="279">
        <v>39056</v>
      </c>
      <c r="B576" t="s">
        <v>344</v>
      </c>
      <c r="C576" t="s">
        <v>242</v>
      </c>
    </row>
    <row r="577" spans="1:3" x14ac:dyDescent="0.25">
      <c r="A577" s="279">
        <v>39056</v>
      </c>
      <c r="B577" t="s">
        <v>345</v>
      </c>
      <c r="C577" t="s">
        <v>243</v>
      </c>
    </row>
    <row r="578" spans="1:3" x14ac:dyDescent="0.25">
      <c r="A578" s="279">
        <v>39057</v>
      </c>
      <c r="B578" t="s">
        <v>340</v>
      </c>
      <c r="C578">
        <v>6</v>
      </c>
    </row>
    <row r="579" spans="1:3" x14ac:dyDescent="0.25">
      <c r="A579" s="279">
        <v>39057</v>
      </c>
      <c r="B579" t="s">
        <v>341</v>
      </c>
      <c r="C579">
        <v>55</v>
      </c>
    </row>
    <row r="580" spans="1:3" x14ac:dyDescent="0.25">
      <c r="A580" s="279">
        <v>39057</v>
      </c>
      <c r="B580" t="s">
        <v>342</v>
      </c>
      <c r="C580">
        <v>44</v>
      </c>
    </row>
    <row r="581" spans="1:3" x14ac:dyDescent="0.25">
      <c r="A581" s="279">
        <v>39057</v>
      </c>
      <c r="B581" t="s">
        <v>343</v>
      </c>
      <c r="C581">
        <v>49</v>
      </c>
    </row>
    <row r="582" spans="1:3" x14ac:dyDescent="0.25">
      <c r="A582" s="279">
        <v>39057</v>
      </c>
      <c r="B582" t="s">
        <v>344</v>
      </c>
      <c r="C582" t="s">
        <v>245</v>
      </c>
    </row>
    <row r="583" spans="1:3" x14ac:dyDescent="0.25">
      <c r="A583" s="279">
        <v>39057</v>
      </c>
      <c r="B583" t="s">
        <v>345</v>
      </c>
      <c r="C583" t="s">
        <v>243</v>
      </c>
    </row>
    <row r="584" spans="1:3" x14ac:dyDescent="0.25">
      <c r="A584" s="279">
        <v>39058</v>
      </c>
      <c r="B584" t="s">
        <v>340</v>
      </c>
      <c r="C584">
        <v>11.7</v>
      </c>
    </row>
    <row r="585" spans="1:3" x14ac:dyDescent="0.25">
      <c r="A585" s="279">
        <v>39058</v>
      </c>
      <c r="B585" t="s">
        <v>341</v>
      </c>
      <c r="C585">
        <v>58</v>
      </c>
    </row>
    <row r="586" spans="1:3" x14ac:dyDescent="0.25">
      <c r="A586" s="279">
        <v>39058</v>
      </c>
      <c r="B586" t="s">
        <v>342</v>
      </c>
      <c r="C586">
        <v>24</v>
      </c>
    </row>
    <row r="587" spans="1:3" x14ac:dyDescent="0.25">
      <c r="A587" s="279">
        <v>39058</v>
      </c>
      <c r="B587" t="s">
        <v>343</v>
      </c>
      <c r="C587">
        <v>38</v>
      </c>
    </row>
    <row r="588" spans="1:3" x14ac:dyDescent="0.25">
      <c r="A588" s="279">
        <v>39058</v>
      </c>
      <c r="B588" t="s">
        <v>344</v>
      </c>
      <c r="C588" t="s">
        <v>240</v>
      </c>
    </row>
    <row r="589" spans="1:3" x14ac:dyDescent="0.25">
      <c r="A589" s="279">
        <v>39058</v>
      </c>
      <c r="B589" t="s">
        <v>345</v>
      </c>
      <c r="C589" t="s">
        <v>243</v>
      </c>
    </row>
    <row r="590" spans="1:3" x14ac:dyDescent="0.25">
      <c r="A590" s="279">
        <v>39059</v>
      </c>
      <c r="B590" t="s">
        <v>340</v>
      </c>
      <c r="C590">
        <v>8.6</v>
      </c>
    </row>
    <row r="591" spans="1:3" x14ac:dyDescent="0.25">
      <c r="A591" s="279">
        <v>39059</v>
      </c>
      <c r="B591" t="s">
        <v>341</v>
      </c>
      <c r="C591">
        <v>36</v>
      </c>
    </row>
    <row r="592" spans="1:3" x14ac:dyDescent="0.25">
      <c r="A592" s="279">
        <v>39059</v>
      </c>
      <c r="B592" t="s">
        <v>342</v>
      </c>
      <c r="C592">
        <v>24</v>
      </c>
    </row>
    <row r="593" spans="1:3" x14ac:dyDescent="0.25">
      <c r="A593" s="279">
        <v>39059</v>
      </c>
      <c r="B593" t="s">
        <v>343</v>
      </c>
      <c r="C593">
        <v>30</v>
      </c>
    </row>
    <row r="594" spans="1:3" x14ac:dyDescent="0.25">
      <c r="A594" s="279">
        <v>39059</v>
      </c>
      <c r="B594" t="s">
        <v>344</v>
      </c>
      <c r="C594" t="s">
        <v>240</v>
      </c>
    </row>
    <row r="595" spans="1:3" x14ac:dyDescent="0.25">
      <c r="A595" s="279">
        <v>39059</v>
      </c>
      <c r="B595" t="s">
        <v>345</v>
      </c>
      <c r="C595" t="s">
        <v>243</v>
      </c>
    </row>
    <row r="596" spans="1:3" x14ac:dyDescent="0.25">
      <c r="A596" s="279">
        <v>39060</v>
      </c>
      <c r="B596" t="s">
        <v>340</v>
      </c>
      <c r="C596">
        <v>5.8</v>
      </c>
    </row>
    <row r="597" spans="1:3" x14ac:dyDescent="0.25">
      <c r="A597" s="279">
        <v>39060</v>
      </c>
      <c r="B597" t="s">
        <v>341</v>
      </c>
      <c r="C597">
        <v>45</v>
      </c>
    </row>
    <row r="598" spans="1:3" x14ac:dyDescent="0.25">
      <c r="A598" s="279">
        <v>39060</v>
      </c>
      <c r="B598" t="s">
        <v>342</v>
      </c>
      <c r="C598">
        <v>33</v>
      </c>
    </row>
    <row r="599" spans="1:3" x14ac:dyDescent="0.25">
      <c r="A599" s="279">
        <v>39060</v>
      </c>
      <c r="B599" t="s">
        <v>343</v>
      </c>
      <c r="C599">
        <v>39</v>
      </c>
    </row>
    <row r="600" spans="1:3" x14ac:dyDescent="0.25">
      <c r="A600" s="279">
        <v>39060</v>
      </c>
      <c r="B600" t="s">
        <v>344</v>
      </c>
      <c r="C600" t="s">
        <v>245</v>
      </c>
    </row>
    <row r="601" spans="1:3" x14ac:dyDescent="0.25">
      <c r="A601" s="279">
        <v>39060</v>
      </c>
      <c r="B601" t="s">
        <v>345</v>
      </c>
      <c r="C601" t="s">
        <v>243</v>
      </c>
    </row>
    <row r="602" spans="1:3" x14ac:dyDescent="0.25">
      <c r="A602" s="279">
        <v>39061</v>
      </c>
      <c r="B602" t="s">
        <v>340</v>
      </c>
      <c r="C602">
        <v>3</v>
      </c>
    </row>
    <row r="603" spans="1:3" x14ac:dyDescent="0.25">
      <c r="A603" s="279">
        <v>39061</v>
      </c>
      <c r="B603" t="s">
        <v>341</v>
      </c>
      <c r="C603">
        <v>61</v>
      </c>
    </row>
    <row r="604" spans="1:3" x14ac:dyDescent="0.25">
      <c r="A604" s="279">
        <v>39061</v>
      </c>
      <c r="B604" t="s">
        <v>342</v>
      </c>
      <c r="C604">
        <v>41</v>
      </c>
    </row>
    <row r="605" spans="1:3" x14ac:dyDescent="0.25">
      <c r="A605" s="279">
        <v>39061</v>
      </c>
      <c r="B605" t="s">
        <v>343</v>
      </c>
      <c r="C605">
        <v>48</v>
      </c>
    </row>
    <row r="606" spans="1:3" x14ac:dyDescent="0.25">
      <c r="A606" s="279">
        <v>39061</v>
      </c>
      <c r="B606" t="s">
        <v>344</v>
      </c>
      <c r="C606" t="s">
        <v>245</v>
      </c>
    </row>
    <row r="607" spans="1:3" x14ac:dyDescent="0.25">
      <c r="A607" s="279">
        <v>39061</v>
      </c>
      <c r="B607" t="s">
        <v>345</v>
      </c>
      <c r="C607" t="s">
        <v>243</v>
      </c>
    </row>
    <row r="608" spans="1:3" x14ac:dyDescent="0.25">
      <c r="A608" s="279">
        <v>39062</v>
      </c>
      <c r="B608" t="s">
        <v>340</v>
      </c>
      <c r="C608">
        <v>2.2000000000000002</v>
      </c>
    </row>
    <row r="609" spans="1:3" x14ac:dyDescent="0.25">
      <c r="A609" s="279">
        <v>39062</v>
      </c>
      <c r="B609" t="s">
        <v>341</v>
      </c>
      <c r="C609">
        <v>67</v>
      </c>
    </row>
    <row r="610" spans="1:3" x14ac:dyDescent="0.25">
      <c r="A610" s="279">
        <v>39062</v>
      </c>
      <c r="B610" t="s">
        <v>342</v>
      </c>
      <c r="C610">
        <v>44</v>
      </c>
    </row>
    <row r="611" spans="1:3" x14ac:dyDescent="0.25">
      <c r="A611" s="279">
        <v>39062</v>
      </c>
      <c r="B611" t="s">
        <v>343</v>
      </c>
      <c r="C611">
        <v>52</v>
      </c>
    </row>
    <row r="612" spans="1:3" x14ac:dyDescent="0.25">
      <c r="A612" s="279">
        <v>39062</v>
      </c>
      <c r="B612" t="s">
        <v>344</v>
      </c>
      <c r="C612" t="s">
        <v>242</v>
      </c>
    </row>
    <row r="613" spans="1:3" x14ac:dyDescent="0.25">
      <c r="A613" s="279">
        <v>39062</v>
      </c>
      <c r="B613" t="s">
        <v>345</v>
      </c>
      <c r="C613" t="s">
        <v>243</v>
      </c>
    </row>
    <row r="614" spans="1:3" x14ac:dyDescent="0.25">
      <c r="A614" s="279">
        <v>39063</v>
      </c>
      <c r="B614" t="s">
        <v>340</v>
      </c>
      <c r="C614">
        <v>1.8</v>
      </c>
    </row>
    <row r="615" spans="1:3" x14ac:dyDescent="0.25">
      <c r="A615" s="279">
        <v>39063</v>
      </c>
      <c r="B615" t="s">
        <v>341</v>
      </c>
      <c r="C615">
        <v>53</v>
      </c>
    </row>
    <row r="616" spans="1:3" x14ac:dyDescent="0.25">
      <c r="A616" s="279">
        <v>39063</v>
      </c>
      <c r="B616" t="s">
        <v>342</v>
      </c>
      <c r="C616">
        <v>47</v>
      </c>
    </row>
    <row r="617" spans="1:3" x14ac:dyDescent="0.25">
      <c r="A617" s="279">
        <v>39063</v>
      </c>
      <c r="B617" t="s">
        <v>343</v>
      </c>
      <c r="C617">
        <v>49</v>
      </c>
    </row>
    <row r="618" spans="1:3" x14ac:dyDescent="0.25">
      <c r="A618" s="279">
        <v>39063</v>
      </c>
      <c r="B618" t="s">
        <v>344</v>
      </c>
      <c r="C618" t="s">
        <v>237</v>
      </c>
    </row>
    <row r="619" spans="1:3" x14ac:dyDescent="0.25">
      <c r="A619" s="279">
        <v>39063</v>
      </c>
      <c r="B619" t="s">
        <v>345</v>
      </c>
      <c r="C619" t="s">
        <v>251</v>
      </c>
    </row>
    <row r="620" spans="1:3" x14ac:dyDescent="0.25">
      <c r="A620" s="279">
        <v>39064</v>
      </c>
      <c r="B620" t="s">
        <v>340</v>
      </c>
      <c r="C620">
        <v>3.3</v>
      </c>
    </row>
    <row r="621" spans="1:3" x14ac:dyDescent="0.25">
      <c r="A621" s="279">
        <v>39064</v>
      </c>
      <c r="B621" t="s">
        <v>341</v>
      </c>
      <c r="C621">
        <v>55</v>
      </c>
    </row>
    <row r="622" spans="1:3" x14ac:dyDescent="0.25">
      <c r="A622" s="279">
        <v>39064</v>
      </c>
      <c r="B622" t="s">
        <v>342</v>
      </c>
      <c r="C622">
        <v>46</v>
      </c>
    </row>
    <row r="623" spans="1:3" x14ac:dyDescent="0.25">
      <c r="A623" s="279">
        <v>39064</v>
      </c>
      <c r="B623" t="s">
        <v>343</v>
      </c>
      <c r="C623">
        <v>51</v>
      </c>
    </row>
    <row r="624" spans="1:3" x14ac:dyDescent="0.25">
      <c r="A624" s="279">
        <v>39064</v>
      </c>
      <c r="B624" t="s">
        <v>344</v>
      </c>
      <c r="C624" t="s">
        <v>252</v>
      </c>
    </row>
    <row r="625" spans="1:3" x14ac:dyDescent="0.25">
      <c r="A625" s="279">
        <v>39064</v>
      </c>
      <c r="B625" t="s">
        <v>345</v>
      </c>
      <c r="C625" t="s">
        <v>239</v>
      </c>
    </row>
    <row r="626" spans="1:3" x14ac:dyDescent="0.25">
      <c r="A626" s="279">
        <v>39065</v>
      </c>
      <c r="B626" t="s">
        <v>340</v>
      </c>
      <c r="C626">
        <v>3.3</v>
      </c>
    </row>
    <row r="627" spans="1:3" x14ac:dyDescent="0.25">
      <c r="A627" s="279">
        <v>39065</v>
      </c>
      <c r="B627" t="s">
        <v>341</v>
      </c>
      <c r="C627">
        <v>58</v>
      </c>
    </row>
    <row r="628" spans="1:3" x14ac:dyDescent="0.25">
      <c r="A628" s="279">
        <v>39065</v>
      </c>
      <c r="B628" t="s">
        <v>342</v>
      </c>
      <c r="C628">
        <v>46</v>
      </c>
    </row>
    <row r="629" spans="1:3" x14ac:dyDescent="0.25">
      <c r="A629" s="279">
        <v>39065</v>
      </c>
      <c r="B629" t="s">
        <v>343</v>
      </c>
      <c r="C629">
        <v>48</v>
      </c>
    </row>
    <row r="630" spans="1:3" x14ac:dyDescent="0.25">
      <c r="A630" s="279">
        <v>39065</v>
      </c>
      <c r="B630" t="s">
        <v>344</v>
      </c>
      <c r="C630" t="s">
        <v>249</v>
      </c>
    </row>
    <row r="631" spans="1:3" x14ac:dyDescent="0.25">
      <c r="A631" s="279">
        <v>39065</v>
      </c>
      <c r="B631" t="s">
        <v>345</v>
      </c>
      <c r="C631" t="s">
        <v>264</v>
      </c>
    </row>
    <row r="632" spans="1:3" x14ac:dyDescent="0.25">
      <c r="A632" s="279">
        <v>39066</v>
      </c>
      <c r="B632" t="s">
        <v>340</v>
      </c>
      <c r="C632">
        <v>4</v>
      </c>
    </row>
    <row r="633" spans="1:3" x14ac:dyDescent="0.25">
      <c r="A633" s="279">
        <v>39066</v>
      </c>
      <c r="B633" t="s">
        <v>341</v>
      </c>
      <c r="C633">
        <v>54</v>
      </c>
    </row>
    <row r="634" spans="1:3" x14ac:dyDescent="0.25">
      <c r="A634" s="279">
        <v>39066</v>
      </c>
      <c r="B634" t="s">
        <v>342</v>
      </c>
      <c r="C634">
        <v>45</v>
      </c>
    </row>
    <row r="635" spans="1:3" x14ac:dyDescent="0.25">
      <c r="A635" s="279">
        <v>39066</v>
      </c>
      <c r="B635" t="s">
        <v>343</v>
      </c>
      <c r="C635">
        <v>50</v>
      </c>
    </row>
    <row r="636" spans="1:3" x14ac:dyDescent="0.25">
      <c r="A636" s="279">
        <v>39066</v>
      </c>
      <c r="B636" t="s">
        <v>344</v>
      </c>
      <c r="C636" t="s">
        <v>245</v>
      </c>
    </row>
    <row r="637" spans="1:3" x14ac:dyDescent="0.25">
      <c r="A637" s="279">
        <v>39066</v>
      </c>
      <c r="B637" t="s">
        <v>345</v>
      </c>
      <c r="C637" t="s">
        <v>241</v>
      </c>
    </row>
    <row r="638" spans="1:3" x14ac:dyDescent="0.25">
      <c r="A638" s="279">
        <v>39067</v>
      </c>
      <c r="B638" t="s">
        <v>340</v>
      </c>
      <c r="C638">
        <v>3.6</v>
      </c>
    </row>
    <row r="639" spans="1:3" x14ac:dyDescent="0.25">
      <c r="A639" s="279">
        <v>39067</v>
      </c>
      <c r="B639" t="s">
        <v>341</v>
      </c>
      <c r="C639">
        <v>56</v>
      </c>
    </row>
    <row r="640" spans="1:3" x14ac:dyDescent="0.25">
      <c r="A640" s="279">
        <v>39067</v>
      </c>
      <c r="B640" t="s">
        <v>342</v>
      </c>
      <c r="C640">
        <v>41</v>
      </c>
    </row>
    <row r="641" spans="1:3" x14ac:dyDescent="0.25">
      <c r="A641" s="279">
        <v>39067</v>
      </c>
      <c r="B641" t="s">
        <v>343</v>
      </c>
      <c r="C641">
        <v>47</v>
      </c>
    </row>
    <row r="642" spans="1:3" x14ac:dyDescent="0.25">
      <c r="A642" s="279">
        <v>39067</v>
      </c>
      <c r="B642" t="s">
        <v>344</v>
      </c>
      <c r="C642" t="s">
        <v>240</v>
      </c>
    </row>
    <row r="643" spans="1:3" x14ac:dyDescent="0.25">
      <c r="A643" s="279">
        <v>39067</v>
      </c>
      <c r="B643" t="s">
        <v>345</v>
      </c>
      <c r="C643" t="s">
        <v>243</v>
      </c>
    </row>
    <row r="644" spans="1:3" x14ac:dyDescent="0.25">
      <c r="A644" s="279">
        <v>39068</v>
      </c>
      <c r="B644" t="s">
        <v>340</v>
      </c>
      <c r="C644">
        <v>3.8</v>
      </c>
    </row>
    <row r="645" spans="1:3" x14ac:dyDescent="0.25">
      <c r="A645" s="279">
        <v>39068</v>
      </c>
      <c r="B645" t="s">
        <v>341</v>
      </c>
      <c r="C645">
        <v>59</v>
      </c>
    </row>
    <row r="646" spans="1:3" x14ac:dyDescent="0.25">
      <c r="A646" s="279">
        <v>39068</v>
      </c>
      <c r="B646" t="s">
        <v>342</v>
      </c>
      <c r="C646">
        <v>48</v>
      </c>
    </row>
    <row r="647" spans="1:3" x14ac:dyDescent="0.25">
      <c r="A647" s="279">
        <v>39068</v>
      </c>
      <c r="B647" t="s">
        <v>343</v>
      </c>
      <c r="C647">
        <v>53</v>
      </c>
    </row>
    <row r="648" spans="1:3" x14ac:dyDescent="0.25">
      <c r="A648" s="279">
        <v>39068</v>
      </c>
      <c r="B648" t="s">
        <v>344</v>
      </c>
      <c r="C648" t="s">
        <v>245</v>
      </c>
    </row>
    <row r="649" spans="1:3" x14ac:dyDescent="0.25">
      <c r="A649" s="279">
        <v>39068</v>
      </c>
      <c r="B649" t="s">
        <v>345</v>
      </c>
      <c r="C649" t="s">
        <v>243</v>
      </c>
    </row>
    <row r="650" spans="1:3" x14ac:dyDescent="0.25">
      <c r="A650" s="279">
        <v>39069</v>
      </c>
      <c r="B650" t="s">
        <v>340</v>
      </c>
      <c r="C650">
        <v>5.9</v>
      </c>
    </row>
    <row r="651" spans="1:3" x14ac:dyDescent="0.25">
      <c r="A651" s="279">
        <v>39069</v>
      </c>
      <c r="B651" t="s">
        <v>341</v>
      </c>
      <c r="C651">
        <v>71</v>
      </c>
    </row>
    <row r="652" spans="1:3" x14ac:dyDescent="0.25">
      <c r="A652" s="279">
        <v>39069</v>
      </c>
      <c r="B652" t="s">
        <v>342</v>
      </c>
      <c r="C652">
        <v>43</v>
      </c>
    </row>
    <row r="653" spans="1:3" x14ac:dyDescent="0.25">
      <c r="A653" s="279">
        <v>39069</v>
      </c>
      <c r="B653" t="s">
        <v>343</v>
      </c>
      <c r="C653">
        <v>54</v>
      </c>
    </row>
    <row r="654" spans="1:3" x14ac:dyDescent="0.25">
      <c r="A654" s="279">
        <v>39069</v>
      </c>
      <c r="B654" t="s">
        <v>344</v>
      </c>
      <c r="C654" t="s">
        <v>240</v>
      </c>
    </row>
    <row r="655" spans="1:3" x14ac:dyDescent="0.25">
      <c r="A655" s="279">
        <v>39069</v>
      </c>
      <c r="B655" t="s">
        <v>345</v>
      </c>
      <c r="C655" t="s">
        <v>243</v>
      </c>
    </row>
    <row r="656" spans="1:3" x14ac:dyDescent="0.25">
      <c r="A656" s="279">
        <v>39070</v>
      </c>
      <c r="B656" t="s">
        <v>340</v>
      </c>
      <c r="C656">
        <v>4.7</v>
      </c>
    </row>
    <row r="657" spans="1:3" x14ac:dyDescent="0.25">
      <c r="A657" s="279">
        <v>39070</v>
      </c>
      <c r="B657" t="s">
        <v>341</v>
      </c>
      <c r="C657">
        <v>51</v>
      </c>
    </row>
    <row r="658" spans="1:3" x14ac:dyDescent="0.25">
      <c r="A658" s="279">
        <v>39070</v>
      </c>
      <c r="B658" t="s">
        <v>342</v>
      </c>
      <c r="C658">
        <v>35</v>
      </c>
    </row>
    <row r="659" spans="1:3" x14ac:dyDescent="0.25">
      <c r="A659" s="279">
        <v>39070</v>
      </c>
      <c r="B659" t="s">
        <v>343</v>
      </c>
      <c r="C659">
        <v>42</v>
      </c>
    </row>
    <row r="660" spans="1:3" x14ac:dyDescent="0.25">
      <c r="A660" s="279">
        <v>39070</v>
      </c>
      <c r="B660" t="s">
        <v>344</v>
      </c>
      <c r="C660" t="s">
        <v>240</v>
      </c>
    </row>
    <row r="661" spans="1:3" x14ac:dyDescent="0.25">
      <c r="A661" s="279">
        <v>39070</v>
      </c>
      <c r="B661" t="s">
        <v>345</v>
      </c>
      <c r="C661" t="s">
        <v>243</v>
      </c>
    </row>
    <row r="662" spans="1:3" x14ac:dyDescent="0.25">
      <c r="A662" s="279">
        <v>39071</v>
      </c>
      <c r="B662" t="s">
        <v>340</v>
      </c>
      <c r="C662">
        <v>3.6</v>
      </c>
    </row>
    <row r="663" spans="1:3" x14ac:dyDescent="0.25">
      <c r="A663" s="279">
        <v>39071</v>
      </c>
      <c r="B663" t="s">
        <v>341</v>
      </c>
      <c r="C663">
        <v>50</v>
      </c>
    </row>
    <row r="664" spans="1:3" x14ac:dyDescent="0.25">
      <c r="A664" s="279">
        <v>39071</v>
      </c>
      <c r="B664" t="s">
        <v>342</v>
      </c>
      <c r="C664">
        <v>39</v>
      </c>
    </row>
    <row r="665" spans="1:3" x14ac:dyDescent="0.25">
      <c r="A665" s="279">
        <v>39071</v>
      </c>
      <c r="B665" t="s">
        <v>343</v>
      </c>
      <c r="C665">
        <v>43</v>
      </c>
    </row>
    <row r="666" spans="1:3" x14ac:dyDescent="0.25">
      <c r="A666" s="279">
        <v>39071</v>
      </c>
      <c r="B666" t="s">
        <v>344</v>
      </c>
      <c r="C666" t="s">
        <v>245</v>
      </c>
    </row>
    <row r="667" spans="1:3" x14ac:dyDescent="0.25">
      <c r="A667" s="279">
        <v>39071</v>
      </c>
      <c r="B667" t="s">
        <v>345</v>
      </c>
      <c r="C667" t="s">
        <v>243</v>
      </c>
    </row>
    <row r="668" spans="1:3" x14ac:dyDescent="0.25">
      <c r="A668" s="279">
        <v>39072</v>
      </c>
      <c r="B668" t="s">
        <v>340</v>
      </c>
      <c r="C668">
        <v>2.5</v>
      </c>
    </row>
    <row r="669" spans="1:3" x14ac:dyDescent="0.25">
      <c r="A669" s="279">
        <v>39072</v>
      </c>
      <c r="B669" t="s">
        <v>341</v>
      </c>
      <c r="C669">
        <v>56</v>
      </c>
    </row>
    <row r="670" spans="1:3" x14ac:dyDescent="0.25">
      <c r="A670" s="279">
        <v>39072</v>
      </c>
      <c r="B670" t="s">
        <v>342</v>
      </c>
      <c r="C670">
        <v>45</v>
      </c>
    </row>
    <row r="671" spans="1:3" x14ac:dyDescent="0.25">
      <c r="A671" s="279">
        <v>39072</v>
      </c>
      <c r="B671" t="s">
        <v>343</v>
      </c>
      <c r="C671">
        <v>48</v>
      </c>
    </row>
    <row r="672" spans="1:3" x14ac:dyDescent="0.25">
      <c r="A672" s="279">
        <v>39072</v>
      </c>
      <c r="B672" t="s">
        <v>344</v>
      </c>
      <c r="C672" t="s">
        <v>265</v>
      </c>
    </row>
    <row r="673" spans="1:3" x14ac:dyDescent="0.25">
      <c r="A673" s="279">
        <v>39072</v>
      </c>
      <c r="B673" t="s">
        <v>345</v>
      </c>
      <c r="C673" t="s">
        <v>251</v>
      </c>
    </row>
    <row r="674" spans="1:3" x14ac:dyDescent="0.25">
      <c r="A674" s="279">
        <v>39073</v>
      </c>
      <c r="B674" t="s">
        <v>340</v>
      </c>
      <c r="C674">
        <v>3.3</v>
      </c>
    </row>
    <row r="675" spans="1:3" x14ac:dyDescent="0.25">
      <c r="A675" s="279">
        <v>39073</v>
      </c>
      <c r="B675" t="s">
        <v>341</v>
      </c>
      <c r="C675">
        <v>62</v>
      </c>
    </row>
    <row r="676" spans="1:3" x14ac:dyDescent="0.25">
      <c r="A676" s="279">
        <v>39073</v>
      </c>
      <c r="B676" t="s">
        <v>342</v>
      </c>
      <c r="C676">
        <v>45</v>
      </c>
    </row>
    <row r="677" spans="1:3" x14ac:dyDescent="0.25">
      <c r="A677" s="279">
        <v>39073</v>
      </c>
      <c r="B677" t="s">
        <v>343</v>
      </c>
      <c r="C677">
        <v>53</v>
      </c>
    </row>
    <row r="678" spans="1:3" x14ac:dyDescent="0.25">
      <c r="A678" s="279">
        <v>39073</v>
      </c>
      <c r="B678" t="s">
        <v>344</v>
      </c>
      <c r="C678" t="s">
        <v>237</v>
      </c>
    </row>
    <row r="679" spans="1:3" x14ac:dyDescent="0.25">
      <c r="A679" s="279">
        <v>39073</v>
      </c>
      <c r="B679" t="s">
        <v>345</v>
      </c>
      <c r="C679" t="s">
        <v>251</v>
      </c>
    </row>
    <row r="680" spans="1:3" x14ac:dyDescent="0.25">
      <c r="A680" s="279">
        <v>39074</v>
      </c>
      <c r="B680" t="s">
        <v>340</v>
      </c>
      <c r="C680">
        <v>4</v>
      </c>
    </row>
    <row r="681" spans="1:3" x14ac:dyDescent="0.25">
      <c r="A681" s="279">
        <v>39074</v>
      </c>
      <c r="B681" t="s">
        <v>341</v>
      </c>
      <c r="C681">
        <v>62</v>
      </c>
    </row>
    <row r="682" spans="1:3" x14ac:dyDescent="0.25">
      <c r="A682" s="279">
        <v>39074</v>
      </c>
      <c r="B682" t="s">
        <v>342</v>
      </c>
      <c r="C682">
        <v>44</v>
      </c>
    </row>
    <row r="683" spans="1:3" x14ac:dyDescent="0.25">
      <c r="A683" s="279">
        <v>39074</v>
      </c>
      <c r="B683" t="s">
        <v>343</v>
      </c>
      <c r="C683">
        <v>53</v>
      </c>
    </row>
    <row r="684" spans="1:3" x14ac:dyDescent="0.25">
      <c r="A684" s="279">
        <v>39074</v>
      </c>
      <c r="B684" t="s">
        <v>344</v>
      </c>
      <c r="C684" t="s">
        <v>242</v>
      </c>
    </row>
    <row r="685" spans="1:3" x14ac:dyDescent="0.25">
      <c r="A685" s="279">
        <v>39074</v>
      </c>
      <c r="B685" t="s">
        <v>345</v>
      </c>
      <c r="C685" t="s">
        <v>241</v>
      </c>
    </row>
    <row r="686" spans="1:3" x14ac:dyDescent="0.25">
      <c r="A686" s="279">
        <v>39075</v>
      </c>
      <c r="B686" t="s">
        <v>340</v>
      </c>
      <c r="C686">
        <v>4.8</v>
      </c>
    </row>
    <row r="687" spans="1:3" x14ac:dyDescent="0.25">
      <c r="A687" s="279">
        <v>39075</v>
      </c>
      <c r="B687" t="s">
        <v>341</v>
      </c>
      <c r="C687">
        <v>56</v>
      </c>
    </row>
    <row r="688" spans="1:3" x14ac:dyDescent="0.25">
      <c r="A688" s="279">
        <v>39075</v>
      </c>
      <c r="B688" t="s">
        <v>342</v>
      </c>
      <c r="C688">
        <v>39</v>
      </c>
    </row>
    <row r="689" spans="1:3" x14ac:dyDescent="0.25">
      <c r="A689" s="279">
        <v>39075</v>
      </c>
      <c r="B689" t="s">
        <v>343</v>
      </c>
      <c r="C689">
        <v>48</v>
      </c>
    </row>
    <row r="690" spans="1:3" x14ac:dyDescent="0.25">
      <c r="A690" s="279">
        <v>39075</v>
      </c>
      <c r="B690" t="s">
        <v>344</v>
      </c>
      <c r="C690" t="s">
        <v>242</v>
      </c>
    </row>
    <row r="691" spans="1:3" x14ac:dyDescent="0.25">
      <c r="A691" s="279">
        <v>39075</v>
      </c>
      <c r="B691" t="s">
        <v>345</v>
      </c>
      <c r="C691" t="s">
        <v>243</v>
      </c>
    </row>
    <row r="692" spans="1:3" x14ac:dyDescent="0.25">
      <c r="A692" s="279">
        <v>39076</v>
      </c>
      <c r="B692" t="s">
        <v>340</v>
      </c>
      <c r="C692">
        <v>2.6</v>
      </c>
    </row>
    <row r="693" spans="1:3" x14ac:dyDescent="0.25">
      <c r="A693" s="279">
        <v>39076</v>
      </c>
      <c r="B693" t="s">
        <v>341</v>
      </c>
      <c r="C693">
        <v>54</v>
      </c>
    </row>
    <row r="694" spans="1:3" x14ac:dyDescent="0.25">
      <c r="A694" s="279">
        <v>39076</v>
      </c>
      <c r="B694" t="s">
        <v>342</v>
      </c>
      <c r="C694">
        <v>43</v>
      </c>
    </row>
    <row r="695" spans="1:3" x14ac:dyDescent="0.25">
      <c r="A695" s="279">
        <v>39076</v>
      </c>
      <c r="B695" t="s">
        <v>343</v>
      </c>
      <c r="C695">
        <v>48</v>
      </c>
    </row>
    <row r="696" spans="1:3" x14ac:dyDescent="0.25">
      <c r="A696" s="279">
        <v>39076</v>
      </c>
      <c r="B696" t="s">
        <v>344</v>
      </c>
      <c r="C696" t="s">
        <v>246</v>
      </c>
    </row>
    <row r="697" spans="1:3" x14ac:dyDescent="0.25">
      <c r="A697" s="279">
        <v>39076</v>
      </c>
      <c r="B697" t="s">
        <v>345</v>
      </c>
      <c r="C697" t="s">
        <v>239</v>
      </c>
    </row>
    <row r="698" spans="1:3" x14ac:dyDescent="0.25">
      <c r="A698" s="279">
        <v>39077</v>
      </c>
      <c r="B698" t="s">
        <v>340</v>
      </c>
      <c r="C698">
        <v>8.1999999999999993</v>
      </c>
    </row>
    <row r="699" spans="1:3" x14ac:dyDescent="0.25">
      <c r="A699" s="279">
        <v>39077</v>
      </c>
      <c r="B699" t="s">
        <v>341</v>
      </c>
      <c r="C699">
        <v>56</v>
      </c>
    </row>
    <row r="700" spans="1:3" x14ac:dyDescent="0.25">
      <c r="A700" s="279">
        <v>39077</v>
      </c>
      <c r="B700" t="s">
        <v>342</v>
      </c>
      <c r="C700">
        <v>42</v>
      </c>
    </row>
    <row r="701" spans="1:3" x14ac:dyDescent="0.25">
      <c r="A701" s="279">
        <v>39077</v>
      </c>
      <c r="B701" t="s">
        <v>343</v>
      </c>
      <c r="C701">
        <v>49</v>
      </c>
    </row>
    <row r="702" spans="1:3" x14ac:dyDescent="0.25">
      <c r="A702" s="279">
        <v>39077</v>
      </c>
      <c r="B702" t="s">
        <v>344</v>
      </c>
      <c r="C702" t="s">
        <v>240</v>
      </c>
    </row>
    <row r="703" spans="1:3" x14ac:dyDescent="0.25">
      <c r="A703" s="279">
        <v>39077</v>
      </c>
      <c r="B703" t="s">
        <v>345</v>
      </c>
      <c r="C703" t="s">
        <v>261</v>
      </c>
    </row>
    <row r="704" spans="1:3" x14ac:dyDescent="0.25">
      <c r="A704" s="279">
        <v>39078</v>
      </c>
      <c r="B704" t="s">
        <v>340</v>
      </c>
      <c r="C704">
        <v>4.9000000000000004</v>
      </c>
    </row>
    <row r="705" spans="1:3" x14ac:dyDescent="0.25">
      <c r="A705" s="279">
        <v>39078</v>
      </c>
      <c r="B705" t="s">
        <v>341</v>
      </c>
      <c r="C705">
        <v>48</v>
      </c>
    </row>
    <row r="706" spans="1:3" x14ac:dyDescent="0.25">
      <c r="A706" s="279">
        <v>39078</v>
      </c>
      <c r="B706" t="s">
        <v>342</v>
      </c>
      <c r="C706">
        <v>38</v>
      </c>
    </row>
    <row r="707" spans="1:3" x14ac:dyDescent="0.25">
      <c r="A707" s="279">
        <v>39078</v>
      </c>
      <c r="B707" t="s">
        <v>343</v>
      </c>
      <c r="C707">
        <v>42</v>
      </c>
    </row>
    <row r="708" spans="1:3" x14ac:dyDescent="0.25">
      <c r="A708" s="279">
        <v>39078</v>
      </c>
      <c r="B708" t="s">
        <v>344</v>
      </c>
      <c r="C708" t="s">
        <v>242</v>
      </c>
    </row>
    <row r="709" spans="1:3" x14ac:dyDescent="0.25">
      <c r="A709" s="279">
        <v>39078</v>
      </c>
      <c r="B709" t="s">
        <v>345</v>
      </c>
      <c r="C709" t="s">
        <v>243</v>
      </c>
    </row>
    <row r="710" spans="1:3" x14ac:dyDescent="0.25">
      <c r="A710" s="279">
        <v>39079</v>
      </c>
      <c r="B710" t="s">
        <v>340</v>
      </c>
      <c r="C710">
        <v>2.2999999999999998</v>
      </c>
    </row>
    <row r="711" spans="1:3" x14ac:dyDescent="0.25">
      <c r="A711" s="279">
        <v>39079</v>
      </c>
      <c r="B711" t="s">
        <v>341</v>
      </c>
      <c r="C711">
        <v>56</v>
      </c>
    </row>
    <row r="712" spans="1:3" x14ac:dyDescent="0.25">
      <c r="A712" s="279">
        <v>39079</v>
      </c>
      <c r="B712" t="s">
        <v>342</v>
      </c>
      <c r="C712">
        <v>39</v>
      </c>
    </row>
    <row r="713" spans="1:3" x14ac:dyDescent="0.25">
      <c r="A713" s="279">
        <v>39079</v>
      </c>
      <c r="B713" t="s">
        <v>343</v>
      </c>
      <c r="C713">
        <v>48</v>
      </c>
    </row>
    <row r="714" spans="1:3" x14ac:dyDescent="0.25">
      <c r="A714" s="279">
        <v>39079</v>
      </c>
      <c r="B714" t="s">
        <v>344</v>
      </c>
      <c r="C714" t="s">
        <v>245</v>
      </c>
    </row>
    <row r="715" spans="1:3" x14ac:dyDescent="0.25">
      <c r="A715" s="279">
        <v>39079</v>
      </c>
      <c r="B715" t="s">
        <v>345</v>
      </c>
      <c r="C715" t="s">
        <v>243</v>
      </c>
    </row>
    <row r="716" spans="1:3" x14ac:dyDescent="0.25">
      <c r="A716" s="279">
        <v>39080</v>
      </c>
      <c r="B716" t="s">
        <v>340</v>
      </c>
      <c r="C716">
        <v>1.9</v>
      </c>
    </row>
    <row r="717" spans="1:3" x14ac:dyDescent="0.25">
      <c r="A717" s="279">
        <v>39080</v>
      </c>
      <c r="B717" t="s">
        <v>341</v>
      </c>
      <c r="C717">
        <v>57</v>
      </c>
    </row>
    <row r="718" spans="1:3" x14ac:dyDescent="0.25">
      <c r="A718" s="279">
        <v>39080</v>
      </c>
      <c r="B718" t="s">
        <v>342</v>
      </c>
      <c r="C718">
        <v>42</v>
      </c>
    </row>
    <row r="719" spans="1:3" x14ac:dyDescent="0.25">
      <c r="A719" s="279">
        <v>39080</v>
      </c>
      <c r="B719" t="s">
        <v>343</v>
      </c>
      <c r="C719">
        <v>47</v>
      </c>
    </row>
    <row r="720" spans="1:3" x14ac:dyDescent="0.25">
      <c r="A720" s="279">
        <v>39080</v>
      </c>
      <c r="B720" t="s">
        <v>344</v>
      </c>
      <c r="C720" t="s">
        <v>246</v>
      </c>
    </row>
    <row r="721" spans="1:3" x14ac:dyDescent="0.25">
      <c r="A721" s="279">
        <v>39080</v>
      </c>
      <c r="B721" t="s">
        <v>345</v>
      </c>
      <c r="C721" t="s">
        <v>238</v>
      </c>
    </row>
    <row r="722" spans="1:3" x14ac:dyDescent="0.25">
      <c r="A722" s="279">
        <v>39081</v>
      </c>
      <c r="B722" t="s">
        <v>340</v>
      </c>
      <c r="C722">
        <v>3.9</v>
      </c>
    </row>
    <row r="723" spans="1:3" x14ac:dyDescent="0.25">
      <c r="A723" s="279">
        <v>39081</v>
      </c>
      <c r="B723" t="s">
        <v>341</v>
      </c>
      <c r="C723">
        <v>57</v>
      </c>
    </row>
    <row r="724" spans="1:3" x14ac:dyDescent="0.25">
      <c r="A724" s="279">
        <v>39081</v>
      </c>
      <c r="B724" t="s">
        <v>342</v>
      </c>
      <c r="C724">
        <v>36</v>
      </c>
    </row>
    <row r="725" spans="1:3" x14ac:dyDescent="0.25">
      <c r="A725" s="279">
        <v>39081</v>
      </c>
      <c r="B725" t="s">
        <v>343</v>
      </c>
      <c r="C725">
        <v>46</v>
      </c>
    </row>
    <row r="726" spans="1:3" x14ac:dyDescent="0.25">
      <c r="A726" s="279">
        <v>39081</v>
      </c>
      <c r="B726" t="s">
        <v>344</v>
      </c>
      <c r="C726" t="s">
        <v>240</v>
      </c>
    </row>
    <row r="727" spans="1:3" x14ac:dyDescent="0.25">
      <c r="A727" s="279">
        <v>39081</v>
      </c>
      <c r="B727" t="s">
        <v>345</v>
      </c>
      <c r="C727" t="s">
        <v>243</v>
      </c>
    </row>
    <row r="728" spans="1:3" x14ac:dyDescent="0.25">
      <c r="A728" s="279">
        <v>39082</v>
      </c>
      <c r="B728" t="s">
        <v>340</v>
      </c>
      <c r="C728">
        <v>3.3</v>
      </c>
    </row>
    <row r="729" spans="1:3" x14ac:dyDescent="0.25">
      <c r="A729" s="279">
        <v>39082</v>
      </c>
      <c r="B729" t="s">
        <v>341</v>
      </c>
      <c r="C729">
        <v>58</v>
      </c>
    </row>
    <row r="730" spans="1:3" x14ac:dyDescent="0.25">
      <c r="A730" s="279">
        <v>39082</v>
      </c>
      <c r="B730" t="s">
        <v>342</v>
      </c>
      <c r="C730">
        <v>40</v>
      </c>
    </row>
    <row r="731" spans="1:3" x14ac:dyDescent="0.25">
      <c r="A731" s="279">
        <v>39082</v>
      </c>
      <c r="B731" t="s">
        <v>343</v>
      </c>
      <c r="C731">
        <v>48</v>
      </c>
    </row>
    <row r="732" spans="1:3" x14ac:dyDescent="0.25">
      <c r="A732" s="279">
        <v>39082</v>
      </c>
      <c r="B732" t="s">
        <v>344</v>
      </c>
      <c r="C732" t="s">
        <v>249</v>
      </c>
    </row>
    <row r="733" spans="1:3" x14ac:dyDescent="0.25">
      <c r="A733" s="279">
        <v>39082</v>
      </c>
      <c r="B733" t="s">
        <v>345</v>
      </c>
      <c r="C733" t="s">
        <v>243</v>
      </c>
    </row>
    <row r="734" spans="1:3" x14ac:dyDescent="0.25">
      <c r="A734" s="279">
        <v>39083</v>
      </c>
      <c r="B734" t="s">
        <v>340</v>
      </c>
      <c r="C734">
        <v>6.8</v>
      </c>
    </row>
    <row r="735" spans="1:3" x14ac:dyDescent="0.25">
      <c r="A735" s="279">
        <v>39083</v>
      </c>
      <c r="B735" t="s">
        <v>341</v>
      </c>
      <c r="C735">
        <v>60</v>
      </c>
    </row>
    <row r="736" spans="1:3" x14ac:dyDescent="0.25">
      <c r="A736" s="279">
        <v>39083</v>
      </c>
      <c r="B736" t="s">
        <v>342</v>
      </c>
      <c r="C736">
        <v>44</v>
      </c>
    </row>
    <row r="737" spans="1:3" x14ac:dyDescent="0.25">
      <c r="A737" s="279">
        <v>39083</v>
      </c>
      <c r="B737" t="s">
        <v>343</v>
      </c>
      <c r="C737">
        <v>52</v>
      </c>
    </row>
    <row r="738" spans="1:3" x14ac:dyDescent="0.25">
      <c r="A738" s="279">
        <v>39083</v>
      </c>
      <c r="B738" t="s">
        <v>344</v>
      </c>
      <c r="C738" t="s">
        <v>252</v>
      </c>
    </row>
    <row r="739" spans="1:3" x14ac:dyDescent="0.25">
      <c r="A739" s="279">
        <v>39083</v>
      </c>
      <c r="B739" t="s">
        <v>345</v>
      </c>
      <c r="C739" t="s">
        <v>239</v>
      </c>
    </row>
    <row r="740" spans="1:3" x14ac:dyDescent="0.25">
      <c r="A740" s="279">
        <v>39084</v>
      </c>
      <c r="B740" t="s">
        <v>340</v>
      </c>
      <c r="C740">
        <v>4.8</v>
      </c>
    </row>
    <row r="741" spans="1:3" x14ac:dyDescent="0.25">
      <c r="A741" s="279">
        <v>39084</v>
      </c>
      <c r="B741" t="s">
        <v>341</v>
      </c>
      <c r="C741">
        <v>53</v>
      </c>
    </row>
    <row r="742" spans="1:3" x14ac:dyDescent="0.25">
      <c r="A742" s="279">
        <v>39084</v>
      </c>
      <c r="B742" t="s">
        <v>342</v>
      </c>
      <c r="C742">
        <v>35</v>
      </c>
    </row>
    <row r="743" spans="1:3" x14ac:dyDescent="0.25">
      <c r="A743" s="279">
        <v>39084</v>
      </c>
      <c r="B743" t="s">
        <v>343</v>
      </c>
      <c r="C743">
        <v>44</v>
      </c>
    </row>
    <row r="744" spans="1:3" x14ac:dyDescent="0.25">
      <c r="A744" s="279">
        <v>39084</v>
      </c>
      <c r="B744" t="s">
        <v>344</v>
      </c>
      <c r="C744" t="s">
        <v>245</v>
      </c>
    </row>
    <row r="745" spans="1:3" x14ac:dyDescent="0.25">
      <c r="A745" s="279">
        <v>39084</v>
      </c>
      <c r="B745" t="s">
        <v>345</v>
      </c>
      <c r="C745" t="s">
        <v>243</v>
      </c>
    </row>
    <row r="746" spans="1:3" x14ac:dyDescent="0.25">
      <c r="A746" s="279">
        <v>39085</v>
      </c>
      <c r="B746" t="s">
        <v>340</v>
      </c>
      <c r="C746">
        <v>4.5999999999999996</v>
      </c>
    </row>
    <row r="747" spans="1:3" x14ac:dyDescent="0.25">
      <c r="A747" s="279">
        <v>39085</v>
      </c>
      <c r="B747" t="s">
        <v>341</v>
      </c>
      <c r="C747">
        <v>58</v>
      </c>
    </row>
    <row r="748" spans="1:3" x14ac:dyDescent="0.25">
      <c r="A748" s="279">
        <v>39085</v>
      </c>
      <c r="B748" t="s">
        <v>342</v>
      </c>
      <c r="C748">
        <v>41</v>
      </c>
    </row>
    <row r="749" spans="1:3" x14ac:dyDescent="0.25">
      <c r="A749" s="279">
        <v>39085</v>
      </c>
      <c r="B749" t="s">
        <v>343</v>
      </c>
      <c r="C749">
        <v>48</v>
      </c>
    </row>
    <row r="750" spans="1:3" x14ac:dyDescent="0.25">
      <c r="A750" s="279">
        <v>39085</v>
      </c>
      <c r="B750" t="s">
        <v>344</v>
      </c>
      <c r="C750" t="s">
        <v>245</v>
      </c>
    </row>
    <row r="751" spans="1:3" x14ac:dyDescent="0.25">
      <c r="A751" s="279">
        <v>39085</v>
      </c>
      <c r="B751" t="s">
        <v>345</v>
      </c>
      <c r="C751" t="s">
        <v>243</v>
      </c>
    </row>
    <row r="752" spans="1:3" x14ac:dyDescent="0.25">
      <c r="A752" s="279">
        <v>39086</v>
      </c>
      <c r="B752" t="s">
        <v>340</v>
      </c>
      <c r="C752">
        <v>3.3</v>
      </c>
    </row>
    <row r="753" spans="1:3" x14ac:dyDescent="0.25">
      <c r="A753" s="279">
        <v>39086</v>
      </c>
      <c r="B753" t="s">
        <v>341</v>
      </c>
      <c r="C753">
        <v>63</v>
      </c>
    </row>
    <row r="754" spans="1:3" x14ac:dyDescent="0.25">
      <c r="A754" s="279">
        <v>39086</v>
      </c>
      <c r="B754" t="s">
        <v>342</v>
      </c>
      <c r="C754">
        <v>50</v>
      </c>
    </row>
    <row r="755" spans="1:3" x14ac:dyDescent="0.25">
      <c r="A755" s="279">
        <v>39086</v>
      </c>
      <c r="B755" t="s">
        <v>343</v>
      </c>
      <c r="C755">
        <v>56</v>
      </c>
    </row>
    <row r="756" spans="1:3" x14ac:dyDescent="0.25">
      <c r="A756" s="279">
        <v>39086</v>
      </c>
      <c r="B756" t="s">
        <v>344</v>
      </c>
      <c r="C756" t="s">
        <v>245</v>
      </c>
    </row>
    <row r="757" spans="1:3" x14ac:dyDescent="0.25">
      <c r="A757" s="279">
        <v>39086</v>
      </c>
      <c r="B757" t="s">
        <v>345</v>
      </c>
      <c r="C757" t="s">
        <v>243</v>
      </c>
    </row>
    <row r="758" spans="1:3" x14ac:dyDescent="0.25">
      <c r="A758" s="279">
        <v>39087</v>
      </c>
      <c r="B758" t="s">
        <v>340</v>
      </c>
      <c r="C758">
        <v>5.2</v>
      </c>
    </row>
    <row r="759" spans="1:3" x14ac:dyDescent="0.25">
      <c r="A759" s="279">
        <v>39087</v>
      </c>
      <c r="B759" t="s">
        <v>341</v>
      </c>
      <c r="C759">
        <v>68</v>
      </c>
    </row>
    <row r="760" spans="1:3" x14ac:dyDescent="0.25">
      <c r="A760" s="279">
        <v>39087</v>
      </c>
      <c r="B760" t="s">
        <v>342</v>
      </c>
      <c r="C760">
        <v>60</v>
      </c>
    </row>
    <row r="761" spans="1:3" x14ac:dyDescent="0.25">
      <c r="A761" s="279">
        <v>39087</v>
      </c>
      <c r="B761" t="s">
        <v>343</v>
      </c>
      <c r="C761">
        <v>64</v>
      </c>
    </row>
    <row r="762" spans="1:3" x14ac:dyDescent="0.25">
      <c r="A762" s="279">
        <v>39087</v>
      </c>
      <c r="B762" t="s">
        <v>344</v>
      </c>
      <c r="C762" t="s">
        <v>252</v>
      </c>
    </row>
    <row r="763" spans="1:3" x14ac:dyDescent="0.25">
      <c r="A763" s="279">
        <v>39087</v>
      </c>
      <c r="B763" t="s">
        <v>345</v>
      </c>
      <c r="C763" t="s">
        <v>239</v>
      </c>
    </row>
    <row r="764" spans="1:3" x14ac:dyDescent="0.25">
      <c r="A764" s="279">
        <v>39088</v>
      </c>
      <c r="B764" t="s">
        <v>340</v>
      </c>
      <c r="C764">
        <v>7.3</v>
      </c>
    </row>
    <row r="765" spans="1:3" x14ac:dyDescent="0.25">
      <c r="A765" s="279">
        <v>39088</v>
      </c>
      <c r="B765" t="s">
        <v>341</v>
      </c>
      <c r="C765">
        <v>76</v>
      </c>
    </row>
    <row r="766" spans="1:3" x14ac:dyDescent="0.25">
      <c r="A766" s="279">
        <v>39088</v>
      </c>
      <c r="B766" t="s">
        <v>342</v>
      </c>
      <c r="C766">
        <v>48</v>
      </c>
    </row>
    <row r="767" spans="1:3" x14ac:dyDescent="0.25">
      <c r="A767" s="279">
        <v>39088</v>
      </c>
      <c r="B767" t="s">
        <v>343</v>
      </c>
      <c r="C767">
        <v>62</v>
      </c>
    </row>
    <row r="768" spans="1:3" x14ac:dyDescent="0.25">
      <c r="A768" s="279">
        <v>39088</v>
      </c>
      <c r="B768" t="s">
        <v>344</v>
      </c>
      <c r="C768" t="s">
        <v>242</v>
      </c>
    </row>
    <row r="769" spans="1:3" x14ac:dyDescent="0.25">
      <c r="A769" s="279">
        <v>39088</v>
      </c>
      <c r="B769" t="s">
        <v>345</v>
      </c>
      <c r="C769" t="s">
        <v>266</v>
      </c>
    </row>
    <row r="770" spans="1:3" x14ac:dyDescent="0.25">
      <c r="A770" s="279">
        <v>39089</v>
      </c>
      <c r="B770" t="s">
        <v>340</v>
      </c>
      <c r="C770">
        <v>3.5</v>
      </c>
    </row>
    <row r="771" spans="1:3" x14ac:dyDescent="0.25">
      <c r="A771" s="279">
        <v>39089</v>
      </c>
      <c r="B771" t="s">
        <v>341</v>
      </c>
      <c r="C771">
        <v>58</v>
      </c>
    </row>
    <row r="772" spans="1:3" x14ac:dyDescent="0.25">
      <c r="A772" s="279">
        <v>39089</v>
      </c>
      <c r="B772" t="s">
        <v>342</v>
      </c>
      <c r="C772">
        <v>45</v>
      </c>
    </row>
    <row r="773" spans="1:3" x14ac:dyDescent="0.25">
      <c r="A773" s="279">
        <v>39089</v>
      </c>
      <c r="B773" t="s">
        <v>343</v>
      </c>
      <c r="C773">
        <v>51</v>
      </c>
    </row>
    <row r="774" spans="1:3" x14ac:dyDescent="0.25">
      <c r="A774" s="279">
        <v>39089</v>
      </c>
      <c r="B774" t="s">
        <v>344</v>
      </c>
      <c r="C774" t="s">
        <v>249</v>
      </c>
    </row>
    <row r="775" spans="1:3" x14ac:dyDescent="0.25">
      <c r="A775" s="279">
        <v>39089</v>
      </c>
      <c r="B775" t="s">
        <v>345</v>
      </c>
      <c r="C775" t="s">
        <v>267</v>
      </c>
    </row>
    <row r="776" spans="1:3" x14ac:dyDescent="0.25">
      <c r="A776" s="279">
        <v>39090</v>
      </c>
      <c r="B776" t="s">
        <v>340</v>
      </c>
      <c r="C776">
        <v>6.6</v>
      </c>
    </row>
    <row r="777" spans="1:3" x14ac:dyDescent="0.25">
      <c r="A777" s="279">
        <v>39090</v>
      </c>
      <c r="B777" t="s">
        <v>341</v>
      </c>
      <c r="C777">
        <v>58</v>
      </c>
    </row>
    <row r="778" spans="1:3" x14ac:dyDescent="0.25">
      <c r="A778" s="279">
        <v>39090</v>
      </c>
      <c r="B778" t="s">
        <v>342</v>
      </c>
      <c r="C778">
        <v>38</v>
      </c>
    </row>
    <row r="779" spans="1:3" x14ac:dyDescent="0.25">
      <c r="A779" s="279">
        <v>39090</v>
      </c>
      <c r="B779" t="s">
        <v>343</v>
      </c>
      <c r="C779">
        <v>46</v>
      </c>
    </row>
    <row r="780" spans="1:3" x14ac:dyDescent="0.25">
      <c r="A780" s="279">
        <v>39090</v>
      </c>
      <c r="B780" t="s">
        <v>344</v>
      </c>
      <c r="C780" t="s">
        <v>242</v>
      </c>
    </row>
    <row r="781" spans="1:3" x14ac:dyDescent="0.25">
      <c r="A781" s="279">
        <v>39090</v>
      </c>
      <c r="B781" t="s">
        <v>345</v>
      </c>
      <c r="C781" t="s">
        <v>268</v>
      </c>
    </row>
    <row r="782" spans="1:3" x14ac:dyDescent="0.25">
      <c r="A782" s="279">
        <v>39091</v>
      </c>
      <c r="B782" t="s">
        <v>340</v>
      </c>
      <c r="C782">
        <v>7.1</v>
      </c>
    </row>
    <row r="783" spans="1:3" x14ac:dyDescent="0.25">
      <c r="A783" s="279">
        <v>39091</v>
      </c>
      <c r="B783" t="s">
        <v>341</v>
      </c>
      <c r="C783">
        <v>51</v>
      </c>
    </row>
    <row r="784" spans="1:3" x14ac:dyDescent="0.25">
      <c r="A784" s="279">
        <v>39091</v>
      </c>
      <c r="B784" t="s">
        <v>342</v>
      </c>
      <c r="C784">
        <v>34</v>
      </c>
    </row>
    <row r="785" spans="1:3" x14ac:dyDescent="0.25">
      <c r="A785" s="279">
        <v>39091</v>
      </c>
      <c r="B785" t="s">
        <v>343</v>
      </c>
      <c r="C785">
        <v>42</v>
      </c>
    </row>
    <row r="786" spans="1:3" x14ac:dyDescent="0.25">
      <c r="A786" s="279">
        <v>39091</v>
      </c>
      <c r="B786" t="s">
        <v>344</v>
      </c>
      <c r="C786" t="s">
        <v>245</v>
      </c>
    </row>
    <row r="787" spans="1:3" x14ac:dyDescent="0.25">
      <c r="A787" s="279">
        <v>39091</v>
      </c>
      <c r="B787" t="s">
        <v>345</v>
      </c>
      <c r="C787" t="s">
        <v>269</v>
      </c>
    </row>
    <row r="788" spans="1:3" x14ac:dyDescent="0.25">
      <c r="A788" s="279">
        <v>39092</v>
      </c>
      <c r="B788" t="s">
        <v>340</v>
      </c>
      <c r="C788">
        <v>6.7</v>
      </c>
    </row>
    <row r="789" spans="1:3" x14ac:dyDescent="0.25">
      <c r="A789" s="279">
        <v>39092</v>
      </c>
      <c r="B789" t="s">
        <v>341</v>
      </c>
      <c r="C789">
        <v>39</v>
      </c>
    </row>
    <row r="790" spans="1:3" x14ac:dyDescent="0.25">
      <c r="A790" s="279">
        <v>39092</v>
      </c>
      <c r="B790" t="s">
        <v>342</v>
      </c>
      <c r="C790">
        <v>29</v>
      </c>
    </row>
    <row r="791" spans="1:3" x14ac:dyDescent="0.25">
      <c r="A791" s="279">
        <v>39092</v>
      </c>
      <c r="B791" t="s">
        <v>343</v>
      </c>
      <c r="C791">
        <v>34</v>
      </c>
    </row>
    <row r="792" spans="1:3" x14ac:dyDescent="0.25">
      <c r="A792" s="279">
        <v>39092</v>
      </c>
      <c r="B792" t="s">
        <v>344</v>
      </c>
      <c r="C792" t="s">
        <v>242</v>
      </c>
    </row>
    <row r="793" spans="1:3" x14ac:dyDescent="0.25">
      <c r="A793" s="279">
        <v>39092</v>
      </c>
      <c r="B793" t="s">
        <v>345</v>
      </c>
      <c r="C793" t="s">
        <v>243</v>
      </c>
    </row>
    <row r="794" spans="1:3" x14ac:dyDescent="0.25">
      <c r="A794" s="279">
        <v>39093</v>
      </c>
      <c r="B794" t="s">
        <v>340</v>
      </c>
      <c r="C794">
        <v>4.0999999999999996</v>
      </c>
    </row>
    <row r="795" spans="1:3" x14ac:dyDescent="0.25">
      <c r="A795" s="279">
        <v>39093</v>
      </c>
      <c r="B795" t="s">
        <v>341</v>
      </c>
      <c r="C795">
        <v>46</v>
      </c>
    </row>
    <row r="796" spans="1:3" x14ac:dyDescent="0.25">
      <c r="A796" s="279">
        <v>39093</v>
      </c>
      <c r="B796" t="s">
        <v>342</v>
      </c>
      <c r="C796">
        <v>37</v>
      </c>
    </row>
    <row r="797" spans="1:3" x14ac:dyDescent="0.25">
      <c r="A797" s="279">
        <v>39093</v>
      </c>
      <c r="B797" t="s">
        <v>343</v>
      </c>
      <c r="C797">
        <v>40</v>
      </c>
    </row>
    <row r="798" spans="1:3" x14ac:dyDescent="0.25">
      <c r="A798" s="279">
        <v>39093</v>
      </c>
      <c r="B798" t="s">
        <v>344</v>
      </c>
      <c r="C798" t="s">
        <v>252</v>
      </c>
    </row>
    <row r="799" spans="1:3" x14ac:dyDescent="0.25">
      <c r="A799" s="279">
        <v>39093</v>
      </c>
      <c r="B799" t="s">
        <v>345</v>
      </c>
      <c r="C799" t="s">
        <v>243</v>
      </c>
    </row>
    <row r="800" spans="1:3" x14ac:dyDescent="0.25">
      <c r="A800" s="279">
        <v>39094</v>
      </c>
      <c r="B800" t="s">
        <v>340</v>
      </c>
      <c r="C800">
        <v>4.9000000000000004</v>
      </c>
    </row>
    <row r="801" spans="1:3" x14ac:dyDescent="0.25">
      <c r="A801" s="279">
        <v>39094</v>
      </c>
      <c r="B801" t="s">
        <v>341</v>
      </c>
      <c r="C801">
        <v>55</v>
      </c>
    </row>
    <row r="802" spans="1:3" x14ac:dyDescent="0.25">
      <c r="A802" s="279">
        <v>39094</v>
      </c>
      <c r="B802" t="s">
        <v>342</v>
      </c>
      <c r="C802">
        <v>46</v>
      </c>
    </row>
    <row r="803" spans="1:3" x14ac:dyDescent="0.25">
      <c r="A803" s="279">
        <v>39094</v>
      </c>
      <c r="B803" t="s">
        <v>343</v>
      </c>
      <c r="C803">
        <v>51</v>
      </c>
    </row>
    <row r="804" spans="1:3" x14ac:dyDescent="0.25">
      <c r="A804" s="279">
        <v>39094</v>
      </c>
      <c r="B804" t="s">
        <v>344</v>
      </c>
      <c r="C804" t="s">
        <v>245</v>
      </c>
    </row>
    <row r="805" spans="1:3" x14ac:dyDescent="0.25">
      <c r="A805" s="279">
        <v>39094</v>
      </c>
      <c r="B805" t="s">
        <v>345</v>
      </c>
      <c r="C805" t="s">
        <v>259</v>
      </c>
    </row>
    <row r="806" spans="1:3" x14ac:dyDescent="0.25">
      <c r="A806" s="279">
        <v>39095</v>
      </c>
      <c r="B806" t="s">
        <v>340</v>
      </c>
      <c r="C806">
        <v>2.6</v>
      </c>
    </row>
    <row r="807" spans="1:3" x14ac:dyDescent="0.25">
      <c r="A807" s="279">
        <v>39095</v>
      </c>
      <c r="B807" t="s">
        <v>341</v>
      </c>
      <c r="C807">
        <v>62</v>
      </c>
    </row>
    <row r="808" spans="1:3" x14ac:dyDescent="0.25">
      <c r="A808" s="279">
        <v>39095</v>
      </c>
      <c r="B808" t="s">
        <v>342</v>
      </c>
      <c r="C808">
        <v>49</v>
      </c>
    </row>
    <row r="809" spans="1:3" x14ac:dyDescent="0.25">
      <c r="A809" s="279">
        <v>39095</v>
      </c>
      <c r="B809" t="s">
        <v>343</v>
      </c>
      <c r="C809">
        <v>56</v>
      </c>
    </row>
    <row r="810" spans="1:3" x14ac:dyDescent="0.25">
      <c r="A810" s="279">
        <v>39095</v>
      </c>
      <c r="B810" t="s">
        <v>344</v>
      </c>
      <c r="C810" t="s">
        <v>237</v>
      </c>
    </row>
    <row r="811" spans="1:3" x14ac:dyDescent="0.25">
      <c r="A811" s="279">
        <v>39095</v>
      </c>
      <c r="B811" t="s">
        <v>345</v>
      </c>
      <c r="C811" t="s">
        <v>239</v>
      </c>
    </row>
    <row r="812" spans="1:3" x14ac:dyDescent="0.25">
      <c r="A812" s="279">
        <v>39096</v>
      </c>
      <c r="B812" t="s">
        <v>340</v>
      </c>
      <c r="C812">
        <v>2.4</v>
      </c>
    </row>
    <row r="813" spans="1:3" x14ac:dyDescent="0.25">
      <c r="A813" s="279">
        <v>39096</v>
      </c>
      <c r="B813" t="s">
        <v>341</v>
      </c>
      <c r="C813">
        <v>54</v>
      </c>
    </row>
    <row r="814" spans="1:3" x14ac:dyDescent="0.25">
      <c r="A814" s="279">
        <v>39096</v>
      </c>
      <c r="B814" t="s">
        <v>342</v>
      </c>
      <c r="C814">
        <v>46</v>
      </c>
    </row>
    <row r="815" spans="1:3" x14ac:dyDescent="0.25">
      <c r="A815" s="279">
        <v>39096</v>
      </c>
      <c r="B815" t="s">
        <v>343</v>
      </c>
      <c r="C815">
        <v>50</v>
      </c>
    </row>
    <row r="816" spans="1:3" x14ac:dyDescent="0.25">
      <c r="A816" s="279">
        <v>39096</v>
      </c>
      <c r="B816" t="s">
        <v>344</v>
      </c>
      <c r="C816" t="s">
        <v>237</v>
      </c>
    </row>
    <row r="817" spans="1:3" x14ac:dyDescent="0.25">
      <c r="A817" s="279">
        <v>39096</v>
      </c>
      <c r="B817" t="s">
        <v>345</v>
      </c>
      <c r="C817" t="s">
        <v>239</v>
      </c>
    </row>
    <row r="818" spans="1:3" x14ac:dyDescent="0.25">
      <c r="A818" s="279">
        <v>39097</v>
      </c>
      <c r="B818" t="s">
        <v>340</v>
      </c>
      <c r="C818">
        <v>5.4</v>
      </c>
    </row>
    <row r="819" spans="1:3" x14ac:dyDescent="0.25">
      <c r="A819" s="279">
        <v>39097</v>
      </c>
      <c r="B819" t="s">
        <v>341</v>
      </c>
      <c r="C819">
        <v>66</v>
      </c>
    </row>
    <row r="820" spans="1:3" x14ac:dyDescent="0.25">
      <c r="A820" s="279">
        <v>39097</v>
      </c>
      <c r="B820" t="s">
        <v>342</v>
      </c>
      <c r="C820">
        <v>47</v>
      </c>
    </row>
    <row r="821" spans="1:3" x14ac:dyDescent="0.25">
      <c r="A821" s="279">
        <v>39097</v>
      </c>
      <c r="B821" t="s">
        <v>343</v>
      </c>
      <c r="C821">
        <v>57</v>
      </c>
    </row>
    <row r="822" spans="1:3" x14ac:dyDescent="0.25">
      <c r="A822" s="279">
        <v>39097</v>
      </c>
      <c r="B822" t="s">
        <v>344</v>
      </c>
      <c r="C822" t="s">
        <v>245</v>
      </c>
    </row>
    <row r="823" spans="1:3" x14ac:dyDescent="0.25">
      <c r="A823" s="279">
        <v>39097</v>
      </c>
      <c r="B823" t="s">
        <v>345</v>
      </c>
      <c r="C823" t="s">
        <v>259</v>
      </c>
    </row>
    <row r="824" spans="1:3" x14ac:dyDescent="0.25">
      <c r="A824" s="279">
        <v>39098</v>
      </c>
      <c r="B824" t="s">
        <v>340</v>
      </c>
      <c r="C824">
        <v>10</v>
      </c>
    </row>
    <row r="825" spans="1:3" x14ac:dyDescent="0.25">
      <c r="A825" s="279">
        <v>39098</v>
      </c>
      <c r="B825" t="s">
        <v>341</v>
      </c>
      <c r="C825">
        <v>47</v>
      </c>
    </row>
    <row r="826" spans="1:3" x14ac:dyDescent="0.25">
      <c r="A826" s="279">
        <v>39098</v>
      </c>
      <c r="B826" t="s">
        <v>342</v>
      </c>
      <c r="C826">
        <v>23</v>
      </c>
    </row>
    <row r="827" spans="1:3" x14ac:dyDescent="0.25">
      <c r="A827" s="279">
        <v>39098</v>
      </c>
      <c r="B827" t="s">
        <v>343</v>
      </c>
      <c r="C827">
        <v>34</v>
      </c>
    </row>
    <row r="828" spans="1:3" x14ac:dyDescent="0.25">
      <c r="A828" s="279">
        <v>39098</v>
      </c>
      <c r="B828" t="s">
        <v>344</v>
      </c>
      <c r="C828" t="s">
        <v>240</v>
      </c>
    </row>
    <row r="829" spans="1:3" x14ac:dyDescent="0.25">
      <c r="A829" s="279">
        <v>39098</v>
      </c>
      <c r="B829" t="s">
        <v>345</v>
      </c>
      <c r="C829" t="s">
        <v>259</v>
      </c>
    </row>
    <row r="830" spans="1:3" x14ac:dyDescent="0.25">
      <c r="A830" s="279">
        <v>39099</v>
      </c>
      <c r="B830" t="s">
        <v>340</v>
      </c>
      <c r="C830">
        <v>3.7</v>
      </c>
    </row>
    <row r="831" spans="1:3" x14ac:dyDescent="0.25">
      <c r="A831" s="279">
        <v>39099</v>
      </c>
      <c r="B831" t="s">
        <v>341</v>
      </c>
      <c r="C831">
        <v>36</v>
      </c>
    </row>
    <row r="832" spans="1:3" x14ac:dyDescent="0.25">
      <c r="A832" s="279">
        <v>39099</v>
      </c>
      <c r="B832" t="s">
        <v>342</v>
      </c>
      <c r="C832">
        <v>26</v>
      </c>
    </row>
    <row r="833" spans="1:3" x14ac:dyDescent="0.25">
      <c r="A833" s="279">
        <v>39099</v>
      </c>
      <c r="B833" t="s">
        <v>343</v>
      </c>
      <c r="C833">
        <v>30</v>
      </c>
    </row>
    <row r="834" spans="1:3" x14ac:dyDescent="0.25">
      <c r="A834" s="279">
        <v>39099</v>
      </c>
      <c r="B834" t="s">
        <v>344</v>
      </c>
      <c r="C834" t="s">
        <v>246</v>
      </c>
    </row>
    <row r="835" spans="1:3" x14ac:dyDescent="0.25">
      <c r="A835" s="279">
        <v>39099</v>
      </c>
      <c r="B835" t="s">
        <v>345</v>
      </c>
      <c r="C835" t="s">
        <v>243</v>
      </c>
    </row>
    <row r="836" spans="1:3" x14ac:dyDescent="0.25">
      <c r="A836" s="279">
        <v>39100</v>
      </c>
      <c r="B836" t="s">
        <v>340</v>
      </c>
      <c r="C836">
        <v>2</v>
      </c>
    </row>
    <row r="837" spans="1:3" x14ac:dyDescent="0.25">
      <c r="A837" s="279">
        <v>39100</v>
      </c>
      <c r="B837" t="s">
        <v>341</v>
      </c>
      <c r="C837">
        <v>42</v>
      </c>
    </row>
    <row r="838" spans="1:3" x14ac:dyDescent="0.25">
      <c r="A838" s="279">
        <v>39100</v>
      </c>
      <c r="B838" t="s">
        <v>342</v>
      </c>
      <c r="C838">
        <v>34</v>
      </c>
    </row>
    <row r="839" spans="1:3" x14ac:dyDescent="0.25">
      <c r="A839" s="279">
        <v>39100</v>
      </c>
      <c r="B839" t="s">
        <v>343</v>
      </c>
      <c r="C839">
        <v>36</v>
      </c>
    </row>
    <row r="840" spans="1:3" x14ac:dyDescent="0.25">
      <c r="A840" s="279">
        <v>39100</v>
      </c>
      <c r="B840" t="s">
        <v>344</v>
      </c>
      <c r="C840" t="s">
        <v>252</v>
      </c>
    </row>
    <row r="841" spans="1:3" x14ac:dyDescent="0.25">
      <c r="A841" s="279">
        <v>39100</v>
      </c>
      <c r="B841" t="s">
        <v>345</v>
      </c>
      <c r="C841" t="s">
        <v>259</v>
      </c>
    </row>
    <row r="842" spans="1:3" x14ac:dyDescent="0.25">
      <c r="A842" s="279">
        <v>39101</v>
      </c>
      <c r="B842" t="s">
        <v>340</v>
      </c>
      <c r="C842">
        <v>10.8</v>
      </c>
    </row>
    <row r="843" spans="1:3" x14ac:dyDescent="0.25">
      <c r="A843" s="279">
        <v>39101</v>
      </c>
      <c r="B843" t="s">
        <v>341</v>
      </c>
      <c r="C843">
        <v>46</v>
      </c>
    </row>
    <row r="844" spans="1:3" x14ac:dyDescent="0.25">
      <c r="A844" s="279">
        <v>39101</v>
      </c>
      <c r="B844" t="s">
        <v>342</v>
      </c>
      <c r="C844">
        <v>31</v>
      </c>
    </row>
    <row r="845" spans="1:3" x14ac:dyDescent="0.25">
      <c r="A845" s="279">
        <v>39101</v>
      </c>
      <c r="B845" t="s">
        <v>343</v>
      </c>
      <c r="C845">
        <v>38</v>
      </c>
    </row>
    <row r="846" spans="1:3" x14ac:dyDescent="0.25">
      <c r="A846" s="279">
        <v>39101</v>
      </c>
      <c r="B846" t="s">
        <v>344</v>
      </c>
      <c r="C846" t="s">
        <v>242</v>
      </c>
    </row>
    <row r="847" spans="1:3" x14ac:dyDescent="0.25">
      <c r="A847" s="279">
        <v>39101</v>
      </c>
      <c r="B847" t="s">
        <v>345</v>
      </c>
      <c r="C847" t="s">
        <v>270</v>
      </c>
    </row>
    <row r="848" spans="1:3" x14ac:dyDescent="0.25">
      <c r="A848" s="279">
        <v>39102</v>
      </c>
      <c r="B848" t="s">
        <v>340</v>
      </c>
      <c r="C848">
        <v>10.6</v>
      </c>
    </row>
    <row r="849" spans="1:3" x14ac:dyDescent="0.25">
      <c r="A849" s="279">
        <v>39102</v>
      </c>
      <c r="B849" t="s">
        <v>341</v>
      </c>
      <c r="C849">
        <v>38</v>
      </c>
    </row>
    <row r="850" spans="1:3" x14ac:dyDescent="0.25">
      <c r="A850" s="279">
        <v>39102</v>
      </c>
      <c r="B850" t="s">
        <v>342</v>
      </c>
      <c r="C850">
        <v>23</v>
      </c>
    </row>
    <row r="851" spans="1:3" x14ac:dyDescent="0.25">
      <c r="A851" s="279">
        <v>39102</v>
      </c>
      <c r="B851" t="s">
        <v>343</v>
      </c>
      <c r="C851">
        <v>30</v>
      </c>
    </row>
    <row r="852" spans="1:3" x14ac:dyDescent="0.25">
      <c r="A852" s="279">
        <v>39102</v>
      </c>
      <c r="B852" t="s">
        <v>344</v>
      </c>
      <c r="C852" t="s">
        <v>240</v>
      </c>
    </row>
    <row r="853" spans="1:3" x14ac:dyDescent="0.25">
      <c r="A853" s="279">
        <v>39102</v>
      </c>
      <c r="B853" t="s">
        <v>345</v>
      </c>
      <c r="C853" t="s">
        <v>243</v>
      </c>
    </row>
    <row r="854" spans="1:3" x14ac:dyDescent="0.25">
      <c r="A854" s="279">
        <v>39103</v>
      </c>
      <c r="B854" t="s">
        <v>340</v>
      </c>
      <c r="C854">
        <v>2.8</v>
      </c>
    </row>
    <row r="855" spans="1:3" x14ac:dyDescent="0.25">
      <c r="A855" s="279">
        <v>39103</v>
      </c>
      <c r="B855" t="s">
        <v>341</v>
      </c>
      <c r="C855">
        <v>32</v>
      </c>
    </row>
    <row r="856" spans="1:3" x14ac:dyDescent="0.25">
      <c r="A856" s="279">
        <v>39103</v>
      </c>
      <c r="B856" t="s">
        <v>342</v>
      </c>
      <c r="C856">
        <v>26</v>
      </c>
    </row>
    <row r="857" spans="1:3" x14ac:dyDescent="0.25">
      <c r="A857" s="279">
        <v>39103</v>
      </c>
      <c r="B857" t="s">
        <v>343</v>
      </c>
      <c r="C857">
        <v>29</v>
      </c>
    </row>
    <row r="858" spans="1:3" x14ac:dyDescent="0.25">
      <c r="A858" s="279">
        <v>39103</v>
      </c>
      <c r="B858" t="s">
        <v>344</v>
      </c>
      <c r="C858" t="s">
        <v>249</v>
      </c>
    </row>
    <row r="859" spans="1:3" x14ac:dyDescent="0.25">
      <c r="A859" s="279">
        <v>39103</v>
      </c>
      <c r="B859" t="s">
        <v>345</v>
      </c>
      <c r="C859" t="s">
        <v>271</v>
      </c>
    </row>
    <row r="860" spans="1:3" x14ac:dyDescent="0.25">
      <c r="A860" s="279">
        <v>39104</v>
      </c>
      <c r="B860" t="s">
        <v>340</v>
      </c>
      <c r="C860">
        <v>3.5</v>
      </c>
    </row>
    <row r="861" spans="1:3" x14ac:dyDescent="0.25">
      <c r="A861" s="279">
        <v>39104</v>
      </c>
      <c r="B861" t="s">
        <v>341</v>
      </c>
      <c r="C861">
        <v>37</v>
      </c>
    </row>
    <row r="862" spans="1:3" x14ac:dyDescent="0.25">
      <c r="A862" s="279">
        <v>39104</v>
      </c>
      <c r="B862" t="s">
        <v>342</v>
      </c>
      <c r="C862">
        <v>31</v>
      </c>
    </row>
    <row r="863" spans="1:3" x14ac:dyDescent="0.25">
      <c r="A863" s="279">
        <v>39104</v>
      </c>
      <c r="B863" t="s">
        <v>343</v>
      </c>
      <c r="C863">
        <v>35</v>
      </c>
    </row>
    <row r="864" spans="1:3" x14ac:dyDescent="0.25">
      <c r="A864" s="279">
        <v>39104</v>
      </c>
      <c r="B864" t="s">
        <v>344</v>
      </c>
      <c r="C864" t="s">
        <v>242</v>
      </c>
    </row>
    <row r="865" spans="1:3" x14ac:dyDescent="0.25">
      <c r="A865" s="279">
        <v>39104</v>
      </c>
      <c r="B865" t="s">
        <v>345</v>
      </c>
      <c r="C865" t="s">
        <v>272</v>
      </c>
    </row>
    <row r="866" spans="1:3" x14ac:dyDescent="0.25">
      <c r="A866" s="279">
        <v>39105</v>
      </c>
      <c r="B866" t="s">
        <v>340</v>
      </c>
      <c r="C866">
        <v>4.5</v>
      </c>
    </row>
    <row r="867" spans="1:3" x14ac:dyDescent="0.25">
      <c r="A867" s="279">
        <v>39105</v>
      </c>
      <c r="B867" t="s">
        <v>341</v>
      </c>
      <c r="C867">
        <v>42</v>
      </c>
    </row>
    <row r="868" spans="1:3" x14ac:dyDescent="0.25">
      <c r="A868" s="279">
        <v>39105</v>
      </c>
      <c r="B868" t="s">
        <v>342</v>
      </c>
      <c r="C868">
        <v>32</v>
      </c>
    </row>
    <row r="869" spans="1:3" x14ac:dyDescent="0.25">
      <c r="A869" s="279">
        <v>39105</v>
      </c>
      <c r="B869" t="s">
        <v>343</v>
      </c>
      <c r="C869">
        <v>37</v>
      </c>
    </row>
    <row r="870" spans="1:3" x14ac:dyDescent="0.25">
      <c r="A870" s="279">
        <v>39105</v>
      </c>
      <c r="B870" t="s">
        <v>344</v>
      </c>
      <c r="C870" t="s">
        <v>242</v>
      </c>
    </row>
    <row r="871" spans="1:3" x14ac:dyDescent="0.25">
      <c r="A871" s="279">
        <v>39105</v>
      </c>
      <c r="B871" t="s">
        <v>345</v>
      </c>
      <c r="C871" t="s">
        <v>273</v>
      </c>
    </row>
    <row r="872" spans="1:3" x14ac:dyDescent="0.25">
      <c r="A872" s="279">
        <v>39106</v>
      </c>
      <c r="B872" t="s">
        <v>340</v>
      </c>
      <c r="C872">
        <v>7.2</v>
      </c>
    </row>
    <row r="873" spans="1:3" x14ac:dyDescent="0.25">
      <c r="A873" s="279">
        <v>39106</v>
      </c>
      <c r="B873" t="s">
        <v>341</v>
      </c>
      <c r="C873">
        <v>40</v>
      </c>
    </row>
    <row r="874" spans="1:3" x14ac:dyDescent="0.25">
      <c r="A874" s="279">
        <v>39106</v>
      </c>
      <c r="B874" t="s">
        <v>342</v>
      </c>
      <c r="C874">
        <v>32</v>
      </c>
    </row>
    <row r="875" spans="1:3" x14ac:dyDescent="0.25">
      <c r="A875" s="279">
        <v>39106</v>
      </c>
      <c r="B875" t="s">
        <v>343</v>
      </c>
      <c r="C875">
        <v>35</v>
      </c>
    </row>
    <row r="876" spans="1:3" x14ac:dyDescent="0.25">
      <c r="A876" s="279">
        <v>39106</v>
      </c>
      <c r="B876" t="s">
        <v>344</v>
      </c>
      <c r="C876" t="s">
        <v>242</v>
      </c>
    </row>
    <row r="877" spans="1:3" x14ac:dyDescent="0.25">
      <c r="A877" s="279">
        <v>39106</v>
      </c>
      <c r="B877" t="s">
        <v>345</v>
      </c>
      <c r="C877" t="s">
        <v>241</v>
      </c>
    </row>
    <row r="878" spans="1:3" x14ac:dyDescent="0.25">
      <c r="A878" s="279">
        <v>39107</v>
      </c>
      <c r="B878" t="s">
        <v>340</v>
      </c>
      <c r="C878">
        <v>15.2</v>
      </c>
    </row>
    <row r="879" spans="1:3" x14ac:dyDescent="0.25">
      <c r="A879" s="279">
        <v>39107</v>
      </c>
      <c r="B879" t="s">
        <v>341</v>
      </c>
      <c r="C879">
        <v>37</v>
      </c>
    </row>
    <row r="880" spans="1:3" x14ac:dyDescent="0.25">
      <c r="A880" s="279">
        <v>39107</v>
      </c>
      <c r="B880" t="s">
        <v>342</v>
      </c>
      <c r="C880">
        <v>11</v>
      </c>
    </row>
    <row r="881" spans="1:3" x14ac:dyDescent="0.25">
      <c r="A881" s="279">
        <v>39107</v>
      </c>
      <c r="B881" t="s">
        <v>343</v>
      </c>
      <c r="C881">
        <v>25</v>
      </c>
    </row>
    <row r="882" spans="1:3" x14ac:dyDescent="0.25">
      <c r="A882" s="279">
        <v>39107</v>
      </c>
      <c r="B882" t="s">
        <v>344</v>
      </c>
      <c r="C882" t="s">
        <v>240</v>
      </c>
    </row>
    <row r="883" spans="1:3" x14ac:dyDescent="0.25">
      <c r="A883" s="279">
        <v>39107</v>
      </c>
      <c r="B883" t="s">
        <v>345</v>
      </c>
      <c r="C883" t="s">
        <v>273</v>
      </c>
    </row>
    <row r="884" spans="1:3" x14ac:dyDescent="0.25">
      <c r="A884" s="279">
        <v>39108</v>
      </c>
      <c r="B884" t="s">
        <v>340</v>
      </c>
      <c r="C884">
        <v>9.5</v>
      </c>
    </row>
    <row r="885" spans="1:3" x14ac:dyDescent="0.25">
      <c r="A885" s="279">
        <v>39108</v>
      </c>
      <c r="B885" t="s">
        <v>341</v>
      </c>
      <c r="C885">
        <v>28</v>
      </c>
    </row>
    <row r="886" spans="1:3" x14ac:dyDescent="0.25">
      <c r="A886" s="279">
        <v>39108</v>
      </c>
      <c r="B886" t="s">
        <v>342</v>
      </c>
      <c r="C886">
        <v>15</v>
      </c>
    </row>
    <row r="887" spans="1:3" x14ac:dyDescent="0.25">
      <c r="A887" s="279">
        <v>39108</v>
      </c>
      <c r="B887" t="s">
        <v>343</v>
      </c>
      <c r="C887">
        <v>23</v>
      </c>
    </row>
    <row r="888" spans="1:3" x14ac:dyDescent="0.25">
      <c r="A888" s="279">
        <v>39108</v>
      </c>
      <c r="B888" t="s">
        <v>344</v>
      </c>
      <c r="C888" t="s">
        <v>274</v>
      </c>
    </row>
    <row r="889" spans="1:3" x14ac:dyDescent="0.25">
      <c r="A889" s="279">
        <v>39108</v>
      </c>
      <c r="B889" t="s">
        <v>345</v>
      </c>
      <c r="C889" t="s">
        <v>259</v>
      </c>
    </row>
    <row r="890" spans="1:3" x14ac:dyDescent="0.25">
      <c r="A890" s="279">
        <v>39109</v>
      </c>
      <c r="B890" t="s">
        <v>340</v>
      </c>
      <c r="C890">
        <v>4</v>
      </c>
    </row>
    <row r="891" spans="1:3" x14ac:dyDescent="0.25">
      <c r="A891" s="279">
        <v>39109</v>
      </c>
      <c r="B891" t="s">
        <v>341</v>
      </c>
      <c r="C891">
        <v>41</v>
      </c>
    </row>
    <row r="892" spans="1:3" x14ac:dyDescent="0.25">
      <c r="A892" s="279">
        <v>39109</v>
      </c>
      <c r="B892" t="s">
        <v>342</v>
      </c>
      <c r="C892">
        <v>28</v>
      </c>
    </row>
    <row r="893" spans="1:3" x14ac:dyDescent="0.25">
      <c r="A893" s="279">
        <v>39109</v>
      </c>
      <c r="B893" t="s">
        <v>343</v>
      </c>
      <c r="C893">
        <v>37</v>
      </c>
    </row>
    <row r="894" spans="1:3" x14ac:dyDescent="0.25">
      <c r="A894" s="279">
        <v>39109</v>
      </c>
      <c r="B894" t="s">
        <v>344</v>
      </c>
      <c r="C894" t="s">
        <v>242</v>
      </c>
    </row>
    <row r="895" spans="1:3" x14ac:dyDescent="0.25">
      <c r="A895" s="279">
        <v>39109</v>
      </c>
      <c r="B895" t="s">
        <v>345</v>
      </c>
      <c r="C895" t="s">
        <v>241</v>
      </c>
    </row>
    <row r="896" spans="1:3" x14ac:dyDescent="0.25">
      <c r="A896" s="279">
        <v>39110</v>
      </c>
      <c r="B896" t="s">
        <v>340</v>
      </c>
      <c r="C896">
        <v>8.1999999999999993</v>
      </c>
    </row>
    <row r="897" spans="1:3" x14ac:dyDescent="0.25">
      <c r="A897" s="279">
        <v>39110</v>
      </c>
      <c r="B897" t="s">
        <v>341</v>
      </c>
      <c r="C897">
        <v>42</v>
      </c>
    </row>
    <row r="898" spans="1:3" x14ac:dyDescent="0.25">
      <c r="A898" s="279">
        <v>39110</v>
      </c>
      <c r="B898" t="s">
        <v>342</v>
      </c>
      <c r="C898">
        <v>25</v>
      </c>
    </row>
    <row r="899" spans="1:3" x14ac:dyDescent="0.25">
      <c r="A899" s="279">
        <v>39110</v>
      </c>
      <c r="B899" t="s">
        <v>343</v>
      </c>
      <c r="C899">
        <v>35</v>
      </c>
    </row>
    <row r="900" spans="1:3" x14ac:dyDescent="0.25">
      <c r="A900" s="279">
        <v>39110</v>
      </c>
      <c r="B900" t="s">
        <v>344</v>
      </c>
      <c r="C900" t="s">
        <v>250</v>
      </c>
    </row>
    <row r="901" spans="1:3" x14ac:dyDescent="0.25">
      <c r="A901" s="279">
        <v>39110</v>
      </c>
      <c r="B901" t="s">
        <v>345</v>
      </c>
      <c r="C901" t="s">
        <v>275</v>
      </c>
    </row>
    <row r="902" spans="1:3" x14ac:dyDescent="0.25">
      <c r="A902" s="279">
        <v>39111</v>
      </c>
      <c r="B902" t="s">
        <v>340</v>
      </c>
      <c r="C902">
        <v>11.6</v>
      </c>
    </row>
    <row r="903" spans="1:3" x14ac:dyDescent="0.25">
      <c r="A903" s="279">
        <v>39111</v>
      </c>
      <c r="B903" t="s">
        <v>341</v>
      </c>
      <c r="C903">
        <v>29</v>
      </c>
    </row>
    <row r="904" spans="1:3" x14ac:dyDescent="0.25">
      <c r="A904" s="279">
        <v>39111</v>
      </c>
      <c r="B904" t="s">
        <v>342</v>
      </c>
      <c r="C904">
        <v>21</v>
      </c>
    </row>
    <row r="905" spans="1:3" x14ac:dyDescent="0.25">
      <c r="A905" s="279">
        <v>39111</v>
      </c>
      <c r="B905" t="s">
        <v>343</v>
      </c>
      <c r="C905">
        <v>26</v>
      </c>
    </row>
    <row r="906" spans="1:3" x14ac:dyDescent="0.25">
      <c r="A906" s="279">
        <v>39111</v>
      </c>
      <c r="B906" t="s">
        <v>344</v>
      </c>
      <c r="C906" t="s">
        <v>242</v>
      </c>
    </row>
    <row r="907" spans="1:3" x14ac:dyDescent="0.25">
      <c r="A907" s="279">
        <v>39111</v>
      </c>
      <c r="B907" t="s">
        <v>345</v>
      </c>
      <c r="C907" t="s">
        <v>243</v>
      </c>
    </row>
    <row r="908" spans="1:3" x14ac:dyDescent="0.25">
      <c r="A908" s="279">
        <v>39112</v>
      </c>
      <c r="B908" t="s">
        <v>340</v>
      </c>
      <c r="C908">
        <v>11.9</v>
      </c>
    </row>
    <row r="909" spans="1:3" x14ac:dyDescent="0.25">
      <c r="A909" s="279">
        <v>39112</v>
      </c>
      <c r="B909" t="s">
        <v>341</v>
      </c>
      <c r="C909">
        <v>38</v>
      </c>
    </row>
    <row r="910" spans="1:3" x14ac:dyDescent="0.25">
      <c r="A910" s="279">
        <v>39112</v>
      </c>
      <c r="B910" t="s">
        <v>342</v>
      </c>
      <c r="C910">
        <v>24</v>
      </c>
    </row>
    <row r="911" spans="1:3" x14ac:dyDescent="0.25">
      <c r="A911" s="279">
        <v>39112</v>
      </c>
      <c r="B911" t="s">
        <v>343</v>
      </c>
      <c r="C911">
        <v>32</v>
      </c>
    </row>
    <row r="912" spans="1:3" x14ac:dyDescent="0.25">
      <c r="A912" s="279">
        <v>39112</v>
      </c>
      <c r="B912" t="s">
        <v>344</v>
      </c>
      <c r="C912" t="s">
        <v>245</v>
      </c>
    </row>
    <row r="913" spans="1:3" x14ac:dyDescent="0.25">
      <c r="A913" s="279">
        <v>39112</v>
      </c>
      <c r="B913" t="s">
        <v>345</v>
      </c>
      <c r="C913" t="s">
        <v>269</v>
      </c>
    </row>
    <row r="914" spans="1:3" x14ac:dyDescent="0.25">
      <c r="A914" s="279">
        <v>39113</v>
      </c>
      <c r="B914" t="s">
        <v>340</v>
      </c>
      <c r="C914">
        <v>8.1</v>
      </c>
    </row>
    <row r="915" spans="1:3" x14ac:dyDescent="0.25">
      <c r="A915" s="279">
        <v>39113</v>
      </c>
      <c r="B915" t="s">
        <v>341</v>
      </c>
      <c r="C915">
        <v>33</v>
      </c>
    </row>
    <row r="916" spans="1:3" x14ac:dyDescent="0.25">
      <c r="A916" s="279">
        <v>39113</v>
      </c>
      <c r="B916" t="s">
        <v>342</v>
      </c>
      <c r="C916">
        <v>25</v>
      </c>
    </row>
    <row r="917" spans="1:3" x14ac:dyDescent="0.25">
      <c r="A917" s="279">
        <v>39113</v>
      </c>
      <c r="B917" t="s">
        <v>343</v>
      </c>
      <c r="C917">
        <v>28</v>
      </c>
    </row>
    <row r="918" spans="1:3" x14ac:dyDescent="0.25">
      <c r="A918" s="279">
        <v>39113</v>
      </c>
      <c r="B918" t="s">
        <v>344</v>
      </c>
      <c r="C918" t="s">
        <v>242</v>
      </c>
    </row>
    <row r="919" spans="1:3" x14ac:dyDescent="0.25">
      <c r="A919" s="279">
        <v>39113</v>
      </c>
      <c r="B919" t="s">
        <v>345</v>
      </c>
      <c r="C919" t="s">
        <v>243</v>
      </c>
    </row>
    <row r="920" spans="1:3" x14ac:dyDescent="0.25">
      <c r="A920" s="279">
        <v>39114</v>
      </c>
      <c r="B920" t="s">
        <v>340</v>
      </c>
      <c r="C920">
        <v>7.4</v>
      </c>
    </row>
    <row r="921" spans="1:3" x14ac:dyDescent="0.25">
      <c r="A921" s="279">
        <v>39114</v>
      </c>
      <c r="B921" t="s">
        <v>341</v>
      </c>
      <c r="C921">
        <v>36</v>
      </c>
    </row>
    <row r="922" spans="1:3" x14ac:dyDescent="0.25">
      <c r="A922" s="279">
        <v>39114</v>
      </c>
      <c r="B922" t="s">
        <v>342</v>
      </c>
      <c r="C922">
        <v>29</v>
      </c>
    </row>
    <row r="923" spans="1:3" x14ac:dyDescent="0.25">
      <c r="A923" s="279">
        <v>39114</v>
      </c>
      <c r="B923" t="s">
        <v>343</v>
      </c>
      <c r="C923">
        <v>33</v>
      </c>
    </row>
    <row r="924" spans="1:3" x14ac:dyDescent="0.25">
      <c r="A924" s="279">
        <v>39114</v>
      </c>
      <c r="B924" t="s">
        <v>344</v>
      </c>
      <c r="C924" t="s">
        <v>246</v>
      </c>
    </row>
    <row r="925" spans="1:3" x14ac:dyDescent="0.25">
      <c r="A925" s="279">
        <v>39114</v>
      </c>
      <c r="B925" t="s">
        <v>345</v>
      </c>
      <c r="C925" t="s">
        <v>275</v>
      </c>
    </row>
    <row r="926" spans="1:3" x14ac:dyDescent="0.25">
      <c r="A926" s="279">
        <v>39115</v>
      </c>
      <c r="B926" t="s">
        <v>340</v>
      </c>
      <c r="C926">
        <v>7.9</v>
      </c>
    </row>
    <row r="927" spans="1:3" x14ac:dyDescent="0.25">
      <c r="A927" s="279">
        <v>39115</v>
      </c>
      <c r="B927" t="s">
        <v>341</v>
      </c>
      <c r="C927">
        <v>38</v>
      </c>
    </row>
    <row r="928" spans="1:3" x14ac:dyDescent="0.25">
      <c r="A928" s="279">
        <v>39115</v>
      </c>
      <c r="B928" t="s">
        <v>342</v>
      </c>
      <c r="C928">
        <v>24</v>
      </c>
    </row>
    <row r="929" spans="1:3" x14ac:dyDescent="0.25">
      <c r="A929" s="279">
        <v>39115</v>
      </c>
      <c r="B929" t="s">
        <v>343</v>
      </c>
      <c r="C929">
        <v>34</v>
      </c>
    </row>
    <row r="930" spans="1:3" x14ac:dyDescent="0.25">
      <c r="A930" s="279">
        <v>39115</v>
      </c>
      <c r="B930" t="s">
        <v>344</v>
      </c>
      <c r="C930" t="s">
        <v>242</v>
      </c>
    </row>
    <row r="931" spans="1:3" x14ac:dyDescent="0.25">
      <c r="A931" s="279">
        <v>39115</v>
      </c>
      <c r="B931" t="s">
        <v>345</v>
      </c>
      <c r="C931" t="s">
        <v>276</v>
      </c>
    </row>
    <row r="932" spans="1:3" x14ac:dyDescent="0.25">
      <c r="A932" s="279">
        <v>39116</v>
      </c>
      <c r="B932" t="s">
        <v>340</v>
      </c>
      <c r="C932">
        <v>13.3</v>
      </c>
    </row>
    <row r="933" spans="1:3" x14ac:dyDescent="0.25">
      <c r="A933" s="279">
        <v>39116</v>
      </c>
      <c r="B933" t="s">
        <v>341</v>
      </c>
      <c r="C933">
        <v>30</v>
      </c>
    </row>
    <row r="934" spans="1:3" x14ac:dyDescent="0.25">
      <c r="A934" s="279">
        <v>39116</v>
      </c>
      <c r="B934" t="s">
        <v>342</v>
      </c>
      <c r="C934">
        <v>14</v>
      </c>
    </row>
    <row r="935" spans="1:3" x14ac:dyDescent="0.25">
      <c r="A935" s="279">
        <v>39116</v>
      </c>
      <c r="B935" t="s">
        <v>343</v>
      </c>
      <c r="C935">
        <v>27</v>
      </c>
    </row>
    <row r="936" spans="1:3" x14ac:dyDescent="0.25">
      <c r="A936" s="279">
        <v>39116</v>
      </c>
      <c r="B936" t="s">
        <v>344</v>
      </c>
      <c r="C936" t="s">
        <v>242</v>
      </c>
    </row>
    <row r="937" spans="1:3" x14ac:dyDescent="0.25">
      <c r="A937" s="279">
        <v>39116</v>
      </c>
      <c r="B937" t="s">
        <v>345</v>
      </c>
      <c r="C937" t="s">
        <v>243</v>
      </c>
    </row>
    <row r="938" spans="1:3" x14ac:dyDescent="0.25">
      <c r="A938" s="279">
        <v>39117</v>
      </c>
      <c r="B938" t="s">
        <v>340</v>
      </c>
      <c r="C938">
        <v>14.9</v>
      </c>
    </row>
    <row r="939" spans="1:3" x14ac:dyDescent="0.25">
      <c r="A939" s="279">
        <v>39117</v>
      </c>
      <c r="B939" t="s">
        <v>341</v>
      </c>
      <c r="C939">
        <v>29</v>
      </c>
    </row>
    <row r="940" spans="1:3" x14ac:dyDescent="0.25">
      <c r="A940" s="279">
        <v>39117</v>
      </c>
      <c r="B940" t="s">
        <v>342</v>
      </c>
      <c r="C940">
        <v>11</v>
      </c>
    </row>
    <row r="941" spans="1:3" x14ac:dyDescent="0.25">
      <c r="A941" s="279">
        <v>39117</v>
      </c>
      <c r="B941" t="s">
        <v>343</v>
      </c>
      <c r="C941">
        <v>21</v>
      </c>
    </row>
    <row r="942" spans="1:3" x14ac:dyDescent="0.25">
      <c r="A942" s="279">
        <v>39117</v>
      </c>
      <c r="B942" t="s">
        <v>344</v>
      </c>
      <c r="C942" t="s">
        <v>242</v>
      </c>
    </row>
    <row r="943" spans="1:3" x14ac:dyDescent="0.25">
      <c r="A943" s="279">
        <v>39117</v>
      </c>
      <c r="B943" t="s">
        <v>345</v>
      </c>
      <c r="C943" t="s">
        <v>243</v>
      </c>
    </row>
    <row r="944" spans="1:3" x14ac:dyDescent="0.25">
      <c r="A944" s="279">
        <v>39118</v>
      </c>
      <c r="B944" t="s">
        <v>340</v>
      </c>
      <c r="C944">
        <v>17.7</v>
      </c>
    </row>
    <row r="945" spans="1:3" x14ac:dyDescent="0.25">
      <c r="A945" s="279">
        <v>39118</v>
      </c>
      <c r="B945" t="s">
        <v>341</v>
      </c>
      <c r="C945">
        <v>18</v>
      </c>
    </row>
    <row r="946" spans="1:3" x14ac:dyDescent="0.25">
      <c r="A946" s="279">
        <v>39118</v>
      </c>
      <c r="B946" t="s">
        <v>342</v>
      </c>
      <c r="C946">
        <v>11</v>
      </c>
    </row>
    <row r="947" spans="1:3" x14ac:dyDescent="0.25">
      <c r="A947" s="279">
        <v>39118</v>
      </c>
      <c r="B947" t="s">
        <v>343</v>
      </c>
      <c r="C947">
        <v>14</v>
      </c>
    </row>
    <row r="948" spans="1:3" x14ac:dyDescent="0.25">
      <c r="A948" s="279">
        <v>39118</v>
      </c>
      <c r="B948" t="s">
        <v>344</v>
      </c>
      <c r="C948" t="s">
        <v>242</v>
      </c>
    </row>
    <row r="949" spans="1:3" x14ac:dyDescent="0.25">
      <c r="A949" s="279">
        <v>39118</v>
      </c>
      <c r="B949" t="s">
        <v>345</v>
      </c>
      <c r="C949" t="s">
        <v>243</v>
      </c>
    </row>
    <row r="950" spans="1:3" x14ac:dyDescent="0.25">
      <c r="A950" s="279">
        <v>39119</v>
      </c>
      <c r="B950" t="s">
        <v>340</v>
      </c>
      <c r="C950">
        <v>10.6</v>
      </c>
    </row>
    <row r="951" spans="1:3" x14ac:dyDescent="0.25">
      <c r="A951" s="279">
        <v>39119</v>
      </c>
      <c r="B951" t="s">
        <v>341</v>
      </c>
      <c r="C951">
        <v>22</v>
      </c>
    </row>
    <row r="952" spans="1:3" x14ac:dyDescent="0.25">
      <c r="A952" s="279">
        <v>39119</v>
      </c>
      <c r="B952" t="s">
        <v>342</v>
      </c>
      <c r="C952">
        <v>13</v>
      </c>
    </row>
    <row r="953" spans="1:3" x14ac:dyDescent="0.25">
      <c r="A953" s="279">
        <v>39119</v>
      </c>
      <c r="B953" t="s">
        <v>343</v>
      </c>
      <c r="C953">
        <v>18</v>
      </c>
    </row>
    <row r="954" spans="1:3" x14ac:dyDescent="0.25">
      <c r="A954" s="279">
        <v>39119</v>
      </c>
      <c r="B954" t="s">
        <v>344</v>
      </c>
      <c r="C954" t="s">
        <v>242</v>
      </c>
    </row>
    <row r="955" spans="1:3" x14ac:dyDescent="0.25">
      <c r="A955" s="279">
        <v>39119</v>
      </c>
      <c r="B955" t="s">
        <v>345</v>
      </c>
      <c r="C955" t="s">
        <v>243</v>
      </c>
    </row>
    <row r="956" spans="1:3" x14ac:dyDescent="0.25">
      <c r="A956" s="279">
        <v>39120</v>
      </c>
      <c r="B956" t="s">
        <v>340</v>
      </c>
      <c r="C956">
        <v>4.2</v>
      </c>
    </row>
    <row r="957" spans="1:3" x14ac:dyDescent="0.25">
      <c r="A957" s="279">
        <v>39120</v>
      </c>
      <c r="B957" t="s">
        <v>341</v>
      </c>
      <c r="C957">
        <v>28</v>
      </c>
    </row>
    <row r="958" spans="1:3" x14ac:dyDescent="0.25">
      <c r="A958" s="279">
        <v>39120</v>
      </c>
      <c r="B958" t="s">
        <v>342</v>
      </c>
      <c r="C958">
        <v>18</v>
      </c>
    </row>
    <row r="959" spans="1:3" x14ac:dyDescent="0.25">
      <c r="A959" s="279">
        <v>39120</v>
      </c>
      <c r="B959" t="s">
        <v>343</v>
      </c>
      <c r="C959">
        <v>22</v>
      </c>
    </row>
    <row r="960" spans="1:3" x14ac:dyDescent="0.25">
      <c r="A960" s="279">
        <v>39120</v>
      </c>
      <c r="B960" t="s">
        <v>344</v>
      </c>
      <c r="C960" t="s">
        <v>242</v>
      </c>
    </row>
    <row r="961" spans="1:3" x14ac:dyDescent="0.25">
      <c r="A961" s="279">
        <v>39120</v>
      </c>
      <c r="B961" t="s">
        <v>345</v>
      </c>
      <c r="C961" t="s">
        <v>243</v>
      </c>
    </row>
    <row r="962" spans="1:3" x14ac:dyDescent="0.25">
      <c r="A962" s="279">
        <v>39121</v>
      </c>
      <c r="B962" t="s">
        <v>340</v>
      </c>
      <c r="C962">
        <v>5.5</v>
      </c>
    </row>
    <row r="963" spans="1:3" x14ac:dyDescent="0.25">
      <c r="A963" s="279">
        <v>39121</v>
      </c>
      <c r="B963" t="s">
        <v>341</v>
      </c>
      <c r="C963">
        <v>30</v>
      </c>
    </row>
    <row r="964" spans="1:3" x14ac:dyDescent="0.25">
      <c r="A964" s="279">
        <v>39121</v>
      </c>
      <c r="B964" t="s">
        <v>342</v>
      </c>
      <c r="C964">
        <v>21</v>
      </c>
    </row>
    <row r="965" spans="1:3" x14ac:dyDescent="0.25">
      <c r="A965" s="279">
        <v>39121</v>
      </c>
      <c r="B965" t="s">
        <v>343</v>
      </c>
      <c r="C965">
        <v>25</v>
      </c>
    </row>
    <row r="966" spans="1:3" x14ac:dyDescent="0.25">
      <c r="A966" s="279">
        <v>39121</v>
      </c>
      <c r="B966" t="s">
        <v>344</v>
      </c>
      <c r="C966" t="s">
        <v>242</v>
      </c>
    </row>
    <row r="967" spans="1:3" x14ac:dyDescent="0.25">
      <c r="A967" s="279">
        <v>39121</v>
      </c>
      <c r="B967" t="s">
        <v>345</v>
      </c>
      <c r="C967" t="s">
        <v>243</v>
      </c>
    </row>
    <row r="968" spans="1:3" x14ac:dyDescent="0.25">
      <c r="A968" s="279">
        <v>39122</v>
      </c>
      <c r="B968" t="s">
        <v>340</v>
      </c>
      <c r="C968">
        <v>6.3</v>
      </c>
    </row>
    <row r="969" spans="1:3" x14ac:dyDescent="0.25">
      <c r="A969" s="279">
        <v>39122</v>
      </c>
      <c r="B969" t="s">
        <v>341</v>
      </c>
      <c r="C969">
        <v>34</v>
      </c>
    </row>
    <row r="970" spans="1:3" x14ac:dyDescent="0.25">
      <c r="A970" s="279">
        <v>39122</v>
      </c>
      <c r="B970" t="s">
        <v>342</v>
      </c>
      <c r="C970">
        <v>25</v>
      </c>
    </row>
    <row r="971" spans="1:3" x14ac:dyDescent="0.25">
      <c r="A971" s="279">
        <v>39122</v>
      </c>
      <c r="B971" t="s">
        <v>343</v>
      </c>
      <c r="C971">
        <v>29</v>
      </c>
    </row>
    <row r="972" spans="1:3" x14ac:dyDescent="0.25">
      <c r="A972" s="279">
        <v>39122</v>
      </c>
      <c r="B972" t="s">
        <v>344</v>
      </c>
      <c r="C972" t="s">
        <v>242</v>
      </c>
    </row>
    <row r="973" spans="1:3" x14ac:dyDescent="0.25">
      <c r="A973" s="279">
        <v>39122</v>
      </c>
      <c r="B973" t="s">
        <v>345</v>
      </c>
      <c r="C973" t="s">
        <v>243</v>
      </c>
    </row>
    <row r="974" spans="1:3" x14ac:dyDescent="0.25">
      <c r="A974" s="279">
        <v>39123</v>
      </c>
      <c r="B974" t="s">
        <v>340</v>
      </c>
      <c r="C974">
        <v>5.6</v>
      </c>
    </row>
    <row r="975" spans="1:3" x14ac:dyDescent="0.25">
      <c r="A975" s="279">
        <v>39123</v>
      </c>
      <c r="B975" t="s">
        <v>341</v>
      </c>
      <c r="C975">
        <v>35</v>
      </c>
    </row>
    <row r="976" spans="1:3" x14ac:dyDescent="0.25">
      <c r="A976" s="279">
        <v>39123</v>
      </c>
      <c r="B976" t="s">
        <v>342</v>
      </c>
      <c r="C976">
        <v>21</v>
      </c>
    </row>
    <row r="977" spans="1:3" x14ac:dyDescent="0.25">
      <c r="A977" s="279">
        <v>39123</v>
      </c>
      <c r="B977" t="s">
        <v>343</v>
      </c>
      <c r="C977">
        <v>27</v>
      </c>
    </row>
    <row r="978" spans="1:3" x14ac:dyDescent="0.25">
      <c r="A978" s="279">
        <v>39123</v>
      </c>
      <c r="B978" t="s">
        <v>344</v>
      </c>
      <c r="C978" t="s">
        <v>242</v>
      </c>
    </row>
    <row r="979" spans="1:3" x14ac:dyDescent="0.25">
      <c r="A979" s="279">
        <v>39123</v>
      </c>
      <c r="B979" t="s">
        <v>345</v>
      </c>
      <c r="C979" t="s">
        <v>243</v>
      </c>
    </row>
    <row r="980" spans="1:3" x14ac:dyDescent="0.25">
      <c r="A980" s="279">
        <v>39124</v>
      </c>
      <c r="B980" t="s">
        <v>340</v>
      </c>
      <c r="C980">
        <v>2.4</v>
      </c>
    </row>
    <row r="981" spans="1:3" x14ac:dyDescent="0.25">
      <c r="A981" s="279">
        <v>39124</v>
      </c>
      <c r="B981" t="s">
        <v>341</v>
      </c>
      <c r="C981">
        <v>39</v>
      </c>
    </row>
    <row r="982" spans="1:3" x14ac:dyDescent="0.25">
      <c r="A982" s="279">
        <v>39124</v>
      </c>
      <c r="B982" t="s">
        <v>342</v>
      </c>
      <c r="C982">
        <v>27</v>
      </c>
    </row>
    <row r="983" spans="1:3" x14ac:dyDescent="0.25">
      <c r="A983" s="279">
        <v>39124</v>
      </c>
      <c r="B983" t="s">
        <v>343</v>
      </c>
      <c r="C983">
        <v>33</v>
      </c>
    </row>
    <row r="984" spans="1:3" x14ac:dyDescent="0.25">
      <c r="A984" s="279">
        <v>39124</v>
      </c>
      <c r="B984" t="s">
        <v>344</v>
      </c>
      <c r="C984" t="s">
        <v>242</v>
      </c>
    </row>
    <row r="985" spans="1:3" x14ac:dyDescent="0.25">
      <c r="A985" s="279">
        <v>39124</v>
      </c>
      <c r="B985" t="s">
        <v>345</v>
      </c>
      <c r="C985" t="s">
        <v>243</v>
      </c>
    </row>
    <row r="986" spans="1:3" x14ac:dyDescent="0.25">
      <c r="A986" s="279">
        <v>39125</v>
      </c>
      <c r="B986" t="s">
        <v>340</v>
      </c>
      <c r="C986">
        <v>4.8</v>
      </c>
    </row>
    <row r="987" spans="1:3" x14ac:dyDescent="0.25">
      <c r="A987" s="279">
        <v>39125</v>
      </c>
      <c r="B987" t="s">
        <v>341</v>
      </c>
      <c r="C987">
        <v>47</v>
      </c>
    </row>
    <row r="988" spans="1:3" x14ac:dyDescent="0.25">
      <c r="A988" s="279">
        <v>39125</v>
      </c>
      <c r="B988" t="s">
        <v>342</v>
      </c>
      <c r="C988">
        <v>27</v>
      </c>
    </row>
    <row r="989" spans="1:3" x14ac:dyDescent="0.25">
      <c r="A989" s="279">
        <v>39125</v>
      </c>
      <c r="B989" t="s">
        <v>343</v>
      </c>
      <c r="C989">
        <v>39</v>
      </c>
    </row>
    <row r="990" spans="1:3" x14ac:dyDescent="0.25">
      <c r="A990" s="279">
        <v>39125</v>
      </c>
      <c r="B990" t="s">
        <v>344</v>
      </c>
      <c r="C990" t="s">
        <v>250</v>
      </c>
    </row>
    <row r="991" spans="1:3" x14ac:dyDescent="0.25">
      <c r="A991" s="279">
        <v>39125</v>
      </c>
      <c r="B991" t="s">
        <v>345</v>
      </c>
      <c r="C991" t="s">
        <v>258</v>
      </c>
    </row>
    <row r="992" spans="1:3" x14ac:dyDescent="0.25">
      <c r="A992" s="279">
        <v>39126</v>
      </c>
      <c r="B992" t="s">
        <v>340</v>
      </c>
      <c r="C992">
        <v>7.7</v>
      </c>
    </row>
    <row r="993" spans="1:3" x14ac:dyDescent="0.25">
      <c r="A993" s="279">
        <v>39126</v>
      </c>
      <c r="B993" t="s">
        <v>341</v>
      </c>
      <c r="C993">
        <v>31</v>
      </c>
    </row>
    <row r="994" spans="1:3" x14ac:dyDescent="0.25">
      <c r="A994" s="279">
        <v>39126</v>
      </c>
      <c r="B994" t="s">
        <v>342</v>
      </c>
      <c r="C994">
        <v>24</v>
      </c>
    </row>
    <row r="995" spans="1:3" x14ac:dyDescent="0.25">
      <c r="A995" s="279">
        <v>39126</v>
      </c>
      <c r="B995" t="s">
        <v>343</v>
      </c>
      <c r="C995">
        <v>28</v>
      </c>
    </row>
    <row r="996" spans="1:3" x14ac:dyDescent="0.25">
      <c r="A996" s="279">
        <v>39126</v>
      </c>
      <c r="B996" t="s">
        <v>344</v>
      </c>
      <c r="C996" t="s">
        <v>246</v>
      </c>
    </row>
    <row r="997" spans="1:3" x14ac:dyDescent="0.25">
      <c r="A997" s="279">
        <v>39126</v>
      </c>
      <c r="B997" t="s">
        <v>345</v>
      </c>
      <c r="C997" t="s">
        <v>277</v>
      </c>
    </row>
    <row r="998" spans="1:3" x14ac:dyDescent="0.25">
      <c r="A998" s="279">
        <v>39127</v>
      </c>
      <c r="B998" t="s">
        <v>340</v>
      </c>
      <c r="C998">
        <v>11.3</v>
      </c>
    </row>
    <row r="999" spans="1:3" x14ac:dyDescent="0.25">
      <c r="A999" s="279">
        <v>39127</v>
      </c>
      <c r="B999" t="s">
        <v>341</v>
      </c>
      <c r="C999">
        <v>39</v>
      </c>
    </row>
    <row r="1000" spans="1:3" x14ac:dyDescent="0.25">
      <c r="A1000" s="279">
        <v>39127</v>
      </c>
      <c r="B1000" t="s">
        <v>342</v>
      </c>
      <c r="C1000">
        <v>17</v>
      </c>
    </row>
    <row r="1001" spans="1:3" x14ac:dyDescent="0.25">
      <c r="A1001" s="279">
        <v>39127</v>
      </c>
      <c r="B1001" t="s">
        <v>343</v>
      </c>
      <c r="C1001">
        <v>24</v>
      </c>
    </row>
    <row r="1002" spans="1:3" x14ac:dyDescent="0.25">
      <c r="A1002" s="279">
        <v>39127</v>
      </c>
      <c r="B1002" t="s">
        <v>344</v>
      </c>
      <c r="C1002" t="s">
        <v>240</v>
      </c>
    </row>
    <row r="1003" spans="1:3" x14ac:dyDescent="0.25">
      <c r="A1003" s="279">
        <v>39127</v>
      </c>
      <c r="B1003" t="s">
        <v>345</v>
      </c>
      <c r="C1003" t="s">
        <v>278</v>
      </c>
    </row>
    <row r="1004" spans="1:3" x14ac:dyDescent="0.25">
      <c r="A1004" s="279">
        <v>39128</v>
      </c>
      <c r="B1004" t="s">
        <v>340</v>
      </c>
      <c r="C1004">
        <v>5.9</v>
      </c>
    </row>
    <row r="1005" spans="1:3" x14ac:dyDescent="0.25">
      <c r="A1005" s="279">
        <v>39128</v>
      </c>
      <c r="B1005" t="s">
        <v>341</v>
      </c>
      <c r="C1005">
        <v>27</v>
      </c>
    </row>
    <row r="1006" spans="1:3" x14ac:dyDescent="0.25">
      <c r="A1006" s="279">
        <v>39128</v>
      </c>
      <c r="B1006" t="s">
        <v>342</v>
      </c>
      <c r="C1006">
        <v>17</v>
      </c>
    </row>
    <row r="1007" spans="1:3" x14ac:dyDescent="0.25">
      <c r="A1007" s="279">
        <v>39128</v>
      </c>
      <c r="B1007" t="s">
        <v>343</v>
      </c>
      <c r="C1007">
        <v>21</v>
      </c>
    </row>
    <row r="1008" spans="1:3" x14ac:dyDescent="0.25">
      <c r="A1008" s="279">
        <v>39128</v>
      </c>
      <c r="B1008" t="s">
        <v>344</v>
      </c>
      <c r="C1008" t="s">
        <v>242</v>
      </c>
    </row>
    <row r="1009" spans="1:3" x14ac:dyDescent="0.25">
      <c r="A1009" s="279">
        <v>39128</v>
      </c>
      <c r="B1009" t="s">
        <v>345</v>
      </c>
      <c r="C1009" t="s">
        <v>275</v>
      </c>
    </row>
    <row r="1010" spans="1:3" x14ac:dyDescent="0.25">
      <c r="A1010" s="279">
        <v>39129</v>
      </c>
      <c r="B1010" t="s">
        <v>340</v>
      </c>
      <c r="C1010">
        <v>4.0999999999999996</v>
      </c>
    </row>
    <row r="1011" spans="1:3" x14ac:dyDescent="0.25">
      <c r="A1011" s="279">
        <v>39129</v>
      </c>
      <c r="B1011" t="s">
        <v>341</v>
      </c>
      <c r="C1011">
        <v>34</v>
      </c>
    </row>
    <row r="1012" spans="1:3" x14ac:dyDescent="0.25">
      <c r="A1012" s="279">
        <v>39129</v>
      </c>
      <c r="B1012" t="s">
        <v>342</v>
      </c>
      <c r="C1012">
        <v>22</v>
      </c>
    </row>
    <row r="1013" spans="1:3" x14ac:dyDescent="0.25">
      <c r="A1013" s="279">
        <v>39129</v>
      </c>
      <c r="B1013" t="s">
        <v>343</v>
      </c>
      <c r="C1013">
        <v>26</v>
      </c>
    </row>
    <row r="1014" spans="1:3" x14ac:dyDescent="0.25">
      <c r="A1014" s="279">
        <v>39129</v>
      </c>
      <c r="B1014" t="s">
        <v>344</v>
      </c>
      <c r="C1014" t="s">
        <v>242</v>
      </c>
    </row>
    <row r="1015" spans="1:3" x14ac:dyDescent="0.25">
      <c r="A1015" s="279">
        <v>39129</v>
      </c>
      <c r="B1015" t="s">
        <v>345</v>
      </c>
      <c r="C1015" t="s">
        <v>241</v>
      </c>
    </row>
    <row r="1016" spans="1:3" x14ac:dyDescent="0.25">
      <c r="A1016" s="279">
        <v>39130</v>
      </c>
      <c r="B1016" t="s">
        <v>340</v>
      </c>
      <c r="C1016">
        <v>4.5999999999999996</v>
      </c>
    </row>
    <row r="1017" spans="1:3" x14ac:dyDescent="0.25">
      <c r="A1017" s="279">
        <v>39130</v>
      </c>
      <c r="B1017" t="s">
        <v>341</v>
      </c>
      <c r="C1017">
        <v>41</v>
      </c>
    </row>
    <row r="1018" spans="1:3" x14ac:dyDescent="0.25">
      <c r="A1018" s="279">
        <v>39130</v>
      </c>
      <c r="B1018" t="s">
        <v>342</v>
      </c>
      <c r="C1018">
        <v>31</v>
      </c>
    </row>
    <row r="1019" spans="1:3" x14ac:dyDescent="0.25">
      <c r="A1019" s="279">
        <v>39130</v>
      </c>
      <c r="B1019" t="s">
        <v>343</v>
      </c>
      <c r="C1019">
        <v>36</v>
      </c>
    </row>
    <row r="1020" spans="1:3" x14ac:dyDescent="0.25">
      <c r="A1020" s="279">
        <v>39130</v>
      </c>
      <c r="B1020" t="s">
        <v>344</v>
      </c>
      <c r="C1020" t="s">
        <v>245</v>
      </c>
    </row>
    <row r="1021" spans="1:3" x14ac:dyDescent="0.25">
      <c r="A1021" s="279">
        <v>39130</v>
      </c>
      <c r="B1021" t="s">
        <v>345</v>
      </c>
      <c r="C1021" t="s">
        <v>275</v>
      </c>
    </row>
    <row r="1022" spans="1:3" x14ac:dyDescent="0.25">
      <c r="A1022" s="279">
        <v>39131</v>
      </c>
      <c r="B1022" t="s">
        <v>340</v>
      </c>
      <c r="C1022">
        <v>9</v>
      </c>
    </row>
    <row r="1023" spans="1:3" x14ac:dyDescent="0.25">
      <c r="A1023" s="279">
        <v>39131</v>
      </c>
      <c r="B1023" t="s">
        <v>341</v>
      </c>
      <c r="C1023">
        <v>37</v>
      </c>
    </row>
    <row r="1024" spans="1:3" x14ac:dyDescent="0.25">
      <c r="A1024" s="279">
        <v>39131</v>
      </c>
      <c r="B1024" t="s">
        <v>342</v>
      </c>
      <c r="C1024">
        <v>16</v>
      </c>
    </row>
    <row r="1025" spans="1:3" x14ac:dyDescent="0.25">
      <c r="A1025" s="279">
        <v>39131</v>
      </c>
      <c r="B1025" t="s">
        <v>343</v>
      </c>
      <c r="C1025">
        <v>26</v>
      </c>
    </row>
    <row r="1026" spans="1:3" x14ac:dyDescent="0.25">
      <c r="A1026" s="279">
        <v>39131</v>
      </c>
      <c r="B1026" t="s">
        <v>344</v>
      </c>
      <c r="C1026" t="s">
        <v>240</v>
      </c>
    </row>
    <row r="1027" spans="1:3" x14ac:dyDescent="0.25">
      <c r="A1027" s="279">
        <v>39131</v>
      </c>
      <c r="B1027" t="s">
        <v>345</v>
      </c>
      <c r="C1027" t="s">
        <v>275</v>
      </c>
    </row>
    <row r="1028" spans="1:3" x14ac:dyDescent="0.25">
      <c r="A1028" s="279">
        <v>39132</v>
      </c>
      <c r="B1028" t="s">
        <v>340</v>
      </c>
      <c r="C1028">
        <v>4.2</v>
      </c>
    </row>
    <row r="1029" spans="1:3" x14ac:dyDescent="0.25">
      <c r="A1029" s="279">
        <v>39132</v>
      </c>
      <c r="B1029" t="s">
        <v>341</v>
      </c>
      <c r="C1029">
        <v>45</v>
      </c>
    </row>
    <row r="1030" spans="1:3" x14ac:dyDescent="0.25">
      <c r="A1030" s="279">
        <v>39132</v>
      </c>
      <c r="B1030" t="s">
        <v>342</v>
      </c>
      <c r="C1030">
        <v>22</v>
      </c>
    </row>
    <row r="1031" spans="1:3" x14ac:dyDescent="0.25">
      <c r="A1031" s="279">
        <v>39132</v>
      </c>
      <c r="B1031" t="s">
        <v>343</v>
      </c>
      <c r="C1031">
        <v>33</v>
      </c>
    </row>
    <row r="1032" spans="1:3" x14ac:dyDescent="0.25">
      <c r="A1032" s="279">
        <v>39132</v>
      </c>
      <c r="B1032" t="s">
        <v>344</v>
      </c>
      <c r="C1032" t="s">
        <v>245</v>
      </c>
    </row>
    <row r="1033" spans="1:3" x14ac:dyDescent="0.25">
      <c r="A1033" s="279">
        <v>39132</v>
      </c>
      <c r="B1033" t="s">
        <v>345</v>
      </c>
      <c r="C1033" t="s">
        <v>243</v>
      </c>
    </row>
    <row r="1034" spans="1:3" x14ac:dyDescent="0.25">
      <c r="A1034" s="279">
        <v>39133</v>
      </c>
      <c r="B1034" t="s">
        <v>340</v>
      </c>
      <c r="C1034">
        <v>3</v>
      </c>
    </row>
    <row r="1035" spans="1:3" x14ac:dyDescent="0.25">
      <c r="A1035" s="279">
        <v>39133</v>
      </c>
      <c r="B1035" t="s">
        <v>341</v>
      </c>
      <c r="C1035">
        <v>50</v>
      </c>
    </row>
    <row r="1036" spans="1:3" x14ac:dyDescent="0.25">
      <c r="A1036" s="279">
        <v>39133</v>
      </c>
      <c r="B1036" t="s">
        <v>342</v>
      </c>
      <c r="C1036">
        <v>41</v>
      </c>
    </row>
    <row r="1037" spans="1:3" x14ac:dyDescent="0.25">
      <c r="A1037" s="279">
        <v>39133</v>
      </c>
      <c r="B1037" t="s">
        <v>343</v>
      </c>
      <c r="C1037">
        <v>46</v>
      </c>
    </row>
    <row r="1038" spans="1:3" x14ac:dyDescent="0.25">
      <c r="A1038" s="279">
        <v>39133</v>
      </c>
      <c r="B1038" t="s">
        <v>344</v>
      </c>
      <c r="C1038" t="s">
        <v>240</v>
      </c>
    </row>
    <row r="1039" spans="1:3" x14ac:dyDescent="0.25">
      <c r="A1039" s="279">
        <v>39133</v>
      </c>
      <c r="B1039" t="s">
        <v>345</v>
      </c>
      <c r="C1039" t="s">
        <v>279</v>
      </c>
    </row>
    <row r="1040" spans="1:3" x14ac:dyDescent="0.25">
      <c r="A1040" s="279">
        <v>39134</v>
      </c>
      <c r="B1040" t="s">
        <v>340</v>
      </c>
      <c r="C1040">
        <v>4</v>
      </c>
    </row>
    <row r="1041" spans="1:3" x14ac:dyDescent="0.25">
      <c r="A1041" s="279">
        <v>39134</v>
      </c>
      <c r="B1041" t="s">
        <v>341</v>
      </c>
      <c r="C1041">
        <v>53</v>
      </c>
    </row>
    <row r="1042" spans="1:3" x14ac:dyDescent="0.25">
      <c r="A1042" s="279">
        <v>39134</v>
      </c>
      <c r="B1042" t="s">
        <v>342</v>
      </c>
      <c r="C1042">
        <v>33</v>
      </c>
    </row>
    <row r="1043" spans="1:3" x14ac:dyDescent="0.25">
      <c r="A1043" s="279">
        <v>39134</v>
      </c>
      <c r="B1043" t="s">
        <v>343</v>
      </c>
      <c r="C1043">
        <v>42</v>
      </c>
    </row>
    <row r="1044" spans="1:3" x14ac:dyDescent="0.25">
      <c r="A1044" s="279">
        <v>39134</v>
      </c>
      <c r="B1044" t="s">
        <v>344</v>
      </c>
      <c r="C1044" t="s">
        <v>240</v>
      </c>
    </row>
    <row r="1045" spans="1:3" x14ac:dyDescent="0.25">
      <c r="A1045" s="279">
        <v>39134</v>
      </c>
      <c r="B1045" t="s">
        <v>345</v>
      </c>
      <c r="C1045" t="s">
        <v>243</v>
      </c>
    </row>
    <row r="1046" spans="1:3" x14ac:dyDescent="0.25">
      <c r="A1046" s="279">
        <v>39135</v>
      </c>
      <c r="B1046" t="s">
        <v>340</v>
      </c>
      <c r="C1046">
        <v>11</v>
      </c>
    </row>
    <row r="1047" spans="1:3" x14ac:dyDescent="0.25">
      <c r="A1047" s="279">
        <v>39135</v>
      </c>
      <c r="B1047" t="s">
        <v>341</v>
      </c>
      <c r="C1047">
        <v>46</v>
      </c>
    </row>
    <row r="1048" spans="1:3" x14ac:dyDescent="0.25">
      <c r="A1048" s="279">
        <v>39135</v>
      </c>
      <c r="B1048" t="s">
        <v>342</v>
      </c>
      <c r="C1048">
        <v>33</v>
      </c>
    </row>
    <row r="1049" spans="1:3" x14ac:dyDescent="0.25">
      <c r="A1049" s="279">
        <v>39135</v>
      </c>
      <c r="B1049" t="s">
        <v>343</v>
      </c>
      <c r="C1049">
        <v>40</v>
      </c>
    </row>
    <row r="1050" spans="1:3" x14ac:dyDescent="0.25">
      <c r="A1050" s="279">
        <v>39135</v>
      </c>
      <c r="B1050" t="s">
        <v>344</v>
      </c>
      <c r="C1050" t="s">
        <v>240</v>
      </c>
    </row>
    <row r="1051" spans="1:3" x14ac:dyDescent="0.25">
      <c r="A1051" s="279">
        <v>39135</v>
      </c>
      <c r="B1051" t="s">
        <v>345</v>
      </c>
      <c r="C1051" t="s">
        <v>280</v>
      </c>
    </row>
    <row r="1052" spans="1:3" x14ac:dyDescent="0.25">
      <c r="A1052" s="279">
        <v>39136</v>
      </c>
      <c r="B1052" t="s">
        <v>340</v>
      </c>
      <c r="C1052">
        <v>10.5</v>
      </c>
    </row>
    <row r="1053" spans="1:3" x14ac:dyDescent="0.25">
      <c r="A1053" s="279">
        <v>39136</v>
      </c>
      <c r="B1053" t="s">
        <v>341</v>
      </c>
      <c r="C1053">
        <v>40</v>
      </c>
    </row>
    <row r="1054" spans="1:3" x14ac:dyDescent="0.25">
      <c r="A1054" s="279">
        <v>39136</v>
      </c>
      <c r="B1054" t="s">
        <v>342</v>
      </c>
      <c r="C1054">
        <v>22</v>
      </c>
    </row>
    <row r="1055" spans="1:3" x14ac:dyDescent="0.25">
      <c r="A1055" s="279">
        <v>39136</v>
      </c>
      <c r="B1055" t="s">
        <v>343</v>
      </c>
      <c r="C1055">
        <v>31</v>
      </c>
    </row>
    <row r="1056" spans="1:3" x14ac:dyDescent="0.25">
      <c r="A1056" s="279">
        <v>39136</v>
      </c>
      <c r="B1056" t="s">
        <v>344</v>
      </c>
      <c r="C1056" t="s">
        <v>240</v>
      </c>
    </row>
    <row r="1057" spans="1:3" x14ac:dyDescent="0.25">
      <c r="A1057" s="279">
        <v>39136</v>
      </c>
      <c r="B1057" t="s">
        <v>345</v>
      </c>
      <c r="C1057" t="s">
        <v>243</v>
      </c>
    </row>
    <row r="1058" spans="1:3" x14ac:dyDescent="0.25">
      <c r="A1058" s="279">
        <v>39137</v>
      </c>
      <c r="B1058" t="s">
        <v>340</v>
      </c>
      <c r="C1058">
        <v>5.9</v>
      </c>
    </row>
    <row r="1059" spans="1:3" x14ac:dyDescent="0.25">
      <c r="A1059" s="279">
        <v>39137</v>
      </c>
      <c r="B1059" t="s">
        <v>341</v>
      </c>
      <c r="C1059">
        <v>44</v>
      </c>
    </row>
    <row r="1060" spans="1:3" x14ac:dyDescent="0.25">
      <c r="A1060" s="279">
        <v>39137</v>
      </c>
      <c r="B1060" t="s">
        <v>342</v>
      </c>
      <c r="C1060">
        <v>30</v>
      </c>
    </row>
    <row r="1061" spans="1:3" x14ac:dyDescent="0.25">
      <c r="A1061" s="279">
        <v>39137</v>
      </c>
      <c r="B1061" t="s">
        <v>343</v>
      </c>
      <c r="C1061">
        <v>36</v>
      </c>
    </row>
    <row r="1062" spans="1:3" x14ac:dyDescent="0.25">
      <c r="A1062" s="279">
        <v>39137</v>
      </c>
      <c r="B1062" t="s">
        <v>344</v>
      </c>
      <c r="C1062" t="s">
        <v>240</v>
      </c>
    </row>
    <row r="1063" spans="1:3" x14ac:dyDescent="0.25">
      <c r="A1063" s="279">
        <v>39137</v>
      </c>
      <c r="B1063" t="s">
        <v>345</v>
      </c>
      <c r="C1063" t="s">
        <v>243</v>
      </c>
    </row>
    <row r="1064" spans="1:3" x14ac:dyDescent="0.25">
      <c r="A1064" s="279">
        <v>39138</v>
      </c>
      <c r="B1064" t="s">
        <v>340</v>
      </c>
      <c r="C1064">
        <v>3.6</v>
      </c>
    </row>
    <row r="1065" spans="1:3" x14ac:dyDescent="0.25">
      <c r="A1065" s="279">
        <v>39138</v>
      </c>
      <c r="B1065" t="s">
        <v>341</v>
      </c>
      <c r="C1065">
        <v>37</v>
      </c>
    </row>
    <row r="1066" spans="1:3" x14ac:dyDescent="0.25">
      <c r="A1066" s="279">
        <v>39138</v>
      </c>
      <c r="B1066" t="s">
        <v>342</v>
      </c>
      <c r="C1066">
        <v>32</v>
      </c>
    </row>
    <row r="1067" spans="1:3" x14ac:dyDescent="0.25">
      <c r="A1067" s="279">
        <v>39138</v>
      </c>
      <c r="B1067" t="s">
        <v>343</v>
      </c>
      <c r="C1067">
        <v>34</v>
      </c>
    </row>
    <row r="1068" spans="1:3" x14ac:dyDescent="0.25">
      <c r="A1068" s="279">
        <v>39138</v>
      </c>
      <c r="B1068" t="s">
        <v>344</v>
      </c>
      <c r="C1068" t="s">
        <v>246</v>
      </c>
    </row>
    <row r="1069" spans="1:3" x14ac:dyDescent="0.25">
      <c r="A1069" s="279">
        <v>39138</v>
      </c>
      <c r="B1069" t="s">
        <v>345</v>
      </c>
      <c r="C1069" t="s">
        <v>281</v>
      </c>
    </row>
    <row r="1070" spans="1:3" x14ac:dyDescent="0.25">
      <c r="A1070" s="279">
        <v>39139</v>
      </c>
      <c r="B1070" t="s">
        <v>340</v>
      </c>
      <c r="C1070">
        <v>1.3</v>
      </c>
    </row>
    <row r="1071" spans="1:3" x14ac:dyDescent="0.25">
      <c r="A1071" s="279">
        <v>39139</v>
      </c>
      <c r="B1071" t="s">
        <v>341</v>
      </c>
      <c r="C1071">
        <v>46</v>
      </c>
    </row>
    <row r="1072" spans="1:3" x14ac:dyDescent="0.25">
      <c r="A1072" s="279">
        <v>39139</v>
      </c>
      <c r="B1072" t="s">
        <v>342</v>
      </c>
      <c r="C1072">
        <v>36</v>
      </c>
    </row>
    <row r="1073" spans="1:3" x14ac:dyDescent="0.25">
      <c r="A1073" s="279">
        <v>39139</v>
      </c>
      <c r="B1073" t="s">
        <v>343</v>
      </c>
      <c r="C1073">
        <v>38</v>
      </c>
    </row>
    <row r="1074" spans="1:3" x14ac:dyDescent="0.25">
      <c r="A1074" s="279">
        <v>39139</v>
      </c>
      <c r="B1074" t="s">
        <v>344</v>
      </c>
      <c r="C1074" t="s">
        <v>246</v>
      </c>
    </row>
    <row r="1075" spans="1:3" x14ac:dyDescent="0.25">
      <c r="A1075" s="279">
        <v>39139</v>
      </c>
      <c r="B1075" t="s">
        <v>345</v>
      </c>
      <c r="C1075" t="s">
        <v>251</v>
      </c>
    </row>
    <row r="1076" spans="1:3" x14ac:dyDescent="0.25">
      <c r="A1076" s="279">
        <v>39140</v>
      </c>
      <c r="B1076" t="s">
        <v>340</v>
      </c>
      <c r="C1076">
        <v>4.4000000000000004</v>
      </c>
    </row>
    <row r="1077" spans="1:3" x14ac:dyDescent="0.25">
      <c r="A1077" s="279">
        <v>39140</v>
      </c>
      <c r="B1077" t="s">
        <v>341</v>
      </c>
      <c r="C1077">
        <v>53</v>
      </c>
    </row>
    <row r="1078" spans="1:3" x14ac:dyDescent="0.25">
      <c r="A1078" s="279">
        <v>39140</v>
      </c>
      <c r="B1078" t="s">
        <v>342</v>
      </c>
      <c r="C1078">
        <v>39</v>
      </c>
    </row>
    <row r="1079" spans="1:3" x14ac:dyDescent="0.25">
      <c r="A1079" s="279">
        <v>39140</v>
      </c>
      <c r="B1079" t="s">
        <v>343</v>
      </c>
      <c r="C1079">
        <v>44</v>
      </c>
    </row>
    <row r="1080" spans="1:3" x14ac:dyDescent="0.25">
      <c r="A1080" s="279">
        <v>39140</v>
      </c>
      <c r="B1080" t="s">
        <v>344</v>
      </c>
      <c r="C1080" t="s">
        <v>242</v>
      </c>
    </row>
    <row r="1081" spans="1:3" x14ac:dyDescent="0.25">
      <c r="A1081" s="279">
        <v>39140</v>
      </c>
      <c r="B1081" t="s">
        <v>345</v>
      </c>
      <c r="C1081" t="s">
        <v>241</v>
      </c>
    </row>
    <row r="1082" spans="1:3" x14ac:dyDescent="0.25">
      <c r="A1082" s="279">
        <v>39141</v>
      </c>
      <c r="B1082" t="s">
        <v>340</v>
      </c>
      <c r="C1082">
        <v>3.6</v>
      </c>
    </row>
    <row r="1083" spans="1:3" x14ac:dyDescent="0.25">
      <c r="A1083" s="279">
        <v>39141</v>
      </c>
      <c r="B1083" t="s">
        <v>341</v>
      </c>
      <c r="C1083">
        <v>46</v>
      </c>
    </row>
    <row r="1084" spans="1:3" x14ac:dyDescent="0.25">
      <c r="A1084" s="279">
        <v>39141</v>
      </c>
      <c r="B1084" t="s">
        <v>342</v>
      </c>
      <c r="C1084">
        <v>36</v>
      </c>
    </row>
    <row r="1085" spans="1:3" x14ac:dyDescent="0.25">
      <c r="A1085" s="279">
        <v>39141</v>
      </c>
      <c r="B1085" t="s">
        <v>343</v>
      </c>
      <c r="C1085">
        <v>42</v>
      </c>
    </row>
    <row r="1086" spans="1:3" x14ac:dyDescent="0.25">
      <c r="A1086" s="279">
        <v>39141</v>
      </c>
      <c r="B1086" t="s">
        <v>344</v>
      </c>
      <c r="C1086" t="s">
        <v>240</v>
      </c>
    </row>
    <row r="1087" spans="1:3" x14ac:dyDescent="0.25">
      <c r="A1087" s="279">
        <v>39141</v>
      </c>
      <c r="B1087" t="s">
        <v>345</v>
      </c>
      <c r="C1087" t="s">
        <v>279</v>
      </c>
    </row>
    <row r="1088" spans="1:3" x14ac:dyDescent="0.25">
      <c r="A1088" s="279">
        <v>39142</v>
      </c>
      <c r="B1088" t="s">
        <v>340</v>
      </c>
      <c r="C1088">
        <v>4.7</v>
      </c>
    </row>
    <row r="1089" spans="1:3" x14ac:dyDescent="0.25">
      <c r="A1089" s="279">
        <v>39142</v>
      </c>
      <c r="B1089" t="s">
        <v>341</v>
      </c>
      <c r="C1089">
        <v>60</v>
      </c>
    </row>
    <row r="1090" spans="1:3" x14ac:dyDescent="0.25">
      <c r="A1090" s="279">
        <v>39142</v>
      </c>
      <c r="B1090" t="s">
        <v>342</v>
      </c>
      <c r="C1090">
        <v>42</v>
      </c>
    </row>
    <row r="1091" spans="1:3" x14ac:dyDescent="0.25">
      <c r="A1091" s="279">
        <v>39142</v>
      </c>
      <c r="B1091" t="s">
        <v>343</v>
      </c>
      <c r="C1091">
        <v>50</v>
      </c>
    </row>
    <row r="1092" spans="1:3" x14ac:dyDescent="0.25">
      <c r="A1092" s="279">
        <v>39142</v>
      </c>
      <c r="B1092" t="s">
        <v>344</v>
      </c>
      <c r="C1092" t="s">
        <v>249</v>
      </c>
    </row>
    <row r="1093" spans="1:3" x14ac:dyDescent="0.25">
      <c r="A1093" s="279">
        <v>39142</v>
      </c>
      <c r="B1093" t="s">
        <v>345</v>
      </c>
      <c r="C1093" t="s">
        <v>283</v>
      </c>
    </row>
    <row r="1094" spans="1:3" x14ac:dyDescent="0.25">
      <c r="A1094" s="279">
        <v>39143</v>
      </c>
      <c r="B1094" t="s">
        <v>340</v>
      </c>
      <c r="C1094">
        <v>3.4</v>
      </c>
    </row>
    <row r="1095" spans="1:3" x14ac:dyDescent="0.25">
      <c r="A1095" s="279">
        <v>39143</v>
      </c>
      <c r="B1095" t="s">
        <v>341</v>
      </c>
      <c r="C1095">
        <v>65</v>
      </c>
    </row>
    <row r="1096" spans="1:3" x14ac:dyDescent="0.25">
      <c r="A1096" s="279">
        <v>39143</v>
      </c>
      <c r="B1096" t="s">
        <v>342</v>
      </c>
      <c r="C1096">
        <v>36</v>
      </c>
    </row>
    <row r="1097" spans="1:3" x14ac:dyDescent="0.25">
      <c r="A1097" s="279">
        <v>39143</v>
      </c>
      <c r="B1097" t="s">
        <v>343</v>
      </c>
      <c r="C1097">
        <v>51</v>
      </c>
    </row>
    <row r="1098" spans="1:3" x14ac:dyDescent="0.25">
      <c r="A1098" s="279">
        <v>39143</v>
      </c>
      <c r="B1098" t="s">
        <v>344</v>
      </c>
      <c r="C1098" t="s">
        <v>245</v>
      </c>
    </row>
    <row r="1099" spans="1:3" x14ac:dyDescent="0.25">
      <c r="A1099" s="279">
        <v>39143</v>
      </c>
      <c r="B1099" t="s">
        <v>345</v>
      </c>
      <c r="C1099" t="s">
        <v>282</v>
      </c>
    </row>
    <row r="1100" spans="1:3" x14ac:dyDescent="0.25">
      <c r="A1100" s="279">
        <v>39144</v>
      </c>
      <c r="B1100" t="s">
        <v>340</v>
      </c>
      <c r="C1100">
        <v>7.4</v>
      </c>
    </row>
    <row r="1101" spans="1:3" x14ac:dyDescent="0.25">
      <c r="A1101" s="279">
        <v>39144</v>
      </c>
      <c r="B1101" t="s">
        <v>341</v>
      </c>
      <c r="C1101">
        <v>64</v>
      </c>
    </row>
    <row r="1102" spans="1:3" x14ac:dyDescent="0.25">
      <c r="A1102" s="279">
        <v>39144</v>
      </c>
      <c r="B1102" t="s">
        <v>342</v>
      </c>
      <c r="C1102">
        <v>37</v>
      </c>
    </row>
    <row r="1103" spans="1:3" x14ac:dyDescent="0.25">
      <c r="A1103" s="279">
        <v>39144</v>
      </c>
      <c r="B1103" t="s">
        <v>343</v>
      </c>
      <c r="C1103">
        <v>47</v>
      </c>
    </row>
    <row r="1104" spans="1:3" x14ac:dyDescent="0.25">
      <c r="A1104" s="279">
        <v>39144</v>
      </c>
      <c r="B1104" t="s">
        <v>344</v>
      </c>
      <c r="C1104" t="s">
        <v>242</v>
      </c>
    </row>
    <row r="1105" spans="1:3" x14ac:dyDescent="0.25">
      <c r="A1105" s="279">
        <v>39144</v>
      </c>
      <c r="B1105" t="s">
        <v>345</v>
      </c>
      <c r="C1105" t="s">
        <v>241</v>
      </c>
    </row>
    <row r="1106" spans="1:3" x14ac:dyDescent="0.25">
      <c r="A1106" s="279">
        <v>39145</v>
      </c>
      <c r="B1106" t="s">
        <v>340</v>
      </c>
      <c r="C1106">
        <v>7.9</v>
      </c>
    </row>
    <row r="1107" spans="1:3" x14ac:dyDescent="0.25">
      <c r="A1107" s="279">
        <v>39145</v>
      </c>
      <c r="B1107" t="s">
        <v>341</v>
      </c>
      <c r="C1107">
        <v>43</v>
      </c>
    </row>
    <row r="1108" spans="1:3" x14ac:dyDescent="0.25">
      <c r="A1108" s="279">
        <v>39145</v>
      </c>
      <c r="B1108" t="s">
        <v>342</v>
      </c>
      <c r="C1108">
        <v>33</v>
      </c>
    </row>
    <row r="1109" spans="1:3" x14ac:dyDescent="0.25">
      <c r="A1109" s="279">
        <v>39145</v>
      </c>
      <c r="B1109" t="s">
        <v>343</v>
      </c>
      <c r="C1109">
        <v>37</v>
      </c>
    </row>
    <row r="1110" spans="1:3" x14ac:dyDescent="0.25">
      <c r="A1110" s="279">
        <v>39145</v>
      </c>
      <c r="B1110" t="s">
        <v>344</v>
      </c>
      <c r="C1110" t="s">
        <v>242</v>
      </c>
    </row>
    <row r="1111" spans="1:3" x14ac:dyDescent="0.25">
      <c r="A1111" s="279">
        <v>39145</v>
      </c>
      <c r="B1111" t="s">
        <v>345</v>
      </c>
      <c r="C1111" t="s">
        <v>241</v>
      </c>
    </row>
    <row r="1112" spans="1:3" x14ac:dyDescent="0.25">
      <c r="A1112" s="279">
        <v>39146</v>
      </c>
      <c r="B1112" t="s">
        <v>340</v>
      </c>
      <c r="C1112">
        <v>13.4</v>
      </c>
    </row>
    <row r="1113" spans="1:3" x14ac:dyDescent="0.25">
      <c r="A1113" s="279">
        <v>39146</v>
      </c>
      <c r="B1113" t="s">
        <v>341</v>
      </c>
      <c r="C1113">
        <v>46</v>
      </c>
    </row>
    <row r="1114" spans="1:3" x14ac:dyDescent="0.25">
      <c r="A1114" s="279">
        <v>39146</v>
      </c>
      <c r="B1114" t="s">
        <v>342</v>
      </c>
      <c r="C1114">
        <v>18</v>
      </c>
    </row>
    <row r="1115" spans="1:3" x14ac:dyDescent="0.25">
      <c r="A1115" s="279">
        <v>39146</v>
      </c>
      <c r="B1115" t="s">
        <v>343</v>
      </c>
      <c r="C1115">
        <v>33</v>
      </c>
    </row>
    <row r="1116" spans="1:3" x14ac:dyDescent="0.25">
      <c r="A1116" s="279">
        <v>39146</v>
      </c>
      <c r="B1116" t="s">
        <v>344</v>
      </c>
      <c r="C1116" t="s">
        <v>242</v>
      </c>
    </row>
    <row r="1117" spans="1:3" x14ac:dyDescent="0.25">
      <c r="A1117" s="279">
        <v>39146</v>
      </c>
      <c r="B1117" t="s">
        <v>345</v>
      </c>
      <c r="C1117" t="s">
        <v>243</v>
      </c>
    </row>
    <row r="1118" spans="1:3" x14ac:dyDescent="0.25">
      <c r="A1118" s="279">
        <v>39147</v>
      </c>
      <c r="B1118" t="s">
        <v>340</v>
      </c>
      <c r="C1118">
        <v>5.3</v>
      </c>
    </row>
    <row r="1119" spans="1:3" x14ac:dyDescent="0.25">
      <c r="A1119" s="279">
        <v>39147</v>
      </c>
      <c r="B1119" t="s">
        <v>341</v>
      </c>
      <c r="C1119">
        <v>29</v>
      </c>
    </row>
    <row r="1120" spans="1:3" x14ac:dyDescent="0.25">
      <c r="A1120" s="279">
        <v>39147</v>
      </c>
      <c r="B1120" t="s">
        <v>342</v>
      </c>
      <c r="C1120">
        <v>18</v>
      </c>
    </row>
    <row r="1121" spans="1:3" x14ac:dyDescent="0.25">
      <c r="A1121" s="279">
        <v>39147</v>
      </c>
      <c r="B1121" t="s">
        <v>343</v>
      </c>
      <c r="C1121">
        <v>23</v>
      </c>
    </row>
    <row r="1122" spans="1:3" x14ac:dyDescent="0.25">
      <c r="A1122" s="279">
        <v>39147</v>
      </c>
      <c r="B1122" t="s">
        <v>344</v>
      </c>
      <c r="C1122" t="s">
        <v>240</v>
      </c>
    </row>
    <row r="1123" spans="1:3" x14ac:dyDescent="0.25">
      <c r="A1123" s="279">
        <v>39147</v>
      </c>
      <c r="B1123" t="s">
        <v>345</v>
      </c>
      <c r="C1123" t="s">
        <v>243</v>
      </c>
    </row>
    <row r="1124" spans="1:3" x14ac:dyDescent="0.25">
      <c r="A1124" s="279">
        <v>39148</v>
      </c>
      <c r="B1124" t="s">
        <v>340</v>
      </c>
      <c r="C1124">
        <v>0.7</v>
      </c>
    </row>
    <row r="1125" spans="1:3" x14ac:dyDescent="0.25">
      <c r="A1125" s="279">
        <v>39148</v>
      </c>
      <c r="B1125" t="s">
        <v>341</v>
      </c>
      <c r="C1125">
        <v>29</v>
      </c>
    </row>
    <row r="1126" spans="1:3" x14ac:dyDescent="0.25">
      <c r="A1126" s="279">
        <v>39148</v>
      </c>
      <c r="B1126" t="s">
        <v>342</v>
      </c>
      <c r="C1126">
        <v>21</v>
      </c>
    </row>
    <row r="1127" spans="1:3" x14ac:dyDescent="0.25">
      <c r="A1127" s="279">
        <v>39148</v>
      </c>
      <c r="B1127" t="s">
        <v>343</v>
      </c>
      <c r="C1127">
        <v>24</v>
      </c>
    </row>
    <row r="1128" spans="1:3" x14ac:dyDescent="0.25">
      <c r="A1128" s="279">
        <v>39148</v>
      </c>
      <c r="B1128" t="s">
        <v>344</v>
      </c>
      <c r="C1128" t="s">
        <v>246</v>
      </c>
    </row>
    <row r="1129" spans="1:3" x14ac:dyDescent="0.25">
      <c r="A1129" s="279">
        <v>39148</v>
      </c>
      <c r="B1129" t="s">
        <v>345</v>
      </c>
      <c r="C1129" t="s">
        <v>277</v>
      </c>
    </row>
    <row r="1130" spans="1:3" x14ac:dyDescent="0.25">
      <c r="A1130" s="279">
        <v>39149</v>
      </c>
      <c r="B1130" t="s">
        <v>340</v>
      </c>
      <c r="C1130">
        <v>5.9</v>
      </c>
    </row>
    <row r="1131" spans="1:3" x14ac:dyDescent="0.25">
      <c r="A1131" s="279">
        <v>39149</v>
      </c>
      <c r="B1131" t="s">
        <v>341</v>
      </c>
      <c r="C1131">
        <v>39</v>
      </c>
    </row>
    <row r="1132" spans="1:3" x14ac:dyDescent="0.25">
      <c r="A1132" s="279">
        <v>39149</v>
      </c>
      <c r="B1132" t="s">
        <v>342</v>
      </c>
      <c r="C1132">
        <v>21</v>
      </c>
    </row>
    <row r="1133" spans="1:3" x14ac:dyDescent="0.25">
      <c r="A1133" s="279">
        <v>39149</v>
      </c>
      <c r="B1133" t="s">
        <v>343</v>
      </c>
      <c r="C1133">
        <v>30</v>
      </c>
    </row>
    <row r="1134" spans="1:3" x14ac:dyDescent="0.25">
      <c r="A1134" s="279">
        <v>39149</v>
      </c>
      <c r="B1134" t="s">
        <v>344</v>
      </c>
      <c r="C1134" t="s">
        <v>246</v>
      </c>
    </row>
    <row r="1135" spans="1:3" x14ac:dyDescent="0.25">
      <c r="A1135" s="279">
        <v>39149</v>
      </c>
      <c r="B1135" t="s">
        <v>345</v>
      </c>
      <c r="C1135" t="s">
        <v>243</v>
      </c>
    </row>
    <row r="1136" spans="1:3" x14ac:dyDescent="0.25">
      <c r="A1136" s="279">
        <v>39150</v>
      </c>
      <c r="B1136" t="s">
        <v>340</v>
      </c>
      <c r="C1136">
        <v>2</v>
      </c>
    </row>
    <row r="1137" spans="1:3" x14ac:dyDescent="0.25">
      <c r="A1137" s="279">
        <v>39150</v>
      </c>
      <c r="B1137" t="s">
        <v>341</v>
      </c>
      <c r="C1137">
        <v>46</v>
      </c>
    </row>
    <row r="1138" spans="1:3" x14ac:dyDescent="0.25">
      <c r="A1138" s="279">
        <v>39150</v>
      </c>
      <c r="B1138" t="s">
        <v>342</v>
      </c>
      <c r="C1138">
        <v>32</v>
      </c>
    </row>
    <row r="1139" spans="1:3" x14ac:dyDescent="0.25">
      <c r="A1139" s="279">
        <v>39150</v>
      </c>
      <c r="B1139" t="s">
        <v>343</v>
      </c>
      <c r="C1139">
        <v>37</v>
      </c>
    </row>
    <row r="1140" spans="1:3" x14ac:dyDescent="0.25">
      <c r="A1140" s="279">
        <v>39150</v>
      </c>
      <c r="B1140" t="s">
        <v>344</v>
      </c>
      <c r="C1140" t="s">
        <v>252</v>
      </c>
    </row>
    <row r="1141" spans="1:3" x14ac:dyDescent="0.25">
      <c r="A1141" s="279">
        <v>39150</v>
      </c>
      <c r="B1141" t="s">
        <v>345</v>
      </c>
      <c r="C1141" t="s">
        <v>243</v>
      </c>
    </row>
    <row r="1142" spans="1:3" x14ac:dyDescent="0.25">
      <c r="A1142" s="279">
        <v>39151</v>
      </c>
      <c r="B1142" t="s">
        <v>340</v>
      </c>
      <c r="C1142">
        <v>4.9000000000000004</v>
      </c>
    </row>
    <row r="1143" spans="1:3" x14ac:dyDescent="0.25">
      <c r="A1143" s="279">
        <v>39151</v>
      </c>
      <c r="B1143" t="s">
        <v>341</v>
      </c>
      <c r="C1143">
        <v>66</v>
      </c>
    </row>
    <row r="1144" spans="1:3" x14ac:dyDescent="0.25">
      <c r="A1144" s="279">
        <v>39151</v>
      </c>
      <c r="B1144" t="s">
        <v>342</v>
      </c>
      <c r="C1144">
        <v>45</v>
      </c>
    </row>
    <row r="1145" spans="1:3" x14ac:dyDescent="0.25">
      <c r="A1145" s="279">
        <v>39151</v>
      </c>
      <c r="B1145" t="s">
        <v>343</v>
      </c>
      <c r="C1145">
        <v>55</v>
      </c>
    </row>
    <row r="1146" spans="1:3" x14ac:dyDescent="0.25">
      <c r="A1146" s="279">
        <v>39151</v>
      </c>
      <c r="B1146" t="s">
        <v>344</v>
      </c>
      <c r="C1146" t="s">
        <v>252</v>
      </c>
    </row>
    <row r="1147" spans="1:3" x14ac:dyDescent="0.25">
      <c r="A1147" s="279">
        <v>39151</v>
      </c>
      <c r="B1147" t="s">
        <v>345</v>
      </c>
      <c r="C1147" t="s">
        <v>243</v>
      </c>
    </row>
    <row r="1148" spans="1:3" x14ac:dyDescent="0.25">
      <c r="A1148" s="279">
        <v>39152</v>
      </c>
      <c r="B1148" t="s">
        <v>340</v>
      </c>
      <c r="C1148">
        <v>5.9</v>
      </c>
    </row>
    <row r="1149" spans="1:3" x14ac:dyDescent="0.25">
      <c r="A1149" s="279">
        <v>39152</v>
      </c>
      <c r="B1149" t="s">
        <v>341</v>
      </c>
      <c r="C1149">
        <v>56</v>
      </c>
    </row>
    <row r="1150" spans="1:3" x14ac:dyDescent="0.25">
      <c r="A1150" s="279">
        <v>39152</v>
      </c>
      <c r="B1150" t="s">
        <v>342</v>
      </c>
      <c r="C1150">
        <v>36</v>
      </c>
    </row>
    <row r="1151" spans="1:3" x14ac:dyDescent="0.25">
      <c r="A1151" s="279">
        <v>39152</v>
      </c>
      <c r="B1151" t="s">
        <v>343</v>
      </c>
      <c r="C1151">
        <v>46</v>
      </c>
    </row>
    <row r="1152" spans="1:3" x14ac:dyDescent="0.25">
      <c r="A1152" s="279">
        <v>39152</v>
      </c>
      <c r="B1152" t="s">
        <v>344</v>
      </c>
      <c r="C1152" t="s">
        <v>240</v>
      </c>
    </row>
    <row r="1153" spans="1:3" x14ac:dyDescent="0.25">
      <c r="A1153" s="279">
        <v>39152</v>
      </c>
      <c r="B1153" t="s">
        <v>345</v>
      </c>
      <c r="C1153" t="s">
        <v>243</v>
      </c>
    </row>
    <row r="1154" spans="1:3" x14ac:dyDescent="0.25">
      <c r="A1154" s="279">
        <v>39153</v>
      </c>
      <c r="B1154" t="s">
        <v>340</v>
      </c>
      <c r="C1154">
        <v>3.1</v>
      </c>
    </row>
    <row r="1155" spans="1:3" x14ac:dyDescent="0.25">
      <c r="A1155" s="279">
        <v>39153</v>
      </c>
      <c r="B1155" t="s">
        <v>341</v>
      </c>
      <c r="C1155">
        <v>63</v>
      </c>
    </row>
    <row r="1156" spans="1:3" x14ac:dyDescent="0.25">
      <c r="A1156" s="279">
        <v>39153</v>
      </c>
      <c r="B1156" t="s">
        <v>342</v>
      </c>
      <c r="C1156">
        <v>42</v>
      </c>
    </row>
    <row r="1157" spans="1:3" x14ac:dyDescent="0.25">
      <c r="A1157" s="279">
        <v>39153</v>
      </c>
      <c r="B1157" t="s">
        <v>343</v>
      </c>
      <c r="C1157">
        <v>52</v>
      </c>
    </row>
    <row r="1158" spans="1:3" x14ac:dyDescent="0.25">
      <c r="A1158" s="279">
        <v>39153</v>
      </c>
      <c r="B1158" t="s">
        <v>344</v>
      </c>
      <c r="C1158" t="s">
        <v>245</v>
      </c>
    </row>
    <row r="1159" spans="1:3" x14ac:dyDescent="0.25">
      <c r="A1159" s="279">
        <v>39153</v>
      </c>
      <c r="B1159" t="s">
        <v>345</v>
      </c>
      <c r="C1159" t="s">
        <v>243</v>
      </c>
    </row>
    <row r="1160" spans="1:3" x14ac:dyDescent="0.25">
      <c r="A1160" s="279">
        <v>39154</v>
      </c>
      <c r="B1160" t="s">
        <v>340</v>
      </c>
      <c r="C1160">
        <v>2.8</v>
      </c>
    </row>
    <row r="1161" spans="1:3" x14ac:dyDescent="0.25">
      <c r="A1161" s="279">
        <v>39154</v>
      </c>
      <c r="B1161" t="s">
        <v>341</v>
      </c>
      <c r="C1161">
        <v>71</v>
      </c>
    </row>
    <row r="1162" spans="1:3" x14ac:dyDescent="0.25">
      <c r="A1162" s="279">
        <v>39154</v>
      </c>
      <c r="B1162" t="s">
        <v>342</v>
      </c>
      <c r="C1162">
        <v>49</v>
      </c>
    </row>
    <row r="1163" spans="1:3" x14ac:dyDescent="0.25">
      <c r="A1163" s="279">
        <v>39154</v>
      </c>
      <c r="B1163" t="s">
        <v>343</v>
      </c>
      <c r="C1163">
        <v>59</v>
      </c>
    </row>
    <row r="1164" spans="1:3" x14ac:dyDescent="0.25">
      <c r="A1164" s="279">
        <v>39154</v>
      </c>
      <c r="B1164" t="s">
        <v>344</v>
      </c>
      <c r="C1164" t="s">
        <v>252</v>
      </c>
    </row>
    <row r="1165" spans="1:3" x14ac:dyDescent="0.25">
      <c r="A1165" s="279">
        <v>39154</v>
      </c>
      <c r="B1165" t="s">
        <v>345</v>
      </c>
      <c r="C1165" t="s">
        <v>284</v>
      </c>
    </row>
    <row r="1166" spans="1:3" x14ac:dyDescent="0.25">
      <c r="A1166" s="279">
        <v>39155</v>
      </c>
      <c r="B1166" t="s">
        <v>340</v>
      </c>
      <c r="C1166">
        <v>4.2</v>
      </c>
    </row>
    <row r="1167" spans="1:3" x14ac:dyDescent="0.25">
      <c r="A1167" s="279">
        <v>39155</v>
      </c>
      <c r="B1167" t="s">
        <v>341</v>
      </c>
      <c r="C1167">
        <v>83</v>
      </c>
    </row>
    <row r="1168" spans="1:3" x14ac:dyDescent="0.25">
      <c r="A1168" s="279">
        <v>39155</v>
      </c>
      <c r="B1168" t="s">
        <v>342</v>
      </c>
      <c r="C1168">
        <v>60</v>
      </c>
    </row>
    <row r="1169" spans="1:3" x14ac:dyDescent="0.25">
      <c r="A1169" s="279">
        <v>39155</v>
      </c>
      <c r="B1169" t="s">
        <v>343</v>
      </c>
      <c r="C1169">
        <v>69</v>
      </c>
    </row>
    <row r="1170" spans="1:3" x14ac:dyDescent="0.25">
      <c r="A1170" s="279">
        <v>39155</v>
      </c>
      <c r="B1170" t="s">
        <v>344</v>
      </c>
      <c r="C1170" t="s">
        <v>245</v>
      </c>
    </row>
    <row r="1171" spans="1:3" x14ac:dyDescent="0.25">
      <c r="A1171" s="279">
        <v>39155</v>
      </c>
      <c r="B1171" t="s">
        <v>345</v>
      </c>
      <c r="C1171" t="s">
        <v>285</v>
      </c>
    </row>
    <row r="1172" spans="1:3" x14ac:dyDescent="0.25">
      <c r="A1172" s="279">
        <v>39156</v>
      </c>
      <c r="B1172" t="s">
        <v>340</v>
      </c>
      <c r="C1172">
        <v>9.1</v>
      </c>
    </row>
    <row r="1173" spans="1:3" x14ac:dyDescent="0.25">
      <c r="A1173" s="279">
        <v>39156</v>
      </c>
      <c r="B1173" t="s">
        <v>341</v>
      </c>
      <c r="C1173">
        <v>72</v>
      </c>
    </row>
    <row r="1174" spans="1:3" x14ac:dyDescent="0.25">
      <c r="A1174" s="279">
        <v>39156</v>
      </c>
      <c r="B1174" t="s">
        <v>342</v>
      </c>
      <c r="C1174">
        <v>36</v>
      </c>
    </row>
    <row r="1175" spans="1:3" x14ac:dyDescent="0.25">
      <c r="A1175" s="279">
        <v>39156</v>
      </c>
      <c r="B1175" t="s">
        <v>343</v>
      </c>
      <c r="C1175">
        <v>49</v>
      </c>
    </row>
    <row r="1176" spans="1:3" x14ac:dyDescent="0.25">
      <c r="A1176" s="279">
        <v>39156</v>
      </c>
      <c r="B1176" t="s">
        <v>344</v>
      </c>
      <c r="C1176" t="s">
        <v>245</v>
      </c>
    </row>
    <row r="1177" spans="1:3" x14ac:dyDescent="0.25">
      <c r="A1177" s="279">
        <v>39156</v>
      </c>
      <c r="B1177" t="s">
        <v>345</v>
      </c>
      <c r="C1177" t="s">
        <v>286</v>
      </c>
    </row>
    <row r="1178" spans="1:3" x14ac:dyDescent="0.25">
      <c r="A1178" s="279">
        <v>39157</v>
      </c>
      <c r="B1178" t="s">
        <v>340</v>
      </c>
      <c r="C1178">
        <v>10.3</v>
      </c>
    </row>
    <row r="1179" spans="1:3" x14ac:dyDescent="0.25">
      <c r="A1179" s="279">
        <v>39157</v>
      </c>
      <c r="B1179" t="s">
        <v>341</v>
      </c>
      <c r="C1179">
        <v>36</v>
      </c>
    </row>
    <row r="1180" spans="1:3" x14ac:dyDescent="0.25">
      <c r="A1180" s="279">
        <v>39157</v>
      </c>
      <c r="B1180" t="s">
        <v>342</v>
      </c>
      <c r="C1180">
        <v>28</v>
      </c>
    </row>
    <row r="1181" spans="1:3" x14ac:dyDescent="0.25">
      <c r="A1181" s="279">
        <v>39157</v>
      </c>
      <c r="B1181" t="s">
        <v>343</v>
      </c>
      <c r="C1181">
        <v>31</v>
      </c>
    </row>
    <row r="1182" spans="1:3" x14ac:dyDescent="0.25">
      <c r="A1182" s="279">
        <v>39157</v>
      </c>
      <c r="B1182" t="s">
        <v>344</v>
      </c>
      <c r="C1182" t="s">
        <v>240</v>
      </c>
    </row>
    <row r="1183" spans="1:3" x14ac:dyDescent="0.25">
      <c r="A1183" s="279">
        <v>39157</v>
      </c>
      <c r="B1183" t="s">
        <v>345</v>
      </c>
      <c r="C1183" t="s">
        <v>287</v>
      </c>
    </row>
    <row r="1184" spans="1:3" x14ac:dyDescent="0.25">
      <c r="A1184" s="279">
        <v>39158</v>
      </c>
      <c r="B1184" t="s">
        <v>340</v>
      </c>
      <c r="C1184">
        <v>7.4</v>
      </c>
    </row>
    <row r="1185" spans="1:3" x14ac:dyDescent="0.25">
      <c r="A1185" s="279">
        <v>39158</v>
      </c>
      <c r="B1185" t="s">
        <v>341</v>
      </c>
      <c r="C1185">
        <v>38</v>
      </c>
    </row>
    <row r="1186" spans="1:3" x14ac:dyDescent="0.25">
      <c r="A1186" s="279">
        <v>39158</v>
      </c>
      <c r="B1186" t="s">
        <v>342</v>
      </c>
      <c r="C1186">
        <v>30</v>
      </c>
    </row>
    <row r="1187" spans="1:3" x14ac:dyDescent="0.25">
      <c r="A1187" s="279">
        <v>39158</v>
      </c>
      <c r="B1187" t="s">
        <v>343</v>
      </c>
      <c r="C1187">
        <v>33</v>
      </c>
    </row>
    <row r="1188" spans="1:3" x14ac:dyDescent="0.25">
      <c r="A1188" s="279">
        <v>39158</v>
      </c>
      <c r="B1188" t="s">
        <v>344</v>
      </c>
      <c r="C1188" t="s">
        <v>246</v>
      </c>
    </row>
    <row r="1189" spans="1:3" x14ac:dyDescent="0.25">
      <c r="A1189" s="279">
        <v>39158</v>
      </c>
      <c r="B1189" t="s">
        <v>345</v>
      </c>
      <c r="C1189" t="s">
        <v>288</v>
      </c>
    </row>
    <row r="1190" spans="1:3" x14ac:dyDescent="0.25">
      <c r="A1190" s="279">
        <v>39159</v>
      </c>
      <c r="B1190" t="s">
        <v>340</v>
      </c>
      <c r="C1190">
        <v>5.9</v>
      </c>
    </row>
    <row r="1191" spans="1:3" x14ac:dyDescent="0.25">
      <c r="A1191" s="279">
        <v>39159</v>
      </c>
      <c r="B1191" t="s">
        <v>341</v>
      </c>
      <c r="C1191">
        <v>44</v>
      </c>
    </row>
    <row r="1192" spans="1:3" x14ac:dyDescent="0.25">
      <c r="A1192" s="279">
        <v>39159</v>
      </c>
      <c r="B1192" t="s">
        <v>342</v>
      </c>
      <c r="C1192">
        <v>33</v>
      </c>
    </row>
    <row r="1193" spans="1:3" x14ac:dyDescent="0.25">
      <c r="A1193" s="279">
        <v>39159</v>
      </c>
      <c r="B1193" t="s">
        <v>343</v>
      </c>
      <c r="C1193">
        <v>37</v>
      </c>
    </row>
    <row r="1194" spans="1:3" x14ac:dyDescent="0.25">
      <c r="A1194" s="279">
        <v>39159</v>
      </c>
      <c r="B1194" t="s">
        <v>344</v>
      </c>
      <c r="C1194" t="s">
        <v>242</v>
      </c>
    </row>
    <row r="1195" spans="1:3" x14ac:dyDescent="0.25">
      <c r="A1195" s="279">
        <v>39159</v>
      </c>
      <c r="B1195" t="s">
        <v>345</v>
      </c>
      <c r="C1195" t="s">
        <v>257</v>
      </c>
    </row>
    <row r="1196" spans="1:3" x14ac:dyDescent="0.25">
      <c r="A1196" s="279">
        <v>39160</v>
      </c>
      <c r="B1196" t="s">
        <v>340</v>
      </c>
      <c r="C1196">
        <v>5.4</v>
      </c>
    </row>
    <row r="1197" spans="1:3" x14ac:dyDescent="0.25">
      <c r="A1197" s="279">
        <v>39160</v>
      </c>
      <c r="B1197" t="s">
        <v>341</v>
      </c>
      <c r="C1197">
        <v>54</v>
      </c>
    </row>
    <row r="1198" spans="1:3" x14ac:dyDescent="0.25">
      <c r="A1198" s="279">
        <v>39160</v>
      </c>
      <c r="B1198" t="s">
        <v>342</v>
      </c>
      <c r="C1198">
        <v>41</v>
      </c>
    </row>
    <row r="1199" spans="1:3" x14ac:dyDescent="0.25">
      <c r="A1199" s="279">
        <v>39160</v>
      </c>
      <c r="B1199" t="s">
        <v>343</v>
      </c>
      <c r="C1199">
        <v>48</v>
      </c>
    </row>
    <row r="1200" spans="1:3" x14ac:dyDescent="0.25">
      <c r="A1200" s="279">
        <v>39160</v>
      </c>
      <c r="B1200" t="s">
        <v>344</v>
      </c>
      <c r="C1200" t="s">
        <v>246</v>
      </c>
    </row>
    <row r="1201" spans="1:3" x14ac:dyDescent="0.25">
      <c r="A1201" s="279">
        <v>39160</v>
      </c>
      <c r="B1201" t="s">
        <v>345</v>
      </c>
      <c r="C1201" t="s">
        <v>289</v>
      </c>
    </row>
    <row r="1202" spans="1:3" x14ac:dyDescent="0.25">
      <c r="A1202" s="279">
        <v>39161</v>
      </c>
      <c r="B1202" t="s">
        <v>340</v>
      </c>
      <c r="C1202">
        <v>8.5</v>
      </c>
    </row>
    <row r="1203" spans="1:3" x14ac:dyDescent="0.25">
      <c r="A1203" s="279">
        <v>39161</v>
      </c>
      <c r="B1203" t="s">
        <v>341</v>
      </c>
      <c r="C1203">
        <v>56</v>
      </c>
    </row>
    <row r="1204" spans="1:3" x14ac:dyDescent="0.25">
      <c r="A1204" s="279">
        <v>39161</v>
      </c>
      <c r="B1204" t="s">
        <v>342</v>
      </c>
      <c r="C1204">
        <v>32</v>
      </c>
    </row>
    <row r="1205" spans="1:3" x14ac:dyDescent="0.25">
      <c r="A1205" s="279">
        <v>39161</v>
      </c>
      <c r="B1205" t="s">
        <v>343</v>
      </c>
      <c r="C1205">
        <v>44</v>
      </c>
    </row>
    <row r="1206" spans="1:3" x14ac:dyDescent="0.25">
      <c r="A1206" s="279">
        <v>39161</v>
      </c>
      <c r="B1206" t="s">
        <v>344</v>
      </c>
      <c r="C1206" t="s">
        <v>240</v>
      </c>
    </row>
    <row r="1207" spans="1:3" x14ac:dyDescent="0.25">
      <c r="A1207" s="279">
        <v>39161</v>
      </c>
      <c r="B1207" t="s">
        <v>345</v>
      </c>
      <c r="C1207" t="s">
        <v>241</v>
      </c>
    </row>
    <row r="1208" spans="1:3" x14ac:dyDescent="0.25">
      <c r="A1208" s="279">
        <v>39162</v>
      </c>
      <c r="B1208" t="s">
        <v>340</v>
      </c>
      <c r="C1208">
        <v>2.9</v>
      </c>
    </row>
    <row r="1209" spans="1:3" x14ac:dyDescent="0.25">
      <c r="A1209" s="279">
        <v>39162</v>
      </c>
      <c r="B1209" t="s">
        <v>341</v>
      </c>
      <c r="C1209">
        <v>54</v>
      </c>
    </row>
    <row r="1210" spans="1:3" x14ac:dyDescent="0.25">
      <c r="A1210" s="279">
        <v>39162</v>
      </c>
      <c r="B1210" t="s">
        <v>342</v>
      </c>
      <c r="C1210">
        <v>37</v>
      </c>
    </row>
    <row r="1211" spans="1:3" x14ac:dyDescent="0.25">
      <c r="A1211" s="279">
        <v>39162</v>
      </c>
      <c r="B1211" t="s">
        <v>343</v>
      </c>
      <c r="C1211">
        <v>46</v>
      </c>
    </row>
    <row r="1212" spans="1:3" x14ac:dyDescent="0.25">
      <c r="A1212" s="279">
        <v>39162</v>
      </c>
      <c r="B1212" t="s">
        <v>344</v>
      </c>
      <c r="C1212" t="s">
        <v>252</v>
      </c>
    </row>
    <row r="1213" spans="1:3" x14ac:dyDescent="0.25">
      <c r="A1213" s="279">
        <v>39162</v>
      </c>
      <c r="B1213" t="s">
        <v>345</v>
      </c>
      <c r="C1213" t="s">
        <v>259</v>
      </c>
    </row>
    <row r="1214" spans="1:3" x14ac:dyDescent="0.25">
      <c r="A1214" s="279">
        <v>39163</v>
      </c>
      <c r="B1214" t="s">
        <v>340</v>
      </c>
      <c r="C1214">
        <v>5.4</v>
      </c>
    </row>
    <row r="1215" spans="1:3" x14ac:dyDescent="0.25">
      <c r="A1215" s="279">
        <v>39163</v>
      </c>
      <c r="B1215" t="s">
        <v>341</v>
      </c>
      <c r="C1215">
        <v>73</v>
      </c>
    </row>
    <row r="1216" spans="1:3" x14ac:dyDescent="0.25">
      <c r="A1216" s="279">
        <v>39163</v>
      </c>
      <c r="B1216" t="s">
        <v>342</v>
      </c>
      <c r="C1216">
        <v>50</v>
      </c>
    </row>
    <row r="1217" spans="1:3" x14ac:dyDescent="0.25">
      <c r="A1217" s="279">
        <v>39163</v>
      </c>
      <c r="B1217" t="s">
        <v>343</v>
      </c>
      <c r="C1217">
        <v>63</v>
      </c>
    </row>
    <row r="1218" spans="1:3" x14ac:dyDescent="0.25">
      <c r="A1218" s="279">
        <v>39163</v>
      </c>
      <c r="B1218" t="s">
        <v>344</v>
      </c>
      <c r="C1218" t="s">
        <v>245</v>
      </c>
    </row>
    <row r="1219" spans="1:3" x14ac:dyDescent="0.25">
      <c r="A1219" s="279">
        <v>39163</v>
      </c>
      <c r="B1219" t="s">
        <v>345</v>
      </c>
      <c r="C1219" t="s">
        <v>241</v>
      </c>
    </row>
    <row r="1220" spans="1:3" x14ac:dyDescent="0.25">
      <c r="A1220" s="279">
        <v>39164</v>
      </c>
      <c r="B1220" t="s">
        <v>340</v>
      </c>
      <c r="C1220">
        <v>2.5</v>
      </c>
    </row>
    <row r="1221" spans="1:3" x14ac:dyDescent="0.25">
      <c r="A1221" s="279">
        <v>39164</v>
      </c>
      <c r="B1221" t="s">
        <v>341</v>
      </c>
      <c r="C1221">
        <v>67</v>
      </c>
    </row>
    <row r="1222" spans="1:3" x14ac:dyDescent="0.25">
      <c r="A1222" s="279">
        <v>39164</v>
      </c>
      <c r="B1222" t="s">
        <v>342</v>
      </c>
      <c r="C1222">
        <v>50</v>
      </c>
    </row>
    <row r="1223" spans="1:3" x14ac:dyDescent="0.25">
      <c r="A1223" s="279">
        <v>39164</v>
      </c>
      <c r="B1223" t="s">
        <v>343</v>
      </c>
      <c r="C1223">
        <v>57</v>
      </c>
    </row>
    <row r="1224" spans="1:3" x14ac:dyDescent="0.25">
      <c r="A1224" s="279">
        <v>39164</v>
      </c>
      <c r="B1224" t="s">
        <v>344</v>
      </c>
      <c r="C1224" t="s">
        <v>246</v>
      </c>
    </row>
    <row r="1225" spans="1:3" x14ac:dyDescent="0.25">
      <c r="A1225" s="279">
        <v>39164</v>
      </c>
      <c r="B1225" t="s">
        <v>345</v>
      </c>
      <c r="C1225" t="s">
        <v>259</v>
      </c>
    </row>
    <row r="1226" spans="1:3" x14ac:dyDescent="0.25">
      <c r="A1226" s="279">
        <v>39165</v>
      </c>
      <c r="B1226" t="s">
        <v>340</v>
      </c>
      <c r="C1226">
        <v>3.2</v>
      </c>
    </row>
    <row r="1227" spans="1:3" x14ac:dyDescent="0.25">
      <c r="A1227" s="279">
        <v>39165</v>
      </c>
      <c r="B1227" t="s">
        <v>341</v>
      </c>
      <c r="C1227">
        <v>60</v>
      </c>
    </row>
    <row r="1228" spans="1:3" x14ac:dyDescent="0.25">
      <c r="A1228" s="279">
        <v>39165</v>
      </c>
      <c r="B1228" t="s">
        <v>342</v>
      </c>
      <c r="C1228">
        <v>49</v>
      </c>
    </row>
    <row r="1229" spans="1:3" x14ac:dyDescent="0.25">
      <c r="A1229" s="279">
        <v>39165</v>
      </c>
      <c r="B1229" t="s">
        <v>343</v>
      </c>
      <c r="C1229">
        <v>53</v>
      </c>
    </row>
    <row r="1230" spans="1:3" x14ac:dyDescent="0.25">
      <c r="A1230" s="279">
        <v>39165</v>
      </c>
      <c r="B1230" t="s">
        <v>344</v>
      </c>
      <c r="C1230" t="s">
        <v>246</v>
      </c>
    </row>
    <row r="1231" spans="1:3" x14ac:dyDescent="0.25">
      <c r="A1231" s="279">
        <v>39165</v>
      </c>
      <c r="B1231" t="s">
        <v>345</v>
      </c>
      <c r="C1231" t="s">
        <v>259</v>
      </c>
    </row>
    <row r="1232" spans="1:3" x14ac:dyDescent="0.25">
      <c r="A1232" s="279">
        <v>39166</v>
      </c>
      <c r="B1232" t="s">
        <v>340</v>
      </c>
      <c r="C1232">
        <v>4.0999999999999996</v>
      </c>
    </row>
    <row r="1233" spans="1:3" x14ac:dyDescent="0.25">
      <c r="A1233" s="279">
        <v>39166</v>
      </c>
      <c r="B1233" t="s">
        <v>341</v>
      </c>
      <c r="C1233">
        <v>63</v>
      </c>
    </row>
    <row r="1234" spans="1:3" x14ac:dyDescent="0.25">
      <c r="A1234" s="279">
        <v>39166</v>
      </c>
      <c r="B1234" t="s">
        <v>342</v>
      </c>
      <c r="C1234">
        <v>42</v>
      </c>
    </row>
    <row r="1235" spans="1:3" x14ac:dyDescent="0.25">
      <c r="A1235" s="279">
        <v>39166</v>
      </c>
      <c r="B1235" t="s">
        <v>343</v>
      </c>
      <c r="C1235">
        <v>49</v>
      </c>
    </row>
    <row r="1236" spans="1:3" x14ac:dyDescent="0.25">
      <c r="A1236" s="279">
        <v>39166</v>
      </c>
      <c r="B1236" t="s">
        <v>344</v>
      </c>
      <c r="C1236" t="s">
        <v>249</v>
      </c>
    </row>
    <row r="1237" spans="1:3" x14ac:dyDescent="0.25">
      <c r="A1237" s="279">
        <v>39166</v>
      </c>
      <c r="B1237" t="s">
        <v>345</v>
      </c>
      <c r="C1237" t="s">
        <v>243</v>
      </c>
    </row>
    <row r="1238" spans="1:3" x14ac:dyDescent="0.25">
      <c r="A1238" s="279">
        <v>39167</v>
      </c>
      <c r="B1238" t="s">
        <v>340</v>
      </c>
      <c r="C1238">
        <v>4.2</v>
      </c>
    </row>
    <row r="1239" spans="1:3" x14ac:dyDescent="0.25">
      <c r="A1239" s="279">
        <v>39167</v>
      </c>
      <c r="B1239" t="s">
        <v>341</v>
      </c>
      <c r="C1239">
        <v>65</v>
      </c>
    </row>
    <row r="1240" spans="1:3" x14ac:dyDescent="0.25">
      <c r="A1240" s="279">
        <v>39167</v>
      </c>
      <c r="B1240" t="s">
        <v>342</v>
      </c>
      <c r="C1240">
        <v>48</v>
      </c>
    </row>
    <row r="1241" spans="1:3" x14ac:dyDescent="0.25">
      <c r="A1241" s="279">
        <v>39167</v>
      </c>
      <c r="B1241" t="s">
        <v>343</v>
      </c>
      <c r="C1241">
        <v>55</v>
      </c>
    </row>
    <row r="1242" spans="1:3" x14ac:dyDescent="0.25">
      <c r="A1242" s="279">
        <v>39167</v>
      </c>
      <c r="B1242" t="s">
        <v>344</v>
      </c>
      <c r="C1242" t="s">
        <v>252</v>
      </c>
    </row>
    <row r="1243" spans="1:3" x14ac:dyDescent="0.25">
      <c r="A1243" s="279">
        <v>39167</v>
      </c>
      <c r="B1243" t="s">
        <v>345</v>
      </c>
      <c r="C1243" t="s">
        <v>259</v>
      </c>
    </row>
    <row r="1244" spans="1:3" x14ac:dyDescent="0.25">
      <c r="A1244" s="279">
        <v>39168</v>
      </c>
      <c r="B1244" t="s">
        <v>340</v>
      </c>
      <c r="C1244">
        <v>4.9000000000000004</v>
      </c>
    </row>
    <row r="1245" spans="1:3" x14ac:dyDescent="0.25">
      <c r="A1245" s="279">
        <v>39168</v>
      </c>
      <c r="B1245" t="s">
        <v>341</v>
      </c>
      <c r="C1245">
        <v>85</v>
      </c>
    </row>
    <row r="1246" spans="1:3" x14ac:dyDescent="0.25">
      <c r="A1246" s="279">
        <v>39168</v>
      </c>
      <c r="B1246" t="s">
        <v>342</v>
      </c>
      <c r="C1246">
        <v>58</v>
      </c>
    </row>
    <row r="1247" spans="1:3" x14ac:dyDescent="0.25">
      <c r="A1247" s="279">
        <v>39168</v>
      </c>
      <c r="B1247" t="s">
        <v>343</v>
      </c>
      <c r="C1247">
        <v>72</v>
      </c>
    </row>
    <row r="1248" spans="1:3" x14ac:dyDescent="0.25">
      <c r="A1248" s="279">
        <v>39168</v>
      </c>
      <c r="B1248" t="s">
        <v>344</v>
      </c>
      <c r="C1248" t="s">
        <v>240</v>
      </c>
    </row>
    <row r="1249" spans="1:3" x14ac:dyDescent="0.25">
      <c r="A1249" s="279">
        <v>39168</v>
      </c>
      <c r="B1249" t="s">
        <v>345</v>
      </c>
      <c r="C1249" t="s">
        <v>243</v>
      </c>
    </row>
    <row r="1250" spans="1:3" x14ac:dyDescent="0.25">
      <c r="A1250" s="279">
        <v>39169</v>
      </c>
      <c r="B1250" t="s">
        <v>340</v>
      </c>
      <c r="C1250">
        <v>9.3000000000000007</v>
      </c>
    </row>
    <row r="1251" spans="1:3" x14ac:dyDescent="0.25">
      <c r="A1251" s="279">
        <v>39169</v>
      </c>
      <c r="B1251" t="s">
        <v>341</v>
      </c>
      <c r="C1251">
        <v>69</v>
      </c>
    </row>
    <row r="1252" spans="1:3" x14ac:dyDescent="0.25">
      <c r="A1252" s="279">
        <v>39169</v>
      </c>
      <c r="B1252" t="s">
        <v>342</v>
      </c>
      <c r="C1252">
        <v>41</v>
      </c>
    </row>
    <row r="1253" spans="1:3" x14ac:dyDescent="0.25">
      <c r="A1253" s="279">
        <v>39169</v>
      </c>
      <c r="B1253" t="s">
        <v>343</v>
      </c>
      <c r="C1253">
        <v>57</v>
      </c>
    </row>
    <row r="1254" spans="1:3" x14ac:dyDescent="0.25">
      <c r="A1254" s="279">
        <v>39169</v>
      </c>
      <c r="B1254" t="s">
        <v>344</v>
      </c>
      <c r="C1254" t="s">
        <v>250</v>
      </c>
    </row>
    <row r="1255" spans="1:3" x14ac:dyDescent="0.25">
      <c r="A1255" s="279">
        <v>39169</v>
      </c>
      <c r="B1255" t="s">
        <v>345</v>
      </c>
      <c r="C1255" t="s">
        <v>241</v>
      </c>
    </row>
    <row r="1256" spans="1:3" x14ac:dyDescent="0.25">
      <c r="A1256" s="279">
        <v>39170</v>
      </c>
      <c r="B1256" t="s">
        <v>340</v>
      </c>
      <c r="C1256">
        <v>6.9</v>
      </c>
    </row>
    <row r="1257" spans="1:3" x14ac:dyDescent="0.25">
      <c r="A1257" s="279">
        <v>39170</v>
      </c>
      <c r="B1257" t="s">
        <v>341</v>
      </c>
      <c r="C1257">
        <v>62</v>
      </c>
    </row>
    <row r="1258" spans="1:3" x14ac:dyDescent="0.25">
      <c r="A1258" s="279">
        <v>39170</v>
      </c>
      <c r="B1258" t="s">
        <v>342</v>
      </c>
      <c r="C1258">
        <v>43</v>
      </c>
    </row>
    <row r="1259" spans="1:3" x14ac:dyDescent="0.25">
      <c r="A1259" s="279">
        <v>39170</v>
      </c>
      <c r="B1259" t="s">
        <v>343</v>
      </c>
      <c r="C1259">
        <v>52</v>
      </c>
    </row>
    <row r="1260" spans="1:3" x14ac:dyDescent="0.25">
      <c r="A1260" s="279">
        <v>39170</v>
      </c>
      <c r="B1260" t="s">
        <v>344</v>
      </c>
      <c r="C1260" t="s">
        <v>240</v>
      </c>
    </row>
    <row r="1261" spans="1:3" x14ac:dyDescent="0.25">
      <c r="A1261" s="279">
        <v>39170</v>
      </c>
      <c r="B1261" t="s">
        <v>345</v>
      </c>
      <c r="C1261" t="s">
        <v>243</v>
      </c>
    </row>
    <row r="1262" spans="1:3" x14ac:dyDescent="0.25">
      <c r="A1262" s="279">
        <v>39171</v>
      </c>
      <c r="B1262" t="s">
        <v>340</v>
      </c>
      <c r="C1262">
        <v>3.1</v>
      </c>
    </row>
    <row r="1263" spans="1:3" x14ac:dyDescent="0.25">
      <c r="A1263" s="279">
        <v>39171</v>
      </c>
      <c r="B1263" t="s">
        <v>341</v>
      </c>
      <c r="C1263">
        <v>72</v>
      </c>
    </row>
    <row r="1264" spans="1:3" x14ac:dyDescent="0.25">
      <c r="A1264" s="279">
        <v>39171</v>
      </c>
      <c r="B1264" t="s">
        <v>342</v>
      </c>
      <c r="C1264">
        <v>48</v>
      </c>
    </row>
    <row r="1265" spans="1:3" x14ac:dyDescent="0.25">
      <c r="A1265" s="279">
        <v>39171</v>
      </c>
      <c r="B1265" t="s">
        <v>343</v>
      </c>
      <c r="C1265">
        <v>59</v>
      </c>
    </row>
    <row r="1266" spans="1:3" x14ac:dyDescent="0.25">
      <c r="A1266" s="279">
        <v>39171</v>
      </c>
      <c r="B1266" t="s">
        <v>344</v>
      </c>
      <c r="C1266" t="s">
        <v>240</v>
      </c>
    </row>
    <row r="1267" spans="1:3" x14ac:dyDescent="0.25">
      <c r="A1267" s="279">
        <v>39171</v>
      </c>
      <c r="B1267" t="s">
        <v>345</v>
      </c>
      <c r="C1267" t="s">
        <v>243</v>
      </c>
    </row>
    <row r="1268" spans="1:3" x14ac:dyDescent="0.25">
      <c r="A1268" s="279">
        <v>39172</v>
      </c>
      <c r="B1268" t="s">
        <v>340</v>
      </c>
      <c r="C1268">
        <v>3.1</v>
      </c>
    </row>
    <row r="1269" spans="1:3" x14ac:dyDescent="0.25">
      <c r="A1269" s="279">
        <v>39172</v>
      </c>
      <c r="B1269" t="s">
        <v>341</v>
      </c>
      <c r="C1269">
        <v>60</v>
      </c>
    </row>
    <row r="1270" spans="1:3" x14ac:dyDescent="0.25">
      <c r="A1270" s="279">
        <v>39172</v>
      </c>
      <c r="B1270" t="s">
        <v>342</v>
      </c>
      <c r="C1270">
        <v>46</v>
      </c>
    </row>
    <row r="1271" spans="1:3" x14ac:dyDescent="0.25">
      <c r="A1271" s="279">
        <v>39172</v>
      </c>
      <c r="B1271" t="s">
        <v>343</v>
      </c>
      <c r="C1271">
        <v>51</v>
      </c>
    </row>
    <row r="1272" spans="1:3" x14ac:dyDescent="0.25">
      <c r="A1272" s="279">
        <v>39172</v>
      </c>
      <c r="B1272" t="s">
        <v>344</v>
      </c>
      <c r="C1272" t="s">
        <v>237</v>
      </c>
    </row>
    <row r="1273" spans="1:3" x14ac:dyDescent="0.25">
      <c r="A1273" s="279">
        <v>39172</v>
      </c>
      <c r="B1273" t="s">
        <v>345</v>
      </c>
      <c r="C1273" t="s">
        <v>251</v>
      </c>
    </row>
    <row r="1274" spans="1:3" x14ac:dyDescent="0.25">
      <c r="A1274" s="279">
        <v>39173</v>
      </c>
      <c r="B1274" t="s">
        <v>340</v>
      </c>
      <c r="C1274">
        <v>2.2000000000000002</v>
      </c>
    </row>
    <row r="1275" spans="1:3" x14ac:dyDescent="0.25">
      <c r="A1275" s="279">
        <v>39173</v>
      </c>
      <c r="B1275" t="s">
        <v>341</v>
      </c>
      <c r="C1275">
        <v>55</v>
      </c>
    </row>
    <row r="1276" spans="1:3" x14ac:dyDescent="0.25">
      <c r="A1276" s="279">
        <v>39173</v>
      </c>
      <c r="B1276" t="s">
        <v>342</v>
      </c>
      <c r="C1276">
        <v>46</v>
      </c>
    </row>
    <row r="1277" spans="1:3" x14ac:dyDescent="0.25">
      <c r="A1277" s="279">
        <v>39173</v>
      </c>
      <c r="B1277" t="s">
        <v>343</v>
      </c>
      <c r="C1277">
        <v>50</v>
      </c>
    </row>
    <row r="1278" spans="1:3" x14ac:dyDescent="0.25">
      <c r="A1278" s="279">
        <v>39173</v>
      </c>
      <c r="B1278" t="s">
        <v>344</v>
      </c>
      <c r="C1278" t="s">
        <v>237</v>
      </c>
    </row>
    <row r="1279" spans="1:3" x14ac:dyDescent="0.25">
      <c r="A1279" s="279">
        <v>39173</v>
      </c>
      <c r="B1279" t="s">
        <v>345</v>
      </c>
      <c r="C1279" t="s">
        <v>251</v>
      </c>
    </row>
    <row r="1280" spans="1:3" x14ac:dyDescent="0.25">
      <c r="A1280" s="279">
        <v>39174</v>
      </c>
      <c r="B1280" t="s">
        <v>340</v>
      </c>
      <c r="C1280">
        <v>2.6</v>
      </c>
    </row>
    <row r="1281" spans="1:3" x14ac:dyDescent="0.25">
      <c r="A1281" s="279">
        <v>39174</v>
      </c>
      <c r="B1281" t="s">
        <v>341</v>
      </c>
      <c r="C1281">
        <v>83</v>
      </c>
    </row>
    <row r="1282" spans="1:3" x14ac:dyDescent="0.25">
      <c r="A1282" s="279">
        <v>39174</v>
      </c>
      <c r="B1282" t="s">
        <v>342</v>
      </c>
      <c r="C1282">
        <v>47</v>
      </c>
    </row>
    <row r="1283" spans="1:3" x14ac:dyDescent="0.25">
      <c r="A1283" s="279">
        <v>39174</v>
      </c>
      <c r="B1283" t="s">
        <v>343</v>
      </c>
      <c r="C1283">
        <v>59</v>
      </c>
    </row>
    <row r="1284" spans="1:3" x14ac:dyDescent="0.25">
      <c r="A1284" s="279">
        <v>39174</v>
      </c>
      <c r="B1284" t="s">
        <v>344</v>
      </c>
      <c r="C1284" t="s">
        <v>242</v>
      </c>
    </row>
    <row r="1285" spans="1:3" x14ac:dyDescent="0.25">
      <c r="A1285" s="279">
        <v>39174</v>
      </c>
      <c r="B1285" t="s">
        <v>345</v>
      </c>
      <c r="C1285" t="s">
        <v>243</v>
      </c>
    </row>
    <row r="1286" spans="1:3" x14ac:dyDescent="0.25">
      <c r="A1286" s="279">
        <v>39175</v>
      </c>
      <c r="B1286" t="s">
        <v>340</v>
      </c>
      <c r="C1286">
        <v>3.7</v>
      </c>
    </row>
    <row r="1287" spans="1:3" x14ac:dyDescent="0.25">
      <c r="A1287" s="279">
        <v>39175</v>
      </c>
      <c r="B1287" t="s">
        <v>341</v>
      </c>
      <c r="C1287">
        <v>74</v>
      </c>
    </row>
    <row r="1288" spans="1:3" x14ac:dyDescent="0.25">
      <c r="A1288" s="279">
        <v>39175</v>
      </c>
      <c r="B1288" t="s">
        <v>342</v>
      </c>
      <c r="C1288">
        <v>43</v>
      </c>
    </row>
    <row r="1289" spans="1:3" x14ac:dyDescent="0.25">
      <c r="A1289" s="279">
        <v>39175</v>
      </c>
      <c r="B1289" t="s">
        <v>343</v>
      </c>
      <c r="C1289">
        <v>53</v>
      </c>
    </row>
    <row r="1290" spans="1:3" x14ac:dyDescent="0.25">
      <c r="A1290" s="279">
        <v>39175</v>
      </c>
      <c r="B1290" t="s">
        <v>344</v>
      </c>
      <c r="C1290" t="s">
        <v>249</v>
      </c>
    </row>
    <row r="1291" spans="1:3" x14ac:dyDescent="0.25">
      <c r="A1291" s="279">
        <v>39175</v>
      </c>
      <c r="B1291" t="s">
        <v>345</v>
      </c>
      <c r="C1291" t="s">
        <v>243</v>
      </c>
    </row>
    <row r="1292" spans="1:3" x14ac:dyDescent="0.25">
      <c r="A1292" s="279">
        <v>39176</v>
      </c>
      <c r="B1292" t="s">
        <v>340</v>
      </c>
      <c r="C1292">
        <v>7</v>
      </c>
    </row>
    <row r="1293" spans="1:3" x14ac:dyDescent="0.25">
      <c r="A1293" s="279">
        <v>39176</v>
      </c>
      <c r="B1293" t="s">
        <v>341</v>
      </c>
      <c r="C1293">
        <v>49</v>
      </c>
    </row>
    <row r="1294" spans="1:3" x14ac:dyDescent="0.25">
      <c r="A1294" s="279">
        <v>39176</v>
      </c>
      <c r="B1294" t="s">
        <v>342</v>
      </c>
      <c r="C1294">
        <v>40</v>
      </c>
    </row>
    <row r="1295" spans="1:3" x14ac:dyDescent="0.25">
      <c r="A1295" s="279">
        <v>39176</v>
      </c>
      <c r="B1295" t="s">
        <v>343</v>
      </c>
      <c r="C1295">
        <v>45</v>
      </c>
    </row>
    <row r="1296" spans="1:3" x14ac:dyDescent="0.25">
      <c r="A1296" s="279">
        <v>39176</v>
      </c>
      <c r="B1296" t="s">
        <v>344</v>
      </c>
      <c r="C1296" t="s">
        <v>246</v>
      </c>
    </row>
    <row r="1297" spans="1:3" x14ac:dyDescent="0.25">
      <c r="A1297" s="279">
        <v>39176</v>
      </c>
      <c r="B1297" t="s">
        <v>345</v>
      </c>
      <c r="C1297" t="s">
        <v>239</v>
      </c>
    </row>
    <row r="1298" spans="1:3" x14ac:dyDescent="0.25">
      <c r="A1298" s="279">
        <v>39177</v>
      </c>
      <c r="B1298" t="s">
        <v>340</v>
      </c>
      <c r="C1298">
        <v>8.1999999999999993</v>
      </c>
    </row>
    <row r="1299" spans="1:3" x14ac:dyDescent="0.25">
      <c r="A1299" s="279">
        <v>39177</v>
      </c>
      <c r="B1299" t="s">
        <v>341</v>
      </c>
      <c r="C1299">
        <v>47</v>
      </c>
    </row>
    <row r="1300" spans="1:3" x14ac:dyDescent="0.25">
      <c r="A1300" s="279">
        <v>39177</v>
      </c>
      <c r="B1300" t="s">
        <v>342</v>
      </c>
      <c r="C1300">
        <v>35</v>
      </c>
    </row>
    <row r="1301" spans="1:3" x14ac:dyDescent="0.25">
      <c r="A1301" s="279">
        <v>39177</v>
      </c>
      <c r="B1301" t="s">
        <v>343</v>
      </c>
      <c r="C1301">
        <v>40</v>
      </c>
    </row>
    <row r="1302" spans="1:3" x14ac:dyDescent="0.25">
      <c r="A1302" s="279">
        <v>39177</v>
      </c>
      <c r="B1302" t="s">
        <v>344</v>
      </c>
      <c r="C1302" t="s">
        <v>242</v>
      </c>
    </row>
    <row r="1303" spans="1:3" x14ac:dyDescent="0.25">
      <c r="A1303" s="279">
        <v>39177</v>
      </c>
      <c r="B1303" t="s">
        <v>345</v>
      </c>
      <c r="C1303" t="s">
        <v>243</v>
      </c>
    </row>
    <row r="1304" spans="1:3" x14ac:dyDescent="0.25">
      <c r="A1304" s="279">
        <v>39178</v>
      </c>
      <c r="B1304" t="s">
        <v>340</v>
      </c>
      <c r="C1304">
        <v>5.7</v>
      </c>
    </row>
    <row r="1305" spans="1:3" x14ac:dyDescent="0.25">
      <c r="A1305" s="279">
        <v>39178</v>
      </c>
      <c r="B1305" t="s">
        <v>341</v>
      </c>
      <c r="C1305">
        <v>49</v>
      </c>
    </row>
    <row r="1306" spans="1:3" x14ac:dyDescent="0.25">
      <c r="A1306" s="279">
        <v>39178</v>
      </c>
      <c r="B1306" t="s">
        <v>342</v>
      </c>
      <c r="C1306">
        <v>35</v>
      </c>
    </row>
    <row r="1307" spans="1:3" x14ac:dyDescent="0.25">
      <c r="A1307" s="279">
        <v>39178</v>
      </c>
      <c r="B1307" t="s">
        <v>343</v>
      </c>
      <c r="C1307">
        <v>41</v>
      </c>
    </row>
    <row r="1308" spans="1:3" x14ac:dyDescent="0.25">
      <c r="A1308" s="279">
        <v>39178</v>
      </c>
      <c r="B1308" t="s">
        <v>344</v>
      </c>
      <c r="C1308" t="s">
        <v>242</v>
      </c>
    </row>
    <row r="1309" spans="1:3" x14ac:dyDescent="0.25">
      <c r="A1309" s="279">
        <v>39178</v>
      </c>
      <c r="B1309" t="s">
        <v>345</v>
      </c>
      <c r="C1309" t="s">
        <v>243</v>
      </c>
    </row>
    <row r="1310" spans="1:3" x14ac:dyDescent="0.25">
      <c r="A1310" s="279">
        <v>39179</v>
      </c>
      <c r="B1310" t="s">
        <v>340</v>
      </c>
      <c r="C1310">
        <v>6.5</v>
      </c>
    </row>
    <row r="1311" spans="1:3" x14ac:dyDescent="0.25">
      <c r="A1311" s="279">
        <v>39179</v>
      </c>
      <c r="B1311" t="s">
        <v>341</v>
      </c>
      <c r="C1311">
        <v>45</v>
      </c>
    </row>
    <row r="1312" spans="1:3" x14ac:dyDescent="0.25">
      <c r="A1312" s="279">
        <v>39179</v>
      </c>
      <c r="B1312" t="s">
        <v>342</v>
      </c>
      <c r="C1312">
        <v>34</v>
      </c>
    </row>
    <row r="1313" spans="1:3" x14ac:dyDescent="0.25">
      <c r="A1313" s="279">
        <v>39179</v>
      </c>
      <c r="B1313" t="s">
        <v>343</v>
      </c>
      <c r="C1313">
        <v>38</v>
      </c>
    </row>
    <row r="1314" spans="1:3" x14ac:dyDescent="0.25">
      <c r="A1314" s="279">
        <v>39179</v>
      </c>
      <c r="B1314" t="s">
        <v>344</v>
      </c>
      <c r="C1314" t="s">
        <v>242</v>
      </c>
    </row>
    <row r="1315" spans="1:3" x14ac:dyDescent="0.25">
      <c r="A1315" s="279">
        <v>39179</v>
      </c>
      <c r="B1315" t="s">
        <v>345</v>
      </c>
      <c r="C1315" t="s">
        <v>243</v>
      </c>
    </row>
    <row r="1316" spans="1:3" x14ac:dyDescent="0.25">
      <c r="A1316" s="279">
        <v>39180</v>
      </c>
      <c r="B1316" t="s">
        <v>340</v>
      </c>
      <c r="C1316">
        <v>6.5</v>
      </c>
    </row>
    <row r="1317" spans="1:3" x14ac:dyDescent="0.25">
      <c r="A1317" s="279">
        <v>39180</v>
      </c>
      <c r="B1317" t="s">
        <v>341</v>
      </c>
      <c r="C1317">
        <v>47</v>
      </c>
    </row>
    <row r="1318" spans="1:3" x14ac:dyDescent="0.25">
      <c r="A1318" s="279">
        <v>39180</v>
      </c>
      <c r="B1318" t="s">
        <v>342</v>
      </c>
      <c r="C1318">
        <v>35</v>
      </c>
    </row>
    <row r="1319" spans="1:3" x14ac:dyDescent="0.25">
      <c r="A1319" s="279">
        <v>39180</v>
      </c>
      <c r="B1319" t="s">
        <v>343</v>
      </c>
      <c r="C1319">
        <v>40</v>
      </c>
    </row>
    <row r="1320" spans="1:3" x14ac:dyDescent="0.25">
      <c r="A1320" s="279">
        <v>39180</v>
      </c>
      <c r="B1320" t="s">
        <v>344</v>
      </c>
      <c r="C1320" t="s">
        <v>242</v>
      </c>
    </row>
    <row r="1321" spans="1:3" x14ac:dyDescent="0.25">
      <c r="A1321" s="279">
        <v>39180</v>
      </c>
      <c r="B1321" t="s">
        <v>345</v>
      </c>
      <c r="C1321" t="s">
        <v>243</v>
      </c>
    </row>
    <row r="1322" spans="1:3" x14ac:dyDescent="0.25">
      <c r="A1322" s="279">
        <v>39181</v>
      </c>
      <c r="B1322" t="s">
        <v>340</v>
      </c>
      <c r="C1322">
        <v>6</v>
      </c>
    </row>
    <row r="1323" spans="1:3" x14ac:dyDescent="0.25">
      <c r="A1323" s="279">
        <v>39181</v>
      </c>
      <c r="B1323" t="s">
        <v>341</v>
      </c>
      <c r="C1323">
        <v>51</v>
      </c>
    </row>
    <row r="1324" spans="1:3" x14ac:dyDescent="0.25">
      <c r="A1324" s="279">
        <v>39181</v>
      </c>
      <c r="B1324" t="s">
        <v>342</v>
      </c>
      <c r="C1324">
        <v>39</v>
      </c>
    </row>
    <row r="1325" spans="1:3" x14ac:dyDescent="0.25">
      <c r="A1325" s="279">
        <v>39181</v>
      </c>
      <c r="B1325" t="s">
        <v>343</v>
      </c>
      <c r="C1325">
        <v>44</v>
      </c>
    </row>
    <row r="1326" spans="1:3" x14ac:dyDescent="0.25">
      <c r="A1326" s="279">
        <v>39181</v>
      </c>
      <c r="B1326" t="s">
        <v>344</v>
      </c>
      <c r="C1326" t="s">
        <v>242</v>
      </c>
    </row>
    <row r="1327" spans="1:3" x14ac:dyDescent="0.25">
      <c r="A1327" s="279">
        <v>39181</v>
      </c>
      <c r="B1327" t="s">
        <v>345</v>
      </c>
      <c r="C1327" t="s">
        <v>241</v>
      </c>
    </row>
    <row r="1328" spans="1:3" x14ac:dyDescent="0.25">
      <c r="A1328" s="279">
        <v>39182</v>
      </c>
      <c r="B1328" t="s">
        <v>340</v>
      </c>
      <c r="C1328">
        <v>4.5</v>
      </c>
    </row>
    <row r="1329" spans="1:3" x14ac:dyDescent="0.25">
      <c r="A1329" s="279">
        <v>39182</v>
      </c>
      <c r="B1329" t="s">
        <v>341</v>
      </c>
      <c r="C1329">
        <v>54</v>
      </c>
    </row>
    <row r="1330" spans="1:3" x14ac:dyDescent="0.25">
      <c r="A1330" s="279">
        <v>39182</v>
      </c>
      <c r="B1330" t="s">
        <v>342</v>
      </c>
      <c r="C1330">
        <v>37</v>
      </c>
    </row>
    <row r="1331" spans="1:3" x14ac:dyDescent="0.25">
      <c r="A1331" s="279">
        <v>39182</v>
      </c>
      <c r="B1331" t="s">
        <v>343</v>
      </c>
      <c r="C1331">
        <v>46</v>
      </c>
    </row>
    <row r="1332" spans="1:3" x14ac:dyDescent="0.25">
      <c r="A1332" s="279">
        <v>39182</v>
      </c>
      <c r="B1332" t="s">
        <v>344</v>
      </c>
      <c r="C1332" t="s">
        <v>246</v>
      </c>
    </row>
    <row r="1333" spans="1:3" x14ac:dyDescent="0.25">
      <c r="A1333" s="279">
        <v>39182</v>
      </c>
      <c r="B1333" t="s">
        <v>345</v>
      </c>
      <c r="C1333" t="s">
        <v>241</v>
      </c>
    </row>
    <row r="1334" spans="1:3" x14ac:dyDescent="0.25">
      <c r="A1334" s="279">
        <v>39183</v>
      </c>
      <c r="B1334" t="s">
        <v>340</v>
      </c>
      <c r="C1334">
        <v>3.6</v>
      </c>
    </row>
    <row r="1335" spans="1:3" x14ac:dyDescent="0.25">
      <c r="A1335" s="279">
        <v>39183</v>
      </c>
      <c r="B1335" t="s">
        <v>341</v>
      </c>
      <c r="C1335">
        <v>60</v>
      </c>
    </row>
    <row r="1336" spans="1:3" x14ac:dyDescent="0.25">
      <c r="A1336" s="279">
        <v>39183</v>
      </c>
      <c r="B1336" t="s">
        <v>342</v>
      </c>
      <c r="C1336">
        <v>43</v>
      </c>
    </row>
    <row r="1337" spans="1:3" x14ac:dyDescent="0.25">
      <c r="A1337" s="279">
        <v>39183</v>
      </c>
      <c r="B1337" t="s">
        <v>343</v>
      </c>
      <c r="C1337">
        <v>50</v>
      </c>
    </row>
    <row r="1338" spans="1:3" x14ac:dyDescent="0.25">
      <c r="A1338" s="279">
        <v>39183</v>
      </c>
      <c r="B1338" t="s">
        <v>344</v>
      </c>
      <c r="C1338" t="s">
        <v>249</v>
      </c>
    </row>
    <row r="1339" spans="1:3" x14ac:dyDescent="0.25">
      <c r="A1339" s="279">
        <v>39183</v>
      </c>
      <c r="B1339" t="s">
        <v>345</v>
      </c>
      <c r="C1339" t="s">
        <v>290</v>
      </c>
    </row>
    <row r="1340" spans="1:3" x14ac:dyDescent="0.25">
      <c r="A1340" s="279">
        <v>39184</v>
      </c>
      <c r="B1340" t="s">
        <v>340</v>
      </c>
      <c r="C1340">
        <v>6.5</v>
      </c>
    </row>
    <row r="1341" spans="1:3" x14ac:dyDescent="0.25">
      <c r="A1341" s="279">
        <v>39184</v>
      </c>
      <c r="B1341" t="s">
        <v>341</v>
      </c>
      <c r="C1341">
        <v>52</v>
      </c>
    </row>
    <row r="1342" spans="1:3" x14ac:dyDescent="0.25">
      <c r="A1342" s="279">
        <v>39184</v>
      </c>
      <c r="B1342" t="s">
        <v>342</v>
      </c>
      <c r="C1342">
        <v>47</v>
      </c>
    </row>
    <row r="1343" spans="1:3" x14ac:dyDescent="0.25">
      <c r="A1343" s="279">
        <v>39184</v>
      </c>
      <c r="B1343" t="s">
        <v>343</v>
      </c>
      <c r="C1343">
        <v>50</v>
      </c>
    </row>
    <row r="1344" spans="1:3" x14ac:dyDescent="0.25">
      <c r="A1344" s="279">
        <v>39184</v>
      </c>
      <c r="B1344" t="s">
        <v>344</v>
      </c>
      <c r="C1344" t="s">
        <v>249</v>
      </c>
    </row>
    <row r="1345" spans="1:3" x14ac:dyDescent="0.25">
      <c r="A1345" s="279">
        <v>39184</v>
      </c>
      <c r="B1345" t="s">
        <v>345</v>
      </c>
      <c r="C1345" t="s">
        <v>291</v>
      </c>
    </row>
    <row r="1346" spans="1:3" x14ac:dyDescent="0.25">
      <c r="A1346" s="279">
        <v>39185</v>
      </c>
      <c r="B1346" t="s">
        <v>340</v>
      </c>
      <c r="C1346">
        <v>8.4</v>
      </c>
    </row>
    <row r="1347" spans="1:3" x14ac:dyDescent="0.25">
      <c r="A1347" s="279">
        <v>39185</v>
      </c>
      <c r="B1347" t="s">
        <v>341</v>
      </c>
      <c r="C1347">
        <v>55</v>
      </c>
    </row>
    <row r="1348" spans="1:3" x14ac:dyDescent="0.25">
      <c r="A1348" s="279">
        <v>39185</v>
      </c>
      <c r="B1348" t="s">
        <v>342</v>
      </c>
      <c r="C1348">
        <v>42</v>
      </c>
    </row>
    <row r="1349" spans="1:3" x14ac:dyDescent="0.25">
      <c r="A1349" s="279">
        <v>39185</v>
      </c>
      <c r="B1349" t="s">
        <v>343</v>
      </c>
      <c r="C1349">
        <v>48</v>
      </c>
    </row>
    <row r="1350" spans="1:3" x14ac:dyDescent="0.25">
      <c r="A1350" s="279">
        <v>39185</v>
      </c>
      <c r="B1350" t="s">
        <v>344</v>
      </c>
      <c r="C1350" t="s">
        <v>242</v>
      </c>
    </row>
    <row r="1351" spans="1:3" x14ac:dyDescent="0.25">
      <c r="A1351" s="279">
        <v>39185</v>
      </c>
      <c r="B1351" t="s">
        <v>345</v>
      </c>
      <c r="C1351" t="s">
        <v>241</v>
      </c>
    </row>
    <row r="1352" spans="1:3" x14ac:dyDescent="0.25">
      <c r="A1352" s="279">
        <v>39186</v>
      </c>
      <c r="B1352" t="s">
        <v>340</v>
      </c>
      <c r="C1352">
        <v>3.8</v>
      </c>
    </row>
    <row r="1353" spans="1:3" x14ac:dyDescent="0.25">
      <c r="A1353" s="279">
        <v>39186</v>
      </c>
      <c r="B1353" t="s">
        <v>341</v>
      </c>
      <c r="C1353">
        <v>61</v>
      </c>
    </row>
    <row r="1354" spans="1:3" x14ac:dyDescent="0.25">
      <c r="A1354" s="279">
        <v>39186</v>
      </c>
      <c r="B1354" t="s">
        <v>342</v>
      </c>
      <c r="C1354">
        <v>44</v>
      </c>
    </row>
    <row r="1355" spans="1:3" x14ac:dyDescent="0.25">
      <c r="A1355" s="279">
        <v>39186</v>
      </c>
      <c r="B1355" t="s">
        <v>343</v>
      </c>
      <c r="C1355">
        <v>52</v>
      </c>
    </row>
    <row r="1356" spans="1:3" x14ac:dyDescent="0.25">
      <c r="A1356" s="279">
        <v>39186</v>
      </c>
      <c r="B1356" t="s">
        <v>344</v>
      </c>
      <c r="C1356" t="s">
        <v>249</v>
      </c>
    </row>
    <row r="1357" spans="1:3" x14ac:dyDescent="0.25">
      <c r="A1357" s="279">
        <v>39186</v>
      </c>
      <c r="B1357" t="s">
        <v>345</v>
      </c>
      <c r="C1357" t="s">
        <v>241</v>
      </c>
    </row>
    <row r="1358" spans="1:3" x14ac:dyDescent="0.25">
      <c r="A1358" s="279">
        <v>39187</v>
      </c>
      <c r="B1358" t="s">
        <v>340</v>
      </c>
      <c r="C1358">
        <v>11.7</v>
      </c>
    </row>
    <row r="1359" spans="1:3" x14ac:dyDescent="0.25">
      <c r="A1359" s="279">
        <v>39187</v>
      </c>
      <c r="B1359" t="s">
        <v>341</v>
      </c>
      <c r="C1359">
        <v>50</v>
      </c>
    </row>
    <row r="1360" spans="1:3" x14ac:dyDescent="0.25">
      <c r="A1360" s="279">
        <v>39187</v>
      </c>
      <c r="B1360" t="s">
        <v>342</v>
      </c>
      <c r="C1360">
        <v>35</v>
      </c>
    </row>
    <row r="1361" spans="1:3" x14ac:dyDescent="0.25">
      <c r="A1361" s="279">
        <v>39187</v>
      </c>
      <c r="B1361" t="s">
        <v>343</v>
      </c>
      <c r="C1361">
        <v>44</v>
      </c>
    </row>
    <row r="1362" spans="1:3" x14ac:dyDescent="0.25">
      <c r="A1362" s="279">
        <v>39187</v>
      </c>
      <c r="B1362" t="s">
        <v>344</v>
      </c>
      <c r="C1362" t="s">
        <v>246</v>
      </c>
    </row>
    <row r="1363" spans="1:3" x14ac:dyDescent="0.25">
      <c r="A1363" s="279">
        <v>39187</v>
      </c>
      <c r="B1363" t="s">
        <v>345</v>
      </c>
      <c r="C1363" t="s">
        <v>292</v>
      </c>
    </row>
    <row r="1364" spans="1:3" x14ac:dyDescent="0.25">
      <c r="A1364" s="279">
        <v>39188</v>
      </c>
      <c r="B1364" t="s">
        <v>340</v>
      </c>
      <c r="C1364">
        <v>11.1</v>
      </c>
    </row>
    <row r="1365" spans="1:3" x14ac:dyDescent="0.25">
      <c r="A1365" s="279">
        <v>39188</v>
      </c>
      <c r="B1365" t="s">
        <v>341</v>
      </c>
      <c r="C1365">
        <v>48</v>
      </c>
    </row>
    <row r="1366" spans="1:3" x14ac:dyDescent="0.25">
      <c r="A1366" s="279">
        <v>39188</v>
      </c>
      <c r="B1366" t="s">
        <v>342</v>
      </c>
      <c r="C1366">
        <v>40</v>
      </c>
    </row>
    <row r="1367" spans="1:3" x14ac:dyDescent="0.25">
      <c r="A1367" s="279">
        <v>39188</v>
      </c>
      <c r="B1367" t="s">
        <v>343</v>
      </c>
      <c r="C1367">
        <v>44</v>
      </c>
    </row>
    <row r="1368" spans="1:3" x14ac:dyDescent="0.25">
      <c r="A1368" s="279">
        <v>39188</v>
      </c>
      <c r="B1368" t="s">
        <v>344</v>
      </c>
      <c r="C1368" t="s">
        <v>246</v>
      </c>
    </row>
    <row r="1369" spans="1:3" x14ac:dyDescent="0.25">
      <c r="A1369" s="279">
        <v>39188</v>
      </c>
      <c r="B1369" t="s">
        <v>345</v>
      </c>
      <c r="C1369" t="s">
        <v>293</v>
      </c>
    </row>
    <row r="1370" spans="1:3" x14ac:dyDescent="0.25">
      <c r="A1370" s="279">
        <v>39189</v>
      </c>
      <c r="B1370" t="s">
        <v>340</v>
      </c>
      <c r="C1370">
        <v>11.3</v>
      </c>
    </row>
    <row r="1371" spans="1:3" x14ac:dyDescent="0.25">
      <c r="A1371" s="279">
        <v>39189</v>
      </c>
      <c r="B1371" t="s">
        <v>341</v>
      </c>
      <c r="C1371">
        <v>56</v>
      </c>
    </row>
    <row r="1372" spans="1:3" x14ac:dyDescent="0.25">
      <c r="A1372" s="279">
        <v>39189</v>
      </c>
      <c r="B1372" t="s">
        <v>342</v>
      </c>
      <c r="C1372">
        <v>44</v>
      </c>
    </row>
    <row r="1373" spans="1:3" x14ac:dyDescent="0.25">
      <c r="A1373" s="279">
        <v>39189</v>
      </c>
      <c r="B1373" t="s">
        <v>343</v>
      </c>
      <c r="C1373">
        <v>48</v>
      </c>
    </row>
    <row r="1374" spans="1:3" x14ac:dyDescent="0.25">
      <c r="A1374" s="279">
        <v>39189</v>
      </c>
      <c r="B1374" t="s">
        <v>344</v>
      </c>
      <c r="C1374" t="s">
        <v>240</v>
      </c>
    </row>
    <row r="1375" spans="1:3" x14ac:dyDescent="0.25">
      <c r="A1375" s="279">
        <v>39189</v>
      </c>
      <c r="B1375" t="s">
        <v>345</v>
      </c>
      <c r="C1375" t="s">
        <v>259</v>
      </c>
    </row>
    <row r="1376" spans="1:3" x14ac:dyDescent="0.25">
      <c r="A1376" s="279">
        <v>39190</v>
      </c>
      <c r="B1376" t="s">
        <v>340</v>
      </c>
      <c r="C1376">
        <v>3.2</v>
      </c>
    </row>
    <row r="1377" spans="1:3" x14ac:dyDescent="0.25">
      <c r="A1377" s="279">
        <v>39190</v>
      </c>
      <c r="B1377" t="s">
        <v>341</v>
      </c>
      <c r="C1377">
        <v>56</v>
      </c>
    </row>
    <row r="1378" spans="1:3" x14ac:dyDescent="0.25">
      <c r="A1378" s="279">
        <v>39190</v>
      </c>
      <c r="B1378" t="s">
        <v>342</v>
      </c>
      <c r="C1378">
        <v>49</v>
      </c>
    </row>
    <row r="1379" spans="1:3" x14ac:dyDescent="0.25">
      <c r="A1379" s="279">
        <v>39190</v>
      </c>
      <c r="B1379" t="s">
        <v>343</v>
      </c>
      <c r="C1379">
        <v>52</v>
      </c>
    </row>
    <row r="1380" spans="1:3" x14ac:dyDescent="0.25">
      <c r="A1380" s="279">
        <v>39190</v>
      </c>
      <c r="B1380" t="s">
        <v>344</v>
      </c>
      <c r="C1380" t="s">
        <v>246</v>
      </c>
    </row>
    <row r="1381" spans="1:3" x14ac:dyDescent="0.25">
      <c r="A1381" s="279">
        <v>39190</v>
      </c>
      <c r="B1381" t="s">
        <v>345</v>
      </c>
      <c r="C1381" t="s">
        <v>259</v>
      </c>
    </row>
    <row r="1382" spans="1:3" x14ac:dyDescent="0.25">
      <c r="A1382" s="279">
        <v>39191</v>
      </c>
      <c r="B1382" t="s">
        <v>340</v>
      </c>
      <c r="C1382">
        <v>2.5</v>
      </c>
    </row>
    <row r="1383" spans="1:3" x14ac:dyDescent="0.25">
      <c r="A1383" s="279">
        <v>39191</v>
      </c>
      <c r="B1383" t="s">
        <v>341</v>
      </c>
      <c r="C1383">
        <v>61</v>
      </c>
    </row>
    <row r="1384" spans="1:3" x14ac:dyDescent="0.25">
      <c r="A1384" s="279">
        <v>39191</v>
      </c>
      <c r="B1384" t="s">
        <v>342</v>
      </c>
      <c r="C1384">
        <v>46</v>
      </c>
    </row>
    <row r="1385" spans="1:3" x14ac:dyDescent="0.25">
      <c r="A1385" s="279">
        <v>39191</v>
      </c>
      <c r="B1385" t="s">
        <v>343</v>
      </c>
      <c r="C1385">
        <v>53</v>
      </c>
    </row>
    <row r="1386" spans="1:3" x14ac:dyDescent="0.25">
      <c r="A1386" s="279">
        <v>39191</v>
      </c>
      <c r="B1386" t="s">
        <v>344</v>
      </c>
      <c r="C1386" t="s">
        <v>246</v>
      </c>
    </row>
    <row r="1387" spans="1:3" x14ac:dyDescent="0.25">
      <c r="A1387" s="279">
        <v>39191</v>
      </c>
      <c r="B1387" t="s">
        <v>345</v>
      </c>
      <c r="C1387" t="s">
        <v>259</v>
      </c>
    </row>
    <row r="1388" spans="1:3" x14ac:dyDescent="0.25">
      <c r="A1388" s="279">
        <v>39192</v>
      </c>
      <c r="B1388" t="s">
        <v>340</v>
      </c>
      <c r="C1388">
        <v>3.5</v>
      </c>
    </row>
    <row r="1389" spans="1:3" x14ac:dyDescent="0.25">
      <c r="A1389" s="279">
        <v>39192</v>
      </c>
      <c r="B1389" t="s">
        <v>341</v>
      </c>
      <c r="C1389">
        <v>75</v>
      </c>
    </row>
    <row r="1390" spans="1:3" x14ac:dyDescent="0.25">
      <c r="A1390" s="279">
        <v>39192</v>
      </c>
      <c r="B1390" t="s">
        <v>342</v>
      </c>
      <c r="C1390">
        <v>46</v>
      </c>
    </row>
    <row r="1391" spans="1:3" x14ac:dyDescent="0.25">
      <c r="A1391" s="279">
        <v>39192</v>
      </c>
      <c r="B1391" t="s">
        <v>343</v>
      </c>
      <c r="C1391">
        <v>60</v>
      </c>
    </row>
    <row r="1392" spans="1:3" x14ac:dyDescent="0.25">
      <c r="A1392" s="279">
        <v>39192</v>
      </c>
      <c r="B1392" t="s">
        <v>344</v>
      </c>
      <c r="C1392" t="s">
        <v>240</v>
      </c>
    </row>
    <row r="1393" spans="1:3" x14ac:dyDescent="0.25">
      <c r="A1393" s="279">
        <v>39192</v>
      </c>
      <c r="B1393" t="s">
        <v>345</v>
      </c>
      <c r="C1393" t="s">
        <v>243</v>
      </c>
    </row>
    <row r="1394" spans="1:3" x14ac:dyDescent="0.25">
      <c r="A1394" s="279">
        <v>39193</v>
      </c>
      <c r="B1394" t="s">
        <v>340</v>
      </c>
      <c r="C1394">
        <v>2.4</v>
      </c>
    </row>
    <row r="1395" spans="1:3" x14ac:dyDescent="0.25">
      <c r="A1395" s="279">
        <v>39193</v>
      </c>
      <c r="B1395" t="s">
        <v>341</v>
      </c>
      <c r="C1395">
        <v>83</v>
      </c>
    </row>
    <row r="1396" spans="1:3" x14ac:dyDescent="0.25">
      <c r="A1396" s="279">
        <v>39193</v>
      </c>
      <c r="B1396" t="s">
        <v>342</v>
      </c>
      <c r="C1396">
        <v>54</v>
      </c>
    </row>
    <row r="1397" spans="1:3" x14ac:dyDescent="0.25">
      <c r="A1397" s="279">
        <v>39193</v>
      </c>
      <c r="B1397" t="s">
        <v>343</v>
      </c>
      <c r="C1397">
        <v>69</v>
      </c>
    </row>
    <row r="1398" spans="1:3" x14ac:dyDescent="0.25">
      <c r="A1398" s="279">
        <v>39193</v>
      </c>
      <c r="B1398" t="s">
        <v>344</v>
      </c>
      <c r="C1398" t="s">
        <v>240</v>
      </c>
    </row>
    <row r="1399" spans="1:3" x14ac:dyDescent="0.25">
      <c r="A1399" s="279">
        <v>39193</v>
      </c>
      <c r="B1399" t="s">
        <v>345</v>
      </c>
      <c r="C1399" t="s">
        <v>243</v>
      </c>
    </row>
    <row r="1400" spans="1:3" x14ac:dyDescent="0.25">
      <c r="A1400" s="279">
        <v>39194</v>
      </c>
      <c r="B1400" t="s">
        <v>340</v>
      </c>
      <c r="C1400">
        <v>2.2000000000000002</v>
      </c>
    </row>
    <row r="1401" spans="1:3" x14ac:dyDescent="0.25">
      <c r="A1401" s="279">
        <v>39194</v>
      </c>
      <c r="B1401" t="s">
        <v>341</v>
      </c>
      <c r="C1401">
        <v>87</v>
      </c>
    </row>
    <row r="1402" spans="1:3" x14ac:dyDescent="0.25">
      <c r="A1402" s="279">
        <v>39194</v>
      </c>
      <c r="B1402" t="s">
        <v>342</v>
      </c>
      <c r="C1402">
        <v>58</v>
      </c>
    </row>
    <row r="1403" spans="1:3" x14ac:dyDescent="0.25">
      <c r="A1403" s="279">
        <v>39194</v>
      </c>
      <c r="B1403" t="s">
        <v>343</v>
      </c>
      <c r="C1403">
        <v>72</v>
      </c>
    </row>
    <row r="1404" spans="1:3" x14ac:dyDescent="0.25">
      <c r="A1404" s="279">
        <v>39194</v>
      </c>
      <c r="B1404" t="s">
        <v>344</v>
      </c>
      <c r="C1404" t="s">
        <v>247</v>
      </c>
    </row>
    <row r="1405" spans="1:3" x14ac:dyDescent="0.25">
      <c r="A1405" s="279">
        <v>39194</v>
      </c>
      <c r="B1405" t="s">
        <v>345</v>
      </c>
      <c r="C1405" t="s">
        <v>243</v>
      </c>
    </row>
    <row r="1406" spans="1:3" x14ac:dyDescent="0.25">
      <c r="A1406" s="279">
        <v>39195</v>
      </c>
      <c r="B1406" t="s">
        <v>340</v>
      </c>
      <c r="C1406">
        <v>6.7</v>
      </c>
    </row>
    <row r="1407" spans="1:3" x14ac:dyDescent="0.25">
      <c r="A1407" s="279">
        <v>39195</v>
      </c>
      <c r="B1407" t="s">
        <v>341</v>
      </c>
      <c r="C1407">
        <v>88</v>
      </c>
    </row>
    <row r="1408" spans="1:3" x14ac:dyDescent="0.25">
      <c r="A1408" s="279">
        <v>39195</v>
      </c>
      <c r="B1408" t="s">
        <v>342</v>
      </c>
      <c r="C1408">
        <v>68</v>
      </c>
    </row>
    <row r="1409" spans="1:3" x14ac:dyDescent="0.25">
      <c r="A1409" s="279">
        <v>39195</v>
      </c>
      <c r="B1409" t="s">
        <v>343</v>
      </c>
      <c r="C1409">
        <v>77</v>
      </c>
    </row>
    <row r="1410" spans="1:3" x14ac:dyDescent="0.25">
      <c r="A1410" s="279">
        <v>39195</v>
      </c>
      <c r="B1410" t="s">
        <v>344</v>
      </c>
      <c r="C1410" t="s">
        <v>245</v>
      </c>
    </row>
    <row r="1411" spans="1:3" x14ac:dyDescent="0.25">
      <c r="A1411" s="279">
        <v>39195</v>
      </c>
      <c r="B1411" t="s">
        <v>345</v>
      </c>
      <c r="C1411" t="s">
        <v>243</v>
      </c>
    </row>
    <row r="1412" spans="1:3" x14ac:dyDescent="0.25">
      <c r="A1412" s="279">
        <v>39196</v>
      </c>
      <c r="B1412" t="s">
        <v>340</v>
      </c>
      <c r="C1412">
        <v>6.6</v>
      </c>
    </row>
    <row r="1413" spans="1:3" x14ac:dyDescent="0.25">
      <c r="A1413" s="279">
        <v>39196</v>
      </c>
      <c r="B1413" t="s">
        <v>341</v>
      </c>
      <c r="C1413">
        <v>83</v>
      </c>
    </row>
    <row r="1414" spans="1:3" x14ac:dyDescent="0.25">
      <c r="A1414" s="279">
        <v>39196</v>
      </c>
      <c r="B1414" t="s">
        <v>342</v>
      </c>
      <c r="C1414">
        <v>57</v>
      </c>
    </row>
    <row r="1415" spans="1:3" x14ac:dyDescent="0.25">
      <c r="A1415" s="279">
        <v>39196</v>
      </c>
      <c r="B1415" t="s">
        <v>343</v>
      </c>
      <c r="C1415">
        <v>71</v>
      </c>
    </row>
    <row r="1416" spans="1:3" x14ac:dyDescent="0.25">
      <c r="A1416" s="279">
        <v>39196</v>
      </c>
      <c r="B1416" t="s">
        <v>344</v>
      </c>
      <c r="C1416" t="s">
        <v>240</v>
      </c>
    </row>
    <row r="1417" spans="1:3" x14ac:dyDescent="0.25">
      <c r="A1417" s="279">
        <v>39196</v>
      </c>
      <c r="B1417" t="s">
        <v>345</v>
      </c>
      <c r="C1417" t="s">
        <v>241</v>
      </c>
    </row>
    <row r="1418" spans="1:3" x14ac:dyDescent="0.25">
      <c r="A1418" s="279">
        <v>39197</v>
      </c>
      <c r="B1418" t="s">
        <v>340</v>
      </c>
      <c r="C1418">
        <v>5.0999999999999996</v>
      </c>
    </row>
    <row r="1419" spans="1:3" x14ac:dyDescent="0.25">
      <c r="A1419" s="279">
        <v>39197</v>
      </c>
      <c r="B1419" t="s">
        <v>341</v>
      </c>
      <c r="C1419">
        <v>81</v>
      </c>
    </row>
    <row r="1420" spans="1:3" x14ac:dyDescent="0.25">
      <c r="A1420" s="279">
        <v>39197</v>
      </c>
      <c r="B1420" t="s">
        <v>342</v>
      </c>
      <c r="C1420">
        <v>51</v>
      </c>
    </row>
    <row r="1421" spans="1:3" x14ac:dyDescent="0.25">
      <c r="A1421" s="279">
        <v>39197</v>
      </c>
      <c r="B1421" t="s">
        <v>343</v>
      </c>
      <c r="C1421">
        <v>60</v>
      </c>
    </row>
    <row r="1422" spans="1:3" x14ac:dyDescent="0.25">
      <c r="A1422" s="279">
        <v>39197</v>
      </c>
      <c r="B1422" t="s">
        <v>344</v>
      </c>
      <c r="C1422" t="s">
        <v>237</v>
      </c>
    </row>
    <row r="1423" spans="1:3" x14ac:dyDescent="0.25">
      <c r="A1423" s="279">
        <v>39197</v>
      </c>
      <c r="B1423" t="s">
        <v>345</v>
      </c>
      <c r="C1423" t="s">
        <v>258</v>
      </c>
    </row>
    <row r="1424" spans="1:3" x14ac:dyDescent="0.25">
      <c r="A1424" s="279">
        <v>39198</v>
      </c>
      <c r="B1424" t="s">
        <v>340</v>
      </c>
      <c r="C1424">
        <v>3.3</v>
      </c>
    </row>
    <row r="1425" spans="1:3" x14ac:dyDescent="0.25">
      <c r="A1425" s="279">
        <v>39198</v>
      </c>
      <c r="B1425" t="s">
        <v>341</v>
      </c>
      <c r="C1425">
        <v>63</v>
      </c>
    </row>
    <row r="1426" spans="1:3" x14ac:dyDescent="0.25">
      <c r="A1426" s="279">
        <v>39198</v>
      </c>
      <c r="B1426" t="s">
        <v>342</v>
      </c>
      <c r="C1426">
        <v>49</v>
      </c>
    </row>
    <row r="1427" spans="1:3" x14ac:dyDescent="0.25">
      <c r="A1427" s="279">
        <v>39198</v>
      </c>
      <c r="B1427" t="s">
        <v>343</v>
      </c>
      <c r="C1427">
        <v>55</v>
      </c>
    </row>
    <row r="1428" spans="1:3" x14ac:dyDescent="0.25">
      <c r="A1428" s="279">
        <v>39198</v>
      </c>
      <c r="B1428" t="s">
        <v>344</v>
      </c>
      <c r="C1428" t="s">
        <v>237</v>
      </c>
    </row>
    <row r="1429" spans="1:3" x14ac:dyDescent="0.25">
      <c r="A1429" s="279">
        <v>39198</v>
      </c>
      <c r="B1429" t="s">
        <v>345</v>
      </c>
      <c r="C1429" t="s">
        <v>294</v>
      </c>
    </row>
    <row r="1430" spans="1:3" x14ac:dyDescent="0.25">
      <c r="A1430" s="279">
        <v>39199</v>
      </c>
      <c r="B1430" t="s">
        <v>340</v>
      </c>
      <c r="C1430">
        <v>1.2</v>
      </c>
    </row>
    <row r="1431" spans="1:3" x14ac:dyDescent="0.25">
      <c r="A1431" s="279">
        <v>39199</v>
      </c>
      <c r="B1431" t="s">
        <v>341</v>
      </c>
      <c r="C1431">
        <v>64</v>
      </c>
    </row>
    <row r="1432" spans="1:3" x14ac:dyDescent="0.25">
      <c r="A1432" s="279">
        <v>39199</v>
      </c>
      <c r="B1432" t="s">
        <v>342</v>
      </c>
      <c r="C1432">
        <v>53</v>
      </c>
    </row>
    <row r="1433" spans="1:3" x14ac:dyDescent="0.25">
      <c r="A1433" s="279">
        <v>39199</v>
      </c>
      <c r="B1433" t="s">
        <v>343</v>
      </c>
      <c r="C1433">
        <v>60</v>
      </c>
    </row>
    <row r="1434" spans="1:3" x14ac:dyDescent="0.25">
      <c r="A1434" s="279">
        <v>39199</v>
      </c>
      <c r="B1434" t="s">
        <v>344</v>
      </c>
      <c r="C1434" t="s">
        <v>245</v>
      </c>
    </row>
    <row r="1435" spans="1:3" x14ac:dyDescent="0.25">
      <c r="A1435" s="279">
        <v>39199</v>
      </c>
      <c r="B1435" t="s">
        <v>345</v>
      </c>
      <c r="C1435" t="s">
        <v>295</v>
      </c>
    </row>
    <row r="1436" spans="1:3" x14ac:dyDescent="0.25">
      <c r="A1436" s="279">
        <v>39200</v>
      </c>
      <c r="B1436" t="s">
        <v>340</v>
      </c>
      <c r="C1436">
        <v>4.7</v>
      </c>
    </row>
    <row r="1437" spans="1:3" x14ac:dyDescent="0.25">
      <c r="A1437" s="279">
        <v>39200</v>
      </c>
      <c r="B1437" t="s">
        <v>341</v>
      </c>
      <c r="C1437">
        <v>73</v>
      </c>
    </row>
    <row r="1438" spans="1:3" x14ac:dyDescent="0.25">
      <c r="A1438" s="279">
        <v>39200</v>
      </c>
      <c r="B1438" t="s">
        <v>342</v>
      </c>
      <c r="C1438">
        <v>56</v>
      </c>
    </row>
    <row r="1439" spans="1:3" x14ac:dyDescent="0.25">
      <c r="A1439" s="279">
        <v>39200</v>
      </c>
      <c r="B1439" t="s">
        <v>343</v>
      </c>
      <c r="C1439">
        <v>63</v>
      </c>
    </row>
    <row r="1440" spans="1:3" x14ac:dyDescent="0.25">
      <c r="A1440" s="279">
        <v>39200</v>
      </c>
      <c r="B1440" t="s">
        <v>344</v>
      </c>
      <c r="C1440" t="s">
        <v>242</v>
      </c>
    </row>
    <row r="1441" spans="1:3" x14ac:dyDescent="0.25">
      <c r="A1441" s="279">
        <v>39200</v>
      </c>
      <c r="B1441" t="s">
        <v>345</v>
      </c>
      <c r="C1441" t="s">
        <v>241</v>
      </c>
    </row>
    <row r="1442" spans="1:3" x14ac:dyDescent="0.25">
      <c r="A1442" s="279">
        <v>39201</v>
      </c>
      <c r="B1442" t="s">
        <v>340</v>
      </c>
      <c r="C1442">
        <v>4.5999999999999996</v>
      </c>
    </row>
    <row r="1443" spans="1:3" x14ac:dyDescent="0.25">
      <c r="A1443" s="279">
        <v>39201</v>
      </c>
      <c r="B1443" t="s">
        <v>341</v>
      </c>
      <c r="C1443">
        <v>76</v>
      </c>
    </row>
    <row r="1444" spans="1:3" x14ac:dyDescent="0.25">
      <c r="A1444" s="279">
        <v>39201</v>
      </c>
      <c r="B1444" t="s">
        <v>342</v>
      </c>
      <c r="C1444">
        <v>54</v>
      </c>
    </row>
    <row r="1445" spans="1:3" x14ac:dyDescent="0.25">
      <c r="A1445" s="279">
        <v>39201</v>
      </c>
      <c r="B1445" t="s">
        <v>343</v>
      </c>
      <c r="C1445">
        <v>65</v>
      </c>
    </row>
    <row r="1446" spans="1:3" x14ac:dyDescent="0.25">
      <c r="A1446" s="279">
        <v>39201</v>
      </c>
      <c r="B1446" t="s">
        <v>344</v>
      </c>
      <c r="C1446" t="s">
        <v>242</v>
      </c>
    </row>
    <row r="1447" spans="1:3" x14ac:dyDescent="0.25">
      <c r="A1447" s="279">
        <v>39201</v>
      </c>
      <c r="B1447" t="s">
        <v>345</v>
      </c>
      <c r="C1447" t="s">
        <v>241</v>
      </c>
    </row>
    <row r="1448" spans="1:3" x14ac:dyDescent="0.25">
      <c r="A1448" s="279">
        <v>39202</v>
      </c>
      <c r="B1448" t="s">
        <v>340</v>
      </c>
      <c r="C1448">
        <v>7.5</v>
      </c>
    </row>
    <row r="1449" spans="1:3" x14ac:dyDescent="0.25">
      <c r="A1449" s="279">
        <v>39202</v>
      </c>
      <c r="B1449" t="s">
        <v>341</v>
      </c>
      <c r="C1449">
        <v>88</v>
      </c>
    </row>
    <row r="1450" spans="1:3" x14ac:dyDescent="0.25">
      <c r="A1450" s="279">
        <v>39202</v>
      </c>
      <c r="B1450" t="s">
        <v>342</v>
      </c>
      <c r="C1450">
        <v>60</v>
      </c>
    </row>
    <row r="1451" spans="1:3" x14ac:dyDescent="0.25">
      <c r="A1451" s="279">
        <v>39202</v>
      </c>
      <c r="B1451" t="s">
        <v>343</v>
      </c>
      <c r="C1451">
        <v>73</v>
      </c>
    </row>
    <row r="1452" spans="1:3" x14ac:dyDescent="0.25">
      <c r="A1452" s="279">
        <v>39202</v>
      </c>
      <c r="B1452" t="s">
        <v>344</v>
      </c>
      <c r="C1452" t="s">
        <v>240</v>
      </c>
    </row>
    <row r="1453" spans="1:3" x14ac:dyDescent="0.25">
      <c r="A1453" s="279">
        <v>39202</v>
      </c>
      <c r="B1453" t="s">
        <v>345</v>
      </c>
      <c r="C1453" t="s">
        <v>296</v>
      </c>
    </row>
    <row r="1454" spans="1:3" x14ac:dyDescent="0.25">
      <c r="A1454" s="279">
        <v>39203</v>
      </c>
      <c r="B1454" t="s">
        <v>340</v>
      </c>
      <c r="C1454">
        <v>3</v>
      </c>
    </row>
    <row r="1455" spans="1:3" x14ac:dyDescent="0.25">
      <c r="A1455" s="279">
        <v>39203</v>
      </c>
      <c r="B1455" t="s">
        <v>341</v>
      </c>
      <c r="C1455">
        <v>76</v>
      </c>
    </row>
    <row r="1456" spans="1:3" x14ac:dyDescent="0.25">
      <c r="A1456" s="279">
        <v>39203</v>
      </c>
      <c r="B1456" t="s">
        <v>342</v>
      </c>
      <c r="C1456">
        <v>57</v>
      </c>
    </row>
    <row r="1457" spans="1:3" x14ac:dyDescent="0.25">
      <c r="A1457" s="279">
        <v>39203</v>
      </c>
      <c r="B1457" t="s">
        <v>343</v>
      </c>
      <c r="C1457">
        <v>65</v>
      </c>
    </row>
    <row r="1458" spans="1:3" x14ac:dyDescent="0.25">
      <c r="A1458" s="279">
        <v>39203</v>
      </c>
      <c r="B1458" t="s">
        <v>344</v>
      </c>
      <c r="C1458" t="s">
        <v>237</v>
      </c>
    </row>
    <row r="1459" spans="1:3" x14ac:dyDescent="0.25">
      <c r="A1459" s="279">
        <v>39203</v>
      </c>
      <c r="B1459" t="s">
        <v>345</v>
      </c>
      <c r="C1459" t="s">
        <v>259</v>
      </c>
    </row>
    <row r="1460" spans="1:3" x14ac:dyDescent="0.25">
      <c r="A1460" s="279">
        <v>39204</v>
      </c>
      <c r="B1460" t="s">
        <v>340</v>
      </c>
      <c r="C1460">
        <v>6</v>
      </c>
    </row>
    <row r="1461" spans="1:3" x14ac:dyDescent="0.25">
      <c r="A1461" s="279">
        <v>39204</v>
      </c>
      <c r="B1461" t="s">
        <v>341</v>
      </c>
      <c r="C1461">
        <v>76</v>
      </c>
    </row>
    <row r="1462" spans="1:3" x14ac:dyDescent="0.25">
      <c r="A1462" s="279">
        <v>39204</v>
      </c>
      <c r="B1462" t="s">
        <v>342</v>
      </c>
      <c r="C1462">
        <v>57</v>
      </c>
    </row>
    <row r="1463" spans="1:3" x14ac:dyDescent="0.25">
      <c r="A1463" s="279">
        <v>39204</v>
      </c>
      <c r="B1463" t="s">
        <v>343</v>
      </c>
      <c r="C1463">
        <v>67</v>
      </c>
    </row>
    <row r="1464" spans="1:3" x14ac:dyDescent="0.25">
      <c r="A1464" s="279">
        <v>39204</v>
      </c>
      <c r="B1464" t="s">
        <v>344</v>
      </c>
      <c r="C1464" t="s">
        <v>250</v>
      </c>
    </row>
    <row r="1465" spans="1:3" x14ac:dyDescent="0.25">
      <c r="A1465" s="279">
        <v>39204</v>
      </c>
      <c r="B1465" t="s">
        <v>345</v>
      </c>
      <c r="C1465" t="s">
        <v>297</v>
      </c>
    </row>
    <row r="1466" spans="1:3" x14ac:dyDescent="0.25">
      <c r="A1466" s="279">
        <v>39205</v>
      </c>
      <c r="B1466" t="s">
        <v>340</v>
      </c>
      <c r="C1466">
        <v>4.2</v>
      </c>
    </row>
    <row r="1467" spans="1:3" x14ac:dyDescent="0.25">
      <c r="A1467" s="279">
        <v>39205</v>
      </c>
      <c r="B1467" t="s">
        <v>341</v>
      </c>
      <c r="C1467">
        <v>73</v>
      </c>
    </row>
    <row r="1468" spans="1:3" x14ac:dyDescent="0.25">
      <c r="A1468" s="279">
        <v>39205</v>
      </c>
      <c r="B1468" t="s">
        <v>342</v>
      </c>
      <c r="C1468">
        <v>56</v>
      </c>
    </row>
    <row r="1469" spans="1:3" x14ac:dyDescent="0.25">
      <c r="A1469" s="279">
        <v>39205</v>
      </c>
      <c r="B1469" t="s">
        <v>343</v>
      </c>
      <c r="C1469">
        <v>64</v>
      </c>
    </row>
    <row r="1470" spans="1:3" x14ac:dyDescent="0.25">
      <c r="A1470" s="279">
        <v>39205</v>
      </c>
      <c r="B1470" t="s">
        <v>344</v>
      </c>
      <c r="C1470" t="s">
        <v>252</v>
      </c>
    </row>
    <row r="1471" spans="1:3" x14ac:dyDescent="0.25">
      <c r="A1471" s="279">
        <v>39205</v>
      </c>
      <c r="B1471" t="s">
        <v>345</v>
      </c>
      <c r="C1471" t="s">
        <v>298</v>
      </c>
    </row>
    <row r="1472" spans="1:3" x14ac:dyDescent="0.25">
      <c r="A1472" s="279">
        <v>39206</v>
      </c>
      <c r="B1472" t="s">
        <v>340</v>
      </c>
      <c r="C1472">
        <v>3.8</v>
      </c>
    </row>
    <row r="1473" spans="1:3" x14ac:dyDescent="0.25">
      <c r="A1473" s="279">
        <v>39206</v>
      </c>
      <c r="B1473" t="s">
        <v>341</v>
      </c>
      <c r="C1473">
        <v>77</v>
      </c>
    </row>
    <row r="1474" spans="1:3" x14ac:dyDescent="0.25">
      <c r="A1474" s="279">
        <v>39206</v>
      </c>
      <c r="B1474" t="s">
        <v>342</v>
      </c>
      <c r="C1474">
        <v>54</v>
      </c>
    </row>
    <row r="1475" spans="1:3" x14ac:dyDescent="0.25">
      <c r="A1475" s="279">
        <v>39206</v>
      </c>
      <c r="B1475" t="s">
        <v>343</v>
      </c>
      <c r="C1475">
        <v>65</v>
      </c>
    </row>
    <row r="1476" spans="1:3" x14ac:dyDescent="0.25">
      <c r="A1476" s="279">
        <v>39206</v>
      </c>
      <c r="B1476" t="s">
        <v>344</v>
      </c>
      <c r="C1476" t="s">
        <v>240</v>
      </c>
    </row>
    <row r="1477" spans="1:3" x14ac:dyDescent="0.25">
      <c r="A1477" s="279">
        <v>39206</v>
      </c>
      <c r="B1477" t="s">
        <v>345</v>
      </c>
      <c r="C1477" t="s">
        <v>299</v>
      </c>
    </row>
    <row r="1478" spans="1:3" x14ac:dyDescent="0.25">
      <c r="A1478" s="279">
        <v>39207</v>
      </c>
      <c r="B1478" t="s">
        <v>340</v>
      </c>
      <c r="C1478">
        <v>7.6</v>
      </c>
    </row>
    <row r="1479" spans="1:3" x14ac:dyDescent="0.25">
      <c r="A1479" s="279">
        <v>39207</v>
      </c>
      <c r="B1479" t="s">
        <v>341</v>
      </c>
      <c r="C1479">
        <v>81</v>
      </c>
    </row>
    <row r="1480" spans="1:3" x14ac:dyDescent="0.25">
      <c r="A1480" s="279">
        <v>39207</v>
      </c>
      <c r="B1480" t="s">
        <v>342</v>
      </c>
      <c r="C1480">
        <v>51</v>
      </c>
    </row>
    <row r="1481" spans="1:3" x14ac:dyDescent="0.25">
      <c r="A1481" s="279">
        <v>39207</v>
      </c>
      <c r="B1481" t="s">
        <v>343</v>
      </c>
      <c r="C1481">
        <v>67</v>
      </c>
    </row>
    <row r="1482" spans="1:3" x14ac:dyDescent="0.25">
      <c r="A1482" s="279">
        <v>39207</v>
      </c>
      <c r="B1482" t="s">
        <v>344</v>
      </c>
      <c r="C1482" t="s">
        <v>240</v>
      </c>
    </row>
    <row r="1483" spans="1:3" x14ac:dyDescent="0.25">
      <c r="A1483" s="279">
        <v>39207</v>
      </c>
      <c r="B1483" t="s">
        <v>345</v>
      </c>
      <c r="C1483" t="s">
        <v>299</v>
      </c>
    </row>
    <row r="1484" spans="1:3" x14ac:dyDescent="0.25">
      <c r="A1484" s="279">
        <v>39208</v>
      </c>
      <c r="B1484" t="s">
        <v>340</v>
      </c>
      <c r="C1484">
        <v>5.3</v>
      </c>
    </row>
    <row r="1485" spans="1:3" x14ac:dyDescent="0.25">
      <c r="A1485" s="279">
        <v>39208</v>
      </c>
      <c r="B1485" t="s">
        <v>341</v>
      </c>
      <c r="C1485">
        <v>68</v>
      </c>
    </row>
    <row r="1486" spans="1:3" x14ac:dyDescent="0.25">
      <c r="A1486" s="279">
        <v>39208</v>
      </c>
      <c r="B1486" t="s">
        <v>342</v>
      </c>
      <c r="C1486">
        <v>46</v>
      </c>
    </row>
    <row r="1487" spans="1:3" x14ac:dyDescent="0.25">
      <c r="A1487" s="279">
        <v>39208</v>
      </c>
      <c r="B1487" t="s">
        <v>343</v>
      </c>
      <c r="C1487">
        <v>56</v>
      </c>
    </row>
    <row r="1488" spans="1:3" x14ac:dyDescent="0.25">
      <c r="A1488" s="279">
        <v>39208</v>
      </c>
      <c r="B1488" t="s">
        <v>344</v>
      </c>
      <c r="C1488" t="s">
        <v>237</v>
      </c>
    </row>
    <row r="1489" spans="1:3" x14ac:dyDescent="0.25">
      <c r="A1489" s="279">
        <v>39208</v>
      </c>
      <c r="B1489" t="s">
        <v>345</v>
      </c>
      <c r="C1489" t="s">
        <v>269</v>
      </c>
    </row>
    <row r="1490" spans="1:3" x14ac:dyDescent="0.25">
      <c r="A1490" s="279">
        <v>39209</v>
      </c>
      <c r="B1490" t="s">
        <v>340</v>
      </c>
      <c r="C1490">
        <v>3.1</v>
      </c>
    </row>
    <row r="1491" spans="1:3" x14ac:dyDescent="0.25">
      <c r="A1491" s="279">
        <v>39209</v>
      </c>
      <c r="B1491" t="s">
        <v>341</v>
      </c>
      <c r="C1491">
        <v>73</v>
      </c>
    </row>
    <row r="1492" spans="1:3" x14ac:dyDescent="0.25">
      <c r="A1492" s="279">
        <v>39209</v>
      </c>
      <c r="B1492" t="s">
        <v>342</v>
      </c>
      <c r="C1492">
        <v>48</v>
      </c>
    </row>
    <row r="1493" spans="1:3" x14ac:dyDescent="0.25">
      <c r="A1493" s="279">
        <v>39209</v>
      </c>
      <c r="B1493" t="s">
        <v>343</v>
      </c>
      <c r="C1493">
        <v>58</v>
      </c>
    </row>
    <row r="1494" spans="1:3" x14ac:dyDescent="0.25">
      <c r="A1494" s="279">
        <v>39209</v>
      </c>
      <c r="B1494" t="s">
        <v>344</v>
      </c>
      <c r="C1494" t="s">
        <v>237</v>
      </c>
    </row>
    <row r="1495" spans="1:3" x14ac:dyDescent="0.25">
      <c r="A1495" s="279">
        <v>39209</v>
      </c>
      <c r="B1495" t="s">
        <v>345</v>
      </c>
      <c r="C1495" t="s">
        <v>299</v>
      </c>
    </row>
    <row r="1496" spans="1:3" x14ac:dyDescent="0.25">
      <c r="A1496" s="279">
        <v>39210</v>
      </c>
      <c r="B1496" t="s">
        <v>340</v>
      </c>
      <c r="C1496">
        <v>3</v>
      </c>
    </row>
    <row r="1497" spans="1:3" x14ac:dyDescent="0.25">
      <c r="A1497" s="279">
        <v>39210</v>
      </c>
      <c r="B1497" t="s">
        <v>341</v>
      </c>
      <c r="C1497">
        <v>82</v>
      </c>
    </row>
    <row r="1498" spans="1:3" x14ac:dyDescent="0.25">
      <c r="A1498" s="279">
        <v>39210</v>
      </c>
      <c r="B1498" t="s">
        <v>342</v>
      </c>
      <c r="C1498">
        <v>48</v>
      </c>
    </row>
    <row r="1499" spans="1:3" x14ac:dyDescent="0.25">
      <c r="A1499" s="279">
        <v>39210</v>
      </c>
      <c r="B1499" t="s">
        <v>343</v>
      </c>
      <c r="C1499">
        <v>69</v>
      </c>
    </row>
    <row r="1500" spans="1:3" x14ac:dyDescent="0.25">
      <c r="A1500" s="279">
        <v>39210</v>
      </c>
      <c r="B1500" t="s">
        <v>344</v>
      </c>
      <c r="C1500" t="s">
        <v>249</v>
      </c>
    </row>
    <row r="1501" spans="1:3" x14ac:dyDescent="0.25">
      <c r="A1501" s="279">
        <v>39210</v>
      </c>
      <c r="B1501" t="s">
        <v>345</v>
      </c>
      <c r="C1501" t="s">
        <v>299</v>
      </c>
    </row>
    <row r="1502" spans="1:3" x14ac:dyDescent="0.25">
      <c r="A1502" s="279">
        <v>39211</v>
      </c>
      <c r="B1502" t="s">
        <v>340</v>
      </c>
      <c r="C1502">
        <v>3.6</v>
      </c>
    </row>
    <row r="1503" spans="1:3" x14ac:dyDescent="0.25">
      <c r="A1503" s="279">
        <v>39211</v>
      </c>
      <c r="B1503" t="s">
        <v>341</v>
      </c>
      <c r="C1503">
        <v>86</v>
      </c>
    </row>
    <row r="1504" spans="1:3" x14ac:dyDescent="0.25">
      <c r="A1504" s="279">
        <v>39211</v>
      </c>
      <c r="B1504" t="s">
        <v>342</v>
      </c>
      <c r="C1504">
        <v>69</v>
      </c>
    </row>
    <row r="1505" spans="1:3" x14ac:dyDescent="0.25">
      <c r="A1505" s="279">
        <v>39211</v>
      </c>
      <c r="B1505" t="s">
        <v>343</v>
      </c>
      <c r="C1505">
        <v>76</v>
      </c>
    </row>
    <row r="1506" spans="1:3" x14ac:dyDescent="0.25">
      <c r="A1506" s="279">
        <v>39211</v>
      </c>
      <c r="B1506" t="s">
        <v>344</v>
      </c>
      <c r="C1506" t="s">
        <v>252</v>
      </c>
    </row>
    <row r="1507" spans="1:3" x14ac:dyDescent="0.25">
      <c r="A1507" s="279">
        <v>39211</v>
      </c>
      <c r="B1507" t="s">
        <v>345</v>
      </c>
      <c r="C1507" t="s">
        <v>299</v>
      </c>
    </row>
    <row r="1508" spans="1:3" x14ac:dyDescent="0.25">
      <c r="A1508" s="279">
        <v>39212</v>
      </c>
      <c r="B1508" t="s">
        <v>340</v>
      </c>
      <c r="C1508">
        <v>3.3</v>
      </c>
    </row>
    <row r="1509" spans="1:3" x14ac:dyDescent="0.25">
      <c r="A1509" s="279">
        <v>39212</v>
      </c>
      <c r="B1509" t="s">
        <v>341</v>
      </c>
      <c r="C1509">
        <v>86</v>
      </c>
    </row>
    <row r="1510" spans="1:3" x14ac:dyDescent="0.25">
      <c r="A1510" s="279">
        <v>39212</v>
      </c>
      <c r="B1510" t="s">
        <v>342</v>
      </c>
      <c r="C1510">
        <v>67</v>
      </c>
    </row>
    <row r="1511" spans="1:3" x14ac:dyDescent="0.25">
      <c r="A1511" s="279">
        <v>39212</v>
      </c>
      <c r="B1511" t="s">
        <v>343</v>
      </c>
      <c r="C1511">
        <v>74</v>
      </c>
    </row>
    <row r="1512" spans="1:3" x14ac:dyDescent="0.25">
      <c r="A1512" s="279">
        <v>39212</v>
      </c>
      <c r="B1512" t="s">
        <v>344</v>
      </c>
      <c r="C1512" t="s">
        <v>252</v>
      </c>
    </row>
    <row r="1513" spans="1:3" x14ac:dyDescent="0.25">
      <c r="A1513" s="279">
        <v>39212</v>
      </c>
      <c r="B1513" t="s">
        <v>345</v>
      </c>
      <c r="C1513" t="s">
        <v>259</v>
      </c>
    </row>
    <row r="1514" spans="1:3" x14ac:dyDescent="0.25">
      <c r="A1514" s="279">
        <v>39213</v>
      </c>
      <c r="B1514" t="s">
        <v>340</v>
      </c>
      <c r="C1514">
        <v>4.3</v>
      </c>
    </row>
    <row r="1515" spans="1:3" x14ac:dyDescent="0.25">
      <c r="A1515" s="279">
        <v>39213</v>
      </c>
      <c r="B1515" t="s">
        <v>341</v>
      </c>
      <c r="C1515">
        <v>89</v>
      </c>
    </row>
    <row r="1516" spans="1:3" x14ac:dyDescent="0.25">
      <c r="A1516" s="279">
        <v>39213</v>
      </c>
      <c r="B1516" t="s">
        <v>342</v>
      </c>
      <c r="C1516">
        <v>68</v>
      </c>
    </row>
    <row r="1517" spans="1:3" x14ac:dyDescent="0.25">
      <c r="A1517" s="279">
        <v>39213</v>
      </c>
      <c r="B1517" t="s">
        <v>343</v>
      </c>
      <c r="C1517">
        <v>78</v>
      </c>
    </row>
    <row r="1518" spans="1:3" x14ac:dyDescent="0.25">
      <c r="A1518" s="279">
        <v>39213</v>
      </c>
      <c r="B1518" t="s">
        <v>344</v>
      </c>
      <c r="C1518" t="s">
        <v>242</v>
      </c>
    </row>
    <row r="1519" spans="1:3" x14ac:dyDescent="0.25">
      <c r="A1519" s="279">
        <v>39213</v>
      </c>
      <c r="B1519" t="s">
        <v>345</v>
      </c>
      <c r="C1519" t="s">
        <v>241</v>
      </c>
    </row>
    <row r="1520" spans="1:3" x14ac:dyDescent="0.25">
      <c r="A1520" s="279">
        <v>39214</v>
      </c>
      <c r="B1520" t="s">
        <v>340</v>
      </c>
      <c r="C1520">
        <v>4.5</v>
      </c>
    </row>
    <row r="1521" spans="1:3" x14ac:dyDescent="0.25">
      <c r="A1521" s="279">
        <v>39214</v>
      </c>
      <c r="B1521" t="s">
        <v>341</v>
      </c>
      <c r="C1521">
        <v>87</v>
      </c>
    </row>
    <row r="1522" spans="1:3" x14ac:dyDescent="0.25">
      <c r="A1522" s="279">
        <v>39214</v>
      </c>
      <c r="B1522" t="s">
        <v>342</v>
      </c>
      <c r="C1522">
        <v>56</v>
      </c>
    </row>
    <row r="1523" spans="1:3" x14ac:dyDescent="0.25">
      <c r="A1523" s="279">
        <v>39214</v>
      </c>
      <c r="B1523" t="s">
        <v>343</v>
      </c>
      <c r="C1523">
        <v>68</v>
      </c>
    </row>
    <row r="1524" spans="1:3" x14ac:dyDescent="0.25">
      <c r="A1524" s="279">
        <v>39214</v>
      </c>
      <c r="B1524" t="s">
        <v>344</v>
      </c>
      <c r="C1524" t="s">
        <v>246</v>
      </c>
    </row>
    <row r="1525" spans="1:3" x14ac:dyDescent="0.25">
      <c r="A1525" s="279">
        <v>39214</v>
      </c>
      <c r="B1525" t="s">
        <v>345</v>
      </c>
      <c r="C1525" t="s">
        <v>259</v>
      </c>
    </row>
    <row r="1526" spans="1:3" x14ac:dyDescent="0.25">
      <c r="A1526" s="279">
        <v>39215</v>
      </c>
      <c r="B1526" t="s">
        <v>340</v>
      </c>
      <c r="C1526">
        <v>6.4</v>
      </c>
    </row>
    <row r="1527" spans="1:3" x14ac:dyDescent="0.25">
      <c r="A1527" s="279">
        <v>39215</v>
      </c>
      <c r="B1527" t="s">
        <v>341</v>
      </c>
      <c r="C1527">
        <v>75</v>
      </c>
    </row>
    <row r="1528" spans="1:3" x14ac:dyDescent="0.25">
      <c r="A1528" s="279">
        <v>39215</v>
      </c>
      <c r="B1528" t="s">
        <v>342</v>
      </c>
      <c r="C1528">
        <v>54</v>
      </c>
    </row>
    <row r="1529" spans="1:3" x14ac:dyDescent="0.25">
      <c r="A1529" s="279">
        <v>39215</v>
      </c>
      <c r="B1529" t="s">
        <v>343</v>
      </c>
      <c r="C1529">
        <v>65</v>
      </c>
    </row>
    <row r="1530" spans="1:3" x14ac:dyDescent="0.25">
      <c r="A1530" s="279">
        <v>39215</v>
      </c>
      <c r="B1530" t="s">
        <v>344</v>
      </c>
      <c r="C1530" t="s">
        <v>250</v>
      </c>
    </row>
    <row r="1531" spans="1:3" x14ac:dyDescent="0.25">
      <c r="A1531" s="279">
        <v>39215</v>
      </c>
      <c r="B1531" t="s">
        <v>345</v>
      </c>
      <c r="C1531" t="s">
        <v>243</v>
      </c>
    </row>
    <row r="1532" spans="1:3" x14ac:dyDescent="0.25">
      <c r="A1532" s="279">
        <v>39216</v>
      </c>
      <c r="B1532" t="s">
        <v>340</v>
      </c>
      <c r="C1532">
        <v>5.6</v>
      </c>
    </row>
    <row r="1533" spans="1:3" x14ac:dyDescent="0.25">
      <c r="A1533" s="279">
        <v>39216</v>
      </c>
      <c r="B1533" t="s">
        <v>341</v>
      </c>
      <c r="C1533">
        <v>76</v>
      </c>
    </row>
    <row r="1534" spans="1:3" x14ac:dyDescent="0.25">
      <c r="A1534" s="279">
        <v>39216</v>
      </c>
      <c r="B1534" t="s">
        <v>342</v>
      </c>
      <c r="C1534">
        <v>60</v>
      </c>
    </row>
    <row r="1535" spans="1:3" x14ac:dyDescent="0.25">
      <c r="A1535" s="279">
        <v>39216</v>
      </c>
      <c r="B1535" t="s">
        <v>343</v>
      </c>
      <c r="C1535">
        <v>67</v>
      </c>
    </row>
    <row r="1536" spans="1:3" x14ac:dyDescent="0.25">
      <c r="A1536" s="279">
        <v>39216</v>
      </c>
      <c r="B1536" t="s">
        <v>344</v>
      </c>
      <c r="C1536" t="s">
        <v>252</v>
      </c>
    </row>
    <row r="1537" spans="1:3" x14ac:dyDescent="0.25">
      <c r="A1537" s="279">
        <v>39216</v>
      </c>
      <c r="B1537" t="s">
        <v>345</v>
      </c>
      <c r="C1537" t="s">
        <v>243</v>
      </c>
    </row>
    <row r="1538" spans="1:3" x14ac:dyDescent="0.25">
      <c r="A1538" s="279">
        <v>39217</v>
      </c>
      <c r="B1538" t="s">
        <v>340</v>
      </c>
      <c r="C1538">
        <v>9.3000000000000007</v>
      </c>
    </row>
    <row r="1539" spans="1:3" x14ac:dyDescent="0.25">
      <c r="A1539" s="279">
        <v>39217</v>
      </c>
      <c r="B1539" t="s">
        <v>341</v>
      </c>
      <c r="C1539">
        <v>87</v>
      </c>
    </row>
    <row r="1540" spans="1:3" x14ac:dyDescent="0.25">
      <c r="A1540" s="279">
        <v>39217</v>
      </c>
      <c r="B1540" t="s">
        <v>342</v>
      </c>
      <c r="C1540">
        <v>71</v>
      </c>
    </row>
    <row r="1541" spans="1:3" x14ac:dyDescent="0.25">
      <c r="A1541" s="279">
        <v>39217</v>
      </c>
      <c r="B1541" t="s">
        <v>343</v>
      </c>
      <c r="C1541">
        <v>78</v>
      </c>
    </row>
    <row r="1542" spans="1:3" x14ac:dyDescent="0.25">
      <c r="A1542" s="279">
        <v>39217</v>
      </c>
      <c r="B1542" t="s">
        <v>344</v>
      </c>
      <c r="C1542" t="s">
        <v>245</v>
      </c>
    </row>
    <row r="1543" spans="1:3" x14ac:dyDescent="0.25">
      <c r="A1543" s="279">
        <v>39217</v>
      </c>
      <c r="B1543" t="s">
        <v>345</v>
      </c>
      <c r="C1543" t="s">
        <v>243</v>
      </c>
    </row>
    <row r="1544" spans="1:3" x14ac:dyDescent="0.25">
      <c r="A1544" s="279">
        <v>39218</v>
      </c>
      <c r="B1544" t="s">
        <v>340</v>
      </c>
      <c r="C1544">
        <v>6.5</v>
      </c>
    </row>
    <row r="1545" spans="1:3" x14ac:dyDescent="0.25">
      <c r="A1545" s="279">
        <v>39218</v>
      </c>
      <c r="B1545" t="s">
        <v>341</v>
      </c>
      <c r="C1545">
        <v>89</v>
      </c>
    </row>
    <row r="1546" spans="1:3" x14ac:dyDescent="0.25">
      <c r="A1546" s="279">
        <v>39218</v>
      </c>
      <c r="B1546" t="s">
        <v>342</v>
      </c>
      <c r="C1546">
        <v>62</v>
      </c>
    </row>
    <row r="1547" spans="1:3" x14ac:dyDescent="0.25">
      <c r="A1547" s="279">
        <v>39218</v>
      </c>
      <c r="B1547" t="s">
        <v>343</v>
      </c>
      <c r="C1547">
        <v>71</v>
      </c>
    </row>
    <row r="1548" spans="1:3" x14ac:dyDescent="0.25">
      <c r="A1548" s="279">
        <v>39218</v>
      </c>
      <c r="B1548" t="s">
        <v>344</v>
      </c>
      <c r="C1548" t="s">
        <v>240</v>
      </c>
    </row>
    <row r="1549" spans="1:3" x14ac:dyDescent="0.25">
      <c r="A1549" s="279">
        <v>39218</v>
      </c>
      <c r="B1549" t="s">
        <v>345</v>
      </c>
      <c r="C1549" t="s">
        <v>300</v>
      </c>
    </row>
    <row r="1550" spans="1:3" x14ac:dyDescent="0.25">
      <c r="A1550" s="279">
        <v>39219</v>
      </c>
      <c r="B1550" t="s">
        <v>340</v>
      </c>
      <c r="C1550">
        <v>3.6</v>
      </c>
    </row>
    <row r="1551" spans="1:3" x14ac:dyDescent="0.25">
      <c r="A1551" s="279">
        <v>39219</v>
      </c>
      <c r="B1551" t="s">
        <v>341</v>
      </c>
      <c r="C1551">
        <v>75</v>
      </c>
    </row>
    <row r="1552" spans="1:3" x14ac:dyDescent="0.25">
      <c r="A1552" s="279">
        <v>39219</v>
      </c>
      <c r="B1552" t="s">
        <v>342</v>
      </c>
      <c r="C1552">
        <v>54</v>
      </c>
    </row>
    <row r="1553" spans="1:3" x14ac:dyDescent="0.25">
      <c r="A1553" s="279">
        <v>39219</v>
      </c>
      <c r="B1553" t="s">
        <v>343</v>
      </c>
      <c r="C1553">
        <v>63</v>
      </c>
    </row>
    <row r="1554" spans="1:3" x14ac:dyDescent="0.25">
      <c r="A1554" s="279">
        <v>39219</v>
      </c>
      <c r="B1554" t="s">
        <v>344</v>
      </c>
      <c r="C1554" t="s">
        <v>246</v>
      </c>
    </row>
    <row r="1555" spans="1:3" x14ac:dyDescent="0.25">
      <c r="A1555" s="279">
        <v>39219</v>
      </c>
      <c r="B1555" t="s">
        <v>345</v>
      </c>
      <c r="C1555" t="s">
        <v>259</v>
      </c>
    </row>
    <row r="1556" spans="1:3" x14ac:dyDescent="0.25">
      <c r="A1556" s="279">
        <v>39220</v>
      </c>
      <c r="B1556" t="s">
        <v>340</v>
      </c>
      <c r="C1556">
        <v>5.9</v>
      </c>
    </row>
    <row r="1557" spans="1:3" x14ac:dyDescent="0.25">
      <c r="A1557" s="279">
        <v>39220</v>
      </c>
      <c r="B1557" t="s">
        <v>341</v>
      </c>
      <c r="C1557">
        <v>66</v>
      </c>
    </row>
    <row r="1558" spans="1:3" x14ac:dyDescent="0.25">
      <c r="A1558" s="279">
        <v>39220</v>
      </c>
      <c r="B1558" t="s">
        <v>342</v>
      </c>
      <c r="C1558">
        <v>51</v>
      </c>
    </row>
    <row r="1559" spans="1:3" x14ac:dyDescent="0.25">
      <c r="A1559" s="279">
        <v>39220</v>
      </c>
      <c r="B1559" t="s">
        <v>343</v>
      </c>
      <c r="C1559">
        <v>58</v>
      </c>
    </row>
    <row r="1560" spans="1:3" x14ac:dyDescent="0.25">
      <c r="A1560" s="279">
        <v>39220</v>
      </c>
      <c r="B1560" t="s">
        <v>344</v>
      </c>
      <c r="C1560" t="s">
        <v>246</v>
      </c>
    </row>
    <row r="1561" spans="1:3" x14ac:dyDescent="0.25">
      <c r="A1561" s="279">
        <v>39220</v>
      </c>
      <c r="B1561" t="s">
        <v>345</v>
      </c>
      <c r="C1561" t="s">
        <v>241</v>
      </c>
    </row>
    <row r="1562" spans="1:3" x14ac:dyDescent="0.25">
      <c r="A1562" s="279">
        <v>39221</v>
      </c>
      <c r="B1562" t="s">
        <v>340</v>
      </c>
      <c r="C1562">
        <v>6.2</v>
      </c>
    </row>
    <row r="1563" spans="1:3" x14ac:dyDescent="0.25">
      <c r="A1563" s="279">
        <v>39221</v>
      </c>
      <c r="B1563" t="s">
        <v>341</v>
      </c>
      <c r="C1563">
        <v>71</v>
      </c>
    </row>
    <row r="1564" spans="1:3" x14ac:dyDescent="0.25">
      <c r="A1564" s="279">
        <v>39221</v>
      </c>
      <c r="B1564" t="s">
        <v>342</v>
      </c>
      <c r="C1564">
        <v>58</v>
      </c>
    </row>
    <row r="1565" spans="1:3" x14ac:dyDescent="0.25">
      <c r="A1565" s="279">
        <v>39221</v>
      </c>
      <c r="B1565" t="s">
        <v>343</v>
      </c>
      <c r="C1565">
        <v>63</v>
      </c>
    </row>
    <row r="1566" spans="1:3" x14ac:dyDescent="0.25">
      <c r="A1566" s="279">
        <v>39221</v>
      </c>
      <c r="B1566" t="s">
        <v>344</v>
      </c>
      <c r="C1566" t="s">
        <v>242</v>
      </c>
    </row>
    <row r="1567" spans="1:3" x14ac:dyDescent="0.25">
      <c r="A1567" s="279">
        <v>39221</v>
      </c>
      <c r="B1567" t="s">
        <v>345</v>
      </c>
      <c r="C1567" t="s">
        <v>243</v>
      </c>
    </row>
    <row r="1568" spans="1:3" x14ac:dyDescent="0.25">
      <c r="A1568" s="279">
        <v>39222</v>
      </c>
      <c r="B1568" t="s">
        <v>340</v>
      </c>
      <c r="C1568">
        <v>7.2</v>
      </c>
    </row>
    <row r="1569" spans="1:3" x14ac:dyDescent="0.25">
      <c r="A1569" s="279">
        <v>39222</v>
      </c>
      <c r="B1569" t="s">
        <v>341</v>
      </c>
      <c r="C1569">
        <v>82</v>
      </c>
    </row>
    <row r="1570" spans="1:3" x14ac:dyDescent="0.25">
      <c r="A1570" s="279">
        <v>39222</v>
      </c>
      <c r="B1570" t="s">
        <v>342</v>
      </c>
      <c r="C1570">
        <v>56</v>
      </c>
    </row>
    <row r="1571" spans="1:3" x14ac:dyDescent="0.25">
      <c r="A1571" s="279">
        <v>39222</v>
      </c>
      <c r="B1571" t="s">
        <v>343</v>
      </c>
      <c r="C1571">
        <v>68</v>
      </c>
    </row>
    <row r="1572" spans="1:3" x14ac:dyDescent="0.25">
      <c r="A1572" s="279">
        <v>39222</v>
      </c>
      <c r="B1572" t="s">
        <v>344</v>
      </c>
      <c r="C1572" t="s">
        <v>242</v>
      </c>
    </row>
    <row r="1573" spans="1:3" x14ac:dyDescent="0.25">
      <c r="A1573" s="279">
        <v>39222</v>
      </c>
      <c r="B1573" t="s">
        <v>345</v>
      </c>
      <c r="C1573" t="s">
        <v>243</v>
      </c>
    </row>
    <row r="1574" spans="1:3" x14ac:dyDescent="0.25">
      <c r="A1574" s="279">
        <v>39223</v>
      </c>
      <c r="B1574" t="s">
        <v>340</v>
      </c>
      <c r="C1574">
        <v>4.5</v>
      </c>
    </row>
    <row r="1575" spans="1:3" x14ac:dyDescent="0.25">
      <c r="A1575" s="279">
        <v>39223</v>
      </c>
      <c r="B1575" t="s">
        <v>341</v>
      </c>
      <c r="C1575">
        <v>76</v>
      </c>
    </row>
    <row r="1576" spans="1:3" x14ac:dyDescent="0.25">
      <c r="A1576" s="279">
        <v>39223</v>
      </c>
      <c r="B1576" t="s">
        <v>342</v>
      </c>
      <c r="C1576">
        <v>56</v>
      </c>
    </row>
    <row r="1577" spans="1:3" x14ac:dyDescent="0.25">
      <c r="A1577" s="279">
        <v>39223</v>
      </c>
      <c r="B1577" t="s">
        <v>343</v>
      </c>
      <c r="C1577">
        <v>65</v>
      </c>
    </row>
    <row r="1578" spans="1:3" x14ac:dyDescent="0.25">
      <c r="A1578" s="279">
        <v>39223</v>
      </c>
      <c r="B1578" t="s">
        <v>344</v>
      </c>
      <c r="C1578" t="s">
        <v>240</v>
      </c>
    </row>
    <row r="1579" spans="1:3" x14ac:dyDescent="0.25">
      <c r="A1579" s="279">
        <v>39223</v>
      </c>
      <c r="B1579" t="s">
        <v>345</v>
      </c>
      <c r="C1579" t="s">
        <v>243</v>
      </c>
    </row>
    <row r="1580" spans="1:3" x14ac:dyDescent="0.25">
      <c r="A1580" s="279">
        <v>39224</v>
      </c>
      <c r="B1580" t="s">
        <v>340</v>
      </c>
      <c r="C1580">
        <v>2.7</v>
      </c>
    </row>
    <row r="1581" spans="1:3" x14ac:dyDescent="0.25">
      <c r="A1581" s="279">
        <v>39224</v>
      </c>
      <c r="B1581" t="s">
        <v>341</v>
      </c>
      <c r="C1581">
        <v>85</v>
      </c>
    </row>
    <row r="1582" spans="1:3" x14ac:dyDescent="0.25">
      <c r="A1582" s="279">
        <v>39224</v>
      </c>
      <c r="B1582" t="s">
        <v>342</v>
      </c>
      <c r="C1582">
        <v>57</v>
      </c>
    </row>
    <row r="1583" spans="1:3" x14ac:dyDescent="0.25">
      <c r="A1583" s="279">
        <v>39224</v>
      </c>
      <c r="B1583" t="s">
        <v>343</v>
      </c>
      <c r="C1583">
        <v>69</v>
      </c>
    </row>
    <row r="1584" spans="1:3" x14ac:dyDescent="0.25">
      <c r="A1584" s="279">
        <v>39224</v>
      </c>
      <c r="B1584" t="s">
        <v>344</v>
      </c>
      <c r="C1584" t="s">
        <v>249</v>
      </c>
    </row>
    <row r="1585" spans="1:3" x14ac:dyDescent="0.25">
      <c r="A1585" s="279">
        <v>39224</v>
      </c>
      <c r="B1585" t="s">
        <v>345</v>
      </c>
      <c r="C1585" t="s">
        <v>299</v>
      </c>
    </row>
    <row r="1586" spans="1:3" x14ac:dyDescent="0.25">
      <c r="A1586" s="279">
        <v>39225</v>
      </c>
      <c r="B1586" t="s">
        <v>340</v>
      </c>
      <c r="C1586">
        <v>5.5</v>
      </c>
    </row>
    <row r="1587" spans="1:3" x14ac:dyDescent="0.25">
      <c r="A1587" s="279">
        <v>39225</v>
      </c>
      <c r="B1587" t="s">
        <v>341</v>
      </c>
      <c r="C1587">
        <v>82</v>
      </c>
    </row>
    <row r="1588" spans="1:3" x14ac:dyDescent="0.25">
      <c r="A1588" s="279">
        <v>39225</v>
      </c>
      <c r="B1588" t="s">
        <v>342</v>
      </c>
      <c r="C1588">
        <v>62</v>
      </c>
    </row>
    <row r="1589" spans="1:3" x14ac:dyDescent="0.25">
      <c r="A1589" s="279">
        <v>39225</v>
      </c>
      <c r="B1589" t="s">
        <v>343</v>
      </c>
      <c r="C1589">
        <v>71</v>
      </c>
    </row>
    <row r="1590" spans="1:3" x14ac:dyDescent="0.25">
      <c r="A1590" s="279">
        <v>39225</v>
      </c>
      <c r="B1590" t="s">
        <v>344</v>
      </c>
      <c r="C1590" t="s">
        <v>252</v>
      </c>
    </row>
    <row r="1591" spans="1:3" x14ac:dyDescent="0.25">
      <c r="A1591" s="279">
        <v>39225</v>
      </c>
      <c r="B1591" t="s">
        <v>345</v>
      </c>
      <c r="C1591" t="s">
        <v>299</v>
      </c>
    </row>
    <row r="1592" spans="1:3" x14ac:dyDescent="0.25">
      <c r="A1592" s="279">
        <v>39226</v>
      </c>
      <c r="B1592" t="s">
        <v>340</v>
      </c>
      <c r="C1592">
        <v>4.5999999999999996</v>
      </c>
    </row>
    <row r="1593" spans="1:3" x14ac:dyDescent="0.25">
      <c r="A1593" s="279">
        <v>39226</v>
      </c>
      <c r="B1593" t="s">
        <v>341</v>
      </c>
      <c r="C1593">
        <v>87</v>
      </c>
    </row>
    <row r="1594" spans="1:3" x14ac:dyDescent="0.25">
      <c r="A1594" s="279">
        <v>39226</v>
      </c>
      <c r="B1594" t="s">
        <v>342</v>
      </c>
      <c r="C1594">
        <v>66</v>
      </c>
    </row>
    <row r="1595" spans="1:3" x14ac:dyDescent="0.25">
      <c r="A1595" s="279">
        <v>39226</v>
      </c>
      <c r="B1595" t="s">
        <v>343</v>
      </c>
      <c r="C1595">
        <v>76</v>
      </c>
    </row>
    <row r="1596" spans="1:3" x14ac:dyDescent="0.25">
      <c r="A1596" s="279">
        <v>39226</v>
      </c>
      <c r="B1596" t="s">
        <v>344</v>
      </c>
      <c r="C1596" t="s">
        <v>245</v>
      </c>
    </row>
    <row r="1597" spans="1:3" x14ac:dyDescent="0.25">
      <c r="A1597" s="279">
        <v>39226</v>
      </c>
      <c r="B1597" t="s">
        <v>345</v>
      </c>
      <c r="C1597" t="s">
        <v>299</v>
      </c>
    </row>
    <row r="1598" spans="1:3" x14ac:dyDescent="0.25">
      <c r="A1598" s="279">
        <v>39227</v>
      </c>
      <c r="B1598" t="s">
        <v>340</v>
      </c>
      <c r="C1598">
        <v>4</v>
      </c>
    </row>
    <row r="1599" spans="1:3" x14ac:dyDescent="0.25">
      <c r="A1599" s="279">
        <v>39227</v>
      </c>
      <c r="B1599" t="s">
        <v>341</v>
      </c>
      <c r="C1599">
        <v>92</v>
      </c>
    </row>
    <row r="1600" spans="1:3" x14ac:dyDescent="0.25">
      <c r="A1600" s="279">
        <v>39227</v>
      </c>
      <c r="B1600" t="s">
        <v>342</v>
      </c>
      <c r="C1600">
        <v>71</v>
      </c>
    </row>
    <row r="1601" spans="1:3" x14ac:dyDescent="0.25">
      <c r="A1601" s="279">
        <v>39227</v>
      </c>
      <c r="B1601" t="s">
        <v>343</v>
      </c>
      <c r="C1601">
        <v>81</v>
      </c>
    </row>
    <row r="1602" spans="1:3" x14ac:dyDescent="0.25">
      <c r="A1602" s="279">
        <v>39227</v>
      </c>
      <c r="B1602" t="s">
        <v>344</v>
      </c>
      <c r="C1602" t="s">
        <v>242</v>
      </c>
    </row>
    <row r="1603" spans="1:3" x14ac:dyDescent="0.25">
      <c r="A1603" s="279">
        <v>39227</v>
      </c>
      <c r="B1603" t="s">
        <v>345</v>
      </c>
      <c r="C1603" t="s">
        <v>299</v>
      </c>
    </row>
    <row r="1604" spans="1:3" x14ac:dyDescent="0.25">
      <c r="A1604" s="279">
        <v>39228</v>
      </c>
      <c r="B1604" t="s">
        <v>340</v>
      </c>
      <c r="C1604">
        <v>3.1</v>
      </c>
    </row>
    <row r="1605" spans="1:3" x14ac:dyDescent="0.25">
      <c r="A1605" s="279">
        <v>39228</v>
      </c>
      <c r="B1605" t="s">
        <v>341</v>
      </c>
      <c r="C1605">
        <v>96</v>
      </c>
    </row>
    <row r="1606" spans="1:3" x14ac:dyDescent="0.25">
      <c r="A1606" s="279">
        <v>39228</v>
      </c>
      <c r="B1606" t="s">
        <v>342</v>
      </c>
      <c r="C1606">
        <v>70</v>
      </c>
    </row>
    <row r="1607" spans="1:3" x14ac:dyDescent="0.25">
      <c r="A1607" s="279">
        <v>39228</v>
      </c>
      <c r="B1607" t="s">
        <v>343</v>
      </c>
      <c r="C1607">
        <v>81</v>
      </c>
    </row>
    <row r="1608" spans="1:3" x14ac:dyDescent="0.25">
      <c r="A1608" s="279">
        <v>39228</v>
      </c>
      <c r="B1608" t="s">
        <v>344</v>
      </c>
      <c r="C1608" t="s">
        <v>242</v>
      </c>
    </row>
    <row r="1609" spans="1:3" x14ac:dyDescent="0.25">
      <c r="A1609" s="279">
        <v>39228</v>
      </c>
      <c r="B1609" t="s">
        <v>345</v>
      </c>
      <c r="C1609" t="s">
        <v>301</v>
      </c>
    </row>
    <row r="1610" spans="1:3" x14ac:dyDescent="0.25">
      <c r="A1610" s="279">
        <v>39229</v>
      </c>
      <c r="B1610" t="s">
        <v>340</v>
      </c>
      <c r="C1610">
        <v>3</v>
      </c>
    </row>
    <row r="1611" spans="1:3" x14ac:dyDescent="0.25">
      <c r="A1611" s="279">
        <v>39229</v>
      </c>
      <c r="B1611" t="s">
        <v>341</v>
      </c>
      <c r="C1611">
        <v>95</v>
      </c>
    </row>
    <row r="1612" spans="1:3" x14ac:dyDescent="0.25">
      <c r="A1612" s="279">
        <v>39229</v>
      </c>
      <c r="B1612" t="s">
        <v>342</v>
      </c>
      <c r="C1612">
        <v>69</v>
      </c>
    </row>
    <row r="1613" spans="1:3" x14ac:dyDescent="0.25">
      <c r="A1613" s="279">
        <v>39229</v>
      </c>
      <c r="B1613" t="s">
        <v>343</v>
      </c>
      <c r="C1613">
        <v>81</v>
      </c>
    </row>
    <row r="1614" spans="1:3" x14ac:dyDescent="0.25">
      <c r="A1614" s="279">
        <v>39229</v>
      </c>
      <c r="B1614" t="s">
        <v>344</v>
      </c>
      <c r="C1614" t="s">
        <v>252</v>
      </c>
    </row>
    <row r="1615" spans="1:3" x14ac:dyDescent="0.25">
      <c r="A1615" s="279">
        <v>39229</v>
      </c>
      <c r="B1615" t="s">
        <v>345</v>
      </c>
      <c r="C1615" t="s">
        <v>301</v>
      </c>
    </row>
    <row r="1616" spans="1:3" x14ac:dyDescent="0.25">
      <c r="A1616" s="279">
        <v>39230</v>
      </c>
      <c r="B1616" t="s">
        <v>340</v>
      </c>
      <c r="C1616">
        <v>4.5999999999999996</v>
      </c>
    </row>
    <row r="1617" spans="1:3" x14ac:dyDescent="0.25">
      <c r="A1617" s="279">
        <v>39230</v>
      </c>
      <c r="B1617" t="s">
        <v>341</v>
      </c>
      <c r="C1617">
        <v>88</v>
      </c>
    </row>
    <row r="1618" spans="1:3" x14ac:dyDescent="0.25">
      <c r="A1618" s="279">
        <v>39230</v>
      </c>
      <c r="B1618" t="s">
        <v>342</v>
      </c>
      <c r="C1618">
        <v>67</v>
      </c>
    </row>
    <row r="1619" spans="1:3" x14ac:dyDescent="0.25">
      <c r="A1619" s="279">
        <v>39230</v>
      </c>
      <c r="B1619" t="s">
        <v>343</v>
      </c>
      <c r="C1619">
        <v>78</v>
      </c>
    </row>
    <row r="1620" spans="1:3" x14ac:dyDescent="0.25">
      <c r="A1620" s="279">
        <v>39230</v>
      </c>
      <c r="B1620" t="s">
        <v>344</v>
      </c>
      <c r="C1620" t="s">
        <v>242</v>
      </c>
    </row>
    <row r="1621" spans="1:3" x14ac:dyDescent="0.25">
      <c r="A1621" s="279">
        <v>39230</v>
      </c>
      <c r="B1621" t="s">
        <v>345</v>
      </c>
      <c r="C1621" t="s">
        <v>241</v>
      </c>
    </row>
    <row r="1622" spans="1:3" x14ac:dyDescent="0.25">
      <c r="A1622" s="279">
        <v>39231</v>
      </c>
      <c r="B1622" t="s">
        <v>340</v>
      </c>
      <c r="C1622">
        <v>3.7</v>
      </c>
    </row>
    <row r="1623" spans="1:3" x14ac:dyDescent="0.25">
      <c r="A1623" s="279">
        <v>39231</v>
      </c>
      <c r="B1623" t="s">
        <v>341</v>
      </c>
      <c r="C1623">
        <v>86</v>
      </c>
    </row>
    <row r="1624" spans="1:3" x14ac:dyDescent="0.25">
      <c r="A1624" s="279">
        <v>39231</v>
      </c>
      <c r="B1624" t="s">
        <v>342</v>
      </c>
      <c r="C1624">
        <v>65</v>
      </c>
    </row>
    <row r="1625" spans="1:3" x14ac:dyDescent="0.25">
      <c r="A1625" s="279">
        <v>39231</v>
      </c>
      <c r="B1625" t="s">
        <v>343</v>
      </c>
      <c r="C1625">
        <v>74</v>
      </c>
    </row>
    <row r="1626" spans="1:3" x14ac:dyDescent="0.25">
      <c r="A1626" s="279">
        <v>39231</v>
      </c>
      <c r="B1626" t="s">
        <v>344</v>
      </c>
      <c r="C1626" t="s">
        <v>240</v>
      </c>
    </row>
    <row r="1627" spans="1:3" x14ac:dyDescent="0.25">
      <c r="A1627" s="279">
        <v>39231</v>
      </c>
      <c r="B1627" t="s">
        <v>345</v>
      </c>
      <c r="C1627" t="s">
        <v>299</v>
      </c>
    </row>
    <row r="1628" spans="1:3" x14ac:dyDescent="0.25">
      <c r="A1628" s="279">
        <v>39232</v>
      </c>
      <c r="B1628" t="s">
        <v>340</v>
      </c>
      <c r="C1628">
        <v>3.3</v>
      </c>
    </row>
    <row r="1629" spans="1:3" x14ac:dyDescent="0.25">
      <c r="A1629" s="279">
        <v>39232</v>
      </c>
      <c r="B1629" t="s">
        <v>341</v>
      </c>
      <c r="C1629">
        <v>93</v>
      </c>
    </row>
    <row r="1630" spans="1:3" x14ac:dyDescent="0.25">
      <c r="A1630" s="279">
        <v>39232</v>
      </c>
      <c r="B1630" t="s">
        <v>342</v>
      </c>
      <c r="C1630">
        <v>72</v>
      </c>
    </row>
    <row r="1631" spans="1:3" x14ac:dyDescent="0.25">
      <c r="A1631" s="279">
        <v>39232</v>
      </c>
      <c r="B1631" t="s">
        <v>343</v>
      </c>
      <c r="C1631">
        <v>81</v>
      </c>
    </row>
    <row r="1632" spans="1:3" x14ac:dyDescent="0.25">
      <c r="A1632" s="279">
        <v>39232</v>
      </c>
      <c r="B1632" t="s">
        <v>344</v>
      </c>
      <c r="C1632" t="s">
        <v>245</v>
      </c>
    </row>
    <row r="1633" spans="1:3" x14ac:dyDescent="0.25">
      <c r="A1633" s="279">
        <v>39232</v>
      </c>
      <c r="B1633" t="s">
        <v>345</v>
      </c>
      <c r="C1633" t="s">
        <v>299</v>
      </c>
    </row>
    <row r="1634" spans="1:3" x14ac:dyDescent="0.25">
      <c r="A1634" s="279">
        <v>39233</v>
      </c>
      <c r="B1634" t="s">
        <v>340</v>
      </c>
      <c r="C1634">
        <v>4.5999999999999996</v>
      </c>
    </row>
    <row r="1635" spans="1:3" x14ac:dyDescent="0.25">
      <c r="A1635" s="279">
        <v>39233</v>
      </c>
      <c r="B1635" t="s">
        <v>341</v>
      </c>
      <c r="C1635">
        <v>96</v>
      </c>
    </row>
    <row r="1636" spans="1:3" x14ac:dyDescent="0.25">
      <c r="A1636" s="279">
        <v>39233</v>
      </c>
      <c r="B1636" t="s">
        <v>342</v>
      </c>
      <c r="C1636">
        <v>70</v>
      </c>
    </row>
    <row r="1637" spans="1:3" x14ac:dyDescent="0.25">
      <c r="A1637" s="279">
        <v>39233</v>
      </c>
      <c r="B1637" t="s">
        <v>343</v>
      </c>
      <c r="C1637">
        <v>83</v>
      </c>
    </row>
    <row r="1638" spans="1:3" x14ac:dyDescent="0.25">
      <c r="A1638" s="279">
        <v>39233</v>
      </c>
      <c r="B1638" t="s">
        <v>344</v>
      </c>
      <c r="C1638" t="s">
        <v>252</v>
      </c>
    </row>
    <row r="1639" spans="1:3" x14ac:dyDescent="0.25">
      <c r="A1639" s="279">
        <v>39233</v>
      </c>
      <c r="B1639" t="s">
        <v>345</v>
      </c>
      <c r="C1639" t="s">
        <v>301</v>
      </c>
    </row>
    <row r="1640" spans="1:3" x14ac:dyDescent="0.25">
      <c r="A1640" s="279">
        <v>39234</v>
      </c>
      <c r="B1640" t="s">
        <v>340</v>
      </c>
      <c r="C1640">
        <v>3.9</v>
      </c>
    </row>
    <row r="1641" spans="1:3" x14ac:dyDescent="0.25">
      <c r="A1641" s="279">
        <v>39234</v>
      </c>
      <c r="B1641" t="s">
        <v>341</v>
      </c>
      <c r="C1641">
        <v>94</v>
      </c>
    </row>
    <row r="1642" spans="1:3" x14ac:dyDescent="0.25">
      <c r="A1642" s="279">
        <v>39234</v>
      </c>
      <c r="B1642" t="s">
        <v>342</v>
      </c>
      <c r="C1642">
        <v>72</v>
      </c>
    </row>
    <row r="1643" spans="1:3" x14ac:dyDescent="0.25">
      <c r="A1643" s="279">
        <v>39234</v>
      </c>
      <c r="B1643" t="s">
        <v>343</v>
      </c>
      <c r="C1643">
        <v>81</v>
      </c>
    </row>
    <row r="1644" spans="1:3" x14ac:dyDescent="0.25">
      <c r="A1644" s="279">
        <v>39234</v>
      </c>
      <c r="B1644" t="s">
        <v>344</v>
      </c>
      <c r="C1644" t="s">
        <v>252</v>
      </c>
    </row>
    <row r="1645" spans="1:3" x14ac:dyDescent="0.25">
      <c r="A1645" s="279">
        <v>39234</v>
      </c>
      <c r="B1645" t="s">
        <v>345</v>
      </c>
      <c r="C1645" t="s">
        <v>301</v>
      </c>
    </row>
    <row r="1646" spans="1:3" x14ac:dyDescent="0.25">
      <c r="A1646" s="279">
        <v>39235</v>
      </c>
      <c r="B1646" t="s">
        <v>340</v>
      </c>
      <c r="C1646">
        <v>4.7</v>
      </c>
    </row>
    <row r="1647" spans="1:3" x14ac:dyDescent="0.25">
      <c r="A1647" s="279">
        <v>39235</v>
      </c>
      <c r="B1647" t="s">
        <v>341</v>
      </c>
      <c r="C1647">
        <v>95</v>
      </c>
    </row>
    <row r="1648" spans="1:3" x14ac:dyDescent="0.25">
      <c r="A1648" s="279">
        <v>39235</v>
      </c>
      <c r="B1648" t="s">
        <v>342</v>
      </c>
      <c r="C1648">
        <v>72</v>
      </c>
    </row>
    <row r="1649" spans="1:3" x14ac:dyDescent="0.25">
      <c r="A1649" s="279">
        <v>39235</v>
      </c>
      <c r="B1649" t="s">
        <v>343</v>
      </c>
      <c r="C1649">
        <v>82</v>
      </c>
    </row>
    <row r="1650" spans="1:3" x14ac:dyDescent="0.25">
      <c r="A1650" s="279">
        <v>39235</v>
      </c>
      <c r="B1650" t="s">
        <v>344</v>
      </c>
      <c r="C1650" t="s">
        <v>252</v>
      </c>
    </row>
    <row r="1651" spans="1:3" x14ac:dyDescent="0.25">
      <c r="A1651" s="279">
        <v>39235</v>
      </c>
      <c r="B1651" t="s">
        <v>345</v>
      </c>
      <c r="C1651" t="s">
        <v>302</v>
      </c>
    </row>
    <row r="1652" spans="1:3" x14ac:dyDescent="0.25">
      <c r="A1652" s="279">
        <v>39236</v>
      </c>
      <c r="B1652" t="s">
        <v>340</v>
      </c>
      <c r="C1652">
        <v>4.7</v>
      </c>
    </row>
    <row r="1653" spans="1:3" x14ac:dyDescent="0.25">
      <c r="A1653" s="279">
        <v>39236</v>
      </c>
      <c r="B1653" t="s">
        <v>341</v>
      </c>
      <c r="C1653">
        <v>78</v>
      </c>
    </row>
    <row r="1654" spans="1:3" x14ac:dyDescent="0.25">
      <c r="A1654" s="279">
        <v>39236</v>
      </c>
      <c r="B1654" t="s">
        <v>342</v>
      </c>
      <c r="C1654">
        <v>66</v>
      </c>
    </row>
    <row r="1655" spans="1:3" x14ac:dyDescent="0.25">
      <c r="A1655" s="279">
        <v>39236</v>
      </c>
      <c r="B1655" t="s">
        <v>343</v>
      </c>
      <c r="C1655">
        <v>70</v>
      </c>
    </row>
    <row r="1656" spans="1:3" x14ac:dyDescent="0.25">
      <c r="A1656" s="279">
        <v>39236</v>
      </c>
      <c r="B1656" t="s">
        <v>344</v>
      </c>
      <c r="C1656" t="s">
        <v>237</v>
      </c>
    </row>
    <row r="1657" spans="1:3" x14ac:dyDescent="0.25">
      <c r="A1657" s="279">
        <v>39236</v>
      </c>
      <c r="B1657" t="s">
        <v>345</v>
      </c>
      <c r="C1657" t="s">
        <v>303</v>
      </c>
    </row>
    <row r="1658" spans="1:3" x14ac:dyDescent="0.25">
      <c r="A1658" s="279">
        <v>39237</v>
      </c>
      <c r="B1658" t="s">
        <v>340</v>
      </c>
      <c r="C1658">
        <v>4.0999999999999996</v>
      </c>
    </row>
    <row r="1659" spans="1:3" x14ac:dyDescent="0.25">
      <c r="A1659" s="279">
        <v>39237</v>
      </c>
      <c r="B1659" t="s">
        <v>341</v>
      </c>
      <c r="C1659">
        <v>83</v>
      </c>
    </row>
    <row r="1660" spans="1:3" x14ac:dyDescent="0.25">
      <c r="A1660" s="279">
        <v>39237</v>
      </c>
      <c r="B1660" t="s">
        <v>342</v>
      </c>
      <c r="C1660">
        <v>68</v>
      </c>
    </row>
    <row r="1661" spans="1:3" x14ac:dyDescent="0.25">
      <c r="A1661" s="279">
        <v>39237</v>
      </c>
      <c r="B1661" t="s">
        <v>343</v>
      </c>
      <c r="C1661">
        <v>75</v>
      </c>
    </row>
    <row r="1662" spans="1:3" x14ac:dyDescent="0.25">
      <c r="A1662" s="279">
        <v>39237</v>
      </c>
      <c r="B1662" t="s">
        <v>344</v>
      </c>
      <c r="C1662" t="s">
        <v>245</v>
      </c>
    </row>
    <row r="1663" spans="1:3" x14ac:dyDescent="0.25">
      <c r="A1663" s="279">
        <v>39237</v>
      </c>
      <c r="B1663" t="s">
        <v>345</v>
      </c>
      <c r="C1663" t="s">
        <v>303</v>
      </c>
    </row>
    <row r="1664" spans="1:3" x14ac:dyDescent="0.25">
      <c r="A1664" s="279">
        <v>39238</v>
      </c>
      <c r="B1664" t="s">
        <v>340</v>
      </c>
      <c r="C1664">
        <v>6.7</v>
      </c>
    </row>
    <row r="1665" spans="1:3" x14ac:dyDescent="0.25">
      <c r="A1665" s="279">
        <v>39238</v>
      </c>
      <c r="B1665" t="s">
        <v>341</v>
      </c>
      <c r="C1665">
        <v>86</v>
      </c>
    </row>
    <row r="1666" spans="1:3" x14ac:dyDescent="0.25">
      <c r="A1666" s="279">
        <v>39238</v>
      </c>
      <c r="B1666" t="s">
        <v>342</v>
      </c>
      <c r="C1666">
        <v>62</v>
      </c>
    </row>
    <row r="1667" spans="1:3" x14ac:dyDescent="0.25">
      <c r="A1667" s="279">
        <v>39238</v>
      </c>
      <c r="B1667" t="s">
        <v>343</v>
      </c>
      <c r="C1667">
        <v>76</v>
      </c>
    </row>
    <row r="1668" spans="1:3" x14ac:dyDescent="0.25">
      <c r="A1668" s="279">
        <v>39238</v>
      </c>
      <c r="B1668" t="s">
        <v>344</v>
      </c>
      <c r="C1668" t="s">
        <v>242</v>
      </c>
    </row>
    <row r="1669" spans="1:3" x14ac:dyDescent="0.25">
      <c r="A1669" s="279">
        <v>39238</v>
      </c>
      <c r="B1669" t="s">
        <v>345</v>
      </c>
      <c r="C1669" t="s">
        <v>241</v>
      </c>
    </row>
    <row r="1670" spans="1:3" x14ac:dyDescent="0.25">
      <c r="A1670" s="279">
        <v>39239</v>
      </c>
      <c r="B1670" t="s">
        <v>340</v>
      </c>
      <c r="C1670">
        <v>4.5999999999999996</v>
      </c>
    </row>
    <row r="1671" spans="1:3" x14ac:dyDescent="0.25">
      <c r="A1671" s="279">
        <v>39239</v>
      </c>
      <c r="B1671" t="s">
        <v>341</v>
      </c>
      <c r="C1671">
        <v>76</v>
      </c>
    </row>
    <row r="1672" spans="1:3" x14ac:dyDescent="0.25">
      <c r="A1672" s="279">
        <v>39239</v>
      </c>
      <c r="B1672" t="s">
        <v>342</v>
      </c>
      <c r="C1672">
        <v>60</v>
      </c>
    </row>
    <row r="1673" spans="1:3" x14ac:dyDescent="0.25">
      <c r="A1673" s="279">
        <v>39239</v>
      </c>
      <c r="B1673" t="s">
        <v>343</v>
      </c>
      <c r="C1673">
        <v>69</v>
      </c>
    </row>
    <row r="1674" spans="1:3" x14ac:dyDescent="0.25">
      <c r="A1674" s="279">
        <v>39239</v>
      </c>
      <c r="B1674" t="s">
        <v>344</v>
      </c>
      <c r="C1674" t="s">
        <v>240</v>
      </c>
    </row>
    <row r="1675" spans="1:3" x14ac:dyDescent="0.25">
      <c r="A1675" s="279">
        <v>39239</v>
      </c>
      <c r="B1675" t="s">
        <v>345</v>
      </c>
      <c r="C1675" t="s">
        <v>243</v>
      </c>
    </row>
    <row r="1676" spans="1:3" x14ac:dyDescent="0.25">
      <c r="A1676" s="279">
        <v>39240</v>
      </c>
      <c r="B1676" t="s">
        <v>340</v>
      </c>
      <c r="C1676">
        <v>2.7</v>
      </c>
    </row>
    <row r="1677" spans="1:3" x14ac:dyDescent="0.25">
      <c r="A1677" s="279">
        <v>39240</v>
      </c>
      <c r="B1677" t="s">
        <v>341</v>
      </c>
      <c r="C1677">
        <v>88</v>
      </c>
    </row>
    <row r="1678" spans="1:3" x14ac:dyDescent="0.25">
      <c r="A1678" s="279">
        <v>39240</v>
      </c>
      <c r="B1678" t="s">
        <v>342</v>
      </c>
      <c r="C1678">
        <v>68</v>
      </c>
    </row>
    <row r="1679" spans="1:3" x14ac:dyDescent="0.25">
      <c r="A1679" s="279">
        <v>39240</v>
      </c>
      <c r="B1679" t="s">
        <v>343</v>
      </c>
      <c r="C1679">
        <v>76</v>
      </c>
    </row>
    <row r="1680" spans="1:3" x14ac:dyDescent="0.25">
      <c r="A1680" s="279">
        <v>39240</v>
      </c>
      <c r="B1680" t="s">
        <v>344</v>
      </c>
      <c r="C1680" t="s">
        <v>252</v>
      </c>
    </row>
    <row r="1681" spans="1:3" x14ac:dyDescent="0.25">
      <c r="A1681" s="279">
        <v>39240</v>
      </c>
      <c r="B1681" t="s">
        <v>345</v>
      </c>
      <c r="C1681" t="s">
        <v>243</v>
      </c>
    </row>
    <row r="1682" spans="1:3" x14ac:dyDescent="0.25">
      <c r="A1682" s="279">
        <v>39241</v>
      </c>
      <c r="B1682" t="s">
        <v>340</v>
      </c>
      <c r="C1682">
        <v>5</v>
      </c>
    </row>
    <row r="1683" spans="1:3" x14ac:dyDescent="0.25">
      <c r="A1683" s="279">
        <v>39241</v>
      </c>
      <c r="B1683" t="s">
        <v>341</v>
      </c>
      <c r="C1683">
        <v>100</v>
      </c>
    </row>
    <row r="1684" spans="1:3" x14ac:dyDescent="0.25">
      <c r="A1684" s="279">
        <v>39241</v>
      </c>
      <c r="B1684" t="s">
        <v>342</v>
      </c>
      <c r="C1684">
        <v>76</v>
      </c>
    </row>
    <row r="1685" spans="1:3" x14ac:dyDescent="0.25">
      <c r="A1685" s="279">
        <v>39241</v>
      </c>
      <c r="B1685" t="s">
        <v>343</v>
      </c>
      <c r="C1685">
        <v>87</v>
      </c>
    </row>
    <row r="1686" spans="1:3" x14ac:dyDescent="0.25">
      <c r="A1686" s="279">
        <v>39241</v>
      </c>
      <c r="B1686" t="s">
        <v>344</v>
      </c>
      <c r="C1686" t="s">
        <v>252</v>
      </c>
    </row>
    <row r="1687" spans="1:3" x14ac:dyDescent="0.25">
      <c r="A1687" s="279">
        <v>39241</v>
      </c>
      <c r="B1687" t="s">
        <v>345</v>
      </c>
      <c r="C1687" t="s">
        <v>304</v>
      </c>
    </row>
    <row r="1688" spans="1:3" x14ac:dyDescent="0.25">
      <c r="A1688" s="279">
        <v>39242</v>
      </c>
      <c r="B1688" t="s">
        <v>340</v>
      </c>
      <c r="C1688">
        <v>4.3</v>
      </c>
    </row>
    <row r="1689" spans="1:3" x14ac:dyDescent="0.25">
      <c r="A1689" s="279">
        <v>39242</v>
      </c>
      <c r="B1689" t="s">
        <v>341</v>
      </c>
      <c r="C1689">
        <v>90</v>
      </c>
    </row>
    <row r="1690" spans="1:3" x14ac:dyDescent="0.25">
      <c r="A1690" s="279">
        <v>39242</v>
      </c>
      <c r="B1690" t="s">
        <v>342</v>
      </c>
      <c r="C1690">
        <v>68</v>
      </c>
    </row>
    <row r="1691" spans="1:3" x14ac:dyDescent="0.25">
      <c r="A1691" s="279">
        <v>39242</v>
      </c>
      <c r="B1691" t="s">
        <v>343</v>
      </c>
      <c r="C1691">
        <v>77</v>
      </c>
    </row>
    <row r="1692" spans="1:3" x14ac:dyDescent="0.25">
      <c r="A1692" s="279">
        <v>39242</v>
      </c>
      <c r="B1692" t="s">
        <v>344</v>
      </c>
      <c r="C1692" t="s">
        <v>246</v>
      </c>
    </row>
    <row r="1693" spans="1:3" x14ac:dyDescent="0.25">
      <c r="A1693" s="279">
        <v>39242</v>
      </c>
      <c r="B1693" t="s">
        <v>345</v>
      </c>
      <c r="C1693" t="s">
        <v>243</v>
      </c>
    </row>
    <row r="1694" spans="1:3" x14ac:dyDescent="0.25">
      <c r="A1694" s="279">
        <v>39243</v>
      </c>
      <c r="B1694" t="s">
        <v>340</v>
      </c>
      <c r="C1694">
        <v>2.2999999999999998</v>
      </c>
    </row>
    <row r="1695" spans="1:3" x14ac:dyDescent="0.25">
      <c r="A1695" s="279">
        <v>39243</v>
      </c>
      <c r="B1695" t="s">
        <v>341</v>
      </c>
      <c r="C1695">
        <v>85</v>
      </c>
    </row>
    <row r="1696" spans="1:3" x14ac:dyDescent="0.25">
      <c r="A1696" s="279">
        <v>39243</v>
      </c>
      <c r="B1696" t="s">
        <v>342</v>
      </c>
      <c r="C1696">
        <v>67</v>
      </c>
    </row>
    <row r="1697" spans="1:3" x14ac:dyDescent="0.25">
      <c r="A1697" s="279">
        <v>39243</v>
      </c>
      <c r="B1697" t="s">
        <v>343</v>
      </c>
      <c r="C1697">
        <v>74</v>
      </c>
    </row>
    <row r="1698" spans="1:3" x14ac:dyDescent="0.25">
      <c r="A1698" s="279">
        <v>39243</v>
      </c>
      <c r="B1698" t="s">
        <v>344</v>
      </c>
      <c r="C1698" t="s">
        <v>246</v>
      </c>
    </row>
    <row r="1699" spans="1:3" x14ac:dyDescent="0.25">
      <c r="A1699" s="279">
        <v>39243</v>
      </c>
      <c r="B1699" t="s">
        <v>345</v>
      </c>
      <c r="C1699" t="s">
        <v>259</v>
      </c>
    </row>
    <row r="1700" spans="1:3" x14ac:dyDescent="0.25">
      <c r="A1700" s="279">
        <v>39244</v>
      </c>
      <c r="B1700" t="s">
        <v>340</v>
      </c>
      <c r="C1700">
        <v>3.1</v>
      </c>
    </row>
    <row r="1701" spans="1:3" x14ac:dyDescent="0.25">
      <c r="A1701" s="279">
        <v>39244</v>
      </c>
      <c r="B1701" t="s">
        <v>341</v>
      </c>
      <c r="C1701">
        <v>89</v>
      </c>
    </row>
    <row r="1702" spans="1:3" x14ac:dyDescent="0.25">
      <c r="A1702" s="279">
        <v>39244</v>
      </c>
      <c r="B1702" t="s">
        <v>342</v>
      </c>
      <c r="C1702">
        <v>66</v>
      </c>
    </row>
    <row r="1703" spans="1:3" x14ac:dyDescent="0.25">
      <c r="A1703" s="279">
        <v>39244</v>
      </c>
      <c r="B1703" t="s">
        <v>343</v>
      </c>
      <c r="C1703">
        <v>75</v>
      </c>
    </row>
    <row r="1704" spans="1:3" x14ac:dyDescent="0.25">
      <c r="A1704" s="279">
        <v>39244</v>
      </c>
      <c r="B1704" t="s">
        <v>344</v>
      </c>
      <c r="C1704" t="s">
        <v>240</v>
      </c>
    </row>
    <row r="1705" spans="1:3" x14ac:dyDescent="0.25">
      <c r="A1705" s="279">
        <v>39244</v>
      </c>
      <c r="B1705" t="s">
        <v>345</v>
      </c>
      <c r="C1705" t="s">
        <v>305</v>
      </c>
    </row>
    <row r="1706" spans="1:3" x14ac:dyDescent="0.25">
      <c r="A1706" s="279">
        <v>39245</v>
      </c>
      <c r="B1706" t="s">
        <v>340</v>
      </c>
      <c r="C1706">
        <v>2.7</v>
      </c>
    </row>
    <row r="1707" spans="1:3" x14ac:dyDescent="0.25">
      <c r="A1707" s="279">
        <v>39245</v>
      </c>
      <c r="B1707" t="s">
        <v>341</v>
      </c>
      <c r="C1707">
        <v>92</v>
      </c>
    </row>
    <row r="1708" spans="1:3" x14ac:dyDescent="0.25">
      <c r="A1708" s="279">
        <v>39245</v>
      </c>
      <c r="B1708" t="s">
        <v>342</v>
      </c>
      <c r="C1708">
        <v>68</v>
      </c>
    </row>
    <row r="1709" spans="1:3" x14ac:dyDescent="0.25">
      <c r="A1709" s="279">
        <v>39245</v>
      </c>
      <c r="B1709" t="s">
        <v>343</v>
      </c>
      <c r="C1709">
        <v>74</v>
      </c>
    </row>
    <row r="1710" spans="1:3" x14ac:dyDescent="0.25">
      <c r="A1710" s="279">
        <v>39245</v>
      </c>
      <c r="B1710" t="s">
        <v>344</v>
      </c>
      <c r="C1710" t="s">
        <v>246</v>
      </c>
    </row>
    <row r="1711" spans="1:3" x14ac:dyDescent="0.25">
      <c r="A1711" s="279">
        <v>39245</v>
      </c>
      <c r="B1711" t="s">
        <v>345</v>
      </c>
      <c r="C1711" t="s">
        <v>306</v>
      </c>
    </row>
    <row r="1712" spans="1:3" x14ac:dyDescent="0.25">
      <c r="A1712" s="279">
        <v>39246</v>
      </c>
      <c r="B1712" t="s">
        <v>340</v>
      </c>
      <c r="C1712">
        <v>4</v>
      </c>
    </row>
    <row r="1713" spans="1:3" x14ac:dyDescent="0.25">
      <c r="A1713" s="279">
        <v>39246</v>
      </c>
      <c r="B1713" t="s">
        <v>341</v>
      </c>
      <c r="C1713">
        <v>77</v>
      </c>
    </row>
    <row r="1714" spans="1:3" x14ac:dyDescent="0.25">
      <c r="A1714" s="279">
        <v>39246</v>
      </c>
      <c r="B1714" t="s">
        <v>342</v>
      </c>
      <c r="C1714">
        <v>59</v>
      </c>
    </row>
    <row r="1715" spans="1:3" x14ac:dyDescent="0.25">
      <c r="A1715" s="279">
        <v>39246</v>
      </c>
      <c r="B1715" t="s">
        <v>343</v>
      </c>
      <c r="C1715">
        <v>66</v>
      </c>
    </row>
    <row r="1716" spans="1:3" x14ac:dyDescent="0.25">
      <c r="A1716" s="279">
        <v>39246</v>
      </c>
      <c r="B1716" t="s">
        <v>344</v>
      </c>
      <c r="C1716" t="s">
        <v>237</v>
      </c>
    </row>
    <row r="1717" spans="1:3" x14ac:dyDescent="0.25">
      <c r="A1717" s="279">
        <v>39246</v>
      </c>
      <c r="B1717" t="s">
        <v>345</v>
      </c>
      <c r="C1717" t="s">
        <v>306</v>
      </c>
    </row>
    <row r="1718" spans="1:3" x14ac:dyDescent="0.25">
      <c r="A1718" s="279">
        <v>39247</v>
      </c>
      <c r="B1718" t="s">
        <v>340</v>
      </c>
      <c r="C1718">
        <v>3.7</v>
      </c>
    </row>
    <row r="1719" spans="1:3" x14ac:dyDescent="0.25">
      <c r="A1719" s="279">
        <v>39247</v>
      </c>
      <c r="B1719" t="s">
        <v>341</v>
      </c>
      <c r="C1719">
        <v>73</v>
      </c>
    </row>
    <row r="1720" spans="1:3" x14ac:dyDescent="0.25">
      <c r="A1720" s="279">
        <v>39247</v>
      </c>
      <c r="B1720" t="s">
        <v>342</v>
      </c>
      <c r="C1720">
        <v>62</v>
      </c>
    </row>
    <row r="1721" spans="1:3" x14ac:dyDescent="0.25">
      <c r="A1721" s="279">
        <v>39247</v>
      </c>
      <c r="B1721" t="s">
        <v>343</v>
      </c>
      <c r="C1721">
        <v>64</v>
      </c>
    </row>
    <row r="1722" spans="1:3" x14ac:dyDescent="0.25">
      <c r="A1722" s="279">
        <v>39247</v>
      </c>
      <c r="B1722" t="s">
        <v>344</v>
      </c>
      <c r="C1722" t="s">
        <v>246</v>
      </c>
    </row>
    <row r="1723" spans="1:3" x14ac:dyDescent="0.25">
      <c r="A1723" s="279">
        <v>39247</v>
      </c>
      <c r="B1723" t="s">
        <v>345</v>
      </c>
      <c r="C1723" t="s">
        <v>306</v>
      </c>
    </row>
    <row r="1724" spans="1:3" x14ac:dyDescent="0.25">
      <c r="A1724" s="279">
        <v>39248</v>
      </c>
      <c r="B1724" t="s">
        <v>340</v>
      </c>
      <c r="C1724">
        <v>2.7</v>
      </c>
    </row>
    <row r="1725" spans="1:3" x14ac:dyDescent="0.25">
      <c r="A1725" s="279">
        <v>39248</v>
      </c>
      <c r="B1725" t="s">
        <v>341</v>
      </c>
      <c r="C1725">
        <v>81</v>
      </c>
    </row>
    <row r="1726" spans="1:3" x14ac:dyDescent="0.25">
      <c r="A1726" s="279">
        <v>39248</v>
      </c>
      <c r="B1726" t="s">
        <v>342</v>
      </c>
      <c r="C1726">
        <v>65</v>
      </c>
    </row>
    <row r="1727" spans="1:3" x14ac:dyDescent="0.25">
      <c r="A1727" s="279">
        <v>39248</v>
      </c>
      <c r="B1727" t="s">
        <v>343</v>
      </c>
      <c r="C1727">
        <v>71</v>
      </c>
    </row>
    <row r="1728" spans="1:3" x14ac:dyDescent="0.25">
      <c r="A1728" s="279">
        <v>39248</v>
      </c>
      <c r="B1728" t="s">
        <v>344</v>
      </c>
      <c r="C1728" t="s">
        <v>246</v>
      </c>
    </row>
    <row r="1729" spans="1:3" x14ac:dyDescent="0.25">
      <c r="A1729" s="279">
        <v>39248</v>
      </c>
      <c r="B1729" t="s">
        <v>345</v>
      </c>
      <c r="C1729" t="s">
        <v>259</v>
      </c>
    </row>
    <row r="1730" spans="1:3" x14ac:dyDescent="0.25">
      <c r="A1730" s="279">
        <v>39249</v>
      </c>
      <c r="B1730" t="s">
        <v>340</v>
      </c>
      <c r="C1730">
        <v>3.3</v>
      </c>
    </row>
    <row r="1731" spans="1:3" x14ac:dyDescent="0.25">
      <c r="A1731" s="279">
        <v>39249</v>
      </c>
      <c r="B1731" t="s">
        <v>341</v>
      </c>
      <c r="C1731">
        <v>87</v>
      </c>
    </row>
    <row r="1732" spans="1:3" x14ac:dyDescent="0.25">
      <c r="A1732" s="279">
        <v>39249</v>
      </c>
      <c r="B1732" t="s">
        <v>342</v>
      </c>
      <c r="C1732">
        <v>71</v>
      </c>
    </row>
    <row r="1733" spans="1:3" x14ac:dyDescent="0.25">
      <c r="A1733" s="279">
        <v>39249</v>
      </c>
      <c r="B1733" t="s">
        <v>343</v>
      </c>
      <c r="C1733">
        <v>78</v>
      </c>
    </row>
    <row r="1734" spans="1:3" x14ac:dyDescent="0.25">
      <c r="A1734" s="279">
        <v>39249</v>
      </c>
      <c r="B1734" t="s">
        <v>344</v>
      </c>
      <c r="C1734" t="s">
        <v>242</v>
      </c>
    </row>
    <row r="1735" spans="1:3" x14ac:dyDescent="0.25">
      <c r="A1735" s="279">
        <v>39249</v>
      </c>
      <c r="B1735" t="s">
        <v>345</v>
      </c>
      <c r="C1735" t="s">
        <v>243</v>
      </c>
    </row>
    <row r="1736" spans="1:3" x14ac:dyDescent="0.25">
      <c r="A1736" s="279">
        <v>39250</v>
      </c>
      <c r="B1736" t="s">
        <v>340</v>
      </c>
      <c r="C1736">
        <v>4.3</v>
      </c>
    </row>
    <row r="1737" spans="1:3" x14ac:dyDescent="0.25">
      <c r="A1737" s="279">
        <v>39250</v>
      </c>
      <c r="B1737" t="s">
        <v>341</v>
      </c>
      <c r="C1737">
        <v>94</v>
      </c>
    </row>
    <row r="1738" spans="1:3" x14ac:dyDescent="0.25">
      <c r="A1738" s="279">
        <v>39250</v>
      </c>
      <c r="B1738" t="s">
        <v>342</v>
      </c>
      <c r="C1738">
        <v>77</v>
      </c>
    </row>
    <row r="1739" spans="1:3" x14ac:dyDescent="0.25">
      <c r="A1739" s="279">
        <v>39250</v>
      </c>
      <c r="B1739" t="s">
        <v>343</v>
      </c>
      <c r="C1739">
        <v>86</v>
      </c>
    </row>
    <row r="1740" spans="1:3" x14ac:dyDescent="0.25">
      <c r="A1740" s="279">
        <v>39250</v>
      </c>
      <c r="B1740" t="s">
        <v>344</v>
      </c>
      <c r="C1740" t="s">
        <v>242</v>
      </c>
    </row>
    <row r="1741" spans="1:3" x14ac:dyDescent="0.25">
      <c r="A1741" s="279">
        <v>39250</v>
      </c>
      <c r="B1741" t="s">
        <v>345</v>
      </c>
      <c r="C1741" t="s">
        <v>243</v>
      </c>
    </row>
    <row r="1742" spans="1:3" x14ac:dyDescent="0.25">
      <c r="A1742" s="279">
        <v>39251</v>
      </c>
      <c r="B1742" t="s">
        <v>340</v>
      </c>
      <c r="C1742">
        <v>2.6</v>
      </c>
    </row>
    <row r="1743" spans="1:3" x14ac:dyDescent="0.25">
      <c r="A1743" s="279">
        <v>39251</v>
      </c>
      <c r="B1743" t="s">
        <v>341</v>
      </c>
      <c r="C1743">
        <v>96</v>
      </c>
    </row>
    <row r="1744" spans="1:3" x14ac:dyDescent="0.25">
      <c r="A1744" s="279">
        <v>39251</v>
      </c>
      <c r="B1744" t="s">
        <v>342</v>
      </c>
      <c r="C1744">
        <v>69</v>
      </c>
    </row>
    <row r="1745" spans="1:3" x14ac:dyDescent="0.25">
      <c r="A1745" s="279">
        <v>39251</v>
      </c>
      <c r="B1745" t="s">
        <v>343</v>
      </c>
      <c r="C1745">
        <v>81</v>
      </c>
    </row>
    <row r="1746" spans="1:3" x14ac:dyDescent="0.25">
      <c r="A1746" s="279">
        <v>39251</v>
      </c>
      <c r="B1746" t="s">
        <v>344</v>
      </c>
      <c r="C1746" t="s">
        <v>249</v>
      </c>
    </row>
    <row r="1747" spans="1:3" x14ac:dyDescent="0.25">
      <c r="A1747" s="279">
        <v>39251</v>
      </c>
      <c r="B1747" t="s">
        <v>345</v>
      </c>
      <c r="C1747" t="s">
        <v>299</v>
      </c>
    </row>
    <row r="1748" spans="1:3" x14ac:dyDescent="0.25">
      <c r="A1748" s="279">
        <v>39252</v>
      </c>
      <c r="B1748" t="s">
        <v>340</v>
      </c>
      <c r="C1748">
        <v>3.6</v>
      </c>
    </row>
    <row r="1749" spans="1:3" x14ac:dyDescent="0.25">
      <c r="A1749" s="279">
        <v>39252</v>
      </c>
      <c r="B1749" t="s">
        <v>341</v>
      </c>
      <c r="C1749">
        <v>97</v>
      </c>
    </row>
    <row r="1750" spans="1:3" x14ac:dyDescent="0.25">
      <c r="A1750" s="279">
        <v>39252</v>
      </c>
      <c r="B1750" t="s">
        <v>342</v>
      </c>
      <c r="C1750">
        <v>71</v>
      </c>
    </row>
    <row r="1751" spans="1:3" x14ac:dyDescent="0.25">
      <c r="A1751" s="279">
        <v>39252</v>
      </c>
      <c r="B1751" t="s">
        <v>343</v>
      </c>
      <c r="C1751">
        <v>83</v>
      </c>
    </row>
    <row r="1752" spans="1:3" x14ac:dyDescent="0.25">
      <c r="A1752" s="279">
        <v>39252</v>
      </c>
      <c r="B1752" t="s">
        <v>344</v>
      </c>
      <c r="C1752" t="s">
        <v>252</v>
      </c>
    </row>
    <row r="1753" spans="1:3" x14ac:dyDescent="0.25">
      <c r="A1753" s="279">
        <v>39252</v>
      </c>
      <c r="B1753" t="s">
        <v>345</v>
      </c>
      <c r="C1753" t="s">
        <v>243</v>
      </c>
    </row>
    <row r="1754" spans="1:3" x14ac:dyDescent="0.25">
      <c r="A1754" s="279">
        <v>39253</v>
      </c>
      <c r="B1754" t="s">
        <v>340</v>
      </c>
      <c r="C1754">
        <v>5.7</v>
      </c>
    </row>
    <row r="1755" spans="1:3" x14ac:dyDescent="0.25">
      <c r="A1755" s="279">
        <v>39253</v>
      </c>
      <c r="B1755" t="s">
        <v>341</v>
      </c>
      <c r="C1755">
        <v>86</v>
      </c>
    </row>
    <row r="1756" spans="1:3" x14ac:dyDescent="0.25">
      <c r="A1756" s="279">
        <v>39253</v>
      </c>
      <c r="B1756" t="s">
        <v>342</v>
      </c>
      <c r="C1756">
        <v>67</v>
      </c>
    </row>
    <row r="1757" spans="1:3" x14ac:dyDescent="0.25">
      <c r="A1757" s="279">
        <v>39253</v>
      </c>
      <c r="B1757" t="s">
        <v>343</v>
      </c>
      <c r="C1757">
        <v>75</v>
      </c>
    </row>
    <row r="1758" spans="1:3" x14ac:dyDescent="0.25">
      <c r="A1758" s="279">
        <v>39253</v>
      </c>
      <c r="B1758" t="s">
        <v>344</v>
      </c>
      <c r="C1758" t="s">
        <v>240</v>
      </c>
    </row>
    <row r="1759" spans="1:3" x14ac:dyDescent="0.25">
      <c r="A1759" s="279">
        <v>39253</v>
      </c>
      <c r="B1759" t="s">
        <v>345</v>
      </c>
      <c r="C1759" t="s">
        <v>305</v>
      </c>
    </row>
    <row r="1760" spans="1:3" x14ac:dyDescent="0.25">
      <c r="A1760" s="279">
        <v>39254</v>
      </c>
      <c r="B1760" t="s">
        <v>340</v>
      </c>
      <c r="C1760">
        <v>5.9</v>
      </c>
    </row>
    <row r="1761" spans="1:3" x14ac:dyDescent="0.25">
      <c r="A1761" s="279">
        <v>39254</v>
      </c>
      <c r="B1761" t="s">
        <v>341</v>
      </c>
      <c r="C1761">
        <v>90</v>
      </c>
    </row>
    <row r="1762" spans="1:3" x14ac:dyDescent="0.25">
      <c r="A1762" s="279">
        <v>39254</v>
      </c>
      <c r="B1762" t="s">
        <v>342</v>
      </c>
      <c r="C1762">
        <v>69</v>
      </c>
    </row>
    <row r="1763" spans="1:3" x14ac:dyDescent="0.25">
      <c r="A1763" s="279">
        <v>39254</v>
      </c>
      <c r="B1763" t="s">
        <v>343</v>
      </c>
      <c r="C1763">
        <v>78</v>
      </c>
    </row>
    <row r="1764" spans="1:3" x14ac:dyDescent="0.25">
      <c r="A1764" s="279">
        <v>39254</v>
      </c>
      <c r="B1764" t="s">
        <v>344</v>
      </c>
      <c r="C1764" t="s">
        <v>242</v>
      </c>
    </row>
    <row r="1765" spans="1:3" x14ac:dyDescent="0.25">
      <c r="A1765" s="279">
        <v>39254</v>
      </c>
      <c r="B1765" t="s">
        <v>345</v>
      </c>
      <c r="C1765" t="s">
        <v>243</v>
      </c>
    </row>
    <row r="1766" spans="1:3" x14ac:dyDescent="0.25">
      <c r="A1766" s="279">
        <v>39255</v>
      </c>
      <c r="B1766" t="s">
        <v>340</v>
      </c>
      <c r="C1766">
        <v>7.6</v>
      </c>
    </row>
    <row r="1767" spans="1:3" x14ac:dyDescent="0.25">
      <c r="A1767" s="279">
        <v>39255</v>
      </c>
      <c r="B1767" t="s">
        <v>341</v>
      </c>
      <c r="C1767">
        <v>82</v>
      </c>
    </row>
    <row r="1768" spans="1:3" x14ac:dyDescent="0.25">
      <c r="A1768" s="279">
        <v>39255</v>
      </c>
      <c r="B1768" t="s">
        <v>342</v>
      </c>
      <c r="C1768">
        <v>62</v>
      </c>
    </row>
    <row r="1769" spans="1:3" x14ac:dyDescent="0.25">
      <c r="A1769" s="279">
        <v>39255</v>
      </c>
      <c r="B1769" t="s">
        <v>343</v>
      </c>
      <c r="C1769">
        <v>73</v>
      </c>
    </row>
    <row r="1770" spans="1:3" x14ac:dyDescent="0.25">
      <c r="A1770" s="279">
        <v>39255</v>
      </c>
      <c r="B1770" t="s">
        <v>344</v>
      </c>
      <c r="C1770" t="s">
        <v>240</v>
      </c>
    </row>
    <row r="1771" spans="1:3" x14ac:dyDescent="0.25">
      <c r="A1771" s="279">
        <v>39255</v>
      </c>
      <c r="B1771" t="s">
        <v>345</v>
      </c>
      <c r="C1771" t="s">
        <v>243</v>
      </c>
    </row>
    <row r="1772" spans="1:3" x14ac:dyDescent="0.25">
      <c r="A1772" s="279">
        <v>39256</v>
      </c>
      <c r="B1772" t="s">
        <v>340</v>
      </c>
      <c r="C1772">
        <v>4.9000000000000004</v>
      </c>
    </row>
    <row r="1773" spans="1:3" x14ac:dyDescent="0.25">
      <c r="A1773" s="279">
        <v>39256</v>
      </c>
      <c r="B1773" t="s">
        <v>341</v>
      </c>
      <c r="C1773">
        <v>82</v>
      </c>
    </row>
    <row r="1774" spans="1:3" x14ac:dyDescent="0.25">
      <c r="A1774" s="279">
        <v>39256</v>
      </c>
      <c r="B1774" t="s">
        <v>342</v>
      </c>
      <c r="C1774">
        <v>64</v>
      </c>
    </row>
    <row r="1775" spans="1:3" x14ac:dyDescent="0.25">
      <c r="A1775" s="279">
        <v>39256</v>
      </c>
      <c r="B1775" t="s">
        <v>343</v>
      </c>
      <c r="C1775">
        <v>73</v>
      </c>
    </row>
    <row r="1776" spans="1:3" x14ac:dyDescent="0.25">
      <c r="A1776" s="279">
        <v>39256</v>
      </c>
      <c r="B1776" t="s">
        <v>344</v>
      </c>
      <c r="C1776" t="s">
        <v>240</v>
      </c>
    </row>
    <row r="1777" spans="1:3" x14ac:dyDescent="0.25">
      <c r="A1777" s="279">
        <v>39256</v>
      </c>
      <c r="B1777" t="s">
        <v>345</v>
      </c>
      <c r="C1777" t="s">
        <v>243</v>
      </c>
    </row>
    <row r="1778" spans="1:3" x14ac:dyDescent="0.25">
      <c r="A1778" s="279">
        <v>39257</v>
      </c>
      <c r="B1778" t="s">
        <v>340</v>
      </c>
      <c r="C1778">
        <v>4.0999999999999996</v>
      </c>
    </row>
    <row r="1779" spans="1:3" x14ac:dyDescent="0.25">
      <c r="A1779" s="279">
        <v>39257</v>
      </c>
      <c r="B1779" t="s">
        <v>341</v>
      </c>
      <c r="C1779">
        <v>90</v>
      </c>
    </row>
    <row r="1780" spans="1:3" x14ac:dyDescent="0.25">
      <c r="A1780" s="279">
        <v>39257</v>
      </c>
      <c r="B1780" t="s">
        <v>342</v>
      </c>
      <c r="C1780">
        <v>70</v>
      </c>
    </row>
    <row r="1781" spans="1:3" x14ac:dyDescent="0.25">
      <c r="A1781" s="279">
        <v>39257</v>
      </c>
      <c r="B1781" t="s">
        <v>343</v>
      </c>
      <c r="C1781">
        <v>79</v>
      </c>
    </row>
    <row r="1782" spans="1:3" x14ac:dyDescent="0.25">
      <c r="A1782" s="279">
        <v>39257</v>
      </c>
      <c r="B1782" t="s">
        <v>344</v>
      </c>
      <c r="C1782" t="s">
        <v>252</v>
      </c>
    </row>
    <row r="1783" spans="1:3" x14ac:dyDescent="0.25">
      <c r="A1783" s="279">
        <v>39257</v>
      </c>
      <c r="B1783" t="s">
        <v>345</v>
      </c>
      <c r="C1783" t="s">
        <v>243</v>
      </c>
    </row>
    <row r="1784" spans="1:3" x14ac:dyDescent="0.25">
      <c r="A1784" s="279">
        <v>39258</v>
      </c>
      <c r="B1784" t="s">
        <v>340</v>
      </c>
      <c r="C1784">
        <v>2.4</v>
      </c>
    </row>
    <row r="1785" spans="1:3" x14ac:dyDescent="0.25">
      <c r="A1785" s="279">
        <v>39258</v>
      </c>
      <c r="B1785" t="s">
        <v>341</v>
      </c>
      <c r="C1785">
        <v>89</v>
      </c>
    </row>
    <row r="1786" spans="1:3" x14ac:dyDescent="0.25">
      <c r="A1786" s="279">
        <v>39258</v>
      </c>
      <c r="B1786" t="s">
        <v>342</v>
      </c>
      <c r="C1786">
        <v>71</v>
      </c>
    </row>
    <row r="1787" spans="1:3" x14ac:dyDescent="0.25">
      <c r="A1787" s="279">
        <v>39258</v>
      </c>
      <c r="B1787" t="s">
        <v>343</v>
      </c>
      <c r="C1787">
        <v>79</v>
      </c>
    </row>
    <row r="1788" spans="1:3" x14ac:dyDescent="0.25">
      <c r="A1788" s="279">
        <v>39258</v>
      </c>
      <c r="B1788" t="s">
        <v>344</v>
      </c>
      <c r="C1788" t="s">
        <v>252</v>
      </c>
    </row>
    <row r="1789" spans="1:3" x14ac:dyDescent="0.25">
      <c r="A1789" s="279">
        <v>39258</v>
      </c>
      <c r="B1789" t="s">
        <v>345</v>
      </c>
      <c r="C1789" t="s">
        <v>307</v>
      </c>
    </row>
    <row r="1790" spans="1:3" x14ac:dyDescent="0.25">
      <c r="A1790" s="279">
        <v>39259</v>
      </c>
      <c r="B1790" t="s">
        <v>340</v>
      </c>
      <c r="C1790">
        <v>3.5</v>
      </c>
    </row>
    <row r="1791" spans="1:3" x14ac:dyDescent="0.25">
      <c r="A1791" s="279">
        <v>39259</v>
      </c>
      <c r="B1791" t="s">
        <v>341</v>
      </c>
      <c r="C1791">
        <v>99</v>
      </c>
    </row>
    <row r="1792" spans="1:3" x14ac:dyDescent="0.25">
      <c r="A1792" s="279">
        <v>39259</v>
      </c>
      <c r="B1792" t="s">
        <v>342</v>
      </c>
      <c r="C1792">
        <v>78</v>
      </c>
    </row>
    <row r="1793" spans="1:3" x14ac:dyDescent="0.25">
      <c r="A1793" s="279">
        <v>39259</v>
      </c>
      <c r="B1793" t="s">
        <v>343</v>
      </c>
      <c r="C1793">
        <v>88</v>
      </c>
    </row>
    <row r="1794" spans="1:3" x14ac:dyDescent="0.25">
      <c r="A1794" s="279">
        <v>39259</v>
      </c>
      <c r="B1794" t="s">
        <v>344</v>
      </c>
      <c r="C1794" t="s">
        <v>252</v>
      </c>
    </row>
    <row r="1795" spans="1:3" x14ac:dyDescent="0.25">
      <c r="A1795" s="279">
        <v>39259</v>
      </c>
      <c r="B1795" t="s">
        <v>345</v>
      </c>
      <c r="C1795" t="s">
        <v>241</v>
      </c>
    </row>
    <row r="1796" spans="1:3" x14ac:dyDescent="0.25">
      <c r="A1796" s="279">
        <v>39260</v>
      </c>
      <c r="B1796" t="s">
        <v>340</v>
      </c>
      <c r="C1796">
        <v>4.7</v>
      </c>
    </row>
    <row r="1797" spans="1:3" x14ac:dyDescent="0.25">
      <c r="A1797" s="279">
        <v>39260</v>
      </c>
      <c r="B1797" t="s">
        <v>341</v>
      </c>
      <c r="C1797">
        <v>99</v>
      </c>
    </row>
    <row r="1798" spans="1:3" x14ac:dyDescent="0.25">
      <c r="A1798" s="279">
        <v>39260</v>
      </c>
      <c r="B1798" t="s">
        <v>342</v>
      </c>
      <c r="C1798">
        <v>75</v>
      </c>
    </row>
    <row r="1799" spans="1:3" x14ac:dyDescent="0.25">
      <c r="A1799" s="279">
        <v>39260</v>
      </c>
      <c r="B1799" t="s">
        <v>343</v>
      </c>
      <c r="C1799">
        <v>86</v>
      </c>
    </row>
    <row r="1800" spans="1:3" x14ac:dyDescent="0.25">
      <c r="A1800" s="279">
        <v>39260</v>
      </c>
      <c r="B1800" t="s">
        <v>344</v>
      </c>
      <c r="C1800" t="s">
        <v>245</v>
      </c>
    </row>
    <row r="1801" spans="1:3" x14ac:dyDescent="0.25">
      <c r="A1801" s="279">
        <v>39260</v>
      </c>
      <c r="B1801" t="s">
        <v>345</v>
      </c>
      <c r="C1801" t="s">
        <v>304</v>
      </c>
    </row>
    <row r="1802" spans="1:3" x14ac:dyDescent="0.25">
      <c r="A1802" s="279">
        <v>39261</v>
      </c>
      <c r="B1802" t="s">
        <v>340</v>
      </c>
      <c r="C1802">
        <v>4.2</v>
      </c>
    </row>
    <row r="1803" spans="1:3" x14ac:dyDescent="0.25">
      <c r="A1803" s="279">
        <v>39261</v>
      </c>
      <c r="B1803" t="s">
        <v>341</v>
      </c>
      <c r="C1803">
        <v>96</v>
      </c>
    </row>
    <row r="1804" spans="1:3" x14ac:dyDescent="0.25">
      <c r="A1804" s="279">
        <v>39261</v>
      </c>
      <c r="B1804" t="s">
        <v>342</v>
      </c>
      <c r="C1804">
        <v>74</v>
      </c>
    </row>
    <row r="1805" spans="1:3" x14ac:dyDescent="0.25">
      <c r="A1805" s="279">
        <v>39261</v>
      </c>
      <c r="B1805" t="s">
        <v>343</v>
      </c>
      <c r="C1805">
        <v>83</v>
      </c>
    </row>
    <row r="1806" spans="1:3" x14ac:dyDescent="0.25">
      <c r="A1806" s="279">
        <v>39261</v>
      </c>
      <c r="B1806" t="s">
        <v>344</v>
      </c>
      <c r="C1806" t="s">
        <v>242</v>
      </c>
    </row>
    <row r="1807" spans="1:3" x14ac:dyDescent="0.25">
      <c r="A1807" s="279">
        <v>39261</v>
      </c>
      <c r="B1807" t="s">
        <v>345</v>
      </c>
      <c r="C1807" t="s">
        <v>308</v>
      </c>
    </row>
    <row r="1808" spans="1:3" x14ac:dyDescent="0.25">
      <c r="A1808" s="279">
        <v>39262</v>
      </c>
      <c r="B1808" t="s">
        <v>340</v>
      </c>
      <c r="C1808">
        <v>2.1</v>
      </c>
    </row>
    <row r="1809" spans="1:3" x14ac:dyDescent="0.25">
      <c r="A1809" s="279">
        <v>39262</v>
      </c>
      <c r="B1809" t="s">
        <v>341</v>
      </c>
      <c r="C1809">
        <v>81</v>
      </c>
    </row>
    <row r="1810" spans="1:3" x14ac:dyDescent="0.25">
      <c r="A1810" s="279">
        <v>39262</v>
      </c>
      <c r="B1810" t="s">
        <v>342</v>
      </c>
      <c r="C1810">
        <v>71</v>
      </c>
    </row>
    <row r="1811" spans="1:3" x14ac:dyDescent="0.25">
      <c r="A1811" s="279">
        <v>39262</v>
      </c>
      <c r="B1811" t="s">
        <v>343</v>
      </c>
      <c r="C1811">
        <v>75</v>
      </c>
    </row>
    <row r="1812" spans="1:3" x14ac:dyDescent="0.25">
      <c r="A1812" s="279">
        <v>39262</v>
      </c>
      <c r="B1812" t="s">
        <v>344</v>
      </c>
      <c r="C1812" t="s">
        <v>246</v>
      </c>
    </row>
    <row r="1813" spans="1:3" x14ac:dyDescent="0.25">
      <c r="A1813" s="279">
        <v>39262</v>
      </c>
      <c r="B1813" t="s">
        <v>345</v>
      </c>
      <c r="C1813" t="s">
        <v>259</v>
      </c>
    </row>
    <row r="1814" spans="1:3" x14ac:dyDescent="0.25">
      <c r="A1814" s="279">
        <v>39263</v>
      </c>
      <c r="B1814" t="s">
        <v>340</v>
      </c>
      <c r="C1814">
        <v>4.2</v>
      </c>
    </row>
    <row r="1815" spans="1:3" x14ac:dyDescent="0.25">
      <c r="A1815" s="279">
        <v>39263</v>
      </c>
      <c r="B1815" t="s">
        <v>341</v>
      </c>
      <c r="C1815">
        <v>90</v>
      </c>
    </row>
    <row r="1816" spans="1:3" x14ac:dyDescent="0.25">
      <c r="A1816" s="279">
        <v>39263</v>
      </c>
      <c r="B1816" t="s">
        <v>342</v>
      </c>
      <c r="C1816">
        <v>66</v>
      </c>
    </row>
    <row r="1817" spans="1:3" x14ac:dyDescent="0.25">
      <c r="A1817" s="279">
        <v>39263</v>
      </c>
      <c r="B1817" t="s">
        <v>343</v>
      </c>
      <c r="C1817">
        <v>78</v>
      </c>
    </row>
    <row r="1818" spans="1:3" x14ac:dyDescent="0.25">
      <c r="A1818" s="279">
        <v>39263</v>
      </c>
      <c r="B1818" t="s">
        <v>344</v>
      </c>
      <c r="C1818" t="s">
        <v>242</v>
      </c>
    </row>
    <row r="1819" spans="1:3" x14ac:dyDescent="0.25">
      <c r="A1819" s="279">
        <v>39263</v>
      </c>
      <c r="B1819" t="s">
        <v>345</v>
      </c>
      <c r="C1819" t="s">
        <v>243</v>
      </c>
    </row>
    <row r="1820" spans="1:3" x14ac:dyDescent="0.25">
      <c r="A1820" s="279">
        <v>39264</v>
      </c>
      <c r="B1820" t="s">
        <v>340</v>
      </c>
      <c r="C1820">
        <v>7.1</v>
      </c>
    </row>
    <row r="1821" spans="1:3" x14ac:dyDescent="0.25">
      <c r="A1821" s="279">
        <v>39264</v>
      </c>
      <c r="B1821" t="s">
        <v>341</v>
      </c>
      <c r="C1821">
        <v>80</v>
      </c>
    </row>
    <row r="1822" spans="1:3" x14ac:dyDescent="0.25">
      <c r="A1822" s="279">
        <v>39264</v>
      </c>
      <c r="B1822" t="s">
        <v>342</v>
      </c>
      <c r="C1822">
        <v>61</v>
      </c>
    </row>
    <row r="1823" spans="1:3" x14ac:dyDescent="0.25">
      <c r="A1823" s="279">
        <v>39264</v>
      </c>
      <c r="B1823" t="s">
        <v>343</v>
      </c>
      <c r="C1823">
        <v>71</v>
      </c>
    </row>
    <row r="1824" spans="1:3" x14ac:dyDescent="0.25">
      <c r="A1824" s="279">
        <v>39264</v>
      </c>
      <c r="B1824" t="s">
        <v>344</v>
      </c>
      <c r="C1824" t="s">
        <v>250</v>
      </c>
    </row>
    <row r="1825" spans="1:3" x14ac:dyDescent="0.25">
      <c r="A1825" s="279">
        <v>39264</v>
      </c>
      <c r="B1825" t="s">
        <v>345</v>
      </c>
      <c r="C1825" t="s">
        <v>243</v>
      </c>
    </row>
    <row r="1826" spans="1:3" x14ac:dyDescent="0.25">
      <c r="A1826" s="279">
        <v>39265</v>
      </c>
      <c r="B1826" t="s">
        <v>340</v>
      </c>
      <c r="C1826">
        <v>4.5</v>
      </c>
    </row>
    <row r="1827" spans="1:3" x14ac:dyDescent="0.25">
      <c r="A1827" s="279">
        <v>39265</v>
      </c>
      <c r="B1827" t="s">
        <v>341</v>
      </c>
      <c r="C1827">
        <v>80</v>
      </c>
    </row>
    <row r="1828" spans="1:3" x14ac:dyDescent="0.25">
      <c r="A1828" s="279">
        <v>39265</v>
      </c>
      <c r="B1828" t="s">
        <v>342</v>
      </c>
      <c r="C1828">
        <v>65</v>
      </c>
    </row>
    <row r="1829" spans="1:3" x14ac:dyDescent="0.25">
      <c r="A1829" s="279">
        <v>39265</v>
      </c>
      <c r="B1829" t="s">
        <v>343</v>
      </c>
      <c r="C1829">
        <v>72</v>
      </c>
    </row>
    <row r="1830" spans="1:3" x14ac:dyDescent="0.25">
      <c r="A1830" s="279">
        <v>39265</v>
      </c>
      <c r="B1830" t="s">
        <v>344</v>
      </c>
      <c r="C1830" t="s">
        <v>240</v>
      </c>
    </row>
    <row r="1831" spans="1:3" x14ac:dyDescent="0.25">
      <c r="A1831" s="279">
        <v>39265</v>
      </c>
      <c r="B1831" t="s">
        <v>345</v>
      </c>
      <c r="C1831" t="s">
        <v>243</v>
      </c>
    </row>
    <row r="1832" spans="1:3" x14ac:dyDescent="0.25">
      <c r="A1832" s="279">
        <v>39266</v>
      </c>
      <c r="B1832" t="s">
        <v>340</v>
      </c>
      <c r="C1832">
        <v>4.5</v>
      </c>
    </row>
    <row r="1833" spans="1:3" x14ac:dyDescent="0.25">
      <c r="A1833" s="279">
        <v>39266</v>
      </c>
      <c r="B1833" t="s">
        <v>341</v>
      </c>
      <c r="C1833">
        <v>87</v>
      </c>
    </row>
    <row r="1834" spans="1:3" x14ac:dyDescent="0.25">
      <c r="A1834" s="279">
        <v>39266</v>
      </c>
      <c r="B1834" t="s">
        <v>342</v>
      </c>
      <c r="C1834">
        <v>66</v>
      </c>
    </row>
    <row r="1835" spans="1:3" x14ac:dyDescent="0.25">
      <c r="A1835" s="279">
        <v>39266</v>
      </c>
      <c r="B1835" t="s">
        <v>343</v>
      </c>
      <c r="C1835">
        <v>76</v>
      </c>
    </row>
    <row r="1836" spans="1:3" x14ac:dyDescent="0.25">
      <c r="A1836" s="279">
        <v>39266</v>
      </c>
      <c r="B1836" t="s">
        <v>344</v>
      </c>
      <c r="C1836" t="s">
        <v>252</v>
      </c>
    </row>
    <row r="1837" spans="1:3" x14ac:dyDescent="0.25">
      <c r="A1837" s="279">
        <v>39266</v>
      </c>
      <c r="B1837" t="s">
        <v>345</v>
      </c>
      <c r="C1837" t="s">
        <v>241</v>
      </c>
    </row>
    <row r="1838" spans="1:3" x14ac:dyDescent="0.25">
      <c r="A1838" s="279">
        <v>39267</v>
      </c>
      <c r="B1838" t="s">
        <v>340</v>
      </c>
      <c r="C1838">
        <v>5.2</v>
      </c>
    </row>
    <row r="1839" spans="1:3" x14ac:dyDescent="0.25">
      <c r="A1839" s="279">
        <v>39267</v>
      </c>
      <c r="B1839" t="s">
        <v>341</v>
      </c>
      <c r="C1839">
        <v>81</v>
      </c>
    </row>
    <row r="1840" spans="1:3" x14ac:dyDescent="0.25">
      <c r="A1840" s="279">
        <v>39267</v>
      </c>
      <c r="B1840" t="s">
        <v>342</v>
      </c>
      <c r="C1840">
        <v>70</v>
      </c>
    </row>
    <row r="1841" spans="1:3" x14ac:dyDescent="0.25">
      <c r="A1841" s="279">
        <v>39267</v>
      </c>
      <c r="B1841" t="s">
        <v>343</v>
      </c>
      <c r="C1841">
        <v>75</v>
      </c>
    </row>
    <row r="1842" spans="1:3" x14ac:dyDescent="0.25">
      <c r="A1842" s="279">
        <v>39267</v>
      </c>
      <c r="B1842" t="s">
        <v>344</v>
      </c>
      <c r="C1842" t="s">
        <v>252</v>
      </c>
    </row>
    <row r="1843" spans="1:3" x14ac:dyDescent="0.25">
      <c r="A1843" s="279">
        <v>39267</v>
      </c>
      <c r="B1843" t="s">
        <v>345</v>
      </c>
      <c r="C1843" t="s">
        <v>303</v>
      </c>
    </row>
    <row r="1844" spans="1:3" x14ac:dyDescent="0.25">
      <c r="A1844" s="279">
        <v>39268</v>
      </c>
      <c r="B1844" t="s">
        <v>340</v>
      </c>
      <c r="C1844">
        <v>4.2</v>
      </c>
    </row>
    <row r="1845" spans="1:3" x14ac:dyDescent="0.25">
      <c r="A1845" s="279">
        <v>39268</v>
      </c>
      <c r="B1845" t="s">
        <v>341</v>
      </c>
      <c r="C1845">
        <v>84</v>
      </c>
    </row>
    <row r="1846" spans="1:3" x14ac:dyDescent="0.25">
      <c r="A1846" s="279">
        <v>39268</v>
      </c>
      <c r="B1846" t="s">
        <v>342</v>
      </c>
      <c r="C1846">
        <v>72</v>
      </c>
    </row>
    <row r="1847" spans="1:3" x14ac:dyDescent="0.25">
      <c r="A1847" s="279">
        <v>39268</v>
      </c>
      <c r="B1847" t="s">
        <v>343</v>
      </c>
      <c r="C1847">
        <v>76</v>
      </c>
    </row>
    <row r="1848" spans="1:3" x14ac:dyDescent="0.25">
      <c r="A1848" s="279">
        <v>39268</v>
      </c>
      <c r="B1848" t="s">
        <v>344</v>
      </c>
      <c r="C1848" t="s">
        <v>245</v>
      </c>
    </row>
    <row r="1849" spans="1:3" x14ac:dyDescent="0.25">
      <c r="A1849" s="279">
        <v>39268</v>
      </c>
      <c r="B1849" t="s">
        <v>345</v>
      </c>
      <c r="C1849" t="s">
        <v>303</v>
      </c>
    </row>
    <row r="1850" spans="1:3" x14ac:dyDescent="0.25">
      <c r="A1850" s="279">
        <v>39269</v>
      </c>
      <c r="B1850" t="s">
        <v>340</v>
      </c>
      <c r="C1850">
        <v>3.6</v>
      </c>
    </row>
    <row r="1851" spans="1:3" x14ac:dyDescent="0.25">
      <c r="A1851" s="279">
        <v>39269</v>
      </c>
      <c r="B1851" t="s">
        <v>341</v>
      </c>
      <c r="C1851">
        <v>91</v>
      </c>
    </row>
    <row r="1852" spans="1:3" x14ac:dyDescent="0.25">
      <c r="A1852" s="279">
        <v>39269</v>
      </c>
      <c r="B1852" t="s">
        <v>342</v>
      </c>
      <c r="C1852">
        <v>72</v>
      </c>
    </row>
    <row r="1853" spans="1:3" x14ac:dyDescent="0.25">
      <c r="A1853" s="279">
        <v>39269</v>
      </c>
      <c r="B1853" t="s">
        <v>343</v>
      </c>
      <c r="C1853">
        <v>81</v>
      </c>
    </row>
    <row r="1854" spans="1:3" x14ac:dyDescent="0.25">
      <c r="A1854" s="279">
        <v>39269</v>
      </c>
      <c r="B1854" t="s">
        <v>344</v>
      </c>
      <c r="C1854" t="s">
        <v>245</v>
      </c>
    </row>
    <row r="1855" spans="1:3" x14ac:dyDescent="0.25">
      <c r="A1855" s="279">
        <v>39269</v>
      </c>
      <c r="B1855" t="s">
        <v>345</v>
      </c>
      <c r="C1855" t="s">
        <v>303</v>
      </c>
    </row>
    <row r="1856" spans="1:3" x14ac:dyDescent="0.25">
      <c r="A1856" s="279">
        <v>39270</v>
      </c>
      <c r="B1856" t="s">
        <v>340</v>
      </c>
      <c r="C1856">
        <v>4.2</v>
      </c>
    </row>
    <row r="1857" spans="1:3" x14ac:dyDescent="0.25">
      <c r="A1857" s="279">
        <v>39270</v>
      </c>
      <c r="B1857" t="s">
        <v>341</v>
      </c>
      <c r="C1857">
        <v>93</v>
      </c>
    </row>
    <row r="1858" spans="1:3" x14ac:dyDescent="0.25">
      <c r="A1858" s="279">
        <v>39270</v>
      </c>
      <c r="B1858" t="s">
        <v>342</v>
      </c>
      <c r="C1858">
        <v>75</v>
      </c>
    </row>
    <row r="1859" spans="1:3" x14ac:dyDescent="0.25">
      <c r="A1859" s="279">
        <v>39270</v>
      </c>
      <c r="B1859" t="s">
        <v>343</v>
      </c>
      <c r="C1859">
        <v>84</v>
      </c>
    </row>
    <row r="1860" spans="1:3" x14ac:dyDescent="0.25">
      <c r="A1860" s="279">
        <v>39270</v>
      </c>
      <c r="B1860" t="s">
        <v>344</v>
      </c>
      <c r="C1860" t="s">
        <v>245</v>
      </c>
    </row>
    <row r="1861" spans="1:3" x14ac:dyDescent="0.25">
      <c r="A1861" s="279">
        <v>39270</v>
      </c>
      <c r="B1861" t="s">
        <v>345</v>
      </c>
      <c r="C1861" t="s">
        <v>257</v>
      </c>
    </row>
    <row r="1862" spans="1:3" x14ac:dyDescent="0.25">
      <c r="A1862" s="279">
        <v>39271</v>
      </c>
      <c r="B1862" t="s">
        <v>340</v>
      </c>
      <c r="C1862">
        <v>4</v>
      </c>
    </row>
    <row r="1863" spans="1:3" x14ac:dyDescent="0.25">
      <c r="A1863" s="279">
        <v>39271</v>
      </c>
      <c r="B1863" t="s">
        <v>341</v>
      </c>
      <c r="C1863">
        <v>98</v>
      </c>
    </row>
    <row r="1864" spans="1:3" x14ac:dyDescent="0.25">
      <c r="A1864" s="279">
        <v>39271</v>
      </c>
      <c r="B1864" t="s">
        <v>342</v>
      </c>
      <c r="C1864">
        <v>79</v>
      </c>
    </row>
    <row r="1865" spans="1:3" x14ac:dyDescent="0.25">
      <c r="A1865" s="279">
        <v>39271</v>
      </c>
      <c r="B1865" t="s">
        <v>343</v>
      </c>
      <c r="C1865">
        <v>88</v>
      </c>
    </row>
    <row r="1866" spans="1:3" x14ac:dyDescent="0.25">
      <c r="A1866" s="279">
        <v>39271</v>
      </c>
      <c r="B1866" t="s">
        <v>344</v>
      </c>
      <c r="C1866" t="s">
        <v>245</v>
      </c>
    </row>
    <row r="1867" spans="1:3" x14ac:dyDescent="0.25">
      <c r="A1867" s="279">
        <v>39271</v>
      </c>
      <c r="B1867" t="s">
        <v>345</v>
      </c>
      <c r="C1867" t="s">
        <v>257</v>
      </c>
    </row>
    <row r="1868" spans="1:3" x14ac:dyDescent="0.25">
      <c r="A1868" s="279">
        <v>39272</v>
      </c>
      <c r="B1868" t="s">
        <v>340</v>
      </c>
      <c r="C1868">
        <v>3.9</v>
      </c>
    </row>
    <row r="1869" spans="1:3" x14ac:dyDescent="0.25">
      <c r="A1869" s="279">
        <v>39272</v>
      </c>
      <c r="B1869" t="s">
        <v>341</v>
      </c>
      <c r="C1869">
        <v>101</v>
      </c>
    </row>
    <row r="1870" spans="1:3" x14ac:dyDescent="0.25">
      <c r="A1870" s="279">
        <v>39272</v>
      </c>
      <c r="B1870" t="s">
        <v>342</v>
      </c>
      <c r="C1870">
        <v>81</v>
      </c>
    </row>
    <row r="1871" spans="1:3" x14ac:dyDescent="0.25">
      <c r="A1871" s="279">
        <v>39272</v>
      </c>
      <c r="B1871" t="s">
        <v>343</v>
      </c>
      <c r="C1871">
        <v>91</v>
      </c>
    </row>
    <row r="1872" spans="1:3" x14ac:dyDescent="0.25">
      <c r="A1872" s="279">
        <v>39272</v>
      </c>
      <c r="B1872" t="s">
        <v>344</v>
      </c>
      <c r="C1872" t="s">
        <v>252</v>
      </c>
    </row>
    <row r="1873" spans="1:3" x14ac:dyDescent="0.25">
      <c r="A1873" s="279">
        <v>39272</v>
      </c>
      <c r="B1873" t="s">
        <v>345</v>
      </c>
      <c r="C1873" t="s">
        <v>257</v>
      </c>
    </row>
    <row r="1874" spans="1:3" x14ac:dyDescent="0.25">
      <c r="A1874" s="279">
        <v>39273</v>
      </c>
      <c r="B1874" t="s">
        <v>340</v>
      </c>
      <c r="C1874">
        <v>3.5</v>
      </c>
    </row>
    <row r="1875" spans="1:3" x14ac:dyDescent="0.25">
      <c r="A1875" s="279">
        <v>39273</v>
      </c>
      <c r="B1875" t="s">
        <v>341</v>
      </c>
      <c r="C1875">
        <v>103</v>
      </c>
    </row>
    <row r="1876" spans="1:3" x14ac:dyDescent="0.25">
      <c r="A1876" s="279">
        <v>39273</v>
      </c>
      <c r="B1876" t="s">
        <v>342</v>
      </c>
      <c r="C1876">
        <v>78</v>
      </c>
    </row>
    <row r="1877" spans="1:3" x14ac:dyDescent="0.25">
      <c r="A1877" s="279">
        <v>39273</v>
      </c>
      <c r="B1877" t="s">
        <v>343</v>
      </c>
      <c r="C1877">
        <v>87</v>
      </c>
    </row>
    <row r="1878" spans="1:3" x14ac:dyDescent="0.25">
      <c r="A1878" s="279">
        <v>39273</v>
      </c>
      <c r="B1878" t="s">
        <v>344</v>
      </c>
      <c r="C1878" t="s">
        <v>249</v>
      </c>
    </row>
    <row r="1879" spans="1:3" x14ac:dyDescent="0.25">
      <c r="A1879" s="279">
        <v>39273</v>
      </c>
      <c r="B1879" t="s">
        <v>345</v>
      </c>
      <c r="C1879" t="s">
        <v>309</v>
      </c>
    </row>
    <row r="1880" spans="1:3" x14ac:dyDescent="0.25">
      <c r="A1880" s="279">
        <v>39274</v>
      </c>
      <c r="B1880" t="s">
        <v>340</v>
      </c>
      <c r="C1880">
        <v>5.0999999999999996</v>
      </c>
    </row>
    <row r="1881" spans="1:3" x14ac:dyDescent="0.25">
      <c r="A1881" s="279">
        <v>39274</v>
      </c>
      <c r="B1881" t="s">
        <v>341</v>
      </c>
      <c r="C1881">
        <v>95</v>
      </c>
    </row>
    <row r="1882" spans="1:3" x14ac:dyDescent="0.25">
      <c r="A1882" s="279">
        <v>39274</v>
      </c>
      <c r="B1882" t="s">
        <v>342</v>
      </c>
      <c r="C1882">
        <v>71</v>
      </c>
    </row>
    <row r="1883" spans="1:3" x14ac:dyDescent="0.25">
      <c r="A1883" s="279">
        <v>39274</v>
      </c>
      <c r="B1883" t="s">
        <v>343</v>
      </c>
      <c r="C1883">
        <v>81</v>
      </c>
    </row>
    <row r="1884" spans="1:3" x14ac:dyDescent="0.25">
      <c r="A1884" s="279">
        <v>39274</v>
      </c>
      <c r="B1884" t="s">
        <v>344</v>
      </c>
      <c r="C1884" t="s">
        <v>242</v>
      </c>
    </row>
    <row r="1885" spans="1:3" x14ac:dyDescent="0.25">
      <c r="A1885" s="279">
        <v>39274</v>
      </c>
      <c r="B1885" t="s">
        <v>345</v>
      </c>
      <c r="C1885" t="s">
        <v>310</v>
      </c>
    </row>
    <row r="1886" spans="1:3" x14ac:dyDescent="0.25">
      <c r="A1886" s="279">
        <v>39275</v>
      </c>
      <c r="B1886" t="s">
        <v>340</v>
      </c>
      <c r="C1886">
        <v>4</v>
      </c>
    </row>
    <row r="1887" spans="1:3" x14ac:dyDescent="0.25">
      <c r="A1887" s="279">
        <v>39275</v>
      </c>
      <c r="B1887" t="s">
        <v>341</v>
      </c>
      <c r="C1887">
        <v>87</v>
      </c>
    </row>
    <row r="1888" spans="1:3" x14ac:dyDescent="0.25">
      <c r="A1888" s="279">
        <v>39275</v>
      </c>
      <c r="B1888" t="s">
        <v>342</v>
      </c>
      <c r="C1888">
        <v>74</v>
      </c>
    </row>
    <row r="1889" spans="1:3" x14ac:dyDescent="0.25">
      <c r="A1889" s="279">
        <v>39275</v>
      </c>
      <c r="B1889" t="s">
        <v>343</v>
      </c>
      <c r="C1889">
        <v>80</v>
      </c>
    </row>
    <row r="1890" spans="1:3" x14ac:dyDescent="0.25">
      <c r="A1890" s="279">
        <v>39275</v>
      </c>
      <c r="B1890" t="s">
        <v>344</v>
      </c>
      <c r="C1890" t="s">
        <v>252</v>
      </c>
    </row>
    <row r="1891" spans="1:3" x14ac:dyDescent="0.25">
      <c r="A1891" s="279">
        <v>39275</v>
      </c>
      <c r="B1891" t="s">
        <v>345</v>
      </c>
      <c r="C1891" t="s">
        <v>257</v>
      </c>
    </row>
    <row r="1892" spans="1:3" x14ac:dyDescent="0.25">
      <c r="A1892" s="279">
        <v>39276</v>
      </c>
      <c r="B1892" t="s">
        <v>340</v>
      </c>
      <c r="C1892">
        <v>3.6</v>
      </c>
    </row>
    <row r="1893" spans="1:3" x14ac:dyDescent="0.25">
      <c r="A1893" s="279">
        <v>39276</v>
      </c>
      <c r="B1893" t="s">
        <v>341</v>
      </c>
      <c r="C1893">
        <v>91</v>
      </c>
    </row>
    <row r="1894" spans="1:3" x14ac:dyDescent="0.25">
      <c r="A1894" s="279">
        <v>39276</v>
      </c>
      <c r="B1894" t="s">
        <v>342</v>
      </c>
      <c r="C1894">
        <v>73</v>
      </c>
    </row>
    <row r="1895" spans="1:3" x14ac:dyDescent="0.25">
      <c r="A1895" s="279">
        <v>39276</v>
      </c>
      <c r="B1895" t="s">
        <v>343</v>
      </c>
      <c r="C1895">
        <v>81</v>
      </c>
    </row>
    <row r="1896" spans="1:3" x14ac:dyDescent="0.25">
      <c r="A1896" s="279">
        <v>39276</v>
      </c>
      <c r="B1896" t="s">
        <v>344</v>
      </c>
      <c r="C1896" t="s">
        <v>245</v>
      </c>
    </row>
    <row r="1897" spans="1:3" x14ac:dyDescent="0.25">
      <c r="A1897" s="279">
        <v>39276</v>
      </c>
      <c r="B1897" t="s">
        <v>345</v>
      </c>
      <c r="C1897" t="s">
        <v>310</v>
      </c>
    </row>
    <row r="1898" spans="1:3" x14ac:dyDescent="0.25">
      <c r="A1898" s="279">
        <v>39277</v>
      </c>
      <c r="B1898" t="s">
        <v>340</v>
      </c>
      <c r="C1898">
        <v>5.3</v>
      </c>
    </row>
    <row r="1899" spans="1:3" x14ac:dyDescent="0.25">
      <c r="A1899" s="279">
        <v>39277</v>
      </c>
      <c r="B1899" t="s">
        <v>341</v>
      </c>
      <c r="C1899">
        <v>90</v>
      </c>
    </row>
    <row r="1900" spans="1:3" x14ac:dyDescent="0.25">
      <c r="A1900" s="279">
        <v>39277</v>
      </c>
      <c r="B1900" t="s">
        <v>342</v>
      </c>
      <c r="C1900">
        <v>75</v>
      </c>
    </row>
    <row r="1901" spans="1:3" x14ac:dyDescent="0.25">
      <c r="A1901" s="279">
        <v>39277</v>
      </c>
      <c r="B1901" t="s">
        <v>343</v>
      </c>
      <c r="C1901">
        <v>82</v>
      </c>
    </row>
    <row r="1902" spans="1:3" x14ac:dyDescent="0.25">
      <c r="A1902" s="279">
        <v>39277</v>
      </c>
      <c r="B1902" t="s">
        <v>344</v>
      </c>
      <c r="C1902" t="s">
        <v>245</v>
      </c>
    </row>
    <row r="1903" spans="1:3" x14ac:dyDescent="0.25">
      <c r="A1903" s="279">
        <v>39277</v>
      </c>
      <c r="B1903" t="s">
        <v>345</v>
      </c>
      <c r="C1903" t="s">
        <v>257</v>
      </c>
    </row>
    <row r="1904" spans="1:3" x14ac:dyDescent="0.25">
      <c r="A1904" s="279">
        <v>39278</v>
      </c>
      <c r="B1904" t="s">
        <v>340</v>
      </c>
      <c r="C1904">
        <v>5</v>
      </c>
    </row>
    <row r="1905" spans="1:3" x14ac:dyDescent="0.25">
      <c r="A1905" s="279">
        <v>39278</v>
      </c>
      <c r="B1905" t="s">
        <v>341</v>
      </c>
      <c r="C1905">
        <v>96</v>
      </c>
    </row>
    <row r="1906" spans="1:3" x14ac:dyDescent="0.25">
      <c r="A1906" s="279">
        <v>39278</v>
      </c>
      <c r="B1906" t="s">
        <v>342</v>
      </c>
      <c r="C1906">
        <v>76</v>
      </c>
    </row>
    <row r="1907" spans="1:3" x14ac:dyDescent="0.25">
      <c r="A1907" s="279">
        <v>39278</v>
      </c>
      <c r="B1907" t="s">
        <v>343</v>
      </c>
      <c r="C1907">
        <v>86</v>
      </c>
    </row>
    <row r="1908" spans="1:3" x14ac:dyDescent="0.25">
      <c r="A1908" s="279">
        <v>39278</v>
      </c>
      <c r="B1908" t="s">
        <v>344</v>
      </c>
      <c r="C1908" t="s">
        <v>252</v>
      </c>
    </row>
    <row r="1909" spans="1:3" x14ac:dyDescent="0.25">
      <c r="A1909" s="279">
        <v>39278</v>
      </c>
      <c r="B1909" t="s">
        <v>345</v>
      </c>
      <c r="C1909" t="s">
        <v>311</v>
      </c>
    </row>
    <row r="1910" spans="1:3" x14ac:dyDescent="0.25">
      <c r="A1910" s="279">
        <v>39279</v>
      </c>
      <c r="B1910" t="s">
        <v>340</v>
      </c>
      <c r="C1910">
        <v>2.7</v>
      </c>
    </row>
    <row r="1911" spans="1:3" x14ac:dyDescent="0.25">
      <c r="A1911" s="279">
        <v>39279</v>
      </c>
      <c r="B1911" t="s">
        <v>341</v>
      </c>
      <c r="C1911">
        <v>94</v>
      </c>
    </row>
    <row r="1912" spans="1:3" x14ac:dyDescent="0.25">
      <c r="A1912" s="279">
        <v>39279</v>
      </c>
      <c r="B1912" t="s">
        <v>342</v>
      </c>
      <c r="C1912">
        <v>75</v>
      </c>
    </row>
    <row r="1913" spans="1:3" x14ac:dyDescent="0.25">
      <c r="A1913" s="279">
        <v>39279</v>
      </c>
      <c r="B1913" t="s">
        <v>343</v>
      </c>
      <c r="C1913">
        <v>81</v>
      </c>
    </row>
    <row r="1914" spans="1:3" x14ac:dyDescent="0.25">
      <c r="A1914" s="279">
        <v>39279</v>
      </c>
      <c r="B1914" t="s">
        <v>344</v>
      </c>
      <c r="C1914" t="s">
        <v>246</v>
      </c>
    </row>
    <row r="1915" spans="1:3" x14ac:dyDescent="0.25">
      <c r="A1915" s="279">
        <v>39279</v>
      </c>
      <c r="B1915" t="s">
        <v>345</v>
      </c>
      <c r="C1915" t="s">
        <v>311</v>
      </c>
    </row>
    <row r="1916" spans="1:3" x14ac:dyDescent="0.25">
      <c r="A1916" s="279">
        <v>39280</v>
      </c>
      <c r="B1916" t="s">
        <v>340</v>
      </c>
      <c r="C1916">
        <v>2.6</v>
      </c>
    </row>
    <row r="1917" spans="1:3" x14ac:dyDescent="0.25">
      <c r="A1917" s="279">
        <v>39280</v>
      </c>
      <c r="B1917" t="s">
        <v>341</v>
      </c>
      <c r="C1917">
        <v>99</v>
      </c>
    </row>
    <row r="1918" spans="1:3" x14ac:dyDescent="0.25">
      <c r="A1918" s="279">
        <v>39280</v>
      </c>
      <c r="B1918" t="s">
        <v>342</v>
      </c>
      <c r="C1918">
        <v>76</v>
      </c>
    </row>
    <row r="1919" spans="1:3" x14ac:dyDescent="0.25">
      <c r="A1919" s="279">
        <v>39280</v>
      </c>
      <c r="B1919" t="s">
        <v>343</v>
      </c>
      <c r="C1919">
        <v>85</v>
      </c>
    </row>
    <row r="1920" spans="1:3" x14ac:dyDescent="0.25">
      <c r="A1920" s="279">
        <v>39280</v>
      </c>
      <c r="B1920" t="s">
        <v>344</v>
      </c>
      <c r="C1920" t="s">
        <v>249</v>
      </c>
    </row>
    <row r="1921" spans="1:3" x14ac:dyDescent="0.25">
      <c r="A1921" s="279">
        <v>39280</v>
      </c>
      <c r="B1921" t="s">
        <v>345</v>
      </c>
      <c r="C1921" t="s">
        <v>241</v>
      </c>
    </row>
    <row r="1922" spans="1:3" x14ac:dyDescent="0.25">
      <c r="A1922" s="279">
        <v>39281</v>
      </c>
      <c r="B1922" t="s">
        <v>340</v>
      </c>
      <c r="C1922">
        <v>2.2999999999999998</v>
      </c>
    </row>
    <row r="1923" spans="1:3" x14ac:dyDescent="0.25">
      <c r="A1923" s="279">
        <v>39281</v>
      </c>
      <c r="B1923" t="s">
        <v>341</v>
      </c>
      <c r="C1923">
        <v>92</v>
      </c>
    </row>
    <row r="1924" spans="1:3" x14ac:dyDescent="0.25">
      <c r="A1924" s="279">
        <v>39281</v>
      </c>
      <c r="B1924" t="s">
        <v>342</v>
      </c>
      <c r="C1924">
        <v>75</v>
      </c>
    </row>
    <row r="1925" spans="1:3" x14ac:dyDescent="0.25">
      <c r="A1925" s="279">
        <v>39281</v>
      </c>
      <c r="B1925" t="s">
        <v>343</v>
      </c>
      <c r="C1925">
        <v>80</v>
      </c>
    </row>
    <row r="1926" spans="1:3" x14ac:dyDescent="0.25">
      <c r="A1926" s="279">
        <v>39281</v>
      </c>
      <c r="B1926" t="s">
        <v>344</v>
      </c>
      <c r="C1926" t="s">
        <v>252</v>
      </c>
    </row>
    <row r="1927" spans="1:3" x14ac:dyDescent="0.25">
      <c r="A1927" s="279">
        <v>39281</v>
      </c>
      <c r="B1927" t="s">
        <v>345</v>
      </c>
      <c r="C1927" t="s">
        <v>312</v>
      </c>
    </row>
    <row r="1928" spans="1:3" x14ac:dyDescent="0.25">
      <c r="A1928" s="279">
        <v>39282</v>
      </c>
      <c r="B1928" t="s">
        <v>340</v>
      </c>
      <c r="C1928">
        <v>6</v>
      </c>
    </row>
    <row r="1929" spans="1:3" x14ac:dyDescent="0.25">
      <c r="A1929" s="279">
        <v>39282</v>
      </c>
      <c r="B1929" t="s">
        <v>341</v>
      </c>
      <c r="C1929">
        <v>91</v>
      </c>
    </row>
    <row r="1930" spans="1:3" x14ac:dyDescent="0.25">
      <c r="A1930" s="279">
        <v>39282</v>
      </c>
      <c r="B1930" t="s">
        <v>342</v>
      </c>
      <c r="C1930">
        <v>76</v>
      </c>
    </row>
    <row r="1931" spans="1:3" x14ac:dyDescent="0.25">
      <c r="A1931" s="279">
        <v>39282</v>
      </c>
      <c r="B1931" t="s">
        <v>343</v>
      </c>
      <c r="C1931">
        <v>83</v>
      </c>
    </row>
    <row r="1932" spans="1:3" x14ac:dyDescent="0.25">
      <c r="A1932" s="279">
        <v>39282</v>
      </c>
      <c r="B1932" t="s">
        <v>344</v>
      </c>
      <c r="C1932" t="s">
        <v>245</v>
      </c>
    </row>
    <row r="1933" spans="1:3" x14ac:dyDescent="0.25">
      <c r="A1933" s="279">
        <v>39282</v>
      </c>
      <c r="B1933" t="s">
        <v>345</v>
      </c>
      <c r="C1933" t="s">
        <v>313</v>
      </c>
    </row>
    <row r="1934" spans="1:3" x14ac:dyDescent="0.25">
      <c r="A1934" s="279">
        <v>39283</v>
      </c>
      <c r="B1934" t="s">
        <v>340</v>
      </c>
      <c r="C1934">
        <v>7.3</v>
      </c>
    </row>
    <row r="1935" spans="1:3" x14ac:dyDescent="0.25">
      <c r="A1935" s="279">
        <v>39283</v>
      </c>
      <c r="B1935" t="s">
        <v>341</v>
      </c>
      <c r="C1935">
        <v>85</v>
      </c>
    </row>
    <row r="1936" spans="1:3" x14ac:dyDescent="0.25">
      <c r="A1936" s="279">
        <v>39283</v>
      </c>
      <c r="B1936" t="s">
        <v>342</v>
      </c>
      <c r="C1936">
        <v>66</v>
      </c>
    </row>
    <row r="1937" spans="1:3" x14ac:dyDescent="0.25">
      <c r="A1937" s="279">
        <v>39283</v>
      </c>
      <c r="B1937" t="s">
        <v>343</v>
      </c>
      <c r="C1937">
        <v>76</v>
      </c>
    </row>
    <row r="1938" spans="1:3" x14ac:dyDescent="0.25">
      <c r="A1938" s="279">
        <v>39283</v>
      </c>
      <c r="B1938" t="s">
        <v>344</v>
      </c>
      <c r="C1938" t="s">
        <v>240</v>
      </c>
    </row>
    <row r="1939" spans="1:3" x14ac:dyDescent="0.25">
      <c r="A1939" s="279">
        <v>39283</v>
      </c>
      <c r="B1939" t="s">
        <v>345</v>
      </c>
      <c r="C1939" t="s">
        <v>241</v>
      </c>
    </row>
    <row r="1940" spans="1:3" x14ac:dyDescent="0.25">
      <c r="A1940" s="279">
        <v>39284</v>
      </c>
      <c r="B1940" t="s">
        <v>340</v>
      </c>
      <c r="C1940">
        <v>6.8</v>
      </c>
    </row>
    <row r="1941" spans="1:3" x14ac:dyDescent="0.25">
      <c r="A1941" s="279">
        <v>39284</v>
      </c>
      <c r="B1941" t="s">
        <v>341</v>
      </c>
      <c r="C1941">
        <v>88</v>
      </c>
    </row>
    <row r="1942" spans="1:3" x14ac:dyDescent="0.25">
      <c r="A1942" s="279">
        <v>39284</v>
      </c>
      <c r="B1942" t="s">
        <v>342</v>
      </c>
      <c r="C1942">
        <v>71</v>
      </c>
    </row>
    <row r="1943" spans="1:3" x14ac:dyDescent="0.25">
      <c r="A1943" s="279">
        <v>39284</v>
      </c>
      <c r="B1943" t="s">
        <v>343</v>
      </c>
      <c r="C1943">
        <v>79</v>
      </c>
    </row>
    <row r="1944" spans="1:3" x14ac:dyDescent="0.25">
      <c r="A1944" s="279">
        <v>39284</v>
      </c>
      <c r="B1944" t="s">
        <v>344</v>
      </c>
      <c r="C1944" t="s">
        <v>246</v>
      </c>
    </row>
    <row r="1945" spans="1:3" x14ac:dyDescent="0.25">
      <c r="A1945" s="279">
        <v>39284</v>
      </c>
      <c r="B1945" t="s">
        <v>345</v>
      </c>
      <c r="C1945" t="s">
        <v>241</v>
      </c>
    </row>
    <row r="1946" spans="1:3" x14ac:dyDescent="0.25">
      <c r="A1946" s="279">
        <v>39285</v>
      </c>
      <c r="B1946" t="s">
        <v>340</v>
      </c>
      <c r="C1946">
        <v>5.2</v>
      </c>
    </row>
    <row r="1947" spans="1:3" x14ac:dyDescent="0.25">
      <c r="A1947" s="279">
        <v>39285</v>
      </c>
      <c r="B1947" t="s">
        <v>341</v>
      </c>
      <c r="C1947">
        <v>89</v>
      </c>
    </row>
    <row r="1948" spans="1:3" x14ac:dyDescent="0.25">
      <c r="A1948" s="279">
        <v>39285</v>
      </c>
      <c r="B1948" t="s">
        <v>342</v>
      </c>
      <c r="C1948">
        <v>66</v>
      </c>
    </row>
    <row r="1949" spans="1:3" x14ac:dyDescent="0.25">
      <c r="A1949" s="279">
        <v>39285</v>
      </c>
      <c r="B1949" t="s">
        <v>343</v>
      </c>
      <c r="C1949">
        <v>78</v>
      </c>
    </row>
    <row r="1950" spans="1:3" x14ac:dyDescent="0.25">
      <c r="A1950" s="279">
        <v>39285</v>
      </c>
      <c r="B1950" t="s">
        <v>344</v>
      </c>
      <c r="C1950" t="s">
        <v>246</v>
      </c>
    </row>
    <row r="1951" spans="1:3" x14ac:dyDescent="0.25">
      <c r="A1951" s="279">
        <v>39285</v>
      </c>
      <c r="B1951" t="s">
        <v>345</v>
      </c>
      <c r="C1951" t="s">
        <v>257</v>
      </c>
    </row>
    <row r="1952" spans="1:3" x14ac:dyDescent="0.25">
      <c r="A1952" s="279">
        <v>39286</v>
      </c>
      <c r="B1952" t="s">
        <v>340</v>
      </c>
      <c r="C1952">
        <v>5.6</v>
      </c>
    </row>
    <row r="1953" spans="1:3" x14ac:dyDescent="0.25">
      <c r="A1953" s="279">
        <v>39286</v>
      </c>
      <c r="B1953" t="s">
        <v>341</v>
      </c>
      <c r="C1953">
        <v>79</v>
      </c>
    </row>
    <row r="1954" spans="1:3" x14ac:dyDescent="0.25">
      <c r="A1954" s="279">
        <v>39286</v>
      </c>
      <c r="B1954" t="s">
        <v>342</v>
      </c>
      <c r="C1954">
        <v>64</v>
      </c>
    </row>
    <row r="1955" spans="1:3" x14ac:dyDescent="0.25">
      <c r="A1955" s="279">
        <v>39286</v>
      </c>
      <c r="B1955" t="s">
        <v>343</v>
      </c>
      <c r="C1955">
        <v>68</v>
      </c>
    </row>
    <row r="1956" spans="1:3" x14ac:dyDescent="0.25">
      <c r="A1956" s="279">
        <v>39286</v>
      </c>
      <c r="B1956" t="s">
        <v>344</v>
      </c>
      <c r="C1956" t="s">
        <v>250</v>
      </c>
    </row>
    <row r="1957" spans="1:3" x14ac:dyDescent="0.25">
      <c r="A1957" s="279">
        <v>39286</v>
      </c>
      <c r="B1957" t="s">
        <v>345</v>
      </c>
      <c r="C1957" t="s">
        <v>312</v>
      </c>
    </row>
    <row r="1958" spans="1:3" x14ac:dyDescent="0.25">
      <c r="A1958" s="279">
        <v>39287</v>
      </c>
      <c r="B1958" t="s">
        <v>340</v>
      </c>
      <c r="C1958">
        <v>2.9</v>
      </c>
    </row>
    <row r="1959" spans="1:3" x14ac:dyDescent="0.25">
      <c r="A1959" s="279">
        <v>39287</v>
      </c>
      <c r="B1959" t="s">
        <v>341</v>
      </c>
      <c r="C1959">
        <v>92</v>
      </c>
    </row>
    <row r="1960" spans="1:3" x14ac:dyDescent="0.25">
      <c r="A1960" s="279">
        <v>39287</v>
      </c>
      <c r="B1960" t="s">
        <v>342</v>
      </c>
      <c r="C1960">
        <v>68</v>
      </c>
    </row>
    <row r="1961" spans="1:3" x14ac:dyDescent="0.25">
      <c r="A1961" s="279">
        <v>39287</v>
      </c>
      <c r="B1961" t="s">
        <v>343</v>
      </c>
      <c r="C1961">
        <v>79</v>
      </c>
    </row>
    <row r="1962" spans="1:3" x14ac:dyDescent="0.25">
      <c r="A1962" s="279">
        <v>39287</v>
      </c>
      <c r="B1962" t="s">
        <v>344</v>
      </c>
      <c r="C1962" t="s">
        <v>249</v>
      </c>
    </row>
    <row r="1963" spans="1:3" x14ac:dyDescent="0.25">
      <c r="A1963" s="279">
        <v>39287</v>
      </c>
      <c r="B1963" t="s">
        <v>345</v>
      </c>
      <c r="C1963" t="s">
        <v>241</v>
      </c>
    </row>
    <row r="1964" spans="1:3" x14ac:dyDescent="0.25">
      <c r="A1964" s="279">
        <v>39288</v>
      </c>
      <c r="B1964" t="s">
        <v>340</v>
      </c>
      <c r="C1964">
        <v>2</v>
      </c>
    </row>
    <row r="1965" spans="1:3" x14ac:dyDescent="0.25">
      <c r="A1965" s="279">
        <v>39288</v>
      </c>
      <c r="B1965" t="s">
        <v>341</v>
      </c>
      <c r="C1965">
        <v>95</v>
      </c>
    </row>
    <row r="1966" spans="1:3" x14ac:dyDescent="0.25">
      <c r="A1966" s="279">
        <v>39288</v>
      </c>
      <c r="B1966" t="s">
        <v>342</v>
      </c>
      <c r="C1966">
        <v>74</v>
      </c>
    </row>
    <row r="1967" spans="1:3" x14ac:dyDescent="0.25">
      <c r="A1967" s="279">
        <v>39288</v>
      </c>
      <c r="B1967" t="s">
        <v>343</v>
      </c>
      <c r="C1967">
        <v>82</v>
      </c>
    </row>
    <row r="1968" spans="1:3" x14ac:dyDescent="0.25">
      <c r="A1968" s="279">
        <v>39288</v>
      </c>
      <c r="B1968" t="s">
        <v>344</v>
      </c>
      <c r="C1968" t="s">
        <v>249</v>
      </c>
    </row>
    <row r="1969" spans="1:3" x14ac:dyDescent="0.25">
      <c r="A1969" s="279">
        <v>39288</v>
      </c>
      <c r="B1969" t="s">
        <v>345</v>
      </c>
      <c r="C1969" t="s">
        <v>241</v>
      </c>
    </row>
    <row r="1970" spans="1:3" x14ac:dyDescent="0.25">
      <c r="A1970" s="279">
        <v>39289</v>
      </c>
      <c r="B1970" t="s">
        <v>340</v>
      </c>
      <c r="C1970">
        <v>2.7</v>
      </c>
    </row>
    <row r="1971" spans="1:3" x14ac:dyDescent="0.25">
      <c r="A1971" s="279">
        <v>39289</v>
      </c>
      <c r="B1971" t="s">
        <v>341</v>
      </c>
      <c r="C1971">
        <v>94</v>
      </c>
    </row>
    <row r="1972" spans="1:3" x14ac:dyDescent="0.25">
      <c r="A1972" s="279">
        <v>39289</v>
      </c>
      <c r="B1972" t="s">
        <v>342</v>
      </c>
      <c r="C1972">
        <v>77</v>
      </c>
    </row>
    <row r="1973" spans="1:3" x14ac:dyDescent="0.25">
      <c r="A1973" s="279">
        <v>39289</v>
      </c>
      <c r="B1973" t="s">
        <v>343</v>
      </c>
      <c r="C1973">
        <v>83</v>
      </c>
    </row>
    <row r="1974" spans="1:3" x14ac:dyDescent="0.25">
      <c r="A1974" s="279">
        <v>39289</v>
      </c>
      <c r="B1974" t="s">
        <v>344</v>
      </c>
      <c r="C1974" t="s">
        <v>249</v>
      </c>
    </row>
    <row r="1975" spans="1:3" x14ac:dyDescent="0.25">
      <c r="A1975" s="279">
        <v>39289</v>
      </c>
      <c r="B1975" t="s">
        <v>345</v>
      </c>
      <c r="C1975" t="s">
        <v>314</v>
      </c>
    </row>
    <row r="1976" spans="1:3" x14ac:dyDescent="0.25">
      <c r="A1976" s="279">
        <v>39290</v>
      </c>
      <c r="B1976" t="s">
        <v>340</v>
      </c>
      <c r="C1976">
        <v>2.8</v>
      </c>
    </row>
    <row r="1977" spans="1:3" x14ac:dyDescent="0.25">
      <c r="A1977" s="279">
        <v>39290</v>
      </c>
      <c r="B1977" t="s">
        <v>341</v>
      </c>
      <c r="C1977">
        <v>96</v>
      </c>
    </row>
    <row r="1978" spans="1:3" x14ac:dyDescent="0.25">
      <c r="A1978" s="279">
        <v>39290</v>
      </c>
      <c r="B1978" t="s">
        <v>342</v>
      </c>
      <c r="C1978">
        <v>73</v>
      </c>
    </row>
    <row r="1979" spans="1:3" x14ac:dyDescent="0.25">
      <c r="A1979" s="279">
        <v>39290</v>
      </c>
      <c r="B1979" t="s">
        <v>343</v>
      </c>
      <c r="C1979">
        <v>82</v>
      </c>
    </row>
    <row r="1980" spans="1:3" x14ac:dyDescent="0.25">
      <c r="A1980" s="279">
        <v>39290</v>
      </c>
      <c r="B1980" t="s">
        <v>344</v>
      </c>
      <c r="C1980" t="s">
        <v>249</v>
      </c>
    </row>
    <row r="1981" spans="1:3" x14ac:dyDescent="0.25">
      <c r="A1981" s="279">
        <v>39290</v>
      </c>
      <c r="B1981" t="s">
        <v>345</v>
      </c>
      <c r="C1981" t="s">
        <v>315</v>
      </c>
    </row>
    <row r="1982" spans="1:3" x14ac:dyDescent="0.25">
      <c r="A1982" s="279">
        <v>39291</v>
      </c>
      <c r="B1982" t="s">
        <v>340</v>
      </c>
      <c r="C1982">
        <v>2.2000000000000002</v>
      </c>
    </row>
    <row r="1983" spans="1:3" x14ac:dyDescent="0.25">
      <c r="A1983" s="279">
        <v>39291</v>
      </c>
      <c r="B1983" t="s">
        <v>341</v>
      </c>
      <c r="C1983">
        <v>96</v>
      </c>
    </row>
    <row r="1984" spans="1:3" x14ac:dyDescent="0.25">
      <c r="A1984" s="279">
        <v>39291</v>
      </c>
      <c r="B1984" t="s">
        <v>342</v>
      </c>
      <c r="C1984">
        <v>77</v>
      </c>
    </row>
    <row r="1985" spans="1:3" x14ac:dyDescent="0.25">
      <c r="A1985" s="279">
        <v>39291</v>
      </c>
      <c r="B1985" t="s">
        <v>343</v>
      </c>
      <c r="C1985">
        <v>85</v>
      </c>
    </row>
    <row r="1986" spans="1:3" x14ac:dyDescent="0.25">
      <c r="A1986" s="279">
        <v>39291</v>
      </c>
      <c r="B1986" t="s">
        <v>344</v>
      </c>
      <c r="C1986" t="s">
        <v>246</v>
      </c>
    </row>
    <row r="1987" spans="1:3" x14ac:dyDescent="0.25">
      <c r="A1987" s="279">
        <v>39291</v>
      </c>
      <c r="B1987" t="s">
        <v>345</v>
      </c>
      <c r="C1987" t="s">
        <v>315</v>
      </c>
    </row>
    <row r="1988" spans="1:3" x14ac:dyDescent="0.25">
      <c r="A1988" s="279">
        <v>39292</v>
      </c>
      <c r="B1988" t="s">
        <v>340</v>
      </c>
      <c r="C1988">
        <v>2.1</v>
      </c>
    </row>
    <row r="1989" spans="1:3" x14ac:dyDescent="0.25">
      <c r="A1989" s="279">
        <v>39292</v>
      </c>
      <c r="B1989" t="s">
        <v>341</v>
      </c>
      <c r="C1989">
        <v>89</v>
      </c>
    </row>
    <row r="1990" spans="1:3" x14ac:dyDescent="0.25">
      <c r="A1990" s="279">
        <v>39292</v>
      </c>
      <c r="B1990" t="s">
        <v>342</v>
      </c>
      <c r="C1990">
        <v>75</v>
      </c>
    </row>
    <row r="1991" spans="1:3" x14ac:dyDescent="0.25">
      <c r="A1991" s="279">
        <v>39292</v>
      </c>
      <c r="B1991" t="s">
        <v>343</v>
      </c>
      <c r="C1991">
        <v>79</v>
      </c>
    </row>
    <row r="1992" spans="1:3" x14ac:dyDescent="0.25">
      <c r="A1992" s="279">
        <v>39292</v>
      </c>
      <c r="B1992" t="s">
        <v>344</v>
      </c>
      <c r="C1992" t="s">
        <v>240</v>
      </c>
    </row>
    <row r="1993" spans="1:3" x14ac:dyDescent="0.25">
      <c r="A1993" s="279">
        <v>39292</v>
      </c>
      <c r="B1993" t="s">
        <v>345</v>
      </c>
      <c r="C1993" t="s">
        <v>316</v>
      </c>
    </row>
    <row r="1994" spans="1:3" x14ac:dyDescent="0.25">
      <c r="A1994" s="279">
        <v>39293</v>
      </c>
      <c r="B1994" t="s">
        <v>340</v>
      </c>
      <c r="C1994">
        <v>2.9</v>
      </c>
    </row>
    <row r="1995" spans="1:3" x14ac:dyDescent="0.25">
      <c r="A1995" s="279">
        <v>39293</v>
      </c>
      <c r="B1995" t="s">
        <v>341</v>
      </c>
      <c r="C1995">
        <v>93</v>
      </c>
    </row>
    <row r="1996" spans="1:3" x14ac:dyDescent="0.25">
      <c r="A1996" s="279">
        <v>39293</v>
      </c>
      <c r="B1996" t="s">
        <v>342</v>
      </c>
      <c r="C1996">
        <v>75</v>
      </c>
    </row>
    <row r="1997" spans="1:3" x14ac:dyDescent="0.25">
      <c r="A1997" s="279">
        <v>39293</v>
      </c>
      <c r="B1997" t="s">
        <v>343</v>
      </c>
      <c r="C1997">
        <v>81</v>
      </c>
    </row>
    <row r="1998" spans="1:3" x14ac:dyDescent="0.25">
      <c r="A1998" s="279">
        <v>39293</v>
      </c>
      <c r="B1998" t="s">
        <v>344</v>
      </c>
      <c r="C1998" t="s">
        <v>246</v>
      </c>
    </row>
    <row r="1999" spans="1:3" x14ac:dyDescent="0.25">
      <c r="A1999" s="279">
        <v>39293</v>
      </c>
      <c r="B1999" t="s">
        <v>345</v>
      </c>
      <c r="C1999" t="s">
        <v>317</v>
      </c>
    </row>
    <row r="2000" spans="1:3" x14ac:dyDescent="0.25">
      <c r="A2000" s="279">
        <v>39294</v>
      </c>
      <c r="B2000" t="s">
        <v>340</v>
      </c>
      <c r="C2000">
        <v>3.9</v>
      </c>
    </row>
    <row r="2001" spans="1:3" x14ac:dyDescent="0.25">
      <c r="A2001" s="279">
        <v>39294</v>
      </c>
      <c r="B2001" t="s">
        <v>341</v>
      </c>
      <c r="C2001">
        <v>93</v>
      </c>
    </row>
    <row r="2002" spans="1:3" x14ac:dyDescent="0.25">
      <c r="A2002" s="279">
        <v>39294</v>
      </c>
      <c r="B2002" t="s">
        <v>342</v>
      </c>
      <c r="C2002">
        <v>77</v>
      </c>
    </row>
    <row r="2003" spans="1:3" x14ac:dyDescent="0.25">
      <c r="A2003" s="279">
        <v>39294</v>
      </c>
      <c r="B2003" t="s">
        <v>343</v>
      </c>
      <c r="C2003">
        <v>85</v>
      </c>
    </row>
    <row r="2004" spans="1:3" x14ac:dyDescent="0.25">
      <c r="A2004" s="279">
        <v>39294</v>
      </c>
      <c r="B2004" t="s">
        <v>344</v>
      </c>
      <c r="C2004" t="s">
        <v>246</v>
      </c>
    </row>
    <row r="2005" spans="1:3" x14ac:dyDescent="0.25">
      <c r="A2005" s="279">
        <v>39294</v>
      </c>
      <c r="B2005" t="s">
        <v>345</v>
      </c>
      <c r="C2005" t="s">
        <v>243</v>
      </c>
    </row>
    <row r="2006" spans="1:3" x14ac:dyDescent="0.25">
      <c r="A2006" s="279">
        <v>39295</v>
      </c>
      <c r="B2006" t="s">
        <v>340</v>
      </c>
      <c r="C2006">
        <v>2.5</v>
      </c>
    </row>
    <row r="2007" spans="1:3" x14ac:dyDescent="0.25">
      <c r="A2007" s="279">
        <v>39295</v>
      </c>
      <c r="B2007" t="s">
        <v>341</v>
      </c>
      <c r="C2007">
        <v>99</v>
      </c>
    </row>
    <row r="2008" spans="1:3" x14ac:dyDescent="0.25">
      <c r="A2008" s="279">
        <v>39295</v>
      </c>
      <c r="B2008" t="s">
        <v>342</v>
      </c>
      <c r="C2008">
        <v>80</v>
      </c>
    </row>
    <row r="2009" spans="1:3" x14ac:dyDescent="0.25">
      <c r="A2009" s="279">
        <v>39295</v>
      </c>
      <c r="B2009" t="s">
        <v>343</v>
      </c>
      <c r="C2009">
        <v>88</v>
      </c>
    </row>
    <row r="2010" spans="1:3" x14ac:dyDescent="0.25">
      <c r="A2010" s="279">
        <v>39295</v>
      </c>
      <c r="B2010" t="s">
        <v>344</v>
      </c>
      <c r="C2010" t="s">
        <v>237</v>
      </c>
    </row>
    <row r="2011" spans="1:3" x14ac:dyDescent="0.25">
      <c r="A2011" s="279">
        <v>39295</v>
      </c>
      <c r="B2011" t="s">
        <v>345</v>
      </c>
      <c r="C2011" t="s">
        <v>318</v>
      </c>
    </row>
    <row r="2012" spans="1:3" x14ac:dyDescent="0.25">
      <c r="A2012" s="279">
        <v>39296</v>
      </c>
      <c r="B2012" t="s">
        <v>340</v>
      </c>
      <c r="C2012">
        <v>4.5999999999999996</v>
      </c>
    </row>
    <row r="2013" spans="1:3" x14ac:dyDescent="0.25">
      <c r="A2013" s="279">
        <v>39296</v>
      </c>
      <c r="B2013" t="s">
        <v>341</v>
      </c>
      <c r="C2013">
        <v>101</v>
      </c>
    </row>
    <row r="2014" spans="1:3" x14ac:dyDescent="0.25">
      <c r="A2014" s="279">
        <v>39296</v>
      </c>
      <c r="B2014" t="s">
        <v>342</v>
      </c>
      <c r="C2014">
        <v>78</v>
      </c>
    </row>
    <row r="2015" spans="1:3" x14ac:dyDescent="0.25">
      <c r="A2015" s="279">
        <v>39296</v>
      </c>
      <c r="B2015" t="s">
        <v>343</v>
      </c>
      <c r="C2015">
        <v>89</v>
      </c>
    </row>
    <row r="2016" spans="1:3" x14ac:dyDescent="0.25">
      <c r="A2016" s="279">
        <v>39296</v>
      </c>
      <c r="B2016" t="s">
        <v>344</v>
      </c>
      <c r="C2016" t="s">
        <v>245</v>
      </c>
    </row>
    <row r="2017" spans="1:3" x14ac:dyDescent="0.25">
      <c r="A2017" s="279">
        <v>39296</v>
      </c>
      <c r="B2017" t="s">
        <v>345</v>
      </c>
      <c r="C2017" t="s">
        <v>318</v>
      </c>
    </row>
    <row r="2018" spans="1:3" x14ac:dyDescent="0.25">
      <c r="A2018" s="279">
        <v>39297</v>
      </c>
      <c r="B2018" t="s">
        <v>340</v>
      </c>
      <c r="C2018">
        <v>4.5999999999999996</v>
      </c>
    </row>
    <row r="2019" spans="1:3" x14ac:dyDescent="0.25">
      <c r="A2019" s="279">
        <v>39297</v>
      </c>
      <c r="B2019" t="s">
        <v>341</v>
      </c>
      <c r="C2019">
        <v>99</v>
      </c>
    </row>
    <row r="2020" spans="1:3" x14ac:dyDescent="0.25">
      <c r="A2020" s="279">
        <v>39297</v>
      </c>
      <c r="B2020" t="s">
        <v>342</v>
      </c>
      <c r="C2020">
        <v>78</v>
      </c>
    </row>
    <row r="2021" spans="1:3" x14ac:dyDescent="0.25">
      <c r="A2021" s="279">
        <v>39297</v>
      </c>
      <c r="B2021" t="s">
        <v>343</v>
      </c>
      <c r="C2021">
        <v>88</v>
      </c>
    </row>
    <row r="2022" spans="1:3" x14ac:dyDescent="0.25">
      <c r="A2022" s="279">
        <v>39297</v>
      </c>
      <c r="B2022" t="s">
        <v>344</v>
      </c>
      <c r="C2022" t="s">
        <v>245</v>
      </c>
    </row>
    <row r="2023" spans="1:3" x14ac:dyDescent="0.25">
      <c r="A2023" s="279">
        <v>39297</v>
      </c>
      <c r="B2023" t="s">
        <v>345</v>
      </c>
      <c r="C2023" t="s">
        <v>318</v>
      </c>
    </row>
    <row r="2024" spans="1:3" x14ac:dyDescent="0.25">
      <c r="A2024" s="279">
        <v>39298</v>
      </c>
      <c r="B2024" t="s">
        <v>340</v>
      </c>
      <c r="C2024">
        <v>4.4000000000000004</v>
      </c>
    </row>
    <row r="2025" spans="1:3" x14ac:dyDescent="0.25">
      <c r="A2025" s="279">
        <v>39298</v>
      </c>
      <c r="B2025" t="s">
        <v>341</v>
      </c>
      <c r="C2025">
        <v>99</v>
      </c>
    </row>
    <row r="2026" spans="1:3" x14ac:dyDescent="0.25">
      <c r="A2026" s="279">
        <v>39298</v>
      </c>
      <c r="B2026" t="s">
        <v>342</v>
      </c>
      <c r="C2026">
        <v>74</v>
      </c>
    </row>
    <row r="2027" spans="1:3" x14ac:dyDescent="0.25">
      <c r="A2027" s="279">
        <v>39298</v>
      </c>
      <c r="B2027" t="s">
        <v>343</v>
      </c>
      <c r="C2027">
        <v>87</v>
      </c>
    </row>
    <row r="2028" spans="1:3" x14ac:dyDescent="0.25">
      <c r="A2028" s="279">
        <v>39298</v>
      </c>
      <c r="B2028" t="s">
        <v>344</v>
      </c>
      <c r="C2028" t="s">
        <v>240</v>
      </c>
    </row>
    <row r="2029" spans="1:3" x14ac:dyDescent="0.25">
      <c r="A2029" s="279">
        <v>39298</v>
      </c>
      <c r="B2029" t="s">
        <v>345</v>
      </c>
      <c r="C2029" t="s">
        <v>318</v>
      </c>
    </row>
    <row r="2030" spans="1:3" x14ac:dyDescent="0.25">
      <c r="A2030" s="279">
        <v>39299</v>
      </c>
      <c r="B2030" t="s">
        <v>340</v>
      </c>
      <c r="C2030">
        <v>2.7</v>
      </c>
    </row>
    <row r="2031" spans="1:3" x14ac:dyDescent="0.25">
      <c r="A2031" s="279">
        <v>39299</v>
      </c>
      <c r="B2031" t="s">
        <v>341</v>
      </c>
      <c r="C2031">
        <v>95</v>
      </c>
    </row>
    <row r="2032" spans="1:3" x14ac:dyDescent="0.25">
      <c r="A2032" s="279">
        <v>39299</v>
      </c>
      <c r="B2032" t="s">
        <v>342</v>
      </c>
      <c r="C2032">
        <v>74</v>
      </c>
    </row>
    <row r="2033" spans="1:3" x14ac:dyDescent="0.25">
      <c r="A2033" s="279">
        <v>39299</v>
      </c>
      <c r="B2033" t="s">
        <v>343</v>
      </c>
      <c r="C2033">
        <v>81</v>
      </c>
    </row>
    <row r="2034" spans="1:3" x14ac:dyDescent="0.25">
      <c r="A2034" s="279">
        <v>39299</v>
      </c>
      <c r="B2034" t="s">
        <v>344</v>
      </c>
      <c r="C2034" t="s">
        <v>249</v>
      </c>
    </row>
    <row r="2035" spans="1:3" x14ac:dyDescent="0.25">
      <c r="A2035" s="279">
        <v>39299</v>
      </c>
      <c r="B2035" t="s">
        <v>345</v>
      </c>
      <c r="C2035" t="s">
        <v>253</v>
      </c>
    </row>
    <row r="2036" spans="1:3" x14ac:dyDescent="0.25">
      <c r="A2036" s="279">
        <v>39300</v>
      </c>
      <c r="B2036" t="s">
        <v>340</v>
      </c>
      <c r="C2036">
        <v>3.3</v>
      </c>
    </row>
    <row r="2037" spans="1:3" x14ac:dyDescent="0.25">
      <c r="A2037" s="279">
        <v>39300</v>
      </c>
      <c r="B2037" t="s">
        <v>341</v>
      </c>
      <c r="C2037">
        <v>91</v>
      </c>
    </row>
    <row r="2038" spans="1:3" x14ac:dyDescent="0.25">
      <c r="A2038" s="279">
        <v>39300</v>
      </c>
      <c r="B2038" t="s">
        <v>342</v>
      </c>
      <c r="C2038">
        <v>80</v>
      </c>
    </row>
    <row r="2039" spans="1:3" x14ac:dyDescent="0.25">
      <c r="A2039" s="279">
        <v>39300</v>
      </c>
      <c r="B2039" t="s">
        <v>343</v>
      </c>
      <c r="C2039">
        <v>85</v>
      </c>
    </row>
    <row r="2040" spans="1:3" x14ac:dyDescent="0.25">
      <c r="A2040" s="279">
        <v>39300</v>
      </c>
      <c r="B2040" t="s">
        <v>344</v>
      </c>
      <c r="C2040" t="s">
        <v>245</v>
      </c>
    </row>
    <row r="2041" spans="1:3" x14ac:dyDescent="0.25">
      <c r="A2041" s="279">
        <v>39300</v>
      </c>
      <c r="B2041" t="s">
        <v>345</v>
      </c>
      <c r="C2041" t="s">
        <v>319</v>
      </c>
    </row>
    <row r="2042" spans="1:3" x14ac:dyDescent="0.25">
      <c r="A2042" s="279">
        <v>39301</v>
      </c>
      <c r="B2042" t="s">
        <v>340</v>
      </c>
      <c r="C2042">
        <v>3.7</v>
      </c>
    </row>
    <row r="2043" spans="1:3" x14ac:dyDescent="0.25">
      <c r="A2043" s="279">
        <v>39301</v>
      </c>
      <c r="B2043" t="s">
        <v>341</v>
      </c>
      <c r="C2043">
        <v>98</v>
      </c>
    </row>
    <row r="2044" spans="1:3" x14ac:dyDescent="0.25">
      <c r="A2044" s="279">
        <v>39301</v>
      </c>
      <c r="B2044" t="s">
        <v>342</v>
      </c>
      <c r="C2044">
        <v>83</v>
      </c>
    </row>
    <row r="2045" spans="1:3" x14ac:dyDescent="0.25">
      <c r="A2045" s="279">
        <v>39301</v>
      </c>
      <c r="B2045" t="s">
        <v>343</v>
      </c>
      <c r="C2045">
        <v>90</v>
      </c>
    </row>
    <row r="2046" spans="1:3" x14ac:dyDescent="0.25">
      <c r="A2046" s="279">
        <v>39301</v>
      </c>
      <c r="B2046" t="s">
        <v>344</v>
      </c>
      <c r="C2046" t="s">
        <v>252</v>
      </c>
    </row>
    <row r="2047" spans="1:3" x14ac:dyDescent="0.25">
      <c r="A2047" s="279">
        <v>39301</v>
      </c>
      <c r="B2047" t="s">
        <v>345</v>
      </c>
      <c r="C2047" t="s">
        <v>317</v>
      </c>
    </row>
    <row r="2048" spans="1:3" x14ac:dyDescent="0.25">
      <c r="A2048" s="279">
        <v>39302</v>
      </c>
      <c r="B2048" t="s">
        <v>340</v>
      </c>
      <c r="C2048">
        <v>5.7</v>
      </c>
    </row>
    <row r="2049" spans="1:3" x14ac:dyDescent="0.25">
      <c r="A2049" s="279">
        <v>39302</v>
      </c>
      <c r="B2049" t="s">
        <v>341</v>
      </c>
      <c r="C2049">
        <v>101</v>
      </c>
    </row>
    <row r="2050" spans="1:3" x14ac:dyDescent="0.25">
      <c r="A2050" s="279">
        <v>39302</v>
      </c>
      <c r="B2050" t="s">
        <v>342</v>
      </c>
      <c r="C2050">
        <v>81</v>
      </c>
    </row>
    <row r="2051" spans="1:3" x14ac:dyDescent="0.25">
      <c r="A2051" s="279">
        <v>39302</v>
      </c>
      <c r="B2051" t="s">
        <v>343</v>
      </c>
      <c r="C2051">
        <v>92</v>
      </c>
    </row>
    <row r="2052" spans="1:3" x14ac:dyDescent="0.25">
      <c r="A2052" s="279">
        <v>39302</v>
      </c>
      <c r="B2052" t="s">
        <v>344</v>
      </c>
      <c r="C2052" t="s">
        <v>242</v>
      </c>
    </row>
    <row r="2053" spans="1:3" x14ac:dyDescent="0.25">
      <c r="A2053" s="279">
        <v>39302</v>
      </c>
      <c r="B2053" t="s">
        <v>345</v>
      </c>
      <c r="C2053" t="s">
        <v>317</v>
      </c>
    </row>
    <row r="2054" spans="1:3" x14ac:dyDescent="0.25">
      <c r="A2054" s="279">
        <v>39303</v>
      </c>
      <c r="B2054" t="s">
        <v>340</v>
      </c>
      <c r="C2054">
        <v>2.4</v>
      </c>
    </row>
    <row r="2055" spans="1:3" x14ac:dyDescent="0.25">
      <c r="A2055" s="279">
        <v>39303</v>
      </c>
      <c r="B2055" t="s">
        <v>341</v>
      </c>
      <c r="C2055">
        <v>96</v>
      </c>
    </row>
    <row r="2056" spans="1:3" x14ac:dyDescent="0.25">
      <c r="A2056" s="279">
        <v>39303</v>
      </c>
      <c r="B2056" t="s">
        <v>342</v>
      </c>
      <c r="C2056">
        <v>75</v>
      </c>
    </row>
    <row r="2057" spans="1:3" x14ac:dyDescent="0.25">
      <c r="A2057" s="279">
        <v>39303</v>
      </c>
      <c r="B2057" t="s">
        <v>343</v>
      </c>
      <c r="C2057">
        <v>81</v>
      </c>
    </row>
    <row r="2058" spans="1:3" x14ac:dyDescent="0.25">
      <c r="A2058" s="279">
        <v>39303</v>
      </c>
      <c r="B2058" t="s">
        <v>344</v>
      </c>
      <c r="C2058" t="s">
        <v>237</v>
      </c>
    </row>
    <row r="2059" spans="1:3" x14ac:dyDescent="0.25">
      <c r="A2059" s="279">
        <v>39303</v>
      </c>
      <c r="B2059" t="s">
        <v>345</v>
      </c>
      <c r="C2059" t="s">
        <v>310</v>
      </c>
    </row>
    <row r="2060" spans="1:3" x14ac:dyDescent="0.25">
      <c r="A2060" s="279">
        <v>39304</v>
      </c>
      <c r="B2060" t="s">
        <v>340</v>
      </c>
      <c r="C2060">
        <v>7.4</v>
      </c>
    </row>
    <row r="2061" spans="1:3" x14ac:dyDescent="0.25">
      <c r="A2061" s="279">
        <v>39304</v>
      </c>
      <c r="B2061" t="s">
        <v>341</v>
      </c>
      <c r="C2061">
        <v>93</v>
      </c>
    </row>
    <row r="2062" spans="1:3" x14ac:dyDescent="0.25">
      <c r="A2062" s="279">
        <v>39304</v>
      </c>
      <c r="B2062" t="s">
        <v>342</v>
      </c>
      <c r="C2062">
        <v>62</v>
      </c>
    </row>
    <row r="2063" spans="1:3" x14ac:dyDescent="0.25">
      <c r="A2063" s="279">
        <v>39304</v>
      </c>
      <c r="B2063" t="s">
        <v>343</v>
      </c>
      <c r="C2063">
        <v>71</v>
      </c>
    </row>
    <row r="2064" spans="1:3" x14ac:dyDescent="0.25">
      <c r="A2064" s="279">
        <v>39304</v>
      </c>
      <c r="B2064" t="s">
        <v>344</v>
      </c>
      <c r="C2064" t="s">
        <v>246</v>
      </c>
    </row>
    <row r="2065" spans="1:3" x14ac:dyDescent="0.25">
      <c r="A2065" s="279">
        <v>39304</v>
      </c>
      <c r="B2065" t="s">
        <v>345</v>
      </c>
      <c r="C2065" t="s">
        <v>310</v>
      </c>
    </row>
    <row r="2066" spans="1:3" x14ac:dyDescent="0.25">
      <c r="A2066" s="279">
        <v>39305</v>
      </c>
      <c r="B2066" t="s">
        <v>340</v>
      </c>
      <c r="C2066">
        <v>2.8</v>
      </c>
    </row>
    <row r="2067" spans="1:3" x14ac:dyDescent="0.25">
      <c r="A2067" s="279">
        <v>39305</v>
      </c>
      <c r="B2067" t="s">
        <v>341</v>
      </c>
      <c r="C2067">
        <v>89</v>
      </c>
    </row>
    <row r="2068" spans="1:3" x14ac:dyDescent="0.25">
      <c r="A2068" s="279">
        <v>39305</v>
      </c>
      <c r="B2068" t="s">
        <v>342</v>
      </c>
      <c r="C2068">
        <v>70</v>
      </c>
    </row>
    <row r="2069" spans="1:3" x14ac:dyDescent="0.25">
      <c r="A2069" s="279">
        <v>39305</v>
      </c>
      <c r="B2069" t="s">
        <v>343</v>
      </c>
      <c r="C2069">
        <v>78</v>
      </c>
    </row>
    <row r="2070" spans="1:3" x14ac:dyDescent="0.25">
      <c r="A2070" s="279">
        <v>39305</v>
      </c>
      <c r="B2070" t="s">
        <v>344</v>
      </c>
      <c r="C2070" t="s">
        <v>246</v>
      </c>
    </row>
    <row r="2071" spans="1:3" x14ac:dyDescent="0.25">
      <c r="A2071" s="279">
        <v>39305</v>
      </c>
      <c r="B2071" t="s">
        <v>345</v>
      </c>
      <c r="C2071" t="s">
        <v>320</v>
      </c>
    </row>
    <row r="2072" spans="1:3" x14ac:dyDescent="0.25">
      <c r="A2072" s="279">
        <v>39306</v>
      </c>
      <c r="B2072" t="s">
        <v>340</v>
      </c>
      <c r="C2072">
        <v>3.6</v>
      </c>
    </row>
    <row r="2073" spans="1:3" x14ac:dyDescent="0.25">
      <c r="A2073" s="279">
        <v>39306</v>
      </c>
      <c r="B2073" t="s">
        <v>341</v>
      </c>
      <c r="C2073">
        <v>96</v>
      </c>
    </row>
    <row r="2074" spans="1:3" x14ac:dyDescent="0.25">
      <c r="A2074" s="279">
        <v>39306</v>
      </c>
      <c r="B2074" t="s">
        <v>342</v>
      </c>
      <c r="C2074">
        <v>77</v>
      </c>
    </row>
    <row r="2075" spans="1:3" x14ac:dyDescent="0.25">
      <c r="A2075" s="279">
        <v>39306</v>
      </c>
      <c r="B2075" t="s">
        <v>343</v>
      </c>
      <c r="C2075">
        <v>85</v>
      </c>
    </row>
    <row r="2076" spans="1:3" x14ac:dyDescent="0.25">
      <c r="A2076" s="279">
        <v>39306</v>
      </c>
      <c r="B2076" t="s">
        <v>344</v>
      </c>
      <c r="C2076" t="s">
        <v>242</v>
      </c>
    </row>
    <row r="2077" spans="1:3" x14ac:dyDescent="0.25">
      <c r="A2077" s="279">
        <v>39306</v>
      </c>
      <c r="B2077" t="s">
        <v>345</v>
      </c>
      <c r="C2077" t="s">
        <v>243</v>
      </c>
    </row>
    <row r="2078" spans="1:3" x14ac:dyDescent="0.25">
      <c r="A2078" s="279">
        <v>39307</v>
      </c>
      <c r="B2078" t="s">
        <v>340</v>
      </c>
      <c r="C2078">
        <v>6.5</v>
      </c>
    </row>
    <row r="2079" spans="1:3" x14ac:dyDescent="0.25">
      <c r="A2079" s="279">
        <v>39307</v>
      </c>
      <c r="B2079" t="s">
        <v>341</v>
      </c>
      <c r="C2079">
        <v>93</v>
      </c>
    </row>
    <row r="2080" spans="1:3" x14ac:dyDescent="0.25">
      <c r="A2080" s="279">
        <v>39307</v>
      </c>
      <c r="B2080" t="s">
        <v>342</v>
      </c>
      <c r="C2080">
        <v>70</v>
      </c>
    </row>
    <row r="2081" spans="1:3" x14ac:dyDescent="0.25">
      <c r="A2081" s="279">
        <v>39307</v>
      </c>
      <c r="B2081" t="s">
        <v>343</v>
      </c>
      <c r="C2081">
        <v>82</v>
      </c>
    </row>
    <row r="2082" spans="1:3" x14ac:dyDescent="0.25">
      <c r="A2082" s="279">
        <v>39307</v>
      </c>
      <c r="B2082" t="s">
        <v>344</v>
      </c>
      <c r="C2082" t="s">
        <v>240</v>
      </c>
    </row>
    <row r="2083" spans="1:3" x14ac:dyDescent="0.25">
      <c r="A2083" s="279">
        <v>39307</v>
      </c>
      <c r="B2083" t="s">
        <v>345</v>
      </c>
      <c r="C2083" t="s">
        <v>243</v>
      </c>
    </row>
    <row r="2084" spans="1:3" x14ac:dyDescent="0.25">
      <c r="A2084" s="279">
        <v>39308</v>
      </c>
      <c r="B2084" t="s">
        <v>340</v>
      </c>
      <c r="C2084">
        <v>3.2</v>
      </c>
    </row>
    <row r="2085" spans="1:3" x14ac:dyDescent="0.25">
      <c r="A2085" s="279">
        <v>39308</v>
      </c>
      <c r="B2085" t="s">
        <v>341</v>
      </c>
      <c r="C2085">
        <v>92</v>
      </c>
    </row>
    <row r="2086" spans="1:3" x14ac:dyDescent="0.25">
      <c r="A2086" s="279">
        <v>39308</v>
      </c>
      <c r="B2086" t="s">
        <v>342</v>
      </c>
      <c r="C2086">
        <v>70</v>
      </c>
    </row>
    <row r="2087" spans="1:3" x14ac:dyDescent="0.25">
      <c r="A2087" s="279">
        <v>39308</v>
      </c>
      <c r="B2087" t="s">
        <v>343</v>
      </c>
      <c r="C2087">
        <v>80</v>
      </c>
    </row>
    <row r="2088" spans="1:3" x14ac:dyDescent="0.25">
      <c r="A2088" s="279">
        <v>39308</v>
      </c>
      <c r="B2088" t="s">
        <v>344</v>
      </c>
      <c r="C2088" t="s">
        <v>240</v>
      </c>
    </row>
    <row r="2089" spans="1:3" x14ac:dyDescent="0.25">
      <c r="A2089" s="279">
        <v>39308</v>
      </c>
      <c r="B2089" t="s">
        <v>345</v>
      </c>
      <c r="C2089" t="s">
        <v>243</v>
      </c>
    </row>
    <row r="2090" spans="1:3" x14ac:dyDescent="0.25">
      <c r="A2090" s="279">
        <v>39309</v>
      </c>
      <c r="B2090" t="s">
        <v>340</v>
      </c>
      <c r="C2090">
        <v>3.9</v>
      </c>
    </row>
    <row r="2091" spans="1:3" x14ac:dyDescent="0.25">
      <c r="A2091" s="279">
        <v>39309</v>
      </c>
      <c r="B2091" t="s">
        <v>341</v>
      </c>
      <c r="C2091">
        <v>94</v>
      </c>
    </row>
    <row r="2092" spans="1:3" x14ac:dyDescent="0.25">
      <c r="A2092" s="279">
        <v>39309</v>
      </c>
      <c r="B2092" t="s">
        <v>342</v>
      </c>
      <c r="C2092">
        <v>79</v>
      </c>
    </row>
    <row r="2093" spans="1:3" x14ac:dyDescent="0.25">
      <c r="A2093" s="279">
        <v>39309</v>
      </c>
      <c r="B2093" t="s">
        <v>343</v>
      </c>
      <c r="C2093">
        <v>86</v>
      </c>
    </row>
    <row r="2094" spans="1:3" x14ac:dyDescent="0.25">
      <c r="A2094" s="279">
        <v>39309</v>
      </c>
      <c r="B2094" t="s">
        <v>344</v>
      </c>
      <c r="C2094" t="s">
        <v>245</v>
      </c>
    </row>
    <row r="2095" spans="1:3" x14ac:dyDescent="0.25">
      <c r="A2095" s="279">
        <v>39309</v>
      </c>
      <c r="B2095" t="s">
        <v>345</v>
      </c>
      <c r="C2095" t="s">
        <v>318</v>
      </c>
    </row>
    <row r="2096" spans="1:3" x14ac:dyDescent="0.25">
      <c r="A2096" s="279">
        <v>39310</v>
      </c>
      <c r="B2096" t="s">
        <v>340</v>
      </c>
      <c r="C2096">
        <v>3.6</v>
      </c>
    </row>
    <row r="2097" spans="1:3" x14ac:dyDescent="0.25">
      <c r="A2097" s="279">
        <v>39310</v>
      </c>
      <c r="B2097" t="s">
        <v>341</v>
      </c>
      <c r="C2097">
        <v>92</v>
      </c>
    </row>
    <row r="2098" spans="1:3" x14ac:dyDescent="0.25">
      <c r="A2098" s="279">
        <v>39310</v>
      </c>
      <c r="B2098" t="s">
        <v>342</v>
      </c>
      <c r="C2098">
        <v>81</v>
      </c>
    </row>
    <row r="2099" spans="1:3" x14ac:dyDescent="0.25">
      <c r="A2099" s="279">
        <v>39310</v>
      </c>
      <c r="B2099" t="s">
        <v>343</v>
      </c>
      <c r="C2099">
        <v>85</v>
      </c>
    </row>
    <row r="2100" spans="1:3" x14ac:dyDescent="0.25">
      <c r="A2100" s="279">
        <v>39310</v>
      </c>
      <c r="B2100" t="s">
        <v>344</v>
      </c>
      <c r="C2100" t="s">
        <v>245</v>
      </c>
    </row>
    <row r="2101" spans="1:3" x14ac:dyDescent="0.25">
      <c r="A2101" s="279">
        <v>39310</v>
      </c>
      <c r="B2101" t="s">
        <v>345</v>
      </c>
      <c r="C2101" t="s">
        <v>251</v>
      </c>
    </row>
    <row r="2102" spans="1:3" x14ac:dyDescent="0.25">
      <c r="A2102" s="279">
        <v>39311</v>
      </c>
      <c r="B2102" t="s">
        <v>340</v>
      </c>
      <c r="C2102">
        <v>5.0999999999999996</v>
      </c>
    </row>
    <row r="2103" spans="1:3" x14ac:dyDescent="0.25">
      <c r="A2103" s="279">
        <v>39311</v>
      </c>
      <c r="B2103" t="s">
        <v>341</v>
      </c>
      <c r="C2103">
        <v>93</v>
      </c>
    </row>
    <row r="2104" spans="1:3" x14ac:dyDescent="0.25">
      <c r="A2104" s="279">
        <v>39311</v>
      </c>
      <c r="B2104" t="s">
        <v>342</v>
      </c>
      <c r="C2104">
        <v>65</v>
      </c>
    </row>
    <row r="2105" spans="1:3" x14ac:dyDescent="0.25">
      <c r="A2105" s="279">
        <v>39311</v>
      </c>
      <c r="B2105" t="s">
        <v>343</v>
      </c>
      <c r="C2105">
        <v>79</v>
      </c>
    </row>
    <row r="2106" spans="1:3" x14ac:dyDescent="0.25">
      <c r="A2106" s="279">
        <v>39311</v>
      </c>
      <c r="B2106" t="s">
        <v>344</v>
      </c>
      <c r="C2106" t="s">
        <v>242</v>
      </c>
    </row>
    <row r="2107" spans="1:3" x14ac:dyDescent="0.25">
      <c r="A2107" s="279">
        <v>39311</v>
      </c>
      <c r="B2107" t="s">
        <v>345</v>
      </c>
      <c r="C2107" t="s">
        <v>243</v>
      </c>
    </row>
    <row r="2108" spans="1:3" x14ac:dyDescent="0.25">
      <c r="A2108" s="279">
        <v>39312</v>
      </c>
      <c r="B2108" t="s">
        <v>340</v>
      </c>
      <c r="C2108">
        <v>3.8</v>
      </c>
    </row>
    <row r="2109" spans="1:3" x14ac:dyDescent="0.25">
      <c r="A2109" s="279">
        <v>39312</v>
      </c>
      <c r="B2109" t="s">
        <v>341</v>
      </c>
      <c r="C2109">
        <v>83</v>
      </c>
    </row>
    <row r="2110" spans="1:3" x14ac:dyDescent="0.25">
      <c r="A2110" s="279">
        <v>39312</v>
      </c>
      <c r="B2110" t="s">
        <v>342</v>
      </c>
      <c r="C2110">
        <v>67</v>
      </c>
    </row>
    <row r="2111" spans="1:3" x14ac:dyDescent="0.25">
      <c r="A2111" s="279">
        <v>39312</v>
      </c>
      <c r="B2111" t="s">
        <v>343</v>
      </c>
      <c r="C2111">
        <v>73</v>
      </c>
    </row>
    <row r="2112" spans="1:3" x14ac:dyDescent="0.25">
      <c r="A2112" s="279">
        <v>39312</v>
      </c>
      <c r="B2112" t="s">
        <v>344</v>
      </c>
      <c r="C2112" t="s">
        <v>240</v>
      </c>
    </row>
    <row r="2113" spans="1:3" x14ac:dyDescent="0.25">
      <c r="A2113" s="279">
        <v>39312</v>
      </c>
      <c r="B2113" t="s">
        <v>345</v>
      </c>
      <c r="C2113" t="s">
        <v>243</v>
      </c>
    </row>
    <row r="2114" spans="1:3" x14ac:dyDescent="0.25">
      <c r="A2114" s="279">
        <v>39313</v>
      </c>
      <c r="B2114" t="s">
        <v>340</v>
      </c>
      <c r="C2114">
        <v>3.9</v>
      </c>
    </row>
    <row r="2115" spans="1:3" x14ac:dyDescent="0.25">
      <c r="A2115" s="279">
        <v>39313</v>
      </c>
      <c r="B2115" t="s">
        <v>341</v>
      </c>
      <c r="C2115">
        <v>78</v>
      </c>
    </row>
    <row r="2116" spans="1:3" x14ac:dyDescent="0.25">
      <c r="A2116" s="279">
        <v>39313</v>
      </c>
      <c r="B2116" t="s">
        <v>342</v>
      </c>
      <c r="C2116">
        <v>63</v>
      </c>
    </row>
    <row r="2117" spans="1:3" x14ac:dyDescent="0.25">
      <c r="A2117" s="279">
        <v>39313</v>
      </c>
      <c r="B2117" t="s">
        <v>343</v>
      </c>
      <c r="C2117">
        <v>67</v>
      </c>
    </row>
    <row r="2118" spans="1:3" x14ac:dyDescent="0.25">
      <c r="A2118" s="279">
        <v>39313</v>
      </c>
      <c r="B2118" t="s">
        <v>344</v>
      </c>
      <c r="C2118" t="s">
        <v>237</v>
      </c>
    </row>
    <row r="2119" spans="1:3" x14ac:dyDescent="0.25">
      <c r="A2119" s="279">
        <v>39313</v>
      </c>
      <c r="B2119" t="s">
        <v>345</v>
      </c>
      <c r="C2119" t="s">
        <v>239</v>
      </c>
    </row>
    <row r="2120" spans="1:3" x14ac:dyDescent="0.25">
      <c r="A2120" s="279">
        <v>39314</v>
      </c>
      <c r="B2120" t="s">
        <v>340</v>
      </c>
      <c r="C2120">
        <v>4.5999999999999996</v>
      </c>
    </row>
    <row r="2121" spans="1:3" x14ac:dyDescent="0.25">
      <c r="A2121" s="279">
        <v>39314</v>
      </c>
      <c r="B2121" t="s">
        <v>341</v>
      </c>
      <c r="C2121">
        <v>69</v>
      </c>
    </row>
    <row r="2122" spans="1:3" x14ac:dyDescent="0.25">
      <c r="A2122" s="279">
        <v>39314</v>
      </c>
      <c r="B2122" t="s">
        <v>342</v>
      </c>
      <c r="C2122">
        <v>61</v>
      </c>
    </row>
    <row r="2123" spans="1:3" x14ac:dyDescent="0.25">
      <c r="A2123" s="279">
        <v>39314</v>
      </c>
      <c r="B2123" t="s">
        <v>343</v>
      </c>
      <c r="C2123">
        <v>65</v>
      </c>
    </row>
    <row r="2124" spans="1:3" x14ac:dyDescent="0.25">
      <c r="A2124" s="279">
        <v>39314</v>
      </c>
      <c r="B2124" t="s">
        <v>344</v>
      </c>
      <c r="C2124" t="s">
        <v>237</v>
      </c>
    </row>
    <row r="2125" spans="1:3" x14ac:dyDescent="0.25">
      <c r="A2125" s="279">
        <v>39314</v>
      </c>
      <c r="B2125" t="s">
        <v>345</v>
      </c>
      <c r="C2125" t="s">
        <v>310</v>
      </c>
    </row>
    <row r="2126" spans="1:3" x14ac:dyDescent="0.25">
      <c r="A2126" s="279">
        <v>39315</v>
      </c>
      <c r="B2126" t="s">
        <v>340</v>
      </c>
      <c r="C2126">
        <v>5.9</v>
      </c>
    </row>
    <row r="2127" spans="1:3" x14ac:dyDescent="0.25">
      <c r="A2127" s="279">
        <v>39315</v>
      </c>
      <c r="B2127" t="s">
        <v>341</v>
      </c>
      <c r="C2127">
        <v>65</v>
      </c>
    </row>
    <row r="2128" spans="1:3" x14ac:dyDescent="0.25">
      <c r="A2128" s="279">
        <v>39315</v>
      </c>
      <c r="B2128" t="s">
        <v>342</v>
      </c>
      <c r="C2128">
        <v>58</v>
      </c>
    </row>
    <row r="2129" spans="1:3" x14ac:dyDescent="0.25">
      <c r="A2129" s="279">
        <v>39315</v>
      </c>
      <c r="B2129" t="s">
        <v>343</v>
      </c>
      <c r="C2129">
        <v>61</v>
      </c>
    </row>
    <row r="2130" spans="1:3" x14ac:dyDescent="0.25">
      <c r="A2130" s="279">
        <v>39315</v>
      </c>
      <c r="B2130" t="s">
        <v>344</v>
      </c>
      <c r="C2130" t="s">
        <v>246</v>
      </c>
    </row>
    <row r="2131" spans="1:3" x14ac:dyDescent="0.25">
      <c r="A2131" s="279">
        <v>39315</v>
      </c>
      <c r="B2131" t="s">
        <v>345</v>
      </c>
      <c r="C2131" t="s">
        <v>310</v>
      </c>
    </row>
    <row r="2132" spans="1:3" x14ac:dyDescent="0.25">
      <c r="A2132" s="279">
        <v>39316</v>
      </c>
      <c r="B2132" t="s">
        <v>340</v>
      </c>
      <c r="C2132">
        <v>3.3</v>
      </c>
    </row>
    <row r="2133" spans="1:3" x14ac:dyDescent="0.25">
      <c r="A2133" s="279">
        <v>39316</v>
      </c>
      <c r="B2133" t="s">
        <v>341</v>
      </c>
      <c r="C2133">
        <v>70</v>
      </c>
    </row>
    <row r="2134" spans="1:3" x14ac:dyDescent="0.25">
      <c r="A2134" s="279">
        <v>39316</v>
      </c>
      <c r="B2134" t="s">
        <v>342</v>
      </c>
      <c r="C2134">
        <v>62</v>
      </c>
    </row>
    <row r="2135" spans="1:3" x14ac:dyDescent="0.25">
      <c r="A2135" s="279">
        <v>39316</v>
      </c>
      <c r="B2135" t="s">
        <v>343</v>
      </c>
      <c r="C2135">
        <v>66</v>
      </c>
    </row>
    <row r="2136" spans="1:3" x14ac:dyDescent="0.25">
      <c r="A2136" s="279">
        <v>39316</v>
      </c>
      <c r="B2136" t="s">
        <v>344</v>
      </c>
      <c r="C2136" t="s">
        <v>237</v>
      </c>
    </row>
    <row r="2137" spans="1:3" x14ac:dyDescent="0.25">
      <c r="A2137" s="279">
        <v>39316</v>
      </c>
      <c r="B2137" t="s">
        <v>345</v>
      </c>
      <c r="C2137" t="s">
        <v>321</v>
      </c>
    </row>
    <row r="2138" spans="1:3" x14ac:dyDescent="0.25">
      <c r="A2138" s="279">
        <v>39317</v>
      </c>
      <c r="B2138" t="s">
        <v>340</v>
      </c>
      <c r="C2138">
        <v>1.9</v>
      </c>
    </row>
    <row r="2139" spans="1:3" x14ac:dyDescent="0.25">
      <c r="A2139" s="279">
        <v>39317</v>
      </c>
      <c r="B2139" t="s">
        <v>341</v>
      </c>
      <c r="C2139">
        <v>85</v>
      </c>
    </row>
    <row r="2140" spans="1:3" x14ac:dyDescent="0.25">
      <c r="A2140" s="279">
        <v>39317</v>
      </c>
      <c r="B2140" t="s">
        <v>342</v>
      </c>
      <c r="C2140">
        <v>68</v>
      </c>
    </row>
    <row r="2141" spans="1:3" x14ac:dyDescent="0.25">
      <c r="A2141" s="279">
        <v>39317</v>
      </c>
      <c r="B2141" t="s">
        <v>343</v>
      </c>
      <c r="C2141">
        <v>74</v>
      </c>
    </row>
    <row r="2142" spans="1:3" x14ac:dyDescent="0.25">
      <c r="A2142" s="279">
        <v>39317</v>
      </c>
      <c r="B2142" t="s">
        <v>344</v>
      </c>
      <c r="C2142" t="s">
        <v>237</v>
      </c>
    </row>
    <row r="2143" spans="1:3" x14ac:dyDescent="0.25">
      <c r="A2143" s="279">
        <v>39317</v>
      </c>
      <c r="B2143" t="s">
        <v>345</v>
      </c>
      <c r="C2143" t="s">
        <v>322</v>
      </c>
    </row>
    <row r="2144" spans="1:3" x14ac:dyDescent="0.25">
      <c r="A2144" s="279">
        <v>39318</v>
      </c>
      <c r="B2144" t="s">
        <v>340</v>
      </c>
      <c r="C2144">
        <v>3.5</v>
      </c>
    </row>
    <row r="2145" spans="1:3" x14ac:dyDescent="0.25">
      <c r="A2145" s="279">
        <v>39318</v>
      </c>
      <c r="B2145" t="s">
        <v>341</v>
      </c>
      <c r="C2145">
        <v>89</v>
      </c>
    </row>
    <row r="2146" spans="1:3" x14ac:dyDescent="0.25">
      <c r="A2146" s="279">
        <v>39318</v>
      </c>
      <c r="B2146" t="s">
        <v>342</v>
      </c>
      <c r="C2146">
        <v>74</v>
      </c>
    </row>
    <row r="2147" spans="1:3" x14ac:dyDescent="0.25">
      <c r="A2147" s="279">
        <v>39318</v>
      </c>
      <c r="B2147" t="s">
        <v>343</v>
      </c>
      <c r="C2147">
        <v>80</v>
      </c>
    </row>
    <row r="2148" spans="1:3" x14ac:dyDescent="0.25">
      <c r="A2148" s="279">
        <v>39318</v>
      </c>
      <c r="B2148" t="s">
        <v>344</v>
      </c>
      <c r="C2148" t="s">
        <v>252</v>
      </c>
    </row>
    <row r="2149" spans="1:3" x14ac:dyDescent="0.25">
      <c r="A2149" s="279">
        <v>39318</v>
      </c>
      <c r="B2149" t="s">
        <v>345</v>
      </c>
      <c r="C2149" t="s">
        <v>241</v>
      </c>
    </row>
    <row r="2150" spans="1:3" x14ac:dyDescent="0.25">
      <c r="A2150" s="279">
        <v>39319</v>
      </c>
      <c r="B2150" t="s">
        <v>340</v>
      </c>
      <c r="C2150">
        <v>4.2</v>
      </c>
    </row>
    <row r="2151" spans="1:3" x14ac:dyDescent="0.25">
      <c r="A2151" s="279">
        <v>39319</v>
      </c>
      <c r="B2151" t="s">
        <v>341</v>
      </c>
      <c r="C2151">
        <v>98</v>
      </c>
    </row>
    <row r="2152" spans="1:3" x14ac:dyDescent="0.25">
      <c r="A2152" s="279">
        <v>39319</v>
      </c>
      <c r="B2152" t="s">
        <v>342</v>
      </c>
      <c r="C2152">
        <v>78</v>
      </c>
    </row>
    <row r="2153" spans="1:3" x14ac:dyDescent="0.25">
      <c r="A2153" s="279">
        <v>39319</v>
      </c>
      <c r="B2153" t="s">
        <v>343</v>
      </c>
      <c r="C2153">
        <v>87</v>
      </c>
    </row>
    <row r="2154" spans="1:3" x14ac:dyDescent="0.25">
      <c r="A2154" s="279">
        <v>39319</v>
      </c>
      <c r="B2154" t="s">
        <v>344</v>
      </c>
      <c r="C2154" t="s">
        <v>245</v>
      </c>
    </row>
    <row r="2155" spans="1:3" x14ac:dyDescent="0.25">
      <c r="A2155" s="279">
        <v>39319</v>
      </c>
      <c r="B2155" t="s">
        <v>345</v>
      </c>
      <c r="C2155" t="s">
        <v>317</v>
      </c>
    </row>
    <row r="2156" spans="1:3" x14ac:dyDescent="0.25">
      <c r="A2156" s="279">
        <v>39320</v>
      </c>
      <c r="B2156" t="s">
        <v>340</v>
      </c>
      <c r="C2156">
        <v>4.5</v>
      </c>
    </row>
    <row r="2157" spans="1:3" x14ac:dyDescent="0.25">
      <c r="A2157" s="279">
        <v>39320</v>
      </c>
      <c r="B2157" t="s">
        <v>341</v>
      </c>
      <c r="C2157">
        <v>89</v>
      </c>
    </row>
    <row r="2158" spans="1:3" x14ac:dyDescent="0.25">
      <c r="A2158" s="279">
        <v>39320</v>
      </c>
      <c r="B2158" t="s">
        <v>342</v>
      </c>
      <c r="C2158">
        <v>71</v>
      </c>
    </row>
    <row r="2159" spans="1:3" x14ac:dyDescent="0.25">
      <c r="A2159" s="279">
        <v>39320</v>
      </c>
      <c r="B2159" t="s">
        <v>343</v>
      </c>
      <c r="C2159">
        <v>79</v>
      </c>
    </row>
    <row r="2160" spans="1:3" x14ac:dyDescent="0.25">
      <c r="A2160" s="279">
        <v>39320</v>
      </c>
      <c r="B2160" t="s">
        <v>344</v>
      </c>
      <c r="C2160" t="s">
        <v>250</v>
      </c>
    </row>
    <row r="2161" spans="1:3" x14ac:dyDescent="0.25">
      <c r="A2161" s="279">
        <v>39320</v>
      </c>
      <c r="B2161" t="s">
        <v>345</v>
      </c>
      <c r="C2161" t="s">
        <v>323</v>
      </c>
    </row>
    <row r="2162" spans="1:3" x14ac:dyDescent="0.25">
      <c r="A2162" s="279">
        <v>39321</v>
      </c>
      <c r="B2162" t="s">
        <v>340</v>
      </c>
      <c r="C2162">
        <v>1.7</v>
      </c>
    </row>
    <row r="2163" spans="1:3" x14ac:dyDescent="0.25">
      <c r="A2163" s="279">
        <v>39321</v>
      </c>
      <c r="B2163" t="s">
        <v>341</v>
      </c>
      <c r="C2163">
        <v>93</v>
      </c>
    </row>
    <row r="2164" spans="1:3" x14ac:dyDescent="0.25">
      <c r="A2164" s="279">
        <v>39321</v>
      </c>
      <c r="B2164" t="s">
        <v>342</v>
      </c>
      <c r="C2164">
        <v>70</v>
      </c>
    </row>
    <row r="2165" spans="1:3" x14ac:dyDescent="0.25">
      <c r="A2165" s="279">
        <v>39321</v>
      </c>
      <c r="B2165" t="s">
        <v>343</v>
      </c>
      <c r="C2165">
        <v>79</v>
      </c>
    </row>
    <row r="2166" spans="1:3" x14ac:dyDescent="0.25">
      <c r="A2166" s="279">
        <v>39321</v>
      </c>
      <c r="B2166" t="s">
        <v>344</v>
      </c>
      <c r="C2166" t="s">
        <v>246</v>
      </c>
    </row>
    <row r="2167" spans="1:3" x14ac:dyDescent="0.25">
      <c r="A2167" s="279">
        <v>39321</v>
      </c>
      <c r="B2167" t="s">
        <v>345</v>
      </c>
      <c r="C2167" t="s">
        <v>320</v>
      </c>
    </row>
    <row r="2168" spans="1:3" x14ac:dyDescent="0.25">
      <c r="A2168" s="279">
        <v>39322</v>
      </c>
      <c r="B2168" t="s">
        <v>340</v>
      </c>
      <c r="C2168">
        <v>1.8</v>
      </c>
    </row>
    <row r="2169" spans="1:3" x14ac:dyDescent="0.25">
      <c r="A2169" s="279">
        <v>39322</v>
      </c>
      <c r="B2169" t="s">
        <v>341</v>
      </c>
      <c r="C2169">
        <v>94</v>
      </c>
    </row>
    <row r="2170" spans="1:3" x14ac:dyDescent="0.25">
      <c r="A2170" s="279">
        <v>39322</v>
      </c>
      <c r="B2170" t="s">
        <v>342</v>
      </c>
      <c r="C2170">
        <v>69</v>
      </c>
    </row>
    <row r="2171" spans="1:3" x14ac:dyDescent="0.25">
      <c r="A2171" s="279">
        <v>39322</v>
      </c>
      <c r="B2171" t="s">
        <v>343</v>
      </c>
      <c r="C2171">
        <v>79</v>
      </c>
    </row>
    <row r="2172" spans="1:3" x14ac:dyDescent="0.25">
      <c r="A2172" s="279">
        <v>39322</v>
      </c>
      <c r="B2172" t="s">
        <v>344</v>
      </c>
      <c r="C2172" t="s">
        <v>237</v>
      </c>
    </row>
    <row r="2173" spans="1:3" x14ac:dyDescent="0.25">
      <c r="A2173" s="279">
        <v>39322</v>
      </c>
      <c r="B2173" t="s">
        <v>345</v>
      </c>
      <c r="C2173" t="s">
        <v>320</v>
      </c>
    </row>
    <row r="2174" spans="1:3" x14ac:dyDescent="0.25">
      <c r="A2174" s="279">
        <v>39323</v>
      </c>
      <c r="B2174" t="s">
        <v>340</v>
      </c>
      <c r="C2174">
        <v>2.8</v>
      </c>
    </row>
    <row r="2175" spans="1:3" x14ac:dyDescent="0.25">
      <c r="A2175" s="279">
        <v>39323</v>
      </c>
      <c r="B2175" t="s">
        <v>341</v>
      </c>
      <c r="C2175">
        <v>94</v>
      </c>
    </row>
    <row r="2176" spans="1:3" x14ac:dyDescent="0.25">
      <c r="A2176" s="279">
        <v>39323</v>
      </c>
      <c r="B2176" t="s">
        <v>342</v>
      </c>
      <c r="C2176">
        <v>72</v>
      </c>
    </row>
    <row r="2177" spans="1:3" x14ac:dyDescent="0.25">
      <c r="A2177" s="279">
        <v>39323</v>
      </c>
      <c r="B2177" t="s">
        <v>343</v>
      </c>
      <c r="C2177">
        <v>81</v>
      </c>
    </row>
    <row r="2178" spans="1:3" x14ac:dyDescent="0.25">
      <c r="A2178" s="279">
        <v>39323</v>
      </c>
      <c r="B2178" t="s">
        <v>344</v>
      </c>
      <c r="C2178" t="s">
        <v>237</v>
      </c>
    </row>
    <row r="2179" spans="1:3" x14ac:dyDescent="0.25">
      <c r="A2179" s="279">
        <v>39323</v>
      </c>
      <c r="B2179" t="s">
        <v>345</v>
      </c>
      <c r="C2179" t="s">
        <v>320</v>
      </c>
    </row>
    <row r="2180" spans="1:3" x14ac:dyDescent="0.25">
      <c r="A2180" s="279">
        <v>39324</v>
      </c>
      <c r="B2180" t="s">
        <v>340</v>
      </c>
      <c r="C2180">
        <v>1.9</v>
      </c>
    </row>
    <row r="2181" spans="1:3" x14ac:dyDescent="0.25">
      <c r="A2181" s="279">
        <v>39324</v>
      </c>
      <c r="B2181" t="s">
        <v>341</v>
      </c>
      <c r="C2181">
        <v>93</v>
      </c>
    </row>
    <row r="2182" spans="1:3" x14ac:dyDescent="0.25">
      <c r="A2182" s="279">
        <v>39324</v>
      </c>
      <c r="B2182" t="s">
        <v>342</v>
      </c>
      <c r="C2182">
        <v>72</v>
      </c>
    </row>
    <row r="2183" spans="1:3" x14ac:dyDescent="0.25">
      <c r="A2183" s="279">
        <v>39324</v>
      </c>
      <c r="B2183" t="s">
        <v>343</v>
      </c>
      <c r="C2183">
        <v>82</v>
      </c>
    </row>
    <row r="2184" spans="1:3" x14ac:dyDescent="0.25">
      <c r="A2184" s="279">
        <v>39324</v>
      </c>
      <c r="B2184" t="s">
        <v>344</v>
      </c>
      <c r="C2184" t="s">
        <v>245</v>
      </c>
    </row>
    <row r="2185" spans="1:3" x14ac:dyDescent="0.25">
      <c r="A2185" s="279">
        <v>39324</v>
      </c>
      <c r="B2185" t="s">
        <v>345</v>
      </c>
      <c r="C2185" t="s">
        <v>320</v>
      </c>
    </row>
    <row r="2186" spans="1:3" x14ac:dyDescent="0.25">
      <c r="A2186" s="279">
        <v>39325</v>
      </c>
      <c r="B2186" t="s">
        <v>340</v>
      </c>
      <c r="C2186">
        <v>6</v>
      </c>
    </row>
    <row r="2187" spans="1:3" x14ac:dyDescent="0.25">
      <c r="A2187" s="279">
        <v>39325</v>
      </c>
      <c r="B2187" t="s">
        <v>341</v>
      </c>
      <c r="C2187">
        <v>85</v>
      </c>
    </row>
    <row r="2188" spans="1:3" x14ac:dyDescent="0.25">
      <c r="A2188" s="279">
        <v>39325</v>
      </c>
      <c r="B2188" t="s">
        <v>342</v>
      </c>
      <c r="C2188">
        <v>64</v>
      </c>
    </row>
    <row r="2189" spans="1:3" x14ac:dyDescent="0.25">
      <c r="A2189" s="279">
        <v>39325</v>
      </c>
      <c r="B2189" t="s">
        <v>343</v>
      </c>
      <c r="C2189">
        <v>76</v>
      </c>
    </row>
    <row r="2190" spans="1:3" x14ac:dyDescent="0.25">
      <c r="A2190" s="279">
        <v>39325</v>
      </c>
      <c r="B2190" t="s">
        <v>344</v>
      </c>
      <c r="C2190" t="s">
        <v>246</v>
      </c>
    </row>
    <row r="2191" spans="1:3" x14ac:dyDescent="0.25">
      <c r="A2191" s="279">
        <v>39325</v>
      </c>
      <c r="B2191" t="s">
        <v>345</v>
      </c>
      <c r="C2191" t="s">
        <v>251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5539-663F-4C5D-A4B1-FDDC73B48352}">
  <dimension ref="A1:E9856"/>
  <sheetViews>
    <sheetView workbookViewId="0">
      <selection activeCell="J30" sqref="J30"/>
    </sheetView>
  </sheetViews>
  <sheetFormatPr defaultRowHeight="15.75" x14ac:dyDescent="0.25"/>
  <cols>
    <col min="1" max="1" width="13.875" bestFit="1" customWidth="1"/>
    <col min="2" max="2" width="9.375" bestFit="1" customWidth="1"/>
    <col min="3" max="3" width="11.625" bestFit="1" customWidth="1"/>
    <col min="4" max="4" width="7.375" bestFit="1" customWidth="1"/>
    <col min="5" max="5" width="10.125" bestFit="1" customWidth="1"/>
  </cols>
  <sheetData>
    <row r="1" spans="1:5" x14ac:dyDescent="0.25">
      <c r="A1" t="s">
        <v>58</v>
      </c>
      <c r="B1" t="s">
        <v>374</v>
      </c>
      <c r="C1" t="s">
        <v>375</v>
      </c>
      <c r="D1" t="s">
        <v>376</v>
      </c>
      <c r="E1" t="s">
        <v>377</v>
      </c>
    </row>
    <row r="2" spans="1:5" x14ac:dyDescent="0.25">
      <c r="A2" s="279">
        <v>38961</v>
      </c>
      <c r="B2" t="s">
        <v>338</v>
      </c>
      <c r="C2" t="s">
        <v>59</v>
      </c>
      <c r="D2">
        <v>2600</v>
      </c>
      <c r="E2" t="s">
        <v>378</v>
      </c>
    </row>
    <row r="3" spans="1:5" x14ac:dyDescent="0.25">
      <c r="A3" s="279">
        <v>38961</v>
      </c>
      <c r="B3" t="s">
        <v>338</v>
      </c>
      <c r="C3" t="s">
        <v>60</v>
      </c>
      <c r="D3">
        <v>0</v>
      </c>
      <c r="E3" t="s">
        <v>379</v>
      </c>
    </row>
    <row r="4" spans="1:5" x14ac:dyDescent="0.25">
      <c r="A4" s="279">
        <v>38961</v>
      </c>
      <c r="B4" t="s">
        <v>338</v>
      </c>
      <c r="C4" t="s">
        <v>61</v>
      </c>
      <c r="D4">
        <v>13132</v>
      </c>
      <c r="E4" t="s">
        <v>378</v>
      </c>
    </row>
    <row r="5" spans="1:5" x14ac:dyDescent="0.25">
      <c r="A5" s="279">
        <v>38961</v>
      </c>
      <c r="B5" t="s">
        <v>338</v>
      </c>
      <c r="C5" t="s">
        <v>62</v>
      </c>
      <c r="D5">
        <v>0</v>
      </c>
      <c r="E5" t="s">
        <v>380</v>
      </c>
    </row>
    <row r="6" spans="1:5" x14ac:dyDescent="0.25">
      <c r="A6" s="279">
        <v>38961</v>
      </c>
      <c r="B6" t="s">
        <v>338</v>
      </c>
      <c r="C6" t="s">
        <v>63</v>
      </c>
      <c r="D6">
        <v>0</v>
      </c>
      <c r="E6" t="s">
        <v>378</v>
      </c>
    </row>
    <row r="7" spans="1:5" x14ac:dyDescent="0.25">
      <c r="A7" s="279">
        <v>38961</v>
      </c>
      <c r="B7" t="s">
        <v>338</v>
      </c>
      <c r="C7" t="s">
        <v>64</v>
      </c>
      <c r="D7">
        <v>0</v>
      </c>
      <c r="E7" t="s">
        <v>380</v>
      </c>
    </row>
    <row r="8" spans="1:5" x14ac:dyDescent="0.25">
      <c r="A8" s="279">
        <v>38961</v>
      </c>
      <c r="B8" t="s">
        <v>338</v>
      </c>
      <c r="C8" t="s">
        <v>65</v>
      </c>
      <c r="D8">
        <v>0</v>
      </c>
      <c r="E8" t="s">
        <v>378</v>
      </c>
    </row>
    <row r="9" spans="1:5" x14ac:dyDescent="0.25">
      <c r="A9" s="279">
        <v>38961</v>
      </c>
      <c r="B9" t="s">
        <v>338</v>
      </c>
      <c r="C9" t="s">
        <v>66</v>
      </c>
      <c r="D9">
        <v>0</v>
      </c>
      <c r="E9" t="s">
        <v>380</v>
      </c>
    </row>
    <row r="10" spans="1:5" x14ac:dyDescent="0.25">
      <c r="A10" s="279">
        <v>38961</v>
      </c>
      <c r="B10" t="s">
        <v>338</v>
      </c>
      <c r="C10" t="s">
        <v>120</v>
      </c>
      <c r="D10">
        <v>2399</v>
      </c>
      <c r="E10" t="s">
        <v>378</v>
      </c>
    </row>
    <row r="11" spans="1:5" x14ac:dyDescent="0.25">
      <c r="A11" s="279">
        <v>38961</v>
      </c>
      <c r="B11" t="s">
        <v>338</v>
      </c>
      <c r="C11" t="s">
        <v>121</v>
      </c>
      <c r="D11">
        <v>0</v>
      </c>
      <c r="E11" t="s">
        <v>380</v>
      </c>
    </row>
    <row r="12" spans="1:5" x14ac:dyDescent="0.25">
      <c r="A12" s="279">
        <v>38961</v>
      </c>
      <c r="B12" t="s">
        <v>338</v>
      </c>
      <c r="C12" t="s">
        <v>67</v>
      </c>
      <c r="D12">
        <v>0</v>
      </c>
      <c r="E12" t="s">
        <v>378</v>
      </c>
    </row>
    <row r="13" spans="1:5" x14ac:dyDescent="0.25">
      <c r="A13" s="279">
        <v>38961</v>
      </c>
      <c r="B13" t="s">
        <v>338</v>
      </c>
      <c r="C13" t="s">
        <v>68</v>
      </c>
      <c r="D13">
        <v>0</v>
      </c>
      <c r="E13" t="s">
        <v>380</v>
      </c>
    </row>
    <row r="14" spans="1:5" x14ac:dyDescent="0.25">
      <c r="A14" s="279">
        <v>38961</v>
      </c>
      <c r="B14" t="s">
        <v>338</v>
      </c>
      <c r="C14" t="s">
        <v>69</v>
      </c>
      <c r="D14">
        <v>0</v>
      </c>
      <c r="E14" t="s">
        <v>379</v>
      </c>
    </row>
    <row r="15" spans="1:5" x14ac:dyDescent="0.25">
      <c r="A15" s="279">
        <v>38961</v>
      </c>
      <c r="B15" t="s">
        <v>338</v>
      </c>
      <c r="C15" t="s">
        <v>70</v>
      </c>
      <c r="D15">
        <v>0</v>
      </c>
      <c r="E15" t="s">
        <v>379</v>
      </c>
    </row>
    <row r="16" spans="1:5" x14ac:dyDescent="0.25">
      <c r="A16" s="279">
        <v>38961</v>
      </c>
      <c r="B16" t="s">
        <v>338</v>
      </c>
      <c r="C16" t="s">
        <v>80</v>
      </c>
      <c r="D16">
        <v>148</v>
      </c>
      <c r="E16" t="s">
        <v>379</v>
      </c>
    </row>
    <row r="17" spans="1:5" x14ac:dyDescent="0.25">
      <c r="A17" s="279">
        <v>38961</v>
      </c>
      <c r="B17" t="s">
        <v>339</v>
      </c>
      <c r="C17" t="s">
        <v>71</v>
      </c>
      <c r="D17">
        <v>1826</v>
      </c>
      <c r="E17" t="s">
        <v>378</v>
      </c>
    </row>
    <row r="18" spans="1:5" x14ac:dyDescent="0.25">
      <c r="A18" s="279">
        <v>38961</v>
      </c>
      <c r="B18" t="s">
        <v>339</v>
      </c>
      <c r="C18" t="s">
        <v>72</v>
      </c>
      <c r="D18">
        <v>0</v>
      </c>
      <c r="E18" t="s">
        <v>380</v>
      </c>
    </row>
    <row r="19" spans="1:5" x14ac:dyDescent="0.25">
      <c r="A19" s="279">
        <v>38961</v>
      </c>
      <c r="B19" t="s">
        <v>339</v>
      </c>
      <c r="C19" t="s">
        <v>73</v>
      </c>
      <c r="D19">
        <v>14904</v>
      </c>
      <c r="E19" t="s">
        <v>378</v>
      </c>
    </row>
    <row r="20" spans="1:5" x14ac:dyDescent="0.25">
      <c r="A20" s="279">
        <v>38961</v>
      </c>
      <c r="B20" t="s">
        <v>339</v>
      </c>
      <c r="C20" t="s">
        <v>74</v>
      </c>
      <c r="D20">
        <v>0</v>
      </c>
      <c r="E20" t="s">
        <v>380</v>
      </c>
    </row>
    <row r="21" spans="1:5" x14ac:dyDescent="0.25">
      <c r="A21" s="279">
        <v>38961</v>
      </c>
      <c r="B21" t="s">
        <v>339</v>
      </c>
      <c r="C21" t="s">
        <v>75</v>
      </c>
      <c r="D21">
        <v>14978</v>
      </c>
      <c r="E21" t="s">
        <v>378</v>
      </c>
    </row>
    <row r="22" spans="1:5" x14ac:dyDescent="0.25">
      <c r="A22" s="279">
        <v>38961</v>
      </c>
      <c r="B22" t="s">
        <v>339</v>
      </c>
      <c r="C22" t="s">
        <v>76</v>
      </c>
      <c r="D22">
        <v>13028</v>
      </c>
      <c r="E22" t="s">
        <v>380</v>
      </c>
    </row>
    <row r="23" spans="1:5" x14ac:dyDescent="0.25">
      <c r="A23" s="279">
        <v>38961</v>
      </c>
      <c r="B23" t="s">
        <v>339</v>
      </c>
      <c r="C23" t="s">
        <v>77</v>
      </c>
      <c r="D23">
        <v>7254</v>
      </c>
      <c r="E23" t="s">
        <v>378</v>
      </c>
    </row>
    <row r="24" spans="1:5" x14ac:dyDescent="0.25">
      <c r="A24" s="279">
        <v>38961</v>
      </c>
      <c r="B24" t="s">
        <v>339</v>
      </c>
      <c r="C24" t="s">
        <v>78</v>
      </c>
      <c r="D24">
        <v>6988</v>
      </c>
      <c r="E24" t="s">
        <v>380</v>
      </c>
    </row>
    <row r="25" spans="1:5" x14ac:dyDescent="0.25">
      <c r="A25" s="279">
        <v>38961</v>
      </c>
      <c r="B25" t="s">
        <v>339</v>
      </c>
      <c r="C25" t="s">
        <v>79</v>
      </c>
      <c r="D25">
        <v>84293</v>
      </c>
      <c r="E25" t="s">
        <v>379</v>
      </c>
    </row>
    <row r="26" spans="1:5" x14ac:dyDescent="0.25">
      <c r="A26" s="279">
        <v>38961</v>
      </c>
      <c r="B26" t="s">
        <v>339</v>
      </c>
      <c r="C26" t="s">
        <v>70</v>
      </c>
      <c r="D26">
        <v>0</v>
      </c>
      <c r="E26" t="s">
        <v>379</v>
      </c>
    </row>
    <row r="27" spans="1:5" x14ac:dyDescent="0.25">
      <c r="A27" s="279">
        <v>38961</v>
      </c>
      <c r="B27" t="s">
        <v>339</v>
      </c>
      <c r="C27" t="s">
        <v>63</v>
      </c>
      <c r="D27">
        <v>17961</v>
      </c>
      <c r="E27" t="s">
        <v>378</v>
      </c>
    </row>
    <row r="28" spans="1:5" x14ac:dyDescent="0.25">
      <c r="A28" s="279">
        <v>38961</v>
      </c>
      <c r="B28" t="s">
        <v>339</v>
      </c>
      <c r="C28" t="s">
        <v>80</v>
      </c>
      <c r="D28">
        <v>717</v>
      </c>
      <c r="E28" t="s">
        <v>379</v>
      </c>
    </row>
    <row r="29" spans="1:5" x14ac:dyDescent="0.25">
      <c r="A29" s="279">
        <v>38962</v>
      </c>
      <c r="B29" t="s">
        <v>338</v>
      </c>
      <c r="C29" t="s">
        <v>59</v>
      </c>
      <c r="D29">
        <v>2605</v>
      </c>
      <c r="E29" t="s">
        <v>378</v>
      </c>
    </row>
    <row r="30" spans="1:5" x14ac:dyDescent="0.25">
      <c r="A30" s="279">
        <v>38962</v>
      </c>
      <c r="B30" t="s">
        <v>338</v>
      </c>
      <c r="C30" t="s">
        <v>60</v>
      </c>
      <c r="D30">
        <v>0</v>
      </c>
      <c r="E30" t="s">
        <v>379</v>
      </c>
    </row>
    <row r="31" spans="1:5" x14ac:dyDescent="0.25">
      <c r="A31" s="279">
        <v>38962</v>
      </c>
      <c r="B31" t="s">
        <v>338</v>
      </c>
      <c r="C31" t="s">
        <v>61</v>
      </c>
      <c r="D31">
        <v>13158</v>
      </c>
      <c r="E31" t="s">
        <v>378</v>
      </c>
    </row>
    <row r="32" spans="1:5" x14ac:dyDescent="0.25">
      <c r="A32" s="279">
        <v>38962</v>
      </c>
      <c r="B32" t="s">
        <v>338</v>
      </c>
      <c r="C32" t="s">
        <v>62</v>
      </c>
      <c r="D32">
        <v>0</v>
      </c>
      <c r="E32" t="s">
        <v>380</v>
      </c>
    </row>
    <row r="33" spans="1:5" x14ac:dyDescent="0.25">
      <c r="A33" s="279">
        <v>38962</v>
      </c>
      <c r="B33" t="s">
        <v>338</v>
      </c>
      <c r="C33" t="s">
        <v>63</v>
      </c>
      <c r="D33">
        <v>0</v>
      </c>
      <c r="E33" t="s">
        <v>378</v>
      </c>
    </row>
    <row r="34" spans="1:5" x14ac:dyDescent="0.25">
      <c r="A34" s="279">
        <v>38962</v>
      </c>
      <c r="B34" t="s">
        <v>338</v>
      </c>
      <c r="C34" t="s">
        <v>64</v>
      </c>
      <c r="D34">
        <v>0</v>
      </c>
      <c r="E34" t="s">
        <v>380</v>
      </c>
    </row>
    <row r="35" spans="1:5" x14ac:dyDescent="0.25">
      <c r="A35" s="279">
        <v>38962</v>
      </c>
      <c r="B35" t="s">
        <v>338</v>
      </c>
      <c r="C35" t="s">
        <v>65</v>
      </c>
      <c r="D35">
        <v>0</v>
      </c>
      <c r="E35" t="s">
        <v>378</v>
      </c>
    </row>
    <row r="36" spans="1:5" x14ac:dyDescent="0.25">
      <c r="A36" s="279">
        <v>38962</v>
      </c>
      <c r="B36" t="s">
        <v>338</v>
      </c>
      <c r="C36" t="s">
        <v>66</v>
      </c>
      <c r="D36">
        <v>0</v>
      </c>
      <c r="E36" t="s">
        <v>380</v>
      </c>
    </row>
    <row r="37" spans="1:5" x14ac:dyDescent="0.25">
      <c r="A37" s="279">
        <v>38962</v>
      </c>
      <c r="B37" t="s">
        <v>338</v>
      </c>
      <c r="C37" t="s">
        <v>120</v>
      </c>
      <c r="D37">
        <v>2463</v>
      </c>
      <c r="E37" t="s">
        <v>378</v>
      </c>
    </row>
    <row r="38" spans="1:5" x14ac:dyDescent="0.25">
      <c r="A38" s="279">
        <v>38962</v>
      </c>
      <c r="B38" t="s">
        <v>338</v>
      </c>
      <c r="C38" t="s">
        <v>121</v>
      </c>
      <c r="D38">
        <v>0</v>
      </c>
      <c r="E38" t="s">
        <v>380</v>
      </c>
    </row>
    <row r="39" spans="1:5" x14ac:dyDescent="0.25">
      <c r="A39" s="279">
        <v>38962</v>
      </c>
      <c r="B39" t="s">
        <v>338</v>
      </c>
      <c r="C39" t="s">
        <v>67</v>
      </c>
      <c r="D39">
        <v>0</v>
      </c>
      <c r="E39" t="s">
        <v>378</v>
      </c>
    </row>
    <row r="40" spans="1:5" x14ac:dyDescent="0.25">
      <c r="A40" s="279">
        <v>38962</v>
      </c>
      <c r="B40" t="s">
        <v>338</v>
      </c>
      <c r="C40" t="s">
        <v>68</v>
      </c>
      <c r="D40">
        <v>0</v>
      </c>
      <c r="E40" t="s">
        <v>380</v>
      </c>
    </row>
    <row r="41" spans="1:5" x14ac:dyDescent="0.25">
      <c r="A41" s="279">
        <v>38962</v>
      </c>
      <c r="B41" t="s">
        <v>338</v>
      </c>
      <c r="C41" t="s">
        <v>69</v>
      </c>
      <c r="D41">
        <v>0</v>
      </c>
      <c r="E41" t="s">
        <v>379</v>
      </c>
    </row>
    <row r="42" spans="1:5" x14ac:dyDescent="0.25">
      <c r="A42" s="279">
        <v>38962</v>
      </c>
      <c r="B42" t="s">
        <v>338</v>
      </c>
      <c r="C42" t="s">
        <v>70</v>
      </c>
      <c r="D42">
        <v>0</v>
      </c>
      <c r="E42" t="s">
        <v>379</v>
      </c>
    </row>
    <row r="43" spans="1:5" x14ac:dyDescent="0.25">
      <c r="A43" s="279">
        <v>38962</v>
      </c>
      <c r="B43" t="s">
        <v>338</v>
      </c>
      <c r="C43" t="s">
        <v>80</v>
      </c>
      <c r="D43">
        <v>149</v>
      </c>
      <c r="E43" t="s">
        <v>379</v>
      </c>
    </row>
    <row r="44" spans="1:5" x14ac:dyDescent="0.25">
      <c r="A44" s="279">
        <v>38962</v>
      </c>
      <c r="B44" t="s">
        <v>339</v>
      </c>
      <c r="C44" t="s">
        <v>71</v>
      </c>
      <c r="D44">
        <v>1831</v>
      </c>
      <c r="E44" t="s">
        <v>378</v>
      </c>
    </row>
    <row r="45" spans="1:5" x14ac:dyDescent="0.25">
      <c r="A45" s="279">
        <v>38962</v>
      </c>
      <c r="B45" t="s">
        <v>339</v>
      </c>
      <c r="C45" t="s">
        <v>72</v>
      </c>
      <c r="D45">
        <v>0</v>
      </c>
      <c r="E45" t="s">
        <v>380</v>
      </c>
    </row>
    <row r="46" spans="1:5" x14ac:dyDescent="0.25">
      <c r="A46" s="279">
        <v>38962</v>
      </c>
      <c r="B46" t="s">
        <v>339</v>
      </c>
      <c r="C46" t="s">
        <v>73</v>
      </c>
      <c r="D46">
        <v>14947</v>
      </c>
      <c r="E46" t="s">
        <v>378</v>
      </c>
    </row>
    <row r="47" spans="1:5" x14ac:dyDescent="0.25">
      <c r="A47" s="279">
        <v>38962</v>
      </c>
      <c r="B47" t="s">
        <v>339</v>
      </c>
      <c r="C47" t="s">
        <v>74</v>
      </c>
      <c r="D47">
        <v>0</v>
      </c>
      <c r="E47" t="s">
        <v>380</v>
      </c>
    </row>
    <row r="48" spans="1:5" x14ac:dyDescent="0.25">
      <c r="A48" s="279">
        <v>38962</v>
      </c>
      <c r="B48" t="s">
        <v>339</v>
      </c>
      <c r="C48" t="s">
        <v>75</v>
      </c>
      <c r="D48">
        <v>15021</v>
      </c>
      <c r="E48" t="s">
        <v>378</v>
      </c>
    </row>
    <row r="49" spans="1:5" x14ac:dyDescent="0.25">
      <c r="A49" s="279">
        <v>38962</v>
      </c>
      <c r="B49" t="s">
        <v>339</v>
      </c>
      <c r="C49" t="s">
        <v>76</v>
      </c>
      <c r="D49">
        <v>772</v>
      </c>
      <c r="E49" t="s">
        <v>380</v>
      </c>
    </row>
    <row r="50" spans="1:5" x14ac:dyDescent="0.25">
      <c r="A50" s="279">
        <v>38962</v>
      </c>
      <c r="B50" t="s">
        <v>339</v>
      </c>
      <c r="C50" t="s">
        <v>77</v>
      </c>
      <c r="D50">
        <v>7275</v>
      </c>
      <c r="E50" t="s">
        <v>378</v>
      </c>
    </row>
    <row r="51" spans="1:5" x14ac:dyDescent="0.25">
      <c r="A51" s="279">
        <v>38962</v>
      </c>
      <c r="B51" t="s">
        <v>339</v>
      </c>
      <c r="C51" t="s">
        <v>78</v>
      </c>
      <c r="D51">
        <v>7008</v>
      </c>
      <c r="E51" t="s">
        <v>380</v>
      </c>
    </row>
    <row r="52" spans="1:5" x14ac:dyDescent="0.25">
      <c r="A52" s="279">
        <v>38962</v>
      </c>
      <c r="B52" t="s">
        <v>339</v>
      </c>
      <c r="C52" t="s">
        <v>79</v>
      </c>
      <c r="D52">
        <v>95241</v>
      </c>
      <c r="E52" t="s">
        <v>379</v>
      </c>
    </row>
    <row r="53" spans="1:5" x14ac:dyDescent="0.25">
      <c r="A53" s="279">
        <v>38962</v>
      </c>
      <c r="B53" t="s">
        <v>339</v>
      </c>
      <c r="C53" t="s">
        <v>70</v>
      </c>
      <c r="D53">
        <v>0</v>
      </c>
      <c r="E53" t="s">
        <v>379</v>
      </c>
    </row>
    <row r="54" spans="1:5" x14ac:dyDescent="0.25">
      <c r="A54" s="279">
        <v>38962</v>
      </c>
      <c r="B54" t="s">
        <v>339</v>
      </c>
      <c r="C54" t="s">
        <v>63</v>
      </c>
      <c r="D54">
        <v>18013</v>
      </c>
      <c r="E54" t="s">
        <v>378</v>
      </c>
    </row>
    <row r="55" spans="1:5" x14ac:dyDescent="0.25">
      <c r="A55" s="279">
        <v>38962</v>
      </c>
      <c r="B55" t="s">
        <v>339</v>
      </c>
      <c r="C55" t="s">
        <v>80</v>
      </c>
      <c r="D55">
        <v>719</v>
      </c>
      <c r="E55" t="s">
        <v>379</v>
      </c>
    </row>
    <row r="56" spans="1:5" x14ac:dyDescent="0.25">
      <c r="A56" s="279">
        <v>38963</v>
      </c>
      <c r="B56" t="s">
        <v>338</v>
      </c>
      <c r="C56" t="s">
        <v>59</v>
      </c>
      <c r="D56">
        <v>2605</v>
      </c>
      <c r="E56" t="s">
        <v>378</v>
      </c>
    </row>
    <row r="57" spans="1:5" x14ac:dyDescent="0.25">
      <c r="A57" s="279">
        <v>38963</v>
      </c>
      <c r="B57" t="s">
        <v>338</v>
      </c>
      <c r="C57" t="s">
        <v>60</v>
      </c>
      <c r="D57">
        <v>0</v>
      </c>
      <c r="E57" t="s">
        <v>379</v>
      </c>
    </row>
    <row r="58" spans="1:5" x14ac:dyDescent="0.25">
      <c r="A58" s="279">
        <v>38963</v>
      </c>
      <c r="B58" t="s">
        <v>338</v>
      </c>
      <c r="C58" t="s">
        <v>61</v>
      </c>
      <c r="D58">
        <v>13158</v>
      </c>
      <c r="E58" t="s">
        <v>378</v>
      </c>
    </row>
    <row r="59" spans="1:5" x14ac:dyDescent="0.25">
      <c r="A59" s="279">
        <v>38963</v>
      </c>
      <c r="B59" t="s">
        <v>338</v>
      </c>
      <c r="C59" t="s">
        <v>62</v>
      </c>
      <c r="D59">
        <v>0</v>
      </c>
      <c r="E59" t="s">
        <v>380</v>
      </c>
    </row>
    <row r="60" spans="1:5" x14ac:dyDescent="0.25">
      <c r="A60" s="279">
        <v>38963</v>
      </c>
      <c r="B60" t="s">
        <v>338</v>
      </c>
      <c r="C60" t="s">
        <v>63</v>
      </c>
      <c r="D60">
        <v>0</v>
      </c>
      <c r="E60" t="s">
        <v>378</v>
      </c>
    </row>
    <row r="61" spans="1:5" x14ac:dyDescent="0.25">
      <c r="A61" s="279">
        <v>38963</v>
      </c>
      <c r="B61" t="s">
        <v>338</v>
      </c>
      <c r="C61" t="s">
        <v>64</v>
      </c>
      <c r="D61">
        <v>0</v>
      </c>
      <c r="E61" t="s">
        <v>380</v>
      </c>
    </row>
    <row r="62" spans="1:5" x14ac:dyDescent="0.25">
      <c r="A62" s="279">
        <v>38963</v>
      </c>
      <c r="B62" t="s">
        <v>338</v>
      </c>
      <c r="C62" t="s">
        <v>65</v>
      </c>
      <c r="D62">
        <v>0</v>
      </c>
      <c r="E62" t="s">
        <v>378</v>
      </c>
    </row>
    <row r="63" spans="1:5" x14ac:dyDescent="0.25">
      <c r="A63" s="279">
        <v>38963</v>
      </c>
      <c r="B63" t="s">
        <v>338</v>
      </c>
      <c r="C63" t="s">
        <v>66</v>
      </c>
      <c r="D63">
        <v>0</v>
      </c>
      <c r="E63" t="s">
        <v>380</v>
      </c>
    </row>
    <row r="64" spans="1:5" x14ac:dyDescent="0.25">
      <c r="A64" s="279">
        <v>38963</v>
      </c>
      <c r="B64" t="s">
        <v>338</v>
      </c>
      <c r="C64" t="s">
        <v>120</v>
      </c>
      <c r="D64">
        <v>2472</v>
      </c>
      <c r="E64" t="s">
        <v>378</v>
      </c>
    </row>
    <row r="65" spans="1:5" x14ac:dyDescent="0.25">
      <c r="A65" s="279">
        <v>38963</v>
      </c>
      <c r="B65" t="s">
        <v>338</v>
      </c>
      <c r="C65" t="s">
        <v>121</v>
      </c>
      <c r="D65">
        <v>0</v>
      </c>
      <c r="E65" t="s">
        <v>380</v>
      </c>
    </row>
    <row r="66" spans="1:5" x14ac:dyDescent="0.25">
      <c r="A66" s="279">
        <v>38963</v>
      </c>
      <c r="B66" t="s">
        <v>338</v>
      </c>
      <c r="C66" t="s">
        <v>67</v>
      </c>
      <c r="D66">
        <v>0</v>
      </c>
      <c r="E66" t="s">
        <v>378</v>
      </c>
    </row>
    <row r="67" spans="1:5" x14ac:dyDescent="0.25">
      <c r="A67" s="279">
        <v>38963</v>
      </c>
      <c r="B67" t="s">
        <v>338</v>
      </c>
      <c r="C67" t="s">
        <v>68</v>
      </c>
      <c r="D67">
        <v>0</v>
      </c>
      <c r="E67" t="s">
        <v>380</v>
      </c>
    </row>
    <row r="68" spans="1:5" x14ac:dyDescent="0.25">
      <c r="A68" s="279">
        <v>38963</v>
      </c>
      <c r="B68" t="s">
        <v>338</v>
      </c>
      <c r="C68" t="s">
        <v>69</v>
      </c>
      <c r="D68">
        <v>0</v>
      </c>
      <c r="E68" t="s">
        <v>379</v>
      </c>
    </row>
    <row r="69" spans="1:5" x14ac:dyDescent="0.25">
      <c r="A69" s="279">
        <v>38963</v>
      </c>
      <c r="B69" t="s">
        <v>338</v>
      </c>
      <c r="C69" t="s">
        <v>70</v>
      </c>
      <c r="D69">
        <v>0</v>
      </c>
      <c r="E69" t="s">
        <v>379</v>
      </c>
    </row>
    <row r="70" spans="1:5" x14ac:dyDescent="0.25">
      <c r="A70" s="279">
        <v>38963</v>
      </c>
      <c r="B70" t="s">
        <v>338</v>
      </c>
      <c r="C70" t="s">
        <v>80</v>
      </c>
      <c r="D70">
        <v>149</v>
      </c>
      <c r="E70" t="s">
        <v>379</v>
      </c>
    </row>
    <row r="71" spans="1:5" x14ac:dyDescent="0.25">
      <c r="A71" s="279">
        <v>38963</v>
      </c>
      <c r="B71" t="s">
        <v>339</v>
      </c>
      <c r="C71" t="s">
        <v>71</v>
      </c>
      <c r="D71">
        <v>1831</v>
      </c>
      <c r="E71" t="s">
        <v>378</v>
      </c>
    </row>
    <row r="72" spans="1:5" x14ac:dyDescent="0.25">
      <c r="A72" s="279">
        <v>38963</v>
      </c>
      <c r="B72" t="s">
        <v>339</v>
      </c>
      <c r="C72" t="s">
        <v>72</v>
      </c>
      <c r="D72">
        <v>0</v>
      </c>
      <c r="E72" t="s">
        <v>380</v>
      </c>
    </row>
    <row r="73" spans="1:5" x14ac:dyDescent="0.25">
      <c r="A73" s="279">
        <v>38963</v>
      </c>
      <c r="B73" t="s">
        <v>339</v>
      </c>
      <c r="C73" t="s">
        <v>73</v>
      </c>
      <c r="D73">
        <v>14947</v>
      </c>
      <c r="E73" t="s">
        <v>378</v>
      </c>
    </row>
    <row r="74" spans="1:5" x14ac:dyDescent="0.25">
      <c r="A74" s="279">
        <v>38963</v>
      </c>
      <c r="B74" t="s">
        <v>339</v>
      </c>
      <c r="C74" t="s">
        <v>74</v>
      </c>
      <c r="D74">
        <v>0</v>
      </c>
      <c r="E74" t="s">
        <v>380</v>
      </c>
    </row>
    <row r="75" spans="1:5" x14ac:dyDescent="0.25">
      <c r="A75" s="279">
        <v>38963</v>
      </c>
      <c r="B75" t="s">
        <v>339</v>
      </c>
      <c r="C75" t="s">
        <v>75</v>
      </c>
      <c r="D75">
        <v>15021</v>
      </c>
      <c r="E75" t="s">
        <v>378</v>
      </c>
    </row>
    <row r="76" spans="1:5" x14ac:dyDescent="0.25">
      <c r="A76" s="279">
        <v>38963</v>
      </c>
      <c r="B76" t="s">
        <v>339</v>
      </c>
      <c r="C76" t="s">
        <v>76</v>
      </c>
      <c r="D76">
        <v>0</v>
      </c>
      <c r="E76" t="s">
        <v>380</v>
      </c>
    </row>
    <row r="77" spans="1:5" x14ac:dyDescent="0.25">
      <c r="A77" s="279">
        <v>38963</v>
      </c>
      <c r="B77" t="s">
        <v>339</v>
      </c>
      <c r="C77" t="s">
        <v>77</v>
      </c>
      <c r="D77">
        <v>7275</v>
      </c>
      <c r="E77" t="s">
        <v>378</v>
      </c>
    </row>
    <row r="78" spans="1:5" x14ac:dyDescent="0.25">
      <c r="A78" s="279">
        <v>38963</v>
      </c>
      <c r="B78" t="s">
        <v>339</v>
      </c>
      <c r="C78" t="s">
        <v>78</v>
      </c>
      <c r="D78">
        <v>6689</v>
      </c>
      <c r="E78" t="s">
        <v>380</v>
      </c>
    </row>
    <row r="79" spans="1:5" x14ac:dyDescent="0.25">
      <c r="A79" s="279">
        <v>38963</v>
      </c>
      <c r="B79" t="s">
        <v>339</v>
      </c>
      <c r="C79" t="s">
        <v>79</v>
      </c>
      <c r="D79">
        <v>95241</v>
      </c>
      <c r="E79" t="s">
        <v>379</v>
      </c>
    </row>
    <row r="80" spans="1:5" x14ac:dyDescent="0.25">
      <c r="A80" s="279">
        <v>38963</v>
      </c>
      <c r="B80" t="s">
        <v>339</v>
      </c>
      <c r="C80" t="s">
        <v>70</v>
      </c>
      <c r="D80">
        <v>0</v>
      </c>
      <c r="E80" t="s">
        <v>379</v>
      </c>
    </row>
    <row r="81" spans="1:5" x14ac:dyDescent="0.25">
      <c r="A81" s="279">
        <v>38963</v>
      </c>
      <c r="B81" t="s">
        <v>339</v>
      </c>
      <c r="C81" t="s">
        <v>63</v>
      </c>
      <c r="D81">
        <v>18013</v>
      </c>
      <c r="E81" t="s">
        <v>378</v>
      </c>
    </row>
    <row r="82" spans="1:5" x14ac:dyDescent="0.25">
      <c r="A82" s="279">
        <v>38963</v>
      </c>
      <c r="B82" t="s">
        <v>339</v>
      </c>
      <c r="C82" t="s">
        <v>80</v>
      </c>
      <c r="D82">
        <v>719</v>
      </c>
      <c r="E82" t="s">
        <v>379</v>
      </c>
    </row>
    <row r="83" spans="1:5" x14ac:dyDescent="0.25">
      <c r="A83" s="279">
        <v>38964</v>
      </c>
      <c r="B83" t="s">
        <v>338</v>
      </c>
      <c r="C83" t="s">
        <v>59</v>
      </c>
      <c r="D83">
        <v>2605</v>
      </c>
      <c r="E83" t="s">
        <v>378</v>
      </c>
    </row>
    <row r="84" spans="1:5" x14ac:dyDescent="0.25">
      <c r="A84" s="279">
        <v>38964</v>
      </c>
      <c r="B84" t="s">
        <v>338</v>
      </c>
      <c r="C84" t="s">
        <v>60</v>
      </c>
      <c r="D84">
        <v>0</v>
      </c>
      <c r="E84" t="s">
        <v>379</v>
      </c>
    </row>
    <row r="85" spans="1:5" x14ac:dyDescent="0.25">
      <c r="A85" s="279">
        <v>38964</v>
      </c>
      <c r="B85" t="s">
        <v>338</v>
      </c>
      <c r="C85" t="s">
        <v>61</v>
      </c>
      <c r="D85">
        <v>13158</v>
      </c>
      <c r="E85" t="s">
        <v>378</v>
      </c>
    </row>
    <row r="86" spans="1:5" x14ac:dyDescent="0.25">
      <c r="A86" s="279">
        <v>38964</v>
      </c>
      <c r="B86" t="s">
        <v>338</v>
      </c>
      <c r="C86" t="s">
        <v>62</v>
      </c>
      <c r="D86">
        <v>0</v>
      </c>
      <c r="E86" t="s">
        <v>380</v>
      </c>
    </row>
    <row r="87" spans="1:5" x14ac:dyDescent="0.25">
      <c r="A87" s="279">
        <v>38964</v>
      </c>
      <c r="B87" t="s">
        <v>338</v>
      </c>
      <c r="C87" t="s">
        <v>63</v>
      </c>
      <c r="D87">
        <v>0</v>
      </c>
      <c r="E87" t="s">
        <v>378</v>
      </c>
    </row>
    <row r="88" spans="1:5" x14ac:dyDescent="0.25">
      <c r="A88" s="279">
        <v>38964</v>
      </c>
      <c r="B88" t="s">
        <v>338</v>
      </c>
      <c r="C88" t="s">
        <v>64</v>
      </c>
      <c r="D88">
        <v>0</v>
      </c>
      <c r="E88" t="s">
        <v>380</v>
      </c>
    </row>
    <row r="89" spans="1:5" x14ac:dyDescent="0.25">
      <c r="A89" s="279">
        <v>38964</v>
      </c>
      <c r="B89" t="s">
        <v>338</v>
      </c>
      <c r="C89" t="s">
        <v>65</v>
      </c>
      <c r="D89">
        <v>0</v>
      </c>
      <c r="E89" t="s">
        <v>378</v>
      </c>
    </row>
    <row r="90" spans="1:5" x14ac:dyDescent="0.25">
      <c r="A90" s="279">
        <v>38964</v>
      </c>
      <c r="B90" t="s">
        <v>338</v>
      </c>
      <c r="C90" t="s">
        <v>66</v>
      </c>
      <c r="D90">
        <v>0</v>
      </c>
      <c r="E90" t="s">
        <v>380</v>
      </c>
    </row>
    <row r="91" spans="1:5" x14ac:dyDescent="0.25">
      <c r="A91" s="279">
        <v>38964</v>
      </c>
      <c r="B91" t="s">
        <v>338</v>
      </c>
      <c r="C91" t="s">
        <v>120</v>
      </c>
      <c r="D91">
        <v>2472</v>
      </c>
      <c r="E91" t="s">
        <v>378</v>
      </c>
    </row>
    <row r="92" spans="1:5" x14ac:dyDescent="0.25">
      <c r="A92" s="279">
        <v>38964</v>
      </c>
      <c r="B92" t="s">
        <v>338</v>
      </c>
      <c r="C92" t="s">
        <v>121</v>
      </c>
      <c r="D92">
        <v>0</v>
      </c>
      <c r="E92" t="s">
        <v>380</v>
      </c>
    </row>
    <row r="93" spans="1:5" x14ac:dyDescent="0.25">
      <c r="A93" s="279">
        <v>38964</v>
      </c>
      <c r="B93" t="s">
        <v>338</v>
      </c>
      <c r="C93" t="s">
        <v>67</v>
      </c>
      <c r="D93">
        <v>0</v>
      </c>
      <c r="E93" t="s">
        <v>378</v>
      </c>
    </row>
    <row r="94" spans="1:5" x14ac:dyDescent="0.25">
      <c r="A94" s="279">
        <v>38964</v>
      </c>
      <c r="B94" t="s">
        <v>338</v>
      </c>
      <c r="C94" t="s">
        <v>68</v>
      </c>
      <c r="D94">
        <v>0</v>
      </c>
      <c r="E94" t="s">
        <v>380</v>
      </c>
    </row>
    <row r="95" spans="1:5" x14ac:dyDescent="0.25">
      <c r="A95" s="279">
        <v>38964</v>
      </c>
      <c r="B95" t="s">
        <v>338</v>
      </c>
      <c r="C95" t="s">
        <v>69</v>
      </c>
      <c r="D95">
        <v>0</v>
      </c>
      <c r="E95" t="s">
        <v>379</v>
      </c>
    </row>
    <row r="96" spans="1:5" x14ac:dyDescent="0.25">
      <c r="A96" s="279">
        <v>38964</v>
      </c>
      <c r="B96" t="s">
        <v>338</v>
      </c>
      <c r="C96" t="s">
        <v>70</v>
      </c>
      <c r="D96">
        <v>0</v>
      </c>
      <c r="E96" t="s">
        <v>379</v>
      </c>
    </row>
    <row r="97" spans="1:5" x14ac:dyDescent="0.25">
      <c r="A97" s="279">
        <v>38964</v>
      </c>
      <c r="B97" t="s">
        <v>338</v>
      </c>
      <c r="C97" t="s">
        <v>80</v>
      </c>
      <c r="D97">
        <v>149</v>
      </c>
      <c r="E97" t="s">
        <v>379</v>
      </c>
    </row>
    <row r="98" spans="1:5" x14ac:dyDescent="0.25">
      <c r="A98" s="279">
        <v>38964</v>
      </c>
      <c r="B98" t="s">
        <v>339</v>
      </c>
      <c r="C98" t="s">
        <v>71</v>
      </c>
      <c r="D98">
        <v>1827</v>
      </c>
      <c r="E98" t="s">
        <v>378</v>
      </c>
    </row>
    <row r="99" spans="1:5" x14ac:dyDescent="0.25">
      <c r="A99" s="279">
        <v>38964</v>
      </c>
      <c r="B99" t="s">
        <v>339</v>
      </c>
      <c r="C99" t="s">
        <v>72</v>
      </c>
      <c r="D99">
        <v>0</v>
      </c>
      <c r="E99" t="s">
        <v>380</v>
      </c>
    </row>
    <row r="100" spans="1:5" x14ac:dyDescent="0.25">
      <c r="A100" s="279">
        <v>38964</v>
      </c>
      <c r="B100" t="s">
        <v>339</v>
      </c>
      <c r="C100" t="s">
        <v>73</v>
      </c>
      <c r="D100">
        <v>14918</v>
      </c>
      <c r="E100" t="s">
        <v>378</v>
      </c>
    </row>
    <row r="101" spans="1:5" x14ac:dyDescent="0.25">
      <c r="A101" s="279">
        <v>38964</v>
      </c>
      <c r="B101" t="s">
        <v>339</v>
      </c>
      <c r="C101" t="s">
        <v>74</v>
      </c>
      <c r="D101">
        <v>0</v>
      </c>
      <c r="E101" t="s">
        <v>380</v>
      </c>
    </row>
    <row r="102" spans="1:5" x14ac:dyDescent="0.25">
      <c r="A102" s="279">
        <v>38964</v>
      </c>
      <c r="B102" t="s">
        <v>339</v>
      </c>
      <c r="C102" t="s">
        <v>75</v>
      </c>
      <c r="D102">
        <v>14992</v>
      </c>
      <c r="E102" t="s">
        <v>378</v>
      </c>
    </row>
    <row r="103" spans="1:5" x14ac:dyDescent="0.25">
      <c r="A103" s="279">
        <v>38964</v>
      </c>
      <c r="B103" t="s">
        <v>339</v>
      </c>
      <c r="C103" t="s">
        <v>76</v>
      </c>
      <c r="D103">
        <v>6056</v>
      </c>
      <c r="E103" t="s">
        <v>380</v>
      </c>
    </row>
    <row r="104" spans="1:5" x14ac:dyDescent="0.25">
      <c r="A104" s="279">
        <v>38964</v>
      </c>
      <c r="B104" t="s">
        <v>339</v>
      </c>
      <c r="C104" t="s">
        <v>77</v>
      </c>
      <c r="D104">
        <v>7261</v>
      </c>
      <c r="E104" t="s">
        <v>378</v>
      </c>
    </row>
    <row r="105" spans="1:5" x14ac:dyDescent="0.25">
      <c r="A105" s="279">
        <v>38964</v>
      </c>
      <c r="B105" t="s">
        <v>339</v>
      </c>
      <c r="C105" t="s">
        <v>78</v>
      </c>
      <c r="D105">
        <v>6994</v>
      </c>
      <c r="E105" t="s">
        <v>380</v>
      </c>
    </row>
    <row r="106" spans="1:5" x14ac:dyDescent="0.25">
      <c r="A106" s="279">
        <v>38964</v>
      </c>
      <c r="B106" t="s">
        <v>339</v>
      </c>
      <c r="C106" t="s">
        <v>79</v>
      </c>
      <c r="D106">
        <v>95058</v>
      </c>
      <c r="E106" t="s">
        <v>379</v>
      </c>
    </row>
    <row r="107" spans="1:5" x14ac:dyDescent="0.25">
      <c r="A107" s="279">
        <v>38964</v>
      </c>
      <c r="B107" t="s">
        <v>339</v>
      </c>
      <c r="C107" t="s">
        <v>70</v>
      </c>
      <c r="D107">
        <v>0</v>
      </c>
      <c r="E107" t="s">
        <v>379</v>
      </c>
    </row>
    <row r="108" spans="1:5" x14ac:dyDescent="0.25">
      <c r="A108" s="279">
        <v>38964</v>
      </c>
      <c r="B108" t="s">
        <v>339</v>
      </c>
      <c r="C108" t="s">
        <v>63</v>
      </c>
      <c r="D108">
        <v>17978</v>
      </c>
      <c r="E108" t="s">
        <v>378</v>
      </c>
    </row>
    <row r="109" spans="1:5" x14ac:dyDescent="0.25">
      <c r="A109" s="279">
        <v>38964</v>
      </c>
      <c r="B109" t="s">
        <v>339</v>
      </c>
      <c r="C109" t="s">
        <v>80</v>
      </c>
      <c r="D109">
        <v>718</v>
      </c>
      <c r="E109" t="s">
        <v>379</v>
      </c>
    </row>
    <row r="110" spans="1:5" x14ac:dyDescent="0.25">
      <c r="A110" s="279">
        <v>38965</v>
      </c>
      <c r="B110" t="s">
        <v>338</v>
      </c>
      <c r="C110" t="s">
        <v>59</v>
      </c>
      <c r="D110">
        <v>2605</v>
      </c>
      <c r="E110" t="s">
        <v>378</v>
      </c>
    </row>
    <row r="111" spans="1:5" x14ac:dyDescent="0.25">
      <c r="A111" s="279">
        <v>38965</v>
      </c>
      <c r="B111" t="s">
        <v>338</v>
      </c>
      <c r="C111" t="s">
        <v>60</v>
      </c>
      <c r="D111">
        <v>0</v>
      </c>
      <c r="E111" t="s">
        <v>379</v>
      </c>
    </row>
    <row r="112" spans="1:5" x14ac:dyDescent="0.25">
      <c r="A112" s="279">
        <v>38965</v>
      </c>
      <c r="B112" t="s">
        <v>338</v>
      </c>
      <c r="C112" t="s">
        <v>61</v>
      </c>
      <c r="D112">
        <v>13158</v>
      </c>
      <c r="E112" t="s">
        <v>378</v>
      </c>
    </row>
    <row r="113" spans="1:5" x14ac:dyDescent="0.25">
      <c r="A113" s="279">
        <v>38965</v>
      </c>
      <c r="B113" t="s">
        <v>338</v>
      </c>
      <c r="C113" t="s">
        <v>62</v>
      </c>
      <c r="D113">
        <v>0</v>
      </c>
      <c r="E113" t="s">
        <v>380</v>
      </c>
    </row>
    <row r="114" spans="1:5" x14ac:dyDescent="0.25">
      <c r="A114" s="279">
        <v>38965</v>
      </c>
      <c r="B114" t="s">
        <v>338</v>
      </c>
      <c r="C114" t="s">
        <v>63</v>
      </c>
      <c r="D114">
        <v>0</v>
      </c>
      <c r="E114" t="s">
        <v>378</v>
      </c>
    </row>
    <row r="115" spans="1:5" x14ac:dyDescent="0.25">
      <c r="A115" s="279">
        <v>38965</v>
      </c>
      <c r="B115" t="s">
        <v>338</v>
      </c>
      <c r="C115" t="s">
        <v>64</v>
      </c>
      <c r="D115">
        <v>0</v>
      </c>
      <c r="E115" t="s">
        <v>380</v>
      </c>
    </row>
    <row r="116" spans="1:5" x14ac:dyDescent="0.25">
      <c r="A116" s="279">
        <v>38965</v>
      </c>
      <c r="B116" t="s">
        <v>338</v>
      </c>
      <c r="C116" t="s">
        <v>65</v>
      </c>
      <c r="D116">
        <v>0</v>
      </c>
      <c r="E116" t="s">
        <v>378</v>
      </c>
    </row>
    <row r="117" spans="1:5" x14ac:dyDescent="0.25">
      <c r="A117" s="279">
        <v>38965</v>
      </c>
      <c r="B117" t="s">
        <v>338</v>
      </c>
      <c r="C117" t="s">
        <v>66</v>
      </c>
      <c r="D117">
        <v>0</v>
      </c>
      <c r="E117" t="s">
        <v>380</v>
      </c>
    </row>
    <row r="118" spans="1:5" x14ac:dyDescent="0.25">
      <c r="A118" s="279">
        <v>38965</v>
      </c>
      <c r="B118" t="s">
        <v>338</v>
      </c>
      <c r="C118" t="s">
        <v>120</v>
      </c>
      <c r="D118">
        <v>2413</v>
      </c>
      <c r="E118" t="s">
        <v>378</v>
      </c>
    </row>
    <row r="119" spans="1:5" x14ac:dyDescent="0.25">
      <c r="A119" s="279">
        <v>38965</v>
      </c>
      <c r="B119" t="s">
        <v>338</v>
      </c>
      <c r="C119" t="s">
        <v>121</v>
      </c>
      <c r="D119">
        <v>0</v>
      </c>
      <c r="E119" t="s">
        <v>380</v>
      </c>
    </row>
    <row r="120" spans="1:5" x14ac:dyDescent="0.25">
      <c r="A120" s="279">
        <v>38965</v>
      </c>
      <c r="B120" t="s">
        <v>338</v>
      </c>
      <c r="C120" t="s">
        <v>67</v>
      </c>
      <c r="D120">
        <v>0</v>
      </c>
      <c r="E120" t="s">
        <v>378</v>
      </c>
    </row>
    <row r="121" spans="1:5" x14ac:dyDescent="0.25">
      <c r="A121" s="279">
        <v>38965</v>
      </c>
      <c r="B121" t="s">
        <v>338</v>
      </c>
      <c r="C121" t="s">
        <v>68</v>
      </c>
      <c r="D121">
        <v>0</v>
      </c>
      <c r="E121" t="s">
        <v>380</v>
      </c>
    </row>
    <row r="122" spans="1:5" x14ac:dyDescent="0.25">
      <c r="A122" s="279">
        <v>38965</v>
      </c>
      <c r="B122" t="s">
        <v>338</v>
      </c>
      <c r="C122" t="s">
        <v>69</v>
      </c>
      <c r="D122">
        <v>0</v>
      </c>
      <c r="E122" t="s">
        <v>379</v>
      </c>
    </row>
    <row r="123" spans="1:5" x14ac:dyDescent="0.25">
      <c r="A123" s="279">
        <v>38965</v>
      </c>
      <c r="B123" t="s">
        <v>338</v>
      </c>
      <c r="C123" t="s">
        <v>70</v>
      </c>
      <c r="D123">
        <v>0</v>
      </c>
      <c r="E123" t="s">
        <v>379</v>
      </c>
    </row>
    <row r="124" spans="1:5" x14ac:dyDescent="0.25">
      <c r="A124" s="279">
        <v>38965</v>
      </c>
      <c r="B124" t="s">
        <v>338</v>
      </c>
      <c r="C124" t="s">
        <v>80</v>
      </c>
      <c r="D124">
        <v>148</v>
      </c>
      <c r="E124" t="s">
        <v>379</v>
      </c>
    </row>
    <row r="125" spans="1:5" x14ac:dyDescent="0.25">
      <c r="A125" s="279">
        <v>38965</v>
      </c>
      <c r="B125" t="s">
        <v>339</v>
      </c>
      <c r="C125" t="s">
        <v>71</v>
      </c>
      <c r="D125">
        <v>1834</v>
      </c>
      <c r="E125" t="s">
        <v>378</v>
      </c>
    </row>
    <row r="126" spans="1:5" x14ac:dyDescent="0.25">
      <c r="A126" s="279">
        <v>38965</v>
      </c>
      <c r="B126" t="s">
        <v>339</v>
      </c>
      <c r="C126" t="s">
        <v>72</v>
      </c>
      <c r="D126">
        <v>0</v>
      </c>
      <c r="E126" t="s">
        <v>380</v>
      </c>
    </row>
    <row r="127" spans="1:5" x14ac:dyDescent="0.25">
      <c r="A127" s="279">
        <v>38965</v>
      </c>
      <c r="B127" t="s">
        <v>339</v>
      </c>
      <c r="C127" t="s">
        <v>73</v>
      </c>
      <c r="D127">
        <v>10211</v>
      </c>
      <c r="E127" t="s">
        <v>378</v>
      </c>
    </row>
    <row r="128" spans="1:5" x14ac:dyDescent="0.25">
      <c r="A128" s="279">
        <v>38965</v>
      </c>
      <c r="B128" t="s">
        <v>339</v>
      </c>
      <c r="C128" t="s">
        <v>74</v>
      </c>
      <c r="D128">
        <v>0</v>
      </c>
      <c r="E128" t="s">
        <v>380</v>
      </c>
    </row>
    <row r="129" spans="1:5" x14ac:dyDescent="0.25">
      <c r="A129" s="279">
        <v>38965</v>
      </c>
      <c r="B129" t="s">
        <v>339</v>
      </c>
      <c r="C129" t="s">
        <v>75</v>
      </c>
      <c r="D129">
        <v>15050</v>
      </c>
      <c r="E129" t="s">
        <v>378</v>
      </c>
    </row>
    <row r="130" spans="1:5" x14ac:dyDescent="0.25">
      <c r="A130" s="279">
        <v>38965</v>
      </c>
      <c r="B130" t="s">
        <v>339</v>
      </c>
      <c r="C130" t="s">
        <v>76</v>
      </c>
      <c r="D130">
        <v>14508</v>
      </c>
      <c r="E130" t="s">
        <v>380</v>
      </c>
    </row>
    <row r="131" spans="1:5" x14ac:dyDescent="0.25">
      <c r="A131" s="279">
        <v>38965</v>
      </c>
      <c r="B131" t="s">
        <v>339</v>
      </c>
      <c r="C131" t="s">
        <v>77</v>
      </c>
      <c r="D131">
        <v>7289</v>
      </c>
      <c r="E131" t="s">
        <v>378</v>
      </c>
    </row>
    <row r="132" spans="1:5" x14ac:dyDescent="0.25">
      <c r="A132" s="279">
        <v>38965</v>
      </c>
      <c r="B132" t="s">
        <v>339</v>
      </c>
      <c r="C132" t="s">
        <v>78</v>
      </c>
      <c r="D132">
        <v>7021</v>
      </c>
      <c r="E132" t="s">
        <v>380</v>
      </c>
    </row>
    <row r="133" spans="1:5" x14ac:dyDescent="0.25">
      <c r="A133" s="279">
        <v>38965</v>
      </c>
      <c r="B133" t="s">
        <v>339</v>
      </c>
      <c r="C133" t="s">
        <v>79</v>
      </c>
      <c r="D133">
        <v>95425</v>
      </c>
      <c r="E133" t="s">
        <v>379</v>
      </c>
    </row>
    <row r="134" spans="1:5" x14ac:dyDescent="0.25">
      <c r="A134" s="279">
        <v>38965</v>
      </c>
      <c r="B134" t="s">
        <v>339</v>
      </c>
      <c r="C134" t="s">
        <v>70</v>
      </c>
      <c r="D134">
        <v>0</v>
      </c>
      <c r="E134" t="s">
        <v>379</v>
      </c>
    </row>
    <row r="135" spans="1:5" x14ac:dyDescent="0.25">
      <c r="A135" s="279">
        <v>38965</v>
      </c>
      <c r="B135" t="s">
        <v>339</v>
      </c>
      <c r="C135" t="s">
        <v>63</v>
      </c>
      <c r="D135">
        <v>18047</v>
      </c>
      <c r="E135" t="s">
        <v>378</v>
      </c>
    </row>
    <row r="136" spans="1:5" x14ac:dyDescent="0.25">
      <c r="A136" s="279">
        <v>38965</v>
      </c>
      <c r="B136" t="s">
        <v>339</v>
      </c>
      <c r="C136" t="s">
        <v>80</v>
      </c>
      <c r="D136">
        <v>539</v>
      </c>
      <c r="E136" t="s">
        <v>379</v>
      </c>
    </row>
    <row r="137" spans="1:5" x14ac:dyDescent="0.25">
      <c r="A137" s="279">
        <v>38966</v>
      </c>
      <c r="B137" t="s">
        <v>338</v>
      </c>
      <c r="C137" t="s">
        <v>59</v>
      </c>
      <c r="D137">
        <v>2608</v>
      </c>
      <c r="E137" t="s">
        <v>378</v>
      </c>
    </row>
    <row r="138" spans="1:5" x14ac:dyDescent="0.25">
      <c r="A138" s="279">
        <v>38966</v>
      </c>
      <c r="B138" t="s">
        <v>338</v>
      </c>
      <c r="C138" t="s">
        <v>60</v>
      </c>
      <c r="D138">
        <v>0</v>
      </c>
      <c r="E138" t="s">
        <v>379</v>
      </c>
    </row>
    <row r="139" spans="1:5" x14ac:dyDescent="0.25">
      <c r="A139" s="279">
        <v>38966</v>
      </c>
      <c r="B139" t="s">
        <v>338</v>
      </c>
      <c r="C139" t="s">
        <v>61</v>
      </c>
      <c r="D139">
        <v>13171</v>
      </c>
      <c r="E139" t="s">
        <v>378</v>
      </c>
    </row>
    <row r="140" spans="1:5" x14ac:dyDescent="0.25">
      <c r="A140" s="279">
        <v>38966</v>
      </c>
      <c r="B140" t="s">
        <v>338</v>
      </c>
      <c r="C140" t="s">
        <v>62</v>
      </c>
      <c r="D140">
        <v>0</v>
      </c>
      <c r="E140" t="s">
        <v>380</v>
      </c>
    </row>
    <row r="141" spans="1:5" x14ac:dyDescent="0.25">
      <c r="A141" s="279">
        <v>38966</v>
      </c>
      <c r="B141" t="s">
        <v>338</v>
      </c>
      <c r="C141" t="s">
        <v>63</v>
      </c>
      <c r="D141">
        <v>0</v>
      </c>
      <c r="E141" t="s">
        <v>378</v>
      </c>
    </row>
    <row r="142" spans="1:5" x14ac:dyDescent="0.25">
      <c r="A142" s="279">
        <v>38966</v>
      </c>
      <c r="B142" t="s">
        <v>338</v>
      </c>
      <c r="C142" t="s">
        <v>64</v>
      </c>
      <c r="D142">
        <v>0</v>
      </c>
      <c r="E142" t="s">
        <v>380</v>
      </c>
    </row>
    <row r="143" spans="1:5" x14ac:dyDescent="0.25">
      <c r="A143" s="279">
        <v>38966</v>
      </c>
      <c r="B143" t="s">
        <v>338</v>
      </c>
      <c r="C143" t="s">
        <v>65</v>
      </c>
      <c r="D143">
        <v>0</v>
      </c>
      <c r="E143" t="s">
        <v>378</v>
      </c>
    </row>
    <row r="144" spans="1:5" x14ac:dyDescent="0.25">
      <c r="A144" s="279">
        <v>38966</v>
      </c>
      <c r="B144" t="s">
        <v>338</v>
      </c>
      <c r="C144" t="s">
        <v>66</v>
      </c>
      <c r="D144">
        <v>0</v>
      </c>
      <c r="E144" t="s">
        <v>380</v>
      </c>
    </row>
    <row r="145" spans="1:5" x14ac:dyDescent="0.25">
      <c r="A145" s="279">
        <v>38966</v>
      </c>
      <c r="B145" t="s">
        <v>338</v>
      </c>
      <c r="C145" t="s">
        <v>120</v>
      </c>
      <c r="D145">
        <v>2416</v>
      </c>
      <c r="E145" t="s">
        <v>378</v>
      </c>
    </row>
    <row r="146" spans="1:5" x14ac:dyDescent="0.25">
      <c r="A146" s="279">
        <v>38966</v>
      </c>
      <c r="B146" t="s">
        <v>338</v>
      </c>
      <c r="C146" t="s">
        <v>121</v>
      </c>
      <c r="D146">
        <v>0</v>
      </c>
      <c r="E146" t="s">
        <v>380</v>
      </c>
    </row>
    <row r="147" spans="1:5" x14ac:dyDescent="0.25">
      <c r="A147" s="279">
        <v>38966</v>
      </c>
      <c r="B147" t="s">
        <v>338</v>
      </c>
      <c r="C147" t="s">
        <v>67</v>
      </c>
      <c r="D147">
        <v>0</v>
      </c>
      <c r="E147" t="s">
        <v>378</v>
      </c>
    </row>
    <row r="148" spans="1:5" x14ac:dyDescent="0.25">
      <c r="A148" s="279">
        <v>38966</v>
      </c>
      <c r="B148" t="s">
        <v>338</v>
      </c>
      <c r="C148" t="s">
        <v>68</v>
      </c>
      <c r="D148">
        <v>0</v>
      </c>
      <c r="E148" t="s">
        <v>380</v>
      </c>
    </row>
    <row r="149" spans="1:5" x14ac:dyDescent="0.25">
      <c r="A149" s="279">
        <v>38966</v>
      </c>
      <c r="B149" t="s">
        <v>338</v>
      </c>
      <c r="C149" t="s">
        <v>69</v>
      </c>
      <c r="D149">
        <v>0</v>
      </c>
      <c r="E149" t="s">
        <v>379</v>
      </c>
    </row>
    <row r="150" spans="1:5" x14ac:dyDescent="0.25">
      <c r="A150" s="279">
        <v>38966</v>
      </c>
      <c r="B150" t="s">
        <v>338</v>
      </c>
      <c r="C150" t="s">
        <v>70</v>
      </c>
      <c r="D150">
        <v>0</v>
      </c>
      <c r="E150" t="s">
        <v>379</v>
      </c>
    </row>
    <row r="151" spans="1:5" x14ac:dyDescent="0.25">
      <c r="A151" s="279">
        <v>38966</v>
      </c>
      <c r="B151" t="s">
        <v>338</v>
      </c>
      <c r="C151" t="s">
        <v>80</v>
      </c>
      <c r="D151">
        <v>148</v>
      </c>
      <c r="E151" t="s">
        <v>379</v>
      </c>
    </row>
    <row r="152" spans="1:5" x14ac:dyDescent="0.25">
      <c r="A152" s="279">
        <v>38966</v>
      </c>
      <c r="B152" t="s">
        <v>339</v>
      </c>
      <c r="C152" t="s">
        <v>71</v>
      </c>
      <c r="D152">
        <v>1834</v>
      </c>
      <c r="E152" t="s">
        <v>378</v>
      </c>
    </row>
    <row r="153" spans="1:5" x14ac:dyDescent="0.25">
      <c r="A153" s="279">
        <v>38966</v>
      </c>
      <c r="B153" t="s">
        <v>339</v>
      </c>
      <c r="C153" t="s">
        <v>72</v>
      </c>
      <c r="D153">
        <v>0</v>
      </c>
      <c r="E153" t="s">
        <v>380</v>
      </c>
    </row>
    <row r="154" spans="1:5" x14ac:dyDescent="0.25">
      <c r="A154" s="279">
        <v>38966</v>
      </c>
      <c r="B154" t="s">
        <v>339</v>
      </c>
      <c r="C154" t="s">
        <v>73</v>
      </c>
      <c r="D154">
        <v>14976</v>
      </c>
      <c r="E154" t="s">
        <v>378</v>
      </c>
    </row>
    <row r="155" spans="1:5" x14ac:dyDescent="0.25">
      <c r="A155" s="279">
        <v>38966</v>
      </c>
      <c r="B155" t="s">
        <v>339</v>
      </c>
      <c r="C155" t="s">
        <v>74</v>
      </c>
      <c r="D155">
        <v>0</v>
      </c>
      <c r="E155" t="s">
        <v>380</v>
      </c>
    </row>
    <row r="156" spans="1:5" x14ac:dyDescent="0.25">
      <c r="A156" s="279">
        <v>38966</v>
      </c>
      <c r="B156" t="s">
        <v>339</v>
      </c>
      <c r="C156" t="s">
        <v>75</v>
      </c>
      <c r="D156">
        <v>15050</v>
      </c>
      <c r="E156" t="s">
        <v>378</v>
      </c>
    </row>
    <row r="157" spans="1:5" x14ac:dyDescent="0.25">
      <c r="A157" s="279">
        <v>38966</v>
      </c>
      <c r="B157" t="s">
        <v>339</v>
      </c>
      <c r="C157" t="s">
        <v>76</v>
      </c>
      <c r="D157">
        <v>8493</v>
      </c>
      <c r="E157" t="s">
        <v>380</v>
      </c>
    </row>
    <row r="158" spans="1:5" x14ac:dyDescent="0.25">
      <c r="A158" s="279">
        <v>38966</v>
      </c>
      <c r="B158" t="s">
        <v>339</v>
      </c>
      <c r="C158" t="s">
        <v>77</v>
      </c>
      <c r="D158">
        <v>7289</v>
      </c>
      <c r="E158" t="s">
        <v>378</v>
      </c>
    </row>
    <row r="159" spans="1:5" x14ac:dyDescent="0.25">
      <c r="A159" s="279">
        <v>38966</v>
      </c>
      <c r="B159" t="s">
        <v>339</v>
      </c>
      <c r="C159" t="s">
        <v>78</v>
      </c>
      <c r="D159">
        <v>7021</v>
      </c>
      <c r="E159" t="s">
        <v>380</v>
      </c>
    </row>
    <row r="160" spans="1:5" x14ac:dyDescent="0.25">
      <c r="A160" s="279">
        <v>38966</v>
      </c>
      <c r="B160" t="s">
        <v>339</v>
      </c>
      <c r="C160" t="s">
        <v>79</v>
      </c>
      <c r="D160">
        <v>109918</v>
      </c>
      <c r="E160" t="s">
        <v>379</v>
      </c>
    </row>
    <row r="161" spans="1:5" x14ac:dyDescent="0.25">
      <c r="A161" s="279">
        <v>38966</v>
      </c>
      <c r="B161" t="s">
        <v>339</v>
      </c>
      <c r="C161" t="s">
        <v>70</v>
      </c>
      <c r="D161">
        <v>0</v>
      </c>
      <c r="E161" t="s">
        <v>379</v>
      </c>
    </row>
    <row r="162" spans="1:5" x14ac:dyDescent="0.25">
      <c r="A162" s="279">
        <v>38966</v>
      </c>
      <c r="B162" t="s">
        <v>339</v>
      </c>
      <c r="C162" t="s">
        <v>63</v>
      </c>
      <c r="D162">
        <v>18047</v>
      </c>
      <c r="E162" t="s">
        <v>378</v>
      </c>
    </row>
    <row r="163" spans="1:5" x14ac:dyDescent="0.25">
      <c r="A163" s="279">
        <v>38966</v>
      </c>
      <c r="B163" t="s">
        <v>339</v>
      </c>
      <c r="C163" t="s">
        <v>80</v>
      </c>
      <c r="D163">
        <v>720</v>
      </c>
      <c r="E163" t="s">
        <v>379</v>
      </c>
    </row>
    <row r="164" spans="1:5" x14ac:dyDescent="0.25">
      <c r="A164" s="279">
        <v>38967</v>
      </c>
      <c r="B164" t="s">
        <v>338</v>
      </c>
      <c r="C164" t="s">
        <v>59</v>
      </c>
      <c r="D164">
        <v>2608</v>
      </c>
      <c r="E164" t="s">
        <v>378</v>
      </c>
    </row>
    <row r="165" spans="1:5" x14ac:dyDescent="0.25">
      <c r="A165" s="279">
        <v>38967</v>
      </c>
      <c r="B165" t="s">
        <v>338</v>
      </c>
      <c r="C165" t="s">
        <v>60</v>
      </c>
      <c r="D165">
        <v>0</v>
      </c>
      <c r="E165" t="s">
        <v>379</v>
      </c>
    </row>
    <row r="166" spans="1:5" x14ac:dyDescent="0.25">
      <c r="A166" s="279">
        <v>38967</v>
      </c>
      <c r="B166" t="s">
        <v>338</v>
      </c>
      <c r="C166" t="s">
        <v>61</v>
      </c>
      <c r="D166">
        <v>13171</v>
      </c>
      <c r="E166" t="s">
        <v>378</v>
      </c>
    </row>
    <row r="167" spans="1:5" x14ac:dyDescent="0.25">
      <c r="A167" s="279">
        <v>38967</v>
      </c>
      <c r="B167" t="s">
        <v>338</v>
      </c>
      <c r="C167" t="s">
        <v>62</v>
      </c>
      <c r="D167">
        <v>0</v>
      </c>
      <c r="E167" t="s">
        <v>380</v>
      </c>
    </row>
    <row r="168" spans="1:5" x14ac:dyDescent="0.25">
      <c r="A168" s="279">
        <v>38967</v>
      </c>
      <c r="B168" t="s">
        <v>338</v>
      </c>
      <c r="C168" t="s">
        <v>63</v>
      </c>
      <c r="D168">
        <v>0</v>
      </c>
      <c r="E168" t="s">
        <v>378</v>
      </c>
    </row>
    <row r="169" spans="1:5" x14ac:dyDescent="0.25">
      <c r="A169" s="279">
        <v>38967</v>
      </c>
      <c r="B169" t="s">
        <v>338</v>
      </c>
      <c r="C169" t="s">
        <v>64</v>
      </c>
      <c r="D169">
        <v>0</v>
      </c>
      <c r="E169" t="s">
        <v>380</v>
      </c>
    </row>
    <row r="170" spans="1:5" x14ac:dyDescent="0.25">
      <c r="A170" s="279">
        <v>38967</v>
      </c>
      <c r="B170" t="s">
        <v>338</v>
      </c>
      <c r="C170" t="s">
        <v>65</v>
      </c>
      <c r="D170">
        <v>0</v>
      </c>
      <c r="E170" t="s">
        <v>378</v>
      </c>
    </row>
    <row r="171" spans="1:5" x14ac:dyDescent="0.25">
      <c r="A171" s="279">
        <v>38967</v>
      </c>
      <c r="B171" t="s">
        <v>338</v>
      </c>
      <c r="C171" t="s">
        <v>66</v>
      </c>
      <c r="D171">
        <v>0</v>
      </c>
      <c r="E171" t="s">
        <v>380</v>
      </c>
    </row>
    <row r="172" spans="1:5" x14ac:dyDescent="0.25">
      <c r="A172" s="279">
        <v>38967</v>
      </c>
      <c r="B172" t="s">
        <v>338</v>
      </c>
      <c r="C172" t="s">
        <v>120</v>
      </c>
      <c r="D172">
        <v>2669</v>
      </c>
      <c r="E172" t="s">
        <v>378</v>
      </c>
    </row>
    <row r="173" spans="1:5" x14ac:dyDescent="0.25">
      <c r="A173" s="279">
        <v>38967</v>
      </c>
      <c r="B173" t="s">
        <v>338</v>
      </c>
      <c r="C173" t="s">
        <v>121</v>
      </c>
      <c r="D173">
        <v>0</v>
      </c>
      <c r="E173" t="s">
        <v>380</v>
      </c>
    </row>
    <row r="174" spans="1:5" x14ac:dyDescent="0.25">
      <c r="A174" s="279">
        <v>38967</v>
      </c>
      <c r="B174" t="s">
        <v>338</v>
      </c>
      <c r="C174" t="s">
        <v>67</v>
      </c>
      <c r="D174">
        <v>0</v>
      </c>
      <c r="E174" t="s">
        <v>378</v>
      </c>
    </row>
    <row r="175" spans="1:5" x14ac:dyDescent="0.25">
      <c r="A175" s="279">
        <v>38967</v>
      </c>
      <c r="B175" t="s">
        <v>338</v>
      </c>
      <c r="C175" t="s">
        <v>68</v>
      </c>
      <c r="D175">
        <v>0</v>
      </c>
      <c r="E175" t="s">
        <v>380</v>
      </c>
    </row>
    <row r="176" spans="1:5" x14ac:dyDescent="0.25">
      <c r="A176" s="279">
        <v>38967</v>
      </c>
      <c r="B176" t="s">
        <v>338</v>
      </c>
      <c r="C176" t="s">
        <v>69</v>
      </c>
      <c r="D176">
        <v>0</v>
      </c>
      <c r="E176" t="s">
        <v>379</v>
      </c>
    </row>
    <row r="177" spans="1:5" x14ac:dyDescent="0.25">
      <c r="A177" s="279">
        <v>38967</v>
      </c>
      <c r="B177" t="s">
        <v>338</v>
      </c>
      <c r="C177" t="s">
        <v>70</v>
      </c>
      <c r="D177">
        <v>0</v>
      </c>
      <c r="E177" t="s">
        <v>379</v>
      </c>
    </row>
    <row r="178" spans="1:5" x14ac:dyDescent="0.25">
      <c r="A178" s="279">
        <v>38967</v>
      </c>
      <c r="B178" t="s">
        <v>338</v>
      </c>
      <c r="C178" t="s">
        <v>80</v>
      </c>
      <c r="D178">
        <v>150</v>
      </c>
      <c r="E178" t="s">
        <v>379</v>
      </c>
    </row>
    <row r="179" spans="1:5" x14ac:dyDescent="0.25">
      <c r="A179" s="279">
        <v>38967</v>
      </c>
      <c r="B179" t="s">
        <v>339</v>
      </c>
      <c r="C179" t="s">
        <v>71</v>
      </c>
      <c r="D179">
        <v>1840</v>
      </c>
      <c r="E179" t="s">
        <v>378</v>
      </c>
    </row>
    <row r="180" spans="1:5" x14ac:dyDescent="0.25">
      <c r="A180" s="279">
        <v>38967</v>
      </c>
      <c r="B180" t="s">
        <v>339</v>
      </c>
      <c r="C180" t="s">
        <v>72</v>
      </c>
      <c r="D180">
        <v>0</v>
      </c>
      <c r="E180" t="s">
        <v>380</v>
      </c>
    </row>
    <row r="181" spans="1:5" x14ac:dyDescent="0.25">
      <c r="A181" s="279">
        <v>38967</v>
      </c>
      <c r="B181" t="s">
        <v>339</v>
      </c>
      <c r="C181" t="s">
        <v>73</v>
      </c>
      <c r="D181">
        <v>15019</v>
      </c>
      <c r="E181" t="s">
        <v>378</v>
      </c>
    </row>
    <row r="182" spans="1:5" x14ac:dyDescent="0.25">
      <c r="A182" s="279">
        <v>38967</v>
      </c>
      <c r="B182" t="s">
        <v>339</v>
      </c>
      <c r="C182" t="s">
        <v>74</v>
      </c>
      <c r="D182">
        <v>0</v>
      </c>
      <c r="E182" t="s">
        <v>380</v>
      </c>
    </row>
    <row r="183" spans="1:5" x14ac:dyDescent="0.25">
      <c r="A183" s="279">
        <v>38967</v>
      </c>
      <c r="B183" t="s">
        <v>339</v>
      </c>
      <c r="C183" t="s">
        <v>75</v>
      </c>
      <c r="D183">
        <v>15094</v>
      </c>
      <c r="E183" t="s">
        <v>378</v>
      </c>
    </row>
    <row r="184" spans="1:5" x14ac:dyDescent="0.25">
      <c r="A184" s="279">
        <v>38967</v>
      </c>
      <c r="B184" t="s">
        <v>339</v>
      </c>
      <c r="C184" t="s">
        <v>76</v>
      </c>
      <c r="D184">
        <v>1359</v>
      </c>
      <c r="E184" t="s">
        <v>380</v>
      </c>
    </row>
    <row r="185" spans="1:5" x14ac:dyDescent="0.25">
      <c r="A185" s="279">
        <v>38967</v>
      </c>
      <c r="B185" t="s">
        <v>339</v>
      </c>
      <c r="C185" t="s">
        <v>77</v>
      </c>
      <c r="D185">
        <v>7310</v>
      </c>
      <c r="E185" t="s">
        <v>378</v>
      </c>
    </row>
    <row r="186" spans="1:5" x14ac:dyDescent="0.25">
      <c r="A186" s="279">
        <v>38967</v>
      </c>
      <c r="B186" t="s">
        <v>339</v>
      </c>
      <c r="C186" t="s">
        <v>78</v>
      </c>
      <c r="D186">
        <v>7042</v>
      </c>
      <c r="E186" t="s">
        <v>380</v>
      </c>
    </row>
    <row r="187" spans="1:5" x14ac:dyDescent="0.25">
      <c r="A187" s="279">
        <v>38967</v>
      </c>
      <c r="B187" t="s">
        <v>339</v>
      </c>
      <c r="C187" t="s">
        <v>79</v>
      </c>
      <c r="D187">
        <v>115082</v>
      </c>
      <c r="E187" t="s">
        <v>379</v>
      </c>
    </row>
    <row r="188" spans="1:5" x14ac:dyDescent="0.25">
      <c r="A188" s="279">
        <v>38967</v>
      </c>
      <c r="B188" t="s">
        <v>339</v>
      </c>
      <c r="C188" t="s">
        <v>70</v>
      </c>
      <c r="D188">
        <v>0</v>
      </c>
      <c r="E188" t="s">
        <v>379</v>
      </c>
    </row>
    <row r="189" spans="1:5" x14ac:dyDescent="0.25">
      <c r="A189" s="279">
        <v>38967</v>
      </c>
      <c r="B189" t="s">
        <v>339</v>
      </c>
      <c r="C189" t="s">
        <v>63</v>
      </c>
      <c r="D189">
        <v>18100</v>
      </c>
      <c r="E189" t="s">
        <v>378</v>
      </c>
    </row>
    <row r="190" spans="1:5" x14ac:dyDescent="0.25">
      <c r="A190" s="279">
        <v>38967</v>
      </c>
      <c r="B190" t="s">
        <v>339</v>
      </c>
      <c r="C190" t="s">
        <v>80</v>
      </c>
      <c r="D190">
        <v>722</v>
      </c>
      <c r="E190" t="s">
        <v>379</v>
      </c>
    </row>
    <row r="191" spans="1:5" x14ac:dyDescent="0.25">
      <c r="A191" s="279">
        <v>38968</v>
      </c>
      <c r="B191" t="s">
        <v>338</v>
      </c>
      <c r="C191" t="s">
        <v>59</v>
      </c>
      <c r="D191">
        <v>2605</v>
      </c>
      <c r="E191" t="s">
        <v>378</v>
      </c>
    </row>
    <row r="192" spans="1:5" x14ac:dyDescent="0.25">
      <c r="A192" s="279">
        <v>38968</v>
      </c>
      <c r="B192" t="s">
        <v>338</v>
      </c>
      <c r="C192" t="s">
        <v>60</v>
      </c>
      <c r="D192">
        <v>0</v>
      </c>
      <c r="E192" t="s">
        <v>379</v>
      </c>
    </row>
    <row r="193" spans="1:5" x14ac:dyDescent="0.25">
      <c r="A193" s="279">
        <v>38968</v>
      </c>
      <c r="B193" t="s">
        <v>338</v>
      </c>
      <c r="C193" t="s">
        <v>61</v>
      </c>
      <c r="D193">
        <v>13158</v>
      </c>
      <c r="E193" t="s">
        <v>378</v>
      </c>
    </row>
    <row r="194" spans="1:5" x14ac:dyDescent="0.25">
      <c r="A194" s="279">
        <v>38968</v>
      </c>
      <c r="B194" t="s">
        <v>338</v>
      </c>
      <c r="C194" t="s">
        <v>62</v>
      </c>
      <c r="D194">
        <v>0</v>
      </c>
      <c r="E194" t="s">
        <v>380</v>
      </c>
    </row>
    <row r="195" spans="1:5" x14ac:dyDescent="0.25">
      <c r="A195" s="279">
        <v>38968</v>
      </c>
      <c r="B195" t="s">
        <v>338</v>
      </c>
      <c r="C195" t="s">
        <v>63</v>
      </c>
      <c r="D195">
        <v>0</v>
      </c>
      <c r="E195" t="s">
        <v>378</v>
      </c>
    </row>
    <row r="196" spans="1:5" x14ac:dyDescent="0.25">
      <c r="A196" s="279">
        <v>38968</v>
      </c>
      <c r="B196" t="s">
        <v>338</v>
      </c>
      <c r="C196" t="s">
        <v>64</v>
      </c>
      <c r="D196">
        <v>0</v>
      </c>
      <c r="E196" t="s">
        <v>380</v>
      </c>
    </row>
    <row r="197" spans="1:5" x14ac:dyDescent="0.25">
      <c r="A197" s="279">
        <v>38968</v>
      </c>
      <c r="B197" t="s">
        <v>338</v>
      </c>
      <c r="C197" t="s">
        <v>65</v>
      </c>
      <c r="D197">
        <v>0</v>
      </c>
      <c r="E197" t="s">
        <v>378</v>
      </c>
    </row>
    <row r="198" spans="1:5" x14ac:dyDescent="0.25">
      <c r="A198" s="279">
        <v>38968</v>
      </c>
      <c r="B198" t="s">
        <v>338</v>
      </c>
      <c r="C198" t="s">
        <v>66</v>
      </c>
      <c r="D198">
        <v>0</v>
      </c>
      <c r="E198" t="s">
        <v>380</v>
      </c>
    </row>
    <row r="199" spans="1:5" x14ac:dyDescent="0.25">
      <c r="A199" s="279">
        <v>38968</v>
      </c>
      <c r="B199" t="s">
        <v>338</v>
      </c>
      <c r="C199" t="s">
        <v>120</v>
      </c>
      <c r="D199">
        <v>2681</v>
      </c>
      <c r="E199" t="s">
        <v>378</v>
      </c>
    </row>
    <row r="200" spans="1:5" x14ac:dyDescent="0.25">
      <c r="A200" s="279">
        <v>38968</v>
      </c>
      <c r="B200" t="s">
        <v>338</v>
      </c>
      <c r="C200" t="s">
        <v>121</v>
      </c>
      <c r="D200">
        <v>0</v>
      </c>
      <c r="E200" t="s">
        <v>380</v>
      </c>
    </row>
    <row r="201" spans="1:5" x14ac:dyDescent="0.25">
      <c r="A201" s="279">
        <v>38968</v>
      </c>
      <c r="B201" t="s">
        <v>338</v>
      </c>
      <c r="C201" t="s">
        <v>67</v>
      </c>
      <c r="D201">
        <v>0</v>
      </c>
      <c r="E201" t="s">
        <v>378</v>
      </c>
    </row>
    <row r="202" spans="1:5" x14ac:dyDescent="0.25">
      <c r="A202" s="279">
        <v>38968</v>
      </c>
      <c r="B202" t="s">
        <v>338</v>
      </c>
      <c r="C202" t="s">
        <v>68</v>
      </c>
      <c r="D202">
        <v>0</v>
      </c>
      <c r="E202" t="s">
        <v>380</v>
      </c>
    </row>
    <row r="203" spans="1:5" x14ac:dyDescent="0.25">
      <c r="A203" s="279">
        <v>38968</v>
      </c>
      <c r="B203" t="s">
        <v>338</v>
      </c>
      <c r="C203" t="s">
        <v>69</v>
      </c>
      <c r="D203">
        <v>0</v>
      </c>
      <c r="E203" t="s">
        <v>379</v>
      </c>
    </row>
    <row r="204" spans="1:5" x14ac:dyDescent="0.25">
      <c r="A204" s="279">
        <v>38968</v>
      </c>
      <c r="B204" t="s">
        <v>338</v>
      </c>
      <c r="C204" t="s">
        <v>70</v>
      </c>
      <c r="D204">
        <v>0</v>
      </c>
      <c r="E204" t="s">
        <v>379</v>
      </c>
    </row>
    <row r="205" spans="1:5" x14ac:dyDescent="0.25">
      <c r="A205" s="279">
        <v>38968</v>
      </c>
      <c r="B205" t="s">
        <v>338</v>
      </c>
      <c r="C205" t="s">
        <v>80</v>
      </c>
      <c r="D205">
        <v>150</v>
      </c>
      <c r="E205" t="s">
        <v>379</v>
      </c>
    </row>
    <row r="206" spans="1:5" x14ac:dyDescent="0.25">
      <c r="A206" s="279">
        <v>38968</v>
      </c>
      <c r="B206" t="s">
        <v>339</v>
      </c>
      <c r="C206" t="s">
        <v>71</v>
      </c>
      <c r="D206">
        <v>1831</v>
      </c>
      <c r="E206" t="s">
        <v>378</v>
      </c>
    </row>
    <row r="207" spans="1:5" x14ac:dyDescent="0.25">
      <c r="A207" s="279">
        <v>38968</v>
      </c>
      <c r="B207" t="s">
        <v>339</v>
      </c>
      <c r="C207" t="s">
        <v>72</v>
      </c>
      <c r="D207">
        <v>0</v>
      </c>
      <c r="E207" t="s">
        <v>380</v>
      </c>
    </row>
    <row r="208" spans="1:5" x14ac:dyDescent="0.25">
      <c r="A208" s="279">
        <v>38968</v>
      </c>
      <c r="B208" t="s">
        <v>339</v>
      </c>
      <c r="C208" t="s">
        <v>73</v>
      </c>
      <c r="D208">
        <v>14947</v>
      </c>
      <c r="E208" t="s">
        <v>378</v>
      </c>
    </row>
    <row r="209" spans="1:5" x14ac:dyDescent="0.25">
      <c r="A209" s="279">
        <v>38968</v>
      </c>
      <c r="B209" t="s">
        <v>339</v>
      </c>
      <c r="C209" t="s">
        <v>74</v>
      </c>
      <c r="D209">
        <v>0</v>
      </c>
      <c r="E209" t="s">
        <v>380</v>
      </c>
    </row>
    <row r="210" spans="1:5" x14ac:dyDescent="0.25">
      <c r="A210" s="279">
        <v>38968</v>
      </c>
      <c r="B210" t="s">
        <v>339</v>
      </c>
      <c r="C210" t="s">
        <v>75</v>
      </c>
      <c r="D210">
        <v>15021</v>
      </c>
      <c r="E210" t="s">
        <v>378</v>
      </c>
    </row>
    <row r="211" spans="1:5" x14ac:dyDescent="0.25">
      <c r="A211" s="279">
        <v>38968</v>
      </c>
      <c r="B211" t="s">
        <v>339</v>
      </c>
      <c r="C211" t="s">
        <v>76</v>
      </c>
      <c r="D211">
        <v>0</v>
      </c>
      <c r="E211" t="s">
        <v>380</v>
      </c>
    </row>
    <row r="212" spans="1:5" x14ac:dyDescent="0.25">
      <c r="A212" s="279">
        <v>38968</v>
      </c>
      <c r="B212" t="s">
        <v>339</v>
      </c>
      <c r="C212" t="s">
        <v>77</v>
      </c>
      <c r="D212">
        <v>7275</v>
      </c>
      <c r="E212" t="s">
        <v>378</v>
      </c>
    </row>
    <row r="213" spans="1:5" x14ac:dyDescent="0.25">
      <c r="A213" s="279">
        <v>38968</v>
      </c>
      <c r="B213" t="s">
        <v>339</v>
      </c>
      <c r="C213" t="s">
        <v>78</v>
      </c>
      <c r="D213">
        <v>4729</v>
      </c>
      <c r="E213" t="s">
        <v>380</v>
      </c>
    </row>
    <row r="214" spans="1:5" x14ac:dyDescent="0.25">
      <c r="A214" s="279">
        <v>38968</v>
      </c>
      <c r="B214" t="s">
        <v>339</v>
      </c>
      <c r="C214" t="s">
        <v>79</v>
      </c>
      <c r="D214">
        <v>119349</v>
      </c>
      <c r="E214" t="s">
        <v>379</v>
      </c>
    </row>
    <row r="215" spans="1:5" x14ac:dyDescent="0.25">
      <c r="A215" s="279">
        <v>38968</v>
      </c>
      <c r="B215" t="s">
        <v>339</v>
      </c>
      <c r="C215" t="s">
        <v>70</v>
      </c>
      <c r="D215">
        <v>0</v>
      </c>
      <c r="E215" t="s">
        <v>379</v>
      </c>
    </row>
    <row r="216" spans="1:5" x14ac:dyDescent="0.25">
      <c r="A216" s="279">
        <v>38968</v>
      </c>
      <c r="B216" t="s">
        <v>339</v>
      </c>
      <c r="C216" t="s">
        <v>63</v>
      </c>
      <c r="D216">
        <v>18013</v>
      </c>
      <c r="E216" t="s">
        <v>378</v>
      </c>
    </row>
    <row r="217" spans="1:5" x14ac:dyDescent="0.25">
      <c r="A217" s="279">
        <v>38968</v>
      </c>
      <c r="B217" t="s">
        <v>339</v>
      </c>
      <c r="C217" t="s">
        <v>80</v>
      </c>
      <c r="D217">
        <v>719</v>
      </c>
      <c r="E217" t="s">
        <v>379</v>
      </c>
    </row>
    <row r="218" spans="1:5" x14ac:dyDescent="0.25">
      <c r="A218" s="279">
        <v>38969</v>
      </c>
      <c r="B218" t="s">
        <v>338</v>
      </c>
      <c r="C218" t="s">
        <v>59</v>
      </c>
      <c r="D218">
        <v>2603</v>
      </c>
      <c r="E218" t="s">
        <v>378</v>
      </c>
    </row>
    <row r="219" spans="1:5" x14ac:dyDescent="0.25">
      <c r="A219" s="279">
        <v>38969</v>
      </c>
      <c r="B219" t="s">
        <v>338</v>
      </c>
      <c r="C219" t="s">
        <v>60</v>
      </c>
      <c r="D219">
        <v>0</v>
      </c>
      <c r="E219" t="s">
        <v>379</v>
      </c>
    </row>
    <row r="220" spans="1:5" x14ac:dyDescent="0.25">
      <c r="A220" s="279">
        <v>38969</v>
      </c>
      <c r="B220" t="s">
        <v>338</v>
      </c>
      <c r="C220" t="s">
        <v>61</v>
      </c>
      <c r="D220">
        <v>13145</v>
      </c>
      <c r="E220" t="s">
        <v>378</v>
      </c>
    </row>
    <row r="221" spans="1:5" x14ac:dyDescent="0.25">
      <c r="A221" s="279">
        <v>38969</v>
      </c>
      <c r="B221" t="s">
        <v>338</v>
      </c>
      <c r="C221" t="s">
        <v>62</v>
      </c>
      <c r="D221">
        <v>0</v>
      </c>
      <c r="E221" t="s">
        <v>380</v>
      </c>
    </row>
    <row r="222" spans="1:5" x14ac:dyDescent="0.25">
      <c r="A222" s="279">
        <v>38969</v>
      </c>
      <c r="B222" t="s">
        <v>338</v>
      </c>
      <c r="C222" t="s">
        <v>63</v>
      </c>
      <c r="D222">
        <v>0</v>
      </c>
      <c r="E222" t="s">
        <v>378</v>
      </c>
    </row>
    <row r="223" spans="1:5" x14ac:dyDescent="0.25">
      <c r="A223" s="279">
        <v>38969</v>
      </c>
      <c r="B223" t="s">
        <v>338</v>
      </c>
      <c r="C223" t="s">
        <v>64</v>
      </c>
      <c r="D223">
        <v>0</v>
      </c>
      <c r="E223" t="s">
        <v>380</v>
      </c>
    </row>
    <row r="224" spans="1:5" x14ac:dyDescent="0.25">
      <c r="A224" s="279">
        <v>38969</v>
      </c>
      <c r="B224" t="s">
        <v>338</v>
      </c>
      <c r="C224" t="s">
        <v>65</v>
      </c>
      <c r="D224">
        <v>0</v>
      </c>
      <c r="E224" t="s">
        <v>378</v>
      </c>
    </row>
    <row r="225" spans="1:5" x14ac:dyDescent="0.25">
      <c r="A225" s="279">
        <v>38969</v>
      </c>
      <c r="B225" t="s">
        <v>338</v>
      </c>
      <c r="C225" t="s">
        <v>66</v>
      </c>
      <c r="D225">
        <v>0</v>
      </c>
      <c r="E225" t="s">
        <v>380</v>
      </c>
    </row>
    <row r="226" spans="1:5" x14ac:dyDescent="0.25">
      <c r="A226" s="279">
        <v>38969</v>
      </c>
      <c r="B226" t="s">
        <v>338</v>
      </c>
      <c r="C226" t="s">
        <v>120</v>
      </c>
      <c r="D226">
        <v>2678</v>
      </c>
      <c r="E226" t="s">
        <v>378</v>
      </c>
    </row>
    <row r="227" spans="1:5" x14ac:dyDescent="0.25">
      <c r="A227" s="279">
        <v>38969</v>
      </c>
      <c r="B227" t="s">
        <v>338</v>
      </c>
      <c r="C227" t="s">
        <v>121</v>
      </c>
      <c r="D227">
        <v>0</v>
      </c>
      <c r="E227" t="s">
        <v>380</v>
      </c>
    </row>
    <row r="228" spans="1:5" x14ac:dyDescent="0.25">
      <c r="A228" s="279">
        <v>38969</v>
      </c>
      <c r="B228" t="s">
        <v>338</v>
      </c>
      <c r="C228" t="s">
        <v>67</v>
      </c>
      <c r="D228">
        <v>0</v>
      </c>
      <c r="E228" t="s">
        <v>378</v>
      </c>
    </row>
    <row r="229" spans="1:5" x14ac:dyDescent="0.25">
      <c r="A229" s="279">
        <v>38969</v>
      </c>
      <c r="B229" t="s">
        <v>338</v>
      </c>
      <c r="C229" t="s">
        <v>68</v>
      </c>
      <c r="D229">
        <v>0</v>
      </c>
      <c r="E229" t="s">
        <v>380</v>
      </c>
    </row>
    <row r="230" spans="1:5" x14ac:dyDescent="0.25">
      <c r="A230" s="279">
        <v>38969</v>
      </c>
      <c r="B230" t="s">
        <v>338</v>
      </c>
      <c r="C230" t="s">
        <v>69</v>
      </c>
      <c r="D230">
        <v>0</v>
      </c>
      <c r="E230" t="s">
        <v>379</v>
      </c>
    </row>
    <row r="231" spans="1:5" x14ac:dyDescent="0.25">
      <c r="A231" s="279">
        <v>38969</v>
      </c>
      <c r="B231" t="s">
        <v>338</v>
      </c>
      <c r="C231" t="s">
        <v>70</v>
      </c>
      <c r="D231">
        <v>0</v>
      </c>
      <c r="E231" t="s">
        <v>379</v>
      </c>
    </row>
    <row r="232" spans="1:5" x14ac:dyDescent="0.25">
      <c r="A232" s="279">
        <v>38969</v>
      </c>
      <c r="B232" t="s">
        <v>338</v>
      </c>
      <c r="C232" t="s">
        <v>80</v>
      </c>
      <c r="D232">
        <v>150</v>
      </c>
      <c r="E232" t="s">
        <v>379</v>
      </c>
    </row>
    <row r="233" spans="1:5" x14ac:dyDescent="0.25">
      <c r="A233" s="279">
        <v>38969</v>
      </c>
      <c r="B233" t="s">
        <v>339</v>
      </c>
      <c r="C233" t="s">
        <v>71</v>
      </c>
      <c r="D233">
        <v>1836</v>
      </c>
      <c r="E233" t="s">
        <v>378</v>
      </c>
    </row>
    <row r="234" spans="1:5" x14ac:dyDescent="0.25">
      <c r="A234" s="279">
        <v>38969</v>
      </c>
      <c r="B234" t="s">
        <v>339</v>
      </c>
      <c r="C234" t="s">
        <v>72</v>
      </c>
      <c r="D234">
        <v>0</v>
      </c>
      <c r="E234" t="s">
        <v>380</v>
      </c>
    </row>
    <row r="235" spans="1:5" x14ac:dyDescent="0.25">
      <c r="A235" s="279">
        <v>38969</v>
      </c>
      <c r="B235" t="s">
        <v>339</v>
      </c>
      <c r="C235" t="s">
        <v>73</v>
      </c>
      <c r="D235">
        <v>14990</v>
      </c>
      <c r="E235" t="s">
        <v>378</v>
      </c>
    </row>
    <row r="236" spans="1:5" x14ac:dyDescent="0.25">
      <c r="A236" s="279">
        <v>38969</v>
      </c>
      <c r="B236" t="s">
        <v>339</v>
      </c>
      <c r="C236" t="s">
        <v>74</v>
      </c>
      <c r="D236">
        <v>0</v>
      </c>
      <c r="E236" t="s">
        <v>380</v>
      </c>
    </row>
    <row r="237" spans="1:5" x14ac:dyDescent="0.25">
      <c r="A237" s="279">
        <v>38969</v>
      </c>
      <c r="B237" t="s">
        <v>339</v>
      </c>
      <c r="C237" t="s">
        <v>75</v>
      </c>
      <c r="D237">
        <v>15065</v>
      </c>
      <c r="E237" t="s">
        <v>378</v>
      </c>
    </row>
    <row r="238" spans="1:5" x14ac:dyDescent="0.25">
      <c r="A238" s="279">
        <v>38969</v>
      </c>
      <c r="B238" t="s">
        <v>339</v>
      </c>
      <c r="C238" t="s">
        <v>76</v>
      </c>
      <c r="D238">
        <v>0</v>
      </c>
      <c r="E238" t="s">
        <v>380</v>
      </c>
    </row>
    <row r="239" spans="1:5" x14ac:dyDescent="0.25">
      <c r="A239" s="279">
        <v>38969</v>
      </c>
      <c r="B239" t="s">
        <v>339</v>
      </c>
      <c r="C239" t="s">
        <v>77</v>
      </c>
      <c r="D239">
        <v>7296</v>
      </c>
      <c r="E239" t="s">
        <v>378</v>
      </c>
    </row>
    <row r="240" spans="1:5" x14ac:dyDescent="0.25">
      <c r="A240" s="279">
        <v>38969</v>
      </c>
      <c r="B240" t="s">
        <v>339</v>
      </c>
      <c r="C240" t="s">
        <v>78</v>
      </c>
      <c r="D240">
        <v>3566</v>
      </c>
      <c r="E240" t="s">
        <v>380</v>
      </c>
    </row>
    <row r="241" spans="1:5" x14ac:dyDescent="0.25">
      <c r="A241" s="279">
        <v>38969</v>
      </c>
      <c r="B241" t="s">
        <v>339</v>
      </c>
      <c r="C241" t="s">
        <v>79</v>
      </c>
      <c r="D241">
        <v>119695</v>
      </c>
      <c r="E241" t="s">
        <v>379</v>
      </c>
    </row>
    <row r="242" spans="1:5" x14ac:dyDescent="0.25">
      <c r="A242" s="279">
        <v>38969</v>
      </c>
      <c r="B242" t="s">
        <v>339</v>
      </c>
      <c r="C242" t="s">
        <v>70</v>
      </c>
      <c r="D242">
        <v>0</v>
      </c>
      <c r="E242" t="s">
        <v>379</v>
      </c>
    </row>
    <row r="243" spans="1:5" x14ac:dyDescent="0.25">
      <c r="A243" s="279">
        <v>38969</v>
      </c>
      <c r="B243" t="s">
        <v>339</v>
      </c>
      <c r="C243" t="s">
        <v>63</v>
      </c>
      <c r="D243">
        <v>18065</v>
      </c>
      <c r="E243" t="s">
        <v>378</v>
      </c>
    </row>
    <row r="244" spans="1:5" x14ac:dyDescent="0.25">
      <c r="A244" s="279">
        <v>38969</v>
      </c>
      <c r="B244" t="s">
        <v>339</v>
      </c>
      <c r="C244" t="s">
        <v>80</v>
      </c>
      <c r="D244">
        <v>721</v>
      </c>
      <c r="E244" t="s">
        <v>379</v>
      </c>
    </row>
    <row r="245" spans="1:5" x14ac:dyDescent="0.25">
      <c r="A245" s="279">
        <v>38970</v>
      </c>
      <c r="B245" t="s">
        <v>338</v>
      </c>
      <c r="C245" t="s">
        <v>59</v>
      </c>
      <c r="D245">
        <v>2603</v>
      </c>
      <c r="E245" t="s">
        <v>378</v>
      </c>
    </row>
    <row r="246" spans="1:5" x14ac:dyDescent="0.25">
      <c r="A246" s="279">
        <v>38970</v>
      </c>
      <c r="B246" t="s">
        <v>338</v>
      </c>
      <c r="C246" t="s">
        <v>60</v>
      </c>
      <c r="D246">
        <v>0</v>
      </c>
      <c r="E246" t="s">
        <v>379</v>
      </c>
    </row>
    <row r="247" spans="1:5" x14ac:dyDescent="0.25">
      <c r="A247" s="279">
        <v>38970</v>
      </c>
      <c r="B247" t="s">
        <v>338</v>
      </c>
      <c r="C247" t="s">
        <v>61</v>
      </c>
      <c r="D247">
        <v>13145</v>
      </c>
      <c r="E247" t="s">
        <v>378</v>
      </c>
    </row>
    <row r="248" spans="1:5" x14ac:dyDescent="0.25">
      <c r="A248" s="279">
        <v>38970</v>
      </c>
      <c r="B248" t="s">
        <v>338</v>
      </c>
      <c r="C248" t="s">
        <v>62</v>
      </c>
      <c r="D248">
        <v>0</v>
      </c>
      <c r="E248" t="s">
        <v>380</v>
      </c>
    </row>
    <row r="249" spans="1:5" x14ac:dyDescent="0.25">
      <c r="A249" s="279">
        <v>38970</v>
      </c>
      <c r="B249" t="s">
        <v>338</v>
      </c>
      <c r="C249" t="s">
        <v>63</v>
      </c>
      <c r="D249">
        <v>0</v>
      </c>
      <c r="E249" t="s">
        <v>378</v>
      </c>
    </row>
    <row r="250" spans="1:5" x14ac:dyDescent="0.25">
      <c r="A250" s="279">
        <v>38970</v>
      </c>
      <c r="B250" t="s">
        <v>338</v>
      </c>
      <c r="C250" t="s">
        <v>64</v>
      </c>
      <c r="D250">
        <v>0</v>
      </c>
      <c r="E250" t="s">
        <v>380</v>
      </c>
    </row>
    <row r="251" spans="1:5" x14ac:dyDescent="0.25">
      <c r="A251" s="279">
        <v>38970</v>
      </c>
      <c r="B251" t="s">
        <v>338</v>
      </c>
      <c r="C251" t="s">
        <v>65</v>
      </c>
      <c r="D251">
        <v>0</v>
      </c>
      <c r="E251" t="s">
        <v>378</v>
      </c>
    </row>
    <row r="252" spans="1:5" x14ac:dyDescent="0.25">
      <c r="A252" s="279">
        <v>38970</v>
      </c>
      <c r="B252" t="s">
        <v>338</v>
      </c>
      <c r="C252" t="s">
        <v>66</v>
      </c>
      <c r="D252">
        <v>0</v>
      </c>
      <c r="E252" t="s">
        <v>380</v>
      </c>
    </row>
    <row r="253" spans="1:5" x14ac:dyDescent="0.25">
      <c r="A253" s="279">
        <v>38970</v>
      </c>
      <c r="B253" t="s">
        <v>338</v>
      </c>
      <c r="C253" t="s">
        <v>120</v>
      </c>
      <c r="D253">
        <v>2678</v>
      </c>
      <c r="E253" t="s">
        <v>378</v>
      </c>
    </row>
    <row r="254" spans="1:5" x14ac:dyDescent="0.25">
      <c r="A254" s="279">
        <v>38970</v>
      </c>
      <c r="B254" t="s">
        <v>338</v>
      </c>
      <c r="C254" t="s">
        <v>121</v>
      </c>
      <c r="D254">
        <v>0</v>
      </c>
      <c r="E254" t="s">
        <v>380</v>
      </c>
    </row>
    <row r="255" spans="1:5" x14ac:dyDescent="0.25">
      <c r="A255" s="279">
        <v>38970</v>
      </c>
      <c r="B255" t="s">
        <v>338</v>
      </c>
      <c r="C255" t="s">
        <v>67</v>
      </c>
      <c r="D255">
        <v>0</v>
      </c>
      <c r="E255" t="s">
        <v>378</v>
      </c>
    </row>
    <row r="256" spans="1:5" x14ac:dyDescent="0.25">
      <c r="A256" s="279">
        <v>38970</v>
      </c>
      <c r="B256" t="s">
        <v>338</v>
      </c>
      <c r="C256" t="s">
        <v>68</v>
      </c>
      <c r="D256">
        <v>0</v>
      </c>
      <c r="E256" t="s">
        <v>380</v>
      </c>
    </row>
    <row r="257" spans="1:5" x14ac:dyDescent="0.25">
      <c r="A257" s="279">
        <v>38970</v>
      </c>
      <c r="B257" t="s">
        <v>338</v>
      </c>
      <c r="C257" t="s">
        <v>69</v>
      </c>
      <c r="D257">
        <v>0</v>
      </c>
      <c r="E257" t="s">
        <v>379</v>
      </c>
    </row>
    <row r="258" spans="1:5" x14ac:dyDescent="0.25">
      <c r="A258" s="279">
        <v>38970</v>
      </c>
      <c r="B258" t="s">
        <v>338</v>
      </c>
      <c r="C258" t="s">
        <v>70</v>
      </c>
      <c r="D258">
        <v>0</v>
      </c>
      <c r="E258" t="s">
        <v>379</v>
      </c>
    </row>
    <row r="259" spans="1:5" x14ac:dyDescent="0.25">
      <c r="A259" s="279">
        <v>38970</v>
      </c>
      <c r="B259" t="s">
        <v>338</v>
      </c>
      <c r="C259" t="s">
        <v>80</v>
      </c>
      <c r="D259">
        <v>150</v>
      </c>
      <c r="E259" t="s">
        <v>379</v>
      </c>
    </row>
    <row r="260" spans="1:5" x14ac:dyDescent="0.25">
      <c r="A260" s="279">
        <v>38970</v>
      </c>
      <c r="B260" t="s">
        <v>339</v>
      </c>
      <c r="C260" t="s">
        <v>71</v>
      </c>
      <c r="D260">
        <v>1840</v>
      </c>
      <c r="E260" t="s">
        <v>378</v>
      </c>
    </row>
    <row r="261" spans="1:5" x14ac:dyDescent="0.25">
      <c r="A261" s="279">
        <v>38970</v>
      </c>
      <c r="B261" t="s">
        <v>339</v>
      </c>
      <c r="C261" t="s">
        <v>72</v>
      </c>
      <c r="D261">
        <v>0</v>
      </c>
      <c r="E261" t="s">
        <v>380</v>
      </c>
    </row>
    <row r="262" spans="1:5" x14ac:dyDescent="0.25">
      <c r="A262" s="279">
        <v>38970</v>
      </c>
      <c r="B262" t="s">
        <v>339</v>
      </c>
      <c r="C262" t="s">
        <v>73</v>
      </c>
      <c r="D262">
        <v>15019</v>
      </c>
      <c r="E262" t="s">
        <v>378</v>
      </c>
    </row>
    <row r="263" spans="1:5" x14ac:dyDescent="0.25">
      <c r="A263" s="279">
        <v>38970</v>
      </c>
      <c r="B263" t="s">
        <v>339</v>
      </c>
      <c r="C263" t="s">
        <v>74</v>
      </c>
      <c r="D263">
        <v>0</v>
      </c>
      <c r="E263" t="s">
        <v>380</v>
      </c>
    </row>
    <row r="264" spans="1:5" x14ac:dyDescent="0.25">
      <c r="A264" s="279">
        <v>38970</v>
      </c>
      <c r="B264" t="s">
        <v>339</v>
      </c>
      <c r="C264" t="s">
        <v>75</v>
      </c>
      <c r="D264">
        <v>15094</v>
      </c>
      <c r="E264" t="s">
        <v>378</v>
      </c>
    </row>
    <row r="265" spans="1:5" x14ac:dyDescent="0.25">
      <c r="A265" s="279">
        <v>38970</v>
      </c>
      <c r="B265" t="s">
        <v>339</v>
      </c>
      <c r="C265" t="s">
        <v>76</v>
      </c>
      <c r="D265">
        <v>2328</v>
      </c>
      <c r="E265" t="s">
        <v>380</v>
      </c>
    </row>
    <row r="266" spans="1:5" x14ac:dyDescent="0.25">
      <c r="A266" s="279">
        <v>38970</v>
      </c>
      <c r="B266" t="s">
        <v>339</v>
      </c>
      <c r="C266" t="s">
        <v>77</v>
      </c>
      <c r="D266">
        <v>7310</v>
      </c>
      <c r="E266" t="s">
        <v>378</v>
      </c>
    </row>
    <row r="267" spans="1:5" x14ac:dyDescent="0.25">
      <c r="A267" s="279">
        <v>38970</v>
      </c>
      <c r="B267" t="s">
        <v>339</v>
      </c>
      <c r="C267" t="s">
        <v>78</v>
      </c>
      <c r="D267">
        <v>7042</v>
      </c>
      <c r="E267" t="s">
        <v>380</v>
      </c>
    </row>
    <row r="268" spans="1:5" x14ac:dyDescent="0.25">
      <c r="A268" s="279">
        <v>38970</v>
      </c>
      <c r="B268" t="s">
        <v>339</v>
      </c>
      <c r="C268" t="s">
        <v>79</v>
      </c>
      <c r="D268">
        <v>119927</v>
      </c>
      <c r="E268" t="s">
        <v>379</v>
      </c>
    </row>
    <row r="269" spans="1:5" x14ac:dyDescent="0.25">
      <c r="A269" s="279">
        <v>38970</v>
      </c>
      <c r="B269" t="s">
        <v>339</v>
      </c>
      <c r="C269" t="s">
        <v>70</v>
      </c>
      <c r="D269">
        <v>0</v>
      </c>
      <c r="E269" t="s">
        <v>379</v>
      </c>
    </row>
    <row r="270" spans="1:5" x14ac:dyDescent="0.25">
      <c r="A270" s="279">
        <v>38970</v>
      </c>
      <c r="B270" t="s">
        <v>339</v>
      </c>
      <c r="C270" t="s">
        <v>63</v>
      </c>
      <c r="D270">
        <v>18100</v>
      </c>
      <c r="E270" t="s">
        <v>378</v>
      </c>
    </row>
    <row r="271" spans="1:5" x14ac:dyDescent="0.25">
      <c r="A271" s="279">
        <v>38970</v>
      </c>
      <c r="B271" t="s">
        <v>339</v>
      </c>
      <c r="C271" t="s">
        <v>80</v>
      </c>
      <c r="D271">
        <v>722</v>
      </c>
      <c r="E271" t="s">
        <v>379</v>
      </c>
    </row>
    <row r="272" spans="1:5" x14ac:dyDescent="0.25">
      <c r="A272" s="279">
        <v>38971</v>
      </c>
      <c r="B272" t="s">
        <v>338</v>
      </c>
      <c r="C272" t="s">
        <v>59</v>
      </c>
      <c r="D272">
        <v>2605</v>
      </c>
      <c r="E272" t="s">
        <v>378</v>
      </c>
    </row>
    <row r="273" spans="1:5" x14ac:dyDescent="0.25">
      <c r="A273" s="279">
        <v>38971</v>
      </c>
      <c r="B273" t="s">
        <v>338</v>
      </c>
      <c r="C273" t="s">
        <v>60</v>
      </c>
      <c r="D273">
        <v>0</v>
      </c>
      <c r="E273" t="s">
        <v>379</v>
      </c>
    </row>
    <row r="274" spans="1:5" x14ac:dyDescent="0.25">
      <c r="A274" s="279">
        <v>38971</v>
      </c>
      <c r="B274" t="s">
        <v>338</v>
      </c>
      <c r="C274" t="s">
        <v>61</v>
      </c>
      <c r="D274">
        <v>13158</v>
      </c>
      <c r="E274" t="s">
        <v>378</v>
      </c>
    </row>
    <row r="275" spans="1:5" x14ac:dyDescent="0.25">
      <c r="A275" s="279">
        <v>38971</v>
      </c>
      <c r="B275" t="s">
        <v>338</v>
      </c>
      <c r="C275" t="s">
        <v>62</v>
      </c>
      <c r="D275">
        <v>0</v>
      </c>
      <c r="E275" t="s">
        <v>380</v>
      </c>
    </row>
    <row r="276" spans="1:5" x14ac:dyDescent="0.25">
      <c r="A276" s="279">
        <v>38971</v>
      </c>
      <c r="B276" t="s">
        <v>338</v>
      </c>
      <c r="C276" t="s">
        <v>63</v>
      </c>
      <c r="D276">
        <v>0</v>
      </c>
      <c r="E276" t="s">
        <v>378</v>
      </c>
    </row>
    <row r="277" spans="1:5" x14ac:dyDescent="0.25">
      <c r="A277" s="279">
        <v>38971</v>
      </c>
      <c r="B277" t="s">
        <v>338</v>
      </c>
      <c r="C277" t="s">
        <v>64</v>
      </c>
      <c r="D277">
        <v>0</v>
      </c>
      <c r="E277" t="s">
        <v>380</v>
      </c>
    </row>
    <row r="278" spans="1:5" x14ac:dyDescent="0.25">
      <c r="A278" s="279">
        <v>38971</v>
      </c>
      <c r="B278" t="s">
        <v>338</v>
      </c>
      <c r="C278" t="s">
        <v>65</v>
      </c>
      <c r="D278">
        <v>0</v>
      </c>
      <c r="E278" t="s">
        <v>378</v>
      </c>
    </row>
    <row r="279" spans="1:5" x14ac:dyDescent="0.25">
      <c r="A279" s="279">
        <v>38971</v>
      </c>
      <c r="B279" t="s">
        <v>338</v>
      </c>
      <c r="C279" t="s">
        <v>66</v>
      </c>
      <c r="D279">
        <v>0</v>
      </c>
      <c r="E279" t="s">
        <v>380</v>
      </c>
    </row>
    <row r="280" spans="1:5" x14ac:dyDescent="0.25">
      <c r="A280" s="279">
        <v>38971</v>
      </c>
      <c r="B280" t="s">
        <v>338</v>
      </c>
      <c r="C280" t="s">
        <v>120</v>
      </c>
      <c r="D280">
        <v>2681</v>
      </c>
      <c r="E280" t="s">
        <v>378</v>
      </c>
    </row>
    <row r="281" spans="1:5" x14ac:dyDescent="0.25">
      <c r="A281" s="279">
        <v>38971</v>
      </c>
      <c r="B281" t="s">
        <v>338</v>
      </c>
      <c r="C281" t="s">
        <v>121</v>
      </c>
      <c r="D281">
        <v>0</v>
      </c>
      <c r="E281" t="s">
        <v>380</v>
      </c>
    </row>
    <row r="282" spans="1:5" x14ac:dyDescent="0.25">
      <c r="A282" s="279">
        <v>38971</v>
      </c>
      <c r="B282" t="s">
        <v>338</v>
      </c>
      <c r="C282" t="s">
        <v>67</v>
      </c>
      <c r="D282">
        <v>0</v>
      </c>
      <c r="E282" t="s">
        <v>378</v>
      </c>
    </row>
    <row r="283" spans="1:5" x14ac:dyDescent="0.25">
      <c r="A283" s="279">
        <v>38971</v>
      </c>
      <c r="B283" t="s">
        <v>338</v>
      </c>
      <c r="C283" t="s">
        <v>68</v>
      </c>
      <c r="D283">
        <v>0</v>
      </c>
      <c r="E283" t="s">
        <v>380</v>
      </c>
    </row>
    <row r="284" spans="1:5" x14ac:dyDescent="0.25">
      <c r="A284" s="279">
        <v>38971</v>
      </c>
      <c r="B284" t="s">
        <v>338</v>
      </c>
      <c r="C284" t="s">
        <v>69</v>
      </c>
      <c r="D284">
        <v>0</v>
      </c>
      <c r="E284" t="s">
        <v>379</v>
      </c>
    </row>
    <row r="285" spans="1:5" x14ac:dyDescent="0.25">
      <c r="A285" s="279">
        <v>38971</v>
      </c>
      <c r="B285" t="s">
        <v>338</v>
      </c>
      <c r="C285" t="s">
        <v>70</v>
      </c>
      <c r="D285">
        <v>0</v>
      </c>
      <c r="E285" t="s">
        <v>379</v>
      </c>
    </row>
    <row r="286" spans="1:5" x14ac:dyDescent="0.25">
      <c r="A286" s="279">
        <v>38971</v>
      </c>
      <c r="B286" t="s">
        <v>338</v>
      </c>
      <c r="C286" t="s">
        <v>80</v>
      </c>
      <c r="D286">
        <v>150</v>
      </c>
      <c r="E286" t="s">
        <v>379</v>
      </c>
    </row>
    <row r="287" spans="1:5" x14ac:dyDescent="0.25">
      <c r="A287" s="279">
        <v>38971</v>
      </c>
      <c r="B287" t="s">
        <v>339</v>
      </c>
      <c r="C287" t="s">
        <v>71</v>
      </c>
      <c r="D287">
        <v>1843</v>
      </c>
      <c r="E287" t="s">
        <v>378</v>
      </c>
    </row>
    <row r="288" spans="1:5" x14ac:dyDescent="0.25">
      <c r="A288" s="279">
        <v>38971</v>
      </c>
      <c r="B288" t="s">
        <v>339</v>
      </c>
      <c r="C288" t="s">
        <v>72</v>
      </c>
      <c r="D288">
        <v>0</v>
      </c>
      <c r="E288" t="s">
        <v>380</v>
      </c>
    </row>
    <row r="289" spans="1:5" x14ac:dyDescent="0.25">
      <c r="A289" s="279">
        <v>38971</v>
      </c>
      <c r="B289" t="s">
        <v>339</v>
      </c>
      <c r="C289" t="s">
        <v>73</v>
      </c>
      <c r="D289">
        <v>15048</v>
      </c>
      <c r="E289" t="s">
        <v>378</v>
      </c>
    </row>
    <row r="290" spans="1:5" x14ac:dyDescent="0.25">
      <c r="A290" s="279">
        <v>38971</v>
      </c>
      <c r="B290" t="s">
        <v>339</v>
      </c>
      <c r="C290" t="s">
        <v>74</v>
      </c>
      <c r="D290">
        <v>0</v>
      </c>
      <c r="E290" t="s">
        <v>380</v>
      </c>
    </row>
    <row r="291" spans="1:5" x14ac:dyDescent="0.25">
      <c r="A291" s="279">
        <v>38971</v>
      </c>
      <c r="B291" t="s">
        <v>339</v>
      </c>
      <c r="C291" t="s">
        <v>75</v>
      </c>
      <c r="D291">
        <v>15123</v>
      </c>
      <c r="E291" t="s">
        <v>378</v>
      </c>
    </row>
    <row r="292" spans="1:5" x14ac:dyDescent="0.25">
      <c r="A292" s="279">
        <v>38971</v>
      </c>
      <c r="B292" t="s">
        <v>339</v>
      </c>
      <c r="C292" t="s">
        <v>76</v>
      </c>
      <c r="D292">
        <v>0</v>
      </c>
      <c r="E292" t="s">
        <v>380</v>
      </c>
    </row>
    <row r="293" spans="1:5" x14ac:dyDescent="0.25">
      <c r="A293" s="279">
        <v>38971</v>
      </c>
      <c r="B293" t="s">
        <v>339</v>
      </c>
      <c r="C293" t="s">
        <v>77</v>
      </c>
      <c r="D293">
        <v>7324</v>
      </c>
      <c r="E293" t="s">
        <v>378</v>
      </c>
    </row>
    <row r="294" spans="1:5" x14ac:dyDescent="0.25">
      <c r="A294" s="279">
        <v>38971</v>
      </c>
      <c r="B294" t="s">
        <v>339</v>
      </c>
      <c r="C294" t="s">
        <v>78</v>
      </c>
      <c r="D294">
        <v>1497</v>
      </c>
      <c r="E294" t="s">
        <v>380</v>
      </c>
    </row>
    <row r="295" spans="1:5" x14ac:dyDescent="0.25">
      <c r="A295" s="279">
        <v>38971</v>
      </c>
      <c r="B295" t="s">
        <v>339</v>
      </c>
      <c r="C295" t="s">
        <v>79</v>
      </c>
      <c r="D295">
        <v>120160</v>
      </c>
      <c r="E295" t="s">
        <v>379</v>
      </c>
    </row>
    <row r="296" spans="1:5" x14ac:dyDescent="0.25">
      <c r="A296" s="279">
        <v>38971</v>
      </c>
      <c r="B296" t="s">
        <v>339</v>
      </c>
      <c r="C296" t="s">
        <v>70</v>
      </c>
      <c r="D296">
        <v>0</v>
      </c>
      <c r="E296" t="s">
        <v>379</v>
      </c>
    </row>
    <row r="297" spans="1:5" x14ac:dyDescent="0.25">
      <c r="A297" s="279">
        <v>38971</v>
      </c>
      <c r="B297" t="s">
        <v>339</v>
      </c>
      <c r="C297" t="s">
        <v>63</v>
      </c>
      <c r="D297">
        <v>18135</v>
      </c>
      <c r="E297" t="s">
        <v>378</v>
      </c>
    </row>
    <row r="298" spans="1:5" x14ac:dyDescent="0.25">
      <c r="A298" s="279">
        <v>38971</v>
      </c>
      <c r="B298" t="s">
        <v>339</v>
      </c>
      <c r="C298" t="s">
        <v>80</v>
      </c>
      <c r="D298">
        <v>724</v>
      </c>
      <c r="E298" t="s">
        <v>379</v>
      </c>
    </row>
    <row r="299" spans="1:5" x14ac:dyDescent="0.25">
      <c r="A299" s="279">
        <v>38972</v>
      </c>
      <c r="B299" t="s">
        <v>338</v>
      </c>
      <c r="C299" t="s">
        <v>59</v>
      </c>
      <c r="D299">
        <v>2605</v>
      </c>
      <c r="E299" t="s">
        <v>378</v>
      </c>
    </row>
    <row r="300" spans="1:5" x14ac:dyDescent="0.25">
      <c r="A300" s="279">
        <v>38972</v>
      </c>
      <c r="B300" t="s">
        <v>338</v>
      </c>
      <c r="C300" t="s">
        <v>60</v>
      </c>
      <c r="D300">
        <v>0</v>
      </c>
      <c r="E300" t="s">
        <v>379</v>
      </c>
    </row>
    <row r="301" spans="1:5" x14ac:dyDescent="0.25">
      <c r="A301" s="279">
        <v>38972</v>
      </c>
      <c r="B301" t="s">
        <v>338</v>
      </c>
      <c r="C301" t="s">
        <v>61</v>
      </c>
      <c r="D301">
        <v>13158</v>
      </c>
      <c r="E301" t="s">
        <v>378</v>
      </c>
    </row>
    <row r="302" spans="1:5" x14ac:dyDescent="0.25">
      <c r="A302" s="279">
        <v>38972</v>
      </c>
      <c r="B302" t="s">
        <v>338</v>
      </c>
      <c r="C302" t="s">
        <v>62</v>
      </c>
      <c r="D302">
        <v>0</v>
      </c>
      <c r="E302" t="s">
        <v>380</v>
      </c>
    </row>
    <row r="303" spans="1:5" x14ac:dyDescent="0.25">
      <c r="A303" s="279">
        <v>38972</v>
      </c>
      <c r="B303" t="s">
        <v>338</v>
      </c>
      <c r="C303" t="s">
        <v>63</v>
      </c>
      <c r="D303">
        <v>0</v>
      </c>
      <c r="E303" t="s">
        <v>378</v>
      </c>
    </row>
    <row r="304" spans="1:5" x14ac:dyDescent="0.25">
      <c r="A304" s="279">
        <v>38972</v>
      </c>
      <c r="B304" t="s">
        <v>338</v>
      </c>
      <c r="C304" t="s">
        <v>64</v>
      </c>
      <c r="D304">
        <v>0</v>
      </c>
      <c r="E304" t="s">
        <v>380</v>
      </c>
    </row>
    <row r="305" spans="1:5" x14ac:dyDescent="0.25">
      <c r="A305" s="279">
        <v>38972</v>
      </c>
      <c r="B305" t="s">
        <v>338</v>
      </c>
      <c r="C305" t="s">
        <v>65</v>
      </c>
      <c r="D305">
        <v>0</v>
      </c>
      <c r="E305" t="s">
        <v>378</v>
      </c>
    </row>
    <row r="306" spans="1:5" x14ac:dyDescent="0.25">
      <c r="A306" s="279">
        <v>38972</v>
      </c>
      <c r="B306" t="s">
        <v>338</v>
      </c>
      <c r="C306" t="s">
        <v>66</v>
      </c>
      <c r="D306">
        <v>0</v>
      </c>
      <c r="E306" t="s">
        <v>380</v>
      </c>
    </row>
    <row r="307" spans="1:5" x14ac:dyDescent="0.25">
      <c r="A307" s="279">
        <v>38972</v>
      </c>
      <c r="B307" t="s">
        <v>338</v>
      </c>
      <c r="C307" t="s">
        <v>120</v>
      </c>
      <c r="D307">
        <v>2681</v>
      </c>
      <c r="E307" t="s">
        <v>378</v>
      </c>
    </row>
    <row r="308" spans="1:5" x14ac:dyDescent="0.25">
      <c r="A308" s="279">
        <v>38972</v>
      </c>
      <c r="B308" t="s">
        <v>338</v>
      </c>
      <c r="C308" t="s">
        <v>121</v>
      </c>
      <c r="D308">
        <v>0</v>
      </c>
      <c r="E308" t="s">
        <v>380</v>
      </c>
    </row>
    <row r="309" spans="1:5" x14ac:dyDescent="0.25">
      <c r="A309" s="279">
        <v>38972</v>
      </c>
      <c r="B309" t="s">
        <v>338</v>
      </c>
      <c r="C309" t="s">
        <v>67</v>
      </c>
      <c r="D309">
        <v>0</v>
      </c>
      <c r="E309" t="s">
        <v>378</v>
      </c>
    </row>
    <row r="310" spans="1:5" x14ac:dyDescent="0.25">
      <c r="A310" s="279">
        <v>38972</v>
      </c>
      <c r="B310" t="s">
        <v>338</v>
      </c>
      <c r="C310" t="s">
        <v>68</v>
      </c>
      <c r="D310">
        <v>0</v>
      </c>
      <c r="E310" t="s">
        <v>380</v>
      </c>
    </row>
    <row r="311" spans="1:5" x14ac:dyDescent="0.25">
      <c r="A311" s="279">
        <v>38972</v>
      </c>
      <c r="B311" t="s">
        <v>338</v>
      </c>
      <c r="C311" t="s">
        <v>69</v>
      </c>
      <c r="D311">
        <v>0</v>
      </c>
      <c r="E311" t="s">
        <v>379</v>
      </c>
    </row>
    <row r="312" spans="1:5" x14ac:dyDescent="0.25">
      <c r="A312" s="279">
        <v>38972</v>
      </c>
      <c r="B312" t="s">
        <v>338</v>
      </c>
      <c r="C312" t="s">
        <v>70</v>
      </c>
      <c r="D312">
        <v>0</v>
      </c>
      <c r="E312" t="s">
        <v>379</v>
      </c>
    </row>
    <row r="313" spans="1:5" x14ac:dyDescent="0.25">
      <c r="A313" s="279">
        <v>38972</v>
      </c>
      <c r="B313" t="s">
        <v>338</v>
      </c>
      <c r="C313" t="s">
        <v>80</v>
      </c>
      <c r="D313">
        <v>150</v>
      </c>
      <c r="E313" t="s">
        <v>379</v>
      </c>
    </row>
    <row r="314" spans="1:5" x14ac:dyDescent="0.25">
      <c r="A314" s="279">
        <v>38972</v>
      </c>
      <c r="B314" t="s">
        <v>339</v>
      </c>
      <c r="C314" t="s">
        <v>71</v>
      </c>
      <c r="D314">
        <v>1838</v>
      </c>
      <c r="E314" t="s">
        <v>378</v>
      </c>
    </row>
    <row r="315" spans="1:5" x14ac:dyDescent="0.25">
      <c r="A315" s="279">
        <v>38972</v>
      </c>
      <c r="B315" t="s">
        <v>339</v>
      </c>
      <c r="C315" t="s">
        <v>72</v>
      </c>
      <c r="D315">
        <v>0</v>
      </c>
      <c r="E315" t="s">
        <v>380</v>
      </c>
    </row>
    <row r="316" spans="1:5" x14ac:dyDescent="0.25">
      <c r="A316" s="279">
        <v>38972</v>
      </c>
      <c r="B316" t="s">
        <v>339</v>
      </c>
      <c r="C316" t="s">
        <v>73</v>
      </c>
      <c r="D316">
        <v>15005</v>
      </c>
      <c r="E316" t="s">
        <v>378</v>
      </c>
    </row>
    <row r="317" spans="1:5" x14ac:dyDescent="0.25">
      <c r="A317" s="279">
        <v>38972</v>
      </c>
      <c r="B317" t="s">
        <v>339</v>
      </c>
      <c r="C317" t="s">
        <v>74</v>
      </c>
      <c r="D317">
        <v>0</v>
      </c>
      <c r="E317" t="s">
        <v>380</v>
      </c>
    </row>
    <row r="318" spans="1:5" x14ac:dyDescent="0.25">
      <c r="A318" s="279">
        <v>38972</v>
      </c>
      <c r="B318" t="s">
        <v>339</v>
      </c>
      <c r="C318" t="s">
        <v>75</v>
      </c>
      <c r="D318">
        <v>15079</v>
      </c>
      <c r="E318" t="s">
        <v>378</v>
      </c>
    </row>
    <row r="319" spans="1:5" x14ac:dyDescent="0.25">
      <c r="A319" s="279">
        <v>38972</v>
      </c>
      <c r="B319" t="s">
        <v>339</v>
      </c>
      <c r="C319" t="s">
        <v>76</v>
      </c>
      <c r="D319">
        <v>2640</v>
      </c>
      <c r="E319" t="s">
        <v>380</v>
      </c>
    </row>
    <row r="320" spans="1:5" x14ac:dyDescent="0.25">
      <c r="A320" s="279">
        <v>38972</v>
      </c>
      <c r="B320" t="s">
        <v>339</v>
      </c>
      <c r="C320" t="s">
        <v>77</v>
      </c>
      <c r="D320">
        <v>7303</v>
      </c>
      <c r="E320" t="s">
        <v>378</v>
      </c>
    </row>
    <row r="321" spans="1:5" x14ac:dyDescent="0.25">
      <c r="A321" s="279">
        <v>38972</v>
      </c>
      <c r="B321" t="s">
        <v>339</v>
      </c>
      <c r="C321" t="s">
        <v>78</v>
      </c>
      <c r="D321">
        <v>7035</v>
      </c>
      <c r="E321" t="s">
        <v>380</v>
      </c>
    </row>
    <row r="322" spans="1:5" x14ac:dyDescent="0.25">
      <c r="A322" s="279">
        <v>38972</v>
      </c>
      <c r="B322" t="s">
        <v>339</v>
      </c>
      <c r="C322" t="s">
        <v>79</v>
      </c>
      <c r="D322">
        <v>124652</v>
      </c>
      <c r="E322" t="s">
        <v>379</v>
      </c>
    </row>
    <row r="323" spans="1:5" x14ac:dyDescent="0.25">
      <c r="A323" s="279">
        <v>38972</v>
      </c>
      <c r="B323" t="s">
        <v>339</v>
      </c>
      <c r="C323" t="s">
        <v>70</v>
      </c>
      <c r="D323">
        <v>0</v>
      </c>
      <c r="E323" t="s">
        <v>379</v>
      </c>
    </row>
    <row r="324" spans="1:5" x14ac:dyDescent="0.25">
      <c r="A324" s="279">
        <v>38972</v>
      </c>
      <c r="B324" t="s">
        <v>339</v>
      </c>
      <c r="C324" t="s">
        <v>63</v>
      </c>
      <c r="D324">
        <v>18082</v>
      </c>
      <c r="E324" t="s">
        <v>378</v>
      </c>
    </row>
    <row r="325" spans="1:5" x14ac:dyDescent="0.25">
      <c r="A325" s="279">
        <v>38972</v>
      </c>
      <c r="B325" t="s">
        <v>339</v>
      </c>
      <c r="C325" t="s">
        <v>80</v>
      </c>
      <c r="D325">
        <v>722</v>
      </c>
      <c r="E325" t="s">
        <v>379</v>
      </c>
    </row>
    <row r="326" spans="1:5" x14ac:dyDescent="0.25">
      <c r="A326" s="279">
        <v>38973</v>
      </c>
      <c r="B326" t="s">
        <v>338</v>
      </c>
      <c r="C326" t="s">
        <v>59</v>
      </c>
      <c r="D326">
        <v>2613</v>
      </c>
      <c r="E326" t="s">
        <v>378</v>
      </c>
    </row>
    <row r="327" spans="1:5" x14ac:dyDescent="0.25">
      <c r="A327" s="279">
        <v>38973</v>
      </c>
      <c r="B327" t="s">
        <v>338</v>
      </c>
      <c r="C327" t="s">
        <v>60</v>
      </c>
      <c r="D327">
        <v>0</v>
      </c>
      <c r="E327" t="s">
        <v>379</v>
      </c>
    </row>
    <row r="328" spans="1:5" x14ac:dyDescent="0.25">
      <c r="A328" s="279">
        <v>38973</v>
      </c>
      <c r="B328" t="s">
        <v>338</v>
      </c>
      <c r="C328" t="s">
        <v>61</v>
      </c>
      <c r="D328">
        <v>13196</v>
      </c>
      <c r="E328" t="s">
        <v>378</v>
      </c>
    </row>
    <row r="329" spans="1:5" x14ac:dyDescent="0.25">
      <c r="A329" s="279">
        <v>38973</v>
      </c>
      <c r="B329" t="s">
        <v>338</v>
      </c>
      <c r="C329" t="s">
        <v>62</v>
      </c>
      <c r="D329">
        <v>0</v>
      </c>
      <c r="E329" t="s">
        <v>380</v>
      </c>
    </row>
    <row r="330" spans="1:5" x14ac:dyDescent="0.25">
      <c r="A330" s="279">
        <v>38973</v>
      </c>
      <c r="B330" t="s">
        <v>338</v>
      </c>
      <c r="C330" t="s">
        <v>63</v>
      </c>
      <c r="D330">
        <v>0</v>
      </c>
      <c r="E330" t="s">
        <v>378</v>
      </c>
    </row>
    <row r="331" spans="1:5" x14ac:dyDescent="0.25">
      <c r="A331" s="279">
        <v>38973</v>
      </c>
      <c r="B331" t="s">
        <v>338</v>
      </c>
      <c r="C331" t="s">
        <v>64</v>
      </c>
      <c r="D331">
        <v>0</v>
      </c>
      <c r="E331" t="s">
        <v>380</v>
      </c>
    </row>
    <row r="332" spans="1:5" x14ac:dyDescent="0.25">
      <c r="A332" s="279">
        <v>38973</v>
      </c>
      <c r="B332" t="s">
        <v>338</v>
      </c>
      <c r="C332" t="s">
        <v>65</v>
      </c>
      <c r="D332">
        <v>0</v>
      </c>
      <c r="E332" t="s">
        <v>378</v>
      </c>
    </row>
    <row r="333" spans="1:5" x14ac:dyDescent="0.25">
      <c r="A333" s="279">
        <v>38973</v>
      </c>
      <c r="B333" t="s">
        <v>338</v>
      </c>
      <c r="C333" t="s">
        <v>66</v>
      </c>
      <c r="D333">
        <v>0</v>
      </c>
      <c r="E333" t="s">
        <v>380</v>
      </c>
    </row>
    <row r="334" spans="1:5" x14ac:dyDescent="0.25">
      <c r="A334" s="279">
        <v>38973</v>
      </c>
      <c r="B334" t="s">
        <v>338</v>
      </c>
      <c r="C334" t="s">
        <v>120</v>
      </c>
      <c r="D334">
        <v>2688</v>
      </c>
      <c r="E334" t="s">
        <v>378</v>
      </c>
    </row>
    <row r="335" spans="1:5" x14ac:dyDescent="0.25">
      <c r="A335" s="279">
        <v>38973</v>
      </c>
      <c r="B335" t="s">
        <v>338</v>
      </c>
      <c r="C335" t="s">
        <v>121</v>
      </c>
      <c r="D335">
        <v>0</v>
      </c>
      <c r="E335" t="s">
        <v>380</v>
      </c>
    </row>
    <row r="336" spans="1:5" x14ac:dyDescent="0.25">
      <c r="A336" s="279">
        <v>38973</v>
      </c>
      <c r="B336" t="s">
        <v>338</v>
      </c>
      <c r="C336" t="s">
        <v>67</v>
      </c>
      <c r="D336">
        <v>0</v>
      </c>
      <c r="E336" t="s">
        <v>378</v>
      </c>
    </row>
    <row r="337" spans="1:5" x14ac:dyDescent="0.25">
      <c r="A337" s="279">
        <v>38973</v>
      </c>
      <c r="B337" t="s">
        <v>338</v>
      </c>
      <c r="C337" t="s">
        <v>68</v>
      </c>
      <c r="D337">
        <v>0</v>
      </c>
      <c r="E337" t="s">
        <v>380</v>
      </c>
    </row>
    <row r="338" spans="1:5" x14ac:dyDescent="0.25">
      <c r="A338" s="279">
        <v>38973</v>
      </c>
      <c r="B338" t="s">
        <v>338</v>
      </c>
      <c r="C338" t="s">
        <v>69</v>
      </c>
      <c r="D338">
        <v>0</v>
      </c>
      <c r="E338" t="s">
        <v>379</v>
      </c>
    </row>
    <row r="339" spans="1:5" x14ac:dyDescent="0.25">
      <c r="A339" s="279">
        <v>38973</v>
      </c>
      <c r="B339" t="s">
        <v>338</v>
      </c>
      <c r="C339" t="s">
        <v>70</v>
      </c>
      <c r="D339">
        <v>0</v>
      </c>
      <c r="E339" t="s">
        <v>379</v>
      </c>
    </row>
    <row r="340" spans="1:5" x14ac:dyDescent="0.25">
      <c r="A340" s="279">
        <v>38973</v>
      </c>
      <c r="B340" t="s">
        <v>338</v>
      </c>
      <c r="C340" t="s">
        <v>80</v>
      </c>
      <c r="D340">
        <v>151</v>
      </c>
      <c r="E340" t="s">
        <v>379</v>
      </c>
    </row>
    <row r="341" spans="1:5" x14ac:dyDescent="0.25">
      <c r="A341" s="279">
        <v>38973</v>
      </c>
      <c r="B341" t="s">
        <v>339</v>
      </c>
      <c r="C341" t="s">
        <v>71</v>
      </c>
      <c r="D341">
        <v>1840</v>
      </c>
      <c r="E341" t="s">
        <v>378</v>
      </c>
    </row>
    <row r="342" spans="1:5" x14ac:dyDescent="0.25">
      <c r="A342" s="279">
        <v>38973</v>
      </c>
      <c r="B342" t="s">
        <v>339</v>
      </c>
      <c r="C342" t="s">
        <v>72</v>
      </c>
      <c r="D342">
        <v>0</v>
      </c>
      <c r="E342" t="s">
        <v>380</v>
      </c>
    </row>
    <row r="343" spans="1:5" x14ac:dyDescent="0.25">
      <c r="A343" s="279">
        <v>38973</v>
      </c>
      <c r="B343" t="s">
        <v>339</v>
      </c>
      <c r="C343" t="s">
        <v>73</v>
      </c>
      <c r="D343">
        <v>15019</v>
      </c>
      <c r="E343" t="s">
        <v>378</v>
      </c>
    </row>
    <row r="344" spans="1:5" x14ac:dyDescent="0.25">
      <c r="A344" s="279">
        <v>38973</v>
      </c>
      <c r="B344" t="s">
        <v>339</v>
      </c>
      <c r="C344" t="s">
        <v>74</v>
      </c>
      <c r="D344">
        <v>0</v>
      </c>
      <c r="E344" t="s">
        <v>380</v>
      </c>
    </row>
    <row r="345" spans="1:5" x14ac:dyDescent="0.25">
      <c r="A345" s="279">
        <v>38973</v>
      </c>
      <c r="B345" t="s">
        <v>339</v>
      </c>
      <c r="C345" t="s">
        <v>75</v>
      </c>
      <c r="D345">
        <v>15094</v>
      </c>
      <c r="E345" t="s">
        <v>378</v>
      </c>
    </row>
    <row r="346" spans="1:5" x14ac:dyDescent="0.25">
      <c r="A346" s="279">
        <v>38973</v>
      </c>
      <c r="B346" t="s">
        <v>339</v>
      </c>
      <c r="C346" t="s">
        <v>76</v>
      </c>
      <c r="D346">
        <v>3027</v>
      </c>
      <c r="E346" t="s">
        <v>380</v>
      </c>
    </row>
    <row r="347" spans="1:5" x14ac:dyDescent="0.25">
      <c r="A347" s="279">
        <v>38973</v>
      </c>
      <c r="B347" t="s">
        <v>339</v>
      </c>
      <c r="C347" t="s">
        <v>77</v>
      </c>
      <c r="D347">
        <v>7310</v>
      </c>
      <c r="E347" t="s">
        <v>378</v>
      </c>
    </row>
    <row r="348" spans="1:5" x14ac:dyDescent="0.25">
      <c r="A348" s="279">
        <v>38973</v>
      </c>
      <c r="B348" t="s">
        <v>339</v>
      </c>
      <c r="C348" t="s">
        <v>78</v>
      </c>
      <c r="D348">
        <v>7042</v>
      </c>
      <c r="E348" t="s">
        <v>380</v>
      </c>
    </row>
    <row r="349" spans="1:5" x14ac:dyDescent="0.25">
      <c r="A349" s="279">
        <v>38973</v>
      </c>
      <c r="B349" t="s">
        <v>339</v>
      </c>
      <c r="C349" t="s">
        <v>79</v>
      </c>
      <c r="D349">
        <v>124772</v>
      </c>
      <c r="E349" t="s">
        <v>379</v>
      </c>
    </row>
    <row r="350" spans="1:5" x14ac:dyDescent="0.25">
      <c r="A350" s="279">
        <v>38973</v>
      </c>
      <c r="B350" t="s">
        <v>339</v>
      </c>
      <c r="C350" t="s">
        <v>70</v>
      </c>
      <c r="D350">
        <v>0</v>
      </c>
      <c r="E350" t="s">
        <v>379</v>
      </c>
    </row>
    <row r="351" spans="1:5" x14ac:dyDescent="0.25">
      <c r="A351" s="279">
        <v>38973</v>
      </c>
      <c r="B351" t="s">
        <v>339</v>
      </c>
      <c r="C351" t="s">
        <v>63</v>
      </c>
      <c r="D351">
        <v>18100</v>
      </c>
      <c r="E351" t="s">
        <v>378</v>
      </c>
    </row>
    <row r="352" spans="1:5" x14ac:dyDescent="0.25">
      <c r="A352" s="279">
        <v>38973</v>
      </c>
      <c r="B352" t="s">
        <v>339</v>
      </c>
      <c r="C352" t="s">
        <v>80</v>
      </c>
      <c r="D352">
        <v>722</v>
      </c>
      <c r="E352" t="s">
        <v>379</v>
      </c>
    </row>
    <row r="353" spans="1:5" x14ac:dyDescent="0.25">
      <c r="A353" s="279">
        <v>38974</v>
      </c>
      <c r="B353" t="s">
        <v>338</v>
      </c>
      <c r="C353" t="s">
        <v>59</v>
      </c>
      <c r="D353">
        <v>2608</v>
      </c>
      <c r="E353" t="s">
        <v>378</v>
      </c>
    </row>
    <row r="354" spans="1:5" x14ac:dyDescent="0.25">
      <c r="A354" s="279">
        <v>38974</v>
      </c>
      <c r="B354" t="s">
        <v>338</v>
      </c>
      <c r="C354" t="s">
        <v>60</v>
      </c>
      <c r="D354">
        <v>0</v>
      </c>
      <c r="E354" t="s">
        <v>379</v>
      </c>
    </row>
    <row r="355" spans="1:5" x14ac:dyDescent="0.25">
      <c r="A355" s="279">
        <v>38974</v>
      </c>
      <c r="B355" t="s">
        <v>338</v>
      </c>
      <c r="C355" t="s">
        <v>61</v>
      </c>
      <c r="D355">
        <v>13171</v>
      </c>
      <c r="E355" t="s">
        <v>378</v>
      </c>
    </row>
    <row r="356" spans="1:5" x14ac:dyDescent="0.25">
      <c r="A356" s="279">
        <v>38974</v>
      </c>
      <c r="B356" t="s">
        <v>338</v>
      </c>
      <c r="C356" t="s">
        <v>62</v>
      </c>
      <c r="D356">
        <v>0</v>
      </c>
      <c r="E356" t="s">
        <v>380</v>
      </c>
    </row>
    <row r="357" spans="1:5" x14ac:dyDescent="0.25">
      <c r="A357" s="279">
        <v>38974</v>
      </c>
      <c r="B357" t="s">
        <v>338</v>
      </c>
      <c r="C357" t="s">
        <v>63</v>
      </c>
      <c r="D357">
        <v>0</v>
      </c>
      <c r="E357" t="s">
        <v>378</v>
      </c>
    </row>
    <row r="358" spans="1:5" x14ac:dyDescent="0.25">
      <c r="A358" s="279">
        <v>38974</v>
      </c>
      <c r="B358" t="s">
        <v>338</v>
      </c>
      <c r="C358" t="s">
        <v>64</v>
      </c>
      <c r="D358">
        <v>0</v>
      </c>
      <c r="E358" t="s">
        <v>380</v>
      </c>
    </row>
    <row r="359" spans="1:5" x14ac:dyDescent="0.25">
      <c r="A359" s="279">
        <v>38974</v>
      </c>
      <c r="B359" t="s">
        <v>338</v>
      </c>
      <c r="C359" t="s">
        <v>65</v>
      </c>
      <c r="D359">
        <v>0</v>
      </c>
      <c r="E359" t="s">
        <v>378</v>
      </c>
    </row>
    <row r="360" spans="1:5" x14ac:dyDescent="0.25">
      <c r="A360" s="279">
        <v>38974</v>
      </c>
      <c r="B360" t="s">
        <v>338</v>
      </c>
      <c r="C360" t="s">
        <v>66</v>
      </c>
      <c r="D360">
        <v>0</v>
      </c>
      <c r="E360" t="s">
        <v>380</v>
      </c>
    </row>
    <row r="361" spans="1:5" x14ac:dyDescent="0.25">
      <c r="A361" s="279">
        <v>38974</v>
      </c>
      <c r="B361" t="s">
        <v>338</v>
      </c>
      <c r="C361" t="s">
        <v>120</v>
      </c>
      <c r="D361">
        <v>2683</v>
      </c>
      <c r="E361" t="s">
        <v>378</v>
      </c>
    </row>
    <row r="362" spans="1:5" x14ac:dyDescent="0.25">
      <c r="A362" s="279">
        <v>38974</v>
      </c>
      <c r="B362" t="s">
        <v>338</v>
      </c>
      <c r="C362" t="s">
        <v>121</v>
      </c>
      <c r="D362">
        <v>0</v>
      </c>
      <c r="E362" t="s">
        <v>380</v>
      </c>
    </row>
    <row r="363" spans="1:5" x14ac:dyDescent="0.25">
      <c r="A363" s="279">
        <v>38974</v>
      </c>
      <c r="B363" t="s">
        <v>338</v>
      </c>
      <c r="C363" t="s">
        <v>67</v>
      </c>
      <c r="D363">
        <v>0</v>
      </c>
      <c r="E363" t="s">
        <v>378</v>
      </c>
    </row>
    <row r="364" spans="1:5" x14ac:dyDescent="0.25">
      <c r="A364" s="279">
        <v>38974</v>
      </c>
      <c r="B364" t="s">
        <v>338</v>
      </c>
      <c r="C364" t="s">
        <v>68</v>
      </c>
      <c r="D364">
        <v>0</v>
      </c>
      <c r="E364" t="s">
        <v>380</v>
      </c>
    </row>
    <row r="365" spans="1:5" x14ac:dyDescent="0.25">
      <c r="A365" s="279">
        <v>38974</v>
      </c>
      <c r="B365" t="s">
        <v>338</v>
      </c>
      <c r="C365" t="s">
        <v>69</v>
      </c>
      <c r="D365">
        <v>0</v>
      </c>
      <c r="E365" t="s">
        <v>379</v>
      </c>
    </row>
    <row r="366" spans="1:5" x14ac:dyDescent="0.25">
      <c r="A366" s="279">
        <v>38974</v>
      </c>
      <c r="B366" t="s">
        <v>338</v>
      </c>
      <c r="C366" t="s">
        <v>70</v>
      </c>
      <c r="D366">
        <v>0</v>
      </c>
      <c r="E366" t="s">
        <v>379</v>
      </c>
    </row>
    <row r="367" spans="1:5" x14ac:dyDescent="0.25">
      <c r="A367" s="279">
        <v>38974</v>
      </c>
      <c r="B367" t="s">
        <v>338</v>
      </c>
      <c r="C367" t="s">
        <v>80</v>
      </c>
      <c r="D367">
        <v>151</v>
      </c>
      <c r="E367" t="s">
        <v>379</v>
      </c>
    </row>
    <row r="368" spans="1:5" x14ac:dyDescent="0.25">
      <c r="A368" s="279">
        <v>38974</v>
      </c>
      <c r="B368" t="s">
        <v>339</v>
      </c>
      <c r="C368" t="s">
        <v>71</v>
      </c>
      <c r="D368">
        <v>1836</v>
      </c>
      <c r="E368" t="s">
        <v>378</v>
      </c>
    </row>
    <row r="369" spans="1:5" x14ac:dyDescent="0.25">
      <c r="A369" s="279">
        <v>38974</v>
      </c>
      <c r="B369" t="s">
        <v>339</v>
      </c>
      <c r="C369" t="s">
        <v>72</v>
      </c>
      <c r="D369">
        <v>0</v>
      </c>
      <c r="E369" t="s">
        <v>380</v>
      </c>
    </row>
    <row r="370" spans="1:5" x14ac:dyDescent="0.25">
      <c r="A370" s="279">
        <v>38974</v>
      </c>
      <c r="B370" t="s">
        <v>339</v>
      </c>
      <c r="C370" t="s">
        <v>73</v>
      </c>
      <c r="D370">
        <v>14990</v>
      </c>
      <c r="E370" t="s">
        <v>378</v>
      </c>
    </row>
    <row r="371" spans="1:5" x14ac:dyDescent="0.25">
      <c r="A371" s="279">
        <v>38974</v>
      </c>
      <c r="B371" t="s">
        <v>339</v>
      </c>
      <c r="C371" t="s">
        <v>74</v>
      </c>
      <c r="D371">
        <v>0</v>
      </c>
      <c r="E371" t="s">
        <v>380</v>
      </c>
    </row>
    <row r="372" spans="1:5" x14ac:dyDescent="0.25">
      <c r="A372" s="279">
        <v>38974</v>
      </c>
      <c r="B372" t="s">
        <v>339</v>
      </c>
      <c r="C372" t="s">
        <v>75</v>
      </c>
      <c r="D372">
        <v>15065</v>
      </c>
      <c r="E372" t="s">
        <v>378</v>
      </c>
    </row>
    <row r="373" spans="1:5" x14ac:dyDescent="0.25">
      <c r="A373" s="279">
        <v>38974</v>
      </c>
      <c r="B373" t="s">
        <v>339</v>
      </c>
      <c r="C373" t="s">
        <v>76</v>
      </c>
      <c r="D373">
        <v>1745</v>
      </c>
      <c r="E373" t="s">
        <v>380</v>
      </c>
    </row>
    <row r="374" spans="1:5" x14ac:dyDescent="0.25">
      <c r="A374" s="279">
        <v>38974</v>
      </c>
      <c r="B374" t="s">
        <v>339</v>
      </c>
      <c r="C374" t="s">
        <v>77</v>
      </c>
      <c r="D374">
        <v>7296</v>
      </c>
      <c r="E374" t="s">
        <v>378</v>
      </c>
    </row>
    <row r="375" spans="1:5" x14ac:dyDescent="0.25">
      <c r="A375" s="279">
        <v>38974</v>
      </c>
      <c r="B375" t="s">
        <v>339</v>
      </c>
      <c r="C375" t="s">
        <v>78</v>
      </c>
      <c r="D375">
        <v>7028</v>
      </c>
      <c r="E375" t="s">
        <v>380</v>
      </c>
    </row>
    <row r="376" spans="1:5" x14ac:dyDescent="0.25">
      <c r="A376" s="279">
        <v>38974</v>
      </c>
      <c r="B376" t="s">
        <v>339</v>
      </c>
      <c r="C376" t="s">
        <v>79</v>
      </c>
      <c r="D376">
        <v>124531</v>
      </c>
      <c r="E376" t="s">
        <v>379</v>
      </c>
    </row>
    <row r="377" spans="1:5" x14ac:dyDescent="0.25">
      <c r="A377" s="279">
        <v>38974</v>
      </c>
      <c r="B377" t="s">
        <v>339</v>
      </c>
      <c r="C377" t="s">
        <v>70</v>
      </c>
      <c r="D377">
        <v>0</v>
      </c>
      <c r="E377" t="s">
        <v>379</v>
      </c>
    </row>
    <row r="378" spans="1:5" x14ac:dyDescent="0.25">
      <c r="A378" s="279">
        <v>38974</v>
      </c>
      <c r="B378" t="s">
        <v>339</v>
      </c>
      <c r="C378" t="s">
        <v>63</v>
      </c>
      <c r="D378">
        <v>18065</v>
      </c>
      <c r="E378" t="s">
        <v>378</v>
      </c>
    </row>
    <row r="379" spans="1:5" x14ac:dyDescent="0.25">
      <c r="A379" s="279">
        <v>38974</v>
      </c>
      <c r="B379" t="s">
        <v>339</v>
      </c>
      <c r="C379" t="s">
        <v>80</v>
      </c>
      <c r="D379">
        <v>721</v>
      </c>
      <c r="E379" t="s">
        <v>379</v>
      </c>
    </row>
    <row r="380" spans="1:5" x14ac:dyDescent="0.25">
      <c r="A380" s="279">
        <v>38975</v>
      </c>
      <c r="B380" t="s">
        <v>338</v>
      </c>
      <c r="C380" t="s">
        <v>59</v>
      </c>
      <c r="D380">
        <v>2621</v>
      </c>
      <c r="E380" t="s">
        <v>378</v>
      </c>
    </row>
    <row r="381" spans="1:5" x14ac:dyDescent="0.25">
      <c r="A381" s="279">
        <v>38975</v>
      </c>
      <c r="B381" t="s">
        <v>338</v>
      </c>
      <c r="C381" t="s">
        <v>60</v>
      </c>
      <c r="D381">
        <v>0</v>
      </c>
      <c r="E381" t="s">
        <v>379</v>
      </c>
    </row>
    <row r="382" spans="1:5" x14ac:dyDescent="0.25">
      <c r="A382" s="279">
        <v>38975</v>
      </c>
      <c r="B382" t="s">
        <v>338</v>
      </c>
      <c r="C382" t="s">
        <v>61</v>
      </c>
      <c r="D382">
        <v>13235</v>
      </c>
      <c r="E382" t="s">
        <v>378</v>
      </c>
    </row>
    <row r="383" spans="1:5" x14ac:dyDescent="0.25">
      <c r="A383" s="279">
        <v>38975</v>
      </c>
      <c r="B383" t="s">
        <v>338</v>
      </c>
      <c r="C383" t="s">
        <v>62</v>
      </c>
      <c r="D383">
        <v>0</v>
      </c>
      <c r="E383" t="s">
        <v>380</v>
      </c>
    </row>
    <row r="384" spans="1:5" x14ac:dyDescent="0.25">
      <c r="A384" s="279">
        <v>38975</v>
      </c>
      <c r="B384" t="s">
        <v>338</v>
      </c>
      <c r="C384" t="s">
        <v>63</v>
      </c>
      <c r="D384">
        <v>0</v>
      </c>
      <c r="E384" t="s">
        <v>378</v>
      </c>
    </row>
    <row r="385" spans="1:5" x14ac:dyDescent="0.25">
      <c r="A385" s="279">
        <v>38975</v>
      </c>
      <c r="B385" t="s">
        <v>338</v>
      </c>
      <c r="C385" t="s">
        <v>64</v>
      </c>
      <c r="D385">
        <v>0</v>
      </c>
      <c r="E385" t="s">
        <v>380</v>
      </c>
    </row>
    <row r="386" spans="1:5" x14ac:dyDescent="0.25">
      <c r="A386" s="279">
        <v>38975</v>
      </c>
      <c r="B386" t="s">
        <v>338</v>
      </c>
      <c r="C386" t="s">
        <v>65</v>
      </c>
      <c r="D386">
        <v>0</v>
      </c>
      <c r="E386" t="s">
        <v>378</v>
      </c>
    </row>
    <row r="387" spans="1:5" x14ac:dyDescent="0.25">
      <c r="A387" s="279">
        <v>38975</v>
      </c>
      <c r="B387" t="s">
        <v>338</v>
      </c>
      <c r="C387" t="s">
        <v>66</v>
      </c>
      <c r="D387">
        <v>0</v>
      </c>
      <c r="E387" t="s">
        <v>380</v>
      </c>
    </row>
    <row r="388" spans="1:5" x14ac:dyDescent="0.25">
      <c r="A388" s="279">
        <v>38975</v>
      </c>
      <c r="B388" t="s">
        <v>338</v>
      </c>
      <c r="C388" t="s">
        <v>120</v>
      </c>
      <c r="D388">
        <v>2696</v>
      </c>
      <c r="E388" t="s">
        <v>378</v>
      </c>
    </row>
    <row r="389" spans="1:5" x14ac:dyDescent="0.25">
      <c r="A389" s="279">
        <v>38975</v>
      </c>
      <c r="B389" t="s">
        <v>338</v>
      </c>
      <c r="C389" t="s">
        <v>121</v>
      </c>
      <c r="D389">
        <v>0</v>
      </c>
      <c r="E389" t="s">
        <v>380</v>
      </c>
    </row>
    <row r="390" spans="1:5" x14ac:dyDescent="0.25">
      <c r="A390" s="279">
        <v>38975</v>
      </c>
      <c r="B390" t="s">
        <v>338</v>
      </c>
      <c r="C390" t="s">
        <v>67</v>
      </c>
      <c r="D390">
        <v>0</v>
      </c>
      <c r="E390" t="s">
        <v>378</v>
      </c>
    </row>
    <row r="391" spans="1:5" x14ac:dyDescent="0.25">
      <c r="A391" s="279">
        <v>38975</v>
      </c>
      <c r="B391" t="s">
        <v>338</v>
      </c>
      <c r="C391" t="s">
        <v>68</v>
      </c>
      <c r="D391">
        <v>0</v>
      </c>
      <c r="E391" t="s">
        <v>380</v>
      </c>
    </row>
    <row r="392" spans="1:5" x14ac:dyDescent="0.25">
      <c r="A392" s="279">
        <v>38975</v>
      </c>
      <c r="B392" t="s">
        <v>338</v>
      </c>
      <c r="C392" t="s">
        <v>69</v>
      </c>
      <c r="D392">
        <v>0</v>
      </c>
      <c r="E392" t="s">
        <v>379</v>
      </c>
    </row>
    <row r="393" spans="1:5" x14ac:dyDescent="0.25">
      <c r="A393" s="279">
        <v>38975</v>
      </c>
      <c r="B393" t="s">
        <v>338</v>
      </c>
      <c r="C393" t="s">
        <v>70</v>
      </c>
      <c r="D393">
        <v>0</v>
      </c>
      <c r="E393" t="s">
        <v>379</v>
      </c>
    </row>
    <row r="394" spans="1:5" x14ac:dyDescent="0.25">
      <c r="A394" s="279">
        <v>38975</v>
      </c>
      <c r="B394" t="s">
        <v>338</v>
      </c>
      <c r="C394" t="s">
        <v>80</v>
      </c>
      <c r="D394">
        <v>151</v>
      </c>
      <c r="E394" t="s">
        <v>379</v>
      </c>
    </row>
    <row r="395" spans="1:5" x14ac:dyDescent="0.25">
      <c r="A395" s="279">
        <v>38975</v>
      </c>
      <c r="B395" t="s">
        <v>339</v>
      </c>
      <c r="C395" t="s">
        <v>71</v>
      </c>
      <c r="D395">
        <v>1836</v>
      </c>
      <c r="E395" t="s">
        <v>378</v>
      </c>
    </row>
    <row r="396" spans="1:5" x14ac:dyDescent="0.25">
      <c r="A396" s="279">
        <v>38975</v>
      </c>
      <c r="B396" t="s">
        <v>339</v>
      </c>
      <c r="C396" t="s">
        <v>72</v>
      </c>
      <c r="D396">
        <v>0</v>
      </c>
      <c r="E396" t="s">
        <v>380</v>
      </c>
    </row>
    <row r="397" spans="1:5" x14ac:dyDescent="0.25">
      <c r="A397" s="279">
        <v>38975</v>
      </c>
      <c r="B397" t="s">
        <v>339</v>
      </c>
      <c r="C397" t="s">
        <v>73</v>
      </c>
      <c r="D397">
        <v>14990</v>
      </c>
      <c r="E397" t="s">
        <v>378</v>
      </c>
    </row>
    <row r="398" spans="1:5" x14ac:dyDescent="0.25">
      <c r="A398" s="279">
        <v>38975</v>
      </c>
      <c r="B398" t="s">
        <v>339</v>
      </c>
      <c r="C398" t="s">
        <v>74</v>
      </c>
      <c r="D398">
        <v>0</v>
      </c>
      <c r="E398" t="s">
        <v>380</v>
      </c>
    </row>
    <row r="399" spans="1:5" x14ac:dyDescent="0.25">
      <c r="A399" s="279">
        <v>38975</v>
      </c>
      <c r="B399" t="s">
        <v>339</v>
      </c>
      <c r="C399" t="s">
        <v>75</v>
      </c>
      <c r="D399">
        <v>15065</v>
      </c>
      <c r="E399" t="s">
        <v>378</v>
      </c>
    </row>
    <row r="400" spans="1:5" x14ac:dyDescent="0.25">
      <c r="A400" s="279">
        <v>38975</v>
      </c>
      <c r="B400" t="s">
        <v>339</v>
      </c>
      <c r="C400" t="s">
        <v>76</v>
      </c>
      <c r="D400">
        <v>8309</v>
      </c>
      <c r="E400" t="s">
        <v>380</v>
      </c>
    </row>
    <row r="401" spans="1:5" x14ac:dyDescent="0.25">
      <c r="A401" s="279">
        <v>38975</v>
      </c>
      <c r="B401" t="s">
        <v>339</v>
      </c>
      <c r="C401" t="s">
        <v>77</v>
      </c>
      <c r="D401">
        <v>7296</v>
      </c>
      <c r="E401" t="s">
        <v>378</v>
      </c>
    </row>
    <row r="402" spans="1:5" x14ac:dyDescent="0.25">
      <c r="A402" s="279">
        <v>38975</v>
      </c>
      <c r="B402" t="s">
        <v>339</v>
      </c>
      <c r="C402" t="s">
        <v>78</v>
      </c>
      <c r="D402">
        <v>7028</v>
      </c>
      <c r="E402" t="s">
        <v>380</v>
      </c>
    </row>
    <row r="403" spans="1:5" x14ac:dyDescent="0.25">
      <c r="A403" s="279">
        <v>38975</v>
      </c>
      <c r="B403" t="s">
        <v>339</v>
      </c>
      <c r="C403" t="s">
        <v>79</v>
      </c>
      <c r="D403">
        <v>119597</v>
      </c>
      <c r="E403" t="s">
        <v>379</v>
      </c>
    </row>
    <row r="404" spans="1:5" x14ac:dyDescent="0.25">
      <c r="A404" s="279">
        <v>38975</v>
      </c>
      <c r="B404" t="s">
        <v>339</v>
      </c>
      <c r="C404" t="s">
        <v>70</v>
      </c>
      <c r="D404">
        <v>0</v>
      </c>
      <c r="E404" t="s">
        <v>379</v>
      </c>
    </row>
    <row r="405" spans="1:5" x14ac:dyDescent="0.25">
      <c r="A405" s="279">
        <v>38975</v>
      </c>
      <c r="B405" t="s">
        <v>339</v>
      </c>
      <c r="C405" t="s">
        <v>63</v>
      </c>
      <c r="D405">
        <v>18065</v>
      </c>
      <c r="E405" t="s">
        <v>378</v>
      </c>
    </row>
    <row r="406" spans="1:5" x14ac:dyDescent="0.25">
      <c r="A406" s="279">
        <v>38975</v>
      </c>
      <c r="B406" t="s">
        <v>339</v>
      </c>
      <c r="C406" t="s">
        <v>80</v>
      </c>
      <c r="D406">
        <v>721</v>
      </c>
      <c r="E406" t="s">
        <v>379</v>
      </c>
    </row>
    <row r="407" spans="1:5" x14ac:dyDescent="0.25">
      <c r="A407" s="279">
        <v>38976</v>
      </c>
      <c r="B407" t="s">
        <v>338</v>
      </c>
      <c r="C407" t="s">
        <v>59</v>
      </c>
      <c r="D407">
        <v>2621</v>
      </c>
      <c r="E407" t="s">
        <v>378</v>
      </c>
    </row>
    <row r="408" spans="1:5" x14ac:dyDescent="0.25">
      <c r="A408" s="279">
        <v>38976</v>
      </c>
      <c r="B408" t="s">
        <v>338</v>
      </c>
      <c r="C408" t="s">
        <v>60</v>
      </c>
      <c r="D408">
        <v>0</v>
      </c>
      <c r="E408" t="s">
        <v>379</v>
      </c>
    </row>
    <row r="409" spans="1:5" x14ac:dyDescent="0.25">
      <c r="A409" s="279">
        <v>38976</v>
      </c>
      <c r="B409" t="s">
        <v>338</v>
      </c>
      <c r="C409" t="s">
        <v>61</v>
      </c>
      <c r="D409">
        <v>13235</v>
      </c>
      <c r="E409" t="s">
        <v>378</v>
      </c>
    </row>
    <row r="410" spans="1:5" x14ac:dyDescent="0.25">
      <c r="A410" s="279">
        <v>38976</v>
      </c>
      <c r="B410" t="s">
        <v>338</v>
      </c>
      <c r="C410" t="s">
        <v>62</v>
      </c>
      <c r="D410">
        <v>0</v>
      </c>
      <c r="E410" t="s">
        <v>380</v>
      </c>
    </row>
    <row r="411" spans="1:5" x14ac:dyDescent="0.25">
      <c r="A411" s="279">
        <v>38976</v>
      </c>
      <c r="B411" t="s">
        <v>338</v>
      </c>
      <c r="C411" t="s">
        <v>63</v>
      </c>
      <c r="D411">
        <v>0</v>
      </c>
      <c r="E411" t="s">
        <v>378</v>
      </c>
    </row>
    <row r="412" spans="1:5" x14ac:dyDescent="0.25">
      <c r="A412" s="279">
        <v>38976</v>
      </c>
      <c r="B412" t="s">
        <v>338</v>
      </c>
      <c r="C412" t="s">
        <v>64</v>
      </c>
      <c r="D412">
        <v>0</v>
      </c>
      <c r="E412" t="s">
        <v>380</v>
      </c>
    </row>
    <row r="413" spans="1:5" x14ac:dyDescent="0.25">
      <c r="A413" s="279">
        <v>38976</v>
      </c>
      <c r="B413" t="s">
        <v>338</v>
      </c>
      <c r="C413" t="s">
        <v>65</v>
      </c>
      <c r="D413">
        <v>0</v>
      </c>
      <c r="E413" t="s">
        <v>378</v>
      </c>
    </row>
    <row r="414" spans="1:5" x14ac:dyDescent="0.25">
      <c r="A414" s="279">
        <v>38976</v>
      </c>
      <c r="B414" t="s">
        <v>338</v>
      </c>
      <c r="C414" t="s">
        <v>66</v>
      </c>
      <c r="D414">
        <v>0</v>
      </c>
      <c r="E414" t="s">
        <v>380</v>
      </c>
    </row>
    <row r="415" spans="1:5" x14ac:dyDescent="0.25">
      <c r="A415" s="279">
        <v>38976</v>
      </c>
      <c r="B415" t="s">
        <v>338</v>
      </c>
      <c r="C415" t="s">
        <v>120</v>
      </c>
      <c r="D415">
        <v>2696</v>
      </c>
      <c r="E415" t="s">
        <v>378</v>
      </c>
    </row>
    <row r="416" spans="1:5" x14ac:dyDescent="0.25">
      <c r="A416" s="279">
        <v>38976</v>
      </c>
      <c r="B416" t="s">
        <v>338</v>
      </c>
      <c r="C416" t="s">
        <v>121</v>
      </c>
      <c r="D416">
        <v>0</v>
      </c>
      <c r="E416" t="s">
        <v>380</v>
      </c>
    </row>
    <row r="417" spans="1:5" x14ac:dyDescent="0.25">
      <c r="A417" s="279">
        <v>38976</v>
      </c>
      <c r="B417" t="s">
        <v>338</v>
      </c>
      <c r="C417" t="s">
        <v>67</v>
      </c>
      <c r="D417">
        <v>0</v>
      </c>
      <c r="E417" t="s">
        <v>378</v>
      </c>
    </row>
    <row r="418" spans="1:5" x14ac:dyDescent="0.25">
      <c r="A418" s="279">
        <v>38976</v>
      </c>
      <c r="B418" t="s">
        <v>338</v>
      </c>
      <c r="C418" t="s">
        <v>68</v>
      </c>
      <c r="D418">
        <v>0</v>
      </c>
      <c r="E418" t="s">
        <v>380</v>
      </c>
    </row>
    <row r="419" spans="1:5" x14ac:dyDescent="0.25">
      <c r="A419" s="279">
        <v>38976</v>
      </c>
      <c r="B419" t="s">
        <v>338</v>
      </c>
      <c r="C419" t="s">
        <v>69</v>
      </c>
      <c r="D419">
        <v>0</v>
      </c>
      <c r="E419" t="s">
        <v>379</v>
      </c>
    </row>
    <row r="420" spans="1:5" x14ac:dyDescent="0.25">
      <c r="A420" s="279">
        <v>38976</v>
      </c>
      <c r="B420" t="s">
        <v>338</v>
      </c>
      <c r="C420" t="s">
        <v>70</v>
      </c>
      <c r="D420">
        <v>0</v>
      </c>
      <c r="E420" t="s">
        <v>379</v>
      </c>
    </row>
    <row r="421" spans="1:5" x14ac:dyDescent="0.25">
      <c r="A421" s="279">
        <v>38976</v>
      </c>
      <c r="B421" t="s">
        <v>338</v>
      </c>
      <c r="C421" t="s">
        <v>80</v>
      </c>
      <c r="D421">
        <v>151</v>
      </c>
      <c r="E421" t="s">
        <v>379</v>
      </c>
    </row>
    <row r="422" spans="1:5" x14ac:dyDescent="0.25">
      <c r="A422" s="279">
        <v>38976</v>
      </c>
      <c r="B422" t="s">
        <v>339</v>
      </c>
      <c r="C422" t="s">
        <v>71</v>
      </c>
      <c r="D422">
        <v>1840</v>
      </c>
      <c r="E422" t="s">
        <v>378</v>
      </c>
    </row>
    <row r="423" spans="1:5" x14ac:dyDescent="0.25">
      <c r="A423" s="279">
        <v>38976</v>
      </c>
      <c r="B423" t="s">
        <v>339</v>
      </c>
      <c r="C423" t="s">
        <v>72</v>
      </c>
      <c r="D423">
        <v>0</v>
      </c>
      <c r="E423" t="s">
        <v>380</v>
      </c>
    </row>
    <row r="424" spans="1:5" x14ac:dyDescent="0.25">
      <c r="A424" s="279">
        <v>38976</v>
      </c>
      <c r="B424" t="s">
        <v>339</v>
      </c>
      <c r="C424" t="s">
        <v>73</v>
      </c>
      <c r="D424">
        <v>15019</v>
      </c>
      <c r="E424" t="s">
        <v>378</v>
      </c>
    </row>
    <row r="425" spans="1:5" x14ac:dyDescent="0.25">
      <c r="A425" s="279">
        <v>38976</v>
      </c>
      <c r="B425" t="s">
        <v>339</v>
      </c>
      <c r="C425" t="s">
        <v>74</v>
      </c>
      <c r="D425">
        <v>0</v>
      </c>
      <c r="E425" t="s">
        <v>380</v>
      </c>
    </row>
    <row r="426" spans="1:5" x14ac:dyDescent="0.25">
      <c r="A426" s="279">
        <v>38976</v>
      </c>
      <c r="B426" t="s">
        <v>339</v>
      </c>
      <c r="C426" t="s">
        <v>75</v>
      </c>
      <c r="D426">
        <v>15094</v>
      </c>
      <c r="E426" t="s">
        <v>378</v>
      </c>
    </row>
    <row r="427" spans="1:5" x14ac:dyDescent="0.25">
      <c r="A427" s="279">
        <v>38976</v>
      </c>
      <c r="B427" t="s">
        <v>339</v>
      </c>
      <c r="C427" t="s">
        <v>76</v>
      </c>
      <c r="D427">
        <v>6906</v>
      </c>
      <c r="E427" t="s">
        <v>380</v>
      </c>
    </row>
    <row r="428" spans="1:5" x14ac:dyDescent="0.25">
      <c r="A428" s="279">
        <v>38976</v>
      </c>
      <c r="B428" t="s">
        <v>339</v>
      </c>
      <c r="C428" t="s">
        <v>77</v>
      </c>
      <c r="D428">
        <v>7310</v>
      </c>
      <c r="E428" t="s">
        <v>378</v>
      </c>
    </row>
    <row r="429" spans="1:5" x14ac:dyDescent="0.25">
      <c r="A429" s="279">
        <v>38976</v>
      </c>
      <c r="B429" t="s">
        <v>339</v>
      </c>
      <c r="C429" t="s">
        <v>78</v>
      </c>
      <c r="D429">
        <v>7042</v>
      </c>
      <c r="E429" t="s">
        <v>380</v>
      </c>
    </row>
    <row r="430" spans="1:5" x14ac:dyDescent="0.25">
      <c r="A430" s="279">
        <v>38976</v>
      </c>
      <c r="B430" t="s">
        <v>339</v>
      </c>
      <c r="C430" t="s">
        <v>79</v>
      </c>
      <c r="D430">
        <v>122153</v>
      </c>
      <c r="E430" t="s">
        <v>379</v>
      </c>
    </row>
    <row r="431" spans="1:5" x14ac:dyDescent="0.25">
      <c r="A431" s="279">
        <v>38976</v>
      </c>
      <c r="B431" t="s">
        <v>339</v>
      </c>
      <c r="C431" t="s">
        <v>70</v>
      </c>
      <c r="D431">
        <v>0</v>
      </c>
      <c r="E431" t="s">
        <v>379</v>
      </c>
    </row>
    <row r="432" spans="1:5" x14ac:dyDescent="0.25">
      <c r="A432" s="279">
        <v>38976</v>
      </c>
      <c r="B432" t="s">
        <v>339</v>
      </c>
      <c r="C432" t="s">
        <v>63</v>
      </c>
      <c r="D432">
        <v>18100</v>
      </c>
      <c r="E432" t="s">
        <v>378</v>
      </c>
    </row>
    <row r="433" spans="1:5" x14ac:dyDescent="0.25">
      <c r="A433" s="279">
        <v>38976</v>
      </c>
      <c r="B433" t="s">
        <v>339</v>
      </c>
      <c r="C433" t="s">
        <v>80</v>
      </c>
      <c r="D433">
        <v>722</v>
      </c>
      <c r="E433" t="s">
        <v>379</v>
      </c>
    </row>
    <row r="434" spans="1:5" x14ac:dyDescent="0.25">
      <c r="A434" s="279">
        <v>38977</v>
      </c>
      <c r="B434" t="s">
        <v>338</v>
      </c>
      <c r="C434" t="s">
        <v>59</v>
      </c>
      <c r="D434">
        <v>2613</v>
      </c>
      <c r="E434" t="s">
        <v>378</v>
      </c>
    </row>
    <row r="435" spans="1:5" x14ac:dyDescent="0.25">
      <c r="A435" s="279">
        <v>38977</v>
      </c>
      <c r="B435" t="s">
        <v>338</v>
      </c>
      <c r="C435" t="s">
        <v>60</v>
      </c>
      <c r="D435">
        <v>0</v>
      </c>
      <c r="E435" t="s">
        <v>379</v>
      </c>
    </row>
    <row r="436" spans="1:5" x14ac:dyDescent="0.25">
      <c r="A436" s="279">
        <v>38977</v>
      </c>
      <c r="B436" t="s">
        <v>338</v>
      </c>
      <c r="C436" t="s">
        <v>61</v>
      </c>
      <c r="D436">
        <v>13196</v>
      </c>
      <c r="E436" t="s">
        <v>378</v>
      </c>
    </row>
    <row r="437" spans="1:5" x14ac:dyDescent="0.25">
      <c r="A437" s="279">
        <v>38977</v>
      </c>
      <c r="B437" t="s">
        <v>338</v>
      </c>
      <c r="C437" t="s">
        <v>62</v>
      </c>
      <c r="D437">
        <v>0</v>
      </c>
      <c r="E437" t="s">
        <v>380</v>
      </c>
    </row>
    <row r="438" spans="1:5" x14ac:dyDescent="0.25">
      <c r="A438" s="279">
        <v>38977</v>
      </c>
      <c r="B438" t="s">
        <v>338</v>
      </c>
      <c r="C438" t="s">
        <v>63</v>
      </c>
      <c r="D438">
        <v>0</v>
      </c>
      <c r="E438" t="s">
        <v>378</v>
      </c>
    </row>
    <row r="439" spans="1:5" x14ac:dyDescent="0.25">
      <c r="A439" s="279">
        <v>38977</v>
      </c>
      <c r="B439" t="s">
        <v>338</v>
      </c>
      <c r="C439" t="s">
        <v>64</v>
      </c>
      <c r="D439">
        <v>0</v>
      </c>
      <c r="E439" t="s">
        <v>380</v>
      </c>
    </row>
    <row r="440" spans="1:5" x14ac:dyDescent="0.25">
      <c r="A440" s="279">
        <v>38977</v>
      </c>
      <c r="B440" t="s">
        <v>338</v>
      </c>
      <c r="C440" t="s">
        <v>65</v>
      </c>
      <c r="D440">
        <v>0</v>
      </c>
      <c r="E440" t="s">
        <v>378</v>
      </c>
    </row>
    <row r="441" spans="1:5" x14ac:dyDescent="0.25">
      <c r="A441" s="279">
        <v>38977</v>
      </c>
      <c r="B441" t="s">
        <v>338</v>
      </c>
      <c r="C441" t="s">
        <v>66</v>
      </c>
      <c r="D441">
        <v>0</v>
      </c>
      <c r="E441" t="s">
        <v>380</v>
      </c>
    </row>
    <row r="442" spans="1:5" x14ac:dyDescent="0.25">
      <c r="A442" s="279">
        <v>38977</v>
      </c>
      <c r="B442" t="s">
        <v>338</v>
      </c>
      <c r="C442" t="s">
        <v>120</v>
      </c>
      <c r="D442">
        <v>2688</v>
      </c>
      <c r="E442" t="s">
        <v>378</v>
      </c>
    </row>
    <row r="443" spans="1:5" x14ac:dyDescent="0.25">
      <c r="A443" s="279">
        <v>38977</v>
      </c>
      <c r="B443" t="s">
        <v>338</v>
      </c>
      <c r="C443" t="s">
        <v>121</v>
      </c>
      <c r="D443">
        <v>0</v>
      </c>
      <c r="E443" t="s">
        <v>380</v>
      </c>
    </row>
    <row r="444" spans="1:5" x14ac:dyDescent="0.25">
      <c r="A444" s="279">
        <v>38977</v>
      </c>
      <c r="B444" t="s">
        <v>338</v>
      </c>
      <c r="C444" t="s">
        <v>67</v>
      </c>
      <c r="D444">
        <v>0</v>
      </c>
      <c r="E444" t="s">
        <v>378</v>
      </c>
    </row>
    <row r="445" spans="1:5" x14ac:dyDescent="0.25">
      <c r="A445" s="279">
        <v>38977</v>
      </c>
      <c r="B445" t="s">
        <v>338</v>
      </c>
      <c r="C445" t="s">
        <v>68</v>
      </c>
      <c r="D445">
        <v>0</v>
      </c>
      <c r="E445" t="s">
        <v>380</v>
      </c>
    </row>
    <row r="446" spans="1:5" x14ac:dyDescent="0.25">
      <c r="A446" s="279">
        <v>38977</v>
      </c>
      <c r="B446" t="s">
        <v>338</v>
      </c>
      <c r="C446" t="s">
        <v>69</v>
      </c>
      <c r="D446">
        <v>0</v>
      </c>
      <c r="E446" t="s">
        <v>379</v>
      </c>
    </row>
    <row r="447" spans="1:5" x14ac:dyDescent="0.25">
      <c r="A447" s="279">
        <v>38977</v>
      </c>
      <c r="B447" t="s">
        <v>338</v>
      </c>
      <c r="C447" t="s">
        <v>70</v>
      </c>
      <c r="D447">
        <v>0</v>
      </c>
      <c r="E447" t="s">
        <v>379</v>
      </c>
    </row>
    <row r="448" spans="1:5" x14ac:dyDescent="0.25">
      <c r="A448" s="279">
        <v>38977</v>
      </c>
      <c r="B448" t="s">
        <v>338</v>
      </c>
      <c r="C448" t="s">
        <v>80</v>
      </c>
      <c r="D448">
        <v>151</v>
      </c>
      <c r="E448" t="s">
        <v>379</v>
      </c>
    </row>
    <row r="449" spans="1:5" x14ac:dyDescent="0.25">
      <c r="A449" s="279">
        <v>38977</v>
      </c>
      <c r="B449" t="s">
        <v>339</v>
      </c>
      <c r="C449" t="s">
        <v>71</v>
      </c>
      <c r="D449">
        <v>1838</v>
      </c>
      <c r="E449" t="s">
        <v>378</v>
      </c>
    </row>
    <row r="450" spans="1:5" x14ac:dyDescent="0.25">
      <c r="A450" s="279">
        <v>38977</v>
      </c>
      <c r="B450" t="s">
        <v>339</v>
      </c>
      <c r="C450" t="s">
        <v>72</v>
      </c>
      <c r="D450">
        <v>0</v>
      </c>
      <c r="E450" t="s">
        <v>380</v>
      </c>
    </row>
    <row r="451" spans="1:5" x14ac:dyDescent="0.25">
      <c r="A451" s="279">
        <v>38977</v>
      </c>
      <c r="B451" t="s">
        <v>339</v>
      </c>
      <c r="C451" t="s">
        <v>73</v>
      </c>
      <c r="D451">
        <v>15005</v>
      </c>
      <c r="E451" t="s">
        <v>378</v>
      </c>
    </row>
    <row r="452" spans="1:5" x14ac:dyDescent="0.25">
      <c r="A452" s="279">
        <v>38977</v>
      </c>
      <c r="B452" t="s">
        <v>339</v>
      </c>
      <c r="C452" t="s">
        <v>74</v>
      </c>
      <c r="D452">
        <v>0</v>
      </c>
      <c r="E452" t="s">
        <v>380</v>
      </c>
    </row>
    <row r="453" spans="1:5" x14ac:dyDescent="0.25">
      <c r="A453" s="279">
        <v>38977</v>
      </c>
      <c r="B453" t="s">
        <v>339</v>
      </c>
      <c r="C453" t="s">
        <v>75</v>
      </c>
      <c r="D453">
        <v>15079</v>
      </c>
      <c r="E453" t="s">
        <v>378</v>
      </c>
    </row>
    <row r="454" spans="1:5" x14ac:dyDescent="0.25">
      <c r="A454" s="279">
        <v>38977</v>
      </c>
      <c r="B454" t="s">
        <v>339</v>
      </c>
      <c r="C454" t="s">
        <v>76</v>
      </c>
      <c r="D454">
        <v>7180</v>
      </c>
      <c r="E454" t="s">
        <v>380</v>
      </c>
    </row>
    <row r="455" spans="1:5" x14ac:dyDescent="0.25">
      <c r="A455" s="279">
        <v>38977</v>
      </c>
      <c r="B455" t="s">
        <v>339</v>
      </c>
      <c r="C455" t="s">
        <v>77</v>
      </c>
      <c r="D455">
        <v>7303</v>
      </c>
      <c r="E455" t="s">
        <v>378</v>
      </c>
    </row>
    <row r="456" spans="1:5" x14ac:dyDescent="0.25">
      <c r="A456" s="279">
        <v>38977</v>
      </c>
      <c r="B456" t="s">
        <v>339</v>
      </c>
      <c r="C456" t="s">
        <v>78</v>
      </c>
      <c r="D456">
        <v>7035</v>
      </c>
      <c r="E456" t="s">
        <v>380</v>
      </c>
    </row>
    <row r="457" spans="1:5" x14ac:dyDescent="0.25">
      <c r="A457" s="279">
        <v>38977</v>
      </c>
      <c r="B457" t="s">
        <v>339</v>
      </c>
      <c r="C457" t="s">
        <v>79</v>
      </c>
      <c r="D457">
        <v>122035</v>
      </c>
      <c r="E457" t="s">
        <v>379</v>
      </c>
    </row>
    <row r="458" spans="1:5" x14ac:dyDescent="0.25">
      <c r="A458" s="279">
        <v>38977</v>
      </c>
      <c r="B458" t="s">
        <v>339</v>
      </c>
      <c r="C458" t="s">
        <v>70</v>
      </c>
      <c r="D458">
        <v>0</v>
      </c>
      <c r="E458" t="s">
        <v>379</v>
      </c>
    </row>
    <row r="459" spans="1:5" x14ac:dyDescent="0.25">
      <c r="A459" s="279">
        <v>38977</v>
      </c>
      <c r="B459" t="s">
        <v>339</v>
      </c>
      <c r="C459" t="s">
        <v>63</v>
      </c>
      <c r="D459">
        <v>18082</v>
      </c>
      <c r="E459" t="s">
        <v>378</v>
      </c>
    </row>
    <row r="460" spans="1:5" x14ac:dyDescent="0.25">
      <c r="A460" s="279">
        <v>38977</v>
      </c>
      <c r="B460" t="s">
        <v>339</v>
      </c>
      <c r="C460" t="s">
        <v>80</v>
      </c>
      <c r="D460">
        <v>722</v>
      </c>
      <c r="E460" t="s">
        <v>379</v>
      </c>
    </row>
    <row r="461" spans="1:5" x14ac:dyDescent="0.25">
      <c r="A461" s="279">
        <v>38978</v>
      </c>
      <c r="B461" t="s">
        <v>338</v>
      </c>
      <c r="C461" t="s">
        <v>59</v>
      </c>
      <c r="D461">
        <v>2613</v>
      </c>
      <c r="E461" t="s">
        <v>378</v>
      </c>
    </row>
    <row r="462" spans="1:5" x14ac:dyDescent="0.25">
      <c r="A462" s="279">
        <v>38978</v>
      </c>
      <c r="B462" t="s">
        <v>338</v>
      </c>
      <c r="C462" t="s">
        <v>60</v>
      </c>
      <c r="D462">
        <v>0</v>
      </c>
      <c r="E462" t="s">
        <v>379</v>
      </c>
    </row>
    <row r="463" spans="1:5" x14ac:dyDescent="0.25">
      <c r="A463" s="279">
        <v>38978</v>
      </c>
      <c r="B463" t="s">
        <v>338</v>
      </c>
      <c r="C463" t="s">
        <v>61</v>
      </c>
      <c r="D463">
        <v>13196</v>
      </c>
      <c r="E463" t="s">
        <v>378</v>
      </c>
    </row>
    <row r="464" spans="1:5" x14ac:dyDescent="0.25">
      <c r="A464" s="279">
        <v>38978</v>
      </c>
      <c r="B464" t="s">
        <v>338</v>
      </c>
      <c r="C464" t="s">
        <v>62</v>
      </c>
      <c r="D464">
        <v>0</v>
      </c>
      <c r="E464" t="s">
        <v>380</v>
      </c>
    </row>
    <row r="465" spans="1:5" x14ac:dyDescent="0.25">
      <c r="A465" s="279">
        <v>38978</v>
      </c>
      <c r="B465" t="s">
        <v>338</v>
      </c>
      <c r="C465" t="s">
        <v>63</v>
      </c>
      <c r="D465">
        <v>0</v>
      </c>
      <c r="E465" t="s">
        <v>378</v>
      </c>
    </row>
    <row r="466" spans="1:5" x14ac:dyDescent="0.25">
      <c r="A466" s="279">
        <v>38978</v>
      </c>
      <c r="B466" t="s">
        <v>338</v>
      </c>
      <c r="C466" t="s">
        <v>64</v>
      </c>
      <c r="D466">
        <v>0</v>
      </c>
      <c r="E466" t="s">
        <v>380</v>
      </c>
    </row>
    <row r="467" spans="1:5" x14ac:dyDescent="0.25">
      <c r="A467" s="279">
        <v>38978</v>
      </c>
      <c r="B467" t="s">
        <v>338</v>
      </c>
      <c r="C467" t="s">
        <v>65</v>
      </c>
      <c r="D467">
        <v>0</v>
      </c>
      <c r="E467" t="s">
        <v>378</v>
      </c>
    </row>
    <row r="468" spans="1:5" x14ac:dyDescent="0.25">
      <c r="A468" s="279">
        <v>38978</v>
      </c>
      <c r="B468" t="s">
        <v>338</v>
      </c>
      <c r="C468" t="s">
        <v>66</v>
      </c>
      <c r="D468">
        <v>0</v>
      </c>
      <c r="E468" t="s">
        <v>380</v>
      </c>
    </row>
    <row r="469" spans="1:5" x14ac:dyDescent="0.25">
      <c r="A469" s="279">
        <v>38978</v>
      </c>
      <c r="B469" t="s">
        <v>338</v>
      </c>
      <c r="C469" t="s">
        <v>120</v>
      </c>
      <c r="D469">
        <v>2688</v>
      </c>
      <c r="E469" t="s">
        <v>378</v>
      </c>
    </row>
    <row r="470" spans="1:5" x14ac:dyDescent="0.25">
      <c r="A470" s="279">
        <v>38978</v>
      </c>
      <c r="B470" t="s">
        <v>338</v>
      </c>
      <c r="C470" t="s">
        <v>121</v>
      </c>
      <c r="D470">
        <v>0</v>
      </c>
      <c r="E470" t="s">
        <v>380</v>
      </c>
    </row>
    <row r="471" spans="1:5" x14ac:dyDescent="0.25">
      <c r="A471" s="279">
        <v>38978</v>
      </c>
      <c r="B471" t="s">
        <v>338</v>
      </c>
      <c r="C471" t="s">
        <v>67</v>
      </c>
      <c r="D471">
        <v>0</v>
      </c>
      <c r="E471" t="s">
        <v>378</v>
      </c>
    </row>
    <row r="472" spans="1:5" x14ac:dyDescent="0.25">
      <c r="A472" s="279">
        <v>38978</v>
      </c>
      <c r="B472" t="s">
        <v>338</v>
      </c>
      <c r="C472" t="s">
        <v>68</v>
      </c>
      <c r="D472">
        <v>0</v>
      </c>
      <c r="E472" t="s">
        <v>380</v>
      </c>
    </row>
    <row r="473" spans="1:5" x14ac:dyDescent="0.25">
      <c r="A473" s="279">
        <v>38978</v>
      </c>
      <c r="B473" t="s">
        <v>338</v>
      </c>
      <c r="C473" t="s">
        <v>69</v>
      </c>
      <c r="D473">
        <v>0</v>
      </c>
      <c r="E473" t="s">
        <v>379</v>
      </c>
    </row>
    <row r="474" spans="1:5" x14ac:dyDescent="0.25">
      <c r="A474" s="279">
        <v>38978</v>
      </c>
      <c r="B474" t="s">
        <v>338</v>
      </c>
      <c r="C474" t="s">
        <v>70</v>
      </c>
      <c r="D474">
        <v>0</v>
      </c>
      <c r="E474" t="s">
        <v>379</v>
      </c>
    </row>
    <row r="475" spans="1:5" x14ac:dyDescent="0.25">
      <c r="A475" s="279">
        <v>38978</v>
      </c>
      <c r="B475" t="s">
        <v>338</v>
      </c>
      <c r="C475" t="s">
        <v>80</v>
      </c>
      <c r="D475">
        <v>151</v>
      </c>
      <c r="E475" t="s">
        <v>379</v>
      </c>
    </row>
    <row r="476" spans="1:5" x14ac:dyDescent="0.25">
      <c r="A476" s="279">
        <v>38978</v>
      </c>
      <c r="B476" t="s">
        <v>339</v>
      </c>
      <c r="C476" t="s">
        <v>71</v>
      </c>
      <c r="D476">
        <v>1838</v>
      </c>
      <c r="E476" t="s">
        <v>378</v>
      </c>
    </row>
    <row r="477" spans="1:5" x14ac:dyDescent="0.25">
      <c r="A477" s="279">
        <v>38978</v>
      </c>
      <c r="B477" t="s">
        <v>339</v>
      </c>
      <c r="C477" t="s">
        <v>72</v>
      </c>
      <c r="D477">
        <v>0</v>
      </c>
      <c r="E477" t="s">
        <v>380</v>
      </c>
    </row>
    <row r="478" spans="1:5" x14ac:dyDescent="0.25">
      <c r="A478" s="279">
        <v>38978</v>
      </c>
      <c r="B478" t="s">
        <v>339</v>
      </c>
      <c r="C478" t="s">
        <v>73</v>
      </c>
      <c r="D478">
        <v>15005</v>
      </c>
      <c r="E478" t="s">
        <v>378</v>
      </c>
    </row>
    <row r="479" spans="1:5" x14ac:dyDescent="0.25">
      <c r="A479" s="279">
        <v>38978</v>
      </c>
      <c r="B479" t="s">
        <v>339</v>
      </c>
      <c r="C479" t="s">
        <v>74</v>
      </c>
      <c r="D479">
        <v>0</v>
      </c>
      <c r="E479" t="s">
        <v>380</v>
      </c>
    </row>
    <row r="480" spans="1:5" x14ac:dyDescent="0.25">
      <c r="A480" s="279">
        <v>38978</v>
      </c>
      <c r="B480" t="s">
        <v>339</v>
      </c>
      <c r="C480" t="s">
        <v>75</v>
      </c>
      <c r="D480">
        <v>15079</v>
      </c>
      <c r="E480" t="s">
        <v>378</v>
      </c>
    </row>
    <row r="481" spans="1:5" x14ac:dyDescent="0.25">
      <c r="A481" s="279">
        <v>38978</v>
      </c>
      <c r="B481" t="s">
        <v>339</v>
      </c>
      <c r="C481" t="s">
        <v>76</v>
      </c>
      <c r="D481">
        <v>10944</v>
      </c>
      <c r="E481" t="s">
        <v>380</v>
      </c>
    </row>
    <row r="482" spans="1:5" x14ac:dyDescent="0.25">
      <c r="A482" s="279">
        <v>38978</v>
      </c>
      <c r="B482" t="s">
        <v>339</v>
      </c>
      <c r="C482" t="s">
        <v>77</v>
      </c>
      <c r="D482">
        <v>7303</v>
      </c>
      <c r="E482" t="s">
        <v>378</v>
      </c>
    </row>
    <row r="483" spans="1:5" x14ac:dyDescent="0.25">
      <c r="A483" s="279">
        <v>38978</v>
      </c>
      <c r="B483" t="s">
        <v>339</v>
      </c>
      <c r="C483" t="s">
        <v>78</v>
      </c>
      <c r="D483">
        <v>0</v>
      </c>
      <c r="E483" t="s">
        <v>380</v>
      </c>
    </row>
    <row r="484" spans="1:5" x14ac:dyDescent="0.25">
      <c r="A484" s="279">
        <v>38978</v>
      </c>
      <c r="B484" t="s">
        <v>339</v>
      </c>
      <c r="C484" t="s">
        <v>79</v>
      </c>
      <c r="D484">
        <v>122035</v>
      </c>
      <c r="E484" t="s">
        <v>379</v>
      </c>
    </row>
    <row r="485" spans="1:5" x14ac:dyDescent="0.25">
      <c r="A485" s="279">
        <v>38978</v>
      </c>
      <c r="B485" t="s">
        <v>339</v>
      </c>
      <c r="C485" t="s">
        <v>70</v>
      </c>
      <c r="D485">
        <v>0</v>
      </c>
      <c r="E485" t="s">
        <v>379</v>
      </c>
    </row>
    <row r="486" spans="1:5" x14ac:dyDescent="0.25">
      <c r="A486" s="279">
        <v>38978</v>
      </c>
      <c r="B486" t="s">
        <v>339</v>
      </c>
      <c r="C486" t="s">
        <v>63</v>
      </c>
      <c r="D486">
        <v>18082</v>
      </c>
      <c r="E486" t="s">
        <v>378</v>
      </c>
    </row>
    <row r="487" spans="1:5" x14ac:dyDescent="0.25">
      <c r="A487" s="279">
        <v>38978</v>
      </c>
      <c r="B487" t="s">
        <v>339</v>
      </c>
      <c r="C487" t="s">
        <v>80</v>
      </c>
      <c r="D487">
        <v>722</v>
      </c>
      <c r="E487" t="s">
        <v>379</v>
      </c>
    </row>
    <row r="488" spans="1:5" x14ac:dyDescent="0.25">
      <c r="A488" s="279">
        <v>38979</v>
      </c>
      <c r="B488" t="s">
        <v>338</v>
      </c>
      <c r="C488" t="s">
        <v>59</v>
      </c>
      <c r="D488">
        <v>2618</v>
      </c>
      <c r="E488" t="s">
        <v>378</v>
      </c>
    </row>
    <row r="489" spans="1:5" x14ac:dyDescent="0.25">
      <c r="A489" s="279">
        <v>38979</v>
      </c>
      <c r="B489" t="s">
        <v>338</v>
      </c>
      <c r="C489" t="s">
        <v>60</v>
      </c>
      <c r="D489">
        <v>0</v>
      </c>
      <c r="E489" t="s">
        <v>379</v>
      </c>
    </row>
    <row r="490" spans="1:5" x14ac:dyDescent="0.25">
      <c r="A490" s="279">
        <v>38979</v>
      </c>
      <c r="B490" t="s">
        <v>338</v>
      </c>
      <c r="C490" t="s">
        <v>61</v>
      </c>
      <c r="D490">
        <v>13222</v>
      </c>
      <c r="E490" t="s">
        <v>378</v>
      </c>
    </row>
    <row r="491" spans="1:5" x14ac:dyDescent="0.25">
      <c r="A491" s="279">
        <v>38979</v>
      </c>
      <c r="B491" t="s">
        <v>338</v>
      </c>
      <c r="C491" t="s">
        <v>62</v>
      </c>
      <c r="D491">
        <v>0</v>
      </c>
      <c r="E491" t="s">
        <v>380</v>
      </c>
    </row>
    <row r="492" spans="1:5" x14ac:dyDescent="0.25">
      <c r="A492" s="279">
        <v>38979</v>
      </c>
      <c r="B492" t="s">
        <v>338</v>
      </c>
      <c r="C492" t="s">
        <v>63</v>
      </c>
      <c r="D492">
        <v>0</v>
      </c>
      <c r="E492" t="s">
        <v>378</v>
      </c>
    </row>
    <row r="493" spans="1:5" x14ac:dyDescent="0.25">
      <c r="A493" s="279">
        <v>38979</v>
      </c>
      <c r="B493" t="s">
        <v>338</v>
      </c>
      <c r="C493" t="s">
        <v>64</v>
      </c>
      <c r="D493">
        <v>0</v>
      </c>
      <c r="E493" t="s">
        <v>380</v>
      </c>
    </row>
    <row r="494" spans="1:5" x14ac:dyDescent="0.25">
      <c r="A494" s="279">
        <v>38979</v>
      </c>
      <c r="B494" t="s">
        <v>338</v>
      </c>
      <c r="C494" t="s">
        <v>65</v>
      </c>
      <c r="D494">
        <v>0</v>
      </c>
      <c r="E494" t="s">
        <v>378</v>
      </c>
    </row>
    <row r="495" spans="1:5" x14ac:dyDescent="0.25">
      <c r="A495" s="279">
        <v>38979</v>
      </c>
      <c r="B495" t="s">
        <v>338</v>
      </c>
      <c r="C495" t="s">
        <v>66</v>
      </c>
      <c r="D495">
        <v>0</v>
      </c>
      <c r="E495" t="s">
        <v>380</v>
      </c>
    </row>
    <row r="496" spans="1:5" x14ac:dyDescent="0.25">
      <c r="A496" s="279">
        <v>38979</v>
      </c>
      <c r="B496" t="s">
        <v>338</v>
      </c>
      <c r="C496" t="s">
        <v>120</v>
      </c>
      <c r="D496">
        <v>2694</v>
      </c>
      <c r="E496" t="s">
        <v>378</v>
      </c>
    </row>
    <row r="497" spans="1:5" x14ac:dyDescent="0.25">
      <c r="A497" s="279">
        <v>38979</v>
      </c>
      <c r="B497" t="s">
        <v>338</v>
      </c>
      <c r="C497" t="s">
        <v>121</v>
      </c>
      <c r="D497">
        <v>0</v>
      </c>
      <c r="E497" t="s">
        <v>380</v>
      </c>
    </row>
    <row r="498" spans="1:5" x14ac:dyDescent="0.25">
      <c r="A498" s="279">
        <v>38979</v>
      </c>
      <c r="B498" t="s">
        <v>338</v>
      </c>
      <c r="C498" t="s">
        <v>67</v>
      </c>
      <c r="D498">
        <v>0</v>
      </c>
      <c r="E498" t="s">
        <v>378</v>
      </c>
    </row>
    <row r="499" spans="1:5" x14ac:dyDescent="0.25">
      <c r="A499" s="279">
        <v>38979</v>
      </c>
      <c r="B499" t="s">
        <v>338</v>
      </c>
      <c r="C499" t="s">
        <v>68</v>
      </c>
      <c r="D499">
        <v>0</v>
      </c>
      <c r="E499" t="s">
        <v>380</v>
      </c>
    </row>
    <row r="500" spans="1:5" x14ac:dyDescent="0.25">
      <c r="A500" s="279">
        <v>38979</v>
      </c>
      <c r="B500" t="s">
        <v>338</v>
      </c>
      <c r="C500" t="s">
        <v>69</v>
      </c>
      <c r="D500">
        <v>0</v>
      </c>
      <c r="E500" t="s">
        <v>379</v>
      </c>
    </row>
    <row r="501" spans="1:5" x14ac:dyDescent="0.25">
      <c r="A501" s="279">
        <v>38979</v>
      </c>
      <c r="B501" t="s">
        <v>338</v>
      </c>
      <c r="C501" t="s">
        <v>70</v>
      </c>
      <c r="D501">
        <v>0</v>
      </c>
      <c r="E501" t="s">
        <v>379</v>
      </c>
    </row>
    <row r="502" spans="1:5" x14ac:dyDescent="0.25">
      <c r="A502" s="279">
        <v>38979</v>
      </c>
      <c r="B502" t="s">
        <v>338</v>
      </c>
      <c r="C502" t="s">
        <v>80</v>
      </c>
      <c r="D502">
        <v>151</v>
      </c>
      <c r="E502" t="s">
        <v>379</v>
      </c>
    </row>
    <row r="503" spans="1:5" x14ac:dyDescent="0.25">
      <c r="A503" s="279">
        <v>38979</v>
      </c>
      <c r="B503" t="s">
        <v>339</v>
      </c>
      <c r="C503" t="s">
        <v>71</v>
      </c>
      <c r="D503">
        <v>1838</v>
      </c>
      <c r="E503" t="s">
        <v>378</v>
      </c>
    </row>
    <row r="504" spans="1:5" x14ac:dyDescent="0.25">
      <c r="A504" s="279">
        <v>38979</v>
      </c>
      <c r="B504" t="s">
        <v>339</v>
      </c>
      <c r="C504" t="s">
        <v>72</v>
      </c>
      <c r="D504">
        <v>0</v>
      </c>
      <c r="E504" t="s">
        <v>380</v>
      </c>
    </row>
    <row r="505" spans="1:5" x14ac:dyDescent="0.25">
      <c r="A505" s="279">
        <v>38979</v>
      </c>
      <c r="B505" t="s">
        <v>339</v>
      </c>
      <c r="C505" t="s">
        <v>73</v>
      </c>
      <c r="D505">
        <v>15005</v>
      </c>
      <c r="E505" t="s">
        <v>378</v>
      </c>
    </row>
    <row r="506" spans="1:5" x14ac:dyDescent="0.25">
      <c r="A506" s="279">
        <v>38979</v>
      </c>
      <c r="B506" t="s">
        <v>339</v>
      </c>
      <c r="C506" t="s">
        <v>74</v>
      </c>
      <c r="D506">
        <v>0</v>
      </c>
      <c r="E506" t="s">
        <v>380</v>
      </c>
    </row>
    <row r="507" spans="1:5" x14ac:dyDescent="0.25">
      <c r="A507" s="279">
        <v>38979</v>
      </c>
      <c r="B507" t="s">
        <v>339</v>
      </c>
      <c r="C507" t="s">
        <v>75</v>
      </c>
      <c r="D507">
        <v>15079</v>
      </c>
      <c r="E507" t="s">
        <v>378</v>
      </c>
    </row>
    <row r="508" spans="1:5" x14ac:dyDescent="0.25">
      <c r="A508" s="279">
        <v>38979</v>
      </c>
      <c r="B508" t="s">
        <v>339</v>
      </c>
      <c r="C508" t="s">
        <v>76</v>
      </c>
      <c r="D508">
        <v>10316</v>
      </c>
      <c r="E508" t="s">
        <v>380</v>
      </c>
    </row>
    <row r="509" spans="1:5" x14ac:dyDescent="0.25">
      <c r="A509" s="279">
        <v>38979</v>
      </c>
      <c r="B509" t="s">
        <v>339</v>
      </c>
      <c r="C509" t="s">
        <v>77</v>
      </c>
      <c r="D509">
        <v>7303</v>
      </c>
      <c r="E509" t="s">
        <v>378</v>
      </c>
    </row>
    <row r="510" spans="1:5" x14ac:dyDescent="0.25">
      <c r="A510" s="279">
        <v>38979</v>
      </c>
      <c r="B510" t="s">
        <v>339</v>
      </c>
      <c r="C510" t="s">
        <v>78</v>
      </c>
      <c r="D510">
        <v>0</v>
      </c>
      <c r="E510" t="s">
        <v>380</v>
      </c>
    </row>
    <row r="511" spans="1:5" x14ac:dyDescent="0.25">
      <c r="A511" s="279">
        <v>38979</v>
      </c>
      <c r="B511" t="s">
        <v>339</v>
      </c>
      <c r="C511" t="s">
        <v>79</v>
      </c>
      <c r="D511">
        <v>122045</v>
      </c>
      <c r="E511" t="s">
        <v>379</v>
      </c>
    </row>
    <row r="512" spans="1:5" x14ac:dyDescent="0.25">
      <c r="A512" s="279">
        <v>38979</v>
      </c>
      <c r="B512" t="s">
        <v>339</v>
      </c>
      <c r="C512" t="s">
        <v>70</v>
      </c>
      <c r="D512">
        <v>0</v>
      </c>
      <c r="E512" t="s">
        <v>379</v>
      </c>
    </row>
    <row r="513" spans="1:5" x14ac:dyDescent="0.25">
      <c r="A513" s="279">
        <v>38979</v>
      </c>
      <c r="B513" t="s">
        <v>339</v>
      </c>
      <c r="C513" t="s">
        <v>63</v>
      </c>
      <c r="D513">
        <v>18082</v>
      </c>
      <c r="E513" t="s">
        <v>378</v>
      </c>
    </row>
    <row r="514" spans="1:5" x14ac:dyDescent="0.25">
      <c r="A514" s="279">
        <v>38979</v>
      </c>
      <c r="B514" t="s">
        <v>339</v>
      </c>
      <c r="C514" t="s">
        <v>80</v>
      </c>
      <c r="D514">
        <v>722</v>
      </c>
      <c r="E514" t="s">
        <v>379</v>
      </c>
    </row>
    <row r="515" spans="1:5" x14ac:dyDescent="0.25">
      <c r="A515" s="279">
        <v>38980</v>
      </c>
      <c r="B515" t="s">
        <v>338</v>
      </c>
      <c r="C515" t="s">
        <v>59</v>
      </c>
      <c r="D515">
        <v>2615</v>
      </c>
      <c r="E515" t="s">
        <v>378</v>
      </c>
    </row>
    <row r="516" spans="1:5" x14ac:dyDescent="0.25">
      <c r="A516" s="279">
        <v>38980</v>
      </c>
      <c r="B516" t="s">
        <v>338</v>
      </c>
      <c r="C516" t="s">
        <v>60</v>
      </c>
      <c r="D516">
        <v>0</v>
      </c>
      <c r="E516" t="s">
        <v>379</v>
      </c>
    </row>
    <row r="517" spans="1:5" x14ac:dyDescent="0.25">
      <c r="A517" s="279">
        <v>38980</v>
      </c>
      <c r="B517" t="s">
        <v>338</v>
      </c>
      <c r="C517" t="s">
        <v>61</v>
      </c>
      <c r="D517">
        <v>13209</v>
      </c>
      <c r="E517" t="s">
        <v>378</v>
      </c>
    </row>
    <row r="518" spans="1:5" x14ac:dyDescent="0.25">
      <c r="A518" s="279">
        <v>38980</v>
      </c>
      <c r="B518" t="s">
        <v>338</v>
      </c>
      <c r="C518" t="s">
        <v>62</v>
      </c>
      <c r="D518">
        <v>0</v>
      </c>
      <c r="E518" t="s">
        <v>380</v>
      </c>
    </row>
    <row r="519" spans="1:5" x14ac:dyDescent="0.25">
      <c r="A519" s="279">
        <v>38980</v>
      </c>
      <c r="B519" t="s">
        <v>338</v>
      </c>
      <c r="C519" t="s">
        <v>63</v>
      </c>
      <c r="D519">
        <v>0</v>
      </c>
      <c r="E519" t="s">
        <v>378</v>
      </c>
    </row>
    <row r="520" spans="1:5" x14ac:dyDescent="0.25">
      <c r="A520" s="279">
        <v>38980</v>
      </c>
      <c r="B520" t="s">
        <v>338</v>
      </c>
      <c r="C520" t="s">
        <v>64</v>
      </c>
      <c r="D520">
        <v>0</v>
      </c>
      <c r="E520" t="s">
        <v>380</v>
      </c>
    </row>
    <row r="521" spans="1:5" x14ac:dyDescent="0.25">
      <c r="A521" s="279">
        <v>38980</v>
      </c>
      <c r="B521" t="s">
        <v>338</v>
      </c>
      <c r="C521" t="s">
        <v>65</v>
      </c>
      <c r="D521">
        <v>0</v>
      </c>
      <c r="E521" t="s">
        <v>378</v>
      </c>
    </row>
    <row r="522" spans="1:5" x14ac:dyDescent="0.25">
      <c r="A522" s="279">
        <v>38980</v>
      </c>
      <c r="B522" t="s">
        <v>338</v>
      </c>
      <c r="C522" t="s">
        <v>66</v>
      </c>
      <c r="D522">
        <v>0</v>
      </c>
      <c r="E522" t="s">
        <v>380</v>
      </c>
    </row>
    <row r="523" spans="1:5" x14ac:dyDescent="0.25">
      <c r="A523" s="279">
        <v>38980</v>
      </c>
      <c r="B523" t="s">
        <v>338</v>
      </c>
      <c r="C523" t="s">
        <v>120</v>
      </c>
      <c r="D523">
        <v>2691</v>
      </c>
      <c r="E523" t="s">
        <v>378</v>
      </c>
    </row>
    <row r="524" spans="1:5" x14ac:dyDescent="0.25">
      <c r="A524" s="279">
        <v>38980</v>
      </c>
      <c r="B524" t="s">
        <v>338</v>
      </c>
      <c r="C524" t="s">
        <v>121</v>
      </c>
      <c r="D524">
        <v>0</v>
      </c>
      <c r="E524" t="s">
        <v>380</v>
      </c>
    </row>
    <row r="525" spans="1:5" x14ac:dyDescent="0.25">
      <c r="A525" s="279">
        <v>38980</v>
      </c>
      <c r="B525" t="s">
        <v>338</v>
      </c>
      <c r="C525" t="s">
        <v>67</v>
      </c>
      <c r="D525">
        <v>0</v>
      </c>
      <c r="E525" t="s">
        <v>378</v>
      </c>
    </row>
    <row r="526" spans="1:5" x14ac:dyDescent="0.25">
      <c r="A526" s="279">
        <v>38980</v>
      </c>
      <c r="B526" t="s">
        <v>338</v>
      </c>
      <c r="C526" t="s">
        <v>68</v>
      </c>
      <c r="D526">
        <v>0</v>
      </c>
      <c r="E526" t="s">
        <v>380</v>
      </c>
    </row>
    <row r="527" spans="1:5" x14ac:dyDescent="0.25">
      <c r="A527" s="279">
        <v>38980</v>
      </c>
      <c r="B527" t="s">
        <v>338</v>
      </c>
      <c r="C527" t="s">
        <v>69</v>
      </c>
      <c r="D527">
        <v>0</v>
      </c>
      <c r="E527" t="s">
        <v>379</v>
      </c>
    </row>
    <row r="528" spans="1:5" x14ac:dyDescent="0.25">
      <c r="A528" s="279">
        <v>38980</v>
      </c>
      <c r="B528" t="s">
        <v>338</v>
      </c>
      <c r="C528" t="s">
        <v>70</v>
      </c>
      <c r="D528">
        <v>0</v>
      </c>
      <c r="E528" t="s">
        <v>379</v>
      </c>
    </row>
    <row r="529" spans="1:5" x14ac:dyDescent="0.25">
      <c r="A529" s="279">
        <v>38980</v>
      </c>
      <c r="B529" t="s">
        <v>338</v>
      </c>
      <c r="C529" t="s">
        <v>80</v>
      </c>
      <c r="D529">
        <v>151</v>
      </c>
      <c r="E529" t="s">
        <v>379</v>
      </c>
    </row>
    <row r="530" spans="1:5" x14ac:dyDescent="0.25">
      <c r="A530" s="279">
        <v>38980</v>
      </c>
      <c r="B530" t="s">
        <v>339</v>
      </c>
      <c r="C530" t="s">
        <v>71</v>
      </c>
      <c r="D530">
        <v>1840</v>
      </c>
      <c r="E530" t="s">
        <v>378</v>
      </c>
    </row>
    <row r="531" spans="1:5" x14ac:dyDescent="0.25">
      <c r="A531" s="279">
        <v>38980</v>
      </c>
      <c r="B531" t="s">
        <v>339</v>
      </c>
      <c r="C531" t="s">
        <v>72</v>
      </c>
      <c r="D531">
        <v>0</v>
      </c>
      <c r="E531" t="s">
        <v>380</v>
      </c>
    </row>
    <row r="532" spans="1:5" x14ac:dyDescent="0.25">
      <c r="A532" s="279">
        <v>38980</v>
      </c>
      <c r="B532" t="s">
        <v>339</v>
      </c>
      <c r="C532" t="s">
        <v>73</v>
      </c>
      <c r="D532">
        <v>15019</v>
      </c>
      <c r="E532" t="s">
        <v>378</v>
      </c>
    </row>
    <row r="533" spans="1:5" x14ac:dyDescent="0.25">
      <c r="A533" s="279">
        <v>38980</v>
      </c>
      <c r="B533" t="s">
        <v>339</v>
      </c>
      <c r="C533" t="s">
        <v>74</v>
      </c>
      <c r="D533">
        <v>0</v>
      </c>
      <c r="E533" t="s">
        <v>380</v>
      </c>
    </row>
    <row r="534" spans="1:5" x14ac:dyDescent="0.25">
      <c r="A534" s="279">
        <v>38980</v>
      </c>
      <c r="B534" t="s">
        <v>339</v>
      </c>
      <c r="C534" t="s">
        <v>75</v>
      </c>
      <c r="D534">
        <v>15094</v>
      </c>
      <c r="E534" t="s">
        <v>378</v>
      </c>
    </row>
    <row r="535" spans="1:5" x14ac:dyDescent="0.25">
      <c r="A535" s="279">
        <v>38980</v>
      </c>
      <c r="B535" t="s">
        <v>339</v>
      </c>
      <c r="C535" t="s">
        <v>76</v>
      </c>
      <c r="D535">
        <v>10780</v>
      </c>
      <c r="E535" t="s">
        <v>380</v>
      </c>
    </row>
    <row r="536" spans="1:5" x14ac:dyDescent="0.25">
      <c r="A536" s="279">
        <v>38980</v>
      </c>
      <c r="B536" t="s">
        <v>339</v>
      </c>
      <c r="C536" t="s">
        <v>77</v>
      </c>
      <c r="D536">
        <v>7310</v>
      </c>
      <c r="E536" t="s">
        <v>378</v>
      </c>
    </row>
    <row r="537" spans="1:5" x14ac:dyDescent="0.25">
      <c r="A537" s="279">
        <v>38980</v>
      </c>
      <c r="B537" t="s">
        <v>339</v>
      </c>
      <c r="C537" t="s">
        <v>78</v>
      </c>
      <c r="D537">
        <v>0</v>
      </c>
      <c r="E537" t="s">
        <v>380</v>
      </c>
    </row>
    <row r="538" spans="1:5" x14ac:dyDescent="0.25">
      <c r="A538" s="279">
        <v>38980</v>
      </c>
      <c r="B538" t="s">
        <v>339</v>
      </c>
      <c r="C538" t="s">
        <v>79</v>
      </c>
      <c r="D538">
        <v>125636</v>
      </c>
      <c r="E538" t="s">
        <v>379</v>
      </c>
    </row>
    <row r="539" spans="1:5" x14ac:dyDescent="0.25">
      <c r="A539" s="279">
        <v>38980</v>
      </c>
      <c r="B539" t="s">
        <v>339</v>
      </c>
      <c r="C539" t="s">
        <v>70</v>
      </c>
      <c r="D539">
        <v>0</v>
      </c>
      <c r="E539" t="s">
        <v>379</v>
      </c>
    </row>
    <row r="540" spans="1:5" x14ac:dyDescent="0.25">
      <c r="A540" s="279">
        <v>38980</v>
      </c>
      <c r="B540" t="s">
        <v>339</v>
      </c>
      <c r="C540" t="s">
        <v>63</v>
      </c>
      <c r="D540">
        <v>18100</v>
      </c>
      <c r="E540" t="s">
        <v>378</v>
      </c>
    </row>
    <row r="541" spans="1:5" x14ac:dyDescent="0.25">
      <c r="A541" s="279">
        <v>38980</v>
      </c>
      <c r="B541" t="s">
        <v>339</v>
      </c>
      <c r="C541" t="s">
        <v>80</v>
      </c>
      <c r="D541">
        <v>722</v>
      </c>
      <c r="E541" t="s">
        <v>379</v>
      </c>
    </row>
    <row r="542" spans="1:5" x14ac:dyDescent="0.25">
      <c r="A542" s="279">
        <v>38981</v>
      </c>
      <c r="B542" t="s">
        <v>338</v>
      </c>
      <c r="C542" t="s">
        <v>59</v>
      </c>
      <c r="D542">
        <v>2613</v>
      </c>
      <c r="E542" t="s">
        <v>378</v>
      </c>
    </row>
    <row r="543" spans="1:5" x14ac:dyDescent="0.25">
      <c r="A543" s="279">
        <v>38981</v>
      </c>
      <c r="B543" t="s">
        <v>338</v>
      </c>
      <c r="C543" t="s">
        <v>60</v>
      </c>
      <c r="D543">
        <v>0</v>
      </c>
      <c r="E543" t="s">
        <v>379</v>
      </c>
    </row>
    <row r="544" spans="1:5" x14ac:dyDescent="0.25">
      <c r="A544" s="279">
        <v>38981</v>
      </c>
      <c r="B544" t="s">
        <v>338</v>
      </c>
      <c r="C544" t="s">
        <v>61</v>
      </c>
      <c r="D544">
        <v>13196</v>
      </c>
      <c r="E544" t="s">
        <v>378</v>
      </c>
    </row>
    <row r="545" spans="1:5" x14ac:dyDescent="0.25">
      <c r="A545" s="279">
        <v>38981</v>
      </c>
      <c r="B545" t="s">
        <v>338</v>
      </c>
      <c r="C545" t="s">
        <v>62</v>
      </c>
      <c r="D545">
        <v>0</v>
      </c>
      <c r="E545" t="s">
        <v>380</v>
      </c>
    </row>
    <row r="546" spans="1:5" x14ac:dyDescent="0.25">
      <c r="A546" s="279">
        <v>38981</v>
      </c>
      <c r="B546" t="s">
        <v>338</v>
      </c>
      <c r="C546" t="s">
        <v>63</v>
      </c>
      <c r="D546">
        <v>0</v>
      </c>
      <c r="E546" t="s">
        <v>378</v>
      </c>
    </row>
    <row r="547" spans="1:5" x14ac:dyDescent="0.25">
      <c r="A547" s="279">
        <v>38981</v>
      </c>
      <c r="B547" t="s">
        <v>338</v>
      </c>
      <c r="C547" t="s">
        <v>64</v>
      </c>
      <c r="D547">
        <v>0</v>
      </c>
      <c r="E547" t="s">
        <v>380</v>
      </c>
    </row>
    <row r="548" spans="1:5" x14ac:dyDescent="0.25">
      <c r="A548" s="279">
        <v>38981</v>
      </c>
      <c r="B548" t="s">
        <v>338</v>
      </c>
      <c r="C548" t="s">
        <v>65</v>
      </c>
      <c r="D548">
        <v>0</v>
      </c>
      <c r="E548" t="s">
        <v>378</v>
      </c>
    </row>
    <row r="549" spans="1:5" x14ac:dyDescent="0.25">
      <c r="A549" s="279">
        <v>38981</v>
      </c>
      <c r="B549" t="s">
        <v>338</v>
      </c>
      <c r="C549" t="s">
        <v>66</v>
      </c>
      <c r="D549">
        <v>0</v>
      </c>
      <c r="E549" t="s">
        <v>380</v>
      </c>
    </row>
    <row r="550" spans="1:5" x14ac:dyDescent="0.25">
      <c r="A550" s="279">
        <v>38981</v>
      </c>
      <c r="B550" t="s">
        <v>338</v>
      </c>
      <c r="C550" t="s">
        <v>120</v>
      </c>
      <c r="D550">
        <v>2688</v>
      </c>
      <c r="E550" t="s">
        <v>378</v>
      </c>
    </row>
    <row r="551" spans="1:5" x14ac:dyDescent="0.25">
      <c r="A551" s="279">
        <v>38981</v>
      </c>
      <c r="B551" t="s">
        <v>338</v>
      </c>
      <c r="C551" t="s">
        <v>121</v>
      </c>
      <c r="D551">
        <v>0</v>
      </c>
      <c r="E551" t="s">
        <v>380</v>
      </c>
    </row>
    <row r="552" spans="1:5" x14ac:dyDescent="0.25">
      <c r="A552" s="279">
        <v>38981</v>
      </c>
      <c r="B552" t="s">
        <v>338</v>
      </c>
      <c r="C552" t="s">
        <v>67</v>
      </c>
      <c r="D552">
        <v>0</v>
      </c>
      <c r="E552" t="s">
        <v>378</v>
      </c>
    </row>
    <row r="553" spans="1:5" x14ac:dyDescent="0.25">
      <c r="A553" s="279">
        <v>38981</v>
      </c>
      <c r="B553" t="s">
        <v>338</v>
      </c>
      <c r="C553" t="s">
        <v>68</v>
      </c>
      <c r="D553">
        <v>0</v>
      </c>
      <c r="E553" t="s">
        <v>380</v>
      </c>
    </row>
    <row r="554" spans="1:5" x14ac:dyDescent="0.25">
      <c r="A554" s="279">
        <v>38981</v>
      </c>
      <c r="B554" t="s">
        <v>338</v>
      </c>
      <c r="C554" t="s">
        <v>69</v>
      </c>
      <c r="D554">
        <v>0</v>
      </c>
      <c r="E554" t="s">
        <v>379</v>
      </c>
    </row>
    <row r="555" spans="1:5" x14ac:dyDescent="0.25">
      <c r="A555" s="279">
        <v>38981</v>
      </c>
      <c r="B555" t="s">
        <v>338</v>
      </c>
      <c r="C555" t="s">
        <v>70</v>
      </c>
      <c r="D555">
        <v>0</v>
      </c>
      <c r="E555" t="s">
        <v>379</v>
      </c>
    </row>
    <row r="556" spans="1:5" x14ac:dyDescent="0.25">
      <c r="A556" s="279">
        <v>38981</v>
      </c>
      <c r="B556" t="s">
        <v>338</v>
      </c>
      <c r="C556" t="s">
        <v>80</v>
      </c>
      <c r="D556">
        <v>151</v>
      </c>
      <c r="E556" t="s">
        <v>379</v>
      </c>
    </row>
    <row r="557" spans="1:5" x14ac:dyDescent="0.25">
      <c r="A557" s="279">
        <v>38981</v>
      </c>
      <c r="B557" t="s">
        <v>339</v>
      </c>
      <c r="C557" t="s">
        <v>71</v>
      </c>
      <c r="D557">
        <v>1840</v>
      </c>
      <c r="E557" t="s">
        <v>378</v>
      </c>
    </row>
    <row r="558" spans="1:5" x14ac:dyDescent="0.25">
      <c r="A558" s="279">
        <v>38981</v>
      </c>
      <c r="B558" t="s">
        <v>339</v>
      </c>
      <c r="C558" t="s">
        <v>72</v>
      </c>
      <c r="D558">
        <v>0</v>
      </c>
      <c r="E558" t="s">
        <v>380</v>
      </c>
    </row>
    <row r="559" spans="1:5" x14ac:dyDescent="0.25">
      <c r="A559" s="279">
        <v>38981</v>
      </c>
      <c r="B559" t="s">
        <v>339</v>
      </c>
      <c r="C559" t="s">
        <v>73</v>
      </c>
      <c r="D559">
        <v>15019</v>
      </c>
      <c r="E559" t="s">
        <v>378</v>
      </c>
    </row>
    <row r="560" spans="1:5" x14ac:dyDescent="0.25">
      <c r="A560" s="279">
        <v>38981</v>
      </c>
      <c r="B560" t="s">
        <v>339</v>
      </c>
      <c r="C560" t="s">
        <v>74</v>
      </c>
      <c r="D560">
        <v>0</v>
      </c>
      <c r="E560" t="s">
        <v>380</v>
      </c>
    </row>
    <row r="561" spans="1:5" x14ac:dyDescent="0.25">
      <c r="A561" s="279">
        <v>38981</v>
      </c>
      <c r="B561" t="s">
        <v>339</v>
      </c>
      <c r="C561" t="s">
        <v>75</v>
      </c>
      <c r="D561">
        <v>15094</v>
      </c>
      <c r="E561" t="s">
        <v>378</v>
      </c>
    </row>
    <row r="562" spans="1:5" x14ac:dyDescent="0.25">
      <c r="A562" s="279">
        <v>38981</v>
      </c>
      <c r="B562" t="s">
        <v>339</v>
      </c>
      <c r="C562" t="s">
        <v>76</v>
      </c>
      <c r="D562">
        <v>14550</v>
      </c>
      <c r="E562" t="s">
        <v>380</v>
      </c>
    </row>
    <row r="563" spans="1:5" x14ac:dyDescent="0.25">
      <c r="A563" s="279">
        <v>38981</v>
      </c>
      <c r="B563" t="s">
        <v>339</v>
      </c>
      <c r="C563" t="s">
        <v>77</v>
      </c>
      <c r="D563">
        <v>7310</v>
      </c>
      <c r="E563" t="s">
        <v>378</v>
      </c>
    </row>
    <row r="564" spans="1:5" x14ac:dyDescent="0.25">
      <c r="A564" s="279">
        <v>38981</v>
      </c>
      <c r="B564" t="s">
        <v>339</v>
      </c>
      <c r="C564" t="s">
        <v>78</v>
      </c>
      <c r="D564">
        <v>413</v>
      </c>
      <c r="E564" t="s">
        <v>380</v>
      </c>
    </row>
    <row r="565" spans="1:5" x14ac:dyDescent="0.25">
      <c r="A565" s="279">
        <v>38981</v>
      </c>
      <c r="B565" t="s">
        <v>339</v>
      </c>
      <c r="C565" t="s">
        <v>79</v>
      </c>
      <c r="D565">
        <v>125636</v>
      </c>
      <c r="E565" t="s">
        <v>379</v>
      </c>
    </row>
    <row r="566" spans="1:5" x14ac:dyDescent="0.25">
      <c r="A566" s="279">
        <v>38981</v>
      </c>
      <c r="B566" t="s">
        <v>339</v>
      </c>
      <c r="C566" t="s">
        <v>70</v>
      </c>
      <c r="D566">
        <v>0</v>
      </c>
      <c r="E566" t="s">
        <v>379</v>
      </c>
    </row>
    <row r="567" spans="1:5" x14ac:dyDescent="0.25">
      <c r="A567" s="279">
        <v>38981</v>
      </c>
      <c r="B567" t="s">
        <v>339</v>
      </c>
      <c r="C567" t="s">
        <v>63</v>
      </c>
      <c r="D567">
        <v>18100</v>
      </c>
      <c r="E567" t="s">
        <v>378</v>
      </c>
    </row>
    <row r="568" spans="1:5" x14ac:dyDescent="0.25">
      <c r="A568" s="279">
        <v>38981</v>
      </c>
      <c r="B568" t="s">
        <v>339</v>
      </c>
      <c r="C568" t="s">
        <v>80</v>
      </c>
      <c r="D568">
        <v>722</v>
      </c>
      <c r="E568" t="s">
        <v>379</v>
      </c>
    </row>
    <row r="569" spans="1:5" x14ac:dyDescent="0.25">
      <c r="A569" s="279">
        <v>38982</v>
      </c>
      <c r="B569" t="s">
        <v>338</v>
      </c>
      <c r="C569" t="s">
        <v>59</v>
      </c>
      <c r="D569">
        <v>2608</v>
      </c>
      <c r="E569" t="s">
        <v>378</v>
      </c>
    </row>
    <row r="570" spans="1:5" x14ac:dyDescent="0.25">
      <c r="A570" s="279">
        <v>38982</v>
      </c>
      <c r="B570" t="s">
        <v>338</v>
      </c>
      <c r="C570" t="s">
        <v>60</v>
      </c>
      <c r="D570">
        <v>0</v>
      </c>
      <c r="E570" t="s">
        <v>379</v>
      </c>
    </row>
    <row r="571" spans="1:5" x14ac:dyDescent="0.25">
      <c r="A571" s="279">
        <v>38982</v>
      </c>
      <c r="B571" t="s">
        <v>338</v>
      </c>
      <c r="C571" t="s">
        <v>61</v>
      </c>
      <c r="D571">
        <v>13171</v>
      </c>
      <c r="E571" t="s">
        <v>378</v>
      </c>
    </row>
    <row r="572" spans="1:5" x14ac:dyDescent="0.25">
      <c r="A572" s="279">
        <v>38982</v>
      </c>
      <c r="B572" t="s">
        <v>338</v>
      </c>
      <c r="C572" t="s">
        <v>62</v>
      </c>
      <c r="D572">
        <v>0</v>
      </c>
      <c r="E572" t="s">
        <v>380</v>
      </c>
    </row>
    <row r="573" spans="1:5" x14ac:dyDescent="0.25">
      <c r="A573" s="279">
        <v>38982</v>
      </c>
      <c r="B573" t="s">
        <v>338</v>
      </c>
      <c r="C573" t="s">
        <v>63</v>
      </c>
      <c r="D573">
        <v>0</v>
      </c>
      <c r="E573" t="s">
        <v>378</v>
      </c>
    </row>
    <row r="574" spans="1:5" x14ac:dyDescent="0.25">
      <c r="A574" s="279">
        <v>38982</v>
      </c>
      <c r="B574" t="s">
        <v>338</v>
      </c>
      <c r="C574" t="s">
        <v>64</v>
      </c>
      <c r="D574">
        <v>0</v>
      </c>
      <c r="E574" t="s">
        <v>380</v>
      </c>
    </row>
    <row r="575" spans="1:5" x14ac:dyDescent="0.25">
      <c r="A575" s="279">
        <v>38982</v>
      </c>
      <c r="B575" t="s">
        <v>338</v>
      </c>
      <c r="C575" t="s">
        <v>65</v>
      </c>
      <c r="D575">
        <v>0</v>
      </c>
      <c r="E575" t="s">
        <v>378</v>
      </c>
    </row>
    <row r="576" spans="1:5" x14ac:dyDescent="0.25">
      <c r="A576" s="279">
        <v>38982</v>
      </c>
      <c r="B576" t="s">
        <v>338</v>
      </c>
      <c r="C576" t="s">
        <v>66</v>
      </c>
      <c r="D576">
        <v>0</v>
      </c>
      <c r="E576" t="s">
        <v>380</v>
      </c>
    </row>
    <row r="577" spans="1:5" x14ac:dyDescent="0.25">
      <c r="A577" s="279">
        <v>38982</v>
      </c>
      <c r="B577" t="s">
        <v>338</v>
      </c>
      <c r="C577" t="s">
        <v>120</v>
      </c>
      <c r="D577">
        <v>2683</v>
      </c>
      <c r="E577" t="s">
        <v>378</v>
      </c>
    </row>
    <row r="578" spans="1:5" x14ac:dyDescent="0.25">
      <c r="A578" s="279">
        <v>38982</v>
      </c>
      <c r="B578" t="s">
        <v>338</v>
      </c>
      <c r="C578" t="s">
        <v>121</v>
      </c>
      <c r="D578">
        <v>0</v>
      </c>
      <c r="E578" t="s">
        <v>380</v>
      </c>
    </row>
    <row r="579" spans="1:5" x14ac:dyDescent="0.25">
      <c r="A579" s="279">
        <v>38982</v>
      </c>
      <c r="B579" t="s">
        <v>338</v>
      </c>
      <c r="C579" t="s">
        <v>67</v>
      </c>
      <c r="D579">
        <v>0</v>
      </c>
      <c r="E579" t="s">
        <v>378</v>
      </c>
    </row>
    <row r="580" spans="1:5" x14ac:dyDescent="0.25">
      <c r="A580" s="279">
        <v>38982</v>
      </c>
      <c r="B580" t="s">
        <v>338</v>
      </c>
      <c r="C580" t="s">
        <v>68</v>
      </c>
      <c r="D580">
        <v>0</v>
      </c>
      <c r="E580" t="s">
        <v>380</v>
      </c>
    </row>
    <row r="581" spans="1:5" x14ac:dyDescent="0.25">
      <c r="A581" s="279">
        <v>38982</v>
      </c>
      <c r="B581" t="s">
        <v>338</v>
      </c>
      <c r="C581" t="s">
        <v>69</v>
      </c>
      <c r="D581">
        <v>0</v>
      </c>
      <c r="E581" t="s">
        <v>379</v>
      </c>
    </row>
    <row r="582" spans="1:5" x14ac:dyDescent="0.25">
      <c r="A582" s="279">
        <v>38982</v>
      </c>
      <c r="B582" t="s">
        <v>338</v>
      </c>
      <c r="C582" t="s">
        <v>70</v>
      </c>
      <c r="D582">
        <v>0</v>
      </c>
      <c r="E582" t="s">
        <v>379</v>
      </c>
    </row>
    <row r="583" spans="1:5" x14ac:dyDescent="0.25">
      <c r="A583" s="279">
        <v>38982</v>
      </c>
      <c r="B583" t="s">
        <v>338</v>
      </c>
      <c r="C583" t="s">
        <v>80</v>
      </c>
      <c r="D583">
        <v>151</v>
      </c>
      <c r="E583" t="s">
        <v>379</v>
      </c>
    </row>
    <row r="584" spans="1:5" x14ac:dyDescent="0.25">
      <c r="A584" s="279">
        <v>38982</v>
      </c>
      <c r="B584" t="s">
        <v>339</v>
      </c>
      <c r="C584" t="s">
        <v>71</v>
      </c>
      <c r="D584">
        <v>1841</v>
      </c>
      <c r="E584" t="s">
        <v>378</v>
      </c>
    </row>
    <row r="585" spans="1:5" x14ac:dyDescent="0.25">
      <c r="A585" s="279">
        <v>38982</v>
      </c>
      <c r="B585" t="s">
        <v>339</v>
      </c>
      <c r="C585" t="s">
        <v>72</v>
      </c>
      <c r="D585">
        <v>0</v>
      </c>
      <c r="E585" t="s">
        <v>380</v>
      </c>
    </row>
    <row r="586" spans="1:5" x14ac:dyDescent="0.25">
      <c r="A586" s="279">
        <v>38982</v>
      </c>
      <c r="B586" t="s">
        <v>339</v>
      </c>
      <c r="C586" t="s">
        <v>73</v>
      </c>
      <c r="D586">
        <v>15034</v>
      </c>
      <c r="E586" t="s">
        <v>378</v>
      </c>
    </row>
    <row r="587" spans="1:5" x14ac:dyDescent="0.25">
      <c r="A587" s="279">
        <v>38982</v>
      </c>
      <c r="B587" t="s">
        <v>339</v>
      </c>
      <c r="C587" t="s">
        <v>74</v>
      </c>
      <c r="D587">
        <v>0</v>
      </c>
      <c r="E587" t="s">
        <v>380</v>
      </c>
    </row>
    <row r="588" spans="1:5" x14ac:dyDescent="0.25">
      <c r="A588" s="279">
        <v>38982</v>
      </c>
      <c r="B588" t="s">
        <v>339</v>
      </c>
      <c r="C588" t="s">
        <v>75</v>
      </c>
      <c r="D588">
        <v>15108</v>
      </c>
      <c r="E588" t="s">
        <v>378</v>
      </c>
    </row>
    <row r="589" spans="1:5" x14ac:dyDescent="0.25">
      <c r="A589" s="279">
        <v>38982</v>
      </c>
      <c r="B589" t="s">
        <v>339</v>
      </c>
      <c r="C589" t="s">
        <v>76</v>
      </c>
      <c r="D589">
        <v>14565</v>
      </c>
      <c r="E589" t="s">
        <v>380</v>
      </c>
    </row>
    <row r="590" spans="1:5" x14ac:dyDescent="0.25">
      <c r="A590" s="279">
        <v>38982</v>
      </c>
      <c r="B590" t="s">
        <v>339</v>
      </c>
      <c r="C590" t="s">
        <v>77</v>
      </c>
      <c r="D590">
        <v>7317</v>
      </c>
      <c r="E590" t="s">
        <v>378</v>
      </c>
    </row>
    <row r="591" spans="1:5" x14ac:dyDescent="0.25">
      <c r="A591" s="279">
        <v>38982</v>
      </c>
      <c r="B591" t="s">
        <v>339</v>
      </c>
      <c r="C591" t="s">
        <v>78</v>
      </c>
      <c r="D591">
        <v>2728</v>
      </c>
      <c r="E591" t="s">
        <v>380</v>
      </c>
    </row>
    <row r="592" spans="1:5" x14ac:dyDescent="0.25">
      <c r="A592" s="279">
        <v>38982</v>
      </c>
      <c r="B592" t="s">
        <v>339</v>
      </c>
      <c r="C592" t="s">
        <v>79</v>
      </c>
      <c r="D592">
        <v>115488</v>
      </c>
      <c r="E592" t="s">
        <v>379</v>
      </c>
    </row>
    <row r="593" spans="1:5" x14ac:dyDescent="0.25">
      <c r="A593" s="279">
        <v>38982</v>
      </c>
      <c r="B593" t="s">
        <v>339</v>
      </c>
      <c r="C593" t="s">
        <v>70</v>
      </c>
      <c r="D593">
        <v>0</v>
      </c>
      <c r="E593" t="s">
        <v>379</v>
      </c>
    </row>
    <row r="594" spans="1:5" x14ac:dyDescent="0.25">
      <c r="A594" s="279">
        <v>38982</v>
      </c>
      <c r="B594" t="s">
        <v>339</v>
      </c>
      <c r="C594" t="s">
        <v>63</v>
      </c>
      <c r="D594">
        <v>18117</v>
      </c>
      <c r="E594" t="s">
        <v>378</v>
      </c>
    </row>
    <row r="595" spans="1:5" x14ac:dyDescent="0.25">
      <c r="A595" s="279">
        <v>38982</v>
      </c>
      <c r="B595" t="s">
        <v>339</v>
      </c>
      <c r="C595" t="s">
        <v>80</v>
      </c>
      <c r="D595">
        <v>723</v>
      </c>
      <c r="E595" t="s">
        <v>379</v>
      </c>
    </row>
    <row r="596" spans="1:5" x14ac:dyDescent="0.25">
      <c r="A596" s="279">
        <v>38983</v>
      </c>
      <c r="B596" t="s">
        <v>338</v>
      </c>
      <c r="C596" t="s">
        <v>59</v>
      </c>
      <c r="D596">
        <v>2610</v>
      </c>
      <c r="E596" t="s">
        <v>378</v>
      </c>
    </row>
    <row r="597" spans="1:5" x14ac:dyDescent="0.25">
      <c r="A597" s="279">
        <v>38983</v>
      </c>
      <c r="B597" t="s">
        <v>338</v>
      </c>
      <c r="C597" t="s">
        <v>60</v>
      </c>
      <c r="D597">
        <v>0</v>
      </c>
      <c r="E597" t="s">
        <v>379</v>
      </c>
    </row>
    <row r="598" spans="1:5" x14ac:dyDescent="0.25">
      <c r="A598" s="279">
        <v>38983</v>
      </c>
      <c r="B598" t="s">
        <v>338</v>
      </c>
      <c r="C598" t="s">
        <v>61</v>
      </c>
      <c r="D598">
        <v>13183</v>
      </c>
      <c r="E598" t="s">
        <v>378</v>
      </c>
    </row>
    <row r="599" spans="1:5" x14ac:dyDescent="0.25">
      <c r="A599" s="279">
        <v>38983</v>
      </c>
      <c r="B599" t="s">
        <v>338</v>
      </c>
      <c r="C599" t="s">
        <v>62</v>
      </c>
      <c r="D599">
        <v>0</v>
      </c>
      <c r="E599" t="s">
        <v>380</v>
      </c>
    </row>
    <row r="600" spans="1:5" x14ac:dyDescent="0.25">
      <c r="A600" s="279">
        <v>38983</v>
      </c>
      <c r="B600" t="s">
        <v>338</v>
      </c>
      <c r="C600" t="s">
        <v>63</v>
      </c>
      <c r="D600">
        <v>0</v>
      </c>
      <c r="E600" t="s">
        <v>378</v>
      </c>
    </row>
    <row r="601" spans="1:5" x14ac:dyDescent="0.25">
      <c r="A601" s="279">
        <v>38983</v>
      </c>
      <c r="B601" t="s">
        <v>338</v>
      </c>
      <c r="C601" t="s">
        <v>64</v>
      </c>
      <c r="D601">
        <v>0</v>
      </c>
      <c r="E601" t="s">
        <v>380</v>
      </c>
    </row>
    <row r="602" spans="1:5" x14ac:dyDescent="0.25">
      <c r="A602" s="279">
        <v>38983</v>
      </c>
      <c r="B602" t="s">
        <v>338</v>
      </c>
      <c r="C602" t="s">
        <v>65</v>
      </c>
      <c r="D602">
        <v>0</v>
      </c>
      <c r="E602" t="s">
        <v>378</v>
      </c>
    </row>
    <row r="603" spans="1:5" x14ac:dyDescent="0.25">
      <c r="A603" s="279">
        <v>38983</v>
      </c>
      <c r="B603" t="s">
        <v>338</v>
      </c>
      <c r="C603" t="s">
        <v>66</v>
      </c>
      <c r="D603">
        <v>0</v>
      </c>
      <c r="E603" t="s">
        <v>380</v>
      </c>
    </row>
    <row r="604" spans="1:5" x14ac:dyDescent="0.25">
      <c r="A604" s="279">
        <v>38983</v>
      </c>
      <c r="B604" t="s">
        <v>338</v>
      </c>
      <c r="C604" t="s">
        <v>120</v>
      </c>
      <c r="D604">
        <v>2686</v>
      </c>
      <c r="E604" t="s">
        <v>378</v>
      </c>
    </row>
    <row r="605" spans="1:5" x14ac:dyDescent="0.25">
      <c r="A605" s="279">
        <v>38983</v>
      </c>
      <c r="B605" t="s">
        <v>338</v>
      </c>
      <c r="C605" t="s">
        <v>121</v>
      </c>
      <c r="D605">
        <v>0</v>
      </c>
      <c r="E605" t="s">
        <v>380</v>
      </c>
    </row>
    <row r="606" spans="1:5" x14ac:dyDescent="0.25">
      <c r="A606" s="279">
        <v>38983</v>
      </c>
      <c r="B606" t="s">
        <v>338</v>
      </c>
      <c r="C606" t="s">
        <v>67</v>
      </c>
      <c r="D606">
        <v>0</v>
      </c>
      <c r="E606" t="s">
        <v>378</v>
      </c>
    </row>
    <row r="607" spans="1:5" x14ac:dyDescent="0.25">
      <c r="A607" s="279">
        <v>38983</v>
      </c>
      <c r="B607" t="s">
        <v>338</v>
      </c>
      <c r="C607" t="s">
        <v>68</v>
      </c>
      <c r="D607">
        <v>0</v>
      </c>
      <c r="E607" t="s">
        <v>380</v>
      </c>
    </row>
    <row r="608" spans="1:5" x14ac:dyDescent="0.25">
      <c r="A608" s="279">
        <v>38983</v>
      </c>
      <c r="B608" t="s">
        <v>338</v>
      </c>
      <c r="C608" t="s">
        <v>69</v>
      </c>
      <c r="D608">
        <v>0</v>
      </c>
      <c r="E608" t="s">
        <v>379</v>
      </c>
    </row>
    <row r="609" spans="1:5" x14ac:dyDescent="0.25">
      <c r="A609" s="279">
        <v>38983</v>
      </c>
      <c r="B609" t="s">
        <v>338</v>
      </c>
      <c r="C609" t="s">
        <v>70</v>
      </c>
      <c r="D609">
        <v>0</v>
      </c>
      <c r="E609" t="s">
        <v>379</v>
      </c>
    </row>
    <row r="610" spans="1:5" x14ac:dyDescent="0.25">
      <c r="A610" s="279">
        <v>38983</v>
      </c>
      <c r="B610" t="s">
        <v>338</v>
      </c>
      <c r="C610" t="s">
        <v>80</v>
      </c>
      <c r="D610">
        <v>151</v>
      </c>
      <c r="E610" t="s">
        <v>379</v>
      </c>
    </row>
    <row r="611" spans="1:5" x14ac:dyDescent="0.25">
      <c r="A611" s="279">
        <v>38983</v>
      </c>
      <c r="B611" t="s">
        <v>339</v>
      </c>
      <c r="C611" t="s">
        <v>71</v>
      </c>
      <c r="D611">
        <v>1841</v>
      </c>
      <c r="E611" t="s">
        <v>378</v>
      </c>
    </row>
    <row r="612" spans="1:5" x14ac:dyDescent="0.25">
      <c r="A612" s="279">
        <v>38983</v>
      </c>
      <c r="B612" t="s">
        <v>339</v>
      </c>
      <c r="C612" t="s">
        <v>72</v>
      </c>
      <c r="D612">
        <v>0</v>
      </c>
      <c r="E612" t="s">
        <v>380</v>
      </c>
    </row>
    <row r="613" spans="1:5" x14ac:dyDescent="0.25">
      <c r="A613" s="279">
        <v>38983</v>
      </c>
      <c r="B613" t="s">
        <v>339</v>
      </c>
      <c r="C613" t="s">
        <v>73</v>
      </c>
      <c r="D613">
        <v>15034</v>
      </c>
      <c r="E613" t="s">
        <v>378</v>
      </c>
    </row>
    <row r="614" spans="1:5" x14ac:dyDescent="0.25">
      <c r="A614" s="279">
        <v>38983</v>
      </c>
      <c r="B614" t="s">
        <v>339</v>
      </c>
      <c r="C614" t="s">
        <v>74</v>
      </c>
      <c r="D614">
        <v>0</v>
      </c>
      <c r="E614" t="s">
        <v>380</v>
      </c>
    </row>
    <row r="615" spans="1:5" x14ac:dyDescent="0.25">
      <c r="A615" s="279">
        <v>38983</v>
      </c>
      <c r="B615" t="s">
        <v>339</v>
      </c>
      <c r="C615" t="s">
        <v>75</v>
      </c>
      <c r="D615">
        <v>15108</v>
      </c>
      <c r="E615" t="s">
        <v>378</v>
      </c>
    </row>
    <row r="616" spans="1:5" x14ac:dyDescent="0.25">
      <c r="A616" s="279">
        <v>38983</v>
      </c>
      <c r="B616" t="s">
        <v>339</v>
      </c>
      <c r="C616" t="s">
        <v>76</v>
      </c>
      <c r="D616">
        <v>10805</v>
      </c>
      <c r="E616" t="s">
        <v>380</v>
      </c>
    </row>
    <row r="617" spans="1:5" x14ac:dyDescent="0.25">
      <c r="A617" s="279">
        <v>38983</v>
      </c>
      <c r="B617" t="s">
        <v>339</v>
      </c>
      <c r="C617" t="s">
        <v>77</v>
      </c>
      <c r="D617">
        <v>7317</v>
      </c>
      <c r="E617" t="s">
        <v>378</v>
      </c>
    </row>
    <row r="618" spans="1:5" x14ac:dyDescent="0.25">
      <c r="A618" s="279">
        <v>38983</v>
      </c>
      <c r="B618" t="s">
        <v>339</v>
      </c>
      <c r="C618" t="s">
        <v>78</v>
      </c>
      <c r="D618">
        <v>0</v>
      </c>
      <c r="E618" t="s">
        <v>380</v>
      </c>
    </row>
    <row r="619" spans="1:5" x14ac:dyDescent="0.25">
      <c r="A619" s="279">
        <v>38983</v>
      </c>
      <c r="B619" t="s">
        <v>339</v>
      </c>
      <c r="C619" t="s">
        <v>79</v>
      </c>
      <c r="D619">
        <v>118398</v>
      </c>
      <c r="E619" t="s">
        <v>379</v>
      </c>
    </row>
    <row r="620" spans="1:5" x14ac:dyDescent="0.25">
      <c r="A620" s="279">
        <v>38983</v>
      </c>
      <c r="B620" t="s">
        <v>339</v>
      </c>
      <c r="C620" t="s">
        <v>70</v>
      </c>
      <c r="D620">
        <v>0</v>
      </c>
      <c r="E620" t="s">
        <v>379</v>
      </c>
    </row>
    <row r="621" spans="1:5" x14ac:dyDescent="0.25">
      <c r="A621" s="279">
        <v>38983</v>
      </c>
      <c r="B621" t="s">
        <v>339</v>
      </c>
      <c r="C621" t="s">
        <v>63</v>
      </c>
      <c r="D621">
        <v>18117</v>
      </c>
      <c r="E621" t="s">
        <v>378</v>
      </c>
    </row>
    <row r="622" spans="1:5" x14ac:dyDescent="0.25">
      <c r="A622" s="279">
        <v>38983</v>
      </c>
      <c r="B622" t="s">
        <v>339</v>
      </c>
      <c r="C622" t="s">
        <v>80</v>
      </c>
      <c r="D622">
        <v>723</v>
      </c>
      <c r="E622" t="s">
        <v>379</v>
      </c>
    </row>
    <row r="623" spans="1:5" x14ac:dyDescent="0.25">
      <c r="A623" s="279">
        <v>38984</v>
      </c>
      <c r="B623" t="s">
        <v>338</v>
      </c>
      <c r="C623" t="s">
        <v>59</v>
      </c>
      <c r="D623">
        <v>2603</v>
      </c>
      <c r="E623" t="s">
        <v>378</v>
      </c>
    </row>
    <row r="624" spans="1:5" x14ac:dyDescent="0.25">
      <c r="A624" s="279">
        <v>38984</v>
      </c>
      <c r="B624" t="s">
        <v>338</v>
      </c>
      <c r="C624" t="s">
        <v>60</v>
      </c>
      <c r="D624">
        <v>0</v>
      </c>
      <c r="E624" t="s">
        <v>379</v>
      </c>
    </row>
    <row r="625" spans="1:5" x14ac:dyDescent="0.25">
      <c r="A625" s="279">
        <v>38984</v>
      </c>
      <c r="B625" t="s">
        <v>338</v>
      </c>
      <c r="C625" t="s">
        <v>61</v>
      </c>
      <c r="D625">
        <v>13145</v>
      </c>
      <c r="E625" t="s">
        <v>378</v>
      </c>
    </row>
    <row r="626" spans="1:5" x14ac:dyDescent="0.25">
      <c r="A626" s="279">
        <v>38984</v>
      </c>
      <c r="B626" t="s">
        <v>338</v>
      </c>
      <c r="C626" t="s">
        <v>62</v>
      </c>
      <c r="D626">
        <v>0</v>
      </c>
      <c r="E626" t="s">
        <v>380</v>
      </c>
    </row>
    <row r="627" spans="1:5" x14ac:dyDescent="0.25">
      <c r="A627" s="279">
        <v>38984</v>
      </c>
      <c r="B627" t="s">
        <v>338</v>
      </c>
      <c r="C627" t="s">
        <v>63</v>
      </c>
      <c r="D627">
        <v>0</v>
      </c>
      <c r="E627" t="s">
        <v>378</v>
      </c>
    </row>
    <row r="628" spans="1:5" x14ac:dyDescent="0.25">
      <c r="A628" s="279">
        <v>38984</v>
      </c>
      <c r="B628" t="s">
        <v>338</v>
      </c>
      <c r="C628" t="s">
        <v>64</v>
      </c>
      <c r="D628">
        <v>0</v>
      </c>
      <c r="E628" t="s">
        <v>380</v>
      </c>
    </row>
    <row r="629" spans="1:5" x14ac:dyDescent="0.25">
      <c r="A629" s="279">
        <v>38984</v>
      </c>
      <c r="B629" t="s">
        <v>338</v>
      </c>
      <c r="C629" t="s">
        <v>65</v>
      </c>
      <c r="D629">
        <v>0</v>
      </c>
      <c r="E629" t="s">
        <v>378</v>
      </c>
    </row>
    <row r="630" spans="1:5" x14ac:dyDescent="0.25">
      <c r="A630" s="279">
        <v>38984</v>
      </c>
      <c r="B630" t="s">
        <v>338</v>
      </c>
      <c r="C630" t="s">
        <v>66</v>
      </c>
      <c r="D630">
        <v>0</v>
      </c>
      <c r="E630" t="s">
        <v>380</v>
      </c>
    </row>
    <row r="631" spans="1:5" x14ac:dyDescent="0.25">
      <c r="A631" s="279">
        <v>38984</v>
      </c>
      <c r="B631" t="s">
        <v>338</v>
      </c>
      <c r="C631" t="s">
        <v>120</v>
      </c>
      <c r="D631">
        <v>2678</v>
      </c>
      <c r="E631" t="s">
        <v>378</v>
      </c>
    </row>
    <row r="632" spans="1:5" x14ac:dyDescent="0.25">
      <c r="A632" s="279">
        <v>38984</v>
      </c>
      <c r="B632" t="s">
        <v>338</v>
      </c>
      <c r="C632" t="s">
        <v>121</v>
      </c>
      <c r="D632">
        <v>0</v>
      </c>
      <c r="E632" t="s">
        <v>380</v>
      </c>
    </row>
    <row r="633" spans="1:5" x14ac:dyDescent="0.25">
      <c r="A633" s="279">
        <v>38984</v>
      </c>
      <c r="B633" t="s">
        <v>338</v>
      </c>
      <c r="C633" t="s">
        <v>67</v>
      </c>
      <c r="D633">
        <v>0</v>
      </c>
      <c r="E633" t="s">
        <v>378</v>
      </c>
    </row>
    <row r="634" spans="1:5" x14ac:dyDescent="0.25">
      <c r="A634" s="279">
        <v>38984</v>
      </c>
      <c r="B634" t="s">
        <v>338</v>
      </c>
      <c r="C634" t="s">
        <v>68</v>
      </c>
      <c r="D634">
        <v>0</v>
      </c>
      <c r="E634" t="s">
        <v>380</v>
      </c>
    </row>
    <row r="635" spans="1:5" x14ac:dyDescent="0.25">
      <c r="A635" s="279">
        <v>38984</v>
      </c>
      <c r="B635" t="s">
        <v>338</v>
      </c>
      <c r="C635" t="s">
        <v>69</v>
      </c>
      <c r="D635">
        <v>0</v>
      </c>
      <c r="E635" t="s">
        <v>379</v>
      </c>
    </row>
    <row r="636" spans="1:5" x14ac:dyDescent="0.25">
      <c r="A636" s="279">
        <v>38984</v>
      </c>
      <c r="B636" t="s">
        <v>338</v>
      </c>
      <c r="C636" t="s">
        <v>70</v>
      </c>
      <c r="D636">
        <v>0</v>
      </c>
      <c r="E636" t="s">
        <v>379</v>
      </c>
    </row>
    <row r="637" spans="1:5" x14ac:dyDescent="0.25">
      <c r="A637" s="279">
        <v>38984</v>
      </c>
      <c r="B637" t="s">
        <v>338</v>
      </c>
      <c r="C637" t="s">
        <v>80</v>
      </c>
      <c r="D637">
        <v>150</v>
      </c>
      <c r="E637" t="s">
        <v>379</v>
      </c>
    </row>
    <row r="638" spans="1:5" x14ac:dyDescent="0.25">
      <c r="A638" s="279">
        <v>38984</v>
      </c>
      <c r="B638" t="s">
        <v>339</v>
      </c>
      <c r="C638" t="s">
        <v>71</v>
      </c>
      <c r="D638">
        <v>1836</v>
      </c>
      <c r="E638" t="s">
        <v>378</v>
      </c>
    </row>
    <row r="639" spans="1:5" x14ac:dyDescent="0.25">
      <c r="A639" s="279">
        <v>38984</v>
      </c>
      <c r="B639" t="s">
        <v>339</v>
      </c>
      <c r="C639" t="s">
        <v>72</v>
      </c>
      <c r="D639">
        <v>0</v>
      </c>
      <c r="E639" t="s">
        <v>380</v>
      </c>
    </row>
    <row r="640" spans="1:5" x14ac:dyDescent="0.25">
      <c r="A640" s="279">
        <v>38984</v>
      </c>
      <c r="B640" t="s">
        <v>339</v>
      </c>
      <c r="C640" t="s">
        <v>73</v>
      </c>
      <c r="D640">
        <v>14990</v>
      </c>
      <c r="E640" t="s">
        <v>378</v>
      </c>
    </row>
    <row r="641" spans="1:5" x14ac:dyDescent="0.25">
      <c r="A641" s="279">
        <v>38984</v>
      </c>
      <c r="B641" t="s">
        <v>339</v>
      </c>
      <c r="C641" t="s">
        <v>74</v>
      </c>
      <c r="D641">
        <v>0</v>
      </c>
      <c r="E641" t="s">
        <v>380</v>
      </c>
    </row>
    <row r="642" spans="1:5" x14ac:dyDescent="0.25">
      <c r="A642" s="279">
        <v>38984</v>
      </c>
      <c r="B642" t="s">
        <v>339</v>
      </c>
      <c r="C642" t="s">
        <v>75</v>
      </c>
      <c r="D642">
        <v>15065</v>
      </c>
      <c r="E642" t="s">
        <v>378</v>
      </c>
    </row>
    <row r="643" spans="1:5" x14ac:dyDescent="0.25">
      <c r="A643" s="279">
        <v>38984</v>
      </c>
      <c r="B643" t="s">
        <v>339</v>
      </c>
      <c r="C643" t="s">
        <v>76</v>
      </c>
      <c r="D643">
        <v>14522</v>
      </c>
      <c r="E643" t="s">
        <v>380</v>
      </c>
    </row>
    <row r="644" spans="1:5" x14ac:dyDescent="0.25">
      <c r="A644" s="279">
        <v>38984</v>
      </c>
      <c r="B644" t="s">
        <v>339</v>
      </c>
      <c r="C644" t="s">
        <v>77</v>
      </c>
      <c r="D644">
        <v>7296</v>
      </c>
      <c r="E644" t="s">
        <v>378</v>
      </c>
    </row>
    <row r="645" spans="1:5" x14ac:dyDescent="0.25">
      <c r="A645" s="279">
        <v>38984</v>
      </c>
      <c r="B645" t="s">
        <v>339</v>
      </c>
      <c r="C645" t="s">
        <v>78</v>
      </c>
      <c r="D645">
        <v>700</v>
      </c>
      <c r="E645" t="s">
        <v>380</v>
      </c>
    </row>
    <row r="646" spans="1:5" x14ac:dyDescent="0.25">
      <c r="A646" s="279">
        <v>38984</v>
      </c>
      <c r="B646" t="s">
        <v>339</v>
      </c>
      <c r="C646" t="s">
        <v>79</v>
      </c>
      <c r="D646">
        <v>118054</v>
      </c>
      <c r="E646" t="s">
        <v>379</v>
      </c>
    </row>
    <row r="647" spans="1:5" x14ac:dyDescent="0.25">
      <c r="A647" s="279">
        <v>38984</v>
      </c>
      <c r="B647" t="s">
        <v>339</v>
      </c>
      <c r="C647" t="s">
        <v>70</v>
      </c>
      <c r="D647">
        <v>0</v>
      </c>
      <c r="E647" t="s">
        <v>379</v>
      </c>
    </row>
    <row r="648" spans="1:5" x14ac:dyDescent="0.25">
      <c r="A648" s="279">
        <v>38984</v>
      </c>
      <c r="B648" t="s">
        <v>339</v>
      </c>
      <c r="C648" t="s">
        <v>63</v>
      </c>
      <c r="D648">
        <v>18065</v>
      </c>
      <c r="E648" t="s">
        <v>378</v>
      </c>
    </row>
    <row r="649" spans="1:5" x14ac:dyDescent="0.25">
      <c r="A649" s="279">
        <v>38984</v>
      </c>
      <c r="B649" t="s">
        <v>339</v>
      </c>
      <c r="C649" t="s">
        <v>80</v>
      </c>
      <c r="D649">
        <v>721</v>
      </c>
      <c r="E649" t="s">
        <v>379</v>
      </c>
    </row>
    <row r="650" spans="1:5" x14ac:dyDescent="0.25">
      <c r="A650" s="279">
        <v>38985</v>
      </c>
      <c r="B650" t="s">
        <v>338</v>
      </c>
      <c r="C650" t="s">
        <v>59</v>
      </c>
      <c r="D650">
        <v>2608</v>
      </c>
      <c r="E650" t="s">
        <v>378</v>
      </c>
    </row>
    <row r="651" spans="1:5" x14ac:dyDescent="0.25">
      <c r="A651" s="279">
        <v>38985</v>
      </c>
      <c r="B651" t="s">
        <v>338</v>
      </c>
      <c r="C651" t="s">
        <v>60</v>
      </c>
      <c r="D651">
        <v>0</v>
      </c>
      <c r="E651" t="s">
        <v>379</v>
      </c>
    </row>
    <row r="652" spans="1:5" x14ac:dyDescent="0.25">
      <c r="A652" s="279">
        <v>38985</v>
      </c>
      <c r="B652" t="s">
        <v>338</v>
      </c>
      <c r="C652" t="s">
        <v>61</v>
      </c>
      <c r="D652">
        <v>13171</v>
      </c>
      <c r="E652" t="s">
        <v>378</v>
      </c>
    </row>
    <row r="653" spans="1:5" x14ac:dyDescent="0.25">
      <c r="A653" s="279">
        <v>38985</v>
      </c>
      <c r="B653" t="s">
        <v>338</v>
      </c>
      <c r="C653" t="s">
        <v>62</v>
      </c>
      <c r="D653">
        <v>0</v>
      </c>
      <c r="E653" t="s">
        <v>380</v>
      </c>
    </row>
    <row r="654" spans="1:5" x14ac:dyDescent="0.25">
      <c r="A654" s="279">
        <v>38985</v>
      </c>
      <c r="B654" t="s">
        <v>338</v>
      </c>
      <c r="C654" t="s">
        <v>63</v>
      </c>
      <c r="D654">
        <v>0</v>
      </c>
      <c r="E654" t="s">
        <v>378</v>
      </c>
    </row>
    <row r="655" spans="1:5" x14ac:dyDescent="0.25">
      <c r="A655" s="279">
        <v>38985</v>
      </c>
      <c r="B655" t="s">
        <v>338</v>
      </c>
      <c r="C655" t="s">
        <v>64</v>
      </c>
      <c r="D655">
        <v>0</v>
      </c>
      <c r="E655" t="s">
        <v>380</v>
      </c>
    </row>
    <row r="656" spans="1:5" x14ac:dyDescent="0.25">
      <c r="A656" s="279">
        <v>38985</v>
      </c>
      <c r="B656" t="s">
        <v>338</v>
      </c>
      <c r="C656" t="s">
        <v>65</v>
      </c>
      <c r="D656">
        <v>0</v>
      </c>
      <c r="E656" t="s">
        <v>378</v>
      </c>
    </row>
    <row r="657" spans="1:5" x14ac:dyDescent="0.25">
      <c r="A657" s="279">
        <v>38985</v>
      </c>
      <c r="B657" t="s">
        <v>338</v>
      </c>
      <c r="C657" t="s">
        <v>66</v>
      </c>
      <c r="D657">
        <v>0</v>
      </c>
      <c r="E657" t="s">
        <v>380</v>
      </c>
    </row>
    <row r="658" spans="1:5" x14ac:dyDescent="0.25">
      <c r="A658" s="279">
        <v>38985</v>
      </c>
      <c r="B658" t="s">
        <v>338</v>
      </c>
      <c r="C658" t="s">
        <v>120</v>
      </c>
      <c r="D658">
        <v>2683</v>
      </c>
      <c r="E658" t="s">
        <v>378</v>
      </c>
    </row>
    <row r="659" spans="1:5" x14ac:dyDescent="0.25">
      <c r="A659" s="279">
        <v>38985</v>
      </c>
      <c r="B659" t="s">
        <v>338</v>
      </c>
      <c r="C659" t="s">
        <v>121</v>
      </c>
      <c r="D659">
        <v>0</v>
      </c>
      <c r="E659" t="s">
        <v>380</v>
      </c>
    </row>
    <row r="660" spans="1:5" x14ac:dyDescent="0.25">
      <c r="A660" s="279">
        <v>38985</v>
      </c>
      <c r="B660" t="s">
        <v>338</v>
      </c>
      <c r="C660" t="s">
        <v>67</v>
      </c>
      <c r="D660">
        <v>0</v>
      </c>
      <c r="E660" t="s">
        <v>378</v>
      </c>
    </row>
    <row r="661" spans="1:5" x14ac:dyDescent="0.25">
      <c r="A661" s="279">
        <v>38985</v>
      </c>
      <c r="B661" t="s">
        <v>338</v>
      </c>
      <c r="C661" t="s">
        <v>68</v>
      </c>
      <c r="D661">
        <v>0</v>
      </c>
      <c r="E661" t="s">
        <v>380</v>
      </c>
    </row>
    <row r="662" spans="1:5" x14ac:dyDescent="0.25">
      <c r="A662" s="279">
        <v>38985</v>
      </c>
      <c r="B662" t="s">
        <v>338</v>
      </c>
      <c r="C662" t="s">
        <v>69</v>
      </c>
      <c r="D662">
        <v>0</v>
      </c>
      <c r="E662" t="s">
        <v>379</v>
      </c>
    </row>
    <row r="663" spans="1:5" x14ac:dyDescent="0.25">
      <c r="A663" s="279">
        <v>38985</v>
      </c>
      <c r="B663" t="s">
        <v>338</v>
      </c>
      <c r="C663" t="s">
        <v>70</v>
      </c>
      <c r="D663">
        <v>0</v>
      </c>
      <c r="E663" t="s">
        <v>379</v>
      </c>
    </row>
    <row r="664" spans="1:5" x14ac:dyDescent="0.25">
      <c r="A664" s="279">
        <v>38985</v>
      </c>
      <c r="B664" t="s">
        <v>338</v>
      </c>
      <c r="C664" t="s">
        <v>80</v>
      </c>
      <c r="D664">
        <v>151</v>
      </c>
      <c r="E664" t="s">
        <v>379</v>
      </c>
    </row>
    <row r="665" spans="1:5" x14ac:dyDescent="0.25">
      <c r="A665" s="279">
        <v>38985</v>
      </c>
      <c r="B665" t="s">
        <v>339</v>
      </c>
      <c r="C665" t="s">
        <v>71</v>
      </c>
      <c r="D665">
        <v>1838</v>
      </c>
      <c r="E665" t="s">
        <v>378</v>
      </c>
    </row>
    <row r="666" spans="1:5" x14ac:dyDescent="0.25">
      <c r="A666" s="279">
        <v>38985</v>
      </c>
      <c r="B666" t="s">
        <v>339</v>
      </c>
      <c r="C666" t="s">
        <v>72</v>
      </c>
      <c r="D666">
        <v>0</v>
      </c>
      <c r="E666" t="s">
        <v>380</v>
      </c>
    </row>
    <row r="667" spans="1:5" x14ac:dyDescent="0.25">
      <c r="A667" s="279">
        <v>38985</v>
      </c>
      <c r="B667" t="s">
        <v>339</v>
      </c>
      <c r="C667" t="s">
        <v>73</v>
      </c>
      <c r="D667">
        <v>15005</v>
      </c>
      <c r="E667" t="s">
        <v>378</v>
      </c>
    </row>
    <row r="668" spans="1:5" x14ac:dyDescent="0.25">
      <c r="A668" s="279">
        <v>38985</v>
      </c>
      <c r="B668" t="s">
        <v>339</v>
      </c>
      <c r="C668" t="s">
        <v>74</v>
      </c>
      <c r="D668">
        <v>0</v>
      </c>
      <c r="E668" t="s">
        <v>380</v>
      </c>
    </row>
    <row r="669" spans="1:5" x14ac:dyDescent="0.25">
      <c r="A669" s="279">
        <v>38985</v>
      </c>
      <c r="B669" t="s">
        <v>339</v>
      </c>
      <c r="C669" t="s">
        <v>75</v>
      </c>
      <c r="D669">
        <v>15079</v>
      </c>
      <c r="E669" t="s">
        <v>378</v>
      </c>
    </row>
    <row r="670" spans="1:5" x14ac:dyDescent="0.25">
      <c r="A670" s="279">
        <v>38985</v>
      </c>
      <c r="B670" t="s">
        <v>339</v>
      </c>
      <c r="C670" t="s">
        <v>76</v>
      </c>
      <c r="D670">
        <v>14536</v>
      </c>
      <c r="E670" t="s">
        <v>380</v>
      </c>
    </row>
    <row r="671" spans="1:5" x14ac:dyDescent="0.25">
      <c r="A671" s="279">
        <v>38985</v>
      </c>
      <c r="B671" t="s">
        <v>339</v>
      </c>
      <c r="C671" t="s">
        <v>77</v>
      </c>
      <c r="D671">
        <v>7303</v>
      </c>
      <c r="E671" t="s">
        <v>378</v>
      </c>
    </row>
    <row r="672" spans="1:5" x14ac:dyDescent="0.25">
      <c r="A672" s="279">
        <v>38985</v>
      </c>
      <c r="B672" t="s">
        <v>339</v>
      </c>
      <c r="C672" t="s">
        <v>78</v>
      </c>
      <c r="D672">
        <v>3187</v>
      </c>
      <c r="E672" t="s">
        <v>380</v>
      </c>
    </row>
    <row r="673" spans="1:5" x14ac:dyDescent="0.25">
      <c r="A673" s="279">
        <v>38985</v>
      </c>
      <c r="B673" t="s">
        <v>339</v>
      </c>
      <c r="C673" t="s">
        <v>79</v>
      </c>
      <c r="D673">
        <v>118168</v>
      </c>
      <c r="E673" t="s">
        <v>379</v>
      </c>
    </row>
    <row r="674" spans="1:5" x14ac:dyDescent="0.25">
      <c r="A674" s="279">
        <v>38985</v>
      </c>
      <c r="B674" t="s">
        <v>339</v>
      </c>
      <c r="C674" t="s">
        <v>70</v>
      </c>
      <c r="D674">
        <v>0</v>
      </c>
      <c r="E674" t="s">
        <v>379</v>
      </c>
    </row>
    <row r="675" spans="1:5" x14ac:dyDescent="0.25">
      <c r="A675" s="279">
        <v>38985</v>
      </c>
      <c r="B675" t="s">
        <v>339</v>
      </c>
      <c r="C675" t="s">
        <v>63</v>
      </c>
      <c r="D675">
        <v>18082</v>
      </c>
      <c r="E675" t="s">
        <v>378</v>
      </c>
    </row>
    <row r="676" spans="1:5" x14ac:dyDescent="0.25">
      <c r="A676" s="279">
        <v>38985</v>
      </c>
      <c r="B676" t="s">
        <v>339</v>
      </c>
      <c r="C676" t="s">
        <v>80</v>
      </c>
      <c r="D676">
        <v>722</v>
      </c>
      <c r="E676" t="s">
        <v>379</v>
      </c>
    </row>
    <row r="677" spans="1:5" x14ac:dyDescent="0.25">
      <c r="A677" s="279">
        <v>38986</v>
      </c>
      <c r="B677" t="s">
        <v>338</v>
      </c>
      <c r="C677" t="s">
        <v>59</v>
      </c>
      <c r="D677">
        <v>2613</v>
      </c>
      <c r="E677" t="s">
        <v>378</v>
      </c>
    </row>
    <row r="678" spans="1:5" x14ac:dyDescent="0.25">
      <c r="A678" s="279">
        <v>38986</v>
      </c>
      <c r="B678" t="s">
        <v>338</v>
      </c>
      <c r="C678" t="s">
        <v>60</v>
      </c>
      <c r="D678">
        <v>0</v>
      </c>
      <c r="E678" t="s">
        <v>379</v>
      </c>
    </row>
    <row r="679" spans="1:5" x14ac:dyDescent="0.25">
      <c r="A679" s="279">
        <v>38986</v>
      </c>
      <c r="B679" t="s">
        <v>338</v>
      </c>
      <c r="C679" t="s">
        <v>61</v>
      </c>
      <c r="D679">
        <v>13196</v>
      </c>
      <c r="E679" t="s">
        <v>378</v>
      </c>
    </row>
    <row r="680" spans="1:5" x14ac:dyDescent="0.25">
      <c r="A680" s="279">
        <v>38986</v>
      </c>
      <c r="B680" t="s">
        <v>338</v>
      </c>
      <c r="C680" t="s">
        <v>62</v>
      </c>
      <c r="D680">
        <v>0</v>
      </c>
      <c r="E680" t="s">
        <v>380</v>
      </c>
    </row>
    <row r="681" spans="1:5" x14ac:dyDescent="0.25">
      <c r="A681" s="279">
        <v>38986</v>
      </c>
      <c r="B681" t="s">
        <v>338</v>
      </c>
      <c r="C681" t="s">
        <v>63</v>
      </c>
      <c r="D681">
        <v>0</v>
      </c>
      <c r="E681" t="s">
        <v>378</v>
      </c>
    </row>
    <row r="682" spans="1:5" x14ac:dyDescent="0.25">
      <c r="A682" s="279">
        <v>38986</v>
      </c>
      <c r="B682" t="s">
        <v>338</v>
      </c>
      <c r="C682" t="s">
        <v>64</v>
      </c>
      <c r="D682">
        <v>0</v>
      </c>
      <c r="E682" t="s">
        <v>380</v>
      </c>
    </row>
    <row r="683" spans="1:5" x14ac:dyDescent="0.25">
      <c r="A683" s="279">
        <v>38986</v>
      </c>
      <c r="B683" t="s">
        <v>338</v>
      </c>
      <c r="C683" t="s">
        <v>65</v>
      </c>
      <c r="D683">
        <v>0</v>
      </c>
      <c r="E683" t="s">
        <v>378</v>
      </c>
    </row>
    <row r="684" spans="1:5" x14ac:dyDescent="0.25">
      <c r="A684" s="279">
        <v>38986</v>
      </c>
      <c r="B684" t="s">
        <v>338</v>
      </c>
      <c r="C684" t="s">
        <v>66</v>
      </c>
      <c r="D684">
        <v>0</v>
      </c>
      <c r="E684" t="s">
        <v>380</v>
      </c>
    </row>
    <row r="685" spans="1:5" x14ac:dyDescent="0.25">
      <c r="A685" s="279">
        <v>38986</v>
      </c>
      <c r="B685" t="s">
        <v>338</v>
      </c>
      <c r="C685" t="s">
        <v>120</v>
      </c>
      <c r="D685">
        <v>2678</v>
      </c>
      <c r="E685" t="s">
        <v>378</v>
      </c>
    </row>
    <row r="686" spans="1:5" x14ac:dyDescent="0.25">
      <c r="A686" s="279">
        <v>38986</v>
      </c>
      <c r="B686" t="s">
        <v>338</v>
      </c>
      <c r="C686" t="s">
        <v>121</v>
      </c>
      <c r="D686">
        <v>0</v>
      </c>
      <c r="E686" t="s">
        <v>380</v>
      </c>
    </row>
    <row r="687" spans="1:5" x14ac:dyDescent="0.25">
      <c r="A687" s="279">
        <v>38986</v>
      </c>
      <c r="B687" t="s">
        <v>338</v>
      </c>
      <c r="C687" t="s">
        <v>67</v>
      </c>
      <c r="D687">
        <v>0</v>
      </c>
      <c r="E687" t="s">
        <v>378</v>
      </c>
    </row>
    <row r="688" spans="1:5" x14ac:dyDescent="0.25">
      <c r="A688" s="279">
        <v>38986</v>
      </c>
      <c r="B688" t="s">
        <v>338</v>
      </c>
      <c r="C688" t="s">
        <v>68</v>
      </c>
      <c r="D688">
        <v>0</v>
      </c>
      <c r="E688" t="s">
        <v>380</v>
      </c>
    </row>
    <row r="689" spans="1:5" x14ac:dyDescent="0.25">
      <c r="A689" s="279">
        <v>38986</v>
      </c>
      <c r="B689" t="s">
        <v>338</v>
      </c>
      <c r="C689" t="s">
        <v>69</v>
      </c>
      <c r="D689">
        <v>0</v>
      </c>
      <c r="E689" t="s">
        <v>379</v>
      </c>
    </row>
    <row r="690" spans="1:5" x14ac:dyDescent="0.25">
      <c r="A690" s="279">
        <v>38986</v>
      </c>
      <c r="B690" t="s">
        <v>338</v>
      </c>
      <c r="C690" t="s">
        <v>70</v>
      </c>
      <c r="D690">
        <v>0</v>
      </c>
      <c r="E690" t="s">
        <v>379</v>
      </c>
    </row>
    <row r="691" spans="1:5" x14ac:dyDescent="0.25">
      <c r="A691" s="279">
        <v>38986</v>
      </c>
      <c r="B691" t="s">
        <v>338</v>
      </c>
      <c r="C691" t="s">
        <v>80</v>
      </c>
      <c r="D691">
        <v>151</v>
      </c>
      <c r="E691" t="s">
        <v>379</v>
      </c>
    </row>
    <row r="692" spans="1:5" x14ac:dyDescent="0.25">
      <c r="A692" s="279">
        <v>38986</v>
      </c>
      <c r="B692" t="s">
        <v>339</v>
      </c>
      <c r="C692" t="s">
        <v>71</v>
      </c>
      <c r="D692">
        <v>1838</v>
      </c>
      <c r="E692" t="s">
        <v>378</v>
      </c>
    </row>
    <row r="693" spans="1:5" x14ac:dyDescent="0.25">
      <c r="A693" s="279">
        <v>38986</v>
      </c>
      <c r="B693" t="s">
        <v>339</v>
      </c>
      <c r="C693" t="s">
        <v>72</v>
      </c>
      <c r="D693">
        <v>0</v>
      </c>
      <c r="E693" t="s">
        <v>380</v>
      </c>
    </row>
    <row r="694" spans="1:5" x14ac:dyDescent="0.25">
      <c r="A694" s="279">
        <v>38986</v>
      </c>
      <c r="B694" t="s">
        <v>339</v>
      </c>
      <c r="C694" t="s">
        <v>73</v>
      </c>
      <c r="D694">
        <v>15005</v>
      </c>
      <c r="E694" t="s">
        <v>378</v>
      </c>
    </row>
    <row r="695" spans="1:5" x14ac:dyDescent="0.25">
      <c r="A695" s="279">
        <v>38986</v>
      </c>
      <c r="B695" t="s">
        <v>339</v>
      </c>
      <c r="C695" t="s">
        <v>74</v>
      </c>
      <c r="D695">
        <v>0</v>
      </c>
      <c r="E695" t="s">
        <v>380</v>
      </c>
    </row>
    <row r="696" spans="1:5" x14ac:dyDescent="0.25">
      <c r="A696" s="279">
        <v>38986</v>
      </c>
      <c r="B696" t="s">
        <v>339</v>
      </c>
      <c r="C696" t="s">
        <v>75</v>
      </c>
      <c r="D696">
        <v>15079</v>
      </c>
      <c r="E696" t="s">
        <v>378</v>
      </c>
    </row>
    <row r="697" spans="1:5" x14ac:dyDescent="0.25">
      <c r="A697" s="279">
        <v>38986</v>
      </c>
      <c r="B697" t="s">
        <v>339</v>
      </c>
      <c r="C697" t="s">
        <v>76</v>
      </c>
      <c r="D697">
        <v>14536</v>
      </c>
      <c r="E697" t="s">
        <v>380</v>
      </c>
    </row>
    <row r="698" spans="1:5" x14ac:dyDescent="0.25">
      <c r="A698" s="279">
        <v>38986</v>
      </c>
      <c r="B698" t="s">
        <v>339</v>
      </c>
      <c r="C698" t="s">
        <v>77</v>
      </c>
      <c r="D698">
        <v>7303</v>
      </c>
      <c r="E698" t="s">
        <v>378</v>
      </c>
    </row>
    <row r="699" spans="1:5" x14ac:dyDescent="0.25">
      <c r="A699" s="279">
        <v>38986</v>
      </c>
      <c r="B699" t="s">
        <v>339</v>
      </c>
      <c r="C699" t="s">
        <v>78</v>
      </c>
      <c r="D699">
        <v>4863</v>
      </c>
      <c r="E699" t="s">
        <v>380</v>
      </c>
    </row>
    <row r="700" spans="1:5" x14ac:dyDescent="0.25">
      <c r="A700" s="279">
        <v>38986</v>
      </c>
      <c r="B700" t="s">
        <v>339</v>
      </c>
      <c r="C700" t="s">
        <v>79</v>
      </c>
      <c r="D700">
        <v>118168</v>
      </c>
      <c r="E700" t="s">
        <v>379</v>
      </c>
    </row>
    <row r="701" spans="1:5" x14ac:dyDescent="0.25">
      <c r="A701" s="279">
        <v>38986</v>
      </c>
      <c r="B701" t="s">
        <v>339</v>
      </c>
      <c r="C701" t="s">
        <v>70</v>
      </c>
      <c r="D701">
        <v>0</v>
      </c>
      <c r="E701" t="s">
        <v>379</v>
      </c>
    </row>
    <row r="702" spans="1:5" x14ac:dyDescent="0.25">
      <c r="A702" s="279">
        <v>38986</v>
      </c>
      <c r="B702" t="s">
        <v>339</v>
      </c>
      <c r="C702" t="s">
        <v>63</v>
      </c>
      <c r="D702">
        <v>18082</v>
      </c>
      <c r="E702" t="s">
        <v>378</v>
      </c>
    </row>
    <row r="703" spans="1:5" x14ac:dyDescent="0.25">
      <c r="A703" s="279">
        <v>38986</v>
      </c>
      <c r="B703" t="s">
        <v>339</v>
      </c>
      <c r="C703" t="s">
        <v>80</v>
      </c>
      <c r="D703">
        <v>722</v>
      </c>
      <c r="E703" t="s">
        <v>379</v>
      </c>
    </row>
    <row r="704" spans="1:5" x14ac:dyDescent="0.25">
      <c r="A704" s="279">
        <v>38987</v>
      </c>
      <c r="B704" t="s">
        <v>338</v>
      </c>
      <c r="C704" t="s">
        <v>59</v>
      </c>
      <c r="D704">
        <v>2608</v>
      </c>
      <c r="E704" t="s">
        <v>378</v>
      </c>
    </row>
    <row r="705" spans="1:5" x14ac:dyDescent="0.25">
      <c r="A705" s="279">
        <v>38987</v>
      </c>
      <c r="B705" t="s">
        <v>338</v>
      </c>
      <c r="C705" t="s">
        <v>60</v>
      </c>
      <c r="D705">
        <v>0</v>
      </c>
      <c r="E705" t="s">
        <v>379</v>
      </c>
    </row>
    <row r="706" spans="1:5" x14ac:dyDescent="0.25">
      <c r="A706" s="279">
        <v>38987</v>
      </c>
      <c r="B706" t="s">
        <v>338</v>
      </c>
      <c r="C706" t="s">
        <v>61</v>
      </c>
      <c r="D706">
        <v>13171</v>
      </c>
      <c r="E706" t="s">
        <v>378</v>
      </c>
    </row>
    <row r="707" spans="1:5" x14ac:dyDescent="0.25">
      <c r="A707" s="279">
        <v>38987</v>
      </c>
      <c r="B707" t="s">
        <v>338</v>
      </c>
      <c r="C707" t="s">
        <v>62</v>
      </c>
      <c r="D707">
        <v>0</v>
      </c>
      <c r="E707" t="s">
        <v>380</v>
      </c>
    </row>
    <row r="708" spans="1:5" x14ac:dyDescent="0.25">
      <c r="A708" s="279">
        <v>38987</v>
      </c>
      <c r="B708" t="s">
        <v>338</v>
      </c>
      <c r="C708" t="s">
        <v>63</v>
      </c>
      <c r="D708">
        <v>0</v>
      </c>
      <c r="E708" t="s">
        <v>378</v>
      </c>
    </row>
    <row r="709" spans="1:5" x14ac:dyDescent="0.25">
      <c r="A709" s="279">
        <v>38987</v>
      </c>
      <c r="B709" t="s">
        <v>338</v>
      </c>
      <c r="C709" t="s">
        <v>64</v>
      </c>
      <c r="D709">
        <v>0</v>
      </c>
      <c r="E709" t="s">
        <v>380</v>
      </c>
    </row>
    <row r="710" spans="1:5" x14ac:dyDescent="0.25">
      <c r="A710" s="279">
        <v>38987</v>
      </c>
      <c r="B710" t="s">
        <v>338</v>
      </c>
      <c r="C710" t="s">
        <v>65</v>
      </c>
      <c r="D710">
        <v>0</v>
      </c>
      <c r="E710" t="s">
        <v>378</v>
      </c>
    </row>
    <row r="711" spans="1:5" x14ac:dyDescent="0.25">
      <c r="A711" s="279">
        <v>38987</v>
      </c>
      <c r="B711" t="s">
        <v>338</v>
      </c>
      <c r="C711" t="s">
        <v>66</v>
      </c>
      <c r="D711">
        <v>0</v>
      </c>
      <c r="E711" t="s">
        <v>380</v>
      </c>
    </row>
    <row r="712" spans="1:5" x14ac:dyDescent="0.25">
      <c r="A712" s="279">
        <v>38987</v>
      </c>
      <c r="B712" t="s">
        <v>338</v>
      </c>
      <c r="C712" t="s">
        <v>120</v>
      </c>
      <c r="D712">
        <v>2426</v>
      </c>
      <c r="E712" t="s">
        <v>378</v>
      </c>
    </row>
    <row r="713" spans="1:5" x14ac:dyDescent="0.25">
      <c r="A713" s="279">
        <v>38987</v>
      </c>
      <c r="B713" t="s">
        <v>338</v>
      </c>
      <c r="C713" t="s">
        <v>121</v>
      </c>
      <c r="D713">
        <v>0</v>
      </c>
      <c r="E713" t="s">
        <v>380</v>
      </c>
    </row>
    <row r="714" spans="1:5" x14ac:dyDescent="0.25">
      <c r="A714" s="279">
        <v>38987</v>
      </c>
      <c r="B714" t="s">
        <v>338</v>
      </c>
      <c r="C714" t="s">
        <v>67</v>
      </c>
      <c r="D714">
        <v>0</v>
      </c>
      <c r="E714" t="s">
        <v>378</v>
      </c>
    </row>
    <row r="715" spans="1:5" x14ac:dyDescent="0.25">
      <c r="A715" s="279">
        <v>38987</v>
      </c>
      <c r="B715" t="s">
        <v>338</v>
      </c>
      <c r="C715" t="s">
        <v>68</v>
      </c>
      <c r="D715">
        <v>0</v>
      </c>
      <c r="E715" t="s">
        <v>380</v>
      </c>
    </row>
    <row r="716" spans="1:5" x14ac:dyDescent="0.25">
      <c r="A716" s="279">
        <v>38987</v>
      </c>
      <c r="B716" t="s">
        <v>338</v>
      </c>
      <c r="C716" t="s">
        <v>69</v>
      </c>
      <c r="D716">
        <v>0</v>
      </c>
      <c r="E716" t="s">
        <v>379</v>
      </c>
    </row>
    <row r="717" spans="1:5" x14ac:dyDescent="0.25">
      <c r="A717" s="279">
        <v>38987</v>
      </c>
      <c r="B717" t="s">
        <v>338</v>
      </c>
      <c r="C717" t="s">
        <v>70</v>
      </c>
      <c r="D717">
        <v>0</v>
      </c>
      <c r="E717" t="s">
        <v>379</v>
      </c>
    </row>
    <row r="718" spans="1:5" x14ac:dyDescent="0.25">
      <c r="A718" s="279">
        <v>38987</v>
      </c>
      <c r="B718" t="s">
        <v>338</v>
      </c>
      <c r="C718" t="s">
        <v>80</v>
      </c>
      <c r="D718">
        <v>148</v>
      </c>
      <c r="E718" t="s">
        <v>379</v>
      </c>
    </row>
    <row r="719" spans="1:5" x14ac:dyDescent="0.25">
      <c r="A719" s="279">
        <v>38987</v>
      </c>
      <c r="B719" t="s">
        <v>339</v>
      </c>
      <c r="C719" t="s">
        <v>71</v>
      </c>
      <c r="D719">
        <v>1838</v>
      </c>
      <c r="E719" t="s">
        <v>378</v>
      </c>
    </row>
    <row r="720" spans="1:5" x14ac:dyDescent="0.25">
      <c r="A720" s="279">
        <v>38987</v>
      </c>
      <c r="B720" t="s">
        <v>339</v>
      </c>
      <c r="C720" t="s">
        <v>72</v>
      </c>
      <c r="D720">
        <v>0</v>
      </c>
      <c r="E720" t="s">
        <v>380</v>
      </c>
    </row>
    <row r="721" spans="1:5" x14ac:dyDescent="0.25">
      <c r="A721" s="279">
        <v>38987</v>
      </c>
      <c r="B721" t="s">
        <v>339</v>
      </c>
      <c r="C721" t="s">
        <v>73</v>
      </c>
      <c r="D721">
        <v>15005</v>
      </c>
      <c r="E721" t="s">
        <v>378</v>
      </c>
    </row>
    <row r="722" spans="1:5" x14ac:dyDescent="0.25">
      <c r="A722" s="279">
        <v>38987</v>
      </c>
      <c r="B722" t="s">
        <v>339</v>
      </c>
      <c r="C722" t="s">
        <v>74</v>
      </c>
      <c r="D722">
        <v>0</v>
      </c>
      <c r="E722" t="s">
        <v>380</v>
      </c>
    </row>
    <row r="723" spans="1:5" x14ac:dyDescent="0.25">
      <c r="A723" s="279">
        <v>38987</v>
      </c>
      <c r="B723" t="s">
        <v>339</v>
      </c>
      <c r="C723" t="s">
        <v>75</v>
      </c>
      <c r="D723">
        <v>15079</v>
      </c>
      <c r="E723" t="s">
        <v>378</v>
      </c>
    </row>
    <row r="724" spans="1:5" x14ac:dyDescent="0.25">
      <c r="A724" s="279">
        <v>38987</v>
      </c>
      <c r="B724" t="s">
        <v>339</v>
      </c>
      <c r="C724" t="s">
        <v>76</v>
      </c>
      <c r="D724">
        <v>14536</v>
      </c>
      <c r="E724" t="s">
        <v>380</v>
      </c>
    </row>
    <row r="725" spans="1:5" x14ac:dyDescent="0.25">
      <c r="A725" s="279">
        <v>38987</v>
      </c>
      <c r="B725" t="s">
        <v>339</v>
      </c>
      <c r="C725" t="s">
        <v>77</v>
      </c>
      <c r="D725">
        <v>7303</v>
      </c>
      <c r="E725" t="s">
        <v>378</v>
      </c>
    </row>
    <row r="726" spans="1:5" x14ac:dyDescent="0.25">
      <c r="A726" s="279">
        <v>38987</v>
      </c>
      <c r="B726" t="s">
        <v>339</v>
      </c>
      <c r="C726" t="s">
        <v>78</v>
      </c>
      <c r="D726">
        <v>1799</v>
      </c>
      <c r="E726" t="s">
        <v>380</v>
      </c>
    </row>
    <row r="727" spans="1:5" x14ac:dyDescent="0.25">
      <c r="A727" s="279">
        <v>38987</v>
      </c>
      <c r="B727" t="s">
        <v>339</v>
      </c>
      <c r="C727" t="s">
        <v>79</v>
      </c>
      <c r="D727">
        <v>118168</v>
      </c>
      <c r="E727" t="s">
        <v>379</v>
      </c>
    </row>
    <row r="728" spans="1:5" x14ac:dyDescent="0.25">
      <c r="A728" s="279">
        <v>38987</v>
      </c>
      <c r="B728" t="s">
        <v>339</v>
      </c>
      <c r="C728" t="s">
        <v>70</v>
      </c>
      <c r="D728">
        <v>0</v>
      </c>
      <c r="E728" t="s">
        <v>379</v>
      </c>
    </row>
    <row r="729" spans="1:5" x14ac:dyDescent="0.25">
      <c r="A729" s="279">
        <v>38987</v>
      </c>
      <c r="B729" t="s">
        <v>339</v>
      </c>
      <c r="C729" t="s">
        <v>63</v>
      </c>
      <c r="D729">
        <v>18082</v>
      </c>
      <c r="E729" t="s">
        <v>378</v>
      </c>
    </row>
    <row r="730" spans="1:5" x14ac:dyDescent="0.25">
      <c r="A730" s="279">
        <v>38987</v>
      </c>
      <c r="B730" t="s">
        <v>339</v>
      </c>
      <c r="C730" t="s">
        <v>80</v>
      </c>
      <c r="D730">
        <v>722</v>
      </c>
      <c r="E730" t="s">
        <v>379</v>
      </c>
    </row>
    <row r="731" spans="1:5" x14ac:dyDescent="0.25">
      <c r="A731" s="279">
        <v>38988</v>
      </c>
      <c r="B731" t="s">
        <v>338</v>
      </c>
      <c r="C731" t="s">
        <v>59</v>
      </c>
      <c r="D731">
        <v>2608</v>
      </c>
      <c r="E731" t="s">
        <v>378</v>
      </c>
    </row>
    <row r="732" spans="1:5" x14ac:dyDescent="0.25">
      <c r="A732" s="279">
        <v>38988</v>
      </c>
      <c r="B732" t="s">
        <v>338</v>
      </c>
      <c r="C732" t="s">
        <v>60</v>
      </c>
      <c r="D732">
        <v>0</v>
      </c>
      <c r="E732" t="s">
        <v>379</v>
      </c>
    </row>
    <row r="733" spans="1:5" x14ac:dyDescent="0.25">
      <c r="A733" s="279">
        <v>38988</v>
      </c>
      <c r="B733" t="s">
        <v>338</v>
      </c>
      <c r="C733" t="s">
        <v>61</v>
      </c>
      <c r="D733">
        <v>13171</v>
      </c>
      <c r="E733" t="s">
        <v>378</v>
      </c>
    </row>
    <row r="734" spans="1:5" x14ac:dyDescent="0.25">
      <c r="A734" s="279">
        <v>38988</v>
      </c>
      <c r="B734" t="s">
        <v>338</v>
      </c>
      <c r="C734" t="s">
        <v>62</v>
      </c>
      <c r="D734">
        <v>0</v>
      </c>
      <c r="E734" t="s">
        <v>380</v>
      </c>
    </row>
    <row r="735" spans="1:5" x14ac:dyDescent="0.25">
      <c r="A735" s="279">
        <v>38988</v>
      </c>
      <c r="B735" t="s">
        <v>338</v>
      </c>
      <c r="C735" t="s">
        <v>63</v>
      </c>
      <c r="D735">
        <v>0</v>
      </c>
      <c r="E735" t="s">
        <v>378</v>
      </c>
    </row>
    <row r="736" spans="1:5" x14ac:dyDescent="0.25">
      <c r="A736" s="279">
        <v>38988</v>
      </c>
      <c r="B736" t="s">
        <v>338</v>
      </c>
      <c r="C736" t="s">
        <v>64</v>
      </c>
      <c r="D736">
        <v>0</v>
      </c>
      <c r="E736" t="s">
        <v>380</v>
      </c>
    </row>
    <row r="737" spans="1:5" x14ac:dyDescent="0.25">
      <c r="A737" s="279">
        <v>38988</v>
      </c>
      <c r="B737" t="s">
        <v>338</v>
      </c>
      <c r="C737" t="s">
        <v>65</v>
      </c>
      <c r="D737">
        <v>0</v>
      </c>
      <c r="E737" t="s">
        <v>378</v>
      </c>
    </row>
    <row r="738" spans="1:5" x14ac:dyDescent="0.25">
      <c r="A738" s="279">
        <v>38988</v>
      </c>
      <c r="B738" t="s">
        <v>338</v>
      </c>
      <c r="C738" t="s">
        <v>66</v>
      </c>
      <c r="D738">
        <v>0</v>
      </c>
      <c r="E738" t="s">
        <v>380</v>
      </c>
    </row>
    <row r="739" spans="1:5" x14ac:dyDescent="0.25">
      <c r="A739" s="279">
        <v>38988</v>
      </c>
      <c r="B739" t="s">
        <v>338</v>
      </c>
      <c r="C739" t="s">
        <v>120</v>
      </c>
      <c r="D739">
        <v>2386</v>
      </c>
      <c r="E739" t="s">
        <v>378</v>
      </c>
    </row>
    <row r="740" spans="1:5" x14ac:dyDescent="0.25">
      <c r="A740" s="279">
        <v>38988</v>
      </c>
      <c r="B740" t="s">
        <v>338</v>
      </c>
      <c r="C740" t="s">
        <v>121</v>
      </c>
      <c r="D740">
        <v>0</v>
      </c>
      <c r="E740" t="s">
        <v>380</v>
      </c>
    </row>
    <row r="741" spans="1:5" x14ac:dyDescent="0.25">
      <c r="A741" s="279">
        <v>38988</v>
      </c>
      <c r="B741" t="s">
        <v>338</v>
      </c>
      <c r="C741" t="s">
        <v>67</v>
      </c>
      <c r="D741">
        <v>0</v>
      </c>
      <c r="E741" t="s">
        <v>378</v>
      </c>
    </row>
    <row r="742" spans="1:5" x14ac:dyDescent="0.25">
      <c r="A742" s="279">
        <v>38988</v>
      </c>
      <c r="B742" t="s">
        <v>338</v>
      </c>
      <c r="C742" t="s">
        <v>68</v>
      </c>
      <c r="D742">
        <v>0</v>
      </c>
      <c r="E742" t="s">
        <v>380</v>
      </c>
    </row>
    <row r="743" spans="1:5" x14ac:dyDescent="0.25">
      <c r="A743" s="279">
        <v>38988</v>
      </c>
      <c r="B743" t="s">
        <v>338</v>
      </c>
      <c r="C743" t="s">
        <v>69</v>
      </c>
      <c r="D743">
        <v>0</v>
      </c>
      <c r="E743" t="s">
        <v>379</v>
      </c>
    </row>
    <row r="744" spans="1:5" x14ac:dyDescent="0.25">
      <c r="A744" s="279">
        <v>38988</v>
      </c>
      <c r="B744" t="s">
        <v>338</v>
      </c>
      <c r="C744" t="s">
        <v>70</v>
      </c>
      <c r="D744">
        <v>0</v>
      </c>
      <c r="E744" t="s">
        <v>379</v>
      </c>
    </row>
    <row r="745" spans="1:5" x14ac:dyDescent="0.25">
      <c r="A745" s="279">
        <v>38988</v>
      </c>
      <c r="B745" t="s">
        <v>338</v>
      </c>
      <c r="C745" t="s">
        <v>80</v>
      </c>
      <c r="D745">
        <v>148</v>
      </c>
      <c r="E745" t="s">
        <v>379</v>
      </c>
    </row>
    <row r="746" spans="1:5" x14ac:dyDescent="0.25">
      <c r="A746" s="279">
        <v>38988</v>
      </c>
      <c r="B746" t="s">
        <v>339</v>
      </c>
      <c r="C746" t="s">
        <v>71</v>
      </c>
      <c r="D746">
        <v>1834</v>
      </c>
      <c r="E746" t="s">
        <v>378</v>
      </c>
    </row>
    <row r="747" spans="1:5" x14ac:dyDescent="0.25">
      <c r="A747" s="279">
        <v>38988</v>
      </c>
      <c r="B747" t="s">
        <v>339</v>
      </c>
      <c r="C747" t="s">
        <v>72</v>
      </c>
      <c r="D747">
        <v>0</v>
      </c>
      <c r="E747" t="s">
        <v>380</v>
      </c>
    </row>
    <row r="748" spans="1:5" x14ac:dyDescent="0.25">
      <c r="A748" s="279">
        <v>38988</v>
      </c>
      <c r="B748" t="s">
        <v>339</v>
      </c>
      <c r="C748" t="s">
        <v>73</v>
      </c>
      <c r="D748">
        <v>14976</v>
      </c>
      <c r="E748" t="s">
        <v>378</v>
      </c>
    </row>
    <row r="749" spans="1:5" x14ac:dyDescent="0.25">
      <c r="A749" s="279">
        <v>38988</v>
      </c>
      <c r="B749" t="s">
        <v>339</v>
      </c>
      <c r="C749" t="s">
        <v>74</v>
      </c>
      <c r="D749">
        <v>0</v>
      </c>
      <c r="E749" t="s">
        <v>380</v>
      </c>
    </row>
    <row r="750" spans="1:5" x14ac:dyDescent="0.25">
      <c r="A750" s="279">
        <v>38988</v>
      </c>
      <c r="B750" t="s">
        <v>339</v>
      </c>
      <c r="C750" t="s">
        <v>75</v>
      </c>
      <c r="D750">
        <v>15050</v>
      </c>
      <c r="E750" t="s">
        <v>378</v>
      </c>
    </row>
    <row r="751" spans="1:5" x14ac:dyDescent="0.25">
      <c r="A751" s="279">
        <v>38988</v>
      </c>
      <c r="B751" t="s">
        <v>339</v>
      </c>
      <c r="C751" t="s">
        <v>76</v>
      </c>
      <c r="D751">
        <v>14508</v>
      </c>
      <c r="E751" t="s">
        <v>380</v>
      </c>
    </row>
    <row r="752" spans="1:5" x14ac:dyDescent="0.25">
      <c r="A752" s="279">
        <v>38988</v>
      </c>
      <c r="B752" t="s">
        <v>339</v>
      </c>
      <c r="C752" t="s">
        <v>77</v>
      </c>
      <c r="D752">
        <v>7289</v>
      </c>
      <c r="E752" t="s">
        <v>378</v>
      </c>
    </row>
    <row r="753" spans="1:5" x14ac:dyDescent="0.25">
      <c r="A753" s="279">
        <v>38988</v>
      </c>
      <c r="B753" t="s">
        <v>339</v>
      </c>
      <c r="C753" t="s">
        <v>78</v>
      </c>
      <c r="D753">
        <v>2718</v>
      </c>
      <c r="E753" t="s">
        <v>380</v>
      </c>
    </row>
    <row r="754" spans="1:5" x14ac:dyDescent="0.25">
      <c r="A754" s="279">
        <v>38988</v>
      </c>
      <c r="B754" t="s">
        <v>339</v>
      </c>
      <c r="C754" t="s">
        <v>79</v>
      </c>
      <c r="D754">
        <v>115042</v>
      </c>
      <c r="E754" t="s">
        <v>379</v>
      </c>
    </row>
    <row r="755" spans="1:5" x14ac:dyDescent="0.25">
      <c r="A755" s="279">
        <v>38988</v>
      </c>
      <c r="B755" t="s">
        <v>339</v>
      </c>
      <c r="C755" t="s">
        <v>70</v>
      </c>
      <c r="D755">
        <v>0</v>
      </c>
      <c r="E755" t="s">
        <v>379</v>
      </c>
    </row>
    <row r="756" spans="1:5" x14ac:dyDescent="0.25">
      <c r="A756" s="279">
        <v>38988</v>
      </c>
      <c r="B756" t="s">
        <v>339</v>
      </c>
      <c r="C756" t="s">
        <v>63</v>
      </c>
      <c r="D756">
        <v>18047</v>
      </c>
      <c r="E756" t="s">
        <v>378</v>
      </c>
    </row>
    <row r="757" spans="1:5" x14ac:dyDescent="0.25">
      <c r="A757" s="279">
        <v>38988</v>
      </c>
      <c r="B757" t="s">
        <v>339</v>
      </c>
      <c r="C757" t="s">
        <v>80</v>
      </c>
      <c r="D757">
        <v>720</v>
      </c>
      <c r="E757" t="s">
        <v>379</v>
      </c>
    </row>
    <row r="758" spans="1:5" x14ac:dyDescent="0.25">
      <c r="A758" s="279">
        <v>38989</v>
      </c>
      <c r="B758" t="s">
        <v>338</v>
      </c>
      <c r="C758" t="s">
        <v>59</v>
      </c>
      <c r="D758">
        <v>2608</v>
      </c>
      <c r="E758" t="s">
        <v>378</v>
      </c>
    </row>
    <row r="759" spans="1:5" x14ac:dyDescent="0.25">
      <c r="A759" s="279">
        <v>38989</v>
      </c>
      <c r="B759" t="s">
        <v>338</v>
      </c>
      <c r="C759" t="s">
        <v>60</v>
      </c>
      <c r="D759">
        <v>0</v>
      </c>
      <c r="E759" t="s">
        <v>379</v>
      </c>
    </row>
    <row r="760" spans="1:5" x14ac:dyDescent="0.25">
      <c r="A760" s="279">
        <v>38989</v>
      </c>
      <c r="B760" t="s">
        <v>338</v>
      </c>
      <c r="C760" t="s">
        <v>61</v>
      </c>
      <c r="D760">
        <v>13171</v>
      </c>
      <c r="E760" t="s">
        <v>378</v>
      </c>
    </row>
    <row r="761" spans="1:5" x14ac:dyDescent="0.25">
      <c r="A761" s="279">
        <v>38989</v>
      </c>
      <c r="B761" t="s">
        <v>338</v>
      </c>
      <c r="C761" t="s">
        <v>62</v>
      </c>
      <c r="D761">
        <v>0</v>
      </c>
      <c r="E761" t="s">
        <v>380</v>
      </c>
    </row>
    <row r="762" spans="1:5" x14ac:dyDescent="0.25">
      <c r="A762" s="279">
        <v>38989</v>
      </c>
      <c r="B762" t="s">
        <v>338</v>
      </c>
      <c r="C762" t="s">
        <v>63</v>
      </c>
      <c r="D762">
        <v>0</v>
      </c>
      <c r="E762" t="s">
        <v>378</v>
      </c>
    </row>
    <row r="763" spans="1:5" x14ac:dyDescent="0.25">
      <c r="A763" s="279">
        <v>38989</v>
      </c>
      <c r="B763" t="s">
        <v>338</v>
      </c>
      <c r="C763" t="s">
        <v>64</v>
      </c>
      <c r="D763">
        <v>0</v>
      </c>
      <c r="E763" t="s">
        <v>380</v>
      </c>
    </row>
    <row r="764" spans="1:5" x14ac:dyDescent="0.25">
      <c r="A764" s="279">
        <v>38989</v>
      </c>
      <c r="B764" t="s">
        <v>338</v>
      </c>
      <c r="C764" t="s">
        <v>65</v>
      </c>
      <c r="D764">
        <v>0</v>
      </c>
      <c r="E764" t="s">
        <v>378</v>
      </c>
    </row>
    <row r="765" spans="1:5" x14ac:dyDescent="0.25">
      <c r="A765" s="279">
        <v>38989</v>
      </c>
      <c r="B765" t="s">
        <v>338</v>
      </c>
      <c r="C765" t="s">
        <v>66</v>
      </c>
      <c r="D765">
        <v>0</v>
      </c>
      <c r="E765" t="s">
        <v>380</v>
      </c>
    </row>
    <row r="766" spans="1:5" x14ac:dyDescent="0.25">
      <c r="A766" s="279">
        <v>38989</v>
      </c>
      <c r="B766" t="s">
        <v>338</v>
      </c>
      <c r="C766" t="s">
        <v>120</v>
      </c>
      <c r="D766">
        <v>2376</v>
      </c>
      <c r="E766" t="s">
        <v>378</v>
      </c>
    </row>
    <row r="767" spans="1:5" x14ac:dyDescent="0.25">
      <c r="A767" s="279">
        <v>38989</v>
      </c>
      <c r="B767" t="s">
        <v>338</v>
      </c>
      <c r="C767" t="s">
        <v>121</v>
      </c>
      <c r="D767">
        <v>0</v>
      </c>
      <c r="E767" t="s">
        <v>380</v>
      </c>
    </row>
    <row r="768" spans="1:5" x14ac:dyDescent="0.25">
      <c r="A768" s="279">
        <v>38989</v>
      </c>
      <c r="B768" t="s">
        <v>338</v>
      </c>
      <c r="C768" t="s">
        <v>67</v>
      </c>
      <c r="D768">
        <v>0</v>
      </c>
      <c r="E768" t="s">
        <v>378</v>
      </c>
    </row>
    <row r="769" spans="1:5" x14ac:dyDescent="0.25">
      <c r="A769" s="279">
        <v>38989</v>
      </c>
      <c r="B769" t="s">
        <v>338</v>
      </c>
      <c r="C769" t="s">
        <v>68</v>
      </c>
      <c r="D769">
        <v>0</v>
      </c>
      <c r="E769" t="s">
        <v>380</v>
      </c>
    </row>
    <row r="770" spans="1:5" x14ac:dyDescent="0.25">
      <c r="A770" s="279">
        <v>38989</v>
      </c>
      <c r="B770" t="s">
        <v>338</v>
      </c>
      <c r="C770" t="s">
        <v>69</v>
      </c>
      <c r="D770">
        <v>0</v>
      </c>
      <c r="E770" t="s">
        <v>379</v>
      </c>
    </row>
    <row r="771" spans="1:5" x14ac:dyDescent="0.25">
      <c r="A771" s="279">
        <v>38989</v>
      </c>
      <c r="B771" t="s">
        <v>338</v>
      </c>
      <c r="C771" t="s">
        <v>70</v>
      </c>
      <c r="D771">
        <v>0</v>
      </c>
      <c r="E771" t="s">
        <v>379</v>
      </c>
    </row>
    <row r="772" spans="1:5" x14ac:dyDescent="0.25">
      <c r="A772" s="279">
        <v>38989</v>
      </c>
      <c r="B772" t="s">
        <v>338</v>
      </c>
      <c r="C772" t="s">
        <v>80</v>
      </c>
      <c r="D772">
        <v>148</v>
      </c>
      <c r="E772" t="s">
        <v>379</v>
      </c>
    </row>
    <row r="773" spans="1:5" x14ac:dyDescent="0.25">
      <c r="A773" s="279">
        <v>38989</v>
      </c>
      <c r="B773" t="s">
        <v>339</v>
      </c>
      <c r="C773" t="s">
        <v>71</v>
      </c>
      <c r="D773">
        <v>1838</v>
      </c>
      <c r="E773" t="s">
        <v>378</v>
      </c>
    </row>
    <row r="774" spans="1:5" x14ac:dyDescent="0.25">
      <c r="A774" s="279">
        <v>38989</v>
      </c>
      <c r="B774" t="s">
        <v>339</v>
      </c>
      <c r="C774" t="s">
        <v>72</v>
      </c>
      <c r="D774">
        <v>0</v>
      </c>
      <c r="E774" t="s">
        <v>380</v>
      </c>
    </row>
    <row r="775" spans="1:5" x14ac:dyDescent="0.25">
      <c r="A775" s="279">
        <v>38989</v>
      </c>
      <c r="B775" t="s">
        <v>339</v>
      </c>
      <c r="C775" t="s">
        <v>73</v>
      </c>
      <c r="D775">
        <v>13863</v>
      </c>
      <c r="E775" t="s">
        <v>378</v>
      </c>
    </row>
    <row r="776" spans="1:5" x14ac:dyDescent="0.25">
      <c r="A776" s="279">
        <v>38989</v>
      </c>
      <c r="B776" t="s">
        <v>339</v>
      </c>
      <c r="C776" t="s">
        <v>74</v>
      </c>
      <c r="D776">
        <v>0</v>
      </c>
      <c r="E776" t="s">
        <v>380</v>
      </c>
    </row>
    <row r="777" spans="1:5" x14ac:dyDescent="0.25">
      <c r="A777" s="279">
        <v>38989</v>
      </c>
      <c r="B777" t="s">
        <v>339</v>
      </c>
      <c r="C777" t="s">
        <v>75</v>
      </c>
      <c r="D777">
        <v>15079</v>
      </c>
      <c r="E777" t="s">
        <v>378</v>
      </c>
    </row>
    <row r="778" spans="1:5" x14ac:dyDescent="0.25">
      <c r="A778" s="279">
        <v>38989</v>
      </c>
      <c r="B778" t="s">
        <v>339</v>
      </c>
      <c r="C778" t="s">
        <v>76</v>
      </c>
      <c r="D778">
        <v>14536</v>
      </c>
      <c r="E778" t="s">
        <v>380</v>
      </c>
    </row>
    <row r="779" spans="1:5" x14ac:dyDescent="0.25">
      <c r="A779" s="279">
        <v>38989</v>
      </c>
      <c r="B779" t="s">
        <v>339</v>
      </c>
      <c r="C779" t="s">
        <v>77</v>
      </c>
      <c r="D779">
        <v>7303</v>
      </c>
      <c r="E779" t="s">
        <v>378</v>
      </c>
    </row>
    <row r="780" spans="1:5" x14ac:dyDescent="0.25">
      <c r="A780" s="279">
        <v>38989</v>
      </c>
      <c r="B780" t="s">
        <v>339</v>
      </c>
      <c r="C780" t="s">
        <v>78</v>
      </c>
      <c r="D780">
        <v>7035</v>
      </c>
      <c r="E780" t="s">
        <v>380</v>
      </c>
    </row>
    <row r="781" spans="1:5" x14ac:dyDescent="0.25">
      <c r="A781" s="279">
        <v>38989</v>
      </c>
      <c r="B781" t="s">
        <v>339</v>
      </c>
      <c r="C781" t="s">
        <v>79</v>
      </c>
      <c r="D781">
        <v>120105</v>
      </c>
      <c r="E781" t="s">
        <v>379</v>
      </c>
    </row>
    <row r="782" spans="1:5" x14ac:dyDescent="0.25">
      <c r="A782" s="279">
        <v>38989</v>
      </c>
      <c r="B782" t="s">
        <v>339</v>
      </c>
      <c r="C782" t="s">
        <v>70</v>
      </c>
      <c r="D782">
        <v>0</v>
      </c>
      <c r="E782" t="s">
        <v>379</v>
      </c>
    </row>
    <row r="783" spans="1:5" x14ac:dyDescent="0.25">
      <c r="A783" s="279">
        <v>38989</v>
      </c>
      <c r="B783" t="s">
        <v>339</v>
      </c>
      <c r="C783" t="s">
        <v>63</v>
      </c>
      <c r="D783">
        <v>18082</v>
      </c>
      <c r="E783" t="s">
        <v>378</v>
      </c>
    </row>
    <row r="784" spans="1:5" x14ac:dyDescent="0.25">
      <c r="A784" s="279">
        <v>38989</v>
      </c>
      <c r="B784" t="s">
        <v>339</v>
      </c>
      <c r="C784" t="s">
        <v>80</v>
      </c>
      <c r="D784">
        <v>678</v>
      </c>
      <c r="E784" t="s">
        <v>379</v>
      </c>
    </row>
    <row r="785" spans="1:5" x14ac:dyDescent="0.25">
      <c r="A785" s="279">
        <v>38990</v>
      </c>
      <c r="B785" t="s">
        <v>338</v>
      </c>
      <c r="C785" t="s">
        <v>59</v>
      </c>
      <c r="D785">
        <v>2608</v>
      </c>
      <c r="E785" t="s">
        <v>378</v>
      </c>
    </row>
    <row r="786" spans="1:5" x14ac:dyDescent="0.25">
      <c r="A786" s="279">
        <v>38990</v>
      </c>
      <c r="B786" t="s">
        <v>338</v>
      </c>
      <c r="C786" t="s">
        <v>60</v>
      </c>
      <c r="D786">
        <v>0</v>
      </c>
      <c r="E786" t="s">
        <v>379</v>
      </c>
    </row>
    <row r="787" spans="1:5" x14ac:dyDescent="0.25">
      <c r="A787" s="279">
        <v>38990</v>
      </c>
      <c r="B787" t="s">
        <v>338</v>
      </c>
      <c r="C787" t="s">
        <v>61</v>
      </c>
      <c r="D787">
        <v>13171</v>
      </c>
      <c r="E787" t="s">
        <v>378</v>
      </c>
    </row>
    <row r="788" spans="1:5" x14ac:dyDescent="0.25">
      <c r="A788" s="279">
        <v>38990</v>
      </c>
      <c r="B788" t="s">
        <v>338</v>
      </c>
      <c r="C788" t="s">
        <v>62</v>
      </c>
      <c r="D788">
        <v>0</v>
      </c>
      <c r="E788" t="s">
        <v>380</v>
      </c>
    </row>
    <row r="789" spans="1:5" x14ac:dyDescent="0.25">
      <c r="A789" s="279">
        <v>38990</v>
      </c>
      <c r="B789" t="s">
        <v>338</v>
      </c>
      <c r="C789" t="s">
        <v>63</v>
      </c>
      <c r="D789">
        <v>0</v>
      </c>
      <c r="E789" t="s">
        <v>378</v>
      </c>
    </row>
    <row r="790" spans="1:5" x14ac:dyDescent="0.25">
      <c r="A790" s="279">
        <v>38990</v>
      </c>
      <c r="B790" t="s">
        <v>338</v>
      </c>
      <c r="C790" t="s">
        <v>64</v>
      </c>
      <c r="D790">
        <v>0</v>
      </c>
      <c r="E790" t="s">
        <v>380</v>
      </c>
    </row>
    <row r="791" spans="1:5" x14ac:dyDescent="0.25">
      <c r="A791" s="279">
        <v>38990</v>
      </c>
      <c r="B791" t="s">
        <v>338</v>
      </c>
      <c r="C791" t="s">
        <v>65</v>
      </c>
      <c r="D791">
        <v>0</v>
      </c>
      <c r="E791" t="s">
        <v>378</v>
      </c>
    </row>
    <row r="792" spans="1:5" x14ac:dyDescent="0.25">
      <c r="A792" s="279">
        <v>38990</v>
      </c>
      <c r="B792" t="s">
        <v>338</v>
      </c>
      <c r="C792" t="s">
        <v>66</v>
      </c>
      <c r="D792">
        <v>0</v>
      </c>
      <c r="E792" t="s">
        <v>380</v>
      </c>
    </row>
    <row r="793" spans="1:5" x14ac:dyDescent="0.25">
      <c r="A793" s="279">
        <v>38990</v>
      </c>
      <c r="B793" t="s">
        <v>338</v>
      </c>
      <c r="C793" t="s">
        <v>120</v>
      </c>
      <c r="D793">
        <v>2405</v>
      </c>
      <c r="E793" t="s">
        <v>378</v>
      </c>
    </row>
    <row r="794" spans="1:5" x14ac:dyDescent="0.25">
      <c r="A794" s="279">
        <v>38990</v>
      </c>
      <c r="B794" t="s">
        <v>338</v>
      </c>
      <c r="C794" t="s">
        <v>121</v>
      </c>
      <c r="D794">
        <v>0</v>
      </c>
      <c r="E794" t="s">
        <v>380</v>
      </c>
    </row>
    <row r="795" spans="1:5" x14ac:dyDescent="0.25">
      <c r="A795" s="279">
        <v>38990</v>
      </c>
      <c r="B795" t="s">
        <v>338</v>
      </c>
      <c r="C795" t="s">
        <v>67</v>
      </c>
      <c r="D795">
        <v>0</v>
      </c>
      <c r="E795" t="s">
        <v>378</v>
      </c>
    </row>
    <row r="796" spans="1:5" x14ac:dyDescent="0.25">
      <c r="A796" s="279">
        <v>38990</v>
      </c>
      <c r="B796" t="s">
        <v>338</v>
      </c>
      <c r="C796" t="s">
        <v>68</v>
      </c>
      <c r="D796">
        <v>0</v>
      </c>
      <c r="E796" t="s">
        <v>380</v>
      </c>
    </row>
    <row r="797" spans="1:5" x14ac:dyDescent="0.25">
      <c r="A797" s="279">
        <v>38990</v>
      </c>
      <c r="B797" t="s">
        <v>338</v>
      </c>
      <c r="C797" t="s">
        <v>69</v>
      </c>
      <c r="D797">
        <v>0</v>
      </c>
      <c r="E797" t="s">
        <v>379</v>
      </c>
    </row>
    <row r="798" spans="1:5" x14ac:dyDescent="0.25">
      <c r="A798" s="279">
        <v>38990</v>
      </c>
      <c r="B798" t="s">
        <v>338</v>
      </c>
      <c r="C798" t="s">
        <v>70</v>
      </c>
      <c r="D798">
        <v>0</v>
      </c>
      <c r="E798" t="s">
        <v>379</v>
      </c>
    </row>
    <row r="799" spans="1:5" x14ac:dyDescent="0.25">
      <c r="A799" s="279">
        <v>38990</v>
      </c>
      <c r="B799" t="s">
        <v>338</v>
      </c>
      <c r="C799" t="s">
        <v>80</v>
      </c>
      <c r="D799">
        <v>148</v>
      </c>
      <c r="E799" t="s">
        <v>379</v>
      </c>
    </row>
    <row r="800" spans="1:5" x14ac:dyDescent="0.25">
      <c r="A800" s="279">
        <v>38990</v>
      </c>
      <c r="B800" t="s">
        <v>339</v>
      </c>
      <c r="C800" t="s">
        <v>71</v>
      </c>
      <c r="D800">
        <v>1840</v>
      </c>
      <c r="E800" t="s">
        <v>378</v>
      </c>
    </row>
    <row r="801" spans="1:5" x14ac:dyDescent="0.25">
      <c r="A801" s="279">
        <v>38990</v>
      </c>
      <c r="B801" t="s">
        <v>339</v>
      </c>
      <c r="C801" t="s">
        <v>72</v>
      </c>
      <c r="D801">
        <v>0</v>
      </c>
      <c r="E801" t="s">
        <v>380</v>
      </c>
    </row>
    <row r="802" spans="1:5" x14ac:dyDescent="0.25">
      <c r="A802" s="279">
        <v>38990</v>
      </c>
      <c r="B802" t="s">
        <v>339</v>
      </c>
      <c r="C802" t="s">
        <v>73</v>
      </c>
      <c r="D802">
        <v>15019</v>
      </c>
      <c r="E802" t="s">
        <v>378</v>
      </c>
    </row>
    <row r="803" spans="1:5" x14ac:dyDescent="0.25">
      <c r="A803" s="279">
        <v>38990</v>
      </c>
      <c r="B803" t="s">
        <v>339</v>
      </c>
      <c r="C803" t="s">
        <v>74</v>
      </c>
      <c r="D803">
        <v>0</v>
      </c>
      <c r="E803" t="s">
        <v>380</v>
      </c>
    </row>
    <row r="804" spans="1:5" x14ac:dyDescent="0.25">
      <c r="A804" s="279">
        <v>38990</v>
      </c>
      <c r="B804" t="s">
        <v>339</v>
      </c>
      <c r="C804" t="s">
        <v>75</v>
      </c>
      <c r="D804">
        <v>15094</v>
      </c>
      <c r="E804" t="s">
        <v>378</v>
      </c>
    </row>
    <row r="805" spans="1:5" x14ac:dyDescent="0.25">
      <c r="A805" s="279">
        <v>38990</v>
      </c>
      <c r="B805" t="s">
        <v>339</v>
      </c>
      <c r="C805" t="s">
        <v>76</v>
      </c>
      <c r="D805">
        <v>14550</v>
      </c>
      <c r="E805" t="s">
        <v>380</v>
      </c>
    </row>
    <row r="806" spans="1:5" x14ac:dyDescent="0.25">
      <c r="A806" s="279">
        <v>38990</v>
      </c>
      <c r="B806" t="s">
        <v>339</v>
      </c>
      <c r="C806" t="s">
        <v>77</v>
      </c>
      <c r="D806">
        <v>7310</v>
      </c>
      <c r="E806" t="s">
        <v>378</v>
      </c>
    </row>
    <row r="807" spans="1:5" x14ac:dyDescent="0.25">
      <c r="A807" s="279">
        <v>38990</v>
      </c>
      <c r="B807" t="s">
        <v>339</v>
      </c>
      <c r="C807" t="s">
        <v>78</v>
      </c>
      <c r="D807">
        <v>4594</v>
      </c>
      <c r="E807" t="s">
        <v>380</v>
      </c>
    </row>
    <row r="808" spans="1:5" x14ac:dyDescent="0.25">
      <c r="A808" s="279">
        <v>38990</v>
      </c>
      <c r="B808" t="s">
        <v>339</v>
      </c>
      <c r="C808" t="s">
        <v>79</v>
      </c>
      <c r="D808">
        <v>120221</v>
      </c>
      <c r="E808" t="s">
        <v>379</v>
      </c>
    </row>
    <row r="809" spans="1:5" x14ac:dyDescent="0.25">
      <c r="A809" s="279">
        <v>38990</v>
      </c>
      <c r="B809" t="s">
        <v>339</v>
      </c>
      <c r="C809" t="s">
        <v>70</v>
      </c>
      <c r="D809">
        <v>0</v>
      </c>
      <c r="E809" t="s">
        <v>379</v>
      </c>
    </row>
    <row r="810" spans="1:5" x14ac:dyDescent="0.25">
      <c r="A810" s="279">
        <v>38990</v>
      </c>
      <c r="B810" t="s">
        <v>339</v>
      </c>
      <c r="C810" t="s">
        <v>63</v>
      </c>
      <c r="D810">
        <v>18100</v>
      </c>
      <c r="E810" t="s">
        <v>378</v>
      </c>
    </row>
    <row r="811" spans="1:5" x14ac:dyDescent="0.25">
      <c r="A811" s="279">
        <v>38990</v>
      </c>
      <c r="B811" t="s">
        <v>339</v>
      </c>
      <c r="C811" t="s">
        <v>80</v>
      </c>
      <c r="D811">
        <v>722</v>
      </c>
      <c r="E811" t="s">
        <v>379</v>
      </c>
    </row>
    <row r="812" spans="1:5" x14ac:dyDescent="0.25">
      <c r="A812" s="279">
        <v>38991</v>
      </c>
      <c r="B812" t="s">
        <v>338</v>
      </c>
      <c r="C812" t="s">
        <v>59</v>
      </c>
      <c r="D812">
        <v>2613</v>
      </c>
      <c r="E812" t="s">
        <v>378</v>
      </c>
    </row>
    <row r="813" spans="1:5" x14ac:dyDescent="0.25">
      <c r="A813" s="279">
        <v>38991</v>
      </c>
      <c r="B813" t="s">
        <v>338</v>
      </c>
      <c r="C813" t="s">
        <v>60</v>
      </c>
      <c r="D813">
        <v>0</v>
      </c>
      <c r="E813" t="s">
        <v>379</v>
      </c>
    </row>
    <row r="814" spans="1:5" x14ac:dyDescent="0.25">
      <c r="A814" s="279">
        <v>38991</v>
      </c>
      <c r="B814" t="s">
        <v>338</v>
      </c>
      <c r="C814" t="s">
        <v>61</v>
      </c>
      <c r="D814">
        <v>3282</v>
      </c>
      <c r="E814" t="s">
        <v>378</v>
      </c>
    </row>
    <row r="815" spans="1:5" x14ac:dyDescent="0.25">
      <c r="A815" s="279">
        <v>38991</v>
      </c>
      <c r="B815" t="s">
        <v>338</v>
      </c>
      <c r="C815" t="s">
        <v>62</v>
      </c>
      <c r="D815">
        <v>0</v>
      </c>
      <c r="E815" t="s">
        <v>380</v>
      </c>
    </row>
    <row r="816" spans="1:5" x14ac:dyDescent="0.25">
      <c r="A816" s="279">
        <v>38991</v>
      </c>
      <c r="B816" t="s">
        <v>338</v>
      </c>
      <c r="C816" t="s">
        <v>63</v>
      </c>
      <c r="D816">
        <v>0</v>
      </c>
      <c r="E816" t="s">
        <v>378</v>
      </c>
    </row>
    <row r="817" spans="1:5" x14ac:dyDescent="0.25">
      <c r="A817" s="279">
        <v>38991</v>
      </c>
      <c r="B817" t="s">
        <v>338</v>
      </c>
      <c r="C817" t="s">
        <v>64</v>
      </c>
      <c r="D817">
        <v>0</v>
      </c>
      <c r="E817" t="s">
        <v>380</v>
      </c>
    </row>
    <row r="818" spans="1:5" x14ac:dyDescent="0.25">
      <c r="A818" s="279">
        <v>38991</v>
      </c>
      <c r="B818" t="s">
        <v>338</v>
      </c>
      <c r="C818" t="s">
        <v>65</v>
      </c>
      <c r="D818">
        <v>0</v>
      </c>
      <c r="E818" t="s">
        <v>378</v>
      </c>
    </row>
    <row r="819" spans="1:5" x14ac:dyDescent="0.25">
      <c r="A819" s="279">
        <v>38991</v>
      </c>
      <c r="B819" t="s">
        <v>338</v>
      </c>
      <c r="C819" t="s">
        <v>66</v>
      </c>
      <c r="D819">
        <v>0</v>
      </c>
      <c r="E819" t="s">
        <v>380</v>
      </c>
    </row>
    <row r="820" spans="1:5" x14ac:dyDescent="0.25">
      <c r="A820" s="279">
        <v>38991</v>
      </c>
      <c r="B820" t="s">
        <v>338</v>
      </c>
      <c r="C820" t="s">
        <v>120</v>
      </c>
      <c r="D820">
        <v>12275</v>
      </c>
      <c r="E820" t="s">
        <v>378</v>
      </c>
    </row>
    <row r="821" spans="1:5" x14ac:dyDescent="0.25">
      <c r="A821" s="279">
        <v>38991</v>
      </c>
      <c r="B821" t="s">
        <v>338</v>
      </c>
      <c r="C821" t="s">
        <v>121</v>
      </c>
      <c r="D821">
        <v>0</v>
      </c>
      <c r="E821" t="s">
        <v>380</v>
      </c>
    </row>
    <row r="822" spans="1:5" x14ac:dyDescent="0.25">
      <c r="A822" s="279">
        <v>38991</v>
      </c>
      <c r="B822" t="s">
        <v>338</v>
      </c>
      <c r="C822" t="s">
        <v>67</v>
      </c>
      <c r="D822">
        <v>0</v>
      </c>
      <c r="E822" t="s">
        <v>378</v>
      </c>
    </row>
    <row r="823" spans="1:5" x14ac:dyDescent="0.25">
      <c r="A823" s="279">
        <v>38991</v>
      </c>
      <c r="B823" t="s">
        <v>338</v>
      </c>
      <c r="C823" t="s">
        <v>68</v>
      </c>
      <c r="D823">
        <v>0</v>
      </c>
      <c r="E823" t="s">
        <v>380</v>
      </c>
    </row>
    <row r="824" spans="1:5" x14ac:dyDescent="0.25">
      <c r="A824" s="279">
        <v>38991</v>
      </c>
      <c r="B824" t="s">
        <v>338</v>
      </c>
      <c r="C824" t="s">
        <v>69</v>
      </c>
      <c r="D824">
        <v>0</v>
      </c>
      <c r="E824" t="s">
        <v>379</v>
      </c>
    </row>
    <row r="825" spans="1:5" x14ac:dyDescent="0.25">
      <c r="A825" s="279">
        <v>38991</v>
      </c>
      <c r="B825" t="s">
        <v>338</v>
      </c>
      <c r="C825" t="s">
        <v>70</v>
      </c>
      <c r="D825">
        <v>0</v>
      </c>
      <c r="E825" t="s">
        <v>379</v>
      </c>
    </row>
    <row r="826" spans="1:5" x14ac:dyDescent="0.25">
      <c r="A826" s="279">
        <v>38991</v>
      </c>
      <c r="B826" t="s">
        <v>338</v>
      </c>
      <c r="C826" t="s">
        <v>80</v>
      </c>
      <c r="D826">
        <v>148</v>
      </c>
      <c r="E826" t="s">
        <v>379</v>
      </c>
    </row>
    <row r="827" spans="1:5" x14ac:dyDescent="0.25">
      <c r="A827" s="279">
        <v>38991</v>
      </c>
      <c r="B827" t="s">
        <v>339</v>
      </c>
      <c r="C827" t="s">
        <v>71</v>
      </c>
      <c r="D827">
        <v>3833</v>
      </c>
      <c r="E827" t="s">
        <v>378</v>
      </c>
    </row>
    <row r="828" spans="1:5" x14ac:dyDescent="0.25">
      <c r="A828" s="279">
        <v>38991</v>
      </c>
      <c r="B828" t="s">
        <v>339</v>
      </c>
      <c r="C828" t="s">
        <v>72</v>
      </c>
      <c r="D828">
        <v>0</v>
      </c>
      <c r="E828" t="s">
        <v>380</v>
      </c>
    </row>
    <row r="829" spans="1:5" x14ac:dyDescent="0.25">
      <c r="A829" s="279">
        <v>38991</v>
      </c>
      <c r="B829" t="s">
        <v>339</v>
      </c>
      <c r="C829" t="s">
        <v>73</v>
      </c>
      <c r="D829">
        <v>18727</v>
      </c>
      <c r="E829" t="s">
        <v>378</v>
      </c>
    </row>
    <row r="830" spans="1:5" x14ac:dyDescent="0.25">
      <c r="A830" s="279">
        <v>38991</v>
      </c>
      <c r="B830" t="s">
        <v>339</v>
      </c>
      <c r="C830" t="s">
        <v>74</v>
      </c>
      <c r="D830">
        <v>0</v>
      </c>
      <c r="E830" t="s">
        <v>380</v>
      </c>
    </row>
    <row r="831" spans="1:5" x14ac:dyDescent="0.25">
      <c r="A831" s="279">
        <v>38991</v>
      </c>
      <c r="B831" t="s">
        <v>339</v>
      </c>
      <c r="C831" t="s">
        <v>75</v>
      </c>
      <c r="D831">
        <v>15138</v>
      </c>
      <c r="E831" t="s">
        <v>378</v>
      </c>
    </row>
    <row r="832" spans="1:5" x14ac:dyDescent="0.25">
      <c r="A832" s="279">
        <v>38991</v>
      </c>
      <c r="B832" t="s">
        <v>339</v>
      </c>
      <c r="C832" t="s">
        <v>76</v>
      </c>
      <c r="D832">
        <v>0</v>
      </c>
      <c r="E832" t="s">
        <v>380</v>
      </c>
    </row>
    <row r="833" spans="1:5" x14ac:dyDescent="0.25">
      <c r="A833" s="279">
        <v>38991</v>
      </c>
      <c r="B833" t="s">
        <v>339</v>
      </c>
      <c r="C833" t="s">
        <v>77</v>
      </c>
      <c r="D833">
        <v>7331</v>
      </c>
      <c r="E833" t="s">
        <v>378</v>
      </c>
    </row>
    <row r="834" spans="1:5" x14ac:dyDescent="0.25">
      <c r="A834" s="279">
        <v>38991</v>
      </c>
      <c r="B834" t="s">
        <v>339</v>
      </c>
      <c r="C834" t="s">
        <v>78</v>
      </c>
      <c r="D834">
        <v>0</v>
      </c>
      <c r="E834" t="s">
        <v>380</v>
      </c>
    </row>
    <row r="835" spans="1:5" x14ac:dyDescent="0.25">
      <c r="A835" s="279">
        <v>38991</v>
      </c>
      <c r="B835" t="s">
        <v>339</v>
      </c>
      <c r="C835" t="s">
        <v>79</v>
      </c>
      <c r="D835">
        <v>131231</v>
      </c>
      <c r="E835" t="s">
        <v>379</v>
      </c>
    </row>
    <row r="836" spans="1:5" x14ac:dyDescent="0.25">
      <c r="A836" s="279">
        <v>38991</v>
      </c>
      <c r="B836" t="s">
        <v>339</v>
      </c>
      <c r="C836" t="s">
        <v>70</v>
      </c>
      <c r="D836">
        <v>0</v>
      </c>
      <c r="E836" t="s">
        <v>379</v>
      </c>
    </row>
    <row r="837" spans="1:5" x14ac:dyDescent="0.25">
      <c r="A837" s="279">
        <v>38991</v>
      </c>
      <c r="B837" t="s">
        <v>339</v>
      </c>
      <c r="C837" t="s">
        <v>63</v>
      </c>
      <c r="D837">
        <v>14462</v>
      </c>
      <c r="E837" t="s">
        <v>378</v>
      </c>
    </row>
    <row r="838" spans="1:5" x14ac:dyDescent="0.25">
      <c r="A838" s="279">
        <v>38991</v>
      </c>
      <c r="B838" t="s">
        <v>339</v>
      </c>
      <c r="C838" t="s">
        <v>80</v>
      </c>
      <c r="D838">
        <v>881</v>
      </c>
      <c r="E838" t="s">
        <v>379</v>
      </c>
    </row>
    <row r="839" spans="1:5" x14ac:dyDescent="0.25">
      <c r="A839" s="279">
        <v>38992</v>
      </c>
      <c r="B839" t="s">
        <v>338</v>
      </c>
      <c r="C839" t="s">
        <v>59</v>
      </c>
      <c r="D839">
        <v>2614</v>
      </c>
      <c r="E839" t="s">
        <v>378</v>
      </c>
    </row>
    <row r="840" spans="1:5" x14ac:dyDescent="0.25">
      <c r="A840" s="279">
        <v>38992</v>
      </c>
      <c r="B840" t="s">
        <v>338</v>
      </c>
      <c r="C840" t="s">
        <v>60</v>
      </c>
      <c r="D840">
        <v>0</v>
      </c>
      <c r="E840" t="s">
        <v>379</v>
      </c>
    </row>
    <row r="841" spans="1:5" x14ac:dyDescent="0.25">
      <c r="A841" s="279">
        <v>38992</v>
      </c>
      <c r="B841" t="s">
        <v>338</v>
      </c>
      <c r="C841" t="s">
        <v>61</v>
      </c>
      <c r="D841">
        <v>3264</v>
      </c>
      <c r="E841" t="s">
        <v>378</v>
      </c>
    </row>
    <row r="842" spans="1:5" x14ac:dyDescent="0.25">
      <c r="A842" s="279">
        <v>38992</v>
      </c>
      <c r="B842" t="s">
        <v>338</v>
      </c>
      <c r="C842" t="s">
        <v>62</v>
      </c>
      <c r="D842">
        <v>0</v>
      </c>
      <c r="E842" t="s">
        <v>380</v>
      </c>
    </row>
    <row r="843" spans="1:5" x14ac:dyDescent="0.25">
      <c r="A843" s="279">
        <v>38992</v>
      </c>
      <c r="B843" t="s">
        <v>338</v>
      </c>
      <c r="C843" t="s">
        <v>63</v>
      </c>
      <c r="D843">
        <v>0</v>
      </c>
      <c r="E843" t="s">
        <v>378</v>
      </c>
    </row>
    <row r="844" spans="1:5" x14ac:dyDescent="0.25">
      <c r="A844" s="279">
        <v>38992</v>
      </c>
      <c r="B844" t="s">
        <v>338</v>
      </c>
      <c r="C844" t="s">
        <v>64</v>
      </c>
      <c r="D844">
        <v>0</v>
      </c>
      <c r="E844" t="s">
        <v>380</v>
      </c>
    </row>
    <row r="845" spans="1:5" x14ac:dyDescent="0.25">
      <c r="A845" s="279">
        <v>38992</v>
      </c>
      <c r="B845" t="s">
        <v>338</v>
      </c>
      <c r="C845" t="s">
        <v>65</v>
      </c>
      <c r="D845">
        <v>0</v>
      </c>
      <c r="E845" t="s">
        <v>378</v>
      </c>
    </row>
    <row r="846" spans="1:5" x14ac:dyDescent="0.25">
      <c r="A846" s="279">
        <v>38992</v>
      </c>
      <c r="B846" t="s">
        <v>338</v>
      </c>
      <c r="C846" t="s">
        <v>66</v>
      </c>
      <c r="D846">
        <v>0</v>
      </c>
      <c r="E846" t="s">
        <v>380</v>
      </c>
    </row>
    <row r="847" spans="1:5" x14ac:dyDescent="0.25">
      <c r="A847" s="279">
        <v>38992</v>
      </c>
      <c r="B847" t="s">
        <v>338</v>
      </c>
      <c r="C847" t="s">
        <v>120</v>
      </c>
      <c r="D847">
        <v>12279</v>
      </c>
      <c r="E847" t="s">
        <v>378</v>
      </c>
    </row>
    <row r="848" spans="1:5" x14ac:dyDescent="0.25">
      <c r="A848" s="279">
        <v>38992</v>
      </c>
      <c r="B848" t="s">
        <v>338</v>
      </c>
      <c r="C848" t="s">
        <v>121</v>
      </c>
      <c r="D848">
        <v>0</v>
      </c>
      <c r="E848" t="s">
        <v>380</v>
      </c>
    </row>
    <row r="849" spans="1:5" x14ac:dyDescent="0.25">
      <c r="A849" s="279">
        <v>38992</v>
      </c>
      <c r="B849" t="s">
        <v>338</v>
      </c>
      <c r="C849" t="s">
        <v>67</v>
      </c>
      <c r="D849">
        <v>0</v>
      </c>
      <c r="E849" t="s">
        <v>378</v>
      </c>
    </row>
    <row r="850" spans="1:5" x14ac:dyDescent="0.25">
      <c r="A850" s="279">
        <v>38992</v>
      </c>
      <c r="B850" t="s">
        <v>338</v>
      </c>
      <c r="C850" t="s">
        <v>68</v>
      </c>
      <c r="D850">
        <v>0</v>
      </c>
      <c r="E850" t="s">
        <v>380</v>
      </c>
    </row>
    <row r="851" spans="1:5" x14ac:dyDescent="0.25">
      <c r="A851" s="279">
        <v>38992</v>
      </c>
      <c r="B851" t="s">
        <v>338</v>
      </c>
      <c r="C851" t="s">
        <v>69</v>
      </c>
      <c r="D851">
        <v>0</v>
      </c>
      <c r="E851" t="s">
        <v>379</v>
      </c>
    </row>
    <row r="852" spans="1:5" x14ac:dyDescent="0.25">
      <c r="A852" s="279">
        <v>38992</v>
      </c>
      <c r="B852" t="s">
        <v>338</v>
      </c>
      <c r="C852" t="s">
        <v>70</v>
      </c>
      <c r="D852">
        <v>0</v>
      </c>
      <c r="E852" t="s">
        <v>379</v>
      </c>
    </row>
    <row r="853" spans="1:5" x14ac:dyDescent="0.25">
      <c r="A853" s="279">
        <v>38992</v>
      </c>
      <c r="B853" t="s">
        <v>338</v>
      </c>
      <c r="C853" t="s">
        <v>80</v>
      </c>
      <c r="D853">
        <v>148</v>
      </c>
      <c r="E853" t="s">
        <v>379</v>
      </c>
    </row>
    <row r="854" spans="1:5" x14ac:dyDescent="0.25">
      <c r="A854" s="279">
        <v>38992</v>
      </c>
      <c r="B854" t="s">
        <v>339</v>
      </c>
      <c r="C854" t="s">
        <v>71</v>
      </c>
      <c r="D854">
        <v>3817</v>
      </c>
      <c r="E854" t="s">
        <v>378</v>
      </c>
    </row>
    <row r="855" spans="1:5" x14ac:dyDescent="0.25">
      <c r="A855" s="279">
        <v>38992</v>
      </c>
      <c r="B855" t="s">
        <v>339</v>
      </c>
      <c r="C855" t="s">
        <v>72</v>
      </c>
      <c r="D855">
        <v>0</v>
      </c>
      <c r="E855" t="s">
        <v>380</v>
      </c>
    </row>
    <row r="856" spans="1:5" x14ac:dyDescent="0.25">
      <c r="A856" s="279">
        <v>38992</v>
      </c>
      <c r="B856" t="s">
        <v>339</v>
      </c>
      <c r="C856" t="s">
        <v>73</v>
      </c>
      <c r="D856">
        <v>18650</v>
      </c>
      <c r="E856" t="s">
        <v>378</v>
      </c>
    </row>
    <row r="857" spans="1:5" x14ac:dyDescent="0.25">
      <c r="A857" s="279">
        <v>38992</v>
      </c>
      <c r="B857" t="s">
        <v>339</v>
      </c>
      <c r="C857" t="s">
        <v>74</v>
      </c>
      <c r="D857">
        <v>0</v>
      </c>
      <c r="E857" t="s">
        <v>380</v>
      </c>
    </row>
    <row r="858" spans="1:5" x14ac:dyDescent="0.25">
      <c r="A858" s="279">
        <v>38992</v>
      </c>
      <c r="B858" t="s">
        <v>339</v>
      </c>
      <c r="C858" t="s">
        <v>75</v>
      </c>
      <c r="D858">
        <v>15075</v>
      </c>
      <c r="E858" t="s">
        <v>378</v>
      </c>
    </row>
    <row r="859" spans="1:5" x14ac:dyDescent="0.25">
      <c r="A859" s="279">
        <v>38992</v>
      </c>
      <c r="B859" t="s">
        <v>339</v>
      </c>
      <c r="C859" t="s">
        <v>76</v>
      </c>
      <c r="D859">
        <v>0</v>
      </c>
      <c r="E859" t="s">
        <v>380</v>
      </c>
    </row>
    <row r="860" spans="1:5" x14ac:dyDescent="0.25">
      <c r="A860" s="279">
        <v>38992</v>
      </c>
      <c r="B860" t="s">
        <v>339</v>
      </c>
      <c r="C860" t="s">
        <v>77</v>
      </c>
      <c r="D860">
        <v>7301</v>
      </c>
      <c r="E860" t="s">
        <v>378</v>
      </c>
    </row>
    <row r="861" spans="1:5" x14ac:dyDescent="0.25">
      <c r="A861" s="279">
        <v>38992</v>
      </c>
      <c r="B861" t="s">
        <v>339</v>
      </c>
      <c r="C861" t="s">
        <v>78</v>
      </c>
      <c r="D861">
        <v>0</v>
      </c>
      <c r="E861" t="s">
        <v>380</v>
      </c>
    </row>
    <row r="862" spans="1:5" x14ac:dyDescent="0.25">
      <c r="A862" s="279">
        <v>38992</v>
      </c>
      <c r="B862" t="s">
        <v>339</v>
      </c>
      <c r="C862" t="s">
        <v>79</v>
      </c>
      <c r="D862">
        <v>128850</v>
      </c>
      <c r="E862" t="s">
        <v>379</v>
      </c>
    </row>
    <row r="863" spans="1:5" x14ac:dyDescent="0.25">
      <c r="A863" s="279">
        <v>38992</v>
      </c>
      <c r="B863" t="s">
        <v>339</v>
      </c>
      <c r="C863" t="s">
        <v>70</v>
      </c>
      <c r="D863">
        <v>0</v>
      </c>
      <c r="E863" t="s">
        <v>379</v>
      </c>
    </row>
    <row r="864" spans="1:5" x14ac:dyDescent="0.25">
      <c r="A864" s="279">
        <v>38992</v>
      </c>
      <c r="B864" t="s">
        <v>339</v>
      </c>
      <c r="C864" t="s">
        <v>63</v>
      </c>
      <c r="D864">
        <v>14402</v>
      </c>
      <c r="E864" t="s">
        <v>378</v>
      </c>
    </row>
    <row r="865" spans="1:5" x14ac:dyDescent="0.25">
      <c r="A865" s="279">
        <v>38992</v>
      </c>
      <c r="B865" t="s">
        <v>339</v>
      </c>
      <c r="C865" t="s">
        <v>80</v>
      </c>
      <c r="D865">
        <v>878</v>
      </c>
      <c r="E865" t="s">
        <v>379</v>
      </c>
    </row>
    <row r="866" spans="1:5" x14ac:dyDescent="0.25">
      <c r="A866" s="279">
        <v>38993</v>
      </c>
      <c r="B866" t="s">
        <v>338</v>
      </c>
      <c r="C866" t="s">
        <v>59</v>
      </c>
      <c r="D866">
        <v>2621</v>
      </c>
      <c r="E866" t="s">
        <v>378</v>
      </c>
    </row>
    <row r="867" spans="1:5" x14ac:dyDescent="0.25">
      <c r="A867" s="279">
        <v>38993</v>
      </c>
      <c r="B867" t="s">
        <v>338</v>
      </c>
      <c r="C867" t="s">
        <v>60</v>
      </c>
      <c r="D867">
        <v>0</v>
      </c>
      <c r="E867" t="s">
        <v>379</v>
      </c>
    </row>
    <row r="868" spans="1:5" x14ac:dyDescent="0.25">
      <c r="A868" s="279">
        <v>38993</v>
      </c>
      <c r="B868" t="s">
        <v>338</v>
      </c>
      <c r="C868" t="s">
        <v>61</v>
      </c>
      <c r="D868">
        <v>3293</v>
      </c>
      <c r="E868" t="s">
        <v>378</v>
      </c>
    </row>
    <row r="869" spans="1:5" x14ac:dyDescent="0.25">
      <c r="A869" s="279">
        <v>38993</v>
      </c>
      <c r="B869" t="s">
        <v>338</v>
      </c>
      <c r="C869" t="s">
        <v>62</v>
      </c>
      <c r="D869">
        <v>0</v>
      </c>
      <c r="E869" t="s">
        <v>380</v>
      </c>
    </row>
    <row r="870" spans="1:5" x14ac:dyDescent="0.25">
      <c r="A870" s="279">
        <v>38993</v>
      </c>
      <c r="B870" t="s">
        <v>338</v>
      </c>
      <c r="C870" t="s">
        <v>63</v>
      </c>
      <c r="D870">
        <v>0</v>
      </c>
      <c r="E870" t="s">
        <v>378</v>
      </c>
    </row>
    <row r="871" spans="1:5" x14ac:dyDescent="0.25">
      <c r="A871" s="279">
        <v>38993</v>
      </c>
      <c r="B871" t="s">
        <v>338</v>
      </c>
      <c r="C871" t="s">
        <v>64</v>
      </c>
      <c r="D871">
        <v>0</v>
      </c>
      <c r="E871" t="s">
        <v>380</v>
      </c>
    </row>
    <row r="872" spans="1:5" x14ac:dyDescent="0.25">
      <c r="A872" s="279">
        <v>38993</v>
      </c>
      <c r="B872" t="s">
        <v>338</v>
      </c>
      <c r="C872" t="s">
        <v>65</v>
      </c>
      <c r="D872">
        <v>0</v>
      </c>
      <c r="E872" t="s">
        <v>378</v>
      </c>
    </row>
    <row r="873" spans="1:5" x14ac:dyDescent="0.25">
      <c r="A873" s="279">
        <v>38993</v>
      </c>
      <c r="B873" t="s">
        <v>338</v>
      </c>
      <c r="C873" t="s">
        <v>66</v>
      </c>
      <c r="D873">
        <v>0</v>
      </c>
      <c r="E873" t="s">
        <v>380</v>
      </c>
    </row>
    <row r="874" spans="1:5" x14ac:dyDescent="0.25">
      <c r="A874" s="279">
        <v>38993</v>
      </c>
      <c r="B874" t="s">
        <v>338</v>
      </c>
      <c r="C874" t="s">
        <v>120</v>
      </c>
      <c r="D874">
        <v>12311</v>
      </c>
      <c r="E874" t="s">
        <v>378</v>
      </c>
    </row>
    <row r="875" spans="1:5" x14ac:dyDescent="0.25">
      <c r="A875" s="279">
        <v>38993</v>
      </c>
      <c r="B875" t="s">
        <v>338</v>
      </c>
      <c r="C875" t="s">
        <v>121</v>
      </c>
      <c r="D875">
        <v>0</v>
      </c>
      <c r="E875" t="s">
        <v>380</v>
      </c>
    </row>
    <row r="876" spans="1:5" x14ac:dyDescent="0.25">
      <c r="A876" s="279">
        <v>38993</v>
      </c>
      <c r="B876" t="s">
        <v>338</v>
      </c>
      <c r="C876" t="s">
        <v>67</v>
      </c>
      <c r="D876">
        <v>0</v>
      </c>
      <c r="E876" t="s">
        <v>378</v>
      </c>
    </row>
    <row r="877" spans="1:5" x14ac:dyDescent="0.25">
      <c r="A877" s="279">
        <v>38993</v>
      </c>
      <c r="B877" t="s">
        <v>338</v>
      </c>
      <c r="C877" t="s">
        <v>68</v>
      </c>
      <c r="D877">
        <v>0</v>
      </c>
      <c r="E877" t="s">
        <v>380</v>
      </c>
    </row>
    <row r="878" spans="1:5" x14ac:dyDescent="0.25">
      <c r="A878" s="279">
        <v>38993</v>
      </c>
      <c r="B878" t="s">
        <v>338</v>
      </c>
      <c r="C878" t="s">
        <v>69</v>
      </c>
      <c r="D878">
        <v>0</v>
      </c>
      <c r="E878" t="s">
        <v>379</v>
      </c>
    </row>
    <row r="879" spans="1:5" x14ac:dyDescent="0.25">
      <c r="A879" s="279">
        <v>38993</v>
      </c>
      <c r="B879" t="s">
        <v>338</v>
      </c>
      <c r="C879" t="s">
        <v>70</v>
      </c>
      <c r="D879">
        <v>0</v>
      </c>
      <c r="E879" t="s">
        <v>379</v>
      </c>
    </row>
    <row r="880" spans="1:5" x14ac:dyDescent="0.25">
      <c r="A880" s="279">
        <v>38993</v>
      </c>
      <c r="B880" t="s">
        <v>338</v>
      </c>
      <c r="C880" t="s">
        <v>80</v>
      </c>
      <c r="D880">
        <v>148</v>
      </c>
      <c r="E880" t="s">
        <v>379</v>
      </c>
    </row>
    <row r="881" spans="1:5" x14ac:dyDescent="0.25">
      <c r="A881" s="279">
        <v>38993</v>
      </c>
      <c r="B881" t="s">
        <v>339</v>
      </c>
      <c r="C881" t="s">
        <v>71</v>
      </c>
      <c r="D881">
        <v>1833</v>
      </c>
      <c r="E881" t="s">
        <v>378</v>
      </c>
    </row>
    <row r="882" spans="1:5" x14ac:dyDescent="0.25">
      <c r="A882" s="279">
        <v>38993</v>
      </c>
      <c r="B882" t="s">
        <v>339</v>
      </c>
      <c r="C882" t="s">
        <v>72</v>
      </c>
      <c r="D882">
        <v>0</v>
      </c>
      <c r="E882" t="s">
        <v>380</v>
      </c>
    </row>
    <row r="883" spans="1:5" x14ac:dyDescent="0.25">
      <c r="A883" s="279">
        <v>38993</v>
      </c>
      <c r="B883" t="s">
        <v>339</v>
      </c>
      <c r="C883" t="s">
        <v>73</v>
      </c>
      <c r="D883">
        <v>13514</v>
      </c>
      <c r="E883" t="s">
        <v>378</v>
      </c>
    </row>
    <row r="884" spans="1:5" x14ac:dyDescent="0.25">
      <c r="A884" s="279">
        <v>38993</v>
      </c>
      <c r="B884" t="s">
        <v>339</v>
      </c>
      <c r="C884" t="s">
        <v>74</v>
      </c>
      <c r="D884">
        <v>0</v>
      </c>
      <c r="E884" t="s">
        <v>380</v>
      </c>
    </row>
    <row r="885" spans="1:5" x14ac:dyDescent="0.25">
      <c r="A885" s="279">
        <v>38993</v>
      </c>
      <c r="B885" t="s">
        <v>339</v>
      </c>
      <c r="C885" t="s">
        <v>75</v>
      </c>
      <c r="D885">
        <v>15035</v>
      </c>
      <c r="E885" t="s">
        <v>378</v>
      </c>
    </row>
    <row r="886" spans="1:5" x14ac:dyDescent="0.25">
      <c r="A886" s="279">
        <v>38993</v>
      </c>
      <c r="B886" t="s">
        <v>339</v>
      </c>
      <c r="C886" t="s">
        <v>76</v>
      </c>
      <c r="D886">
        <v>5773</v>
      </c>
      <c r="E886" t="s">
        <v>380</v>
      </c>
    </row>
    <row r="887" spans="1:5" x14ac:dyDescent="0.25">
      <c r="A887" s="279">
        <v>38993</v>
      </c>
      <c r="B887" t="s">
        <v>339</v>
      </c>
      <c r="C887" t="s">
        <v>77</v>
      </c>
      <c r="D887">
        <v>7282</v>
      </c>
      <c r="E887" t="s">
        <v>378</v>
      </c>
    </row>
    <row r="888" spans="1:5" x14ac:dyDescent="0.25">
      <c r="A888" s="279">
        <v>38993</v>
      </c>
      <c r="B888" t="s">
        <v>339</v>
      </c>
      <c r="C888" t="s">
        <v>78</v>
      </c>
      <c r="D888">
        <v>7014</v>
      </c>
      <c r="E888" t="s">
        <v>380</v>
      </c>
    </row>
    <row r="889" spans="1:5" x14ac:dyDescent="0.25">
      <c r="A889" s="279">
        <v>38993</v>
      </c>
      <c r="B889" t="s">
        <v>339</v>
      </c>
      <c r="C889" t="s">
        <v>79</v>
      </c>
      <c r="D889">
        <v>101178</v>
      </c>
      <c r="E889" t="s">
        <v>379</v>
      </c>
    </row>
    <row r="890" spans="1:5" x14ac:dyDescent="0.25">
      <c r="A890" s="279">
        <v>38993</v>
      </c>
      <c r="B890" t="s">
        <v>339</v>
      </c>
      <c r="C890" t="s">
        <v>70</v>
      </c>
      <c r="D890">
        <v>0</v>
      </c>
      <c r="E890" t="s">
        <v>379</v>
      </c>
    </row>
    <row r="891" spans="1:5" x14ac:dyDescent="0.25">
      <c r="A891" s="279">
        <v>38993</v>
      </c>
      <c r="B891" t="s">
        <v>339</v>
      </c>
      <c r="C891" t="s">
        <v>63</v>
      </c>
      <c r="D891">
        <v>14364</v>
      </c>
      <c r="E891" t="s">
        <v>378</v>
      </c>
    </row>
    <row r="892" spans="1:5" x14ac:dyDescent="0.25">
      <c r="A892" s="279">
        <v>38993</v>
      </c>
      <c r="B892" t="s">
        <v>339</v>
      </c>
      <c r="C892" t="s">
        <v>80</v>
      </c>
      <c r="D892">
        <v>664</v>
      </c>
      <c r="E892" t="s">
        <v>379</v>
      </c>
    </row>
    <row r="893" spans="1:5" x14ac:dyDescent="0.25">
      <c r="A893" s="279">
        <v>38994</v>
      </c>
      <c r="B893" t="s">
        <v>338</v>
      </c>
      <c r="C893" t="s">
        <v>59</v>
      </c>
      <c r="D893">
        <v>2610</v>
      </c>
      <c r="E893" t="s">
        <v>378</v>
      </c>
    </row>
    <row r="894" spans="1:5" x14ac:dyDescent="0.25">
      <c r="A894" s="279">
        <v>38994</v>
      </c>
      <c r="B894" t="s">
        <v>338</v>
      </c>
      <c r="C894" t="s">
        <v>60</v>
      </c>
      <c r="D894">
        <v>0</v>
      </c>
      <c r="E894" t="s">
        <v>379</v>
      </c>
    </row>
    <row r="895" spans="1:5" x14ac:dyDescent="0.25">
      <c r="A895" s="279">
        <v>38994</v>
      </c>
      <c r="B895" t="s">
        <v>338</v>
      </c>
      <c r="C895" t="s">
        <v>61</v>
      </c>
      <c r="D895">
        <v>3001</v>
      </c>
      <c r="E895" t="s">
        <v>378</v>
      </c>
    </row>
    <row r="896" spans="1:5" x14ac:dyDescent="0.25">
      <c r="A896" s="279">
        <v>38994</v>
      </c>
      <c r="B896" t="s">
        <v>338</v>
      </c>
      <c r="C896" t="s">
        <v>62</v>
      </c>
      <c r="D896">
        <v>0</v>
      </c>
      <c r="E896" t="s">
        <v>380</v>
      </c>
    </row>
    <row r="897" spans="1:5" x14ac:dyDescent="0.25">
      <c r="A897" s="279">
        <v>38994</v>
      </c>
      <c r="B897" t="s">
        <v>338</v>
      </c>
      <c r="C897" t="s">
        <v>63</v>
      </c>
      <c r="D897">
        <v>0</v>
      </c>
      <c r="E897" t="s">
        <v>378</v>
      </c>
    </row>
    <row r="898" spans="1:5" x14ac:dyDescent="0.25">
      <c r="A898" s="279">
        <v>38994</v>
      </c>
      <c r="B898" t="s">
        <v>338</v>
      </c>
      <c r="C898" t="s">
        <v>64</v>
      </c>
      <c r="D898">
        <v>0</v>
      </c>
      <c r="E898" t="s">
        <v>380</v>
      </c>
    </row>
    <row r="899" spans="1:5" x14ac:dyDescent="0.25">
      <c r="A899" s="279">
        <v>38994</v>
      </c>
      <c r="B899" t="s">
        <v>338</v>
      </c>
      <c r="C899" t="s">
        <v>65</v>
      </c>
      <c r="D899">
        <v>0</v>
      </c>
      <c r="E899" t="s">
        <v>378</v>
      </c>
    </row>
    <row r="900" spans="1:5" x14ac:dyDescent="0.25">
      <c r="A900" s="279">
        <v>38994</v>
      </c>
      <c r="B900" t="s">
        <v>338</v>
      </c>
      <c r="C900" t="s">
        <v>66</v>
      </c>
      <c r="D900">
        <v>0</v>
      </c>
      <c r="E900" t="s">
        <v>380</v>
      </c>
    </row>
    <row r="901" spans="1:5" x14ac:dyDescent="0.25">
      <c r="A901" s="279">
        <v>38994</v>
      </c>
      <c r="B901" t="s">
        <v>338</v>
      </c>
      <c r="C901" t="s">
        <v>120</v>
      </c>
      <c r="D901">
        <v>12263</v>
      </c>
      <c r="E901" t="s">
        <v>378</v>
      </c>
    </row>
    <row r="902" spans="1:5" x14ac:dyDescent="0.25">
      <c r="A902" s="279">
        <v>38994</v>
      </c>
      <c r="B902" t="s">
        <v>338</v>
      </c>
      <c r="C902" t="s">
        <v>121</v>
      </c>
      <c r="D902">
        <v>0</v>
      </c>
      <c r="E902" t="s">
        <v>380</v>
      </c>
    </row>
    <row r="903" spans="1:5" x14ac:dyDescent="0.25">
      <c r="A903" s="279">
        <v>38994</v>
      </c>
      <c r="B903" t="s">
        <v>338</v>
      </c>
      <c r="C903" t="s">
        <v>67</v>
      </c>
      <c r="D903">
        <v>0</v>
      </c>
      <c r="E903" t="s">
        <v>378</v>
      </c>
    </row>
    <row r="904" spans="1:5" x14ac:dyDescent="0.25">
      <c r="A904" s="279">
        <v>38994</v>
      </c>
      <c r="B904" t="s">
        <v>338</v>
      </c>
      <c r="C904" t="s">
        <v>68</v>
      </c>
      <c r="D904">
        <v>0</v>
      </c>
      <c r="E904" t="s">
        <v>380</v>
      </c>
    </row>
    <row r="905" spans="1:5" x14ac:dyDescent="0.25">
      <c r="A905" s="279">
        <v>38994</v>
      </c>
      <c r="B905" t="s">
        <v>338</v>
      </c>
      <c r="C905" t="s">
        <v>69</v>
      </c>
      <c r="D905">
        <v>0</v>
      </c>
      <c r="E905" t="s">
        <v>379</v>
      </c>
    </row>
    <row r="906" spans="1:5" x14ac:dyDescent="0.25">
      <c r="A906" s="279">
        <v>38994</v>
      </c>
      <c r="B906" t="s">
        <v>338</v>
      </c>
      <c r="C906" t="s">
        <v>70</v>
      </c>
      <c r="D906">
        <v>0</v>
      </c>
      <c r="E906" t="s">
        <v>379</v>
      </c>
    </row>
    <row r="907" spans="1:5" x14ac:dyDescent="0.25">
      <c r="A907" s="279">
        <v>38994</v>
      </c>
      <c r="B907" t="s">
        <v>338</v>
      </c>
      <c r="C907" t="s">
        <v>80</v>
      </c>
      <c r="D907">
        <v>145</v>
      </c>
      <c r="E907" t="s">
        <v>379</v>
      </c>
    </row>
    <row r="908" spans="1:5" x14ac:dyDescent="0.25">
      <c r="A908" s="279">
        <v>38994</v>
      </c>
      <c r="B908" t="s">
        <v>339</v>
      </c>
      <c r="C908" t="s">
        <v>71</v>
      </c>
      <c r="D908">
        <v>1834</v>
      </c>
      <c r="E908" t="s">
        <v>378</v>
      </c>
    </row>
    <row r="909" spans="1:5" x14ac:dyDescent="0.25">
      <c r="A909" s="279">
        <v>38994</v>
      </c>
      <c r="B909" t="s">
        <v>339</v>
      </c>
      <c r="C909" t="s">
        <v>72</v>
      </c>
      <c r="D909">
        <v>0</v>
      </c>
      <c r="E909" t="s">
        <v>380</v>
      </c>
    </row>
    <row r="910" spans="1:5" x14ac:dyDescent="0.25">
      <c r="A910" s="279">
        <v>38994</v>
      </c>
      <c r="B910" t="s">
        <v>339</v>
      </c>
      <c r="C910" t="s">
        <v>73</v>
      </c>
      <c r="D910">
        <v>13527</v>
      </c>
      <c r="E910" t="s">
        <v>378</v>
      </c>
    </row>
    <row r="911" spans="1:5" x14ac:dyDescent="0.25">
      <c r="A911" s="279">
        <v>38994</v>
      </c>
      <c r="B911" t="s">
        <v>339</v>
      </c>
      <c r="C911" t="s">
        <v>74</v>
      </c>
      <c r="D911">
        <v>0</v>
      </c>
      <c r="E911" t="s">
        <v>380</v>
      </c>
    </row>
    <row r="912" spans="1:5" x14ac:dyDescent="0.25">
      <c r="A912" s="279">
        <v>38994</v>
      </c>
      <c r="B912" t="s">
        <v>339</v>
      </c>
      <c r="C912" t="s">
        <v>75</v>
      </c>
      <c r="D912">
        <v>15050</v>
      </c>
      <c r="E912" t="s">
        <v>378</v>
      </c>
    </row>
    <row r="913" spans="1:5" x14ac:dyDescent="0.25">
      <c r="A913" s="279">
        <v>38994</v>
      </c>
      <c r="B913" t="s">
        <v>339</v>
      </c>
      <c r="C913" t="s">
        <v>76</v>
      </c>
      <c r="D913">
        <v>8625</v>
      </c>
      <c r="E913" t="s">
        <v>380</v>
      </c>
    </row>
    <row r="914" spans="1:5" x14ac:dyDescent="0.25">
      <c r="A914" s="279">
        <v>38994</v>
      </c>
      <c r="B914" t="s">
        <v>339</v>
      </c>
      <c r="C914" t="s">
        <v>77</v>
      </c>
      <c r="D914">
        <v>7289</v>
      </c>
      <c r="E914" t="s">
        <v>378</v>
      </c>
    </row>
    <row r="915" spans="1:5" x14ac:dyDescent="0.25">
      <c r="A915" s="279">
        <v>38994</v>
      </c>
      <c r="B915" t="s">
        <v>339</v>
      </c>
      <c r="C915" t="s">
        <v>78</v>
      </c>
      <c r="D915">
        <v>7021</v>
      </c>
      <c r="E915" t="s">
        <v>380</v>
      </c>
    </row>
    <row r="916" spans="1:5" x14ac:dyDescent="0.25">
      <c r="A916" s="279">
        <v>38994</v>
      </c>
      <c r="B916" t="s">
        <v>339</v>
      </c>
      <c r="C916" t="s">
        <v>79</v>
      </c>
      <c r="D916">
        <v>97607</v>
      </c>
      <c r="E916" t="s">
        <v>379</v>
      </c>
    </row>
    <row r="917" spans="1:5" x14ac:dyDescent="0.25">
      <c r="A917" s="279">
        <v>38994</v>
      </c>
      <c r="B917" t="s">
        <v>339</v>
      </c>
      <c r="C917" t="s">
        <v>70</v>
      </c>
      <c r="D917">
        <v>0</v>
      </c>
      <c r="E917" t="s">
        <v>379</v>
      </c>
    </row>
    <row r="918" spans="1:5" x14ac:dyDescent="0.25">
      <c r="A918" s="279">
        <v>38994</v>
      </c>
      <c r="B918" t="s">
        <v>339</v>
      </c>
      <c r="C918" t="s">
        <v>63</v>
      </c>
      <c r="D918">
        <v>14378</v>
      </c>
      <c r="E918" t="s">
        <v>378</v>
      </c>
    </row>
    <row r="919" spans="1:5" x14ac:dyDescent="0.25">
      <c r="A919" s="279">
        <v>38994</v>
      </c>
      <c r="B919" t="s">
        <v>339</v>
      </c>
      <c r="C919" t="s">
        <v>80</v>
      </c>
      <c r="D919">
        <v>665</v>
      </c>
      <c r="E919" t="s">
        <v>379</v>
      </c>
    </row>
    <row r="920" spans="1:5" x14ac:dyDescent="0.25">
      <c r="A920" s="279">
        <v>38995</v>
      </c>
      <c r="B920" t="s">
        <v>338</v>
      </c>
      <c r="C920" t="s">
        <v>59</v>
      </c>
      <c r="D920">
        <v>2613</v>
      </c>
      <c r="E920" t="s">
        <v>378</v>
      </c>
    </row>
    <row r="921" spans="1:5" x14ac:dyDescent="0.25">
      <c r="A921" s="279">
        <v>38995</v>
      </c>
      <c r="B921" t="s">
        <v>338</v>
      </c>
      <c r="C921" t="s">
        <v>60</v>
      </c>
      <c r="D921">
        <v>0</v>
      </c>
      <c r="E921" t="s">
        <v>379</v>
      </c>
    </row>
    <row r="922" spans="1:5" x14ac:dyDescent="0.25">
      <c r="A922" s="279">
        <v>38995</v>
      </c>
      <c r="B922" t="s">
        <v>338</v>
      </c>
      <c r="C922" t="s">
        <v>61</v>
      </c>
      <c r="D922">
        <v>2816</v>
      </c>
      <c r="E922" t="s">
        <v>378</v>
      </c>
    </row>
    <row r="923" spans="1:5" x14ac:dyDescent="0.25">
      <c r="A923" s="279">
        <v>38995</v>
      </c>
      <c r="B923" t="s">
        <v>338</v>
      </c>
      <c r="C923" t="s">
        <v>62</v>
      </c>
      <c r="D923">
        <v>0</v>
      </c>
      <c r="E923" t="s">
        <v>380</v>
      </c>
    </row>
    <row r="924" spans="1:5" x14ac:dyDescent="0.25">
      <c r="A924" s="279">
        <v>38995</v>
      </c>
      <c r="B924" t="s">
        <v>338</v>
      </c>
      <c r="C924" t="s">
        <v>63</v>
      </c>
      <c r="D924">
        <v>0</v>
      </c>
      <c r="E924" t="s">
        <v>378</v>
      </c>
    </row>
    <row r="925" spans="1:5" x14ac:dyDescent="0.25">
      <c r="A925" s="279">
        <v>38995</v>
      </c>
      <c r="B925" t="s">
        <v>338</v>
      </c>
      <c r="C925" t="s">
        <v>64</v>
      </c>
      <c r="D925">
        <v>0</v>
      </c>
      <c r="E925" t="s">
        <v>380</v>
      </c>
    </row>
    <row r="926" spans="1:5" x14ac:dyDescent="0.25">
      <c r="A926" s="279">
        <v>38995</v>
      </c>
      <c r="B926" t="s">
        <v>338</v>
      </c>
      <c r="C926" t="s">
        <v>65</v>
      </c>
      <c r="D926">
        <v>0</v>
      </c>
      <c r="E926" t="s">
        <v>378</v>
      </c>
    </row>
    <row r="927" spans="1:5" x14ac:dyDescent="0.25">
      <c r="A927" s="279">
        <v>38995</v>
      </c>
      <c r="B927" t="s">
        <v>338</v>
      </c>
      <c r="C927" t="s">
        <v>66</v>
      </c>
      <c r="D927">
        <v>0</v>
      </c>
      <c r="E927" t="s">
        <v>380</v>
      </c>
    </row>
    <row r="928" spans="1:5" x14ac:dyDescent="0.25">
      <c r="A928" s="279">
        <v>38995</v>
      </c>
      <c r="B928" t="s">
        <v>338</v>
      </c>
      <c r="C928" t="s">
        <v>120</v>
      </c>
      <c r="D928">
        <v>12275</v>
      </c>
      <c r="E928" t="s">
        <v>378</v>
      </c>
    </row>
    <row r="929" spans="1:5" x14ac:dyDescent="0.25">
      <c r="A929" s="279">
        <v>38995</v>
      </c>
      <c r="B929" t="s">
        <v>338</v>
      </c>
      <c r="C929" t="s">
        <v>121</v>
      </c>
      <c r="D929">
        <v>0</v>
      </c>
      <c r="E929" t="s">
        <v>380</v>
      </c>
    </row>
    <row r="930" spans="1:5" x14ac:dyDescent="0.25">
      <c r="A930" s="279">
        <v>38995</v>
      </c>
      <c r="B930" t="s">
        <v>338</v>
      </c>
      <c r="C930" t="s">
        <v>67</v>
      </c>
      <c r="D930">
        <v>0</v>
      </c>
      <c r="E930" t="s">
        <v>378</v>
      </c>
    </row>
    <row r="931" spans="1:5" x14ac:dyDescent="0.25">
      <c r="A931" s="279">
        <v>38995</v>
      </c>
      <c r="B931" t="s">
        <v>338</v>
      </c>
      <c r="C931" t="s">
        <v>68</v>
      </c>
      <c r="D931">
        <v>0</v>
      </c>
      <c r="E931" t="s">
        <v>380</v>
      </c>
    </row>
    <row r="932" spans="1:5" x14ac:dyDescent="0.25">
      <c r="A932" s="279">
        <v>38995</v>
      </c>
      <c r="B932" t="s">
        <v>338</v>
      </c>
      <c r="C932" t="s">
        <v>69</v>
      </c>
      <c r="D932">
        <v>0</v>
      </c>
      <c r="E932" t="s">
        <v>379</v>
      </c>
    </row>
    <row r="933" spans="1:5" x14ac:dyDescent="0.25">
      <c r="A933" s="279">
        <v>38995</v>
      </c>
      <c r="B933" t="s">
        <v>338</v>
      </c>
      <c r="C933" t="s">
        <v>70</v>
      </c>
      <c r="D933">
        <v>0</v>
      </c>
      <c r="E933" t="s">
        <v>379</v>
      </c>
    </row>
    <row r="934" spans="1:5" x14ac:dyDescent="0.25">
      <c r="A934" s="279">
        <v>38995</v>
      </c>
      <c r="B934" t="s">
        <v>338</v>
      </c>
      <c r="C934" t="s">
        <v>80</v>
      </c>
      <c r="D934">
        <v>144</v>
      </c>
      <c r="E934" t="s">
        <v>379</v>
      </c>
    </row>
    <row r="935" spans="1:5" x14ac:dyDescent="0.25">
      <c r="A935" s="279">
        <v>38995</v>
      </c>
      <c r="B935" t="s">
        <v>339</v>
      </c>
      <c r="C935" t="s">
        <v>71</v>
      </c>
      <c r="D935">
        <v>1841</v>
      </c>
      <c r="E935" t="s">
        <v>378</v>
      </c>
    </row>
    <row r="936" spans="1:5" x14ac:dyDescent="0.25">
      <c r="A936" s="279">
        <v>38995</v>
      </c>
      <c r="B936" t="s">
        <v>339</v>
      </c>
      <c r="C936" t="s">
        <v>72</v>
      </c>
      <c r="D936">
        <v>0</v>
      </c>
      <c r="E936" t="s">
        <v>380</v>
      </c>
    </row>
    <row r="937" spans="1:5" x14ac:dyDescent="0.25">
      <c r="A937" s="279">
        <v>38995</v>
      </c>
      <c r="B937" t="s">
        <v>339</v>
      </c>
      <c r="C937" t="s">
        <v>73</v>
      </c>
      <c r="D937">
        <v>13579</v>
      </c>
      <c r="E937" t="s">
        <v>378</v>
      </c>
    </row>
    <row r="938" spans="1:5" x14ac:dyDescent="0.25">
      <c r="A938" s="279">
        <v>38995</v>
      </c>
      <c r="B938" t="s">
        <v>339</v>
      </c>
      <c r="C938" t="s">
        <v>74</v>
      </c>
      <c r="D938">
        <v>0</v>
      </c>
      <c r="E938" t="s">
        <v>380</v>
      </c>
    </row>
    <row r="939" spans="1:5" x14ac:dyDescent="0.25">
      <c r="A939" s="279">
        <v>38995</v>
      </c>
      <c r="B939" t="s">
        <v>339</v>
      </c>
      <c r="C939" t="s">
        <v>75</v>
      </c>
      <c r="D939">
        <v>15108</v>
      </c>
      <c r="E939" t="s">
        <v>378</v>
      </c>
    </row>
    <row r="940" spans="1:5" x14ac:dyDescent="0.25">
      <c r="A940" s="279">
        <v>38995</v>
      </c>
      <c r="B940" t="s">
        <v>339</v>
      </c>
      <c r="C940" t="s">
        <v>76</v>
      </c>
      <c r="D940">
        <v>0</v>
      </c>
      <c r="E940" t="s">
        <v>380</v>
      </c>
    </row>
    <row r="941" spans="1:5" x14ac:dyDescent="0.25">
      <c r="A941" s="279">
        <v>38995</v>
      </c>
      <c r="B941" t="s">
        <v>339</v>
      </c>
      <c r="C941" t="s">
        <v>77</v>
      </c>
      <c r="D941">
        <v>7317</v>
      </c>
      <c r="E941" t="s">
        <v>378</v>
      </c>
    </row>
    <row r="942" spans="1:5" x14ac:dyDescent="0.25">
      <c r="A942" s="279">
        <v>38995</v>
      </c>
      <c r="B942" t="s">
        <v>339</v>
      </c>
      <c r="C942" t="s">
        <v>78</v>
      </c>
      <c r="D942">
        <v>4133</v>
      </c>
      <c r="E942" t="s">
        <v>380</v>
      </c>
    </row>
    <row r="943" spans="1:5" x14ac:dyDescent="0.25">
      <c r="A943" s="279">
        <v>38995</v>
      </c>
      <c r="B943" t="s">
        <v>339</v>
      </c>
      <c r="C943" t="s">
        <v>79</v>
      </c>
      <c r="D943">
        <v>119258</v>
      </c>
      <c r="E943" t="s">
        <v>379</v>
      </c>
    </row>
    <row r="944" spans="1:5" x14ac:dyDescent="0.25">
      <c r="A944" s="279">
        <v>38995</v>
      </c>
      <c r="B944" t="s">
        <v>339</v>
      </c>
      <c r="C944" t="s">
        <v>70</v>
      </c>
      <c r="D944">
        <v>0</v>
      </c>
      <c r="E944" t="s">
        <v>379</v>
      </c>
    </row>
    <row r="945" spans="1:5" x14ac:dyDescent="0.25">
      <c r="A945" s="279">
        <v>38995</v>
      </c>
      <c r="B945" t="s">
        <v>339</v>
      </c>
      <c r="C945" t="s">
        <v>63</v>
      </c>
      <c r="D945">
        <v>14434</v>
      </c>
      <c r="E945" t="s">
        <v>378</v>
      </c>
    </row>
    <row r="946" spans="1:5" x14ac:dyDescent="0.25">
      <c r="A946" s="279">
        <v>38995</v>
      </c>
      <c r="B946" t="s">
        <v>339</v>
      </c>
      <c r="C946" t="s">
        <v>80</v>
      </c>
      <c r="D946">
        <v>668</v>
      </c>
      <c r="E946" t="s">
        <v>379</v>
      </c>
    </row>
    <row r="947" spans="1:5" x14ac:dyDescent="0.25">
      <c r="A947" s="279">
        <v>38996</v>
      </c>
      <c r="B947" t="s">
        <v>338</v>
      </c>
      <c r="C947" t="s">
        <v>59</v>
      </c>
      <c r="D947">
        <v>2610</v>
      </c>
      <c r="E947" t="s">
        <v>378</v>
      </c>
    </row>
    <row r="948" spans="1:5" x14ac:dyDescent="0.25">
      <c r="A948" s="279">
        <v>38996</v>
      </c>
      <c r="B948" t="s">
        <v>338</v>
      </c>
      <c r="C948" t="s">
        <v>60</v>
      </c>
      <c r="D948">
        <v>0</v>
      </c>
      <c r="E948" t="s">
        <v>379</v>
      </c>
    </row>
    <row r="949" spans="1:5" x14ac:dyDescent="0.25">
      <c r="A949" s="279">
        <v>38996</v>
      </c>
      <c r="B949" t="s">
        <v>338</v>
      </c>
      <c r="C949" t="s">
        <v>61</v>
      </c>
      <c r="D949">
        <v>2278</v>
      </c>
      <c r="E949" t="s">
        <v>378</v>
      </c>
    </row>
    <row r="950" spans="1:5" x14ac:dyDescent="0.25">
      <c r="A950" s="279">
        <v>38996</v>
      </c>
      <c r="B950" t="s">
        <v>338</v>
      </c>
      <c r="C950" t="s">
        <v>62</v>
      </c>
      <c r="D950">
        <v>0</v>
      </c>
      <c r="E950" t="s">
        <v>380</v>
      </c>
    </row>
    <row r="951" spans="1:5" x14ac:dyDescent="0.25">
      <c r="A951" s="279">
        <v>38996</v>
      </c>
      <c r="B951" t="s">
        <v>338</v>
      </c>
      <c r="C951" t="s">
        <v>63</v>
      </c>
      <c r="D951">
        <v>0</v>
      </c>
      <c r="E951" t="s">
        <v>378</v>
      </c>
    </row>
    <row r="952" spans="1:5" x14ac:dyDescent="0.25">
      <c r="A952" s="279">
        <v>38996</v>
      </c>
      <c r="B952" t="s">
        <v>338</v>
      </c>
      <c r="C952" t="s">
        <v>64</v>
      </c>
      <c r="D952">
        <v>0</v>
      </c>
      <c r="E952" t="s">
        <v>380</v>
      </c>
    </row>
    <row r="953" spans="1:5" x14ac:dyDescent="0.25">
      <c r="A953" s="279">
        <v>38996</v>
      </c>
      <c r="B953" t="s">
        <v>338</v>
      </c>
      <c r="C953" t="s">
        <v>65</v>
      </c>
      <c r="D953">
        <v>0</v>
      </c>
      <c r="E953" t="s">
        <v>378</v>
      </c>
    </row>
    <row r="954" spans="1:5" x14ac:dyDescent="0.25">
      <c r="A954" s="279">
        <v>38996</v>
      </c>
      <c r="B954" t="s">
        <v>338</v>
      </c>
      <c r="C954" t="s">
        <v>66</v>
      </c>
      <c r="D954">
        <v>0</v>
      </c>
      <c r="E954" t="s">
        <v>380</v>
      </c>
    </row>
    <row r="955" spans="1:5" x14ac:dyDescent="0.25">
      <c r="A955" s="279">
        <v>38996</v>
      </c>
      <c r="B955" t="s">
        <v>338</v>
      </c>
      <c r="C955" t="s">
        <v>120</v>
      </c>
      <c r="D955">
        <v>12263</v>
      </c>
      <c r="E955" t="s">
        <v>378</v>
      </c>
    </row>
    <row r="956" spans="1:5" x14ac:dyDescent="0.25">
      <c r="A956" s="279">
        <v>38996</v>
      </c>
      <c r="B956" t="s">
        <v>338</v>
      </c>
      <c r="C956" t="s">
        <v>121</v>
      </c>
      <c r="D956">
        <v>0</v>
      </c>
      <c r="E956" t="s">
        <v>380</v>
      </c>
    </row>
    <row r="957" spans="1:5" x14ac:dyDescent="0.25">
      <c r="A957" s="279">
        <v>38996</v>
      </c>
      <c r="B957" t="s">
        <v>338</v>
      </c>
      <c r="C957" t="s">
        <v>67</v>
      </c>
      <c r="D957">
        <v>0</v>
      </c>
      <c r="E957" t="s">
        <v>378</v>
      </c>
    </row>
    <row r="958" spans="1:5" x14ac:dyDescent="0.25">
      <c r="A958" s="279">
        <v>38996</v>
      </c>
      <c r="B958" t="s">
        <v>338</v>
      </c>
      <c r="C958" t="s">
        <v>68</v>
      </c>
      <c r="D958">
        <v>0</v>
      </c>
      <c r="E958" t="s">
        <v>380</v>
      </c>
    </row>
    <row r="959" spans="1:5" x14ac:dyDescent="0.25">
      <c r="A959" s="279">
        <v>38996</v>
      </c>
      <c r="B959" t="s">
        <v>338</v>
      </c>
      <c r="C959" t="s">
        <v>69</v>
      </c>
      <c r="D959">
        <v>0</v>
      </c>
      <c r="E959" t="s">
        <v>379</v>
      </c>
    </row>
    <row r="960" spans="1:5" x14ac:dyDescent="0.25">
      <c r="A960" s="279">
        <v>38996</v>
      </c>
      <c r="B960" t="s">
        <v>338</v>
      </c>
      <c r="C960" t="s">
        <v>70</v>
      </c>
      <c r="D960">
        <v>0</v>
      </c>
      <c r="E960" t="s">
        <v>379</v>
      </c>
    </row>
    <row r="961" spans="1:5" x14ac:dyDescent="0.25">
      <c r="A961" s="279">
        <v>38996</v>
      </c>
      <c r="B961" t="s">
        <v>338</v>
      </c>
      <c r="C961" t="s">
        <v>80</v>
      </c>
      <c r="D961">
        <v>139</v>
      </c>
      <c r="E961" t="s">
        <v>379</v>
      </c>
    </row>
    <row r="962" spans="1:5" x14ac:dyDescent="0.25">
      <c r="A962" s="279">
        <v>38996</v>
      </c>
      <c r="B962" t="s">
        <v>339</v>
      </c>
      <c r="C962" t="s">
        <v>71</v>
      </c>
      <c r="D962">
        <v>3508</v>
      </c>
      <c r="E962" t="s">
        <v>378</v>
      </c>
    </row>
    <row r="963" spans="1:5" x14ac:dyDescent="0.25">
      <c r="A963" s="279">
        <v>38996</v>
      </c>
      <c r="B963" t="s">
        <v>339</v>
      </c>
      <c r="C963" t="s">
        <v>72</v>
      </c>
      <c r="D963">
        <v>0</v>
      </c>
      <c r="E963" t="s">
        <v>380</v>
      </c>
    </row>
    <row r="964" spans="1:5" x14ac:dyDescent="0.25">
      <c r="A964" s="279">
        <v>38996</v>
      </c>
      <c r="B964" t="s">
        <v>339</v>
      </c>
      <c r="C964" t="s">
        <v>73</v>
      </c>
      <c r="D964">
        <v>13553</v>
      </c>
      <c r="E964" t="s">
        <v>378</v>
      </c>
    </row>
    <row r="965" spans="1:5" x14ac:dyDescent="0.25">
      <c r="A965" s="279">
        <v>38996</v>
      </c>
      <c r="B965" t="s">
        <v>339</v>
      </c>
      <c r="C965" t="s">
        <v>74</v>
      </c>
      <c r="D965">
        <v>0</v>
      </c>
      <c r="E965" t="s">
        <v>380</v>
      </c>
    </row>
    <row r="966" spans="1:5" x14ac:dyDescent="0.25">
      <c r="A966" s="279">
        <v>38996</v>
      </c>
      <c r="B966" t="s">
        <v>339</v>
      </c>
      <c r="C966" t="s">
        <v>75</v>
      </c>
      <c r="D966">
        <v>15079</v>
      </c>
      <c r="E966" t="s">
        <v>378</v>
      </c>
    </row>
    <row r="967" spans="1:5" x14ac:dyDescent="0.25">
      <c r="A967" s="279">
        <v>38996</v>
      </c>
      <c r="B967" t="s">
        <v>339</v>
      </c>
      <c r="C967" t="s">
        <v>76</v>
      </c>
      <c r="D967">
        <v>0</v>
      </c>
      <c r="E967" t="s">
        <v>380</v>
      </c>
    </row>
    <row r="968" spans="1:5" x14ac:dyDescent="0.25">
      <c r="A968" s="279">
        <v>38996</v>
      </c>
      <c r="B968" t="s">
        <v>339</v>
      </c>
      <c r="C968" t="s">
        <v>77</v>
      </c>
      <c r="D968">
        <v>7303</v>
      </c>
      <c r="E968" t="s">
        <v>378</v>
      </c>
    </row>
    <row r="969" spans="1:5" x14ac:dyDescent="0.25">
      <c r="A969" s="279">
        <v>38996</v>
      </c>
      <c r="B969" t="s">
        <v>339</v>
      </c>
      <c r="C969" t="s">
        <v>78</v>
      </c>
      <c r="D969">
        <v>0</v>
      </c>
      <c r="E969" t="s">
        <v>380</v>
      </c>
    </row>
    <row r="970" spans="1:5" x14ac:dyDescent="0.25">
      <c r="A970" s="279">
        <v>38996</v>
      </c>
      <c r="B970" t="s">
        <v>339</v>
      </c>
      <c r="C970" t="s">
        <v>79</v>
      </c>
      <c r="D970">
        <v>131784</v>
      </c>
      <c r="E970" t="s">
        <v>379</v>
      </c>
    </row>
    <row r="971" spans="1:5" x14ac:dyDescent="0.25">
      <c r="A971" s="279">
        <v>38996</v>
      </c>
      <c r="B971" t="s">
        <v>339</v>
      </c>
      <c r="C971" t="s">
        <v>70</v>
      </c>
      <c r="D971">
        <v>0</v>
      </c>
      <c r="E971" t="s">
        <v>379</v>
      </c>
    </row>
    <row r="972" spans="1:5" x14ac:dyDescent="0.25">
      <c r="A972" s="279">
        <v>38996</v>
      </c>
      <c r="B972" t="s">
        <v>339</v>
      </c>
      <c r="C972" t="s">
        <v>63</v>
      </c>
      <c r="D972">
        <v>0</v>
      </c>
      <c r="E972" t="s">
        <v>378</v>
      </c>
    </row>
    <row r="973" spans="1:5" x14ac:dyDescent="0.25">
      <c r="A973" s="279">
        <v>38996</v>
      </c>
      <c r="B973" t="s">
        <v>339</v>
      </c>
      <c r="C973" t="s">
        <v>80</v>
      </c>
      <c r="D973">
        <v>681</v>
      </c>
      <c r="E973" t="s">
        <v>379</v>
      </c>
    </row>
    <row r="974" spans="1:5" x14ac:dyDescent="0.25">
      <c r="A974" s="279">
        <v>38997</v>
      </c>
      <c r="B974" t="s">
        <v>338</v>
      </c>
      <c r="C974" t="s">
        <v>59</v>
      </c>
      <c r="D974">
        <v>2610</v>
      </c>
      <c r="E974" t="s">
        <v>378</v>
      </c>
    </row>
    <row r="975" spans="1:5" x14ac:dyDescent="0.25">
      <c r="A975" s="279">
        <v>38997</v>
      </c>
      <c r="B975" t="s">
        <v>338</v>
      </c>
      <c r="C975" t="s">
        <v>60</v>
      </c>
      <c r="D975">
        <v>0</v>
      </c>
      <c r="E975" t="s">
        <v>379</v>
      </c>
    </row>
    <row r="976" spans="1:5" x14ac:dyDescent="0.25">
      <c r="A976" s="279">
        <v>38997</v>
      </c>
      <c r="B976" t="s">
        <v>338</v>
      </c>
      <c r="C976" t="s">
        <v>61</v>
      </c>
      <c r="D976">
        <v>2476</v>
      </c>
      <c r="E976" t="s">
        <v>378</v>
      </c>
    </row>
    <row r="977" spans="1:5" x14ac:dyDescent="0.25">
      <c r="A977" s="279">
        <v>38997</v>
      </c>
      <c r="B977" t="s">
        <v>338</v>
      </c>
      <c r="C977" t="s">
        <v>62</v>
      </c>
      <c r="D977">
        <v>0</v>
      </c>
      <c r="E977" t="s">
        <v>380</v>
      </c>
    </row>
    <row r="978" spans="1:5" x14ac:dyDescent="0.25">
      <c r="A978" s="279">
        <v>38997</v>
      </c>
      <c r="B978" t="s">
        <v>338</v>
      </c>
      <c r="C978" t="s">
        <v>63</v>
      </c>
      <c r="D978">
        <v>0</v>
      </c>
      <c r="E978" t="s">
        <v>378</v>
      </c>
    </row>
    <row r="979" spans="1:5" x14ac:dyDescent="0.25">
      <c r="A979" s="279">
        <v>38997</v>
      </c>
      <c r="B979" t="s">
        <v>338</v>
      </c>
      <c r="C979" t="s">
        <v>64</v>
      </c>
      <c r="D979">
        <v>0</v>
      </c>
      <c r="E979" t="s">
        <v>380</v>
      </c>
    </row>
    <row r="980" spans="1:5" x14ac:dyDescent="0.25">
      <c r="A980" s="279">
        <v>38997</v>
      </c>
      <c r="B980" t="s">
        <v>338</v>
      </c>
      <c r="C980" t="s">
        <v>65</v>
      </c>
      <c r="D980">
        <v>0</v>
      </c>
      <c r="E980" t="s">
        <v>378</v>
      </c>
    </row>
    <row r="981" spans="1:5" x14ac:dyDescent="0.25">
      <c r="A981" s="279">
        <v>38997</v>
      </c>
      <c r="B981" t="s">
        <v>338</v>
      </c>
      <c r="C981" t="s">
        <v>66</v>
      </c>
      <c r="D981">
        <v>0</v>
      </c>
      <c r="E981" t="s">
        <v>380</v>
      </c>
    </row>
    <row r="982" spans="1:5" x14ac:dyDescent="0.25">
      <c r="A982" s="279">
        <v>38997</v>
      </c>
      <c r="B982" t="s">
        <v>338</v>
      </c>
      <c r="C982" t="s">
        <v>120</v>
      </c>
      <c r="D982">
        <v>12263</v>
      </c>
      <c r="E982" t="s">
        <v>378</v>
      </c>
    </row>
    <row r="983" spans="1:5" x14ac:dyDescent="0.25">
      <c r="A983" s="279">
        <v>38997</v>
      </c>
      <c r="B983" t="s">
        <v>338</v>
      </c>
      <c r="C983" t="s">
        <v>121</v>
      </c>
      <c r="D983">
        <v>0</v>
      </c>
      <c r="E983" t="s">
        <v>380</v>
      </c>
    </row>
    <row r="984" spans="1:5" x14ac:dyDescent="0.25">
      <c r="A984" s="279">
        <v>38997</v>
      </c>
      <c r="B984" t="s">
        <v>338</v>
      </c>
      <c r="C984" t="s">
        <v>67</v>
      </c>
      <c r="D984">
        <v>0</v>
      </c>
      <c r="E984" t="s">
        <v>378</v>
      </c>
    </row>
    <row r="985" spans="1:5" x14ac:dyDescent="0.25">
      <c r="A985" s="279">
        <v>38997</v>
      </c>
      <c r="B985" t="s">
        <v>338</v>
      </c>
      <c r="C985" t="s">
        <v>68</v>
      </c>
      <c r="D985">
        <v>0</v>
      </c>
      <c r="E985" t="s">
        <v>380</v>
      </c>
    </row>
    <row r="986" spans="1:5" x14ac:dyDescent="0.25">
      <c r="A986" s="279">
        <v>38997</v>
      </c>
      <c r="B986" t="s">
        <v>338</v>
      </c>
      <c r="C986" t="s">
        <v>69</v>
      </c>
      <c r="D986">
        <v>0</v>
      </c>
      <c r="E986" t="s">
        <v>379</v>
      </c>
    </row>
    <row r="987" spans="1:5" x14ac:dyDescent="0.25">
      <c r="A987" s="279">
        <v>38997</v>
      </c>
      <c r="B987" t="s">
        <v>338</v>
      </c>
      <c r="C987" t="s">
        <v>70</v>
      </c>
      <c r="D987">
        <v>0</v>
      </c>
      <c r="E987" t="s">
        <v>379</v>
      </c>
    </row>
    <row r="988" spans="1:5" x14ac:dyDescent="0.25">
      <c r="A988" s="279">
        <v>38997</v>
      </c>
      <c r="B988" t="s">
        <v>338</v>
      </c>
      <c r="C988" t="s">
        <v>80</v>
      </c>
      <c r="D988">
        <v>141</v>
      </c>
      <c r="E988" t="s">
        <v>379</v>
      </c>
    </row>
    <row r="989" spans="1:5" x14ac:dyDescent="0.25">
      <c r="A989" s="279">
        <v>38997</v>
      </c>
      <c r="B989" t="s">
        <v>339</v>
      </c>
      <c r="C989" t="s">
        <v>71</v>
      </c>
      <c r="D989">
        <v>2676</v>
      </c>
      <c r="E989" t="s">
        <v>378</v>
      </c>
    </row>
    <row r="990" spans="1:5" x14ac:dyDescent="0.25">
      <c r="A990" s="279">
        <v>38997</v>
      </c>
      <c r="B990" t="s">
        <v>339</v>
      </c>
      <c r="C990" t="s">
        <v>72</v>
      </c>
      <c r="D990">
        <v>0</v>
      </c>
      <c r="E990" t="s">
        <v>380</v>
      </c>
    </row>
    <row r="991" spans="1:5" x14ac:dyDescent="0.25">
      <c r="A991" s="279">
        <v>38997</v>
      </c>
      <c r="B991" t="s">
        <v>339</v>
      </c>
      <c r="C991" t="s">
        <v>73</v>
      </c>
      <c r="D991">
        <v>13553</v>
      </c>
      <c r="E991" t="s">
        <v>378</v>
      </c>
    </row>
    <row r="992" spans="1:5" x14ac:dyDescent="0.25">
      <c r="A992" s="279">
        <v>38997</v>
      </c>
      <c r="B992" t="s">
        <v>339</v>
      </c>
      <c r="C992" t="s">
        <v>74</v>
      </c>
      <c r="D992">
        <v>0</v>
      </c>
      <c r="E992" t="s">
        <v>380</v>
      </c>
    </row>
    <row r="993" spans="1:5" x14ac:dyDescent="0.25">
      <c r="A993" s="279">
        <v>38997</v>
      </c>
      <c r="B993" t="s">
        <v>339</v>
      </c>
      <c r="C993" t="s">
        <v>75</v>
      </c>
      <c r="D993">
        <v>15079</v>
      </c>
      <c r="E993" t="s">
        <v>378</v>
      </c>
    </row>
    <row r="994" spans="1:5" x14ac:dyDescent="0.25">
      <c r="A994" s="279">
        <v>38997</v>
      </c>
      <c r="B994" t="s">
        <v>339</v>
      </c>
      <c r="C994" t="s">
        <v>76</v>
      </c>
      <c r="D994">
        <v>0</v>
      </c>
      <c r="E994" t="s">
        <v>380</v>
      </c>
    </row>
    <row r="995" spans="1:5" x14ac:dyDescent="0.25">
      <c r="A995" s="279">
        <v>38997</v>
      </c>
      <c r="B995" t="s">
        <v>339</v>
      </c>
      <c r="C995" t="s">
        <v>77</v>
      </c>
      <c r="D995">
        <v>7303</v>
      </c>
      <c r="E995" t="s">
        <v>378</v>
      </c>
    </row>
    <row r="996" spans="1:5" x14ac:dyDescent="0.25">
      <c r="A996" s="279">
        <v>38997</v>
      </c>
      <c r="B996" t="s">
        <v>339</v>
      </c>
      <c r="C996" t="s">
        <v>78</v>
      </c>
      <c r="D996">
        <v>0</v>
      </c>
      <c r="E996" t="s">
        <v>380</v>
      </c>
    </row>
    <row r="997" spans="1:5" x14ac:dyDescent="0.25">
      <c r="A997" s="279">
        <v>38997</v>
      </c>
      <c r="B997" t="s">
        <v>339</v>
      </c>
      <c r="C997" t="s">
        <v>79</v>
      </c>
      <c r="D997">
        <v>131784</v>
      </c>
      <c r="E997" t="s">
        <v>379</v>
      </c>
    </row>
    <row r="998" spans="1:5" x14ac:dyDescent="0.25">
      <c r="A998" s="279">
        <v>38997</v>
      </c>
      <c r="B998" t="s">
        <v>339</v>
      </c>
      <c r="C998" t="s">
        <v>70</v>
      </c>
      <c r="D998">
        <v>0</v>
      </c>
      <c r="E998" t="s">
        <v>379</v>
      </c>
    </row>
    <row r="999" spans="1:5" x14ac:dyDescent="0.25">
      <c r="A999" s="279">
        <v>38997</v>
      </c>
      <c r="B999" t="s">
        <v>339</v>
      </c>
      <c r="C999" t="s">
        <v>63</v>
      </c>
      <c r="D999">
        <v>0</v>
      </c>
      <c r="E999" t="s">
        <v>378</v>
      </c>
    </row>
    <row r="1000" spans="1:5" x14ac:dyDescent="0.25">
      <c r="A1000" s="279">
        <v>38997</v>
      </c>
      <c r="B1000" t="s">
        <v>339</v>
      </c>
      <c r="C1000" t="s">
        <v>80</v>
      </c>
      <c r="D1000">
        <v>674</v>
      </c>
      <c r="E1000" t="s">
        <v>379</v>
      </c>
    </row>
    <row r="1001" spans="1:5" x14ac:dyDescent="0.25">
      <c r="A1001" s="279">
        <v>38998</v>
      </c>
      <c r="B1001" t="s">
        <v>338</v>
      </c>
      <c r="C1001" t="s">
        <v>59</v>
      </c>
      <c r="D1001">
        <v>2605</v>
      </c>
      <c r="E1001" t="s">
        <v>378</v>
      </c>
    </row>
    <row r="1002" spans="1:5" x14ac:dyDescent="0.25">
      <c r="A1002" s="279">
        <v>38998</v>
      </c>
      <c r="B1002" t="s">
        <v>338</v>
      </c>
      <c r="C1002" t="s">
        <v>60</v>
      </c>
      <c r="D1002">
        <v>0</v>
      </c>
      <c r="E1002" t="s">
        <v>379</v>
      </c>
    </row>
    <row r="1003" spans="1:5" x14ac:dyDescent="0.25">
      <c r="A1003" s="279">
        <v>38998</v>
      </c>
      <c r="B1003" t="s">
        <v>338</v>
      </c>
      <c r="C1003" t="s">
        <v>61</v>
      </c>
      <c r="D1003">
        <v>2767</v>
      </c>
      <c r="E1003" t="s">
        <v>378</v>
      </c>
    </row>
    <row r="1004" spans="1:5" x14ac:dyDescent="0.25">
      <c r="A1004" s="279">
        <v>38998</v>
      </c>
      <c r="B1004" t="s">
        <v>338</v>
      </c>
      <c r="C1004" t="s">
        <v>62</v>
      </c>
      <c r="D1004">
        <v>0</v>
      </c>
      <c r="E1004" t="s">
        <v>380</v>
      </c>
    </row>
    <row r="1005" spans="1:5" x14ac:dyDescent="0.25">
      <c r="A1005" s="279">
        <v>38998</v>
      </c>
      <c r="B1005" t="s">
        <v>338</v>
      </c>
      <c r="C1005" t="s">
        <v>63</v>
      </c>
      <c r="D1005">
        <v>0</v>
      </c>
      <c r="E1005" t="s">
        <v>378</v>
      </c>
    </row>
    <row r="1006" spans="1:5" x14ac:dyDescent="0.25">
      <c r="A1006" s="279">
        <v>38998</v>
      </c>
      <c r="B1006" t="s">
        <v>338</v>
      </c>
      <c r="C1006" t="s">
        <v>64</v>
      </c>
      <c r="D1006">
        <v>0</v>
      </c>
      <c r="E1006" t="s">
        <v>380</v>
      </c>
    </row>
    <row r="1007" spans="1:5" x14ac:dyDescent="0.25">
      <c r="A1007" s="279">
        <v>38998</v>
      </c>
      <c r="B1007" t="s">
        <v>338</v>
      </c>
      <c r="C1007" t="s">
        <v>65</v>
      </c>
      <c r="D1007">
        <v>0</v>
      </c>
      <c r="E1007" t="s">
        <v>378</v>
      </c>
    </row>
    <row r="1008" spans="1:5" x14ac:dyDescent="0.25">
      <c r="A1008" s="279">
        <v>38998</v>
      </c>
      <c r="B1008" t="s">
        <v>338</v>
      </c>
      <c r="C1008" t="s">
        <v>66</v>
      </c>
      <c r="D1008">
        <v>0</v>
      </c>
      <c r="E1008" t="s">
        <v>380</v>
      </c>
    </row>
    <row r="1009" spans="1:5" x14ac:dyDescent="0.25">
      <c r="A1009" s="279">
        <v>38998</v>
      </c>
      <c r="B1009" t="s">
        <v>338</v>
      </c>
      <c r="C1009" t="s">
        <v>120</v>
      </c>
      <c r="D1009">
        <v>12239</v>
      </c>
      <c r="E1009" t="s">
        <v>378</v>
      </c>
    </row>
    <row r="1010" spans="1:5" x14ac:dyDescent="0.25">
      <c r="A1010" s="279">
        <v>38998</v>
      </c>
      <c r="B1010" t="s">
        <v>338</v>
      </c>
      <c r="C1010" t="s">
        <v>121</v>
      </c>
      <c r="D1010">
        <v>0</v>
      </c>
      <c r="E1010" t="s">
        <v>380</v>
      </c>
    </row>
    <row r="1011" spans="1:5" x14ac:dyDescent="0.25">
      <c r="A1011" s="279">
        <v>38998</v>
      </c>
      <c r="B1011" t="s">
        <v>338</v>
      </c>
      <c r="C1011" t="s">
        <v>67</v>
      </c>
      <c r="D1011">
        <v>0</v>
      </c>
      <c r="E1011" t="s">
        <v>378</v>
      </c>
    </row>
    <row r="1012" spans="1:5" x14ac:dyDescent="0.25">
      <c r="A1012" s="279">
        <v>38998</v>
      </c>
      <c r="B1012" t="s">
        <v>338</v>
      </c>
      <c r="C1012" t="s">
        <v>68</v>
      </c>
      <c r="D1012">
        <v>0</v>
      </c>
      <c r="E1012" t="s">
        <v>380</v>
      </c>
    </row>
    <row r="1013" spans="1:5" x14ac:dyDescent="0.25">
      <c r="A1013" s="279">
        <v>38998</v>
      </c>
      <c r="B1013" t="s">
        <v>338</v>
      </c>
      <c r="C1013" t="s">
        <v>69</v>
      </c>
      <c r="D1013">
        <v>0</v>
      </c>
      <c r="E1013" t="s">
        <v>379</v>
      </c>
    </row>
    <row r="1014" spans="1:5" x14ac:dyDescent="0.25">
      <c r="A1014" s="279">
        <v>38998</v>
      </c>
      <c r="B1014" t="s">
        <v>338</v>
      </c>
      <c r="C1014" t="s">
        <v>70</v>
      </c>
      <c r="D1014">
        <v>0</v>
      </c>
      <c r="E1014" t="s">
        <v>379</v>
      </c>
    </row>
    <row r="1015" spans="1:5" x14ac:dyDescent="0.25">
      <c r="A1015" s="279">
        <v>38998</v>
      </c>
      <c r="B1015" t="s">
        <v>338</v>
      </c>
      <c r="C1015" t="s">
        <v>80</v>
      </c>
      <c r="D1015">
        <v>143</v>
      </c>
      <c r="E1015" t="s">
        <v>379</v>
      </c>
    </row>
    <row r="1016" spans="1:5" x14ac:dyDescent="0.25">
      <c r="A1016" s="279">
        <v>38998</v>
      </c>
      <c r="B1016" t="s">
        <v>339</v>
      </c>
      <c r="C1016" t="s">
        <v>71</v>
      </c>
      <c r="D1016">
        <v>3810</v>
      </c>
      <c r="E1016" t="s">
        <v>378</v>
      </c>
    </row>
    <row r="1017" spans="1:5" x14ac:dyDescent="0.25">
      <c r="A1017" s="279">
        <v>38998</v>
      </c>
      <c r="B1017" t="s">
        <v>339</v>
      </c>
      <c r="C1017" t="s">
        <v>72</v>
      </c>
      <c r="D1017">
        <v>0</v>
      </c>
      <c r="E1017" t="s">
        <v>380</v>
      </c>
    </row>
    <row r="1018" spans="1:5" x14ac:dyDescent="0.25">
      <c r="A1018" s="279">
        <v>38998</v>
      </c>
      <c r="B1018" t="s">
        <v>339</v>
      </c>
      <c r="C1018" t="s">
        <v>73</v>
      </c>
      <c r="D1018">
        <v>13840</v>
      </c>
      <c r="E1018" t="s">
        <v>378</v>
      </c>
    </row>
    <row r="1019" spans="1:5" x14ac:dyDescent="0.25">
      <c r="A1019" s="279">
        <v>38998</v>
      </c>
      <c r="B1019" t="s">
        <v>339</v>
      </c>
      <c r="C1019" t="s">
        <v>74</v>
      </c>
      <c r="D1019">
        <v>0</v>
      </c>
      <c r="E1019" t="s">
        <v>380</v>
      </c>
    </row>
    <row r="1020" spans="1:5" x14ac:dyDescent="0.25">
      <c r="A1020" s="279">
        <v>38998</v>
      </c>
      <c r="B1020" t="s">
        <v>339</v>
      </c>
      <c r="C1020" t="s">
        <v>75</v>
      </c>
      <c r="D1020">
        <v>15050</v>
      </c>
      <c r="E1020" t="s">
        <v>378</v>
      </c>
    </row>
    <row r="1021" spans="1:5" x14ac:dyDescent="0.25">
      <c r="A1021" s="279">
        <v>38998</v>
      </c>
      <c r="B1021" t="s">
        <v>339</v>
      </c>
      <c r="C1021" t="s">
        <v>76</v>
      </c>
      <c r="D1021">
        <v>0</v>
      </c>
      <c r="E1021" t="s">
        <v>380</v>
      </c>
    </row>
    <row r="1022" spans="1:5" x14ac:dyDescent="0.25">
      <c r="A1022" s="279">
        <v>38998</v>
      </c>
      <c r="B1022" t="s">
        <v>339</v>
      </c>
      <c r="C1022" t="s">
        <v>77</v>
      </c>
      <c r="D1022">
        <v>7289</v>
      </c>
      <c r="E1022" t="s">
        <v>378</v>
      </c>
    </row>
    <row r="1023" spans="1:5" x14ac:dyDescent="0.25">
      <c r="A1023" s="279">
        <v>38998</v>
      </c>
      <c r="B1023" t="s">
        <v>339</v>
      </c>
      <c r="C1023" t="s">
        <v>78</v>
      </c>
      <c r="D1023">
        <v>0</v>
      </c>
      <c r="E1023" t="s">
        <v>380</v>
      </c>
    </row>
    <row r="1024" spans="1:5" x14ac:dyDescent="0.25">
      <c r="A1024" s="279">
        <v>38998</v>
      </c>
      <c r="B1024" t="s">
        <v>339</v>
      </c>
      <c r="C1024" t="s">
        <v>79</v>
      </c>
      <c r="D1024">
        <v>131529</v>
      </c>
      <c r="E1024" t="s">
        <v>379</v>
      </c>
    </row>
    <row r="1025" spans="1:5" x14ac:dyDescent="0.25">
      <c r="A1025" s="279">
        <v>38998</v>
      </c>
      <c r="B1025" t="s">
        <v>339</v>
      </c>
      <c r="C1025" t="s">
        <v>70</v>
      </c>
      <c r="D1025">
        <v>0</v>
      </c>
      <c r="E1025" t="s">
        <v>379</v>
      </c>
    </row>
    <row r="1026" spans="1:5" x14ac:dyDescent="0.25">
      <c r="A1026" s="279">
        <v>38998</v>
      </c>
      <c r="B1026" t="s">
        <v>339</v>
      </c>
      <c r="C1026" t="s">
        <v>63</v>
      </c>
      <c r="D1026">
        <v>14378</v>
      </c>
      <c r="E1026" t="s">
        <v>378</v>
      </c>
    </row>
    <row r="1027" spans="1:5" x14ac:dyDescent="0.25">
      <c r="A1027" s="279">
        <v>38998</v>
      </c>
      <c r="B1027" t="s">
        <v>339</v>
      </c>
      <c r="C1027" t="s">
        <v>80</v>
      </c>
      <c r="D1027">
        <v>694</v>
      </c>
      <c r="E1027" t="s">
        <v>379</v>
      </c>
    </row>
    <row r="1028" spans="1:5" x14ac:dyDescent="0.25">
      <c r="A1028" s="279">
        <v>38999</v>
      </c>
      <c r="B1028" t="s">
        <v>338</v>
      </c>
      <c r="C1028" t="s">
        <v>59</v>
      </c>
      <c r="D1028">
        <v>2603</v>
      </c>
      <c r="E1028" t="s">
        <v>378</v>
      </c>
    </row>
    <row r="1029" spans="1:5" x14ac:dyDescent="0.25">
      <c r="A1029" s="279">
        <v>38999</v>
      </c>
      <c r="B1029" t="s">
        <v>338</v>
      </c>
      <c r="C1029" t="s">
        <v>60</v>
      </c>
      <c r="D1029">
        <v>0</v>
      </c>
      <c r="E1029" t="s">
        <v>379</v>
      </c>
    </row>
    <row r="1030" spans="1:5" x14ac:dyDescent="0.25">
      <c r="A1030" s="279">
        <v>38999</v>
      </c>
      <c r="B1030" t="s">
        <v>338</v>
      </c>
      <c r="C1030" t="s">
        <v>61</v>
      </c>
      <c r="D1030">
        <v>2942</v>
      </c>
      <c r="E1030" t="s">
        <v>378</v>
      </c>
    </row>
    <row r="1031" spans="1:5" x14ac:dyDescent="0.25">
      <c r="A1031" s="279">
        <v>38999</v>
      </c>
      <c r="B1031" t="s">
        <v>338</v>
      </c>
      <c r="C1031" t="s">
        <v>62</v>
      </c>
      <c r="D1031">
        <v>0</v>
      </c>
      <c r="E1031" t="s">
        <v>380</v>
      </c>
    </row>
    <row r="1032" spans="1:5" x14ac:dyDescent="0.25">
      <c r="A1032" s="279">
        <v>38999</v>
      </c>
      <c r="B1032" t="s">
        <v>338</v>
      </c>
      <c r="C1032" t="s">
        <v>63</v>
      </c>
      <c r="D1032">
        <v>0</v>
      </c>
      <c r="E1032" t="s">
        <v>378</v>
      </c>
    </row>
    <row r="1033" spans="1:5" x14ac:dyDescent="0.25">
      <c r="A1033" s="279">
        <v>38999</v>
      </c>
      <c r="B1033" t="s">
        <v>338</v>
      </c>
      <c r="C1033" t="s">
        <v>64</v>
      </c>
      <c r="D1033">
        <v>0</v>
      </c>
      <c r="E1033" t="s">
        <v>380</v>
      </c>
    </row>
    <row r="1034" spans="1:5" x14ac:dyDescent="0.25">
      <c r="A1034" s="279">
        <v>38999</v>
      </c>
      <c r="B1034" t="s">
        <v>338</v>
      </c>
      <c r="C1034" t="s">
        <v>65</v>
      </c>
      <c r="D1034">
        <v>0</v>
      </c>
      <c r="E1034" t="s">
        <v>378</v>
      </c>
    </row>
    <row r="1035" spans="1:5" x14ac:dyDescent="0.25">
      <c r="A1035" s="279">
        <v>38999</v>
      </c>
      <c r="B1035" t="s">
        <v>338</v>
      </c>
      <c r="C1035" t="s">
        <v>66</v>
      </c>
      <c r="D1035">
        <v>0</v>
      </c>
      <c r="E1035" t="s">
        <v>380</v>
      </c>
    </row>
    <row r="1036" spans="1:5" x14ac:dyDescent="0.25">
      <c r="A1036" s="279">
        <v>38999</v>
      </c>
      <c r="B1036" t="s">
        <v>338</v>
      </c>
      <c r="C1036" t="s">
        <v>120</v>
      </c>
      <c r="D1036">
        <v>12228</v>
      </c>
      <c r="E1036" t="s">
        <v>378</v>
      </c>
    </row>
    <row r="1037" spans="1:5" x14ac:dyDescent="0.25">
      <c r="A1037" s="279">
        <v>38999</v>
      </c>
      <c r="B1037" t="s">
        <v>338</v>
      </c>
      <c r="C1037" t="s">
        <v>121</v>
      </c>
      <c r="D1037">
        <v>0</v>
      </c>
      <c r="E1037" t="s">
        <v>380</v>
      </c>
    </row>
    <row r="1038" spans="1:5" x14ac:dyDescent="0.25">
      <c r="A1038" s="279">
        <v>38999</v>
      </c>
      <c r="B1038" t="s">
        <v>338</v>
      </c>
      <c r="C1038" t="s">
        <v>67</v>
      </c>
      <c r="D1038">
        <v>0</v>
      </c>
      <c r="E1038" t="s">
        <v>378</v>
      </c>
    </row>
    <row r="1039" spans="1:5" x14ac:dyDescent="0.25">
      <c r="A1039" s="279">
        <v>38999</v>
      </c>
      <c r="B1039" t="s">
        <v>338</v>
      </c>
      <c r="C1039" t="s">
        <v>68</v>
      </c>
      <c r="D1039">
        <v>0</v>
      </c>
      <c r="E1039" t="s">
        <v>380</v>
      </c>
    </row>
    <row r="1040" spans="1:5" x14ac:dyDescent="0.25">
      <c r="A1040" s="279">
        <v>38999</v>
      </c>
      <c r="B1040" t="s">
        <v>338</v>
      </c>
      <c r="C1040" t="s">
        <v>69</v>
      </c>
      <c r="D1040">
        <v>0</v>
      </c>
      <c r="E1040" t="s">
        <v>379</v>
      </c>
    </row>
    <row r="1041" spans="1:5" x14ac:dyDescent="0.25">
      <c r="A1041" s="279">
        <v>38999</v>
      </c>
      <c r="B1041" t="s">
        <v>338</v>
      </c>
      <c r="C1041" t="s">
        <v>70</v>
      </c>
      <c r="D1041">
        <v>0</v>
      </c>
      <c r="E1041" t="s">
        <v>379</v>
      </c>
    </row>
    <row r="1042" spans="1:5" x14ac:dyDescent="0.25">
      <c r="A1042" s="279">
        <v>38999</v>
      </c>
      <c r="B1042" t="s">
        <v>338</v>
      </c>
      <c r="C1042" t="s">
        <v>80</v>
      </c>
      <c r="D1042">
        <v>145</v>
      </c>
      <c r="E1042" t="s">
        <v>379</v>
      </c>
    </row>
    <row r="1043" spans="1:5" x14ac:dyDescent="0.25">
      <c r="A1043" s="279">
        <v>38999</v>
      </c>
      <c r="B1043" t="s">
        <v>339</v>
      </c>
      <c r="C1043" t="s">
        <v>71</v>
      </c>
      <c r="D1043">
        <v>3810</v>
      </c>
      <c r="E1043" t="s">
        <v>378</v>
      </c>
    </row>
    <row r="1044" spans="1:5" x14ac:dyDescent="0.25">
      <c r="A1044" s="279">
        <v>38999</v>
      </c>
      <c r="B1044" t="s">
        <v>339</v>
      </c>
      <c r="C1044" t="s">
        <v>72</v>
      </c>
      <c r="D1044">
        <v>0</v>
      </c>
      <c r="E1044" t="s">
        <v>380</v>
      </c>
    </row>
    <row r="1045" spans="1:5" x14ac:dyDescent="0.25">
      <c r="A1045" s="279">
        <v>38999</v>
      </c>
      <c r="B1045" t="s">
        <v>339</v>
      </c>
      <c r="C1045" t="s">
        <v>73</v>
      </c>
      <c r="D1045">
        <v>17143</v>
      </c>
      <c r="E1045" t="s">
        <v>378</v>
      </c>
    </row>
    <row r="1046" spans="1:5" x14ac:dyDescent="0.25">
      <c r="A1046" s="279">
        <v>38999</v>
      </c>
      <c r="B1046" t="s">
        <v>339</v>
      </c>
      <c r="C1046" t="s">
        <v>74</v>
      </c>
      <c r="D1046">
        <v>0</v>
      </c>
      <c r="E1046" t="s">
        <v>380</v>
      </c>
    </row>
    <row r="1047" spans="1:5" x14ac:dyDescent="0.25">
      <c r="A1047" s="279">
        <v>38999</v>
      </c>
      <c r="B1047" t="s">
        <v>339</v>
      </c>
      <c r="C1047" t="s">
        <v>75</v>
      </c>
      <c r="D1047">
        <v>15050</v>
      </c>
      <c r="E1047" t="s">
        <v>378</v>
      </c>
    </row>
    <row r="1048" spans="1:5" x14ac:dyDescent="0.25">
      <c r="A1048" s="279">
        <v>38999</v>
      </c>
      <c r="B1048" t="s">
        <v>339</v>
      </c>
      <c r="C1048" t="s">
        <v>76</v>
      </c>
      <c r="D1048">
        <v>0</v>
      </c>
      <c r="E1048" t="s">
        <v>380</v>
      </c>
    </row>
    <row r="1049" spans="1:5" x14ac:dyDescent="0.25">
      <c r="A1049" s="279">
        <v>38999</v>
      </c>
      <c r="B1049" t="s">
        <v>339</v>
      </c>
      <c r="C1049" t="s">
        <v>77</v>
      </c>
      <c r="D1049">
        <v>7229</v>
      </c>
      <c r="E1049" t="s">
        <v>378</v>
      </c>
    </row>
    <row r="1050" spans="1:5" x14ac:dyDescent="0.25">
      <c r="A1050" s="279">
        <v>38999</v>
      </c>
      <c r="B1050" t="s">
        <v>339</v>
      </c>
      <c r="C1050" t="s">
        <v>78</v>
      </c>
      <c r="D1050">
        <v>0</v>
      </c>
      <c r="E1050" t="s">
        <v>380</v>
      </c>
    </row>
    <row r="1051" spans="1:5" x14ac:dyDescent="0.25">
      <c r="A1051" s="279">
        <v>38999</v>
      </c>
      <c r="B1051" t="s">
        <v>339</v>
      </c>
      <c r="C1051" t="s">
        <v>79</v>
      </c>
      <c r="D1051">
        <v>126660</v>
      </c>
      <c r="E1051" t="s">
        <v>379</v>
      </c>
    </row>
    <row r="1052" spans="1:5" x14ac:dyDescent="0.25">
      <c r="A1052" s="279">
        <v>38999</v>
      </c>
      <c r="B1052" t="s">
        <v>339</v>
      </c>
      <c r="C1052" t="s">
        <v>70</v>
      </c>
      <c r="D1052">
        <v>0</v>
      </c>
      <c r="E1052" t="s">
        <v>379</v>
      </c>
    </row>
    <row r="1053" spans="1:5" x14ac:dyDescent="0.25">
      <c r="A1053" s="279">
        <v>38999</v>
      </c>
      <c r="B1053" t="s">
        <v>339</v>
      </c>
      <c r="C1053" t="s">
        <v>63</v>
      </c>
      <c r="D1053">
        <v>14378</v>
      </c>
      <c r="E1053" t="s">
        <v>378</v>
      </c>
    </row>
    <row r="1054" spans="1:5" x14ac:dyDescent="0.25">
      <c r="A1054" s="279">
        <v>38999</v>
      </c>
      <c r="B1054" t="s">
        <v>339</v>
      </c>
      <c r="C1054" t="s">
        <v>80</v>
      </c>
      <c r="D1054">
        <v>820</v>
      </c>
      <c r="E1054" t="s">
        <v>379</v>
      </c>
    </row>
    <row r="1055" spans="1:5" x14ac:dyDescent="0.25">
      <c r="A1055" s="279">
        <v>39000</v>
      </c>
      <c r="B1055" t="s">
        <v>338</v>
      </c>
      <c r="C1055" t="s">
        <v>59</v>
      </c>
      <c r="D1055">
        <v>2603</v>
      </c>
      <c r="E1055" t="s">
        <v>378</v>
      </c>
    </row>
    <row r="1056" spans="1:5" x14ac:dyDescent="0.25">
      <c r="A1056" s="279">
        <v>39000</v>
      </c>
      <c r="B1056" t="s">
        <v>338</v>
      </c>
      <c r="C1056" t="s">
        <v>60</v>
      </c>
      <c r="D1056">
        <v>0</v>
      </c>
      <c r="E1056" t="s">
        <v>379</v>
      </c>
    </row>
    <row r="1057" spans="1:5" x14ac:dyDescent="0.25">
      <c r="A1057" s="279">
        <v>39000</v>
      </c>
      <c r="B1057" t="s">
        <v>338</v>
      </c>
      <c r="C1057" t="s">
        <v>61</v>
      </c>
      <c r="D1057">
        <v>3040</v>
      </c>
      <c r="E1057" t="s">
        <v>378</v>
      </c>
    </row>
    <row r="1058" spans="1:5" x14ac:dyDescent="0.25">
      <c r="A1058" s="279">
        <v>39000</v>
      </c>
      <c r="B1058" t="s">
        <v>338</v>
      </c>
      <c r="C1058" t="s">
        <v>62</v>
      </c>
      <c r="D1058">
        <v>0</v>
      </c>
      <c r="E1058" t="s">
        <v>380</v>
      </c>
    </row>
    <row r="1059" spans="1:5" x14ac:dyDescent="0.25">
      <c r="A1059" s="279">
        <v>39000</v>
      </c>
      <c r="B1059" t="s">
        <v>338</v>
      </c>
      <c r="C1059" t="s">
        <v>63</v>
      </c>
      <c r="D1059">
        <v>0</v>
      </c>
      <c r="E1059" t="s">
        <v>378</v>
      </c>
    </row>
    <row r="1060" spans="1:5" x14ac:dyDescent="0.25">
      <c r="A1060" s="279">
        <v>39000</v>
      </c>
      <c r="B1060" t="s">
        <v>338</v>
      </c>
      <c r="C1060" t="s">
        <v>64</v>
      </c>
      <c r="D1060">
        <v>0</v>
      </c>
      <c r="E1060" t="s">
        <v>380</v>
      </c>
    </row>
    <row r="1061" spans="1:5" x14ac:dyDescent="0.25">
      <c r="A1061" s="279">
        <v>39000</v>
      </c>
      <c r="B1061" t="s">
        <v>338</v>
      </c>
      <c r="C1061" t="s">
        <v>65</v>
      </c>
      <c r="D1061">
        <v>0</v>
      </c>
      <c r="E1061" t="s">
        <v>378</v>
      </c>
    </row>
    <row r="1062" spans="1:5" x14ac:dyDescent="0.25">
      <c r="A1062" s="279">
        <v>39000</v>
      </c>
      <c r="B1062" t="s">
        <v>338</v>
      </c>
      <c r="C1062" t="s">
        <v>66</v>
      </c>
      <c r="D1062">
        <v>0</v>
      </c>
      <c r="E1062" t="s">
        <v>380</v>
      </c>
    </row>
    <row r="1063" spans="1:5" x14ac:dyDescent="0.25">
      <c r="A1063" s="279">
        <v>39000</v>
      </c>
      <c r="B1063" t="s">
        <v>338</v>
      </c>
      <c r="C1063" t="s">
        <v>120</v>
      </c>
      <c r="D1063">
        <v>12228</v>
      </c>
      <c r="E1063" t="s">
        <v>378</v>
      </c>
    </row>
    <row r="1064" spans="1:5" x14ac:dyDescent="0.25">
      <c r="A1064" s="279">
        <v>39000</v>
      </c>
      <c r="B1064" t="s">
        <v>338</v>
      </c>
      <c r="C1064" t="s">
        <v>121</v>
      </c>
      <c r="D1064">
        <v>0</v>
      </c>
      <c r="E1064" t="s">
        <v>380</v>
      </c>
    </row>
    <row r="1065" spans="1:5" x14ac:dyDescent="0.25">
      <c r="A1065" s="279">
        <v>39000</v>
      </c>
      <c r="B1065" t="s">
        <v>338</v>
      </c>
      <c r="C1065" t="s">
        <v>67</v>
      </c>
      <c r="D1065">
        <v>0</v>
      </c>
      <c r="E1065" t="s">
        <v>378</v>
      </c>
    </row>
    <row r="1066" spans="1:5" x14ac:dyDescent="0.25">
      <c r="A1066" s="279">
        <v>39000</v>
      </c>
      <c r="B1066" t="s">
        <v>338</v>
      </c>
      <c r="C1066" t="s">
        <v>68</v>
      </c>
      <c r="D1066">
        <v>0</v>
      </c>
      <c r="E1066" t="s">
        <v>380</v>
      </c>
    </row>
    <row r="1067" spans="1:5" x14ac:dyDescent="0.25">
      <c r="A1067" s="279">
        <v>39000</v>
      </c>
      <c r="B1067" t="s">
        <v>338</v>
      </c>
      <c r="C1067" t="s">
        <v>69</v>
      </c>
      <c r="D1067">
        <v>0</v>
      </c>
      <c r="E1067" t="s">
        <v>379</v>
      </c>
    </row>
    <row r="1068" spans="1:5" x14ac:dyDescent="0.25">
      <c r="A1068" s="279">
        <v>39000</v>
      </c>
      <c r="B1068" t="s">
        <v>338</v>
      </c>
      <c r="C1068" t="s">
        <v>70</v>
      </c>
      <c r="D1068">
        <v>0</v>
      </c>
      <c r="E1068" t="s">
        <v>379</v>
      </c>
    </row>
    <row r="1069" spans="1:5" x14ac:dyDescent="0.25">
      <c r="A1069" s="279">
        <v>39000</v>
      </c>
      <c r="B1069" t="s">
        <v>338</v>
      </c>
      <c r="C1069" t="s">
        <v>80</v>
      </c>
      <c r="D1069">
        <v>145</v>
      </c>
      <c r="E1069" t="s">
        <v>379</v>
      </c>
    </row>
    <row r="1070" spans="1:5" x14ac:dyDescent="0.25">
      <c r="A1070" s="279">
        <v>39000</v>
      </c>
      <c r="B1070" t="s">
        <v>339</v>
      </c>
      <c r="C1070" t="s">
        <v>71</v>
      </c>
      <c r="D1070">
        <v>1836</v>
      </c>
      <c r="E1070" t="s">
        <v>378</v>
      </c>
    </row>
    <row r="1071" spans="1:5" x14ac:dyDescent="0.25">
      <c r="A1071" s="279">
        <v>39000</v>
      </c>
      <c r="B1071" t="s">
        <v>339</v>
      </c>
      <c r="C1071" t="s">
        <v>72</v>
      </c>
      <c r="D1071">
        <v>0</v>
      </c>
      <c r="E1071" t="s">
        <v>380</v>
      </c>
    </row>
    <row r="1072" spans="1:5" x14ac:dyDescent="0.25">
      <c r="A1072" s="279">
        <v>39000</v>
      </c>
      <c r="B1072" t="s">
        <v>339</v>
      </c>
      <c r="C1072" t="s">
        <v>73</v>
      </c>
      <c r="D1072">
        <v>13540</v>
      </c>
      <c r="E1072" t="s">
        <v>378</v>
      </c>
    </row>
    <row r="1073" spans="1:5" x14ac:dyDescent="0.25">
      <c r="A1073" s="279">
        <v>39000</v>
      </c>
      <c r="B1073" t="s">
        <v>339</v>
      </c>
      <c r="C1073" t="s">
        <v>74</v>
      </c>
      <c r="D1073">
        <v>0</v>
      </c>
      <c r="E1073" t="s">
        <v>380</v>
      </c>
    </row>
    <row r="1074" spans="1:5" x14ac:dyDescent="0.25">
      <c r="A1074" s="279">
        <v>39000</v>
      </c>
      <c r="B1074" t="s">
        <v>339</v>
      </c>
      <c r="C1074" t="s">
        <v>75</v>
      </c>
      <c r="D1074">
        <v>15065</v>
      </c>
      <c r="E1074" t="s">
        <v>378</v>
      </c>
    </row>
    <row r="1075" spans="1:5" x14ac:dyDescent="0.25">
      <c r="A1075" s="279">
        <v>39000</v>
      </c>
      <c r="B1075" t="s">
        <v>339</v>
      </c>
      <c r="C1075" t="s">
        <v>76</v>
      </c>
      <c r="D1075">
        <v>12692</v>
      </c>
      <c r="E1075" t="s">
        <v>380</v>
      </c>
    </row>
    <row r="1076" spans="1:5" x14ac:dyDescent="0.25">
      <c r="A1076" s="279">
        <v>39000</v>
      </c>
      <c r="B1076" t="s">
        <v>339</v>
      </c>
      <c r="C1076" t="s">
        <v>77</v>
      </c>
      <c r="D1076">
        <v>7296</v>
      </c>
      <c r="E1076" t="s">
        <v>378</v>
      </c>
    </row>
    <row r="1077" spans="1:5" x14ac:dyDescent="0.25">
      <c r="A1077" s="279">
        <v>39000</v>
      </c>
      <c r="B1077" t="s">
        <v>339</v>
      </c>
      <c r="C1077" t="s">
        <v>78</v>
      </c>
      <c r="D1077">
        <v>7028</v>
      </c>
      <c r="E1077" t="s">
        <v>380</v>
      </c>
    </row>
    <row r="1078" spans="1:5" x14ac:dyDescent="0.25">
      <c r="A1078" s="279">
        <v>39000</v>
      </c>
      <c r="B1078" t="s">
        <v>339</v>
      </c>
      <c r="C1078" t="s">
        <v>79</v>
      </c>
      <c r="D1078">
        <v>93767</v>
      </c>
      <c r="E1078" t="s">
        <v>379</v>
      </c>
    </row>
    <row r="1079" spans="1:5" x14ac:dyDescent="0.25">
      <c r="A1079" s="279">
        <v>39000</v>
      </c>
      <c r="B1079" t="s">
        <v>339</v>
      </c>
      <c r="C1079" t="s">
        <v>70</v>
      </c>
      <c r="D1079">
        <v>0</v>
      </c>
      <c r="E1079" t="s">
        <v>379</v>
      </c>
    </row>
    <row r="1080" spans="1:5" x14ac:dyDescent="0.25">
      <c r="A1080" s="279">
        <v>39000</v>
      </c>
      <c r="B1080" t="s">
        <v>339</v>
      </c>
      <c r="C1080" t="s">
        <v>63</v>
      </c>
      <c r="D1080">
        <v>14392</v>
      </c>
      <c r="E1080" t="s">
        <v>378</v>
      </c>
    </row>
    <row r="1081" spans="1:5" x14ac:dyDescent="0.25">
      <c r="A1081" s="279">
        <v>39000</v>
      </c>
      <c r="B1081" t="s">
        <v>339</v>
      </c>
      <c r="C1081" t="s">
        <v>80</v>
      </c>
      <c r="D1081">
        <v>666</v>
      </c>
      <c r="E1081" t="s">
        <v>379</v>
      </c>
    </row>
    <row r="1082" spans="1:5" x14ac:dyDescent="0.25">
      <c r="A1082" s="279">
        <v>39001</v>
      </c>
      <c r="B1082" t="s">
        <v>338</v>
      </c>
      <c r="C1082" t="s">
        <v>59</v>
      </c>
      <c r="D1082">
        <v>2613</v>
      </c>
      <c r="E1082" t="s">
        <v>378</v>
      </c>
    </row>
    <row r="1083" spans="1:5" x14ac:dyDescent="0.25">
      <c r="A1083" s="279">
        <v>39001</v>
      </c>
      <c r="B1083" t="s">
        <v>338</v>
      </c>
      <c r="C1083" t="s">
        <v>60</v>
      </c>
      <c r="D1083">
        <v>0</v>
      </c>
      <c r="E1083" t="s">
        <v>379</v>
      </c>
    </row>
    <row r="1084" spans="1:5" x14ac:dyDescent="0.25">
      <c r="A1084" s="279">
        <v>39001</v>
      </c>
      <c r="B1084" t="s">
        <v>338</v>
      </c>
      <c r="C1084" t="s">
        <v>61</v>
      </c>
      <c r="D1084">
        <v>2995</v>
      </c>
      <c r="E1084" t="s">
        <v>378</v>
      </c>
    </row>
    <row r="1085" spans="1:5" x14ac:dyDescent="0.25">
      <c r="A1085" s="279">
        <v>39001</v>
      </c>
      <c r="B1085" t="s">
        <v>338</v>
      </c>
      <c r="C1085" t="s">
        <v>62</v>
      </c>
      <c r="D1085">
        <v>0</v>
      </c>
      <c r="E1085" t="s">
        <v>380</v>
      </c>
    </row>
    <row r="1086" spans="1:5" x14ac:dyDescent="0.25">
      <c r="A1086" s="279">
        <v>39001</v>
      </c>
      <c r="B1086" t="s">
        <v>338</v>
      </c>
      <c r="C1086" t="s">
        <v>63</v>
      </c>
      <c r="D1086">
        <v>0</v>
      </c>
      <c r="E1086" t="s">
        <v>378</v>
      </c>
    </row>
    <row r="1087" spans="1:5" x14ac:dyDescent="0.25">
      <c r="A1087" s="279">
        <v>39001</v>
      </c>
      <c r="B1087" t="s">
        <v>338</v>
      </c>
      <c r="C1087" t="s">
        <v>64</v>
      </c>
      <c r="D1087">
        <v>0</v>
      </c>
      <c r="E1087" t="s">
        <v>380</v>
      </c>
    </row>
    <row r="1088" spans="1:5" x14ac:dyDescent="0.25">
      <c r="A1088" s="279">
        <v>39001</v>
      </c>
      <c r="B1088" t="s">
        <v>338</v>
      </c>
      <c r="C1088" t="s">
        <v>65</v>
      </c>
      <c r="D1088">
        <v>4751</v>
      </c>
      <c r="E1088" t="s">
        <v>378</v>
      </c>
    </row>
    <row r="1089" spans="1:5" x14ac:dyDescent="0.25">
      <c r="A1089" s="279">
        <v>39001</v>
      </c>
      <c r="B1089" t="s">
        <v>338</v>
      </c>
      <c r="C1089" t="s">
        <v>66</v>
      </c>
      <c r="D1089">
        <v>0</v>
      </c>
      <c r="E1089" t="s">
        <v>380</v>
      </c>
    </row>
    <row r="1090" spans="1:5" x14ac:dyDescent="0.25">
      <c r="A1090" s="279">
        <v>39001</v>
      </c>
      <c r="B1090" t="s">
        <v>338</v>
      </c>
      <c r="C1090" t="s">
        <v>120</v>
      </c>
      <c r="D1090">
        <v>12275</v>
      </c>
      <c r="E1090" t="s">
        <v>378</v>
      </c>
    </row>
    <row r="1091" spans="1:5" x14ac:dyDescent="0.25">
      <c r="A1091" s="279">
        <v>39001</v>
      </c>
      <c r="B1091" t="s">
        <v>338</v>
      </c>
      <c r="C1091" t="s">
        <v>121</v>
      </c>
      <c r="D1091">
        <v>0</v>
      </c>
      <c r="E1091" t="s">
        <v>380</v>
      </c>
    </row>
    <row r="1092" spans="1:5" x14ac:dyDescent="0.25">
      <c r="A1092" s="279">
        <v>39001</v>
      </c>
      <c r="B1092" t="s">
        <v>338</v>
      </c>
      <c r="C1092" t="s">
        <v>67</v>
      </c>
      <c r="D1092">
        <v>0</v>
      </c>
      <c r="E1092" t="s">
        <v>378</v>
      </c>
    </row>
    <row r="1093" spans="1:5" x14ac:dyDescent="0.25">
      <c r="A1093" s="279">
        <v>39001</v>
      </c>
      <c r="B1093" t="s">
        <v>338</v>
      </c>
      <c r="C1093" t="s">
        <v>68</v>
      </c>
      <c r="D1093">
        <v>0</v>
      </c>
      <c r="E1093" t="s">
        <v>380</v>
      </c>
    </row>
    <row r="1094" spans="1:5" x14ac:dyDescent="0.25">
      <c r="A1094" s="279">
        <v>39001</v>
      </c>
      <c r="B1094" t="s">
        <v>338</v>
      </c>
      <c r="C1094" t="s">
        <v>69</v>
      </c>
      <c r="D1094">
        <v>0</v>
      </c>
      <c r="E1094" t="s">
        <v>379</v>
      </c>
    </row>
    <row r="1095" spans="1:5" x14ac:dyDescent="0.25">
      <c r="A1095" s="279">
        <v>39001</v>
      </c>
      <c r="B1095" t="s">
        <v>338</v>
      </c>
      <c r="C1095" t="s">
        <v>70</v>
      </c>
      <c r="D1095">
        <v>0</v>
      </c>
      <c r="E1095" t="s">
        <v>379</v>
      </c>
    </row>
    <row r="1096" spans="1:5" x14ac:dyDescent="0.25">
      <c r="A1096" s="279">
        <v>39001</v>
      </c>
      <c r="B1096" t="s">
        <v>338</v>
      </c>
      <c r="C1096" t="s">
        <v>80</v>
      </c>
      <c r="D1096">
        <v>146</v>
      </c>
      <c r="E1096" t="s">
        <v>379</v>
      </c>
    </row>
    <row r="1097" spans="1:5" x14ac:dyDescent="0.25">
      <c r="A1097" s="279">
        <v>39001</v>
      </c>
      <c r="B1097" t="s">
        <v>339</v>
      </c>
      <c r="C1097" t="s">
        <v>71</v>
      </c>
      <c r="D1097">
        <v>1834</v>
      </c>
      <c r="E1097" t="s">
        <v>378</v>
      </c>
    </row>
    <row r="1098" spans="1:5" x14ac:dyDescent="0.25">
      <c r="A1098" s="279">
        <v>39001</v>
      </c>
      <c r="B1098" t="s">
        <v>339</v>
      </c>
      <c r="C1098" t="s">
        <v>72</v>
      </c>
      <c r="D1098">
        <v>0</v>
      </c>
      <c r="E1098" t="s">
        <v>380</v>
      </c>
    </row>
    <row r="1099" spans="1:5" x14ac:dyDescent="0.25">
      <c r="A1099" s="279">
        <v>39001</v>
      </c>
      <c r="B1099" t="s">
        <v>339</v>
      </c>
      <c r="C1099" t="s">
        <v>73</v>
      </c>
      <c r="D1099">
        <v>9206</v>
      </c>
      <c r="E1099" t="s">
        <v>378</v>
      </c>
    </row>
    <row r="1100" spans="1:5" x14ac:dyDescent="0.25">
      <c r="A1100" s="279">
        <v>39001</v>
      </c>
      <c r="B1100" t="s">
        <v>339</v>
      </c>
      <c r="C1100" t="s">
        <v>74</v>
      </c>
      <c r="D1100">
        <v>0</v>
      </c>
      <c r="E1100" t="s">
        <v>380</v>
      </c>
    </row>
    <row r="1101" spans="1:5" x14ac:dyDescent="0.25">
      <c r="A1101" s="279">
        <v>39001</v>
      </c>
      <c r="B1101" t="s">
        <v>339</v>
      </c>
      <c r="C1101" t="s">
        <v>75</v>
      </c>
      <c r="D1101">
        <v>15050</v>
      </c>
      <c r="E1101" t="s">
        <v>378</v>
      </c>
    </row>
    <row r="1102" spans="1:5" x14ac:dyDescent="0.25">
      <c r="A1102" s="279">
        <v>39001</v>
      </c>
      <c r="B1102" t="s">
        <v>339</v>
      </c>
      <c r="C1102" t="s">
        <v>76</v>
      </c>
      <c r="D1102">
        <v>14508</v>
      </c>
      <c r="E1102" t="s">
        <v>380</v>
      </c>
    </row>
    <row r="1103" spans="1:5" x14ac:dyDescent="0.25">
      <c r="A1103" s="279">
        <v>39001</v>
      </c>
      <c r="B1103" t="s">
        <v>339</v>
      </c>
      <c r="C1103" t="s">
        <v>77</v>
      </c>
      <c r="D1103">
        <v>7289</v>
      </c>
      <c r="E1103" t="s">
        <v>378</v>
      </c>
    </row>
    <row r="1104" spans="1:5" x14ac:dyDescent="0.25">
      <c r="A1104" s="279">
        <v>39001</v>
      </c>
      <c r="B1104" t="s">
        <v>339</v>
      </c>
      <c r="C1104" t="s">
        <v>78</v>
      </c>
      <c r="D1104">
        <v>7021</v>
      </c>
      <c r="E1104" t="s">
        <v>380</v>
      </c>
    </row>
    <row r="1105" spans="1:5" x14ac:dyDescent="0.25">
      <c r="A1105" s="279">
        <v>39001</v>
      </c>
      <c r="B1105" t="s">
        <v>339</v>
      </c>
      <c r="C1105" t="s">
        <v>79</v>
      </c>
      <c r="D1105">
        <v>93676</v>
      </c>
      <c r="E1105" t="s">
        <v>379</v>
      </c>
    </row>
    <row r="1106" spans="1:5" x14ac:dyDescent="0.25">
      <c r="A1106" s="279">
        <v>39001</v>
      </c>
      <c r="B1106" t="s">
        <v>339</v>
      </c>
      <c r="C1106" t="s">
        <v>70</v>
      </c>
      <c r="D1106">
        <v>0</v>
      </c>
      <c r="E1106" t="s">
        <v>379</v>
      </c>
    </row>
    <row r="1107" spans="1:5" x14ac:dyDescent="0.25">
      <c r="A1107" s="279">
        <v>39001</v>
      </c>
      <c r="B1107" t="s">
        <v>339</v>
      </c>
      <c r="C1107" t="s">
        <v>63</v>
      </c>
      <c r="D1107">
        <v>14378</v>
      </c>
      <c r="E1107" t="s">
        <v>378</v>
      </c>
    </row>
    <row r="1108" spans="1:5" x14ac:dyDescent="0.25">
      <c r="A1108" s="279">
        <v>39001</v>
      </c>
      <c r="B1108" t="s">
        <v>339</v>
      </c>
      <c r="C1108" t="s">
        <v>80</v>
      </c>
      <c r="D1108">
        <v>500</v>
      </c>
      <c r="E1108" t="s">
        <v>379</v>
      </c>
    </row>
    <row r="1109" spans="1:5" x14ac:dyDescent="0.25">
      <c r="A1109" s="279">
        <v>39002</v>
      </c>
      <c r="B1109" t="s">
        <v>338</v>
      </c>
      <c r="C1109" t="s">
        <v>59</v>
      </c>
      <c r="D1109">
        <v>2610</v>
      </c>
      <c r="E1109" t="s">
        <v>378</v>
      </c>
    </row>
    <row r="1110" spans="1:5" x14ac:dyDescent="0.25">
      <c r="A1110" s="279">
        <v>39002</v>
      </c>
      <c r="B1110" t="s">
        <v>338</v>
      </c>
      <c r="C1110" t="s">
        <v>60</v>
      </c>
      <c r="D1110">
        <v>0</v>
      </c>
      <c r="E1110" t="s">
        <v>379</v>
      </c>
    </row>
    <row r="1111" spans="1:5" x14ac:dyDescent="0.25">
      <c r="A1111" s="279">
        <v>39002</v>
      </c>
      <c r="B1111" t="s">
        <v>338</v>
      </c>
      <c r="C1111" t="s">
        <v>61</v>
      </c>
      <c r="D1111">
        <v>2694</v>
      </c>
      <c r="E1111" t="s">
        <v>378</v>
      </c>
    </row>
    <row r="1112" spans="1:5" x14ac:dyDescent="0.25">
      <c r="A1112" s="279">
        <v>39002</v>
      </c>
      <c r="B1112" t="s">
        <v>338</v>
      </c>
      <c r="C1112" t="s">
        <v>62</v>
      </c>
      <c r="D1112">
        <v>0</v>
      </c>
      <c r="E1112" t="s">
        <v>380</v>
      </c>
    </row>
    <row r="1113" spans="1:5" x14ac:dyDescent="0.25">
      <c r="A1113" s="279">
        <v>39002</v>
      </c>
      <c r="B1113" t="s">
        <v>338</v>
      </c>
      <c r="C1113" t="s">
        <v>63</v>
      </c>
      <c r="D1113">
        <v>0</v>
      </c>
      <c r="E1113" t="s">
        <v>378</v>
      </c>
    </row>
    <row r="1114" spans="1:5" x14ac:dyDescent="0.25">
      <c r="A1114" s="279">
        <v>39002</v>
      </c>
      <c r="B1114" t="s">
        <v>338</v>
      </c>
      <c r="C1114" t="s">
        <v>64</v>
      </c>
      <c r="D1114">
        <v>0</v>
      </c>
      <c r="E1114" t="s">
        <v>380</v>
      </c>
    </row>
    <row r="1115" spans="1:5" x14ac:dyDescent="0.25">
      <c r="A1115" s="279">
        <v>39002</v>
      </c>
      <c r="B1115" t="s">
        <v>338</v>
      </c>
      <c r="C1115" t="s">
        <v>65</v>
      </c>
      <c r="D1115">
        <v>4747</v>
      </c>
      <c r="E1115" t="s">
        <v>378</v>
      </c>
    </row>
    <row r="1116" spans="1:5" x14ac:dyDescent="0.25">
      <c r="A1116" s="279">
        <v>39002</v>
      </c>
      <c r="B1116" t="s">
        <v>338</v>
      </c>
      <c r="C1116" t="s">
        <v>66</v>
      </c>
      <c r="D1116">
        <v>0</v>
      </c>
      <c r="E1116" t="s">
        <v>380</v>
      </c>
    </row>
    <row r="1117" spans="1:5" x14ac:dyDescent="0.25">
      <c r="A1117" s="279">
        <v>39002</v>
      </c>
      <c r="B1117" t="s">
        <v>338</v>
      </c>
      <c r="C1117" t="s">
        <v>120</v>
      </c>
      <c r="D1117">
        <v>12263</v>
      </c>
      <c r="E1117" t="s">
        <v>378</v>
      </c>
    </row>
    <row r="1118" spans="1:5" x14ac:dyDescent="0.25">
      <c r="A1118" s="279">
        <v>39002</v>
      </c>
      <c r="B1118" t="s">
        <v>338</v>
      </c>
      <c r="C1118" t="s">
        <v>121</v>
      </c>
      <c r="D1118">
        <v>0</v>
      </c>
      <c r="E1118" t="s">
        <v>380</v>
      </c>
    </row>
    <row r="1119" spans="1:5" x14ac:dyDescent="0.25">
      <c r="A1119" s="279">
        <v>39002</v>
      </c>
      <c r="B1119" t="s">
        <v>338</v>
      </c>
      <c r="C1119" t="s">
        <v>67</v>
      </c>
      <c r="D1119">
        <v>0</v>
      </c>
      <c r="E1119" t="s">
        <v>378</v>
      </c>
    </row>
    <row r="1120" spans="1:5" x14ac:dyDescent="0.25">
      <c r="A1120" s="279">
        <v>39002</v>
      </c>
      <c r="B1120" t="s">
        <v>338</v>
      </c>
      <c r="C1120" t="s">
        <v>68</v>
      </c>
      <c r="D1120">
        <v>0</v>
      </c>
      <c r="E1120" t="s">
        <v>380</v>
      </c>
    </row>
    <row r="1121" spans="1:5" x14ac:dyDescent="0.25">
      <c r="A1121" s="279">
        <v>39002</v>
      </c>
      <c r="B1121" t="s">
        <v>338</v>
      </c>
      <c r="C1121" t="s">
        <v>69</v>
      </c>
      <c r="D1121">
        <v>0</v>
      </c>
      <c r="E1121" t="s">
        <v>379</v>
      </c>
    </row>
    <row r="1122" spans="1:5" x14ac:dyDescent="0.25">
      <c r="A1122" s="279">
        <v>39002</v>
      </c>
      <c r="B1122" t="s">
        <v>338</v>
      </c>
      <c r="C1122" t="s">
        <v>70</v>
      </c>
      <c r="D1122">
        <v>0</v>
      </c>
      <c r="E1122" t="s">
        <v>379</v>
      </c>
    </row>
    <row r="1123" spans="1:5" x14ac:dyDescent="0.25">
      <c r="A1123" s="279">
        <v>39002</v>
      </c>
      <c r="B1123" t="s">
        <v>338</v>
      </c>
      <c r="C1123" t="s">
        <v>80</v>
      </c>
      <c r="D1123">
        <v>143</v>
      </c>
      <c r="E1123" t="s">
        <v>379</v>
      </c>
    </row>
    <row r="1124" spans="1:5" x14ac:dyDescent="0.25">
      <c r="A1124" s="279">
        <v>39002</v>
      </c>
      <c r="B1124" t="s">
        <v>339</v>
      </c>
      <c r="C1124" t="s">
        <v>71</v>
      </c>
      <c r="D1124">
        <v>1836</v>
      </c>
      <c r="E1124" t="s">
        <v>378</v>
      </c>
    </row>
    <row r="1125" spans="1:5" x14ac:dyDescent="0.25">
      <c r="A1125" s="279">
        <v>39002</v>
      </c>
      <c r="B1125" t="s">
        <v>339</v>
      </c>
      <c r="C1125" t="s">
        <v>72</v>
      </c>
      <c r="D1125">
        <v>0</v>
      </c>
      <c r="E1125" t="s">
        <v>380</v>
      </c>
    </row>
    <row r="1126" spans="1:5" x14ac:dyDescent="0.25">
      <c r="A1126" s="279">
        <v>39002</v>
      </c>
      <c r="B1126" t="s">
        <v>339</v>
      </c>
      <c r="C1126" t="s">
        <v>73</v>
      </c>
      <c r="D1126">
        <v>13540</v>
      </c>
      <c r="E1126" t="s">
        <v>378</v>
      </c>
    </row>
    <row r="1127" spans="1:5" x14ac:dyDescent="0.25">
      <c r="A1127" s="279">
        <v>39002</v>
      </c>
      <c r="B1127" t="s">
        <v>339</v>
      </c>
      <c r="C1127" t="s">
        <v>74</v>
      </c>
      <c r="D1127">
        <v>0</v>
      </c>
      <c r="E1127" t="s">
        <v>380</v>
      </c>
    </row>
    <row r="1128" spans="1:5" x14ac:dyDescent="0.25">
      <c r="A1128" s="279">
        <v>39002</v>
      </c>
      <c r="B1128" t="s">
        <v>339</v>
      </c>
      <c r="C1128" t="s">
        <v>75</v>
      </c>
      <c r="D1128">
        <v>15065</v>
      </c>
      <c r="E1128" t="s">
        <v>378</v>
      </c>
    </row>
    <row r="1129" spans="1:5" x14ac:dyDescent="0.25">
      <c r="A1129" s="279">
        <v>39002</v>
      </c>
      <c r="B1129" t="s">
        <v>339</v>
      </c>
      <c r="C1129" t="s">
        <v>76</v>
      </c>
      <c r="D1129">
        <v>6969</v>
      </c>
      <c r="E1129" t="s">
        <v>380</v>
      </c>
    </row>
    <row r="1130" spans="1:5" x14ac:dyDescent="0.25">
      <c r="A1130" s="279">
        <v>39002</v>
      </c>
      <c r="B1130" t="s">
        <v>339</v>
      </c>
      <c r="C1130" t="s">
        <v>77</v>
      </c>
      <c r="D1130">
        <v>7296</v>
      </c>
      <c r="E1130" t="s">
        <v>378</v>
      </c>
    </row>
    <row r="1131" spans="1:5" x14ac:dyDescent="0.25">
      <c r="A1131" s="279">
        <v>39002</v>
      </c>
      <c r="B1131" t="s">
        <v>339</v>
      </c>
      <c r="C1131" t="s">
        <v>78</v>
      </c>
      <c r="D1131">
        <v>7028</v>
      </c>
      <c r="E1131" t="s">
        <v>380</v>
      </c>
    </row>
    <row r="1132" spans="1:5" x14ac:dyDescent="0.25">
      <c r="A1132" s="279">
        <v>39002</v>
      </c>
      <c r="B1132" t="s">
        <v>339</v>
      </c>
      <c r="C1132" t="s">
        <v>79</v>
      </c>
      <c r="D1132">
        <v>114076</v>
      </c>
      <c r="E1132" t="s">
        <v>379</v>
      </c>
    </row>
    <row r="1133" spans="1:5" x14ac:dyDescent="0.25">
      <c r="A1133" s="279">
        <v>39002</v>
      </c>
      <c r="B1133" t="s">
        <v>339</v>
      </c>
      <c r="C1133" t="s">
        <v>70</v>
      </c>
      <c r="D1133">
        <v>0</v>
      </c>
      <c r="E1133" t="s">
        <v>379</v>
      </c>
    </row>
    <row r="1134" spans="1:5" x14ac:dyDescent="0.25">
      <c r="A1134" s="279">
        <v>39002</v>
      </c>
      <c r="B1134" t="s">
        <v>339</v>
      </c>
      <c r="C1134" t="s">
        <v>63</v>
      </c>
      <c r="D1134">
        <v>0</v>
      </c>
      <c r="E1134" t="s">
        <v>378</v>
      </c>
    </row>
    <row r="1135" spans="1:5" x14ac:dyDescent="0.25">
      <c r="A1135" s="279">
        <v>39002</v>
      </c>
      <c r="B1135" t="s">
        <v>339</v>
      </c>
      <c r="C1135" t="s">
        <v>80</v>
      </c>
      <c r="D1135">
        <v>666</v>
      </c>
      <c r="E1135" t="s">
        <v>379</v>
      </c>
    </row>
    <row r="1136" spans="1:5" x14ac:dyDescent="0.25">
      <c r="A1136" s="279">
        <v>39003</v>
      </c>
      <c r="B1136" t="s">
        <v>338</v>
      </c>
      <c r="C1136" t="s">
        <v>59</v>
      </c>
      <c r="D1136">
        <v>2610</v>
      </c>
      <c r="E1136" t="s">
        <v>378</v>
      </c>
    </row>
    <row r="1137" spans="1:5" x14ac:dyDescent="0.25">
      <c r="A1137" s="279">
        <v>39003</v>
      </c>
      <c r="B1137" t="s">
        <v>338</v>
      </c>
      <c r="C1137" t="s">
        <v>60</v>
      </c>
      <c r="D1137">
        <v>0</v>
      </c>
      <c r="E1137" t="s">
        <v>379</v>
      </c>
    </row>
    <row r="1138" spans="1:5" x14ac:dyDescent="0.25">
      <c r="A1138" s="279">
        <v>39003</v>
      </c>
      <c r="B1138" t="s">
        <v>338</v>
      </c>
      <c r="C1138" t="s">
        <v>61</v>
      </c>
      <c r="D1138">
        <v>6465</v>
      </c>
      <c r="E1138" t="s">
        <v>378</v>
      </c>
    </row>
    <row r="1139" spans="1:5" x14ac:dyDescent="0.25">
      <c r="A1139" s="279">
        <v>39003</v>
      </c>
      <c r="B1139" t="s">
        <v>338</v>
      </c>
      <c r="C1139" t="s">
        <v>62</v>
      </c>
      <c r="D1139">
        <v>0</v>
      </c>
      <c r="E1139" t="s">
        <v>380</v>
      </c>
    </row>
    <row r="1140" spans="1:5" x14ac:dyDescent="0.25">
      <c r="A1140" s="279">
        <v>39003</v>
      </c>
      <c r="B1140" t="s">
        <v>338</v>
      </c>
      <c r="C1140" t="s">
        <v>63</v>
      </c>
      <c r="D1140">
        <v>0</v>
      </c>
      <c r="E1140" t="s">
        <v>378</v>
      </c>
    </row>
    <row r="1141" spans="1:5" x14ac:dyDescent="0.25">
      <c r="A1141" s="279">
        <v>39003</v>
      </c>
      <c r="B1141" t="s">
        <v>338</v>
      </c>
      <c r="C1141" t="s">
        <v>64</v>
      </c>
      <c r="D1141">
        <v>0</v>
      </c>
      <c r="E1141" t="s">
        <v>380</v>
      </c>
    </row>
    <row r="1142" spans="1:5" x14ac:dyDescent="0.25">
      <c r="A1142" s="279">
        <v>39003</v>
      </c>
      <c r="B1142" t="s">
        <v>338</v>
      </c>
      <c r="C1142" t="s">
        <v>65</v>
      </c>
      <c r="D1142">
        <v>506</v>
      </c>
      <c r="E1142" t="s">
        <v>378</v>
      </c>
    </row>
    <row r="1143" spans="1:5" x14ac:dyDescent="0.25">
      <c r="A1143" s="279">
        <v>39003</v>
      </c>
      <c r="B1143" t="s">
        <v>338</v>
      </c>
      <c r="C1143" t="s">
        <v>66</v>
      </c>
      <c r="D1143">
        <v>0</v>
      </c>
      <c r="E1143" t="s">
        <v>380</v>
      </c>
    </row>
    <row r="1144" spans="1:5" x14ac:dyDescent="0.25">
      <c r="A1144" s="279">
        <v>39003</v>
      </c>
      <c r="B1144" t="s">
        <v>338</v>
      </c>
      <c r="C1144" t="s">
        <v>120</v>
      </c>
      <c r="D1144">
        <v>12263</v>
      </c>
      <c r="E1144" t="s">
        <v>378</v>
      </c>
    </row>
    <row r="1145" spans="1:5" x14ac:dyDescent="0.25">
      <c r="A1145" s="279">
        <v>39003</v>
      </c>
      <c r="B1145" t="s">
        <v>338</v>
      </c>
      <c r="C1145" t="s">
        <v>121</v>
      </c>
      <c r="D1145">
        <v>0</v>
      </c>
      <c r="E1145" t="s">
        <v>380</v>
      </c>
    </row>
    <row r="1146" spans="1:5" x14ac:dyDescent="0.25">
      <c r="A1146" s="279">
        <v>39003</v>
      </c>
      <c r="B1146" t="s">
        <v>338</v>
      </c>
      <c r="C1146" t="s">
        <v>67</v>
      </c>
      <c r="D1146">
        <v>0</v>
      </c>
      <c r="E1146" t="s">
        <v>378</v>
      </c>
    </row>
    <row r="1147" spans="1:5" x14ac:dyDescent="0.25">
      <c r="A1147" s="279">
        <v>39003</v>
      </c>
      <c r="B1147" t="s">
        <v>338</v>
      </c>
      <c r="C1147" t="s">
        <v>68</v>
      </c>
      <c r="D1147">
        <v>0</v>
      </c>
      <c r="E1147" t="s">
        <v>380</v>
      </c>
    </row>
    <row r="1148" spans="1:5" x14ac:dyDescent="0.25">
      <c r="A1148" s="279">
        <v>39003</v>
      </c>
      <c r="B1148" t="s">
        <v>338</v>
      </c>
      <c r="C1148" t="s">
        <v>69</v>
      </c>
      <c r="D1148">
        <v>0</v>
      </c>
      <c r="E1148" t="s">
        <v>379</v>
      </c>
    </row>
    <row r="1149" spans="1:5" x14ac:dyDescent="0.25">
      <c r="A1149" s="279">
        <v>39003</v>
      </c>
      <c r="B1149" t="s">
        <v>338</v>
      </c>
      <c r="C1149" t="s">
        <v>70</v>
      </c>
      <c r="D1149">
        <v>0</v>
      </c>
      <c r="E1149" t="s">
        <v>379</v>
      </c>
    </row>
    <row r="1150" spans="1:5" x14ac:dyDescent="0.25">
      <c r="A1150" s="279">
        <v>39003</v>
      </c>
      <c r="B1150" t="s">
        <v>338</v>
      </c>
      <c r="C1150" t="s">
        <v>80</v>
      </c>
      <c r="D1150">
        <v>175</v>
      </c>
      <c r="E1150" t="s">
        <v>379</v>
      </c>
    </row>
    <row r="1151" spans="1:5" x14ac:dyDescent="0.25">
      <c r="A1151" s="279">
        <v>39003</v>
      </c>
      <c r="B1151" t="s">
        <v>339</v>
      </c>
      <c r="C1151" t="s">
        <v>71</v>
      </c>
      <c r="D1151">
        <v>1840</v>
      </c>
      <c r="E1151" t="s">
        <v>378</v>
      </c>
    </row>
    <row r="1152" spans="1:5" x14ac:dyDescent="0.25">
      <c r="A1152" s="279">
        <v>39003</v>
      </c>
      <c r="B1152" t="s">
        <v>339</v>
      </c>
      <c r="C1152" t="s">
        <v>72</v>
      </c>
      <c r="D1152">
        <v>0</v>
      </c>
      <c r="E1152" t="s">
        <v>380</v>
      </c>
    </row>
    <row r="1153" spans="1:5" x14ac:dyDescent="0.25">
      <c r="A1153" s="279">
        <v>39003</v>
      </c>
      <c r="B1153" t="s">
        <v>339</v>
      </c>
      <c r="C1153" t="s">
        <v>73</v>
      </c>
      <c r="D1153">
        <v>6751</v>
      </c>
      <c r="E1153" t="s">
        <v>378</v>
      </c>
    </row>
    <row r="1154" spans="1:5" x14ac:dyDescent="0.25">
      <c r="A1154" s="279">
        <v>39003</v>
      </c>
      <c r="B1154" t="s">
        <v>339</v>
      </c>
      <c r="C1154" t="s">
        <v>74</v>
      </c>
      <c r="D1154">
        <v>0</v>
      </c>
      <c r="E1154" t="s">
        <v>380</v>
      </c>
    </row>
    <row r="1155" spans="1:5" x14ac:dyDescent="0.25">
      <c r="A1155" s="279">
        <v>39003</v>
      </c>
      <c r="B1155" t="s">
        <v>339</v>
      </c>
      <c r="C1155" t="s">
        <v>75</v>
      </c>
      <c r="D1155">
        <v>15094</v>
      </c>
      <c r="E1155" t="s">
        <v>378</v>
      </c>
    </row>
    <row r="1156" spans="1:5" x14ac:dyDescent="0.25">
      <c r="A1156" s="279">
        <v>39003</v>
      </c>
      <c r="B1156" t="s">
        <v>339</v>
      </c>
      <c r="C1156" t="s">
        <v>76</v>
      </c>
      <c r="D1156">
        <v>14550</v>
      </c>
      <c r="E1156" t="s">
        <v>380</v>
      </c>
    </row>
    <row r="1157" spans="1:5" x14ac:dyDescent="0.25">
      <c r="A1157" s="279">
        <v>39003</v>
      </c>
      <c r="B1157" t="s">
        <v>339</v>
      </c>
      <c r="C1157" t="s">
        <v>77</v>
      </c>
      <c r="D1157">
        <v>7310</v>
      </c>
      <c r="E1157" t="s">
        <v>378</v>
      </c>
    </row>
    <row r="1158" spans="1:5" x14ac:dyDescent="0.25">
      <c r="A1158" s="279">
        <v>39003</v>
      </c>
      <c r="B1158" t="s">
        <v>339</v>
      </c>
      <c r="C1158" t="s">
        <v>78</v>
      </c>
      <c r="D1158">
        <v>7042</v>
      </c>
      <c r="E1158" t="s">
        <v>380</v>
      </c>
    </row>
    <row r="1159" spans="1:5" x14ac:dyDescent="0.25">
      <c r="A1159" s="279">
        <v>39003</v>
      </c>
      <c r="B1159" t="s">
        <v>339</v>
      </c>
      <c r="C1159" t="s">
        <v>79</v>
      </c>
      <c r="D1159">
        <v>131912</v>
      </c>
      <c r="E1159" t="s">
        <v>379</v>
      </c>
    </row>
    <row r="1160" spans="1:5" x14ac:dyDescent="0.25">
      <c r="A1160" s="279">
        <v>39003</v>
      </c>
      <c r="B1160" t="s">
        <v>339</v>
      </c>
      <c r="C1160" t="s">
        <v>70</v>
      </c>
      <c r="D1160">
        <v>0</v>
      </c>
      <c r="E1160" t="s">
        <v>379</v>
      </c>
    </row>
    <row r="1161" spans="1:5" x14ac:dyDescent="0.25">
      <c r="A1161" s="279">
        <v>39003</v>
      </c>
      <c r="B1161" t="s">
        <v>339</v>
      </c>
      <c r="C1161" t="s">
        <v>63</v>
      </c>
      <c r="D1161">
        <v>0</v>
      </c>
      <c r="E1161" t="s">
        <v>378</v>
      </c>
    </row>
    <row r="1162" spans="1:5" x14ac:dyDescent="0.25">
      <c r="A1162" s="279">
        <v>39003</v>
      </c>
      <c r="B1162" t="s">
        <v>339</v>
      </c>
      <c r="C1162" t="s">
        <v>80</v>
      </c>
      <c r="D1162">
        <v>407</v>
      </c>
      <c r="E1162" t="s">
        <v>379</v>
      </c>
    </row>
    <row r="1163" spans="1:5" x14ac:dyDescent="0.25">
      <c r="A1163" s="279">
        <v>39004</v>
      </c>
      <c r="B1163" t="s">
        <v>338</v>
      </c>
      <c r="C1163" t="s">
        <v>59</v>
      </c>
      <c r="D1163">
        <v>2603</v>
      </c>
      <c r="E1163" t="s">
        <v>378</v>
      </c>
    </row>
    <row r="1164" spans="1:5" x14ac:dyDescent="0.25">
      <c r="A1164" s="279">
        <v>39004</v>
      </c>
      <c r="B1164" t="s">
        <v>338</v>
      </c>
      <c r="C1164" t="s">
        <v>60</v>
      </c>
      <c r="D1164">
        <v>0</v>
      </c>
      <c r="E1164" t="s">
        <v>379</v>
      </c>
    </row>
    <row r="1165" spans="1:5" x14ac:dyDescent="0.25">
      <c r="A1165" s="279">
        <v>39004</v>
      </c>
      <c r="B1165" t="s">
        <v>338</v>
      </c>
      <c r="C1165" t="s">
        <v>61</v>
      </c>
      <c r="D1165">
        <v>8234</v>
      </c>
      <c r="E1165" t="s">
        <v>378</v>
      </c>
    </row>
    <row r="1166" spans="1:5" x14ac:dyDescent="0.25">
      <c r="A1166" s="279">
        <v>39004</v>
      </c>
      <c r="B1166" t="s">
        <v>338</v>
      </c>
      <c r="C1166" t="s">
        <v>62</v>
      </c>
      <c r="D1166">
        <v>0</v>
      </c>
      <c r="E1166" t="s">
        <v>380</v>
      </c>
    </row>
    <row r="1167" spans="1:5" x14ac:dyDescent="0.25">
      <c r="A1167" s="279">
        <v>39004</v>
      </c>
      <c r="B1167" t="s">
        <v>338</v>
      </c>
      <c r="C1167" t="s">
        <v>63</v>
      </c>
      <c r="D1167">
        <v>0</v>
      </c>
      <c r="E1167" t="s">
        <v>378</v>
      </c>
    </row>
    <row r="1168" spans="1:5" x14ac:dyDescent="0.25">
      <c r="A1168" s="279">
        <v>39004</v>
      </c>
      <c r="B1168" t="s">
        <v>338</v>
      </c>
      <c r="C1168" t="s">
        <v>64</v>
      </c>
      <c r="D1168">
        <v>0</v>
      </c>
      <c r="E1168" t="s">
        <v>380</v>
      </c>
    </row>
    <row r="1169" spans="1:5" x14ac:dyDescent="0.25">
      <c r="A1169" s="279">
        <v>39004</v>
      </c>
      <c r="B1169" t="s">
        <v>338</v>
      </c>
      <c r="C1169" t="s">
        <v>65</v>
      </c>
      <c r="D1169">
        <v>0</v>
      </c>
      <c r="E1169" t="s">
        <v>378</v>
      </c>
    </row>
    <row r="1170" spans="1:5" x14ac:dyDescent="0.25">
      <c r="A1170" s="279">
        <v>39004</v>
      </c>
      <c r="B1170" t="s">
        <v>338</v>
      </c>
      <c r="C1170" t="s">
        <v>66</v>
      </c>
      <c r="D1170">
        <v>0</v>
      </c>
      <c r="E1170" t="s">
        <v>380</v>
      </c>
    </row>
    <row r="1171" spans="1:5" x14ac:dyDescent="0.25">
      <c r="A1171" s="279">
        <v>39004</v>
      </c>
      <c r="B1171" t="s">
        <v>338</v>
      </c>
      <c r="C1171" t="s">
        <v>120</v>
      </c>
      <c r="D1171">
        <v>12228</v>
      </c>
      <c r="E1171" t="s">
        <v>378</v>
      </c>
    </row>
    <row r="1172" spans="1:5" x14ac:dyDescent="0.25">
      <c r="A1172" s="279">
        <v>39004</v>
      </c>
      <c r="B1172" t="s">
        <v>338</v>
      </c>
      <c r="C1172" t="s">
        <v>121</v>
      </c>
      <c r="D1172">
        <v>0</v>
      </c>
      <c r="E1172" t="s">
        <v>380</v>
      </c>
    </row>
    <row r="1173" spans="1:5" x14ac:dyDescent="0.25">
      <c r="A1173" s="279">
        <v>39004</v>
      </c>
      <c r="B1173" t="s">
        <v>338</v>
      </c>
      <c r="C1173" t="s">
        <v>67</v>
      </c>
      <c r="D1173">
        <v>0</v>
      </c>
      <c r="E1173" t="s">
        <v>378</v>
      </c>
    </row>
    <row r="1174" spans="1:5" x14ac:dyDescent="0.25">
      <c r="A1174" s="279">
        <v>39004</v>
      </c>
      <c r="B1174" t="s">
        <v>338</v>
      </c>
      <c r="C1174" t="s">
        <v>68</v>
      </c>
      <c r="D1174">
        <v>0</v>
      </c>
      <c r="E1174" t="s">
        <v>380</v>
      </c>
    </row>
    <row r="1175" spans="1:5" x14ac:dyDescent="0.25">
      <c r="A1175" s="279">
        <v>39004</v>
      </c>
      <c r="B1175" t="s">
        <v>338</v>
      </c>
      <c r="C1175" t="s">
        <v>69</v>
      </c>
      <c r="D1175">
        <v>0</v>
      </c>
      <c r="E1175" t="s">
        <v>379</v>
      </c>
    </row>
    <row r="1176" spans="1:5" x14ac:dyDescent="0.25">
      <c r="A1176" s="279">
        <v>39004</v>
      </c>
      <c r="B1176" t="s">
        <v>338</v>
      </c>
      <c r="C1176" t="s">
        <v>70</v>
      </c>
      <c r="D1176">
        <v>0</v>
      </c>
      <c r="E1176" t="s">
        <v>379</v>
      </c>
    </row>
    <row r="1177" spans="1:5" x14ac:dyDescent="0.25">
      <c r="A1177" s="279">
        <v>39004</v>
      </c>
      <c r="B1177" t="s">
        <v>338</v>
      </c>
      <c r="C1177" t="s">
        <v>80</v>
      </c>
      <c r="D1177">
        <v>190</v>
      </c>
      <c r="E1177" t="s">
        <v>379</v>
      </c>
    </row>
    <row r="1178" spans="1:5" x14ac:dyDescent="0.25">
      <c r="A1178" s="279">
        <v>39004</v>
      </c>
      <c r="B1178" t="s">
        <v>339</v>
      </c>
      <c r="C1178" t="s">
        <v>71</v>
      </c>
      <c r="D1178">
        <v>264</v>
      </c>
      <c r="E1178" t="s">
        <v>378</v>
      </c>
    </row>
    <row r="1179" spans="1:5" x14ac:dyDescent="0.25">
      <c r="A1179" s="279">
        <v>39004</v>
      </c>
      <c r="B1179" t="s">
        <v>339</v>
      </c>
      <c r="C1179" t="s">
        <v>72</v>
      </c>
      <c r="D1179">
        <v>0</v>
      </c>
      <c r="E1179" t="s">
        <v>380</v>
      </c>
    </row>
    <row r="1180" spans="1:5" x14ac:dyDescent="0.25">
      <c r="A1180" s="279">
        <v>39004</v>
      </c>
      <c r="B1180" t="s">
        <v>339</v>
      </c>
      <c r="C1180" t="s">
        <v>73</v>
      </c>
      <c r="D1180">
        <v>0</v>
      </c>
      <c r="E1180" t="s">
        <v>378</v>
      </c>
    </row>
    <row r="1181" spans="1:5" x14ac:dyDescent="0.25">
      <c r="A1181" s="279">
        <v>39004</v>
      </c>
      <c r="B1181" t="s">
        <v>339</v>
      </c>
      <c r="C1181" t="s">
        <v>74</v>
      </c>
      <c r="D1181">
        <v>0</v>
      </c>
      <c r="E1181" t="s">
        <v>380</v>
      </c>
    </row>
    <row r="1182" spans="1:5" x14ac:dyDescent="0.25">
      <c r="A1182" s="279">
        <v>39004</v>
      </c>
      <c r="B1182" t="s">
        <v>339</v>
      </c>
      <c r="C1182" t="s">
        <v>75</v>
      </c>
      <c r="D1182">
        <v>15079</v>
      </c>
      <c r="E1182" t="s">
        <v>378</v>
      </c>
    </row>
    <row r="1183" spans="1:5" x14ac:dyDescent="0.25">
      <c r="A1183" s="279">
        <v>39004</v>
      </c>
      <c r="B1183" t="s">
        <v>339</v>
      </c>
      <c r="C1183" t="s">
        <v>76</v>
      </c>
      <c r="D1183">
        <v>14536</v>
      </c>
      <c r="E1183" t="s">
        <v>380</v>
      </c>
    </row>
    <row r="1184" spans="1:5" x14ac:dyDescent="0.25">
      <c r="A1184" s="279">
        <v>39004</v>
      </c>
      <c r="B1184" t="s">
        <v>339</v>
      </c>
      <c r="C1184" t="s">
        <v>77</v>
      </c>
      <c r="D1184">
        <v>7303</v>
      </c>
      <c r="E1184" t="s">
        <v>378</v>
      </c>
    </row>
    <row r="1185" spans="1:5" x14ac:dyDescent="0.25">
      <c r="A1185" s="279">
        <v>39004</v>
      </c>
      <c r="B1185" t="s">
        <v>339</v>
      </c>
      <c r="C1185" t="s">
        <v>78</v>
      </c>
      <c r="D1185">
        <v>14536</v>
      </c>
      <c r="E1185" t="s">
        <v>380</v>
      </c>
    </row>
    <row r="1186" spans="1:5" x14ac:dyDescent="0.25">
      <c r="A1186" s="279">
        <v>39004</v>
      </c>
      <c r="B1186" t="s">
        <v>339</v>
      </c>
      <c r="C1186" t="s">
        <v>79</v>
      </c>
      <c r="D1186">
        <v>131784</v>
      </c>
      <c r="E1186" t="s">
        <v>379</v>
      </c>
    </row>
    <row r="1187" spans="1:5" x14ac:dyDescent="0.25">
      <c r="A1187" s="279">
        <v>39004</v>
      </c>
      <c r="B1187" t="s">
        <v>339</v>
      </c>
      <c r="C1187" t="s">
        <v>70</v>
      </c>
      <c r="D1187">
        <v>0</v>
      </c>
      <c r="E1187" t="s">
        <v>379</v>
      </c>
    </row>
    <row r="1188" spans="1:5" x14ac:dyDescent="0.25">
      <c r="A1188" s="279">
        <v>39004</v>
      </c>
      <c r="B1188" t="s">
        <v>339</v>
      </c>
      <c r="C1188" t="s">
        <v>63</v>
      </c>
      <c r="D1188">
        <v>0</v>
      </c>
      <c r="E1188" t="s">
        <v>378</v>
      </c>
    </row>
    <row r="1189" spans="1:5" x14ac:dyDescent="0.25">
      <c r="A1189" s="279">
        <v>39004</v>
      </c>
      <c r="B1189" t="s">
        <v>339</v>
      </c>
      <c r="C1189" t="s">
        <v>80</v>
      </c>
      <c r="D1189">
        <v>136</v>
      </c>
      <c r="E1189" t="s">
        <v>379</v>
      </c>
    </row>
    <row r="1190" spans="1:5" x14ac:dyDescent="0.25">
      <c r="A1190" s="279">
        <v>39005</v>
      </c>
      <c r="B1190" t="s">
        <v>338</v>
      </c>
      <c r="C1190" t="s">
        <v>59</v>
      </c>
      <c r="D1190">
        <v>2603</v>
      </c>
      <c r="E1190" t="s">
        <v>378</v>
      </c>
    </row>
    <row r="1191" spans="1:5" x14ac:dyDescent="0.25">
      <c r="A1191" s="279">
        <v>39005</v>
      </c>
      <c r="B1191" t="s">
        <v>338</v>
      </c>
      <c r="C1191" t="s">
        <v>60</v>
      </c>
      <c r="D1191">
        <v>0</v>
      </c>
      <c r="E1191" t="s">
        <v>379</v>
      </c>
    </row>
    <row r="1192" spans="1:5" x14ac:dyDescent="0.25">
      <c r="A1192" s="279">
        <v>39005</v>
      </c>
      <c r="B1192" t="s">
        <v>338</v>
      </c>
      <c r="C1192" t="s">
        <v>61</v>
      </c>
      <c r="D1192">
        <v>0</v>
      </c>
      <c r="E1192" t="s">
        <v>378</v>
      </c>
    </row>
    <row r="1193" spans="1:5" x14ac:dyDescent="0.25">
      <c r="A1193" s="279">
        <v>39005</v>
      </c>
      <c r="B1193" t="s">
        <v>338</v>
      </c>
      <c r="C1193" t="s">
        <v>62</v>
      </c>
      <c r="D1193">
        <v>0</v>
      </c>
      <c r="E1193" t="s">
        <v>380</v>
      </c>
    </row>
    <row r="1194" spans="1:5" x14ac:dyDescent="0.25">
      <c r="A1194" s="279">
        <v>39005</v>
      </c>
      <c r="B1194" t="s">
        <v>338</v>
      </c>
      <c r="C1194" t="s">
        <v>63</v>
      </c>
      <c r="D1194">
        <v>0</v>
      </c>
      <c r="E1194" t="s">
        <v>378</v>
      </c>
    </row>
    <row r="1195" spans="1:5" x14ac:dyDescent="0.25">
      <c r="A1195" s="279">
        <v>39005</v>
      </c>
      <c r="B1195" t="s">
        <v>338</v>
      </c>
      <c r="C1195" t="s">
        <v>64</v>
      </c>
      <c r="D1195">
        <v>0</v>
      </c>
      <c r="E1195" t="s">
        <v>380</v>
      </c>
    </row>
    <row r="1196" spans="1:5" x14ac:dyDescent="0.25">
      <c r="A1196" s="279">
        <v>39005</v>
      </c>
      <c r="B1196" t="s">
        <v>338</v>
      </c>
      <c r="C1196" t="s">
        <v>65</v>
      </c>
      <c r="D1196">
        <v>0</v>
      </c>
      <c r="E1196" t="s">
        <v>378</v>
      </c>
    </row>
    <row r="1197" spans="1:5" x14ac:dyDescent="0.25">
      <c r="A1197" s="279">
        <v>39005</v>
      </c>
      <c r="B1197" t="s">
        <v>338</v>
      </c>
      <c r="C1197" t="s">
        <v>66</v>
      </c>
      <c r="D1197">
        <v>0</v>
      </c>
      <c r="E1197" t="s">
        <v>380</v>
      </c>
    </row>
    <row r="1198" spans="1:5" x14ac:dyDescent="0.25">
      <c r="A1198" s="279">
        <v>39005</v>
      </c>
      <c r="B1198" t="s">
        <v>338</v>
      </c>
      <c r="C1198" t="s">
        <v>120</v>
      </c>
      <c r="D1198">
        <v>6841</v>
      </c>
      <c r="E1198" t="s">
        <v>378</v>
      </c>
    </row>
    <row r="1199" spans="1:5" x14ac:dyDescent="0.25">
      <c r="A1199" s="279">
        <v>39005</v>
      </c>
      <c r="B1199" t="s">
        <v>338</v>
      </c>
      <c r="C1199" t="s">
        <v>121</v>
      </c>
      <c r="D1199">
        <v>0</v>
      </c>
      <c r="E1199" t="s">
        <v>380</v>
      </c>
    </row>
    <row r="1200" spans="1:5" x14ac:dyDescent="0.25">
      <c r="A1200" s="279">
        <v>39005</v>
      </c>
      <c r="B1200" t="s">
        <v>338</v>
      </c>
      <c r="C1200" t="s">
        <v>67</v>
      </c>
      <c r="D1200">
        <v>0</v>
      </c>
      <c r="E1200" t="s">
        <v>378</v>
      </c>
    </row>
    <row r="1201" spans="1:5" x14ac:dyDescent="0.25">
      <c r="A1201" s="279">
        <v>39005</v>
      </c>
      <c r="B1201" t="s">
        <v>338</v>
      </c>
      <c r="C1201" t="s">
        <v>68</v>
      </c>
      <c r="D1201">
        <v>0</v>
      </c>
      <c r="E1201" t="s">
        <v>380</v>
      </c>
    </row>
    <row r="1202" spans="1:5" x14ac:dyDescent="0.25">
      <c r="A1202" s="279">
        <v>39005</v>
      </c>
      <c r="B1202" t="s">
        <v>338</v>
      </c>
      <c r="C1202" t="s">
        <v>69</v>
      </c>
      <c r="D1202">
        <v>0</v>
      </c>
      <c r="E1202" t="s">
        <v>379</v>
      </c>
    </row>
    <row r="1203" spans="1:5" x14ac:dyDescent="0.25">
      <c r="A1203" s="279">
        <v>39005</v>
      </c>
      <c r="B1203" t="s">
        <v>338</v>
      </c>
      <c r="C1203" t="s">
        <v>70</v>
      </c>
      <c r="D1203">
        <v>0</v>
      </c>
      <c r="E1203" t="s">
        <v>379</v>
      </c>
    </row>
    <row r="1204" spans="1:5" x14ac:dyDescent="0.25">
      <c r="A1204" s="279">
        <v>39005</v>
      </c>
      <c r="B1204" t="s">
        <v>338</v>
      </c>
      <c r="C1204" t="s">
        <v>80</v>
      </c>
      <c r="D1204">
        <v>72</v>
      </c>
      <c r="E1204" t="s">
        <v>379</v>
      </c>
    </row>
    <row r="1205" spans="1:5" x14ac:dyDescent="0.25">
      <c r="A1205" s="279">
        <v>39005</v>
      </c>
      <c r="B1205" t="s">
        <v>339</v>
      </c>
      <c r="C1205" t="s">
        <v>71</v>
      </c>
      <c r="D1205">
        <v>1801</v>
      </c>
      <c r="E1205" t="s">
        <v>378</v>
      </c>
    </row>
    <row r="1206" spans="1:5" x14ac:dyDescent="0.25">
      <c r="A1206" s="279">
        <v>39005</v>
      </c>
      <c r="B1206" t="s">
        <v>339</v>
      </c>
      <c r="C1206" t="s">
        <v>72</v>
      </c>
      <c r="D1206">
        <v>0</v>
      </c>
      <c r="E1206" t="s">
        <v>380</v>
      </c>
    </row>
    <row r="1207" spans="1:5" x14ac:dyDescent="0.25">
      <c r="A1207" s="279">
        <v>39005</v>
      </c>
      <c r="B1207" t="s">
        <v>339</v>
      </c>
      <c r="C1207" t="s">
        <v>73</v>
      </c>
      <c r="D1207">
        <v>0</v>
      </c>
      <c r="E1207" t="s">
        <v>378</v>
      </c>
    </row>
    <row r="1208" spans="1:5" x14ac:dyDescent="0.25">
      <c r="A1208" s="279">
        <v>39005</v>
      </c>
      <c r="B1208" t="s">
        <v>339</v>
      </c>
      <c r="C1208" t="s">
        <v>74</v>
      </c>
      <c r="D1208">
        <v>0</v>
      </c>
      <c r="E1208" t="s">
        <v>380</v>
      </c>
    </row>
    <row r="1209" spans="1:5" x14ac:dyDescent="0.25">
      <c r="A1209" s="279">
        <v>39005</v>
      </c>
      <c r="B1209" t="s">
        <v>339</v>
      </c>
      <c r="C1209" t="s">
        <v>75</v>
      </c>
      <c r="D1209">
        <v>15079</v>
      </c>
      <c r="E1209" t="s">
        <v>378</v>
      </c>
    </row>
    <row r="1210" spans="1:5" x14ac:dyDescent="0.25">
      <c r="A1210" s="279">
        <v>39005</v>
      </c>
      <c r="B1210" t="s">
        <v>339</v>
      </c>
      <c r="C1210" t="s">
        <v>76</v>
      </c>
      <c r="D1210">
        <v>14536</v>
      </c>
      <c r="E1210" t="s">
        <v>380</v>
      </c>
    </row>
    <row r="1211" spans="1:5" x14ac:dyDescent="0.25">
      <c r="A1211" s="279">
        <v>39005</v>
      </c>
      <c r="B1211" t="s">
        <v>339</v>
      </c>
      <c r="C1211" t="s">
        <v>77</v>
      </c>
      <c r="D1211">
        <v>7303</v>
      </c>
      <c r="E1211" t="s">
        <v>378</v>
      </c>
    </row>
    <row r="1212" spans="1:5" x14ac:dyDescent="0.25">
      <c r="A1212" s="279">
        <v>39005</v>
      </c>
      <c r="B1212" t="s">
        <v>339</v>
      </c>
      <c r="C1212" t="s">
        <v>78</v>
      </c>
      <c r="D1212">
        <v>7035</v>
      </c>
      <c r="E1212" t="s">
        <v>380</v>
      </c>
    </row>
    <row r="1213" spans="1:5" x14ac:dyDescent="0.25">
      <c r="A1213" s="279">
        <v>39005</v>
      </c>
      <c r="B1213" t="s">
        <v>339</v>
      </c>
      <c r="C1213" t="s">
        <v>79</v>
      </c>
      <c r="D1213">
        <v>131784</v>
      </c>
      <c r="E1213" t="s">
        <v>379</v>
      </c>
    </row>
    <row r="1214" spans="1:5" x14ac:dyDescent="0.25">
      <c r="A1214" s="279">
        <v>39005</v>
      </c>
      <c r="B1214" t="s">
        <v>339</v>
      </c>
      <c r="C1214" t="s">
        <v>70</v>
      </c>
      <c r="D1214">
        <v>0</v>
      </c>
      <c r="E1214" t="s">
        <v>379</v>
      </c>
    </row>
    <row r="1215" spans="1:5" x14ac:dyDescent="0.25">
      <c r="A1215" s="279">
        <v>39005</v>
      </c>
      <c r="B1215" t="s">
        <v>339</v>
      </c>
      <c r="C1215" t="s">
        <v>63</v>
      </c>
      <c r="D1215">
        <v>0</v>
      </c>
      <c r="E1215" t="s">
        <v>378</v>
      </c>
    </row>
    <row r="1216" spans="1:5" x14ac:dyDescent="0.25">
      <c r="A1216" s="279">
        <v>39005</v>
      </c>
      <c r="B1216" t="s">
        <v>339</v>
      </c>
      <c r="C1216" t="s">
        <v>80</v>
      </c>
      <c r="D1216">
        <v>150</v>
      </c>
      <c r="E1216" t="s">
        <v>379</v>
      </c>
    </row>
    <row r="1217" spans="1:5" x14ac:dyDescent="0.25">
      <c r="A1217" s="279">
        <v>39006</v>
      </c>
      <c r="B1217" t="s">
        <v>338</v>
      </c>
      <c r="C1217" t="s">
        <v>59</v>
      </c>
      <c r="D1217">
        <v>2600</v>
      </c>
      <c r="E1217" t="s">
        <v>378</v>
      </c>
    </row>
    <row r="1218" spans="1:5" x14ac:dyDescent="0.25">
      <c r="A1218" s="279">
        <v>39006</v>
      </c>
      <c r="B1218" t="s">
        <v>338</v>
      </c>
      <c r="C1218" t="s">
        <v>60</v>
      </c>
      <c r="D1218">
        <v>0</v>
      </c>
      <c r="E1218" t="s">
        <v>379</v>
      </c>
    </row>
    <row r="1219" spans="1:5" x14ac:dyDescent="0.25">
      <c r="A1219" s="279">
        <v>39006</v>
      </c>
      <c r="B1219" t="s">
        <v>338</v>
      </c>
      <c r="C1219" t="s">
        <v>61</v>
      </c>
      <c r="D1219">
        <v>11317</v>
      </c>
      <c r="E1219" t="s">
        <v>378</v>
      </c>
    </row>
    <row r="1220" spans="1:5" x14ac:dyDescent="0.25">
      <c r="A1220" s="279">
        <v>39006</v>
      </c>
      <c r="B1220" t="s">
        <v>338</v>
      </c>
      <c r="C1220" t="s">
        <v>62</v>
      </c>
      <c r="D1220">
        <v>0</v>
      </c>
      <c r="E1220" t="s">
        <v>380</v>
      </c>
    </row>
    <row r="1221" spans="1:5" x14ac:dyDescent="0.25">
      <c r="A1221" s="279">
        <v>39006</v>
      </c>
      <c r="B1221" t="s">
        <v>338</v>
      </c>
      <c r="C1221" t="s">
        <v>63</v>
      </c>
      <c r="D1221">
        <v>0</v>
      </c>
      <c r="E1221" t="s">
        <v>378</v>
      </c>
    </row>
    <row r="1222" spans="1:5" x14ac:dyDescent="0.25">
      <c r="A1222" s="279">
        <v>39006</v>
      </c>
      <c r="B1222" t="s">
        <v>338</v>
      </c>
      <c r="C1222" t="s">
        <v>64</v>
      </c>
      <c r="D1222">
        <v>0</v>
      </c>
      <c r="E1222" t="s">
        <v>380</v>
      </c>
    </row>
    <row r="1223" spans="1:5" x14ac:dyDescent="0.25">
      <c r="A1223" s="279">
        <v>39006</v>
      </c>
      <c r="B1223" t="s">
        <v>338</v>
      </c>
      <c r="C1223" t="s">
        <v>65</v>
      </c>
      <c r="D1223">
        <v>0</v>
      </c>
      <c r="E1223" t="s">
        <v>378</v>
      </c>
    </row>
    <row r="1224" spans="1:5" x14ac:dyDescent="0.25">
      <c r="A1224" s="279">
        <v>39006</v>
      </c>
      <c r="B1224" t="s">
        <v>338</v>
      </c>
      <c r="C1224" t="s">
        <v>66</v>
      </c>
      <c r="D1224">
        <v>0</v>
      </c>
      <c r="E1224" t="s">
        <v>380</v>
      </c>
    </row>
    <row r="1225" spans="1:5" x14ac:dyDescent="0.25">
      <c r="A1225" s="279">
        <v>39006</v>
      </c>
      <c r="B1225" t="s">
        <v>338</v>
      </c>
      <c r="C1225" t="s">
        <v>120</v>
      </c>
      <c r="D1225">
        <v>12216</v>
      </c>
      <c r="E1225" t="s">
        <v>378</v>
      </c>
    </row>
    <row r="1226" spans="1:5" x14ac:dyDescent="0.25">
      <c r="A1226" s="279">
        <v>39006</v>
      </c>
      <c r="B1226" t="s">
        <v>338</v>
      </c>
      <c r="C1226" t="s">
        <v>121</v>
      </c>
      <c r="D1226">
        <v>0</v>
      </c>
      <c r="E1226" t="s">
        <v>380</v>
      </c>
    </row>
    <row r="1227" spans="1:5" x14ac:dyDescent="0.25">
      <c r="A1227" s="279">
        <v>39006</v>
      </c>
      <c r="B1227" t="s">
        <v>338</v>
      </c>
      <c r="C1227" t="s">
        <v>67</v>
      </c>
      <c r="D1227">
        <v>0</v>
      </c>
      <c r="E1227" t="s">
        <v>378</v>
      </c>
    </row>
    <row r="1228" spans="1:5" x14ac:dyDescent="0.25">
      <c r="A1228" s="279">
        <v>39006</v>
      </c>
      <c r="B1228" t="s">
        <v>338</v>
      </c>
      <c r="C1228" t="s">
        <v>68</v>
      </c>
      <c r="D1228">
        <v>0</v>
      </c>
      <c r="E1228" t="s">
        <v>380</v>
      </c>
    </row>
    <row r="1229" spans="1:5" x14ac:dyDescent="0.25">
      <c r="A1229" s="279">
        <v>39006</v>
      </c>
      <c r="B1229" t="s">
        <v>338</v>
      </c>
      <c r="C1229" t="s">
        <v>69</v>
      </c>
      <c r="D1229">
        <v>0</v>
      </c>
      <c r="E1229" t="s">
        <v>379</v>
      </c>
    </row>
    <row r="1230" spans="1:5" x14ac:dyDescent="0.25">
      <c r="A1230" s="279">
        <v>39006</v>
      </c>
      <c r="B1230" t="s">
        <v>338</v>
      </c>
      <c r="C1230" t="s">
        <v>70</v>
      </c>
      <c r="D1230">
        <v>0</v>
      </c>
      <c r="E1230" t="s">
        <v>379</v>
      </c>
    </row>
    <row r="1231" spans="1:5" x14ac:dyDescent="0.25">
      <c r="A1231" s="279">
        <v>39006</v>
      </c>
      <c r="B1231" t="s">
        <v>338</v>
      </c>
      <c r="C1231" t="s">
        <v>80</v>
      </c>
      <c r="D1231">
        <v>217</v>
      </c>
      <c r="E1231" t="s">
        <v>379</v>
      </c>
    </row>
    <row r="1232" spans="1:5" x14ac:dyDescent="0.25">
      <c r="A1232" s="279">
        <v>39006</v>
      </c>
      <c r="B1232" t="s">
        <v>339</v>
      </c>
      <c r="C1232" t="s">
        <v>71</v>
      </c>
      <c r="D1232">
        <v>1838</v>
      </c>
      <c r="E1232" t="s">
        <v>378</v>
      </c>
    </row>
    <row r="1233" spans="1:5" x14ac:dyDescent="0.25">
      <c r="A1233" s="279">
        <v>39006</v>
      </c>
      <c r="B1233" t="s">
        <v>339</v>
      </c>
      <c r="C1233" t="s">
        <v>72</v>
      </c>
      <c r="D1233">
        <v>0</v>
      </c>
      <c r="E1233" t="s">
        <v>380</v>
      </c>
    </row>
    <row r="1234" spans="1:5" x14ac:dyDescent="0.25">
      <c r="A1234" s="279">
        <v>39006</v>
      </c>
      <c r="B1234" t="s">
        <v>339</v>
      </c>
      <c r="C1234" t="s">
        <v>73</v>
      </c>
      <c r="D1234">
        <v>6266</v>
      </c>
      <c r="E1234" t="s">
        <v>378</v>
      </c>
    </row>
    <row r="1235" spans="1:5" x14ac:dyDescent="0.25">
      <c r="A1235" s="279">
        <v>39006</v>
      </c>
      <c r="B1235" t="s">
        <v>339</v>
      </c>
      <c r="C1235" t="s">
        <v>74</v>
      </c>
      <c r="D1235">
        <v>0</v>
      </c>
      <c r="E1235" t="s">
        <v>380</v>
      </c>
    </row>
    <row r="1236" spans="1:5" x14ac:dyDescent="0.25">
      <c r="A1236" s="279">
        <v>39006</v>
      </c>
      <c r="B1236" t="s">
        <v>339</v>
      </c>
      <c r="C1236" t="s">
        <v>75</v>
      </c>
      <c r="D1236">
        <v>15079</v>
      </c>
      <c r="E1236" t="s">
        <v>378</v>
      </c>
    </row>
    <row r="1237" spans="1:5" x14ac:dyDescent="0.25">
      <c r="A1237" s="279">
        <v>39006</v>
      </c>
      <c r="B1237" t="s">
        <v>339</v>
      </c>
      <c r="C1237" t="s">
        <v>76</v>
      </c>
      <c r="D1237">
        <v>14536</v>
      </c>
      <c r="E1237" t="s">
        <v>380</v>
      </c>
    </row>
    <row r="1238" spans="1:5" x14ac:dyDescent="0.25">
      <c r="A1238" s="279">
        <v>39006</v>
      </c>
      <c r="B1238" t="s">
        <v>339</v>
      </c>
      <c r="C1238" t="s">
        <v>77</v>
      </c>
      <c r="D1238">
        <v>7303</v>
      </c>
      <c r="E1238" t="s">
        <v>378</v>
      </c>
    </row>
    <row r="1239" spans="1:5" x14ac:dyDescent="0.25">
      <c r="A1239" s="279">
        <v>39006</v>
      </c>
      <c r="B1239" t="s">
        <v>339</v>
      </c>
      <c r="C1239" t="s">
        <v>78</v>
      </c>
      <c r="D1239">
        <v>7035</v>
      </c>
      <c r="E1239" t="s">
        <v>380</v>
      </c>
    </row>
    <row r="1240" spans="1:5" x14ac:dyDescent="0.25">
      <c r="A1240" s="279">
        <v>39006</v>
      </c>
      <c r="B1240" t="s">
        <v>339</v>
      </c>
      <c r="C1240" t="s">
        <v>79</v>
      </c>
      <c r="D1240">
        <v>131784</v>
      </c>
      <c r="E1240" t="s">
        <v>379</v>
      </c>
    </row>
    <row r="1241" spans="1:5" x14ac:dyDescent="0.25">
      <c r="A1241" s="279">
        <v>39006</v>
      </c>
      <c r="B1241" t="s">
        <v>339</v>
      </c>
      <c r="C1241" t="s">
        <v>70</v>
      </c>
      <c r="D1241">
        <v>0</v>
      </c>
      <c r="E1241" t="s">
        <v>379</v>
      </c>
    </row>
    <row r="1242" spans="1:5" x14ac:dyDescent="0.25">
      <c r="A1242" s="279">
        <v>39006</v>
      </c>
      <c r="B1242" t="s">
        <v>339</v>
      </c>
      <c r="C1242" t="s">
        <v>63</v>
      </c>
      <c r="D1242">
        <v>0</v>
      </c>
      <c r="E1242" t="s">
        <v>378</v>
      </c>
    </row>
    <row r="1243" spans="1:5" x14ac:dyDescent="0.25">
      <c r="A1243" s="279">
        <v>39006</v>
      </c>
      <c r="B1243" t="s">
        <v>339</v>
      </c>
      <c r="C1243" t="s">
        <v>80</v>
      </c>
      <c r="D1243">
        <v>389</v>
      </c>
      <c r="E1243" t="s">
        <v>379</v>
      </c>
    </row>
    <row r="1244" spans="1:5" x14ac:dyDescent="0.25">
      <c r="A1244" s="279">
        <v>39007</v>
      </c>
      <c r="B1244" t="s">
        <v>338</v>
      </c>
      <c r="C1244" t="s">
        <v>59</v>
      </c>
      <c r="D1244">
        <v>2605</v>
      </c>
      <c r="E1244" t="s">
        <v>378</v>
      </c>
    </row>
    <row r="1245" spans="1:5" x14ac:dyDescent="0.25">
      <c r="A1245" s="279">
        <v>39007</v>
      </c>
      <c r="B1245" t="s">
        <v>338</v>
      </c>
      <c r="C1245" t="s">
        <v>60</v>
      </c>
      <c r="D1245">
        <v>0</v>
      </c>
      <c r="E1245" t="s">
        <v>379</v>
      </c>
    </row>
    <row r="1246" spans="1:5" x14ac:dyDescent="0.25">
      <c r="A1246" s="279">
        <v>39007</v>
      </c>
      <c r="B1246" t="s">
        <v>338</v>
      </c>
      <c r="C1246" t="s">
        <v>61</v>
      </c>
      <c r="D1246">
        <v>2608</v>
      </c>
      <c r="E1246" t="s">
        <v>378</v>
      </c>
    </row>
    <row r="1247" spans="1:5" x14ac:dyDescent="0.25">
      <c r="A1247" s="279">
        <v>39007</v>
      </c>
      <c r="B1247" t="s">
        <v>338</v>
      </c>
      <c r="C1247" t="s">
        <v>62</v>
      </c>
      <c r="D1247">
        <v>0</v>
      </c>
      <c r="E1247" t="s">
        <v>380</v>
      </c>
    </row>
    <row r="1248" spans="1:5" x14ac:dyDescent="0.25">
      <c r="A1248" s="279">
        <v>39007</v>
      </c>
      <c r="B1248" t="s">
        <v>338</v>
      </c>
      <c r="C1248" t="s">
        <v>63</v>
      </c>
      <c r="D1248">
        <v>0</v>
      </c>
      <c r="E1248" t="s">
        <v>378</v>
      </c>
    </row>
    <row r="1249" spans="1:5" x14ac:dyDescent="0.25">
      <c r="A1249" s="279">
        <v>39007</v>
      </c>
      <c r="B1249" t="s">
        <v>338</v>
      </c>
      <c r="C1249" t="s">
        <v>64</v>
      </c>
      <c r="D1249">
        <v>0</v>
      </c>
      <c r="E1249" t="s">
        <v>380</v>
      </c>
    </row>
    <row r="1250" spans="1:5" x14ac:dyDescent="0.25">
      <c r="A1250" s="279">
        <v>39007</v>
      </c>
      <c r="B1250" t="s">
        <v>338</v>
      </c>
      <c r="C1250" t="s">
        <v>65</v>
      </c>
      <c r="D1250">
        <v>0</v>
      </c>
      <c r="E1250" t="s">
        <v>378</v>
      </c>
    </row>
    <row r="1251" spans="1:5" x14ac:dyDescent="0.25">
      <c r="A1251" s="279">
        <v>39007</v>
      </c>
      <c r="B1251" t="s">
        <v>338</v>
      </c>
      <c r="C1251" t="s">
        <v>66</v>
      </c>
      <c r="D1251">
        <v>0</v>
      </c>
      <c r="E1251" t="s">
        <v>380</v>
      </c>
    </row>
    <row r="1252" spans="1:5" x14ac:dyDescent="0.25">
      <c r="A1252" s="279">
        <v>39007</v>
      </c>
      <c r="B1252" t="s">
        <v>338</v>
      </c>
      <c r="C1252" t="s">
        <v>120</v>
      </c>
      <c r="D1252">
        <v>12239</v>
      </c>
      <c r="E1252" t="s">
        <v>378</v>
      </c>
    </row>
    <row r="1253" spans="1:5" x14ac:dyDescent="0.25">
      <c r="A1253" s="279">
        <v>39007</v>
      </c>
      <c r="B1253" t="s">
        <v>338</v>
      </c>
      <c r="C1253" t="s">
        <v>121</v>
      </c>
      <c r="D1253">
        <v>0</v>
      </c>
      <c r="E1253" t="s">
        <v>380</v>
      </c>
    </row>
    <row r="1254" spans="1:5" x14ac:dyDescent="0.25">
      <c r="A1254" s="279">
        <v>39007</v>
      </c>
      <c r="B1254" t="s">
        <v>338</v>
      </c>
      <c r="C1254" t="s">
        <v>67</v>
      </c>
      <c r="D1254">
        <v>0</v>
      </c>
      <c r="E1254" t="s">
        <v>378</v>
      </c>
    </row>
    <row r="1255" spans="1:5" x14ac:dyDescent="0.25">
      <c r="A1255" s="279">
        <v>39007</v>
      </c>
      <c r="B1255" t="s">
        <v>338</v>
      </c>
      <c r="C1255" t="s">
        <v>68</v>
      </c>
      <c r="D1255">
        <v>0</v>
      </c>
      <c r="E1255" t="s">
        <v>380</v>
      </c>
    </row>
    <row r="1256" spans="1:5" x14ac:dyDescent="0.25">
      <c r="A1256" s="279">
        <v>39007</v>
      </c>
      <c r="B1256" t="s">
        <v>338</v>
      </c>
      <c r="C1256" t="s">
        <v>69</v>
      </c>
      <c r="D1256">
        <v>0</v>
      </c>
      <c r="E1256" t="s">
        <v>379</v>
      </c>
    </row>
    <row r="1257" spans="1:5" x14ac:dyDescent="0.25">
      <c r="A1257" s="279">
        <v>39007</v>
      </c>
      <c r="B1257" t="s">
        <v>338</v>
      </c>
      <c r="C1257" t="s">
        <v>70</v>
      </c>
      <c r="D1257">
        <v>0</v>
      </c>
      <c r="E1257" t="s">
        <v>379</v>
      </c>
    </row>
    <row r="1258" spans="1:5" x14ac:dyDescent="0.25">
      <c r="A1258" s="279">
        <v>39007</v>
      </c>
      <c r="B1258" t="s">
        <v>338</v>
      </c>
      <c r="C1258" t="s">
        <v>80</v>
      </c>
      <c r="D1258">
        <v>142</v>
      </c>
      <c r="E1258" t="s">
        <v>379</v>
      </c>
    </row>
    <row r="1259" spans="1:5" x14ac:dyDescent="0.25">
      <c r="A1259" s="279">
        <v>39007</v>
      </c>
      <c r="B1259" t="s">
        <v>339</v>
      </c>
      <c r="C1259" t="s">
        <v>71</v>
      </c>
      <c r="D1259">
        <v>1838</v>
      </c>
      <c r="E1259" t="s">
        <v>378</v>
      </c>
    </row>
    <row r="1260" spans="1:5" x14ac:dyDescent="0.25">
      <c r="A1260" s="279">
        <v>39007</v>
      </c>
      <c r="B1260" t="s">
        <v>339</v>
      </c>
      <c r="C1260" t="s">
        <v>72</v>
      </c>
      <c r="D1260">
        <v>0</v>
      </c>
      <c r="E1260" t="s">
        <v>380</v>
      </c>
    </row>
    <row r="1261" spans="1:5" x14ac:dyDescent="0.25">
      <c r="A1261" s="279">
        <v>39007</v>
      </c>
      <c r="B1261" t="s">
        <v>339</v>
      </c>
      <c r="C1261" t="s">
        <v>73</v>
      </c>
      <c r="D1261">
        <v>3327</v>
      </c>
      <c r="E1261" t="s">
        <v>378</v>
      </c>
    </row>
    <row r="1262" spans="1:5" x14ac:dyDescent="0.25">
      <c r="A1262" s="279">
        <v>39007</v>
      </c>
      <c r="B1262" t="s">
        <v>339</v>
      </c>
      <c r="C1262" t="s">
        <v>74</v>
      </c>
      <c r="D1262">
        <v>0</v>
      </c>
      <c r="E1262" t="s">
        <v>380</v>
      </c>
    </row>
    <row r="1263" spans="1:5" x14ac:dyDescent="0.25">
      <c r="A1263" s="279">
        <v>39007</v>
      </c>
      <c r="B1263" t="s">
        <v>339</v>
      </c>
      <c r="C1263" t="s">
        <v>75</v>
      </c>
      <c r="D1263">
        <v>15079</v>
      </c>
      <c r="E1263" t="s">
        <v>378</v>
      </c>
    </row>
    <row r="1264" spans="1:5" x14ac:dyDescent="0.25">
      <c r="A1264" s="279">
        <v>39007</v>
      </c>
      <c r="B1264" t="s">
        <v>339</v>
      </c>
      <c r="C1264" t="s">
        <v>76</v>
      </c>
      <c r="D1264">
        <v>14536</v>
      </c>
      <c r="E1264" t="s">
        <v>380</v>
      </c>
    </row>
    <row r="1265" spans="1:5" x14ac:dyDescent="0.25">
      <c r="A1265" s="279">
        <v>39007</v>
      </c>
      <c r="B1265" t="s">
        <v>339</v>
      </c>
      <c r="C1265" t="s">
        <v>77</v>
      </c>
      <c r="D1265">
        <v>7303</v>
      </c>
      <c r="E1265" t="s">
        <v>378</v>
      </c>
    </row>
    <row r="1266" spans="1:5" x14ac:dyDescent="0.25">
      <c r="A1266" s="279">
        <v>39007</v>
      </c>
      <c r="B1266" t="s">
        <v>339</v>
      </c>
      <c r="C1266" t="s">
        <v>78</v>
      </c>
      <c r="D1266">
        <v>7035</v>
      </c>
      <c r="E1266" t="s">
        <v>380</v>
      </c>
    </row>
    <row r="1267" spans="1:5" x14ac:dyDescent="0.25">
      <c r="A1267" s="279">
        <v>39007</v>
      </c>
      <c r="B1267" t="s">
        <v>339</v>
      </c>
      <c r="C1267" t="s">
        <v>79</v>
      </c>
      <c r="D1267">
        <v>109347</v>
      </c>
      <c r="E1267" t="s">
        <v>379</v>
      </c>
    </row>
    <row r="1268" spans="1:5" x14ac:dyDescent="0.25">
      <c r="A1268" s="279">
        <v>39007</v>
      </c>
      <c r="B1268" t="s">
        <v>339</v>
      </c>
      <c r="C1268" t="s">
        <v>70</v>
      </c>
      <c r="D1268">
        <v>0</v>
      </c>
      <c r="E1268" t="s">
        <v>379</v>
      </c>
    </row>
    <row r="1269" spans="1:5" x14ac:dyDescent="0.25">
      <c r="A1269" s="279">
        <v>39007</v>
      </c>
      <c r="B1269" t="s">
        <v>339</v>
      </c>
      <c r="C1269" t="s">
        <v>63</v>
      </c>
      <c r="D1269">
        <v>0</v>
      </c>
      <c r="E1269" t="s">
        <v>378</v>
      </c>
    </row>
    <row r="1270" spans="1:5" x14ac:dyDescent="0.25">
      <c r="A1270" s="279">
        <v>39007</v>
      </c>
      <c r="B1270" t="s">
        <v>339</v>
      </c>
      <c r="C1270" t="s">
        <v>80</v>
      </c>
      <c r="D1270">
        <v>277</v>
      </c>
      <c r="E1270" t="s">
        <v>379</v>
      </c>
    </row>
    <row r="1271" spans="1:5" x14ac:dyDescent="0.25">
      <c r="A1271" s="279">
        <v>39008</v>
      </c>
      <c r="B1271" t="s">
        <v>338</v>
      </c>
      <c r="C1271" t="s">
        <v>59</v>
      </c>
      <c r="D1271">
        <v>988</v>
      </c>
      <c r="E1271" t="s">
        <v>378</v>
      </c>
    </row>
    <row r="1272" spans="1:5" x14ac:dyDescent="0.25">
      <c r="A1272" s="279">
        <v>39008</v>
      </c>
      <c r="B1272" t="s">
        <v>338</v>
      </c>
      <c r="C1272" t="s">
        <v>60</v>
      </c>
      <c r="D1272">
        <v>0</v>
      </c>
      <c r="E1272" t="s">
        <v>379</v>
      </c>
    </row>
    <row r="1273" spans="1:5" x14ac:dyDescent="0.25">
      <c r="A1273" s="279">
        <v>39008</v>
      </c>
      <c r="B1273" t="s">
        <v>338</v>
      </c>
      <c r="C1273" t="s">
        <v>61</v>
      </c>
      <c r="D1273">
        <v>4637</v>
      </c>
      <c r="E1273" t="s">
        <v>378</v>
      </c>
    </row>
    <row r="1274" spans="1:5" x14ac:dyDescent="0.25">
      <c r="A1274" s="279">
        <v>39008</v>
      </c>
      <c r="B1274" t="s">
        <v>338</v>
      </c>
      <c r="C1274" t="s">
        <v>62</v>
      </c>
      <c r="D1274">
        <v>0</v>
      </c>
      <c r="E1274" t="s">
        <v>380</v>
      </c>
    </row>
    <row r="1275" spans="1:5" x14ac:dyDescent="0.25">
      <c r="A1275" s="279">
        <v>39008</v>
      </c>
      <c r="B1275" t="s">
        <v>338</v>
      </c>
      <c r="C1275" t="s">
        <v>63</v>
      </c>
      <c r="D1275">
        <v>0</v>
      </c>
      <c r="E1275" t="s">
        <v>378</v>
      </c>
    </row>
    <row r="1276" spans="1:5" x14ac:dyDescent="0.25">
      <c r="A1276" s="279">
        <v>39008</v>
      </c>
      <c r="B1276" t="s">
        <v>338</v>
      </c>
      <c r="C1276" t="s">
        <v>64</v>
      </c>
      <c r="D1276">
        <v>0</v>
      </c>
      <c r="E1276" t="s">
        <v>380</v>
      </c>
    </row>
    <row r="1277" spans="1:5" x14ac:dyDescent="0.25">
      <c r="A1277" s="279">
        <v>39008</v>
      </c>
      <c r="B1277" t="s">
        <v>338</v>
      </c>
      <c r="C1277" t="s">
        <v>65</v>
      </c>
      <c r="D1277">
        <v>0</v>
      </c>
      <c r="E1277" t="s">
        <v>378</v>
      </c>
    </row>
    <row r="1278" spans="1:5" x14ac:dyDescent="0.25">
      <c r="A1278" s="279">
        <v>39008</v>
      </c>
      <c r="B1278" t="s">
        <v>338</v>
      </c>
      <c r="C1278" t="s">
        <v>66</v>
      </c>
      <c r="D1278">
        <v>0</v>
      </c>
      <c r="E1278" t="s">
        <v>380</v>
      </c>
    </row>
    <row r="1279" spans="1:5" x14ac:dyDescent="0.25">
      <c r="A1279" s="279">
        <v>39008</v>
      </c>
      <c r="B1279" t="s">
        <v>338</v>
      </c>
      <c r="C1279" t="s">
        <v>120</v>
      </c>
      <c r="D1279">
        <v>12216</v>
      </c>
      <c r="E1279" t="s">
        <v>378</v>
      </c>
    </row>
    <row r="1280" spans="1:5" x14ac:dyDescent="0.25">
      <c r="A1280" s="279">
        <v>39008</v>
      </c>
      <c r="B1280" t="s">
        <v>338</v>
      </c>
      <c r="C1280" t="s">
        <v>121</v>
      </c>
      <c r="D1280">
        <v>0</v>
      </c>
      <c r="E1280" t="s">
        <v>380</v>
      </c>
    </row>
    <row r="1281" spans="1:5" x14ac:dyDescent="0.25">
      <c r="A1281" s="279">
        <v>39008</v>
      </c>
      <c r="B1281" t="s">
        <v>338</v>
      </c>
      <c r="C1281" t="s">
        <v>67</v>
      </c>
      <c r="D1281">
        <v>0</v>
      </c>
      <c r="E1281" t="s">
        <v>378</v>
      </c>
    </row>
    <row r="1282" spans="1:5" x14ac:dyDescent="0.25">
      <c r="A1282" s="279">
        <v>39008</v>
      </c>
      <c r="B1282" t="s">
        <v>338</v>
      </c>
      <c r="C1282" t="s">
        <v>68</v>
      </c>
      <c r="D1282">
        <v>0</v>
      </c>
      <c r="E1282" t="s">
        <v>380</v>
      </c>
    </row>
    <row r="1283" spans="1:5" x14ac:dyDescent="0.25">
      <c r="A1283" s="279">
        <v>39008</v>
      </c>
      <c r="B1283" t="s">
        <v>338</v>
      </c>
      <c r="C1283" t="s">
        <v>69</v>
      </c>
      <c r="D1283">
        <v>0</v>
      </c>
      <c r="E1283" t="s">
        <v>379</v>
      </c>
    </row>
    <row r="1284" spans="1:5" x14ac:dyDescent="0.25">
      <c r="A1284" s="279">
        <v>39008</v>
      </c>
      <c r="B1284" t="s">
        <v>338</v>
      </c>
      <c r="C1284" t="s">
        <v>70</v>
      </c>
      <c r="D1284">
        <v>0</v>
      </c>
      <c r="E1284" t="s">
        <v>379</v>
      </c>
    </row>
    <row r="1285" spans="1:5" x14ac:dyDescent="0.25">
      <c r="A1285" s="279">
        <v>39008</v>
      </c>
      <c r="B1285" t="s">
        <v>338</v>
      </c>
      <c r="C1285" t="s">
        <v>80</v>
      </c>
      <c r="D1285">
        <v>151</v>
      </c>
      <c r="E1285" t="s">
        <v>379</v>
      </c>
    </row>
    <row r="1286" spans="1:5" x14ac:dyDescent="0.25">
      <c r="A1286" s="279">
        <v>39008</v>
      </c>
      <c r="B1286" t="s">
        <v>339</v>
      </c>
      <c r="C1286" t="s">
        <v>71</v>
      </c>
      <c r="D1286">
        <v>1836</v>
      </c>
      <c r="E1286" t="s">
        <v>378</v>
      </c>
    </row>
    <row r="1287" spans="1:5" x14ac:dyDescent="0.25">
      <c r="A1287" s="279">
        <v>39008</v>
      </c>
      <c r="B1287" t="s">
        <v>339</v>
      </c>
      <c r="C1287" t="s">
        <v>72</v>
      </c>
      <c r="D1287">
        <v>0</v>
      </c>
      <c r="E1287" t="s">
        <v>380</v>
      </c>
    </row>
    <row r="1288" spans="1:5" x14ac:dyDescent="0.25">
      <c r="A1288" s="279">
        <v>39008</v>
      </c>
      <c r="B1288" t="s">
        <v>339</v>
      </c>
      <c r="C1288" t="s">
        <v>73</v>
      </c>
      <c r="D1288">
        <v>13540</v>
      </c>
      <c r="E1288" t="s">
        <v>378</v>
      </c>
    </row>
    <row r="1289" spans="1:5" x14ac:dyDescent="0.25">
      <c r="A1289" s="279">
        <v>39008</v>
      </c>
      <c r="B1289" t="s">
        <v>339</v>
      </c>
      <c r="C1289" t="s">
        <v>74</v>
      </c>
      <c r="D1289">
        <v>0</v>
      </c>
      <c r="E1289" t="s">
        <v>380</v>
      </c>
    </row>
    <row r="1290" spans="1:5" x14ac:dyDescent="0.25">
      <c r="A1290" s="279">
        <v>39008</v>
      </c>
      <c r="B1290" t="s">
        <v>339</v>
      </c>
      <c r="C1290" t="s">
        <v>75</v>
      </c>
      <c r="D1290">
        <v>15065</v>
      </c>
      <c r="E1290" t="s">
        <v>378</v>
      </c>
    </row>
    <row r="1291" spans="1:5" x14ac:dyDescent="0.25">
      <c r="A1291" s="279">
        <v>39008</v>
      </c>
      <c r="B1291" t="s">
        <v>339</v>
      </c>
      <c r="C1291" t="s">
        <v>76</v>
      </c>
      <c r="D1291">
        <v>11702</v>
      </c>
      <c r="E1291" t="s">
        <v>380</v>
      </c>
    </row>
    <row r="1292" spans="1:5" x14ac:dyDescent="0.25">
      <c r="A1292" s="279">
        <v>39008</v>
      </c>
      <c r="B1292" t="s">
        <v>339</v>
      </c>
      <c r="C1292" t="s">
        <v>77</v>
      </c>
      <c r="D1292">
        <v>7296</v>
      </c>
      <c r="E1292" t="s">
        <v>378</v>
      </c>
    </row>
    <row r="1293" spans="1:5" x14ac:dyDescent="0.25">
      <c r="A1293" s="279">
        <v>39008</v>
      </c>
      <c r="B1293" t="s">
        <v>339</v>
      </c>
      <c r="C1293" t="s">
        <v>78</v>
      </c>
      <c r="D1293">
        <v>7028</v>
      </c>
      <c r="E1293" t="s">
        <v>380</v>
      </c>
    </row>
    <row r="1294" spans="1:5" x14ac:dyDescent="0.25">
      <c r="A1294" s="279">
        <v>39008</v>
      </c>
      <c r="B1294" t="s">
        <v>339</v>
      </c>
      <c r="C1294" t="s">
        <v>79</v>
      </c>
      <c r="D1294">
        <v>109241</v>
      </c>
      <c r="E1294" t="s">
        <v>379</v>
      </c>
    </row>
    <row r="1295" spans="1:5" x14ac:dyDescent="0.25">
      <c r="A1295" s="279">
        <v>39008</v>
      </c>
      <c r="B1295" t="s">
        <v>339</v>
      </c>
      <c r="C1295" t="s">
        <v>70</v>
      </c>
      <c r="D1295">
        <v>0</v>
      </c>
      <c r="E1295" t="s">
        <v>379</v>
      </c>
    </row>
    <row r="1296" spans="1:5" x14ac:dyDescent="0.25">
      <c r="A1296" s="279">
        <v>39008</v>
      </c>
      <c r="B1296" t="s">
        <v>339</v>
      </c>
      <c r="C1296" t="s">
        <v>63</v>
      </c>
      <c r="D1296">
        <v>9671</v>
      </c>
      <c r="E1296" t="s">
        <v>378</v>
      </c>
    </row>
    <row r="1297" spans="1:5" x14ac:dyDescent="0.25">
      <c r="A1297" s="279">
        <v>39008</v>
      </c>
      <c r="B1297" t="s">
        <v>339</v>
      </c>
      <c r="C1297" t="s">
        <v>80</v>
      </c>
      <c r="D1297">
        <v>666</v>
      </c>
      <c r="E1297" t="s">
        <v>379</v>
      </c>
    </row>
    <row r="1298" spans="1:5" x14ac:dyDescent="0.25">
      <c r="A1298" s="279">
        <v>39009</v>
      </c>
      <c r="B1298" t="s">
        <v>338</v>
      </c>
      <c r="C1298" t="s">
        <v>59</v>
      </c>
      <c r="D1298">
        <v>0</v>
      </c>
      <c r="E1298" t="s">
        <v>378</v>
      </c>
    </row>
    <row r="1299" spans="1:5" x14ac:dyDescent="0.25">
      <c r="A1299" s="279">
        <v>39009</v>
      </c>
      <c r="B1299" t="s">
        <v>338</v>
      </c>
      <c r="C1299" t="s">
        <v>60</v>
      </c>
      <c r="D1299">
        <v>0</v>
      </c>
      <c r="E1299" t="s">
        <v>379</v>
      </c>
    </row>
    <row r="1300" spans="1:5" x14ac:dyDescent="0.25">
      <c r="A1300" s="279">
        <v>39009</v>
      </c>
      <c r="B1300" t="s">
        <v>338</v>
      </c>
      <c r="C1300" t="s">
        <v>61</v>
      </c>
      <c r="D1300">
        <v>5589</v>
      </c>
      <c r="E1300" t="s">
        <v>378</v>
      </c>
    </row>
    <row r="1301" spans="1:5" x14ac:dyDescent="0.25">
      <c r="A1301" s="279">
        <v>39009</v>
      </c>
      <c r="B1301" t="s">
        <v>338</v>
      </c>
      <c r="C1301" t="s">
        <v>62</v>
      </c>
      <c r="D1301">
        <v>0</v>
      </c>
      <c r="E1301" t="s">
        <v>380</v>
      </c>
    </row>
    <row r="1302" spans="1:5" x14ac:dyDescent="0.25">
      <c r="A1302" s="279">
        <v>39009</v>
      </c>
      <c r="B1302" t="s">
        <v>338</v>
      </c>
      <c r="C1302" t="s">
        <v>63</v>
      </c>
      <c r="D1302">
        <v>0</v>
      </c>
      <c r="E1302" t="s">
        <v>378</v>
      </c>
    </row>
    <row r="1303" spans="1:5" x14ac:dyDescent="0.25">
      <c r="A1303" s="279">
        <v>39009</v>
      </c>
      <c r="B1303" t="s">
        <v>338</v>
      </c>
      <c r="C1303" t="s">
        <v>64</v>
      </c>
      <c r="D1303">
        <v>0</v>
      </c>
      <c r="E1303" t="s">
        <v>380</v>
      </c>
    </row>
    <row r="1304" spans="1:5" x14ac:dyDescent="0.25">
      <c r="A1304" s="279">
        <v>39009</v>
      </c>
      <c r="B1304" t="s">
        <v>338</v>
      </c>
      <c r="C1304" t="s">
        <v>65</v>
      </c>
      <c r="D1304">
        <v>0</v>
      </c>
      <c r="E1304" t="s">
        <v>378</v>
      </c>
    </row>
    <row r="1305" spans="1:5" x14ac:dyDescent="0.25">
      <c r="A1305" s="279">
        <v>39009</v>
      </c>
      <c r="B1305" t="s">
        <v>338</v>
      </c>
      <c r="C1305" t="s">
        <v>66</v>
      </c>
      <c r="D1305">
        <v>0</v>
      </c>
      <c r="E1305" t="s">
        <v>380</v>
      </c>
    </row>
    <row r="1306" spans="1:5" x14ac:dyDescent="0.25">
      <c r="A1306" s="279">
        <v>39009</v>
      </c>
      <c r="B1306" t="s">
        <v>338</v>
      </c>
      <c r="C1306" t="s">
        <v>120</v>
      </c>
      <c r="D1306">
        <v>12192</v>
      </c>
      <c r="E1306" t="s">
        <v>378</v>
      </c>
    </row>
    <row r="1307" spans="1:5" x14ac:dyDescent="0.25">
      <c r="A1307" s="279">
        <v>39009</v>
      </c>
      <c r="B1307" t="s">
        <v>338</v>
      </c>
      <c r="C1307" t="s">
        <v>121</v>
      </c>
      <c r="D1307">
        <v>0</v>
      </c>
      <c r="E1307" t="s">
        <v>380</v>
      </c>
    </row>
    <row r="1308" spans="1:5" x14ac:dyDescent="0.25">
      <c r="A1308" s="279">
        <v>39009</v>
      </c>
      <c r="B1308" t="s">
        <v>338</v>
      </c>
      <c r="C1308" t="s">
        <v>67</v>
      </c>
      <c r="D1308">
        <v>0</v>
      </c>
      <c r="E1308" t="s">
        <v>378</v>
      </c>
    </row>
    <row r="1309" spans="1:5" x14ac:dyDescent="0.25">
      <c r="A1309" s="279">
        <v>39009</v>
      </c>
      <c r="B1309" t="s">
        <v>338</v>
      </c>
      <c r="C1309" t="s">
        <v>68</v>
      </c>
      <c r="D1309">
        <v>0</v>
      </c>
      <c r="E1309" t="s">
        <v>380</v>
      </c>
    </row>
    <row r="1310" spans="1:5" x14ac:dyDescent="0.25">
      <c r="A1310" s="279">
        <v>39009</v>
      </c>
      <c r="B1310" t="s">
        <v>338</v>
      </c>
      <c r="C1310" t="s">
        <v>69</v>
      </c>
      <c r="D1310">
        <v>0</v>
      </c>
      <c r="E1310" t="s">
        <v>379</v>
      </c>
    </row>
    <row r="1311" spans="1:5" x14ac:dyDescent="0.25">
      <c r="A1311" s="279">
        <v>39009</v>
      </c>
      <c r="B1311" t="s">
        <v>338</v>
      </c>
      <c r="C1311" t="s">
        <v>70</v>
      </c>
      <c r="D1311">
        <v>0</v>
      </c>
      <c r="E1311" t="s">
        <v>379</v>
      </c>
    </row>
    <row r="1312" spans="1:5" x14ac:dyDescent="0.25">
      <c r="A1312" s="279">
        <v>39009</v>
      </c>
      <c r="B1312" t="s">
        <v>338</v>
      </c>
      <c r="C1312" t="s">
        <v>80</v>
      </c>
      <c r="D1312">
        <v>154</v>
      </c>
      <c r="E1312" t="s">
        <v>379</v>
      </c>
    </row>
    <row r="1313" spans="1:5" x14ac:dyDescent="0.25">
      <c r="A1313" s="279">
        <v>39009</v>
      </c>
      <c r="B1313" t="s">
        <v>339</v>
      </c>
      <c r="C1313" t="s">
        <v>71</v>
      </c>
      <c r="D1313">
        <v>1838</v>
      </c>
      <c r="E1313" t="s">
        <v>378</v>
      </c>
    </row>
    <row r="1314" spans="1:5" x14ac:dyDescent="0.25">
      <c r="A1314" s="279">
        <v>39009</v>
      </c>
      <c r="B1314" t="s">
        <v>339</v>
      </c>
      <c r="C1314" t="s">
        <v>72</v>
      </c>
      <c r="D1314">
        <v>0</v>
      </c>
      <c r="E1314" t="s">
        <v>380</v>
      </c>
    </row>
    <row r="1315" spans="1:5" x14ac:dyDescent="0.25">
      <c r="A1315" s="279">
        <v>39009</v>
      </c>
      <c r="B1315" t="s">
        <v>339</v>
      </c>
      <c r="C1315" t="s">
        <v>73</v>
      </c>
      <c r="D1315">
        <v>12754</v>
      </c>
      <c r="E1315" t="s">
        <v>378</v>
      </c>
    </row>
    <row r="1316" spans="1:5" x14ac:dyDescent="0.25">
      <c r="A1316" s="279">
        <v>39009</v>
      </c>
      <c r="B1316" t="s">
        <v>339</v>
      </c>
      <c r="C1316" t="s">
        <v>74</v>
      </c>
      <c r="D1316">
        <v>0</v>
      </c>
      <c r="E1316" t="s">
        <v>380</v>
      </c>
    </row>
    <row r="1317" spans="1:5" x14ac:dyDescent="0.25">
      <c r="A1317" s="279">
        <v>39009</v>
      </c>
      <c r="B1317" t="s">
        <v>339</v>
      </c>
      <c r="C1317" t="s">
        <v>75</v>
      </c>
      <c r="D1317">
        <v>15079</v>
      </c>
      <c r="E1317" t="s">
        <v>378</v>
      </c>
    </row>
    <row r="1318" spans="1:5" x14ac:dyDescent="0.25">
      <c r="A1318" s="279">
        <v>39009</v>
      </c>
      <c r="B1318" t="s">
        <v>339</v>
      </c>
      <c r="C1318" t="s">
        <v>76</v>
      </c>
      <c r="D1318">
        <v>14536</v>
      </c>
      <c r="E1318" t="s">
        <v>380</v>
      </c>
    </row>
    <row r="1319" spans="1:5" x14ac:dyDescent="0.25">
      <c r="A1319" s="279">
        <v>39009</v>
      </c>
      <c r="B1319" t="s">
        <v>339</v>
      </c>
      <c r="C1319" t="s">
        <v>77</v>
      </c>
      <c r="D1319">
        <v>7303</v>
      </c>
      <c r="E1319" t="s">
        <v>378</v>
      </c>
    </row>
    <row r="1320" spans="1:5" x14ac:dyDescent="0.25">
      <c r="A1320" s="279">
        <v>39009</v>
      </c>
      <c r="B1320" t="s">
        <v>339</v>
      </c>
      <c r="C1320" t="s">
        <v>78</v>
      </c>
      <c r="D1320">
        <v>7035</v>
      </c>
      <c r="E1320" t="s">
        <v>380</v>
      </c>
    </row>
    <row r="1321" spans="1:5" x14ac:dyDescent="0.25">
      <c r="A1321" s="279">
        <v>39009</v>
      </c>
      <c r="B1321" t="s">
        <v>339</v>
      </c>
      <c r="C1321" t="s">
        <v>79</v>
      </c>
      <c r="D1321">
        <v>89985</v>
      </c>
      <c r="E1321" t="s">
        <v>379</v>
      </c>
    </row>
    <row r="1322" spans="1:5" x14ac:dyDescent="0.25">
      <c r="A1322" s="279">
        <v>39009</v>
      </c>
      <c r="B1322" t="s">
        <v>339</v>
      </c>
      <c r="C1322" t="s">
        <v>70</v>
      </c>
      <c r="D1322">
        <v>0</v>
      </c>
      <c r="E1322" t="s">
        <v>379</v>
      </c>
    </row>
    <row r="1323" spans="1:5" x14ac:dyDescent="0.25">
      <c r="A1323" s="279">
        <v>39009</v>
      </c>
      <c r="B1323" t="s">
        <v>339</v>
      </c>
      <c r="C1323" t="s">
        <v>63</v>
      </c>
      <c r="D1323">
        <v>0</v>
      </c>
      <c r="E1323" t="s">
        <v>378</v>
      </c>
    </row>
    <row r="1324" spans="1:5" x14ac:dyDescent="0.25">
      <c r="A1324" s="279">
        <v>39009</v>
      </c>
      <c r="B1324" t="s">
        <v>339</v>
      </c>
      <c r="C1324" t="s">
        <v>80</v>
      </c>
      <c r="D1324">
        <v>636</v>
      </c>
      <c r="E1324" t="s">
        <v>379</v>
      </c>
    </row>
    <row r="1325" spans="1:5" x14ac:dyDescent="0.25">
      <c r="A1325" s="279">
        <v>39010</v>
      </c>
      <c r="B1325" t="s">
        <v>338</v>
      </c>
      <c r="C1325" t="s">
        <v>59</v>
      </c>
      <c r="D1325">
        <v>0</v>
      </c>
      <c r="E1325" t="s">
        <v>378</v>
      </c>
    </row>
    <row r="1326" spans="1:5" x14ac:dyDescent="0.25">
      <c r="A1326" s="279">
        <v>39010</v>
      </c>
      <c r="B1326" t="s">
        <v>338</v>
      </c>
      <c r="C1326" t="s">
        <v>60</v>
      </c>
      <c r="D1326">
        <v>0</v>
      </c>
      <c r="E1326" t="s">
        <v>379</v>
      </c>
    </row>
    <row r="1327" spans="1:5" x14ac:dyDescent="0.25">
      <c r="A1327" s="279">
        <v>39010</v>
      </c>
      <c r="B1327" t="s">
        <v>338</v>
      </c>
      <c r="C1327" t="s">
        <v>61</v>
      </c>
      <c r="D1327">
        <v>1079</v>
      </c>
      <c r="E1327" t="s">
        <v>378</v>
      </c>
    </row>
    <row r="1328" spans="1:5" x14ac:dyDescent="0.25">
      <c r="A1328" s="279">
        <v>39010</v>
      </c>
      <c r="B1328" t="s">
        <v>338</v>
      </c>
      <c r="C1328" t="s">
        <v>62</v>
      </c>
      <c r="D1328">
        <v>0</v>
      </c>
      <c r="E1328" t="s">
        <v>380</v>
      </c>
    </row>
    <row r="1329" spans="1:5" x14ac:dyDescent="0.25">
      <c r="A1329" s="279">
        <v>39010</v>
      </c>
      <c r="B1329" t="s">
        <v>338</v>
      </c>
      <c r="C1329" t="s">
        <v>63</v>
      </c>
      <c r="D1329">
        <v>0</v>
      </c>
      <c r="E1329" t="s">
        <v>378</v>
      </c>
    </row>
    <row r="1330" spans="1:5" x14ac:dyDescent="0.25">
      <c r="A1330" s="279">
        <v>39010</v>
      </c>
      <c r="B1330" t="s">
        <v>338</v>
      </c>
      <c r="C1330" t="s">
        <v>64</v>
      </c>
      <c r="D1330">
        <v>0</v>
      </c>
      <c r="E1330" t="s">
        <v>380</v>
      </c>
    </row>
    <row r="1331" spans="1:5" x14ac:dyDescent="0.25">
      <c r="A1331" s="279">
        <v>39010</v>
      </c>
      <c r="B1331" t="s">
        <v>338</v>
      </c>
      <c r="C1331" t="s">
        <v>65</v>
      </c>
      <c r="D1331">
        <v>0</v>
      </c>
      <c r="E1331" t="s">
        <v>378</v>
      </c>
    </row>
    <row r="1332" spans="1:5" x14ac:dyDescent="0.25">
      <c r="A1332" s="279">
        <v>39010</v>
      </c>
      <c r="B1332" t="s">
        <v>338</v>
      </c>
      <c r="C1332" t="s">
        <v>66</v>
      </c>
      <c r="D1332">
        <v>0</v>
      </c>
      <c r="E1332" t="s">
        <v>380</v>
      </c>
    </row>
    <row r="1333" spans="1:5" x14ac:dyDescent="0.25">
      <c r="A1333" s="279">
        <v>39010</v>
      </c>
      <c r="B1333" t="s">
        <v>338</v>
      </c>
      <c r="C1333" t="s">
        <v>120</v>
      </c>
      <c r="D1333">
        <v>12192</v>
      </c>
      <c r="E1333" t="s">
        <v>378</v>
      </c>
    </row>
    <row r="1334" spans="1:5" x14ac:dyDescent="0.25">
      <c r="A1334" s="279">
        <v>39010</v>
      </c>
      <c r="B1334" t="s">
        <v>338</v>
      </c>
      <c r="C1334" t="s">
        <v>121</v>
      </c>
      <c r="D1334">
        <v>0</v>
      </c>
      <c r="E1334" t="s">
        <v>380</v>
      </c>
    </row>
    <row r="1335" spans="1:5" x14ac:dyDescent="0.25">
      <c r="A1335" s="279">
        <v>39010</v>
      </c>
      <c r="B1335" t="s">
        <v>338</v>
      </c>
      <c r="C1335" t="s">
        <v>67</v>
      </c>
      <c r="D1335">
        <v>0</v>
      </c>
      <c r="E1335" t="s">
        <v>378</v>
      </c>
    </row>
    <row r="1336" spans="1:5" x14ac:dyDescent="0.25">
      <c r="A1336" s="279">
        <v>39010</v>
      </c>
      <c r="B1336" t="s">
        <v>338</v>
      </c>
      <c r="C1336" t="s">
        <v>68</v>
      </c>
      <c r="D1336">
        <v>0</v>
      </c>
      <c r="E1336" t="s">
        <v>380</v>
      </c>
    </row>
    <row r="1337" spans="1:5" x14ac:dyDescent="0.25">
      <c r="A1337" s="279">
        <v>39010</v>
      </c>
      <c r="B1337" t="s">
        <v>338</v>
      </c>
      <c r="C1337" t="s">
        <v>69</v>
      </c>
      <c r="D1337">
        <v>0</v>
      </c>
      <c r="E1337" t="s">
        <v>379</v>
      </c>
    </row>
    <row r="1338" spans="1:5" x14ac:dyDescent="0.25">
      <c r="A1338" s="279">
        <v>39010</v>
      </c>
      <c r="B1338" t="s">
        <v>338</v>
      </c>
      <c r="C1338" t="s">
        <v>70</v>
      </c>
      <c r="D1338">
        <v>0</v>
      </c>
      <c r="E1338" t="s">
        <v>379</v>
      </c>
    </row>
    <row r="1339" spans="1:5" x14ac:dyDescent="0.25">
      <c r="A1339" s="279">
        <v>39010</v>
      </c>
      <c r="B1339" t="s">
        <v>338</v>
      </c>
      <c r="C1339" t="s">
        <v>80</v>
      </c>
      <c r="D1339">
        <v>115</v>
      </c>
      <c r="E1339" t="s">
        <v>379</v>
      </c>
    </row>
    <row r="1340" spans="1:5" x14ac:dyDescent="0.25">
      <c r="A1340" s="279">
        <v>39010</v>
      </c>
      <c r="B1340" t="s">
        <v>339</v>
      </c>
      <c r="C1340" t="s">
        <v>71</v>
      </c>
      <c r="D1340">
        <v>1271</v>
      </c>
      <c r="E1340" t="s">
        <v>378</v>
      </c>
    </row>
    <row r="1341" spans="1:5" x14ac:dyDescent="0.25">
      <c r="A1341" s="279">
        <v>39010</v>
      </c>
      <c r="B1341" t="s">
        <v>339</v>
      </c>
      <c r="C1341" t="s">
        <v>72</v>
      </c>
      <c r="D1341">
        <v>0</v>
      </c>
      <c r="E1341" t="s">
        <v>380</v>
      </c>
    </row>
    <row r="1342" spans="1:5" x14ac:dyDescent="0.25">
      <c r="A1342" s="279">
        <v>39010</v>
      </c>
      <c r="B1342" t="s">
        <v>339</v>
      </c>
      <c r="C1342" t="s">
        <v>73</v>
      </c>
      <c r="D1342">
        <v>0</v>
      </c>
      <c r="E1342" t="s">
        <v>378</v>
      </c>
    </row>
    <row r="1343" spans="1:5" x14ac:dyDescent="0.25">
      <c r="A1343" s="279">
        <v>39010</v>
      </c>
      <c r="B1343" t="s">
        <v>339</v>
      </c>
      <c r="C1343" t="s">
        <v>74</v>
      </c>
      <c r="D1343">
        <v>0</v>
      </c>
      <c r="E1343" t="s">
        <v>380</v>
      </c>
    </row>
    <row r="1344" spans="1:5" x14ac:dyDescent="0.25">
      <c r="A1344" s="279">
        <v>39010</v>
      </c>
      <c r="B1344" t="s">
        <v>339</v>
      </c>
      <c r="C1344" t="s">
        <v>75</v>
      </c>
      <c r="D1344">
        <v>15079</v>
      </c>
      <c r="E1344" t="s">
        <v>378</v>
      </c>
    </row>
    <row r="1345" spans="1:5" x14ac:dyDescent="0.25">
      <c r="A1345" s="279">
        <v>39010</v>
      </c>
      <c r="B1345" t="s">
        <v>339</v>
      </c>
      <c r="C1345" t="s">
        <v>76</v>
      </c>
      <c r="D1345">
        <v>14536</v>
      </c>
      <c r="E1345" t="s">
        <v>380</v>
      </c>
    </row>
    <row r="1346" spans="1:5" x14ac:dyDescent="0.25">
      <c r="A1346" s="279">
        <v>39010</v>
      </c>
      <c r="B1346" t="s">
        <v>339</v>
      </c>
      <c r="C1346" t="s">
        <v>77</v>
      </c>
      <c r="D1346">
        <v>7303</v>
      </c>
      <c r="E1346" t="s">
        <v>378</v>
      </c>
    </row>
    <row r="1347" spans="1:5" x14ac:dyDescent="0.25">
      <c r="A1347" s="279">
        <v>39010</v>
      </c>
      <c r="B1347" t="s">
        <v>339</v>
      </c>
      <c r="C1347" t="s">
        <v>78</v>
      </c>
      <c r="D1347">
        <v>7035</v>
      </c>
      <c r="E1347" t="s">
        <v>380</v>
      </c>
    </row>
    <row r="1348" spans="1:5" x14ac:dyDescent="0.25">
      <c r="A1348" s="279">
        <v>39010</v>
      </c>
      <c r="B1348" t="s">
        <v>339</v>
      </c>
      <c r="C1348" t="s">
        <v>79</v>
      </c>
      <c r="D1348">
        <v>109347</v>
      </c>
      <c r="E1348" t="s">
        <v>379</v>
      </c>
    </row>
    <row r="1349" spans="1:5" x14ac:dyDescent="0.25">
      <c r="A1349" s="279">
        <v>39010</v>
      </c>
      <c r="B1349" t="s">
        <v>339</v>
      </c>
      <c r="C1349" t="s">
        <v>70</v>
      </c>
      <c r="D1349">
        <v>0</v>
      </c>
      <c r="E1349" t="s">
        <v>379</v>
      </c>
    </row>
    <row r="1350" spans="1:5" x14ac:dyDescent="0.25">
      <c r="A1350" s="279">
        <v>39010</v>
      </c>
      <c r="B1350" t="s">
        <v>339</v>
      </c>
      <c r="C1350" t="s">
        <v>63</v>
      </c>
      <c r="D1350">
        <v>0</v>
      </c>
      <c r="E1350" t="s">
        <v>378</v>
      </c>
    </row>
    <row r="1351" spans="1:5" x14ac:dyDescent="0.25">
      <c r="A1351" s="279">
        <v>39010</v>
      </c>
      <c r="B1351" t="s">
        <v>339</v>
      </c>
      <c r="C1351" t="s">
        <v>80</v>
      </c>
      <c r="D1351">
        <v>145</v>
      </c>
      <c r="E1351" t="s">
        <v>379</v>
      </c>
    </row>
    <row r="1352" spans="1:5" x14ac:dyDescent="0.25">
      <c r="A1352" s="279">
        <v>39011</v>
      </c>
      <c r="B1352" t="s">
        <v>338</v>
      </c>
      <c r="C1352" t="s">
        <v>59</v>
      </c>
      <c r="D1352">
        <v>0</v>
      </c>
      <c r="E1352" t="s">
        <v>378</v>
      </c>
    </row>
    <row r="1353" spans="1:5" x14ac:dyDescent="0.25">
      <c r="A1353" s="279">
        <v>39011</v>
      </c>
      <c r="B1353" t="s">
        <v>338</v>
      </c>
      <c r="C1353" t="s">
        <v>60</v>
      </c>
      <c r="D1353">
        <v>0</v>
      </c>
      <c r="E1353" t="s">
        <v>379</v>
      </c>
    </row>
    <row r="1354" spans="1:5" x14ac:dyDescent="0.25">
      <c r="A1354" s="279">
        <v>39011</v>
      </c>
      <c r="B1354" t="s">
        <v>338</v>
      </c>
      <c r="C1354" t="s">
        <v>61</v>
      </c>
      <c r="D1354">
        <v>3505</v>
      </c>
      <c r="E1354" t="s">
        <v>378</v>
      </c>
    </row>
    <row r="1355" spans="1:5" x14ac:dyDescent="0.25">
      <c r="A1355" s="279">
        <v>39011</v>
      </c>
      <c r="B1355" t="s">
        <v>338</v>
      </c>
      <c r="C1355" t="s">
        <v>62</v>
      </c>
      <c r="D1355">
        <v>0</v>
      </c>
      <c r="E1355" t="s">
        <v>380</v>
      </c>
    </row>
    <row r="1356" spans="1:5" x14ac:dyDescent="0.25">
      <c r="A1356" s="279">
        <v>39011</v>
      </c>
      <c r="B1356" t="s">
        <v>338</v>
      </c>
      <c r="C1356" t="s">
        <v>63</v>
      </c>
      <c r="D1356">
        <v>0</v>
      </c>
      <c r="E1356" t="s">
        <v>378</v>
      </c>
    </row>
    <row r="1357" spans="1:5" x14ac:dyDescent="0.25">
      <c r="A1357" s="279">
        <v>39011</v>
      </c>
      <c r="B1357" t="s">
        <v>338</v>
      </c>
      <c r="C1357" t="s">
        <v>64</v>
      </c>
      <c r="D1357">
        <v>0</v>
      </c>
      <c r="E1357" t="s">
        <v>380</v>
      </c>
    </row>
    <row r="1358" spans="1:5" x14ac:dyDescent="0.25">
      <c r="A1358" s="279">
        <v>39011</v>
      </c>
      <c r="B1358" t="s">
        <v>338</v>
      </c>
      <c r="C1358" t="s">
        <v>65</v>
      </c>
      <c r="D1358">
        <v>4724</v>
      </c>
      <c r="E1358" t="s">
        <v>378</v>
      </c>
    </row>
    <row r="1359" spans="1:5" x14ac:dyDescent="0.25">
      <c r="A1359" s="279">
        <v>39011</v>
      </c>
      <c r="B1359" t="s">
        <v>338</v>
      </c>
      <c r="C1359" t="s">
        <v>66</v>
      </c>
      <c r="D1359">
        <v>0</v>
      </c>
      <c r="E1359" t="s">
        <v>380</v>
      </c>
    </row>
    <row r="1360" spans="1:5" x14ac:dyDescent="0.25">
      <c r="A1360" s="279">
        <v>39011</v>
      </c>
      <c r="B1360" t="s">
        <v>338</v>
      </c>
      <c r="C1360" t="s">
        <v>120</v>
      </c>
      <c r="D1360">
        <v>12204</v>
      </c>
      <c r="E1360" t="s">
        <v>378</v>
      </c>
    </row>
    <row r="1361" spans="1:5" x14ac:dyDescent="0.25">
      <c r="A1361" s="279">
        <v>39011</v>
      </c>
      <c r="B1361" t="s">
        <v>338</v>
      </c>
      <c r="C1361" t="s">
        <v>121</v>
      </c>
      <c r="D1361">
        <v>0</v>
      </c>
      <c r="E1361" t="s">
        <v>380</v>
      </c>
    </row>
    <row r="1362" spans="1:5" x14ac:dyDescent="0.25">
      <c r="A1362" s="279">
        <v>39011</v>
      </c>
      <c r="B1362" t="s">
        <v>338</v>
      </c>
      <c r="C1362" t="s">
        <v>67</v>
      </c>
      <c r="D1362">
        <v>0</v>
      </c>
      <c r="E1362" t="s">
        <v>378</v>
      </c>
    </row>
    <row r="1363" spans="1:5" x14ac:dyDescent="0.25">
      <c r="A1363" s="279">
        <v>39011</v>
      </c>
      <c r="B1363" t="s">
        <v>338</v>
      </c>
      <c r="C1363" t="s">
        <v>68</v>
      </c>
      <c r="D1363">
        <v>0</v>
      </c>
      <c r="E1363" t="s">
        <v>380</v>
      </c>
    </row>
    <row r="1364" spans="1:5" x14ac:dyDescent="0.25">
      <c r="A1364" s="279">
        <v>39011</v>
      </c>
      <c r="B1364" t="s">
        <v>338</v>
      </c>
      <c r="C1364" t="s">
        <v>69</v>
      </c>
      <c r="D1364">
        <v>0</v>
      </c>
      <c r="E1364" t="s">
        <v>379</v>
      </c>
    </row>
    <row r="1365" spans="1:5" x14ac:dyDescent="0.25">
      <c r="A1365" s="279">
        <v>39011</v>
      </c>
      <c r="B1365" t="s">
        <v>338</v>
      </c>
      <c r="C1365" t="s">
        <v>70</v>
      </c>
      <c r="D1365">
        <v>0</v>
      </c>
      <c r="E1365" t="s">
        <v>379</v>
      </c>
    </row>
    <row r="1366" spans="1:5" x14ac:dyDescent="0.25">
      <c r="A1366" s="279">
        <v>39011</v>
      </c>
      <c r="B1366" t="s">
        <v>338</v>
      </c>
      <c r="C1366" t="s">
        <v>80</v>
      </c>
      <c r="D1366">
        <v>136</v>
      </c>
      <c r="E1366" t="s">
        <v>379</v>
      </c>
    </row>
    <row r="1367" spans="1:5" x14ac:dyDescent="0.25">
      <c r="A1367" s="279">
        <v>39011</v>
      </c>
      <c r="B1367" t="s">
        <v>339</v>
      </c>
      <c r="C1367" t="s">
        <v>71</v>
      </c>
      <c r="D1367">
        <v>1621</v>
      </c>
      <c r="E1367" t="s">
        <v>378</v>
      </c>
    </row>
    <row r="1368" spans="1:5" x14ac:dyDescent="0.25">
      <c r="A1368" s="279">
        <v>39011</v>
      </c>
      <c r="B1368" t="s">
        <v>339</v>
      </c>
      <c r="C1368" t="s">
        <v>72</v>
      </c>
      <c r="D1368">
        <v>0</v>
      </c>
      <c r="E1368" t="s">
        <v>380</v>
      </c>
    </row>
    <row r="1369" spans="1:5" x14ac:dyDescent="0.25">
      <c r="A1369" s="279">
        <v>39011</v>
      </c>
      <c r="B1369" t="s">
        <v>339</v>
      </c>
      <c r="C1369" t="s">
        <v>73</v>
      </c>
      <c r="D1369">
        <v>0</v>
      </c>
      <c r="E1369" t="s">
        <v>378</v>
      </c>
    </row>
    <row r="1370" spans="1:5" x14ac:dyDescent="0.25">
      <c r="A1370" s="279">
        <v>39011</v>
      </c>
      <c r="B1370" t="s">
        <v>339</v>
      </c>
      <c r="C1370" t="s">
        <v>74</v>
      </c>
      <c r="D1370">
        <v>0</v>
      </c>
      <c r="E1370" t="s">
        <v>380</v>
      </c>
    </row>
    <row r="1371" spans="1:5" x14ac:dyDescent="0.25">
      <c r="A1371" s="279">
        <v>39011</v>
      </c>
      <c r="B1371" t="s">
        <v>339</v>
      </c>
      <c r="C1371" t="s">
        <v>75</v>
      </c>
      <c r="D1371">
        <v>15065</v>
      </c>
      <c r="E1371" t="s">
        <v>378</v>
      </c>
    </row>
    <row r="1372" spans="1:5" x14ac:dyDescent="0.25">
      <c r="A1372" s="279">
        <v>39011</v>
      </c>
      <c r="B1372" t="s">
        <v>339</v>
      </c>
      <c r="C1372" t="s">
        <v>76</v>
      </c>
      <c r="D1372">
        <v>14522</v>
      </c>
      <c r="E1372" t="s">
        <v>380</v>
      </c>
    </row>
    <row r="1373" spans="1:5" x14ac:dyDescent="0.25">
      <c r="A1373" s="279">
        <v>39011</v>
      </c>
      <c r="B1373" t="s">
        <v>339</v>
      </c>
      <c r="C1373" t="s">
        <v>77</v>
      </c>
      <c r="D1373">
        <v>7296</v>
      </c>
      <c r="E1373" t="s">
        <v>378</v>
      </c>
    </row>
    <row r="1374" spans="1:5" x14ac:dyDescent="0.25">
      <c r="A1374" s="279">
        <v>39011</v>
      </c>
      <c r="B1374" t="s">
        <v>339</v>
      </c>
      <c r="C1374" t="s">
        <v>78</v>
      </c>
      <c r="D1374">
        <v>7028</v>
      </c>
      <c r="E1374" t="s">
        <v>380</v>
      </c>
    </row>
    <row r="1375" spans="1:5" x14ac:dyDescent="0.25">
      <c r="A1375" s="279">
        <v>39011</v>
      </c>
      <c r="B1375" t="s">
        <v>339</v>
      </c>
      <c r="C1375" t="s">
        <v>79</v>
      </c>
      <c r="D1375">
        <v>131657</v>
      </c>
      <c r="E1375" t="s">
        <v>379</v>
      </c>
    </row>
    <row r="1376" spans="1:5" x14ac:dyDescent="0.25">
      <c r="A1376" s="279">
        <v>39011</v>
      </c>
      <c r="B1376" t="s">
        <v>339</v>
      </c>
      <c r="C1376" t="s">
        <v>70</v>
      </c>
      <c r="D1376">
        <v>0</v>
      </c>
      <c r="E1376" t="s">
        <v>379</v>
      </c>
    </row>
    <row r="1377" spans="1:5" x14ac:dyDescent="0.25">
      <c r="A1377" s="279">
        <v>39011</v>
      </c>
      <c r="B1377" t="s">
        <v>339</v>
      </c>
      <c r="C1377" t="s">
        <v>63</v>
      </c>
      <c r="D1377">
        <v>0</v>
      </c>
      <c r="E1377" t="s">
        <v>378</v>
      </c>
    </row>
    <row r="1378" spans="1:5" x14ac:dyDescent="0.25">
      <c r="A1378" s="279">
        <v>39011</v>
      </c>
      <c r="B1378" t="s">
        <v>339</v>
      </c>
      <c r="C1378" t="s">
        <v>80</v>
      </c>
      <c r="D1378">
        <v>148</v>
      </c>
      <c r="E1378" t="s">
        <v>379</v>
      </c>
    </row>
    <row r="1379" spans="1:5" x14ac:dyDescent="0.25">
      <c r="A1379" s="279">
        <v>39012</v>
      </c>
      <c r="B1379" t="s">
        <v>338</v>
      </c>
      <c r="C1379" t="s">
        <v>59</v>
      </c>
      <c r="D1379">
        <v>0</v>
      </c>
      <c r="E1379" t="s">
        <v>378</v>
      </c>
    </row>
    <row r="1380" spans="1:5" x14ac:dyDescent="0.25">
      <c r="A1380" s="279">
        <v>39012</v>
      </c>
      <c r="B1380" t="s">
        <v>338</v>
      </c>
      <c r="C1380" t="s">
        <v>60</v>
      </c>
      <c r="D1380">
        <v>0</v>
      </c>
      <c r="E1380" t="s">
        <v>379</v>
      </c>
    </row>
    <row r="1381" spans="1:5" x14ac:dyDescent="0.25">
      <c r="A1381" s="279">
        <v>39012</v>
      </c>
      <c r="B1381" t="s">
        <v>338</v>
      </c>
      <c r="C1381" t="s">
        <v>61</v>
      </c>
      <c r="D1381">
        <v>4123</v>
      </c>
      <c r="E1381" t="s">
        <v>378</v>
      </c>
    </row>
    <row r="1382" spans="1:5" x14ac:dyDescent="0.25">
      <c r="A1382" s="279">
        <v>39012</v>
      </c>
      <c r="B1382" t="s">
        <v>338</v>
      </c>
      <c r="C1382" t="s">
        <v>62</v>
      </c>
      <c r="D1382">
        <v>0</v>
      </c>
      <c r="E1382" t="s">
        <v>380</v>
      </c>
    </row>
    <row r="1383" spans="1:5" x14ac:dyDescent="0.25">
      <c r="A1383" s="279">
        <v>39012</v>
      </c>
      <c r="B1383" t="s">
        <v>338</v>
      </c>
      <c r="C1383" t="s">
        <v>63</v>
      </c>
      <c r="D1383">
        <v>0</v>
      </c>
      <c r="E1383" t="s">
        <v>378</v>
      </c>
    </row>
    <row r="1384" spans="1:5" x14ac:dyDescent="0.25">
      <c r="A1384" s="279">
        <v>39012</v>
      </c>
      <c r="B1384" t="s">
        <v>338</v>
      </c>
      <c r="C1384" t="s">
        <v>64</v>
      </c>
      <c r="D1384">
        <v>0</v>
      </c>
      <c r="E1384" t="s">
        <v>380</v>
      </c>
    </row>
    <row r="1385" spans="1:5" x14ac:dyDescent="0.25">
      <c r="A1385" s="279">
        <v>39012</v>
      </c>
      <c r="B1385" t="s">
        <v>338</v>
      </c>
      <c r="C1385" t="s">
        <v>65</v>
      </c>
      <c r="D1385">
        <v>4724</v>
      </c>
      <c r="E1385" t="s">
        <v>378</v>
      </c>
    </row>
    <row r="1386" spans="1:5" x14ac:dyDescent="0.25">
      <c r="A1386" s="279">
        <v>39012</v>
      </c>
      <c r="B1386" t="s">
        <v>338</v>
      </c>
      <c r="C1386" t="s">
        <v>66</v>
      </c>
      <c r="D1386">
        <v>0</v>
      </c>
      <c r="E1386" t="s">
        <v>380</v>
      </c>
    </row>
    <row r="1387" spans="1:5" x14ac:dyDescent="0.25">
      <c r="A1387" s="279">
        <v>39012</v>
      </c>
      <c r="B1387" t="s">
        <v>338</v>
      </c>
      <c r="C1387" t="s">
        <v>120</v>
      </c>
      <c r="D1387">
        <v>12204</v>
      </c>
      <c r="E1387" t="s">
        <v>378</v>
      </c>
    </row>
    <row r="1388" spans="1:5" x14ac:dyDescent="0.25">
      <c r="A1388" s="279">
        <v>39012</v>
      </c>
      <c r="B1388" t="s">
        <v>338</v>
      </c>
      <c r="C1388" t="s">
        <v>121</v>
      </c>
      <c r="D1388">
        <v>0</v>
      </c>
      <c r="E1388" t="s">
        <v>380</v>
      </c>
    </row>
    <row r="1389" spans="1:5" x14ac:dyDescent="0.25">
      <c r="A1389" s="279">
        <v>39012</v>
      </c>
      <c r="B1389" t="s">
        <v>338</v>
      </c>
      <c r="C1389" t="s">
        <v>67</v>
      </c>
      <c r="D1389">
        <v>0</v>
      </c>
      <c r="E1389" t="s">
        <v>378</v>
      </c>
    </row>
    <row r="1390" spans="1:5" x14ac:dyDescent="0.25">
      <c r="A1390" s="279">
        <v>39012</v>
      </c>
      <c r="B1390" t="s">
        <v>338</v>
      </c>
      <c r="C1390" t="s">
        <v>68</v>
      </c>
      <c r="D1390">
        <v>0</v>
      </c>
      <c r="E1390" t="s">
        <v>380</v>
      </c>
    </row>
    <row r="1391" spans="1:5" x14ac:dyDescent="0.25">
      <c r="A1391" s="279">
        <v>39012</v>
      </c>
      <c r="B1391" t="s">
        <v>338</v>
      </c>
      <c r="C1391" t="s">
        <v>69</v>
      </c>
      <c r="D1391">
        <v>0</v>
      </c>
      <c r="E1391" t="s">
        <v>379</v>
      </c>
    </row>
    <row r="1392" spans="1:5" x14ac:dyDescent="0.25">
      <c r="A1392" s="279">
        <v>39012</v>
      </c>
      <c r="B1392" t="s">
        <v>338</v>
      </c>
      <c r="C1392" t="s">
        <v>70</v>
      </c>
      <c r="D1392">
        <v>0</v>
      </c>
      <c r="E1392" t="s">
        <v>379</v>
      </c>
    </row>
    <row r="1393" spans="1:5" x14ac:dyDescent="0.25">
      <c r="A1393" s="279">
        <v>39012</v>
      </c>
      <c r="B1393" t="s">
        <v>338</v>
      </c>
      <c r="C1393" t="s">
        <v>80</v>
      </c>
      <c r="D1393">
        <v>142</v>
      </c>
      <c r="E1393" t="s">
        <v>379</v>
      </c>
    </row>
    <row r="1394" spans="1:5" x14ac:dyDescent="0.25">
      <c r="A1394" s="279">
        <v>39012</v>
      </c>
      <c r="B1394" t="s">
        <v>339</v>
      </c>
      <c r="C1394" t="s">
        <v>71</v>
      </c>
      <c r="D1394">
        <v>1833</v>
      </c>
      <c r="E1394" t="s">
        <v>378</v>
      </c>
    </row>
    <row r="1395" spans="1:5" x14ac:dyDescent="0.25">
      <c r="A1395" s="279">
        <v>39012</v>
      </c>
      <c r="B1395" t="s">
        <v>339</v>
      </c>
      <c r="C1395" t="s">
        <v>72</v>
      </c>
      <c r="D1395">
        <v>0</v>
      </c>
      <c r="E1395" t="s">
        <v>380</v>
      </c>
    </row>
    <row r="1396" spans="1:5" x14ac:dyDescent="0.25">
      <c r="A1396" s="279">
        <v>39012</v>
      </c>
      <c r="B1396" t="s">
        <v>339</v>
      </c>
      <c r="C1396" t="s">
        <v>73</v>
      </c>
      <c r="D1396">
        <v>2258</v>
      </c>
      <c r="E1396" t="s">
        <v>378</v>
      </c>
    </row>
    <row r="1397" spans="1:5" x14ac:dyDescent="0.25">
      <c r="A1397" s="279">
        <v>39012</v>
      </c>
      <c r="B1397" t="s">
        <v>339</v>
      </c>
      <c r="C1397" t="s">
        <v>74</v>
      </c>
      <c r="D1397">
        <v>0</v>
      </c>
      <c r="E1397" t="s">
        <v>380</v>
      </c>
    </row>
    <row r="1398" spans="1:5" x14ac:dyDescent="0.25">
      <c r="A1398" s="279">
        <v>39012</v>
      </c>
      <c r="B1398" t="s">
        <v>339</v>
      </c>
      <c r="C1398" t="s">
        <v>75</v>
      </c>
      <c r="D1398">
        <v>15035</v>
      </c>
      <c r="E1398" t="s">
        <v>378</v>
      </c>
    </row>
    <row r="1399" spans="1:5" x14ac:dyDescent="0.25">
      <c r="A1399" s="279">
        <v>39012</v>
      </c>
      <c r="B1399" t="s">
        <v>339</v>
      </c>
      <c r="C1399" t="s">
        <v>76</v>
      </c>
      <c r="D1399">
        <v>14494</v>
      </c>
      <c r="E1399" t="s">
        <v>380</v>
      </c>
    </row>
    <row r="1400" spans="1:5" x14ac:dyDescent="0.25">
      <c r="A1400" s="279">
        <v>39012</v>
      </c>
      <c r="B1400" t="s">
        <v>339</v>
      </c>
      <c r="C1400" t="s">
        <v>77</v>
      </c>
      <c r="D1400">
        <v>7282</v>
      </c>
      <c r="E1400" t="s">
        <v>378</v>
      </c>
    </row>
    <row r="1401" spans="1:5" x14ac:dyDescent="0.25">
      <c r="A1401" s="279">
        <v>39012</v>
      </c>
      <c r="B1401" t="s">
        <v>339</v>
      </c>
      <c r="C1401" t="s">
        <v>78</v>
      </c>
      <c r="D1401">
        <v>7014</v>
      </c>
      <c r="E1401" t="s">
        <v>380</v>
      </c>
    </row>
    <row r="1402" spans="1:5" x14ac:dyDescent="0.25">
      <c r="A1402" s="279">
        <v>39012</v>
      </c>
      <c r="B1402" t="s">
        <v>339</v>
      </c>
      <c r="C1402" t="s">
        <v>79</v>
      </c>
      <c r="D1402">
        <v>131403</v>
      </c>
      <c r="E1402" t="s">
        <v>379</v>
      </c>
    </row>
    <row r="1403" spans="1:5" x14ac:dyDescent="0.25">
      <c r="A1403" s="279">
        <v>39012</v>
      </c>
      <c r="B1403" t="s">
        <v>339</v>
      </c>
      <c r="C1403" t="s">
        <v>70</v>
      </c>
      <c r="D1403">
        <v>0</v>
      </c>
      <c r="E1403" t="s">
        <v>379</v>
      </c>
    </row>
    <row r="1404" spans="1:5" x14ac:dyDescent="0.25">
      <c r="A1404" s="279">
        <v>39012</v>
      </c>
      <c r="B1404" t="s">
        <v>339</v>
      </c>
      <c r="C1404" t="s">
        <v>63</v>
      </c>
      <c r="D1404">
        <v>0</v>
      </c>
      <c r="E1404" t="s">
        <v>378</v>
      </c>
    </row>
    <row r="1405" spans="1:5" x14ac:dyDescent="0.25">
      <c r="A1405" s="279">
        <v>39012</v>
      </c>
      <c r="B1405" t="s">
        <v>339</v>
      </c>
      <c r="C1405" t="s">
        <v>80</v>
      </c>
      <c r="D1405">
        <v>235</v>
      </c>
      <c r="E1405" t="s">
        <v>379</v>
      </c>
    </row>
    <row r="1406" spans="1:5" x14ac:dyDescent="0.25">
      <c r="A1406" s="279">
        <v>39013</v>
      </c>
      <c r="B1406" t="s">
        <v>338</v>
      </c>
      <c r="C1406" t="s">
        <v>59</v>
      </c>
      <c r="D1406">
        <v>0</v>
      </c>
      <c r="E1406" t="s">
        <v>378</v>
      </c>
    </row>
    <row r="1407" spans="1:5" x14ac:dyDescent="0.25">
      <c r="A1407" s="279">
        <v>39013</v>
      </c>
      <c r="B1407" t="s">
        <v>338</v>
      </c>
      <c r="C1407" t="s">
        <v>60</v>
      </c>
      <c r="D1407">
        <v>0</v>
      </c>
      <c r="E1407" t="s">
        <v>379</v>
      </c>
    </row>
    <row r="1408" spans="1:5" x14ac:dyDescent="0.25">
      <c r="A1408" s="279">
        <v>39013</v>
      </c>
      <c r="B1408" t="s">
        <v>338</v>
      </c>
      <c r="C1408" t="s">
        <v>61</v>
      </c>
      <c r="D1408">
        <v>0</v>
      </c>
      <c r="E1408" t="s">
        <v>378</v>
      </c>
    </row>
    <row r="1409" spans="1:5" x14ac:dyDescent="0.25">
      <c r="A1409" s="279">
        <v>39013</v>
      </c>
      <c r="B1409" t="s">
        <v>338</v>
      </c>
      <c r="C1409" t="s">
        <v>62</v>
      </c>
      <c r="D1409">
        <v>0</v>
      </c>
      <c r="E1409" t="s">
        <v>380</v>
      </c>
    </row>
    <row r="1410" spans="1:5" x14ac:dyDescent="0.25">
      <c r="A1410" s="279">
        <v>39013</v>
      </c>
      <c r="B1410" t="s">
        <v>338</v>
      </c>
      <c r="C1410" t="s">
        <v>63</v>
      </c>
      <c r="D1410">
        <v>0</v>
      </c>
      <c r="E1410" t="s">
        <v>378</v>
      </c>
    </row>
    <row r="1411" spans="1:5" x14ac:dyDescent="0.25">
      <c r="A1411" s="279">
        <v>39013</v>
      </c>
      <c r="B1411" t="s">
        <v>338</v>
      </c>
      <c r="C1411" t="s">
        <v>64</v>
      </c>
      <c r="D1411">
        <v>0</v>
      </c>
      <c r="E1411" t="s">
        <v>380</v>
      </c>
    </row>
    <row r="1412" spans="1:5" x14ac:dyDescent="0.25">
      <c r="A1412" s="279">
        <v>39013</v>
      </c>
      <c r="B1412" t="s">
        <v>338</v>
      </c>
      <c r="C1412" t="s">
        <v>65</v>
      </c>
      <c r="D1412">
        <v>4724</v>
      </c>
      <c r="E1412" t="s">
        <v>378</v>
      </c>
    </row>
    <row r="1413" spans="1:5" x14ac:dyDescent="0.25">
      <c r="A1413" s="279">
        <v>39013</v>
      </c>
      <c r="B1413" t="s">
        <v>338</v>
      </c>
      <c r="C1413" t="s">
        <v>66</v>
      </c>
      <c r="D1413">
        <v>0</v>
      </c>
      <c r="E1413" t="s">
        <v>380</v>
      </c>
    </row>
    <row r="1414" spans="1:5" x14ac:dyDescent="0.25">
      <c r="A1414" s="279">
        <v>39013</v>
      </c>
      <c r="B1414" t="s">
        <v>338</v>
      </c>
      <c r="C1414" t="s">
        <v>120</v>
      </c>
      <c r="D1414">
        <v>0</v>
      </c>
      <c r="E1414" t="s">
        <v>378</v>
      </c>
    </row>
    <row r="1415" spans="1:5" x14ac:dyDescent="0.25">
      <c r="A1415" s="279">
        <v>39013</v>
      </c>
      <c r="B1415" t="s">
        <v>338</v>
      </c>
      <c r="C1415" t="s">
        <v>121</v>
      </c>
      <c r="D1415">
        <v>1382</v>
      </c>
      <c r="E1415" t="s">
        <v>380</v>
      </c>
    </row>
    <row r="1416" spans="1:5" x14ac:dyDescent="0.25">
      <c r="A1416" s="279">
        <v>39013</v>
      </c>
      <c r="B1416" t="s">
        <v>338</v>
      </c>
      <c r="C1416" t="s">
        <v>67</v>
      </c>
      <c r="D1416">
        <v>0</v>
      </c>
      <c r="E1416" t="s">
        <v>378</v>
      </c>
    </row>
    <row r="1417" spans="1:5" x14ac:dyDescent="0.25">
      <c r="A1417" s="279">
        <v>39013</v>
      </c>
      <c r="B1417" t="s">
        <v>338</v>
      </c>
      <c r="C1417" t="s">
        <v>68</v>
      </c>
      <c r="D1417">
        <v>0</v>
      </c>
      <c r="E1417" t="s">
        <v>380</v>
      </c>
    </row>
    <row r="1418" spans="1:5" x14ac:dyDescent="0.25">
      <c r="A1418" s="279">
        <v>39013</v>
      </c>
      <c r="B1418" t="s">
        <v>338</v>
      </c>
      <c r="C1418" t="s">
        <v>69</v>
      </c>
      <c r="D1418">
        <v>0</v>
      </c>
      <c r="E1418" t="s">
        <v>379</v>
      </c>
    </row>
    <row r="1419" spans="1:5" x14ac:dyDescent="0.25">
      <c r="A1419" s="279">
        <v>39013</v>
      </c>
      <c r="B1419" t="s">
        <v>338</v>
      </c>
      <c r="C1419" t="s">
        <v>70</v>
      </c>
      <c r="D1419">
        <v>0</v>
      </c>
      <c r="E1419" t="s">
        <v>379</v>
      </c>
    </row>
    <row r="1420" spans="1:5" x14ac:dyDescent="0.25">
      <c r="A1420" s="279">
        <v>39013</v>
      </c>
      <c r="B1420" t="s">
        <v>338</v>
      </c>
      <c r="C1420" t="s">
        <v>80</v>
      </c>
      <c r="D1420">
        <v>0</v>
      </c>
      <c r="E1420" t="s">
        <v>379</v>
      </c>
    </row>
    <row r="1421" spans="1:5" x14ac:dyDescent="0.25">
      <c r="A1421" s="279">
        <v>39013</v>
      </c>
      <c r="B1421" t="s">
        <v>339</v>
      </c>
      <c r="C1421" t="s">
        <v>71</v>
      </c>
      <c r="D1421">
        <v>0</v>
      </c>
      <c r="E1421" t="s">
        <v>378</v>
      </c>
    </row>
    <row r="1422" spans="1:5" x14ac:dyDescent="0.25">
      <c r="A1422" s="279">
        <v>39013</v>
      </c>
      <c r="B1422" t="s">
        <v>339</v>
      </c>
      <c r="C1422" t="s">
        <v>72</v>
      </c>
      <c r="D1422">
        <v>0</v>
      </c>
      <c r="E1422" t="s">
        <v>380</v>
      </c>
    </row>
    <row r="1423" spans="1:5" x14ac:dyDescent="0.25">
      <c r="A1423" s="279">
        <v>39013</v>
      </c>
      <c r="B1423" t="s">
        <v>339</v>
      </c>
      <c r="C1423" t="s">
        <v>73</v>
      </c>
      <c r="D1423">
        <v>0</v>
      </c>
      <c r="E1423" t="s">
        <v>378</v>
      </c>
    </row>
    <row r="1424" spans="1:5" x14ac:dyDescent="0.25">
      <c r="A1424" s="279">
        <v>39013</v>
      </c>
      <c r="B1424" t="s">
        <v>339</v>
      </c>
      <c r="C1424" t="s">
        <v>74</v>
      </c>
      <c r="D1424">
        <v>24921</v>
      </c>
      <c r="E1424" t="s">
        <v>380</v>
      </c>
    </row>
    <row r="1425" spans="1:5" x14ac:dyDescent="0.25">
      <c r="A1425" s="279">
        <v>39013</v>
      </c>
      <c r="B1425" t="s">
        <v>339</v>
      </c>
      <c r="C1425" t="s">
        <v>75</v>
      </c>
      <c r="D1425">
        <v>15050</v>
      </c>
      <c r="E1425" t="s">
        <v>378</v>
      </c>
    </row>
    <row r="1426" spans="1:5" x14ac:dyDescent="0.25">
      <c r="A1426" s="279">
        <v>39013</v>
      </c>
      <c r="B1426" t="s">
        <v>339</v>
      </c>
      <c r="C1426" t="s">
        <v>76</v>
      </c>
      <c r="D1426">
        <v>19167</v>
      </c>
      <c r="E1426" t="s">
        <v>380</v>
      </c>
    </row>
    <row r="1427" spans="1:5" x14ac:dyDescent="0.25">
      <c r="A1427" s="279">
        <v>39013</v>
      </c>
      <c r="B1427" t="s">
        <v>339</v>
      </c>
      <c r="C1427" t="s">
        <v>77</v>
      </c>
      <c r="D1427">
        <v>7289</v>
      </c>
      <c r="E1427" t="s">
        <v>378</v>
      </c>
    </row>
    <row r="1428" spans="1:5" x14ac:dyDescent="0.25">
      <c r="A1428" s="279">
        <v>39013</v>
      </c>
      <c r="B1428" t="s">
        <v>339</v>
      </c>
      <c r="C1428" t="s">
        <v>78</v>
      </c>
      <c r="D1428">
        <v>12050</v>
      </c>
      <c r="E1428" t="s">
        <v>380</v>
      </c>
    </row>
    <row r="1429" spans="1:5" x14ac:dyDescent="0.25">
      <c r="A1429" s="279">
        <v>39013</v>
      </c>
      <c r="B1429" t="s">
        <v>339</v>
      </c>
      <c r="C1429" t="s">
        <v>79</v>
      </c>
      <c r="D1429">
        <v>131529</v>
      </c>
      <c r="E1429" t="s">
        <v>379</v>
      </c>
    </row>
    <row r="1430" spans="1:5" x14ac:dyDescent="0.25">
      <c r="A1430" s="279">
        <v>39013</v>
      </c>
      <c r="B1430" t="s">
        <v>339</v>
      </c>
      <c r="C1430" t="s">
        <v>70</v>
      </c>
      <c r="D1430">
        <v>0</v>
      </c>
      <c r="E1430" t="s">
        <v>379</v>
      </c>
    </row>
    <row r="1431" spans="1:5" x14ac:dyDescent="0.25">
      <c r="A1431" s="279">
        <v>39013</v>
      </c>
      <c r="B1431" t="s">
        <v>339</v>
      </c>
      <c r="C1431" t="s">
        <v>63</v>
      </c>
      <c r="D1431">
        <v>0</v>
      </c>
      <c r="E1431" t="s">
        <v>378</v>
      </c>
    </row>
    <row r="1432" spans="1:5" x14ac:dyDescent="0.25">
      <c r="A1432" s="279">
        <v>39013</v>
      </c>
      <c r="B1432" t="s">
        <v>339</v>
      </c>
      <c r="C1432" t="s">
        <v>80</v>
      </c>
      <c r="D1432">
        <v>134</v>
      </c>
      <c r="E1432" t="s">
        <v>379</v>
      </c>
    </row>
    <row r="1433" spans="1:5" x14ac:dyDescent="0.25">
      <c r="A1433" s="279">
        <v>39014</v>
      </c>
      <c r="B1433" t="s">
        <v>338</v>
      </c>
      <c r="C1433" t="s">
        <v>59</v>
      </c>
      <c r="D1433">
        <v>0</v>
      </c>
      <c r="E1433" t="s">
        <v>378</v>
      </c>
    </row>
    <row r="1434" spans="1:5" x14ac:dyDescent="0.25">
      <c r="A1434" s="279">
        <v>39014</v>
      </c>
      <c r="B1434" t="s">
        <v>338</v>
      </c>
      <c r="C1434" t="s">
        <v>60</v>
      </c>
      <c r="D1434">
        <v>0</v>
      </c>
      <c r="E1434" t="s">
        <v>379</v>
      </c>
    </row>
    <row r="1435" spans="1:5" x14ac:dyDescent="0.25">
      <c r="A1435" s="279">
        <v>39014</v>
      </c>
      <c r="B1435" t="s">
        <v>338</v>
      </c>
      <c r="C1435" t="s">
        <v>61</v>
      </c>
      <c r="D1435">
        <v>0</v>
      </c>
      <c r="E1435" t="s">
        <v>378</v>
      </c>
    </row>
    <row r="1436" spans="1:5" x14ac:dyDescent="0.25">
      <c r="A1436" s="279">
        <v>39014</v>
      </c>
      <c r="B1436" t="s">
        <v>338</v>
      </c>
      <c r="C1436" t="s">
        <v>62</v>
      </c>
      <c r="D1436">
        <v>0</v>
      </c>
      <c r="E1436" t="s">
        <v>380</v>
      </c>
    </row>
    <row r="1437" spans="1:5" x14ac:dyDescent="0.25">
      <c r="A1437" s="279">
        <v>39014</v>
      </c>
      <c r="B1437" t="s">
        <v>338</v>
      </c>
      <c r="C1437" t="s">
        <v>63</v>
      </c>
      <c r="D1437">
        <v>0</v>
      </c>
      <c r="E1437" t="s">
        <v>378</v>
      </c>
    </row>
    <row r="1438" spans="1:5" x14ac:dyDescent="0.25">
      <c r="A1438" s="279">
        <v>39014</v>
      </c>
      <c r="B1438" t="s">
        <v>338</v>
      </c>
      <c r="C1438" t="s">
        <v>64</v>
      </c>
      <c r="D1438">
        <v>0</v>
      </c>
      <c r="E1438" t="s">
        <v>380</v>
      </c>
    </row>
    <row r="1439" spans="1:5" x14ac:dyDescent="0.25">
      <c r="A1439" s="279">
        <v>39014</v>
      </c>
      <c r="B1439" t="s">
        <v>338</v>
      </c>
      <c r="C1439" t="s">
        <v>65</v>
      </c>
      <c r="D1439">
        <v>0</v>
      </c>
      <c r="E1439" t="s">
        <v>378</v>
      </c>
    </row>
    <row r="1440" spans="1:5" x14ac:dyDescent="0.25">
      <c r="A1440" s="279">
        <v>39014</v>
      </c>
      <c r="B1440" t="s">
        <v>338</v>
      </c>
      <c r="C1440" t="s">
        <v>66</v>
      </c>
      <c r="D1440">
        <v>0</v>
      </c>
      <c r="E1440" t="s">
        <v>380</v>
      </c>
    </row>
    <row r="1441" spans="1:5" x14ac:dyDescent="0.25">
      <c r="A1441" s="279">
        <v>39014</v>
      </c>
      <c r="B1441" t="s">
        <v>338</v>
      </c>
      <c r="C1441" t="s">
        <v>120</v>
      </c>
      <c r="D1441">
        <v>0</v>
      </c>
      <c r="E1441" t="s">
        <v>378</v>
      </c>
    </row>
    <row r="1442" spans="1:5" x14ac:dyDescent="0.25">
      <c r="A1442" s="279">
        <v>39014</v>
      </c>
      <c r="B1442" t="s">
        <v>338</v>
      </c>
      <c r="C1442" t="s">
        <v>121</v>
      </c>
      <c r="D1442">
        <v>15400</v>
      </c>
      <c r="E1442" t="s">
        <v>380</v>
      </c>
    </row>
    <row r="1443" spans="1:5" x14ac:dyDescent="0.25">
      <c r="A1443" s="279">
        <v>39014</v>
      </c>
      <c r="B1443" t="s">
        <v>338</v>
      </c>
      <c r="C1443" t="s">
        <v>67</v>
      </c>
      <c r="D1443">
        <v>0</v>
      </c>
      <c r="E1443" t="s">
        <v>378</v>
      </c>
    </row>
    <row r="1444" spans="1:5" x14ac:dyDescent="0.25">
      <c r="A1444" s="279">
        <v>39014</v>
      </c>
      <c r="B1444" t="s">
        <v>338</v>
      </c>
      <c r="C1444" t="s">
        <v>68</v>
      </c>
      <c r="D1444">
        <v>0</v>
      </c>
      <c r="E1444" t="s">
        <v>380</v>
      </c>
    </row>
    <row r="1445" spans="1:5" x14ac:dyDescent="0.25">
      <c r="A1445" s="279">
        <v>39014</v>
      </c>
      <c r="B1445" t="s">
        <v>338</v>
      </c>
      <c r="C1445" t="s">
        <v>69</v>
      </c>
      <c r="D1445">
        <v>0</v>
      </c>
      <c r="E1445" t="s">
        <v>379</v>
      </c>
    </row>
    <row r="1446" spans="1:5" x14ac:dyDescent="0.25">
      <c r="A1446" s="279">
        <v>39014</v>
      </c>
      <c r="B1446" t="s">
        <v>338</v>
      </c>
      <c r="C1446" t="s">
        <v>70</v>
      </c>
      <c r="D1446">
        <v>0</v>
      </c>
      <c r="E1446" t="s">
        <v>379</v>
      </c>
    </row>
    <row r="1447" spans="1:5" x14ac:dyDescent="0.25">
      <c r="A1447" s="279">
        <v>39014</v>
      </c>
      <c r="B1447" t="s">
        <v>338</v>
      </c>
      <c r="C1447" t="s">
        <v>80</v>
      </c>
      <c r="D1447">
        <v>0</v>
      </c>
      <c r="E1447" t="s">
        <v>379</v>
      </c>
    </row>
    <row r="1448" spans="1:5" x14ac:dyDescent="0.25">
      <c r="A1448" s="279">
        <v>39014</v>
      </c>
      <c r="B1448" t="s">
        <v>339</v>
      </c>
      <c r="C1448" t="s">
        <v>71</v>
      </c>
      <c r="D1448">
        <v>0</v>
      </c>
      <c r="E1448" t="s">
        <v>378</v>
      </c>
    </row>
    <row r="1449" spans="1:5" x14ac:dyDescent="0.25">
      <c r="A1449" s="279">
        <v>39014</v>
      </c>
      <c r="B1449" t="s">
        <v>339</v>
      </c>
      <c r="C1449" t="s">
        <v>72</v>
      </c>
      <c r="D1449">
        <v>0</v>
      </c>
      <c r="E1449" t="s">
        <v>380</v>
      </c>
    </row>
    <row r="1450" spans="1:5" x14ac:dyDescent="0.25">
      <c r="A1450" s="279">
        <v>39014</v>
      </c>
      <c r="B1450" t="s">
        <v>339</v>
      </c>
      <c r="C1450" t="s">
        <v>73</v>
      </c>
      <c r="D1450">
        <v>0</v>
      </c>
      <c r="E1450" t="s">
        <v>378</v>
      </c>
    </row>
    <row r="1451" spans="1:5" x14ac:dyDescent="0.25">
      <c r="A1451" s="279">
        <v>39014</v>
      </c>
      <c r="B1451" t="s">
        <v>339</v>
      </c>
      <c r="C1451" t="s">
        <v>74</v>
      </c>
      <c r="D1451">
        <v>28252</v>
      </c>
      <c r="E1451" t="s">
        <v>380</v>
      </c>
    </row>
    <row r="1452" spans="1:5" x14ac:dyDescent="0.25">
      <c r="A1452" s="279">
        <v>39014</v>
      </c>
      <c r="B1452" t="s">
        <v>339</v>
      </c>
      <c r="C1452" t="s">
        <v>75</v>
      </c>
      <c r="D1452">
        <v>15065</v>
      </c>
      <c r="E1452" t="s">
        <v>378</v>
      </c>
    </row>
    <row r="1453" spans="1:5" x14ac:dyDescent="0.25">
      <c r="A1453" s="279">
        <v>39014</v>
      </c>
      <c r="B1453" t="s">
        <v>339</v>
      </c>
      <c r="C1453" t="s">
        <v>76</v>
      </c>
      <c r="D1453">
        <v>13400</v>
      </c>
      <c r="E1453" t="s">
        <v>380</v>
      </c>
    </row>
    <row r="1454" spans="1:5" x14ac:dyDescent="0.25">
      <c r="A1454" s="279">
        <v>39014</v>
      </c>
      <c r="B1454" t="s">
        <v>339</v>
      </c>
      <c r="C1454" t="s">
        <v>77</v>
      </c>
      <c r="D1454">
        <v>7296</v>
      </c>
      <c r="E1454" t="s">
        <v>378</v>
      </c>
    </row>
    <row r="1455" spans="1:5" x14ac:dyDescent="0.25">
      <c r="A1455" s="279">
        <v>39014</v>
      </c>
      <c r="B1455" t="s">
        <v>339</v>
      </c>
      <c r="C1455" t="s">
        <v>78</v>
      </c>
      <c r="D1455">
        <v>7685</v>
      </c>
      <c r="E1455" t="s">
        <v>380</v>
      </c>
    </row>
    <row r="1456" spans="1:5" x14ac:dyDescent="0.25">
      <c r="A1456" s="279">
        <v>39014</v>
      </c>
      <c r="B1456" t="s">
        <v>339</v>
      </c>
      <c r="C1456" t="s">
        <v>79</v>
      </c>
      <c r="D1456">
        <v>141819</v>
      </c>
      <c r="E1456" t="s">
        <v>379</v>
      </c>
    </row>
    <row r="1457" spans="1:5" x14ac:dyDescent="0.25">
      <c r="A1457" s="279">
        <v>39014</v>
      </c>
      <c r="B1457" t="s">
        <v>339</v>
      </c>
      <c r="C1457" t="s">
        <v>70</v>
      </c>
      <c r="D1457">
        <v>0</v>
      </c>
      <c r="E1457" t="s">
        <v>379</v>
      </c>
    </row>
    <row r="1458" spans="1:5" x14ac:dyDescent="0.25">
      <c r="A1458" s="279">
        <v>39014</v>
      </c>
      <c r="B1458" t="s">
        <v>339</v>
      </c>
      <c r="C1458" t="s">
        <v>63</v>
      </c>
      <c r="D1458">
        <v>0</v>
      </c>
      <c r="E1458" t="s">
        <v>378</v>
      </c>
    </row>
    <row r="1459" spans="1:5" x14ac:dyDescent="0.25">
      <c r="A1459" s="279">
        <v>39014</v>
      </c>
      <c r="B1459" t="s">
        <v>339</v>
      </c>
      <c r="C1459" t="s">
        <v>80</v>
      </c>
      <c r="D1459">
        <v>134</v>
      </c>
      <c r="E1459" t="s">
        <v>379</v>
      </c>
    </row>
    <row r="1460" spans="1:5" x14ac:dyDescent="0.25">
      <c r="A1460" s="279">
        <v>39015</v>
      </c>
      <c r="B1460" t="s">
        <v>338</v>
      </c>
      <c r="C1460" t="s">
        <v>59</v>
      </c>
      <c r="D1460">
        <v>0</v>
      </c>
      <c r="E1460" t="s">
        <v>378</v>
      </c>
    </row>
    <row r="1461" spans="1:5" x14ac:dyDescent="0.25">
      <c r="A1461" s="279">
        <v>39015</v>
      </c>
      <c r="B1461" t="s">
        <v>338</v>
      </c>
      <c r="C1461" t="s">
        <v>60</v>
      </c>
      <c r="D1461">
        <v>0</v>
      </c>
      <c r="E1461" t="s">
        <v>379</v>
      </c>
    </row>
    <row r="1462" spans="1:5" x14ac:dyDescent="0.25">
      <c r="A1462" s="279">
        <v>39015</v>
      </c>
      <c r="B1462" t="s">
        <v>338</v>
      </c>
      <c r="C1462" t="s">
        <v>61</v>
      </c>
      <c r="D1462">
        <v>0</v>
      </c>
      <c r="E1462" t="s">
        <v>378</v>
      </c>
    </row>
    <row r="1463" spans="1:5" x14ac:dyDescent="0.25">
      <c r="A1463" s="279">
        <v>39015</v>
      </c>
      <c r="B1463" t="s">
        <v>338</v>
      </c>
      <c r="C1463" t="s">
        <v>62</v>
      </c>
      <c r="D1463">
        <v>0</v>
      </c>
      <c r="E1463" t="s">
        <v>380</v>
      </c>
    </row>
    <row r="1464" spans="1:5" x14ac:dyDescent="0.25">
      <c r="A1464" s="279">
        <v>39015</v>
      </c>
      <c r="B1464" t="s">
        <v>338</v>
      </c>
      <c r="C1464" t="s">
        <v>63</v>
      </c>
      <c r="D1464">
        <v>0</v>
      </c>
      <c r="E1464" t="s">
        <v>378</v>
      </c>
    </row>
    <row r="1465" spans="1:5" x14ac:dyDescent="0.25">
      <c r="A1465" s="279">
        <v>39015</v>
      </c>
      <c r="B1465" t="s">
        <v>338</v>
      </c>
      <c r="C1465" t="s">
        <v>64</v>
      </c>
      <c r="D1465">
        <v>0</v>
      </c>
      <c r="E1465" t="s">
        <v>380</v>
      </c>
    </row>
    <row r="1466" spans="1:5" x14ac:dyDescent="0.25">
      <c r="A1466" s="279">
        <v>39015</v>
      </c>
      <c r="B1466" t="s">
        <v>338</v>
      </c>
      <c r="C1466" t="s">
        <v>65</v>
      </c>
      <c r="D1466">
        <v>0</v>
      </c>
      <c r="E1466" t="s">
        <v>378</v>
      </c>
    </row>
    <row r="1467" spans="1:5" x14ac:dyDescent="0.25">
      <c r="A1467" s="279">
        <v>39015</v>
      </c>
      <c r="B1467" t="s">
        <v>338</v>
      </c>
      <c r="C1467" t="s">
        <v>66</v>
      </c>
      <c r="D1467">
        <v>0</v>
      </c>
      <c r="E1467" t="s">
        <v>380</v>
      </c>
    </row>
    <row r="1468" spans="1:5" x14ac:dyDescent="0.25">
      <c r="A1468" s="279">
        <v>39015</v>
      </c>
      <c r="B1468" t="s">
        <v>338</v>
      </c>
      <c r="C1468" t="s">
        <v>120</v>
      </c>
      <c r="D1468">
        <v>0</v>
      </c>
      <c r="E1468" t="s">
        <v>378</v>
      </c>
    </row>
    <row r="1469" spans="1:5" x14ac:dyDescent="0.25">
      <c r="A1469" s="279">
        <v>39015</v>
      </c>
      <c r="B1469" t="s">
        <v>338</v>
      </c>
      <c r="C1469" t="s">
        <v>121</v>
      </c>
      <c r="D1469">
        <v>19342</v>
      </c>
      <c r="E1469" t="s">
        <v>380</v>
      </c>
    </row>
    <row r="1470" spans="1:5" x14ac:dyDescent="0.25">
      <c r="A1470" s="279">
        <v>39015</v>
      </c>
      <c r="B1470" t="s">
        <v>338</v>
      </c>
      <c r="C1470" t="s">
        <v>67</v>
      </c>
      <c r="D1470">
        <v>0</v>
      </c>
      <c r="E1470" t="s">
        <v>378</v>
      </c>
    </row>
    <row r="1471" spans="1:5" x14ac:dyDescent="0.25">
      <c r="A1471" s="279">
        <v>39015</v>
      </c>
      <c r="B1471" t="s">
        <v>338</v>
      </c>
      <c r="C1471" t="s">
        <v>68</v>
      </c>
      <c r="D1471">
        <v>0</v>
      </c>
      <c r="E1471" t="s">
        <v>380</v>
      </c>
    </row>
    <row r="1472" spans="1:5" x14ac:dyDescent="0.25">
      <c r="A1472" s="279">
        <v>39015</v>
      </c>
      <c r="B1472" t="s">
        <v>338</v>
      </c>
      <c r="C1472" t="s">
        <v>69</v>
      </c>
      <c r="D1472">
        <v>0</v>
      </c>
      <c r="E1472" t="s">
        <v>379</v>
      </c>
    </row>
    <row r="1473" spans="1:5" x14ac:dyDescent="0.25">
      <c r="A1473" s="279">
        <v>39015</v>
      </c>
      <c r="B1473" t="s">
        <v>338</v>
      </c>
      <c r="C1473" t="s">
        <v>70</v>
      </c>
      <c r="D1473">
        <v>0</v>
      </c>
      <c r="E1473" t="s">
        <v>379</v>
      </c>
    </row>
    <row r="1474" spans="1:5" x14ac:dyDescent="0.25">
      <c r="A1474" s="279">
        <v>39015</v>
      </c>
      <c r="B1474" t="s">
        <v>338</v>
      </c>
      <c r="C1474" t="s">
        <v>80</v>
      </c>
      <c r="D1474">
        <v>0</v>
      </c>
      <c r="E1474" t="s">
        <v>379</v>
      </c>
    </row>
    <row r="1475" spans="1:5" x14ac:dyDescent="0.25">
      <c r="A1475" s="279">
        <v>39015</v>
      </c>
      <c r="B1475" t="s">
        <v>339</v>
      </c>
      <c r="C1475" t="s">
        <v>71</v>
      </c>
      <c r="D1475">
        <v>0</v>
      </c>
      <c r="E1475" t="s">
        <v>378</v>
      </c>
    </row>
    <row r="1476" spans="1:5" x14ac:dyDescent="0.25">
      <c r="A1476" s="279">
        <v>39015</v>
      </c>
      <c r="B1476" t="s">
        <v>339</v>
      </c>
      <c r="C1476" t="s">
        <v>72</v>
      </c>
      <c r="D1476">
        <v>0</v>
      </c>
      <c r="E1476" t="s">
        <v>380</v>
      </c>
    </row>
    <row r="1477" spans="1:5" x14ac:dyDescent="0.25">
      <c r="A1477" s="279">
        <v>39015</v>
      </c>
      <c r="B1477" t="s">
        <v>339</v>
      </c>
      <c r="C1477" t="s">
        <v>73</v>
      </c>
      <c r="D1477">
        <v>0</v>
      </c>
      <c r="E1477" t="s">
        <v>378</v>
      </c>
    </row>
    <row r="1478" spans="1:5" x14ac:dyDescent="0.25">
      <c r="A1478" s="279">
        <v>39015</v>
      </c>
      <c r="B1478" t="s">
        <v>339</v>
      </c>
      <c r="C1478" t="s">
        <v>74</v>
      </c>
      <c r="D1478">
        <v>14531</v>
      </c>
      <c r="E1478" t="s">
        <v>380</v>
      </c>
    </row>
    <row r="1479" spans="1:5" x14ac:dyDescent="0.25">
      <c r="A1479" s="279">
        <v>39015</v>
      </c>
      <c r="B1479" t="s">
        <v>339</v>
      </c>
      <c r="C1479" t="s">
        <v>75</v>
      </c>
      <c r="D1479">
        <v>15065</v>
      </c>
      <c r="E1479" t="s">
        <v>378</v>
      </c>
    </row>
    <row r="1480" spans="1:5" x14ac:dyDescent="0.25">
      <c r="A1480" s="279">
        <v>39015</v>
      </c>
      <c r="B1480" t="s">
        <v>339</v>
      </c>
      <c r="C1480" t="s">
        <v>76</v>
      </c>
      <c r="D1480">
        <v>14057</v>
      </c>
      <c r="E1480" t="s">
        <v>380</v>
      </c>
    </row>
    <row r="1481" spans="1:5" x14ac:dyDescent="0.25">
      <c r="A1481" s="279">
        <v>39015</v>
      </c>
      <c r="B1481" t="s">
        <v>339</v>
      </c>
      <c r="C1481" t="s">
        <v>77</v>
      </c>
      <c r="D1481">
        <v>7296</v>
      </c>
      <c r="E1481" t="s">
        <v>378</v>
      </c>
    </row>
    <row r="1482" spans="1:5" x14ac:dyDescent="0.25">
      <c r="A1482" s="279">
        <v>39015</v>
      </c>
      <c r="B1482" t="s">
        <v>339</v>
      </c>
      <c r="C1482" t="s">
        <v>78</v>
      </c>
      <c r="D1482">
        <v>7028</v>
      </c>
      <c r="E1482" t="s">
        <v>380</v>
      </c>
    </row>
    <row r="1483" spans="1:5" x14ac:dyDescent="0.25">
      <c r="A1483" s="279">
        <v>39015</v>
      </c>
      <c r="B1483" t="s">
        <v>339</v>
      </c>
      <c r="C1483" t="s">
        <v>79</v>
      </c>
      <c r="D1483">
        <v>141819</v>
      </c>
      <c r="E1483" t="s">
        <v>379</v>
      </c>
    </row>
    <row r="1484" spans="1:5" x14ac:dyDescent="0.25">
      <c r="A1484" s="279">
        <v>39015</v>
      </c>
      <c r="B1484" t="s">
        <v>339</v>
      </c>
      <c r="C1484" t="s">
        <v>70</v>
      </c>
      <c r="D1484">
        <v>0</v>
      </c>
      <c r="E1484" t="s">
        <v>379</v>
      </c>
    </row>
    <row r="1485" spans="1:5" x14ac:dyDescent="0.25">
      <c r="A1485" s="279">
        <v>39015</v>
      </c>
      <c r="B1485" t="s">
        <v>339</v>
      </c>
      <c r="C1485" t="s">
        <v>63</v>
      </c>
      <c r="D1485">
        <v>0</v>
      </c>
      <c r="E1485" t="s">
        <v>378</v>
      </c>
    </row>
    <row r="1486" spans="1:5" x14ac:dyDescent="0.25">
      <c r="A1486" s="279">
        <v>39015</v>
      </c>
      <c r="B1486" t="s">
        <v>339</v>
      </c>
      <c r="C1486" t="s">
        <v>80</v>
      </c>
      <c r="D1486">
        <v>134</v>
      </c>
      <c r="E1486" t="s">
        <v>379</v>
      </c>
    </row>
    <row r="1487" spans="1:5" x14ac:dyDescent="0.25">
      <c r="A1487" s="279">
        <v>39016</v>
      </c>
      <c r="B1487" t="s">
        <v>338</v>
      </c>
      <c r="C1487" t="s">
        <v>59</v>
      </c>
      <c r="D1487">
        <v>0</v>
      </c>
      <c r="E1487" t="s">
        <v>378</v>
      </c>
    </row>
    <row r="1488" spans="1:5" x14ac:dyDescent="0.25">
      <c r="A1488" s="279">
        <v>39016</v>
      </c>
      <c r="B1488" t="s">
        <v>338</v>
      </c>
      <c r="C1488" t="s">
        <v>60</v>
      </c>
      <c r="D1488">
        <v>0</v>
      </c>
      <c r="E1488" t="s">
        <v>379</v>
      </c>
    </row>
    <row r="1489" spans="1:5" x14ac:dyDescent="0.25">
      <c r="A1489" s="279">
        <v>39016</v>
      </c>
      <c r="B1489" t="s">
        <v>338</v>
      </c>
      <c r="C1489" t="s">
        <v>61</v>
      </c>
      <c r="D1489">
        <v>0</v>
      </c>
      <c r="E1489" t="s">
        <v>378</v>
      </c>
    </row>
    <row r="1490" spans="1:5" x14ac:dyDescent="0.25">
      <c r="A1490" s="279">
        <v>39016</v>
      </c>
      <c r="B1490" t="s">
        <v>338</v>
      </c>
      <c r="C1490" t="s">
        <v>62</v>
      </c>
      <c r="D1490">
        <v>29691</v>
      </c>
      <c r="E1490" t="s">
        <v>380</v>
      </c>
    </row>
    <row r="1491" spans="1:5" x14ac:dyDescent="0.25">
      <c r="A1491" s="279">
        <v>39016</v>
      </c>
      <c r="B1491" t="s">
        <v>338</v>
      </c>
      <c r="C1491" t="s">
        <v>63</v>
      </c>
      <c r="D1491">
        <v>0</v>
      </c>
      <c r="E1491" t="s">
        <v>378</v>
      </c>
    </row>
    <row r="1492" spans="1:5" x14ac:dyDescent="0.25">
      <c r="A1492" s="279">
        <v>39016</v>
      </c>
      <c r="B1492" t="s">
        <v>338</v>
      </c>
      <c r="C1492" t="s">
        <v>64</v>
      </c>
      <c r="D1492">
        <v>0</v>
      </c>
      <c r="E1492" t="s">
        <v>380</v>
      </c>
    </row>
    <row r="1493" spans="1:5" x14ac:dyDescent="0.25">
      <c r="A1493" s="279">
        <v>39016</v>
      </c>
      <c r="B1493" t="s">
        <v>338</v>
      </c>
      <c r="C1493" t="s">
        <v>65</v>
      </c>
      <c r="D1493">
        <v>0</v>
      </c>
      <c r="E1493" t="s">
        <v>378</v>
      </c>
    </row>
    <row r="1494" spans="1:5" x14ac:dyDescent="0.25">
      <c r="A1494" s="279">
        <v>39016</v>
      </c>
      <c r="B1494" t="s">
        <v>338</v>
      </c>
      <c r="C1494" t="s">
        <v>66</v>
      </c>
      <c r="D1494">
        <v>0</v>
      </c>
      <c r="E1494" t="s">
        <v>380</v>
      </c>
    </row>
    <row r="1495" spans="1:5" x14ac:dyDescent="0.25">
      <c r="A1495" s="279">
        <v>39016</v>
      </c>
      <c r="B1495" t="s">
        <v>338</v>
      </c>
      <c r="C1495" t="s">
        <v>120</v>
      </c>
      <c r="D1495">
        <v>0</v>
      </c>
      <c r="E1495" t="s">
        <v>378</v>
      </c>
    </row>
    <row r="1496" spans="1:5" x14ac:dyDescent="0.25">
      <c r="A1496" s="279">
        <v>39016</v>
      </c>
      <c r="B1496" t="s">
        <v>338</v>
      </c>
      <c r="C1496" t="s">
        <v>121</v>
      </c>
      <c r="D1496">
        <v>0</v>
      </c>
      <c r="E1496" t="s">
        <v>380</v>
      </c>
    </row>
    <row r="1497" spans="1:5" x14ac:dyDescent="0.25">
      <c r="A1497" s="279">
        <v>39016</v>
      </c>
      <c r="B1497" t="s">
        <v>338</v>
      </c>
      <c r="C1497" t="s">
        <v>67</v>
      </c>
      <c r="D1497">
        <v>0</v>
      </c>
      <c r="E1497" t="s">
        <v>378</v>
      </c>
    </row>
    <row r="1498" spans="1:5" x14ac:dyDescent="0.25">
      <c r="A1498" s="279">
        <v>39016</v>
      </c>
      <c r="B1498" t="s">
        <v>338</v>
      </c>
      <c r="C1498" t="s">
        <v>68</v>
      </c>
      <c r="D1498">
        <v>0</v>
      </c>
      <c r="E1498" t="s">
        <v>380</v>
      </c>
    </row>
    <row r="1499" spans="1:5" x14ac:dyDescent="0.25">
      <c r="A1499" s="279">
        <v>39016</v>
      </c>
      <c r="B1499" t="s">
        <v>338</v>
      </c>
      <c r="C1499" t="s">
        <v>69</v>
      </c>
      <c r="D1499">
        <v>0</v>
      </c>
      <c r="E1499" t="s">
        <v>379</v>
      </c>
    </row>
    <row r="1500" spans="1:5" x14ac:dyDescent="0.25">
      <c r="A1500" s="279">
        <v>39016</v>
      </c>
      <c r="B1500" t="s">
        <v>338</v>
      </c>
      <c r="C1500" t="s">
        <v>70</v>
      </c>
      <c r="D1500">
        <v>0</v>
      </c>
      <c r="E1500" t="s">
        <v>379</v>
      </c>
    </row>
    <row r="1501" spans="1:5" x14ac:dyDescent="0.25">
      <c r="A1501" s="279">
        <v>39016</v>
      </c>
      <c r="B1501" t="s">
        <v>338</v>
      </c>
      <c r="C1501" t="s">
        <v>80</v>
      </c>
      <c r="D1501">
        <v>0</v>
      </c>
      <c r="E1501" t="s">
        <v>379</v>
      </c>
    </row>
    <row r="1502" spans="1:5" x14ac:dyDescent="0.25">
      <c r="A1502" s="279">
        <v>39016</v>
      </c>
      <c r="B1502" t="s">
        <v>339</v>
      </c>
      <c r="C1502" t="s">
        <v>71</v>
      </c>
      <c r="D1502">
        <v>0</v>
      </c>
      <c r="E1502" t="s">
        <v>378</v>
      </c>
    </row>
    <row r="1503" spans="1:5" x14ac:dyDescent="0.25">
      <c r="A1503" s="279">
        <v>39016</v>
      </c>
      <c r="B1503" t="s">
        <v>339</v>
      </c>
      <c r="C1503" t="s">
        <v>72</v>
      </c>
      <c r="D1503">
        <v>0</v>
      </c>
      <c r="E1503" t="s">
        <v>380</v>
      </c>
    </row>
    <row r="1504" spans="1:5" x14ac:dyDescent="0.25">
      <c r="A1504" s="279">
        <v>39016</v>
      </c>
      <c r="B1504" t="s">
        <v>339</v>
      </c>
      <c r="C1504" t="s">
        <v>73</v>
      </c>
      <c r="D1504">
        <v>0</v>
      </c>
      <c r="E1504" t="s">
        <v>378</v>
      </c>
    </row>
    <row r="1505" spans="1:5" x14ac:dyDescent="0.25">
      <c r="A1505" s="279">
        <v>39016</v>
      </c>
      <c r="B1505" t="s">
        <v>339</v>
      </c>
      <c r="C1505" t="s">
        <v>74</v>
      </c>
      <c r="D1505">
        <v>5745</v>
      </c>
      <c r="E1505" t="s">
        <v>380</v>
      </c>
    </row>
    <row r="1506" spans="1:5" x14ac:dyDescent="0.25">
      <c r="A1506" s="279">
        <v>39016</v>
      </c>
      <c r="B1506" t="s">
        <v>339</v>
      </c>
      <c r="C1506" t="s">
        <v>75</v>
      </c>
      <c r="D1506">
        <v>15065</v>
      </c>
      <c r="E1506" t="s">
        <v>378</v>
      </c>
    </row>
    <row r="1507" spans="1:5" x14ac:dyDescent="0.25">
      <c r="A1507" s="279">
        <v>39016</v>
      </c>
      <c r="B1507" t="s">
        <v>339</v>
      </c>
      <c r="C1507" t="s">
        <v>76</v>
      </c>
      <c r="D1507">
        <v>14012</v>
      </c>
      <c r="E1507" t="s">
        <v>380</v>
      </c>
    </row>
    <row r="1508" spans="1:5" x14ac:dyDescent="0.25">
      <c r="A1508" s="279">
        <v>39016</v>
      </c>
      <c r="B1508" t="s">
        <v>339</v>
      </c>
      <c r="C1508" t="s">
        <v>77</v>
      </c>
      <c r="D1508">
        <v>7296</v>
      </c>
      <c r="E1508" t="s">
        <v>378</v>
      </c>
    </row>
    <row r="1509" spans="1:5" x14ac:dyDescent="0.25">
      <c r="A1509" s="279">
        <v>39016</v>
      </c>
      <c r="B1509" t="s">
        <v>339</v>
      </c>
      <c r="C1509" t="s">
        <v>78</v>
      </c>
      <c r="D1509">
        <v>7028</v>
      </c>
      <c r="E1509" t="s">
        <v>380</v>
      </c>
    </row>
    <row r="1510" spans="1:5" x14ac:dyDescent="0.25">
      <c r="A1510" s="279">
        <v>39016</v>
      </c>
      <c r="B1510" t="s">
        <v>339</v>
      </c>
      <c r="C1510" t="s">
        <v>79</v>
      </c>
      <c r="D1510">
        <v>141865</v>
      </c>
      <c r="E1510" t="s">
        <v>379</v>
      </c>
    </row>
    <row r="1511" spans="1:5" x14ac:dyDescent="0.25">
      <c r="A1511" s="279">
        <v>39016</v>
      </c>
      <c r="B1511" t="s">
        <v>339</v>
      </c>
      <c r="C1511" t="s">
        <v>70</v>
      </c>
      <c r="D1511">
        <v>0</v>
      </c>
      <c r="E1511" t="s">
        <v>379</v>
      </c>
    </row>
    <row r="1512" spans="1:5" x14ac:dyDescent="0.25">
      <c r="A1512" s="279">
        <v>39016</v>
      </c>
      <c r="B1512" t="s">
        <v>339</v>
      </c>
      <c r="C1512" t="s">
        <v>63</v>
      </c>
      <c r="D1512">
        <v>0</v>
      </c>
      <c r="E1512" t="s">
        <v>378</v>
      </c>
    </row>
    <row r="1513" spans="1:5" x14ac:dyDescent="0.25">
      <c r="A1513" s="279">
        <v>39016</v>
      </c>
      <c r="B1513" t="s">
        <v>339</v>
      </c>
      <c r="C1513" t="s">
        <v>80</v>
      </c>
      <c r="D1513">
        <v>134</v>
      </c>
      <c r="E1513" t="s">
        <v>379</v>
      </c>
    </row>
    <row r="1514" spans="1:5" x14ac:dyDescent="0.25">
      <c r="A1514" s="279">
        <v>39017</v>
      </c>
      <c r="B1514" t="s">
        <v>338</v>
      </c>
      <c r="C1514" t="s">
        <v>59</v>
      </c>
      <c r="D1514">
        <v>0</v>
      </c>
      <c r="E1514" t="s">
        <v>378</v>
      </c>
    </row>
    <row r="1515" spans="1:5" x14ac:dyDescent="0.25">
      <c r="A1515" s="279">
        <v>39017</v>
      </c>
      <c r="B1515" t="s">
        <v>338</v>
      </c>
      <c r="C1515" t="s">
        <v>60</v>
      </c>
      <c r="D1515">
        <v>0</v>
      </c>
      <c r="E1515" t="s">
        <v>379</v>
      </c>
    </row>
    <row r="1516" spans="1:5" x14ac:dyDescent="0.25">
      <c r="A1516" s="279">
        <v>39017</v>
      </c>
      <c r="B1516" t="s">
        <v>338</v>
      </c>
      <c r="C1516" t="s">
        <v>61</v>
      </c>
      <c r="D1516">
        <v>0</v>
      </c>
      <c r="E1516" t="s">
        <v>378</v>
      </c>
    </row>
    <row r="1517" spans="1:5" x14ac:dyDescent="0.25">
      <c r="A1517" s="279">
        <v>39017</v>
      </c>
      <c r="B1517" t="s">
        <v>338</v>
      </c>
      <c r="C1517" t="s">
        <v>62</v>
      </c>
      <c r="D1517">
        <v>0</v>
      </c>
      <c r="E1517" t="s">
        <v>380</v>
      </c>
    </row>
    <row r="1518" spans="1:5" x14ac:dyDescent="0.25">
      <c r="A1518" s="279">
        <v>39017</v>
      </c>
      <c r="B1518" t="s">
        <v>338</v>
      </c>
      <c r="C1518" t="s">
        <v>63</v>
      </c>
      <c r="D1518">
        <v>0</v>
      </c>
      <c r="E1518" t="s">
        <v>378</v>
      </c>
    </row>
    <row r="1519" spans="1:5" x14ac:dyDescent="0.25">
      <c r="A1519" s="279">
        <v>39017</v>
      </c>
      <c r="B1519" t="s">
        <v>338</v>
      </c>
      <c r="C1519" t="s">
        <v>64</v>
      </c>
      <c r="D1519">
        <v>0</v>
      </c>
      <c r="E1519" t="s">
        <v>380</v>
      </c>
    </row>
    <row r="1520" spans="1:5" x14ac:dyDescent="0.25">
      <c r="A1520" s="279">
        <v>39017</v>
      </c>
      <c r="B1520" t="s">
        <v>338</v>
      </c>
      <c r="C1520" t="s">
        <v>65</v>
      </c>
      <c r="D1520">
        <v>0</v>
      </c>
      <c r="E1520" t="s">
        <v>378</v>
      </c>
    </row>
    <row r="1521" spans="1:5" x14ac:dyDescent="0.25">
      <c r="A1521" s="279">
        <v>39017</v>
      </c>
      <c r="B1521" t="s">
        <v>338</v>
      </c>
      <c r="C1521" t="s">
        <v>66</v>
      </c>
      <c r="D1521">
        <v>0</v>
      </c>
      <c r="E1521" t="s">
        <v>380</v>
      </c>
    </row>
    <row r="1522" spans="1:5" x14ac:dyDescent="0.25">
      <c r="A1522" s="279">
        <v>39017</v>
      </c>
      <c r="B1522" t="s">
        <v>338</v>
      </c>
      <c r="C1522" t="s">
        <v>120</v>
      </c>
      <c r="D1522">
        <v>0</v>
      </c>
      <c r="E1522" t="s">
        <v>378</v>
      </c>
    </row>
    <row r="1523" spans="1:5" x14ac:dyDescent="0.25">
      <c r="A1523" s="279">
        <v>39017</v>
      </c>
      <c r="B1523" t="s">
        <v>338</v>
      </c>
      <c r="C1523" t="s">
        <v>121</v>
      </c>
      <c r="D1523">
        <v>4473</v>
      </c>
      <c r="E1523" t="s">
        <v>380</v>
      </c>
    </row>
    <row r="1524" spans="1:5" x14ac:dyDescent="0.25">
      <c r="A1524" s="279">
        <v>39017</v>
      </c>
      <c r="B1524" t="s">
        <v>338</v>
      </c>
      <c r="C1524" t="s">
        <v>67</v>
      </c>
      <c r="D1524">
        <v>0</v>
      </c>
      <c r="E1524" t="s">
        <v>378</v>
      </c>
    </row>
    <row r="1525" spans="1:5" x14ac:dyDescent="0.25">
      <c r="A1525" s="279">
        <v>39017</v>
      </c>
      <c r="B1525" t="s">
        <v>338</v>
      </c>
      <c r="C1525" t="s">
        <v>68</v>
      </c>
      <c r="D1525">
        <v>0</v>
      </c>
      <c r="E1525" t="s">
        <v>380</v>
      </c>
    </row>
    <row r="1526" spans="1:5" x14ac:dyDescent="0.25">
      <c r="A1526" s="279">
        <v>39017</v>
      </c>
      <c r="B1526" t="s">
        <v>338</v>
      </c>
      <c r="C1526" t="s">
        <v>69</v>
      </c>
      <c r="D1526">
        <v>0</v>
      </c>
      <c r="E1526" t="s">
        <v>379</v>
      </c>
    </row>
    <row r="1527" spans="1:5" x14ac:dyDescent="0.25">
      <c r="A1527" s="279">
        <v>39017</v>
      </c>
      <c r="B1527" t="s">
        <v>338</v>
      </c>
      <c r="C1527" t="s">
        <v>70</v>
      </c>
      <c r="D1527">
        <v>0</v>
      </c>
      <c r="E1527" t="s">
        <v>379</v>
      </c>
    </row>
    <row r="1528" spans="1:5" x14ac:dyDescent="0.25">
      <c r="A1528" s="279">
        <v>39017</v>
      </c>
      <c r="B1528" t="s">
        <v>338</v>
      </c>
      <c r="C1528" t="s">
        <v>80</v>
      </c>
      <c r="D1528">
        <v>0</v>
      </c>
      <c r="E1528" t="s">
        <v>379</v>
      </c>
    </row>
    <row r="1529" spans="1:5" x14ac:dyDescent="0.25">
      <c r="A1529" s="279">
        <v>39017</v>
      </c>
      <c r="B1529" t="s">
        <v>339</v>
      </c>
      <c r="C1529" t="s">
        <v>71</v>
      </c>
      <c r="D1529">
        <v>1833</v>
      </c>
      <c r="E1529" t="s">
        <v>378</v>
      </c>
    </row>
    <row r="1530" spans="1:5" x14ac:dyDescent="0.25">
      <c r="A1530" s="279">
        <v>39017</v>
      </c>
      <c r="B1530" t="s">
        <v>339</v>
      </c>
      <c r="C1530" t="s">
        <v>72</v>
      </c>
      <c r="D1530">
        <v>0</v>
      </c>
      <c r="E1530" t="s">
        <v>380</v>
      </c>
    </row>
    <row r="1531" spans="1:5" x14ac:dyDescent="0.25">
      <c r="A1531" s="279">
        <v>39017</v>
      </c>
      <c r="B1531" t="s">
        <v>339</v>
      </c>
      <c r="C1531" t="s">
        <v>73</v>
      </c>
      <c r="D1531">
        <v>4574</v>
      </c>
      <c r="E1531" t="s">
        <v>378</v>
      </c>
    </row>
    <row r="1532" spans="1:5" x14ac:dyDescent="0.25">
      <c r="A1532" s="279">
        <v>39017</v>
      </c>
      <c r="B1532" t="s">
        <v>339</v>
      </c>
      <c r="C1532" t="s">
        <v>74</v>
      </c>
      <c r="D1532">
        <v>0</v>
      </c>
      <c r="E1532" t="s">
        <v>380</v>
      </c>
    </row>
    <row r="1533" spans="1:5" x14ac:dyDescent="0.25">
      <c r="A1533" s="279">
        <v>39017</v>
      </c>
      <c r="B1533" t="s">
        <v>339</v>
      </c>
      <c r="C1533" t="s">
        <v>75</v>
      </c>
      <c r="D1533">
        <v>15035</v>
      </c>
      <c r="E1533" t="s">
        <v>378</v>
      </c>
    </row>
    <row r="1534" spans="1:5" x14ac:dyDescent="0.25">
      <c r="A1534" s="279">
        <v>39017</v>
      </c>
      <c r="B1534" t="s">
        <v>339</v>
      </c>
      <c r="C1534" t="s">
        <v>76</v>
      </c>
      <c r="D1534">
        <v>13530</v>
      </c>
      <c r="E1534" t="s">
        <v>380</v>
      </c>
    </row>
    <row r="1535" spans="1:5" x14ac:dyDescent="0.25">
      <c r="A1535" s="279">
        <v>39017</v>
      </c>
      <c r="B1535" t="s">
        <v>339</v>
      </c>
      <c r="C1535" t="s">
        <v>77</v>
      </c>
      <c r="D1535">
        <v>7282</v>
      </c>
      <c r="E1535" t="s">
        <v>378</v>
      </c>
    </row>
    <row r="1536" spans="1:5" x14ac:dyDescent="0.25">
      <c r="A1536" s="279">
        <v>39017</v>
      </c>
      <c r="B1536" t="s">
        <v>339</v>
      </c>
      <c r="C1536" t="s">
        <v>78</v>
      </c>
      <c r="D1536">
        <v>7014</v>
      </c>
      <c r="E1536" t="s">
        <v>380</v>
      </c>
    </row>
    <row r="1537" spans="1:5" x14ac:dyDescent="0.25">
      <c r="A1537" s="279">
        <v>39017</v>
      </c>
      <c r="B1537" t="s">
        <v>339</v>
      </c>
      <c r="C1537" t="s">
        <v>79</v>
      </c>
      <c r="D1537">
        <v>142045</v>
      </c>
      <c r="E1537" t="s">
        <v>379</v>
      </c>
    </row>
    <row r="1538" spans="1:5" x14ac:dyDescent="0.25">
      <c r="A1538" s="279">
        <v>39017</v>
      </c>
      <c r="B1538" t="s">
        <v>339</v>
      </c>
      <c r="C1538" t="s">
        <v>70</v>
      </c>
      <c r="D1538">
        <v>0</v>
      </c>
      <c r="E1538" t="s">
        <v>379</v>
      </c>
    </row>
    <row r="1539" spans="1:5" x14ac:dyDescent="0.25">
      <c r="A1539" s="279">
        <v>39017</v>
      </c>
      <c r="B1539" t="s">
        <v>339</v>
      </c>
      <c r="C1539" t="s">
        <v>63</v>
      </c>
      <c r="D1539">
        <v>0</v>
      </c>
      <c r="E1539" t="s">
        <v>378</v>
      </c>
    </row>
    <row r="1540" spans="1:5" x14ac:dyDescent="0.25">
      <c r="A1540" s="279">
        <v>39017</v>
      </c>
      <c r="B1540" t="s">
        <v>339</v>
      </c>
      <c r="C1540" t="s">
        <v>80</v>
      </c>
      <c r="D1540">
        <v>324</v>
      </c>
      <c r="E1540" t="s">
        <v>379</v>
      </c>
    </row>
    <row r="1541" spans="1:5" x14ac:dyDescent="0.25">
      <c r="A1541" s="279">
        <v>39018</v>
      </c>
      <c r="B1541" t="s">
        <v>338</v>
      </c>
      <c r="C1541" t="s">
        <v>59</v>
      </c>
      <c r="D1541">
        <v>0</v>
      </c>
      <c r="E1541" t="s">
        <v>378</v>
      </c>
    </row>
    <row r="1542" spans="1:5" x14ac:dyDescent="0.25">
      <c r="A1542" s="279">
        <v>39018</v>
      </c>
      <c r="B1542" t="s">
        <v>338</v>
      </c>
      <c r="C1542" t="s">
        <v>60</v>
      </c>
      <c r="D1542">
        <v>0</v>
      </c>
      <c r="E1542" t="s">
        <v>379</v>
      </c>
    </row>
    <row r="1543" spans="1:5" x14ac:dyDescent="0.25">
      <c r="A1543" s="279">
        <v>39018</v>
      </c>
      <c r="B1543" t="s">
        <v>338</v>
      </c>
      <c r="C1543" t="s">
        <v>61</v>
      </c>
      <c r="D1543">
        <v>0</v>
      </c>
      <c r="E1543" t="s">
        <v>378</v>
      </c>
    </row>
    <row r="1544" spans="1:5" x14ac:dyDescent="0.25">
      <c r="A1544" s="279">
        <v>39018</v>
      </c>
      <c r="B1544" t="s">
        <v>338</v>
      </c>
      <c r="C1544" t="s">
        <v>62</v>
      </c>
      <c r="D1544">
        <v>0</v>
      </c>
      <c r="E1544" t="s">
        <v>380</v>
      </c>
    </row>
    <row r="1545" spans="1:5" x14ac:dyDescent="0.25">
      <c r="A1545" s="279">
        <v>39018</v>
      </c>
      <c r="B1545" t="s">
        <v>338</v>
      </c>
      <c r="C1545" t="s">
        <v>63</v>
      </c>
      <c r="D1545">
        <v>0</v>
      </c>
      <c r="E1545" t="s">
        <v>378</v>
      </c>
    </row>
    <row r="1546" spans="1:5" x14ac:dyDescent="0.25">
      <c r="A1546" s="279">
        <v>39018</v>
      </c>
      <c r="B1546" t="s">
        <v>338</v>
      </c>
      <c r="C1546" t="s">
        <v>64</v>
      </c>
      <c r="D1546">
        <v>0</v>
      </c>
      <c r="E1546" t="s">
        <v>380</v>
      </c>
    </row>
    <row r="1547" spans="1:5" x14ac:dyDescent="0.25">
      <c r="A1547" s="279">
        <v>39018</v>
      </c>
      <c r="B1547" t="s">
        <v>338</v>
      </c>
      <c r="C1547" t="s">
        <v>65</v>
      </c>
      <c r="D1547">
        <v>0</v>
      </c>
      <c r="E1547" t="s">
        <v>378</v>
      </c>
    </row>
    <row r="1548" spans="1:5" x14ac:dyDescent="0.25">
      <c r="A1548" s="279">
        <v>39018</v>
      </c>
      <c r="B1548" t="s">
        <v>338</v>
      </c>
      <c r="C1548" t="s">
        <v>66</v>
      </c>
      <c r="D1548">
        <v>0</v>
      </c>
      <c r="E1548" t="s">
        <v>380</v>
      </c>
    </row>
    <row r="1549" spans="1:5" x14ac:dyDescent="0.25">
      <c r="A1549" s="279">
        <v>39018</v>
      </c>
      <c r="B1549" t="s">
        <v>338</v>
      </c>
      <c r="C1549" t="s">
        <v>120</v>
      </c>
      <c r="D1549">
        <v>6885</v>
      </c>
      <c r="E1549" t="s">
        <v>378</v>
      </c>
    </row>
    <row r="1550" spans="1:5" x14ac:dyDescent="0.25">
      <c r="A1550" s="279">
        <v>39018</v>
      </c>
      <c r="B1550" t="s">
        <v>338</v>
      </c>
      <c r="C1550" t="s">
        <v>121</v>
      </c>
      <c r="D1550">
        <v>0</v>
      </c>
      <c r="E1550" t="s">
        <v>380</v>
      </c>
    </row>
    <row r="1551" spans="1:5" x14ac:dyDescent="0.25">
      <c r="A1551" s="279">
        <v>39018</v>
      </c>
      <c r="B1551" t="s">
        <v>338</v>
      </c>
      <c r="C1551" t="s">
        <v>67</v>
      </c>
      <c r="D1551">
        <v>0</v>
      </c>
      <c r="E1551" t="s">
        <v>378</v>
      </c>
    </row>
    <row r="1552" spans="1:5" x14ac:dyDescent="0.25">
      <c r="A1552" s="279">
        <v>39018</v>
      </c>
      <c r="B1552" t="s">
        <v>338</v>
      </c>
      <c r="C1552" t="s">
        <v>68</v>
      </c>
      <c r="D1552">
        <v>0</v>
      </c>
      <c r="E1552" t="s">
        <v>380</v>
      </c>
    </row>
    <row r="1553" spans="1:5" x14ac:dyDescent="0.25">
      <c r="A1553" s="279">
        <v>39018</v>
      </c>
      <c r="B1553" t="s">
        <v>338</v>
      </c>
      <c r="C1553" t="s">
        <v>69</v>
      </c>
      <c r="D1553">
        <v>0</v>
      </c>
      <c r="E1553" t="s">
        <v>379</v>
      </c>
    </row>
    <row r="1554" spans="1:5" x14ac:dyDescent="0.25">
      <c r="A1554" s="279">
        <v>39018</v>
      </c>
      <c r="B1554" t="s">
        <v>338</v>
      </c>
      <c r="C1554" t="s">
        <v>70</v>
      </c>
      <c r="D1554">
        <v>0</v>
      </c>
      <c r="E1554" t="s">
        <v>379</v>
      </c>
    </row>
    <row r="1555" spans="1:5" x14ac:dyDescent="0.25">
      <c r="A1555" s="279">
        <v>39018</v>
      </c>
      <c r="B1555" t="s">
        <v>338</v>
      </c>
      <c r="C1555" t="s">
        <v>80</v>
      </c>
      <c r="D1555">
        <v>60</v>
      </c>
      <c r="E1555" t="s">
        <v>379</v>
      </c>
    </row>
    <row r="1556" spans="1:5" x14ac:dyDescent="0.25">
      <c r="A1556" s="279">
        <v>39018</v>
      </c>
      <c r="B1556" t="s">
        <v>339</v>
      </c>
      <c r="C1556" t="s">
        <v>71</v>
      </c>
      <c r="D1556">
        <v>1618</v>
      </c>
      <c r="E1556" t="s">
        <v>378</v>
      </c>
    </row>
    <row r="1557" spans="1:5" x14ac:dyDescent="0.25">
      <c r="A1557" s="279">
        <v>39018</v>
      </c>
      <c r="B1557" t="s">
        <v>339</v>
      </c>
      <c r="C1557" t="s">
        <v>72</v>
      </c>
      <c r="D1557">
        <v>0</v>
      </c>
      <c r="E1557" t="s">
        <v>380</v>
      </c>
    </row>
    <row r="1558" spans="1:5" x14ac:dyDescent="0.25">
      <c r="A1558" s="279">
        <v>39018</v>
      </c>
      <c r="B1558" t="s">
        <v>339</v>
      </c>
      <c r="C1558" t="s">
        <v>73</v>
      </c>
      <c r="D1558">
        <v>0</v>
      </c>
      <c r="E1558" t="s">
        <v>378</v>
      </c>
    </row>
    <row r="1559" spans="1:5" x14ac:dyDescent="0.25">
      <c r="A1559" s="279">
        <v>39018</v>
      </c>
      <c r="B1559" t="s">
        <v>339</v>
      </c>
      <c r="C1559" t="s">
        <v>74</v>
      </c>
      <c r="D1559">
        <v>0</v>
      </c>
      <c r="E1559" t="s">
        <v>380</v>
      </c>
    </row>
    <row r="1560" spans="1:5" x14ac:dyDescent="0.25">
      <c r="A1560" s="279">
        <v>39018</v>
      </c>
      <c r="B1560" t="s">
        <v>339</v>
      </c>
      <c r="C1560" t="s">
        <v>75</v>
      </c>
      <c r="D1560">
        <v>15035</v>
      </c>
      <c r="E1560" t="s">
        <v>378</v>
      </c>
    </row>
    <row r="1561" spans="1:5" x14ac:dyDescent="0.25">
      <c r="A1561" s="279">
        <v>39018</v>
      </c>
      <c r="B1561" t="s">
        <v>339</v>
      </c>
      <c r="C1561" t="s">
        <v>76</v>
      </c>
      <c r="D1561">
        <v>14520</v>
      </c>
      <c r="E1561" t="s">
        <v>380</v>
      </c>
    </row>
    <row r="1562" spans="1:5" x14ac:dyDescent="0.25">
      <c r="A1562" s="279">
        <v>39018</v>
      </c>
      <c r="B1562" t="s">
        <v>339</v>
      </c>
      <c r="C1562" t="s">
        <v>77</v>
      </c>
      <c r="D1562">
        <v>7282</v>
      </c>
      <c r="E1562" t="s">
        <v>378</v>
      </c>
    </row>
    <row r="1563" spans="1:5" x14ac:dyDescent="0.25">
      <c r="A1563" s="279">
        <v>39018</v>
      </c>
      <c r="B1563" t="s">
        <v>339</v>
      </c>
      <c r="C1563" t="s">
        <v>78</v>
      </c>
      <c r="D1563">
        <v>7014</v>
      </c>
      <c r="E1563" t="s">
        <v>380</v>
      </c>
    </row>
    <row r="1564" spans="1:5" x14ac:dyDescent="0.25">
      <c r="A1564" s="279">
        <v>39018</v>
      </c>
      <c r="B1564" t="s">
        <v>339</v>
      </c>
      <c r="C1564" t="s">
        <v>79</v>
      </c>
      <c r="D1564">
        <v>141055</v>
      </c>
      <c r="E1564" t="s">
        <v>379</v>
      </c>
    </row>
    <row r="1565" spans="1:5" x14ac:dyDescent="0.25">
      <c r="A1565" s="279">
        <v>39018</v>
      </c>
      <c r="B1565" t="s">
        <v>339</v>
      </c>
      <c r="C1565" t="s">
        <v>70</v>
      </c>
      <c r="D1565">
        <v>0</v>
      </c>
      <c r="E1565" t="s">
        <v>379</v>
      </c>
    </row>
    <row r="1566" spans="1:5" x14ac:dyDescent="0.25">
      <c r="A1566" s="279">
        <v>39018</v>
      </c>
      <c r="B1566" t="s">
        <v>339</v>
      </c>
      <c r="C1566" t="s">
        <v>63</v>
      </c>
      <c r="D1566">
        <v>0</v>
      </c>
      <c r="E1566" t="s">
        <v>378</v>
      </c>
    </row>
    <row r="1567" spans="1:5" x14ac:dyDescent="0.25">
      <c r="A1567" s="279">
        <v>39018</v>
      </c>
      <c r="B1567" t="s">
        <v>339</v>
      </c>
      <c r="C1567" t="s">
        <v>80</v>
      </c>
      <c r="D1567">
        <v>148</v>
      </c>
      <c r="E1567" t="s">
        <v>379</v>
      </c>
    </row>
    <row r="1568" spans="1:5" x14ac:dyDescent="0.25">
      <c r="A1568" s="279">
        <v>39019</v>
      </c>
      <c r="B1568" t="s">
        <v>338</v>
      </c>
      <c r="C1568" t="s">
        <v>59</v>
      </c>
      <c r="D1568">
        <v>0</v>
      </c>
      <c r="E1568" t="s">
        <v>378</v>
      </c>
    </row>
    <row r="1569" spans="1:5" x14ac:dyDescent="0.25">
      <c r="A1569" s="279">
        <v>39019</v>
      </c>
      <c r="B1569" t="s">
        <v>338</v>
      </c>
      <c r="C1569" t="s">
        <v>60</v>
      </c>
      <c r="D1569">
        <v>0</v>
      </c>
      <c r="E1569" t="s">
        <v>379</v>
      </c>
    </row>
    <row r="1570" spans="1:5" x14ac:dyDescent="0.25">
      <c r="A1570" s="279">
        <v>39019</v>
      </c>
      <c r="B1570" t="s">
        <v>338</v>
      </c>
      <c r="C1570" t="s">
        <v>61</v>
      </c>
      <c r="D1570">
        <v>0</v>
      </c>
      <c r="E1570" t="s">
        <v>378</v>
      </c>
    </row>
    <row r="1571" spans="1:5" x14ac:dyDescent="0.25">
      <c r="A1571" s="279">
        <v>39019</v>
      </c>
      <c r="B1571" t="s">
        <v>338</v>
      </c>
      <c r="C1571" t="s">
        <v>62</v>
      </c>
      <c r="D1571">
        <v>0</v>
      </c>
      <c r="E1571" t="s">
        <v>380</v>
      </c>
    </row>
    <row r="1572" spans="1:5" x14ac:dyDescent="0.25">
      <c r="A1572" s="279">
        <v>39019</v>
      </c>
      <c r="B1572" t="s">
        <v>338</v>
      </c>
      <c r="C1572" t="s">
        <v>63</v>
      </c>
      <c r="D1572">
        <v>0</v>
      </c>
      <c r="E1572" t="s">
        <v>378</v>
      </c>
    </row>
    <row r="1573" spans="1:5" x14ac:dyDescent="0.25">
      <c r="A1573" s="279">
        <v>39019</v>
      </c>
      <c r="B1573" t="s">
        <v>338</v>
      </c>
      <c r="C1573" t="s">
        <v>64</v>
      </c>
      <c r="D1573">
        <v>0</v>
      </c>
      <c r="E1573" t="s">
        <v>380</v>
      </c>
    </row>
    <row r="1574" spans="1:5" x14ac:dyDescent="0.25">
      <c r="A1574" s="279">
        <v>39019</v>
      </c>
      <c r="B1574" t="s">
        <v>338</v>
      </c>
      <c r="C1574" t="s">
        <v>65</v>
      </c>
      <c r="D1574">
        <v>0</v>
      </c>
      <c r="E1574" t="s">
        <v>378</v>
      </c>
    </row>
    <row r="1575" spans="1:5" x14ac:dyDescent="0.25">
      <c r="A1575" s="279">
        <v>39019</v>
      </c>
      <c r="B1575" t="s">
        <v>338</v>
      </c>
      <c r="C1575" t="s">
        <v>66</v>
      </c>
      <c r="D1575">
        <v>0</v>
      </c>
      <c r="E1575" t="s">
        <v>380</v>
      </c>
    </row>
    <row r="1576" spans="1:5" x14ac:dyDescent="0.25">
      <c r="A1576" s="279">
        <v>39019</v>
      </c>
      <c r="B1576" t="s">
        <v>338</v>
      </c>
      <c r="C1576" t="s">
        <v>120</v>
      </c>
      <c r="D1576">
        <v>0</v>
      </c>
      <c r="E1576" t="s">
        <v>378</v>
      </c>
    </row>
    <row r="1577" spans="1:5" x14ac:dyDescent="0.25">
      <c r="A1577" s="279">
        <v>39019</v>
      </c>
      <c r="B1577" t="s">
        <v>338</v>
      </c>
      <c r="C1577" t="s">
        <v>121</v>
      </c>
      <c r="D1577">
        <v>19565</v>
      </c>
      <c r="E1577" t="s">
        <v>380</v>
      </c>
    </row>
    <row r="1578" spans="1:5" x14ac:dyDescent="0.25">
      <c r="A1578" s="279">
        <v>39019</v>
      </c>
      <c r="B1578" t="s">
        <v>338</v>
      </c>
      <c r="C1578" t="s">
        <v>67</v>
      </c>
      <c r="D1578">
        <v>0</v>
      </c>
      <c r="E1578" t="s">
        <v>378</v>
      </c>
    </row>
    <row r="1579" spans="1:5" x14ac:dyDescent="0.25">
      <c r="A1579" s="279">
        <v>39019</v>
      </c>
      <c r="B1579" t="s">
        <v>338</v>
      </c>
      <c r="C1579" t="s">
        <v>68</v>
      </c>
      <c r="D1579">
        <v>0</v>
      </c>
      <c r="E1579" t="s">
        <v>380</v>
      </c>
    </row>
    <row r="1580" spans="1:5" x14ac:dyDescent="0.25">
      <c r="A1580" s="279">
        <v>39019</v>
      </c>
      <c r="B1580" t="s">
        <v>338</v>
      </c>
      <c r="C1580" t="s">
        <v>69</v>
      </c>
      <c r="D1580">
        <v>0</v>
      </c>
      <c r="E1580" t="s">
        <v>379</v>
      </c>
    </row>
    <row r="1581" spans="1:5" x14ac:dyDescent="0.25">
      <c r="A1581" s="279">
        <v>39019</v>
      </c>
      <c r="B1581" t="s">
        <v>338</v>
      </c>
      <c r="C1581" t="s">
        <v>70</v>
      </c>
      <c r="D1581">
        <v>0</v>
      </c>
      <c r="E1581" t="s">
        <v>379</v>
      </c>
    </row>
    <row r="1582" spans="1:5" x14ac:dyDescent="0.25">
      <c r="A1582" s="279">
        <v>39019</v>
      </c>
      <c r="B1582" t="s">
        <v>338</v>
      </c>
      <c r="C1582" t="s">
        <v>80</v>
      </c>
      <c r="D1582">
        <v>0</v>
      </c>
      <c r="E1582" t="s">
        <v>379</v>
      </c>
    </row>
    <row r="1583" spans="1:5" x14ac:dyDescent="0.25">
      <c r="A1583" s="279">
        <v>39019</v>
      </c>
      <c r="B1583" t="s">
        <v>339</v>
      </c>
      <c r="C1583" t="s">
        <v>71</v>
      </c>
      <c r="D1583">
        <v>0</v>
      </c>
      <c r="E1583" t="s">
        <v>378</v>
      </c>
    </row>
    <row r="1584" spans="1:5" x14ac:dyDescent="0.25">
      <c r="A1584" s="279">
        <v>39019</v>
      </c>
      <c r="B1584" t="s">
        <v>339</v>
      </c>
      <c r="C1584" t="s">
        <v>72</v>
      </c>
      <c r="D1584">
        <v>0</v>
      </c>
      <c r="E1584" t="s">
        <v>380</v>
      </c>
    </row>
    <row r="1585" spans="1:5" x14ac:dyDescent="0.25">
      <c r="A1585" s="279">
        <v>39019</v>
      </c>
      <c r="B1585" t="s">
        <v>339</v>
      </c>
      <c r="C1585" t="s">
        <v>73</v>
      </c>
      <c r="D1585">
        <v>0</v>
      </c>
      <c r="E1585" t="s">
        <v>378</v>
      </c>
    </row>
    <row r="1586" spans="1:5" x14ac:dyDescent="0.25">
      <c r="A1586" s="279">
        <v>39019</v>
      </c>
      <c r="B1586" t="s">
        <v>339</v>
      </c>
      <c r="C1586" t="s">
        <v>74</v>
      </c>
      <c r="D1586">
        <v>4328</v>
      </c>
      <c r="E1586" t="s">
        <v>380</v>
      </c>
    </row>
    <row r="1587" spans="1:5" x14ac:dyDescent="0.25">
      <c r="A1587" s="279">
        <v>39019</v>
      </c>
      <c r="B1587" t="s">
        <v>339</v>
      </c>
      <c r="C1587" t="s">
        <v>75</v>
      </c>
      <c r="D1587">
        <v>15050</v>
      </c>
      <c r="E1587" t="s">
        <v>378</v>
      </c>
    </row>
    <row r="1588" spans="1:5" x14ac:dyDescent="0.25">
      <c r="A1588" s="279">
        <v>39019</v>
      </c>
      <c r="B1588" t="s">
        <v>339</v>
      </c>
      <c r="C1588" t="s">
        <v>76</v>
      </c>
      <c r="D1588">
        <v>14534</v>
      </c>
      <c r="E1588" t="s">
        <v>380</v>
      </c>
    </row>
    <row r="1589" spans="1:5" x14ac:dyDescent="0.25">
      <c r="A1589" s="279">
        <v>39019</v>
      </c>
      <c r="B1589" t="s">
        <v>339</v>
      </c>
      <c r="C1589" t="s">
        <v>77</v>
      </c>
      <c r="D1589">
        <v>7289</v>
      </c>
      <c r="E1589" t="s">
        <v>378</v>
      </c>
    </row>
    <row r="1590" spans="1:5" x14ac:dyDescent="0.25">
      <c r="A1590" s="279">
        <v>39019</v>
      </c>
      <c r="B1590" t="s">
        <v>339</v>
      </c>
      <c r="C1590" t="s">
        <v>78</v>
      </c>
      <c r="D1590">
        <v>7021</v>
      </c>
      <c r="E1590" t="s">
        <v>380</v>
      </c>
    </row>
    <row r="1591" spans="1:5" x14ac:dyDescent="0.25">
      <c r="A1591" s="279">
        <v>39019</v>
      </c>
      <c r="B1591" t="s">
        <v>339</v>
      </c>
      <c r="C1591" t="s">
        <v>79</v>
      </c>
      <c r="D1591">
        <v>141191</v>
      </c>
      <c r="E1591" t="s">
        <v>379</v>
      </c>
    </row>
    <row r="1592" spans="1:5" x14ac:dyDescent="0.25">
      <c r="A1592" s="279">
        <v>39019</v>
      </c>
      <c r="B1592" t="s">
        <v>339</v>
      </c>
      <c r="C1592" t="s">
        <v>70</v>
      </c>
      <c r="D1592">
        <v>0</v>
      </c>
      <c r="E1592" t="s">
        <v>379</v>
      </c>
    </row>
    <row r="1593" spans="1:5" x14ac:dyDescent="0.25">
      <c r="A1593" s="279">
        <v>39019</v>
      </c>
      <c r="B1593" t="s">
        <v>339</v>
      </c>
      <c r="C1593" t="s">
        <v>63</v>
      </c>
      <c r="D1593">
        <v>0</v>
      </c>
      <c r="E1593" t="s">
        <v>378</v>
      </c>
    </row>
    <row r="1594" spans="1:5" x14ac:dyDescent="0.25">
      <c r="A1594" s="279">
        <v>39019</v>
      </c>
      <c r="B1594" t="s">
        <v>339</v>
      </c>
      <c r="C1594" t="s">
        <v>80</v>
      </c>
      <c r="D1594">
        <v>134</v>
      </c>
      <c r="E1594" t="s">
        <v>379</v>
      </c>
    </row>
    <row r="1595" spans="1:5" x14ac:dyDescent="0.25">
      <c r="A1595" s="279">
        <v>39020</v>
      </c>
      <c r="B1595" t="s">
        <v>338</v>
      </c>
      <c r="C1595" t="s">
        <v>59</v>
      </c>
      <c r="D1595">
        <v>0</v>
      </c>
      <c r="E1595" t="s">
        <v>378</v>
      </c>
    </row>
    <row r="1596" spans="1:5" x14ac:dyDescent="0.25">
      <c r="A1596" s="279">
        <v>39020</v>
      </c>
      <c r="B1596" t="s">
        <v>338</v>
      </c>
      <c r="C1596" t="s">
        <v>60</v>
      </c>
      <c r="D1596">
        <v>0</v>
      </c>
      <c r="E1596" t="s">
        <v>379</v>
      </c>
    </row>
    <row r="1597" spans="1:5" x14ac:dyDescent="0.25">
      <c r="A1597" s="279">
        <v>39020</v>
      </c>
      <c r="B1597" t="s">
        <v>338</v>
      </c>
      <c r="C1597" t="s">
        <v>61</v>
      </c>
      <c r="D1597">
        <v>1529</v>
      </c>
      <c r="E1597" t="s">
        <v>378</v>
      </c>
    </row>
    <row r="1598" spans="1:5" x14ac:dyDescent="0.25">
      <c r="A1598" s="279">
        <v>39020</v>
      </c>
      <c r="B1598" t="s">
        <v>338</v>
      </c>
      <c r="C1598" t="s">
        <v>62</v>
      </c>
      <c r="D1598">
        <v>0</v>
      </c>
      <c r="E1598" t="s">
        <v>380</v>
      </c>
    </row>
    <row r="1599" spans="1:5" x14ac:dyDescent="0.25">
      <c r="A1599" s="279">
        <v>39020</v>
      </c>
      <c r="B1599" t="s">
        <v>338</v>
      </c>
      <c r="C1599" t="s">
        <v>63</v>
      </c>
      <c r="D1599">
        <v>0</v>
      </c>
      <c r="E1599" t="s">
        <v>378</v>
      </c>
    </row>
    <row r="1600" spans="1:5" x14ac:dyDescent="0.25">
      <c r="A1600" s="279">
        <v>39020</v>
      </c>
      <c r="B1600" t="s">
        <v>338</v>
      </c>
      <c r="C1600" t="s">
        <v>64</v>
      </c>
      <c r="D1600">
        <v>0</v>
      </c>
      <c r="E1600" t="s">
        <v>380</v>
      </c>
    </row>
    <row r="1601" spans="1:5" x14ac:dyDescent="0.25">
      <c r="A1601" s="279">
        <v>39020</v>
      </c>
      <c r="B1601" t="s">
        <v>338</v>
      </c>
      <c r="C1601" t="s">
        <v>65</v>
      </c>
      <c r="D1601">
        <v>0</v>
      </c>
      <c r="E1601" t="s">
        <v>378</v>
      </c>
    </row>
    <row r="1602" spans="1:5" x14ac:dyDescent="0.25">
      <c r="A1602" s="279">
        <v>39020</v>
      </c>
      <c r="B1602" t="s">
        <v>338</v>
      </c>
      <c r="C1602" t="s">
        <v>66</v>
      </c>
      <c r="D1602">
        <v>0</v>
      </c>
      <c r="E1602" t="s">
        <v>380</v>
      </c>
    </row>
    <row r="1603" spans="1:5" x14ac:dyDescent="0.25">
      <c r="A1603" s="279">
        <v>39020</v>
      </c>
      <c r="B1603" t="s">
        <v>338</v>
      </c>
      <c r="C1603" t="s">
        <v>120</v>
      </c>
      <c r="D1603">
        <v>12228</v>
      </c>
      <c r="E1603" t="s">
        <v>378</v>
      </c>
    </row>
    <row r="1604" spans="1:5" x14ac:dyDescent="0.25">
      <c r="A1604" s="279">
        <v>39020</v>
      </c>
      <c r="B1604" t="s">
        <v>338</v>
      </c>
      <c r="C1604" t="s">
        <v>121</v>
      </c>
      <c r="D1604">
        <v>0</v>
      </c>
      <c r="E1604" t="s">
        <v>380</v>
      </c>
    </row>
    <row r="1605" spans="1:5" x14ac:dyDescent="0.25">
      <c r="A1605" s="279">
        <v>39020</v>
      </c>
      <c r="B1605" t="s">
        <v>338</v>
      </c>
      <c r="C1605" t="s">
        <v>67</v>
      </c>
      <c r="D1605">
        <v>0</v>
      </c>
      <c r="E1605" t="s">
        <v>378</v>
      </c>
    </row>
    <row r="1606" spans="1:5" x14ac:dyDescent="0.25">
      <c r="A1606" s="279">
        <v>39020</v>
      </c>
      <c r="B1606" t="s">
        <v>338</v>
      </c>
      <c r="C1606" t="s">
        <v>68</v>
      </c>
      <c r="D1606">
        <v>0</v>
      </c>
      <c r="E1606" t="s">
        <v>380</v>
      </c>
    </row>
    <row r="1607" spans="1:5" x14ac:dyDescent="0.25">
      <c r="A1607" s="279">
        <v>39020</v>
      </c>
      <c r="B1607" t="s">
        <v>338</v>
      </c>
      <c r="C1607" t="s">
        <v>69</v>
      </c>
      <c r="D1607">
        <v>0</v>
      </c>
      <c r="E1607" t="s">
        <v>379</v>
      </c>
    </row>
    <row r="1608" spans="1:5" x14ac:dyDescent="0.25">
      <c r="A1608" s="279">
        <v>39020</v>
      </c>
      <c r="B1608" t="s">
        <v>338</v>
      </c>
      <c r="C1608" t="s">
        <v>70</v>
      </c>
      <c r="D1608">
        <v>0</v>
      </c>
      <c r="E1608" t="s">
        <v>379</v>
      </c>
    </row>
    <row r="1609" spans="1:5" x14ac:dyDescent="0.25">
      <c r="A1609" s="279">
        <v>39020</v>
      </c>
      <c r="B1609" t="s">
        <v>338</v>
      </c>
      <c r="C1609" t="s">
        <v>80</v>
      </c>
      <c r="D1609">
        <v>119</v>
      </c>
      <c r="E1609" t="s">
        <v>379</v>
      </c>
    </row>
    <row r="1610" spans="1:5" x14ac:dyDescent="0.25">
      <c r="A1610" s="279">
        <v>39020</v>
      </c>
      <c r="B1610" t="s">
        <v>339</v>
      </c>
      <c r="C1610" t="s">
        <v>71</v>
      </c>
      <c r="D1610">
        <v>1834</v>
      </c>
      <c r="E1610" t="s">
        <v>378</v>
      </c>
    </row>
    <row r="1611" spans="1:5" x14ac:dyDescent="0.25">
      <c r="A1611" s="279">
        <v>39020</v>
      </c>
      <c r="B1611" t="s">
        <v>339</v>
      </c>
      <c r="C1611" t="s">
        <v>72</v>
      </c>
      <c r="D1611">
        <v>0</v>
      </c>
      <c r="E1611" t="s">
        <v>380</v>
      </c>
    </row>
    <row r="1612" spans="1:5" x14ac:dyDescent="0.25">
      <c r="A1612" s="279">
        <v>39020</v>
      </c>
      <c r="B1612" t="s">
        <v>339</v>
      </c>
      <c r="C1612" t="s">
        <v>73</v>
      </c>
      <c r="D1612">
        <v>7937</v>
      </c>
      <c r="E1612" t="s">
        <v>378</v>
      </c>
    </row>
    <row r="1613" spans="1:5" x14ac:dyDescent="0.25">
      <c r="A1613" s="279">
        <v>39020</v>
      </c>
      <c r="B1613" t="s">
        <v>339</v>
      </c>
      <c r="C1613" t="s">
        <v>74</v>
      </c>
      <c r="D1613">
        <v>0</v>
      </c>
      <c r="E1613" t="s">
        <v>380</v>
      </c>
    </row>
    <row r="1614" spans="1:5" x14ac:dyDescent="0.25">
      <c r="A1614" s="279">
        <v>39020</v>
      </c>
      <c r="B1614" t="s">
        <v>339</v>
      </c>
      <c r="C1614" t="s">
        <v>75</v>
      </c>
      <c r="D1614">
        <v>15050</v>
      </c>
      <c r="E1614" t="s">
        <v>378</v>
      </c>
    </row>
    <row r="1615" spans="1:5" x14ac:dyDescent="0.25">
      <c r="A1615" s="279">
        <v>39020</v>
      </c>
      <c r="B1615" t="s">
        <v>339</v>
      </c>
      <c r="C1615" t="s">
        <v>76</v>
      </c>
      <c r="D1615">
        <v>14508</v>
      </c>
      <c r="E1615" t="s">
        <v>380</v>
      </c>
    </row>
    <row r="1616" spans="1:5" x14ac:dyDescent="0.25">
      <c r="A1616" s="279">
        <v>39020</v>
      </c>
      <c r="B1616" t="s">
        <v>339</v>
      </c>
      <c r="C1616" t="s">
        <v>77</v>
      </c>
      <c r="D1616">
        <v>7021</v>
      </c>
      <c r="E1616" t="s">
        <v>378</v>
      </c>
    </row>
    <row r="1617" spans="1:5" x14ac:dyDescent="0.25">
      <c r="A1617" s="279">
        <v>39020</v>
      </c>
      <c r="B1617" t="s">
        <v>339</v>
      </c>
      <c r="C1617" t="s">
        <v>78</v>
      </c>
      <c r="D1617">
        <v>7289</v>
      </c>
      <c r="E1617" t="s">
        <v>380</v>
      </c>
    </row>
    <row r="1618" spans="1:5" x14ac:dyDescent="0.25">
      <c r="A1618" s="279">
        <v>39020</v>
      </c>
      <c r="B1618" t="s">
        <v>339</v>
      </c>
      <c r="C1618" t="s">
        <v>79</v>
      </c>
      <c r="D1618">
        <v>141191</v>
      </c>
      <c r="E1618" t="s">
        <v>379</v>
      </c>
    </row>
    <row r="1619" spans="1:5" x14ac:dyDescent="0.25">
      <c r="A1619" s="279">
        <v>39020</v>
      </c>
      <c r="B1619" t="s">
        <v>339</v>
      </c>
      <c r="C1619" t="s">
        <v>70</v>
      </c>
      <c r="D1619">
        <v>0</v>
      </c>
      <c r="E1619" t="s">
        <v>379</v>
      </c>
    </row>
    <row r="1620" spans="1:5" x14ac:dyDescent="0.25">
      <c r="A1620" s="279">
        <v>39020</v>
      </c>
      <c r="B1620" t="s">
        <v>339</v>
      </c>
      <c r="C1620" t="s">
        <v>63</v>
      </c>
      <c r="D1620">
        <v>0</v>
      </c>
      <c r="E1620" t="s">
        <v>378</v>
      </c>
    </row>
    <row r="1621" spans="1:5" x14ac:dyDescent="0.25">
      <c r="A1621" s="279">
        <v>39020</v>
      </c>
      <c r="B1621" t="s">
        <v>339</v>
      </c>
      <c r="C1621" t="s">
        <v>80</v>
      </c>
      <c r="D1621">
        <v>452</v>
      </c>
      <c r="E1621" t="s">
        <v>379</v>
      </c>
    </row>
    <row r="1622" spans="1:5" x14ac:dyDescent="0.25">
      <c r="A1622" s="279">
        <v>39021</v>
      </c>
      <c r="B1622" t="s">
        <v>338</v>
      </c>
      <c r="C1622" t="s">
        <v>59</v>
      </c>
      <c r="D1622">
        <v>0</v>
      </c>
      <c r="E1622" t="s">
        <v>378</v>
      </c>
    </row>
    <row r="1623" spans="1:5" x14ac:dyDescent="0.25">
      <c r="A1623" s="279">
        <v>39021</v>
      </c>
      <c r="B1623" t="s">
        <v>338</v>
      </c>
      <c r="C1623" t="s">
        <v>60</v>
      </c>
      <c r="D1623">
        <v>0</v>
      </c>
      <c r="E1623" t="s">
        <v>379</v>
      </c>
    </row>
    <row r="1624" spans="1:5" x14ac:dyDescent="0.25">
      <c r="A1624" s="279">
        <v>39021</v>
      </c>
      <c r="B1624" t="s">
        <v>338</v>
      </c>
      <c r="C1624" t="s">
        <v>61</v>
      </c>
      <c r="D1624">
        <v>8985</v>
      </c>
      <c r="E1624" t="s">
        <v>378</v>
      </c>
    </row>
    <row r="1625" spans="1:5" x14ac:dyDescent="0.25">
      <c r="A1625" s="279">
        <v>39021</v>
      </c>
      <c r="B1625" t="s">
        <v>338</v>
      </c>
      <c r="C1625" t="s">
        <v>62</v>
      </c>
      <c r="D1625">
        <v>0</v>
      </c>
      <c r="E1625" t="s">
        <v>380</v>
      </c>
    </row>
    <row r="1626" spans="1:5" x14ac:dyDescent="0.25">
      <c r="A1626" s="279">
        <v>39021</v>
      </c>
      <c r="B1626" t="s">
        <v>338</v>
      </c>
      <c r="C1626" t="s">
        <v>63</v>
      </c>
      <c r="D1626">
        <v>0</v>
      </c>
      <c r="E1626" t="s">
        <v>378</v>
      </c>
    </row>
    <row r="1627" spans="1:5" x14ac:dyDescent="0.25">
      <c r="A1627" s="279">
        <v>39021</v>
      </c>
      <c r="B1627" t="s">
        <v>338</v>
      </c>
      <c r="C1627" t="s">
        <v>64</v>
      </c>
      <c r="D1627">
        <v>0</v>
      </c>
      <c r="E1627" t="s">
        <v>380</v>
      </c>
    </row>
    <row r="1628" spans="1:5" x14ac:dyDescent="0.25">
      <c r="A1628" s="279">
        <v>39021</v>
      </c>
      <c r="B1628" t="s">
        <v>338</v>
      </c>
      <c r="C1628" t="s">
        <v>65</v>
      </c>
      <c r="D1628">
        <v>0</v>
      </c>
      <c r="E1628" t="s">
        <v>378</v>
      </c>
    </row>
    <row r="1629" spans="1:5" x14ac:dyDescent="0.25">
      <c r="A1629" s="279">
        <v>39021</v>
      </c>
      <c r="B1629" t="s">
        <v>338</v>
      </c>
      <c r="C1629" t="s">
        <v>66</v>
      </c>
      <c r="D1629">
        <v>0</v>
      </c>
      <c r="E1629" t="s">
        <v>380</v>
      </c>
    </row>
    <row r="1630" spans="1:5" x14ac:dyDescent="0.25">
      <c r="A1630" s="279">
        <v>39021</v>
      </c>
      <c r="B1630" t="s">
        <v>338</v>
      </c>
      <c r="C1630" t="s">
        <v>120</v>
      </c>
      <c r="D1630">
        <v>12228</v>
      </c>
      <c r="E1630" t="s">
        <v>378</v>
      </c>
    </row>
    <row r="1631" spans="1:5" x14ac:dyDescent="0.25">
      <c r="A1631" s="279">
        <v>39021</v>
      </c>
      <c r="B1631" t="s">
        <v>338</v>
      </c>
      <c r="C1631" t="s">
        <v>121</v>
      </c>
      <c r="D1631">
        <v>0</v>
      </c>
      <c r="E1631" t="s">
        <v>380</v>
      </c>
    </row>
    <row r="1632" spans="1:5" x14ac:dyDescent="0.25">
      <c r="A1632" s="279">
        <v>39021</v>
      </c>
      <c r="B1632" t="s">
        <v>338</v>
      </c>
      <c r="C1632" t="s">
        <v>67</v>
      </c>
      <c r="D1632">
        <v>0</v>
      </c>
      <c r="E1632" t="s">
        <v>378</v>
      </c>
    </row>
    <row r="1633" spans="1:5" x14ac:dyDescent="0.25">
      <c r="A1633" s="279">
        <v>39021</v>
      </c>
      <c r="B1633" t="s">
        <v>338</v>
      </c>
      <c r="C1633" t="s">
        <v>68</v>
      </c>
      <c r="D1633">
        <v>0</v>
      </c>
      <c r="E1633" t="s">
        <v>380</v>
      </c>
    </row>
    <row r="1634" spans="1:5" x14ac:dyDescent="0.25">
      <c r="A1634" s="279">
        <v>39021</v>
      </c>
      <c r="B1634" t="s">
        <v>338</v>
      </c>
      <c r="C1634" t="s">
        <v>69</v>
      </c>
      <c r="D1634">
        <v>0</v>
      </c>
      <c r="E1634" t="s">
        <v>379</v>
      </c>
    </row>
    <row r="1635" spans="1:5" x14ac:dyDescent="0.25">
      <c r="A1635" s="279">
        <v>39021</v>
      </c>
      <c r="B1635" t="s">
        <v>338</v>
      </c>
      <c r="C1635" t="s">
        <v>70</v>
      </c>
      <c r="D1635">
        <v>0</v>
      </c>
      <c r="E1635" t="s">
        <v>379</v>
      </c>
    </row>
    <row r="1636" spans="1:5" x14ac:dyDescent="0.25">
      <c r="A1636" s="279">
        <v>39021</v>
      </c>
      <c r="B1636" t="s">
        <v>338</v>
      </c>
      <c r="C1636" t="s">
        <v>80</v>
      </c>
      <c r="D1636">
        <v>184</v>
      </c>
      <c r="E1636" t="s">
        <v>379</v>
      </c>
    </row>
    <row r="1637" spans="1:5" x14ac:dyDescent="0.25">
      <c r="A1637" s="279">
        <v>39021</v>
      </c>
      <c r="B1637" t="s">
        <v>339</v>
      </c>
      <c r="C1637" t="s">
        <v>71</v>
      </c>
      <c r="D1637">
        <v>1834</v>
      </c>
      <c r="E1637" t="s">
        <v>378</v>
      </c>
    </row>
    <row r="1638" spans="1:5" x14ac:dyDescent="0.25">
      <c r="A1638" s="279">
        <v>39021</v>
      </c>
      <c r="B1638" t="s">
        <v>339</v>
      </c>
      <c r="C1638" t="s">
        <v>72</v>
      </c>
      <c r="D1638">
        <v>0</v>
      </c>
      <c r="E1638" t="s">
        <v>380</v>
      </c>
    </row>
    <row r="1639" spans="1:5" x14ac:dyDescent="0.25">
      <c r="A1639" s="279">
        <v>39021</v>
      </c>
      <c r="B1639" t="s">
        <v>339</v>
      </c>
      <c r="C1639" t="s">
        <v>73</v>
      </c>
      <c r="D1639">
        <v>13527</v>
      </c>
      <c r="E1639" t="s">
        <v>378</v>
      </c>
    </row>
    <row r="1640" spans="1:5" x14ac:dyDescent="0.25">
      <c r="A1640" s="279">
        <v>39021</v>
      </c>
      <c r="B1640" t="s">
        <v>339</v>
      </c>
      <c r="C1640" t="s">
        <v>74</v>
      </c>
      <c r="D1640">
        <v>0</v>
      </c>
      <c r="E1640" t="s">
        <v>380</v>
      </c>
    </row>
    <row r="1641" spans="1:5" x14ac:dyDescent="0.25">
      <c r="A1641" s="279">
        <v>39021</v>
      </c>
      <c r="B1641" t="s">
        <v>339</v>
      </c>
      <c r="C1641" t="s">
        <v>75</v>
      </c>
      <c r="D1641">
        <v>15050</v>
      </c>
      <c r="E1641" t="s">
        <v>378</v>
      </c>
    </row>
    <row r="1642" spans="1:5" x14ac:dyDescent="0.25">
      <c r="A1642" s="279">
        <v>39021</v>
      </c>
      <c r="B1642" t="s">
        <v>339</v>
      </c>
      <c r="C1642" t="s">
        <v>76</v>
      </c>
      <c r="D1642">
        <v>5323</v>
      </c>
      <c r="E1642" t="s">
        <v>380</v>
      </c>
    </row>
    <row r="1643" spans="1:5" x14ac:dyDescent="0.25">
      <c r="A1643" s="279">
        <v>39021</v>
      </c>
      <c r="B1643" t="s">
        <v>339</v>
      </c>
      <c r="C1643" t="s">
        <v>77</v>
      </c>
      <c r="D1643">
        <v>7289</v>
      </c>
      <c r="E1643" t="s">
        <v>378</v>
      </c>
    </row>
    <row r="1644" spans="1:5" x14ac:dyDescent="0.25">
      <c r="A1644" s="279">
        <v>39021</v>
      </c>
      <c r="B1644" t="s">
        <v>339</v>
      </c>
      <c r="C1644" t="s">
        <v>78</v>
      </c>
      <c r="D1644">
        <v>7021</v>
      </c>
      <c r="E1644" t="s">
        <v>380</v>
      </c>
    </row>
    <row r="1645" spans="1:5" x14ac:dyDescent="0.25">
      <c r="A1645" s="279">
        <v>39021</v>
      </c>
      <c r="B1645" t="s">
        <v>339</v>
      </c>
      <c r="C1645" t="s">
        <v>79</v>
      </c>
      <c r="D1645">
        <v>128459</v>
      </c>
      <c r="E1645" t="s">
        <v>379</v>
      </c>
    </row>
    <row r="1646" spans="1:5" x14ac:dyDescent="0.25">
      <c r="A1646" s="279">
        <v>39021</v>
      </c>
      <c r="B1646" t="s">
        <v>339</v>
      </c>
      <c r="C1646" t="s">
        <v>70</v>
      </c>
      <c r="D1646">
        <v>0</v>
      </c>
      <c r="E1646" t="s">
        <v>379</v>
      </c>
    </row>
    <row r="1647" spans="1:5" x14ac:dyDescent="0.25">
      <c r="A1647" s="279">
        <v>39021</v>
      </c>
      <c r="B1647" t="s">
        <v>339</v>
      </c>
      <c r="C1647" t="s">
        <v>63</v>
      </c>
      <c r="D1647">
        <v>0</v>
      </c>
      <c r="E1647" t="s">
        <v>378</v>
      </c>
    </row>
    <row r="1648" spans="1:5" x14ac:dyDescent="0.25">
      <c r="A1648" s="279">
        <v>39021</v>
      </c>
      <c r="B1648" t="s">
        <v>339</v>
      </c>
      <c r="C1648" t="s">
        <v>80</v>
      </c>
      <c r="D1648">
        <v>665</v>
      </c>
      <c r="E1648" t="s">
        <v>379</v>
      </c>
    </row>
    <row r="1649" spans="1:5" x14ac:dyDescent="0.25">
      <c r="A1649" s="279">
        <v>39022</v>
      </c>
      <c r="B1649" t="s">
        <v>338</v>
      </c>
      <c r="C1649" t="s">
        <v>59</v>
      </c>
      <c r="D1649">
        <v>0</v>
      </c>
      <c r="E1649" t="s">
        <v>378</v>
      </c>
    </row>
    <row r="1650" spans="1:5" x14ac:dyDescent="0.25">
      <c r="A1650" s="279">
        <v>39022</v>
      </c>
      <c r="B1650" t="s">
        <v>338</v>
      </c>
      <c r="C1650" t="s">
        <v>60</v>
      </c>
      <c r="D1650">
        <v>0</v>
      </c>
      <c r="E1650" t="s">
        <v>379</v>
      </c>
    </row>
    <row r="1651" spans="1:5" x14ac:dyDescent="0.25">
      <c r="A1651" s="279">
        <v>39022</v>
      </c>
      <c r="B1651" t="s">
        <v>338</v>
      </c>
      <c r="C1651" t="s">
        <v>61</v>
      </c>
      <c r="D1651">
        <v>29334</v>
      </c>
      <c r="E1651" t="s">
        <v>378</v>
      </c>
    </row>
    <row r="1652" spans="1:5" x14ac:dyDescent="0.25">
      <c r="A1652" s="279">
        <v>39022</v>
      </c>
      <c r="B1652" t="s">
        <v>338</v>
      </c>
      <c r="C1652" t="s">
        <v>62</v>
      </c>
      <c r="D1652">
        <v>0</v>
      </c>
      <c r="E1652" t="s">
        <v>380</v>
      </c>
    </row>
    <row r="1653" spans="1:5" x14ac:dyDescent="0.25">
      <c r="A1653" s="279">
        <v>39022</v>
      </c>
      <c r="B1653" t="s">
        <v>338</v>
      </c>
      <c r="C1653" t="s">
        <v>63</v>
      </c>
      <c r="D1653">
        <v>0</v>
      </c>
      <c r="E1653" t="s">
        <v>378</v>
      </c>
    </row>
    <row r="1654" spans="1:5" x14ac:dyDescent="0.25">
      <c r="A1654" s="279">
        <v>39022</v>
      </c>
      <c r="B1654" t="s">
        <v>338</v>
      </c>
      <c r="C1654" t="s">
        <v>64</v>
      </c>
      <c r="D1654">
        <v>0</v>
      </c>
      <c r="E1654" t="s">
        <v>380</v>
      </c>
    </row>
    <row r="1655" spans="1:5" x14ac:dyDescent="0.25">
      <c r="A1655" s="279">
        <v>39022</v>
      </c>
      <c r="B1655" t="s">
        <v>338</v>
      </c>
      <c r="C1655" t="s">
        <v>65</v>
      </c>
      <c r="D1655">
        <v>0</v>
      </c>
      <c r="E1655" t="s">
        <v>378</v>
      </c>
    </row>
    <row r="1656" spans="1:5" x14ac:dyDescent="0.25">
      <c r="A1656" s="279">
        <v>39022</v>
      </c>
      <c r="B1656" t="s">
        <v>338</v>
      </c>
      <c r="C1656" t="s">
        <v>66</v>
      </c>
      <c r="D1656">
        <v>0</v>
      </c>
      <c r="E1656" t="s">
        <v>380</v>
      </c>
    </row>
    <row r="1657" spans="1:5" x14ac:dyDescent="0.25">
      <c r="A1657" s="279">
        <v>39022</v>
      </c>
      <c r="B1657" t="s">
        <v>338</v>
      </c>
      <c r="C1657" t="s">
        <v>120</v>
      </c>
      <c r="D1657">
        <v>12216</v>
      </c>
      <c r="E1657" t="s">
        <v>378</v>
      </c>
    </row>
    <row r="1658" spans="1:5" x14ac:dyDescent="0.25">
      <c r="A1658" s="279">
        <v>39022</v>
      </c>
      <c r="B1658" t="s">
        <v>338</v>
      </c>
      <c r="C1658" t="s">
        <v>121</v>
      </c>
      <c r="D1658">
        <v>0</v>
      </c>
      <c r="E1658" t="s">
        <v>380</v>
      </c>
    </row>
    <row r="1659" spans="1:5" x14ac:dyDescent="0.25">
      <c r="A1659" s="279">
        <v>39022</v>
      </c>
      <c r="B1659" t="s">
        <v>338</v>
      </c>
      <c r="C1659" t="s">
        <v>67</v>
      </c>
      <c r="D1659">
        <v>0</v>
      </c>
      <c r="E1659" t="s">
        <v>378</v>
      </c>
    </row>
    <row r="1660" spans="1:5" x14ac:dyDescent="0.25">
      <c r="A1660" s="279">
        <v>39022</v>
      </c>
      <c r="B1660" t="s">
        <v>338</v>
      </c>
      <c r="C1660" t="s">
        <v>68</v>
      </c>
      <c r="D1660">
        <v>0</v>
      </c>
      <c r="E1660" t="s">
        <v>380</v>
      </c>
    </row>
    <row r="1661" spans="1:5" x14ac:dyDescent="0.25">
      <c r="A1661" s="279">
        <v>39022</v>
      </c>
      <c r="B1661" t="s">
        <v>338</v>
      </c>
      <c r="C1661" t="s">
        <v>69</v>
      </c>
      <c r="D1661">
        <v>34783</v>
      </c>
      <c r="E1661" t="s">
        <v>379</v>
      </c>
    </row>
    <row r="1662" spans="1:5" x14ac:dyDescent="0.25">
      <c r="A1662" s="279">
        <v>39022</v>
      </c>
      <c r="B1662" t="s">
        <v>338</v>
      </c>
      <c r="C1662" t="s">
        <v>70</v>
      </c>
      <c r="D1662">
        <v>0</v>
      </c>
      <c r="E1662" t="s">
        <v>379</v>
      </c>
    </row>
    <row r="1663" spans="1:5" x14ac:dyDescent="0.25">
      <c r="A1663" s="279">
        <v>39022</v>
      </c>
      <c r="B1663" t="s">
        <v>338</v>
      </c>
      <c r="C1663" t="s">
        <v>80</v>
      </c>
      <c r="D1663">
        <v>360</v>
      </c>
      <c r="E1663" t="s">
        <v>379</v>
      </c>
    </row>
    <row r="1664" spans="1:5" x14ac:dyDescent="0.25">
      <c r="A1664" s="279">
        <v>39022</v>
      </c>
      <c r="B1664" t="s">
        <v>339</v>
      </c>
      <c r="C1664" t="s">
        <v>71</v>
      </c>
      <c r="D1664">
        <v>1834</v>
      </c>
      <c r="E1664" t="s">
        <v>378</v>
      </c>
    </row>
    <row r="1665" spans="1:5" x14ac:dyDescent="0.25">
      <c r="A1665" s="279">
        <v>39022</v>
      </c>
      <c r="B1665" t="s">
        <v>339</v>
      </c>
      <c r="C1665" t="s">
        <v>72</v>
      </c>
      <c r="D1665">
        <v>0</v>
      </c>
      <c r="E1665" t="s">
        <v>380</v>
      </c>
    </row>
    <row r="1666" spans="1:5" x14ac:dyDescent="0.25">
      <c r="A1666" s="279">
        <v>39022</v>
      </c>
      <c r="B1666" t="s">
        <v>339</v>
      </c>
      <c r="C1666" t="s">
        <v>73</v>
      </c>
      <c r="D1666">
        <v>13527</v>
      </c>
      <c r="E1666" t="s">
        <v>378</v>
      </c>
    </row>
    <row r="1667" spans="1:5" x14ac:dyDescent="0.25">
      <c r="A1667" s="279">
        <v>39022</v>
      </c>
      <c r="B1667" t="s">
        <v>339</v>
      </c>
      <c r="C1667" t="s">
        <v>74</v>
      </c>
      <c r="D1667">
        <v>0</v>
      </c>
      <c r="E1667" t="s">
        <v>380</v>
      </c>
    </row>
    <row r="1668" spans="1:5" x14ac:dyDescent="0.25">
      <c r="A1668" s="279">
        <v>39022</v>
      </c>
      <c r="B1668" t="s">
        <v>339</v>
      </c>
      <c r="C1668" t="s">
        <v>75</v>
      </c>
      <c r="D1668">
        <v>15050</v>
      </c>
      <c r="E1668" t="s">
        <v>378</v>
      </c>
    </row>
    <row r="1669" spans="1:5" x14ac:dyDescent="0.25">
      <c r="A1669" s="279">
        <v>39022</v>
      </c>
      <c r="B1669" t="s">
        <v>339</v>
      </c>
      <c r="C1669" t="s">
        <v>76</v>
      </c>
      <c r="D1669">
        <v>0</v>
      </c>
      <c r="E1669" t="s">
        <v>380</v>
      </c>
    </row>
    <row r="1670" spans="1:5" x14ac:dyDescent="0.25">
      <c r="A1670" s="279">
        <v>39022</v>
      </c>
      <c r="B1670" t="s">
        <v>339</v>
      </c>
      <c r="C1670" t="s">
        <v>77</v>
      </c>
      <c r="D1670">
        <v>7289</v>
      </c>
      <c r="E1670" t="s">
        <v>378</v>
      </c>
    </row>
    <row r="1671" spans="1:5" x14ac:dyDescent="0.25">
      <c r="A1671" s="279">
        <v>39022</v>
      </c>
      <c r="B1671" t="s">
        <v>339</v>
      </c>
      <c r="C1671" t="s">
        <v>78</v>
      </c>
      <c r="D1671">
        <v>307</v>
      </c>
      <c r="E1671" t="s">
        <v>380</v>
      </c>
    </row>
    <row r="1672" spans="1:5" x14ac:dyDescent="0.25">
      <c r="A1672" s="279">
        <v>39022</v>
      </c>
      <c r="B1672" t="s">
        <v>339</v>
      </c>
      <c r="C1672" t="s">
        <v>79</v>
      </c>
      <c r="D1672">
        <v>116591</v>
      </c>
      <c r="E1672" t="s">
        <v>379</v>
      </c>
    </row>
    <row r="1673" spans="1:5" x14ac:dyDescent="0.25">
      <c r="A1673" s="279">
        <v>39022</v>
      </c>
      <c r="B1673" t="s">
        <v>339</v>
      </c>
      <c r="C1673" t="s">
        <v>70</v>
      </c>
      <c r="D1673">
        <v>0</v>
      </c>
      <c r="E1673" t="s">
        <v>379</v>
      </c>
    </row>
    <row r="1674" spans="1:5" x14ac:dyDescent="0.25">
      <c r="A1674" s="279">
        <v>39022</v>
      </c>
      <c r="B1674" t="s">
        <v>339</v>
      </c>
      <c r="C1674" t="s">
        <v>63</v>
      </c>
      <c r="D1674">
        <v>18158</v>
      </c>
      <c r="E1674" t="s">
        <v>378</v>
      </c>
    </row>
    <row r="1675" spans="1:5" x14ac:dyDescent="0.25">
      <c r="A1675" s="279">
        <v>39022</v>
      </c>
      <c r="B1675" t="s">
        <v>339</v>
      </c>
      <c r="C1675" t="s">
        <v>80</v>
      </c>
      <c r="D1675">
        <v>665</v>
      </c>
      <c r="E1675" t="s">
        <v>379</v>
      </c>
    </row>
    <row r="1676" spans="1:5" x14ac:dyDescent="0.25">
      <c r="A1676" s="279">
        <v>39023</v>
      </c>
      <c r="B1676" t="s">
        <v>338</v>
      </c>
      <c r="C1676" t="s">
        <v>59</v>
      </c>
      <c r="D1676">
        <v>0</v>
      </c>
      <c r="E1676" t="s">
        <v>378</v>
      </c>
    </row>
    <row r="1677" spans="1:5" x14ac:dyDescent="0.25">
      <c r="A1677" s="279">
        <v>39023</v>
      </c>
      <c r="B1677" t="s">
        <v>338</v>
      </c>
      <c r="C1677" t="s">
        <v>60</v>
      </c>
      <c r="D1677">
        <v>0</v>
      </c>
      <c r="E1677" t="s">
        <v>379</v>
      </c>
    </row>
    <row r="1678" spans="1:5" x14ac:dyDescent="0.25">
      <c r="A1678" s="279">
        <v>39023</v>
      </c>
      <c r="B1678" t="s">
        <v>338</v>
      </c>
      <c r="C1678" t="s">
        <v>61</v>
      </c>
      <c r="D1678">
        <v>831</v>
      </c>
      <c r="E1678" t="s">
        <v>378</v>
      </c>
    </row>
    <row r="1679" spans="1:5" x14ac:dyDescent="0.25">
      <c r="A1679" s="279">
        <v>39023</v>
      </c>
      <c r="B1679" t="s">
        <v>338</v>
      </c>
      <c r="C1679" t="s">
        <v>62</v>
      </c>
      <c r="D1679">
        <v>0</v>
      </c>
      <c r="E1679" t="s">
        <v>380</v>
      </c>
    </row>
    <row r="1680" spans="1:5" x14ac:dyDescent="0.25">
      <c r="A1680" s="279">
        <v>39023</v>
      </c>
      <c r="B1680" t="s">
        <v>338</v>
      </c>
      <c r="C1680" t="s">
        <v>63</v>
      </c>
      <c r="D1680">
        <v>0</v>
      </c>
      <c r="E1680" t="s">
        <v>378</v>
      </c>
    </row>
    <row r="1681" spans="1:5" x14ac:dyDescent="0.25">
      <c r="A1681" s="279">
        <v>39023</v>
      </c>
      <c r="B1681" t="s">
        <v>338</v>
      </c>
      <c r="C1681" t="s">
        <v>64</v>
      </c>
      <c r="D1681">
        <v>0</v>
      </c>
      <c r="E1681" t="s">
        <v>380</v>
      </c>
    </row>
    <row r="1682" spans="1:5" x14ac:dyDescent="0.25">
      <c r="A1682" s="279">
        <v>39023</v>
      </c>
      <c r="B1682" t="s">
        <v>338</v>
      </c>
      <c r="C1682" t="s">
        <v>65</v>
      </c>
      <c r="D1682">
        <v>0</v>
      </c>
      <c r="E1682" t="s">
        <v>378</v>
      </c>
    </row>
    <row r="1683" spans="1:5" x14ac:dyDescent="0.25">
      <c r="A1683" s="279">
        <v>39023</v>
      </c>
      <c r="B1683" t="s">
        <v>338</v>
      </c>
      <c r="C1683" t="s">
        <v>66</v>
      </c>
      <c r="D1683">
        <v>0</v>
      </c>
      <c r="E1683" t="s">
        <v>380</v>
      </c>
    </row>
    <row r="1684" spans="1:5" x14ac:dyDescent="0.25">
      <c r="A1684" s="279">
        <v>39023</v>
      </c>
      <c r="B1684" t="s">
        <v>338</v>
      </c>
      <c r="C1684" t="s">
        <v>120</v>
      </c>
      <c r="D1684">
        <v>12216</v>
      </c>
      <c r="E1684" t="s">
        <v>378</v>
      </c>
    </row>
    <row r="1685" spans="1:5" x14ac:dyDescent="0.25">
      <c r="A1685" s="279">
        <v>39023</v>
      </c>
      <c r="B1685" t="s">
        <v>338</v>
      </c>
      <c r="C1685" t="s">
        <v>121</v>
      </c>
      <c r="D1685">
        <v>0</v>
      </c>
      <c r="E1685" t="s">
        <v>380</v>
      </c>
    </row>
    <row r="1686" spans="1:5" x14ac:dyDescent="0.25">
      <c r="A1686" s="279">
        <v>39023</v>
      </c>
      <c r="B1686" t="s">
        <v>338</v>
      </c>
      <c r="C1686" t="s">
        <v>67</v>
      </c>
      <c r="D1686">
        <v>0</v>
      </c>
      <c r="E1686" t="s">
        <v>378</v>
      </c>
    </row>
    <row r="1687" spans="1:5" x14ac:dyDescent="0.25">
      <c r="A1687" s="279">
        <v>39023</v>
      </c>
      <c r="B1687" t="s">
        <v>338</v>
      </c>
      <c r="C1687" t="s">
        <v>68</v>
      </c>
      <c r="D1687">
        <v>0</v>
      </c>
      <c r="E1687" t="s">
        <v>380</v>
      </c>
    </row>
    <row r="1688" spans="1:5" x14ac:dyDescent="0.25">
      <c r="A1688" s="279">
        <v>39023</v>
      </c>
      <c r="B1688" t="s">
        <v>338</v>
      </c>
      <c r="C1688" t="s">
        <v>69</v>
      </c>
      <c r="D1688">
        <v>34783</v>
      </c>
      <c r="E1688" t="s">
        <v>379</v>
      </c>
    </row>
    <row r="1689" spans="1:5" x14ac:dyDescent="0.25">
      <c r="A1689" s="279">
        <v>39023</v>
      </c>
      <c r="B1689" t="s">
        <v>338</v>
      </c>
      <c r="C1689" t="s">
        <v>70</v>
      </c>
      <c r="D1689">
        <v>0</v>
      </c>
      <c r="E1689" t="s">
        <v>379</v>
      </c>
    </row>
    <row r="1690" spans="1:5" x14ac:dyDescent="0.25">
      <c r="A1690" s="279">
        <v>39023</v>
      </c>
      <c r="B1690" t="s">
        <v>338</v>
      </c>
      <c r="C1690" t="s">
        <v>80</v>
      </c>
      <c r="D1690">
        <v>113</v>
      </c>
      <c r="E1690" t="s">
        <v>379</v>
      </c>
    </row>
    <row r="1691" spans="1:5" x14ac:dyDescent="0.25">
      <c r="A1691" s="279">
        <v>39023</v>
      </c>
      <c r="B1691" t="s">
        <v>339</v>
      </c>
      <c r="C1691" t="s">
        <v>71</v>
      </c>
      <c r="D1691">
        <v>1834</v>
      </c>
      <c r="E1691" t="s">
        <v>378</v>
      </c>
    </row>
    <row r="1692" spans="1:5" x14ac:dyDescent="0.25">
      <c r="A1692" s="279">
        <v>39023</v>
      </c>
      <c r="B1692" t="s">
        <v>339</v>
      </c>
      <c r="C1692" t="s">
        <v>72</v>
      </c>
      <c r="D1692">
        <v>0</v>
      </c>
      <c r="E1692" t="s">
        <v>380</v>
      </c>
    </row>
    <row r="1693" spans="1:5" x14ac:dyDescent="0.25">
      <c r="A1693" s="279">
        <v>39023</v>
      </c>
      <c r="B1693" t="s">
        <v>339</v>
      </c>
      <c r="C1693" t="s">
        <v>73</v>
      </c>
      <c r="D1693">
        <v>13125</v>
      </c>
      <c r="E1693" t="s">
        <v>378</v>
      </c>
    </row>
    <row r="1694" spans="1:5" x14ac:dyDescent="0.25">
      <c r="A1694" s="279">
        <v>39023</v>
      </c>
      <c r="B1694" t="s">
        <v>339</v>
      </c>
      <c r="C1694" t="s">
        <v>74</v>
      </c>
      <c r="D1694">
        <v>0</v>
      </c>
      <c r="E1694" t="s">
        <v>380</v>
      </c>
    </row>
    <row r="1695" spans="1:5" x14ac:dyDescent="0.25">
      <c r="A1695" s="279">
        <v>39023</v>
      </c>
      <c r="B1695" t="s">
        <v>339</v>
      </c>
      <c r="C1695" t="s">
        <v>75</v>
      </c>
      <c r="D1695">
        <v>15050</v>
      </c>
      <c r="E1695" t="s">
        <v>378</v>
      </c>
    </row>
    <row r="1696" spans="1:5" x14ac:dyDescent="0.25">
      <c r="A1696" s="279">
        <v>39023</v>
      </c>
      <c r="B1696" t="s">
        <v>339</v>
      </c>
      <c r="C1696" t="s">
        <v>76</v>
      </c>
      <c r="D1696">
        <v>14508</v>
      </c>
      <c r="E1696" t="s">
        <v>380</v>
      </c>
    </row>
    <row r="1697" spans="1:5" x14ac:dyDescent="0.25">
      <c r="A1697" s="279">
        <v>39023</v>
      </c>
      <c r="B1697" t="s">
        <v>339</v>
      </c>
      <c r="C1697" t="s">
        <v>77</v>
      </c>
      <c r="D1697">
        <v>7289</v>
      </c>
      <c r="E1697" t="s">
        <v>378</v>
      </c>
    </row>
    <row r="1698" spans="1:5" x14ac:dyDescent="0.25">
      <c r="A1698" s="279">
        <v>39023</v>
      </c>
      <c r="B1698" t="s">
        <v>339</v>
      </c>
      <c r="C1698" t="s">
        <v>78</v>
      </c>
      <c r="D1698">
        <v>7021</v>
      </c>
      <c r="E1698" t="s">
        <v>380</v>
      </c>
    </row>
    <row r="1699" spans="1:5" x14ac:dyDescent="0.25">
      <c r="A1699" s="279">
        <v>39023</v>
      </c>
      <c r="B1699" t="s">
        <v>339</v>
      </c>
      <c r="C1699" t="s">
        <v>79</v>
      </c>
      <c r="D1699">
        <v>116591</v>
      </c>
      <c r="E1699" t="s">
        <v>379</v>
      </c>
    </row>
    <row r="1700" spans="1:5" x14ac:dyDescent="0.25">
      <c r="A1700" s="279">
        <v>39023</v>
      </c>
      <c r="B1700" t="s">
        <v>339</v>
      </c>
      <c r="C1700" t="s">
        <v>70</v>
      </c>
      <c r="D1700">
        <v>0</v>
      </c>
      <c r="E1700" t="s">
        <v>379</v>
      </c>
    </row>
    <row r="1701" spans="1:5" x14ac:dyDescent="0.25">
      <c r="A1701" s="279">
        <v>39023</v>
      </c>
      <c r="B1701" t="s">
        <v>339</v>
      </c>
      <c r="C1701" t="s">
        <v>63</v>
      </c>
      <c r="D1701">
        <v>0</v>
      </c>
      <c r="E1701" t="s">
        <v>378</v>
      </c>
    </row>
    <row r="1702" spans="1:5" x14ac:dyDescent="0.25">
      <c r="A1702" s="279">
        <v>39023</v>
      </c>
      <c r="B1702" t="s">
        <v>339</v>
      </c>
      <c r="C1702" t="s">
        <v>80</v>
      </c>
      <c r="D1702">
        <v>650</v>
      </c>
      <c r="E1702" t="s">
        <v>379</v>
      </c>
    </row>
    <row r="1703" spans="1:5" x14ac:dyDescent="0.25">
      <c r="A1703" s="279">
        <v>39024</v>
      </c>
      <c r="B1703" t="s">
        <v>338</v>
      </c>
      <c r="C1703" t="s">
        <v>59</v>
      </c>
      <c r="D1703">
        <v>0</v>
      </c>
      <c r="E1703" t="s">
        <v>378</v>
      </c>
    </row>
    <row r="1704" spans="1:5" x14ac:dyDescent="0.25">
      <c r="A1704" s="279">
        <v>39024</v>
      </c>
      <c r="B1704" t="s">
        <v>338</v>
      </c>
      <c r="C1704" t="s">
        <v>60</v>
      </c>
      <c r="D1704">
        <v>0</v>
      </c>
      <c r="E1704" t="s">
        <v>379</v>
      </c>
    </row>
    <row r="1705" spans="1:5" x14ac:dyDescent="0.25">
      <c r="A1705" s="279">
        <v>39024</v>
      </c>
      <c r="B1705" t="s">
        <v>338</v>
      </c>
      <c r="C1705" t="s">
        <v>61</v>
      </c>
      <c r="D1705">
        <v>0</v>
      </c>
      <c r="E1705" t="s">
        <v>378</v>
      </c>
    </row>
    <row r="1706" spans="1:5" x14ac:dyDescent="0.25">
      <c r="A1706" s="279">
        <v>39024</v>
      </c>
      <c r="B1706" t="s">
        <v>338</v>
      </c>
      <c r="C1706" t="s">
        <v>62</v>
      </c>
      <c r="D1706">
        <v>0</v>
      </c>
      <c r="E1706" t="s">
        <v>380</v>
      </c>
    </row>
    <row r="1707" spans="1:5" x14ac:dyDescent="0.25">
      <c r="A1707" s="279">
        <v>39024</v>
      </c>
      <c r="B1707" t="s">
        <v>338</v>
      </c>
      <c r="C1707" t="s">
        <v>63</v>
      </c>
      <c r="D1707">
        <v>0</v>
      </c>
      <c r="E1707" t="s">
        <v>378</v>
      </c>
    </row>
    <row r="1708" spans="1:5" x14ac:dyDescent="0.25">
      <c r="A1708" s="279">
        <v>39024</v>
      </c>
      <c r="B1708" t="s">
        <v>338</v>
      </c>
      <c r="C1708" t="s">
        <v>64</v>
      </c>
      <c r="D1708">
        <v>0</v>
      </c>
      <c r="E1708" t="s">
        <v>380</v>
      </c>
    </row>
    <row r="1709" spans="1:5" x14ac:dyDescent="0.25">
      <c r="A1709" s="279">
        <v>39024</v>
      </c>
      <c r="B1709" t="s">
        <v>338</v>
      </c>
      <c r="C1709" t="s">
        <v>65</v>
      </c>
      <c r="D1709">
        <v>0</v>
      </c>
      <c r="E1709" t="s">
        <v>378</v>
      </c>
    </row>
    <row r="1710" spans="1:5" x14ac:dyDescent="0.25">
      <c r="A1710" s="279">
        <v>39024</v>
      </c>
      <c r="B1710" t="s">
        <v>338</v>
      </c>
      <c r="C1710" t="s">
        <v>66</v>
      </c>
      <c r="D1710">
        <v>0</v>
      </c>
      <c r="E1710" t="s">
        <v>380</v>
      </c>
    </row>
    <row r="1711" spans="1:5" x14ac:dyDescent="0.25">
      <c r="A1711" s="279">
        <v>39024</v>
      </c>
      <c r="B1711" t="s">
        <v>338</v>
      </c>
      <c r="C1711" t="s">
        <v>120</v>
      </c>
      <c r="D1711">
        <v>837</v>
      </c>
      <c r="E1711" t="s">
        <v>378</v>
      </c>
    </row>
    <row r="1712" spans="1:5" x14ac:dyDescent="0.25">
      <c r="A1712" s="279">
        <v>39024</v>
      </c>
      <c r="B1712" t="s">
        <v>338</v>
      </c>
      <c r="C1712" t="s">
        <v>121</v>
      </c>
      <c r="D1712">
        <v>0</v>
      </c>
      <c r="E1712" t="s">
        <v>380</v>
      </c>
    </row>
    <row r="1713" spans="1:5" x14ac:dyDescent="0.25">
      <c r="A1713" s="279">
        <v>39024</v>
      </c>
      <c r="B1713" t="s">
        <v>338</v>
      </c>
      <c r="C1713" t="s">
        <v>67</v>
      </c>
      <c r="D1713">
        <v>0</v>
      </c>
      <c r="E1713" t="s">
        <v>378</v>
      </c>
    </row>
    <row r="1714" spans="1:5" x14ac:dyDescent="0.25">
      <c r="A1714" s="279">
        <v>39024</v>
      </c>
      <c r="B1714" t="s">
        <v>338</v>
      </c>
      <c r="C1714" t="s">
        <v>68</v>
      </c>
      <c r="D1714">
        <v>0</v>
      </c>
      <c r="E1714" t="s">
        <v>380</v>
      </c>
    </row>
    <row r="1715" spans="1:5" x14ac:dyDescent="0.25">
      <c r="A1715" s="279">
        <v>39024</v>
      </c>
      <c r="B1715" t="s">
        <v>338</v>
      </c>
      <c r="C1715" t="s">
        <v>69</v>
      </c>
      <c r="D1715">
        <v>34951</v>
      </c>
      <c r="E1715" t="s">
        <v>379</v>
      </c>
    </row>
    <row r="1716" spans="1:5" x14ac:dyDescent="0.25">
      <c r="A1716" s="279">
        <v>39024</v>
      </c>
      <c r="B1716" t="s">
        <v>338</v>
      </c>
      <c r="C1716" t="s">
        <v>70</v>
      </c>
      <c r="D1716">
        <v>0</v>
      </c>
      <c r="E1716" t="s">
        <v>379</v>
      </c>
    </row>
    <row r="1717" spans="1:5" x14ac:dyDescent="0.25">
      <c r="A1717" s="279">
        <v>39024</v>
      </c>
      <c r="B1717" t="s">
        <v>338</v>
      </c>
      <c r="C1717" t="s">
        <v>80</v>
      </c>
      <c r="D1717">
        <v>7</v>
      </c>
      <c r="E1717" t="s">
        <v>379</v>
      </c>
    </row>
    <row r="1718" spans="1:5" x14ac:dyDescent="0.25">
      <c r="A1718" s="279">
        <v>39024</v>
      </c>
      <c r="B1718" t="s">
        <v>339</v>
      </c>
      <c r="C1718" t="s">
        <v>71</v>
      </c>
      <c r="D1718">
        <v>0</v>
      </c>
      <c r="E1718" t="s">
        <v>378</v>
      </c>
    </row>
    <row r="1719" spans="1:5" x14ac:dyDescent="0.25">
      <c r="A1719" s="279">
        <v>39024</v>
      </c>
      <c r="B1719" t="s">
        <v>339</v>
      </c>
      <c r="C1719" t="s">
        <v>72</v>
      </c>
      <c r="D1719">
        <v>0</v>
      </c>
      <c r="E1719" t="s">
        <v>380</v>
      </c>
    </row>
    <row r="1720" spans="1:5" x14ac:dyDescent="0.25">
      <c r="A1720" s="279">
        <v>39024</v>
      </c>
      <c r="B1720" t="s">
        <v>339</v>
      </c>
      <c r="C1720" t="s">
        <v>73</v>
      </c>
      <c r="D1720">
        <v>0</v>
      </c>
      <c r="E1720" t="s">
        <v>378</v>
      </c>
    </row>
    <row r="1721" spans="1:5" x14ac:dyDescent="0.25">
      <c r="A1721" s="279">
        <v>39024</v>
      </c>
      <c r="B1721" t="s">
        <v>339</v>
      </c>
      <c r="C1721" t="s">
        <v>74</v>
      </c>
      <c r="D1721">
        <v>0</v>
      </c>
      <c r="E1721" t="s">
        <v>380</v>
      </c>
    </row>
    <row r="1722" spans="1:5" x14ac:dyDescent="0.25">
      <c r="A1722" s="279">
        <v>39024</v>
      </c>
      <c r="B1722" t="s">
        <v>339</v>
      </c>
      <c r="C1722" t="s">
        <v>75</v>
      </c>
      <c r="D1722">
        <v>15108</v>
      </c>
      <c r="E1722" t="s">
        <v>378</v>
      </c>
    </row>
    <row r="1723" spans="1:5" x14ac:dyDescent="0.25">
      <c r="A1723" s="279">
        <v>39024</v>
      </c>
      <c r="B1723" t="s">
        <v>339</v>
      </c>
      <c r="C1723" t="s">
        <v>76</v>
      </c>
      <c r="D1723">
        <v>27533</v>
      </c>
      <c r="E1723" t="s">
        <v>380</v>
      </c>
    </row>
    <row r="1724" spans="1:5" x14ac:dyDescent="0.25">
      <c r="A1724" s="279">
        <v>39024</v>
      </c>
      <c r="B1724" t="s">
        <v>339</v>
      </c>
      <c r="C1724" t="s">
        <v>77</v>
      </c>
      <c r="D1724">
        <v>7317</v>
      </c>
      <c r="E1724" t="s">
        <v>378</v>
      </c>
    </row>
    <row r="1725" spans="1:5" x14ac:dyDescent="0.25">
      <c r="A1725" s="279">
        <v>39024</v>
      </c>
      <c r="B1725" t="s">
        <v>339</v>
      </c>
      <c r="C1725" t="s">
        <v>78</v>
      </c>
      <c r="D1725">
        <v>14108</v>
      </c>
      <c r="E1725" t="s">
        <v>380</v>
      </c>
    </row>
    <row r="1726" spans="1:5" x14ac:dyDescent="0.25">
      <c r="A1726" s="279">
        <v>39024</v>
      </c>
      <c r="B1726" t="s">
        <v>339</v>
      </c>
      <c r="C1726" t="s">
        <v>79</v>
      </c>
      <c r="D1726">
        <v>117044</v>
      </c>
      <c r="E1726" t="s">
        <v>379</v>
      </c>
    </row>
    <row r="1727" spans="1:5" x14ac:dyDescent="0.25">
      <c r="A1727" s="279">
        <v>39024</v>
      </c>
      <c r="B1727" t="s">
        <v>339</v>
      </c>
      <c r="C1727" t="s">
        <v>70</v>
      </c>
      <c r="D1727">
        <v>0</v>
      </c>
      <c r="E1727" t="s">
        <v>379</v>
      </c>
    </row>
    <row r="1728" spans="1:5" x14ac:dyDescent="0.25">
      <c r="A1728" s="279">
        <v>39024</v>
      </c>
      <c r="B1728" t="s">
        <v>339</v>
      </c>
      <c r="C1728" t="s">
        <v>63</v>
      </c>
      <c r="D1728">
        <v>0</v>
      </c>
      <c r="E1728" t="s">
        <v>378</v>
      </c>
    </row>
    <row r="1729" spans="1:5" x14ac:dyDescent="0.25">
      <c r="A1729" s="279">
        <v>39024</v>
      </c>
      <c r="B1729" t="s">
        <v>339</v>
      </c>
      <c r="C1729" t="s">
        <v>80</v>
      </c>
      <c r="D1729">
        <v>134</v>
      </c>
      <c r="E1729" t="s">
        <v>379</v>
      </c>
    </row>
    <row r="1730" spans="1:5" x14ac:dyDescent="0.25">
      <c r="A1730" s="279">
        <v>39025</v>
      </c>
      <c r="B1730" t="s">
        <v>338</v>
      </c>
      <c r="C1730" t="s">
        <v>59</v>
      </c>
      <c r="D1730">
        <v>0</v>
      </c>
      <c r="E1730" t="s">
        <v>378</v>
      </c>
    </row>
    <row r="1731" spans="1:5" x14ac:dyDescent="0.25">
      <c r="A1731" s="279">
        <v>39025</v>
      </c>
      <c r="B1731" t="s">
        <v>338</v>
      </c>
      <c r="C1731" t="s">
        <v>60</v>
      </c>
      <c r="D1731">
        <v>0</v>
      </c>
      <c r="E1731" t="s">
        <v>379</v>
      </c>
    </row>
    <row r="1732" spans="1:5" x14ac:dyDescent="0.25">
      <c r="A1732" s="279">
        <v>39025</v>
      </c>
      <c r="B1732" t="s">
        <v>338</v>
      </c>
      <c r="C1732" t="s">
        <v>61</v>
      </c>
      <c r="D1732">
        <v>0</v>
      </c>
      <c r="E1732" t="s">
        <v>378</v>
      </c>
    </row>
    <row r="1733" spans="1:5" x14ac:dyDescent="0.25">
      <c r="A1733" s="279">
        <v>39025</v>
      </c>
      <c r="B1733" t="s">
        <v>338</v>
      </c>
      <c r="C1733" t="s">
        <v>62</v>
      </c>
      <c r="D1733">
        <v>0</v>
      </c>
      <c r="E1733" t="s">
        <v>380</v>
      </c>
    </row>
    <row r="1734" spans="1:5" x14ac:dyDescent="0.25">
      <c r="A1734" s="279">
        <v>39025</v>
      </c>
      <c r="B1734" t="s">
        <v>338</v>
      </c>
      <c r="C1734" t="s">
        <v>63</v>
      </c>
      <c r="D1734">
        <v>0</v>
      </c>
      <c r="E1734" t="s">
        <v>378</v>
      </c>
    </row>
    <row r="1735" spans="1:5" x14ac:dyDescent="0.25">
      <c r="A1735" s="279">
        <v>39025</v>
      </c>
      <c r="B1735" t="s">
        <v>338</v>
      </c>
      <c r="C1735" t="s">
        <v>64</v>
      </c>
      <c r="D1735">
        <v>0</v>
      </c>
      <c r="E1735" t="s">
        <v>380</v>
      </c>
    </row>
    <row r="1736" spans="1:5" x14ac:dyDescent="0.25">
      <c r="A1736" s="279">
        <v>39025</v>
      </c>
      <c r="B1736" t="s">
        <v>338</v>
      </c>
      <c r="C1736" t="s">
        <v>65</v>
      </c>
      <c r="D1736">
        <v>0</v>
      </c>
      <c r="E1736" t="s">
        <v>378</v>
      </c>
    </row>
    <row r="1737" spans="1:5" x14ac:dyDescent="0.25">
      <c r="A1737" s="279">
        <v>39025</v>
      </c>
      <c r="B1737" t="s">
        <v>338</v>
      </c>
      <c r="C1737" t="s">
        <v>66</v>
      </c>
      <c r="D1737">
        <v>0</v>
      </c>
      <c r="E1737" t="s">
        <v>380</v>
      </c>
    </row>
    <row r="1738" spans="1:5" x14ac:dyDescent="0.25">
      <c r="A1738" s="279">
        <v>39025</v>
      </c>
      <c r="B1738" t="s">
        <v>338</v>
      </c>
      <c r="C1738" t="s">
        <v>120</v>
      </c>
      <c r="D1738">
        <v>20</v>
      </c>
      <c r="E1738" t="s">
        <v>378</v>
      </c>
    </row>
    <row r="1739" spans="1:5" x14ac:dyDescent="0.25">
      <c r="A1739" s="279">
        <v>39025</v>
      </c>
      <c r="B1739" t="s">
        <v>338</v>
      </c>
      <c r="C1739" t="s">
        <v>121</v>
      </c>
      <c r="D1739">
        <v>0</v>
      </c>
      <c r="E1739" t="s">
        <v>380</v>
      </c>
    </row>
    <row r="1740" spans="1:5" x14ac:dyDescent="0.25">
      <c r="A1740" s="279">
        <v>39025</v>
      </c>
      <c r="B1740" t="s">
        <v>338</v>
      </c>
      <c r="C1740" t="s">
        <v>67</v>
      </c>
      <c r="D1740">
        <v>0</v>
      </c>
      <c r="E1740" t="s">
        <v>378</v>
      </c>
    </row>
    <row r="1741" spans="1:5" x14ac:dyDescent="0.25">
      <c r="A1741" s="279">
        <v>39025</v>
      </c>
      <c r="B1741" t="s">
        <v>338</v>
      </c>
      <c r="C1741" t="s">
        <v>68</v>
      </c>
      <c r="D1741">
        <v>0</v>
      </c>
      <c r="E1741" t="s">
        <v>380</v>
      </c>
    </row>
    <row r="1742" spans="1:5" x14ac:dyDescent="0.25">
      <c r="A1742" s="279">
        <v>39025</v>
      </c>
      <c r="B1742" t="s">
        <v>338</v>
      </c>
      <c r="C1742" t="s">
        <v>69</v>
      </c>
      <c r="D1742">
        <v>34783</v>
      </c>
      <c r="E1742" t="s">
        <v>379</v>
      </c>
    </row>
    <row r="1743" spans="1:5" x14ac:dyDescent="0.25">
      <c r="A1743" s="279">
        <v>39025</v>
      </c>
      <c r="B1743" t="s">
        <v>338</v>
      </c>
      <c r="C1743" t="s">
        <v>70</v>
      </c>
      <c r="D1743">
        <v>0</v>
      </c>
      <c r="E1743" t="s">
        <v>379</v>
      </c>
    </row>
    <row r="1744" spans="1:5" x14ac:dyDescent="0.25">
      <c r="A1744" s="279">
        <v>39025</v>
      </c>
      <c r="B1744" t="s">
        <v>338</v>
      </c>
      <c r="C1744" t="s">
        <v>80</v>
      </c>
      <c r="D1744">
        <v>0</v>
      </c>
      <c r="E1744" t="s">
        <v>379</v>
      </c>
    </row>
    <row r="1745" spans="1:5" x14ac:dyDescent="0.25">
      <c r="A1745" s="279">
        <v>39025</v>
      </c>
      <c r="B1745" t="s">
        <v>339</v>
      </c>
      <c r="C1745" t="s">
        <v>71</v>
      </c>
      <c r="D1745">
        <v>0</v>
      </c>
      <c r="E1745" t="s">
        <v>378</v>
      </c>
    </row>
    <row r="1746" spans="1:5" x14ac:dyDescent="0.25">
      <c r="A1746" s="279">
        <v>39025</v>
      </c>
      <c r="B1746" t="s">
        <v>339</v>
      </c>
      <c r="C1746" t="s">
        <v>72</v>
      </c>
      <c r="D1746">
        <v>0</v>
      </c>
      <c r="E1746" t="s">
        <v>380</v>
      </c>
    </row>
    <row r="1747" spans="1:5" x14ac:dyDescent="0.25">
      <c r="A1747" s="279">
        <v>39025</v>
      </c>
      <c r="B1747" t="s">
        <v>339</v>
      </c>
      <c r="C1747" t="s">
        <v>73</v>
      </c>
      <c r="D1747">
        <v>0</v>
      </c>
      <c r="E1747" t="s">
        <v>378</v>
      </c>
    </row>
    <row r="1748" spans="1:5" x14ac:dyDescent="0.25">
      <c r="A1748" s="279">
        <v>39025</v>
      </c>
      <c r="B1748" t="s">
        <v>339</v>
      </c>
      <c r="C1748" t="s">
        <v>74</v>
      </c>
      <c r="D1748">
        <v>0</v>
      </c>
      <c r="E1748" t="s">
        <v>380</v>
      </c>
    </row>
    <row r="1749" spans="1:5" x14ac:dyDescent="0.25">
      <c r="A1749" s="279">
        <v>39025</v>
      </c>
      <c r="B1749" t="s">
        <v>339</v>
      </c>
      <c r="C1749" t="s">
        <v>75</v>
      </c>
      <c r="D1749">
        <v>15108</v>
      </c>
      <c r="E1749" t="s">
        <v>378</v>
      </c>
    </row>
    <row r="1750" spans="1:5" x14ac:dyDescent="0.25">
      <c r="A1750" s="279">
        <v>39025</v>
      </c>
      <c r="B1750" t="s">
        <v>339</v>
      </c>
      <c r="C1750" t="s">
        <v>76</v>
      </c>
      <c r="D1750">
        <v>14565</v>
      </c>
      <c r="E1750" t="s">
        <v>380</v>
      </c>
    </row>
    <row r="1751" spans="1:5" x14ac:dyDescent="0.25">
      <c r="A1751" s="279">
        <v>39025</v>
      </c>
      <c r="B1751" t="s">
        <v>339</v>
      </c>
      <c r="C1751" t="s">
        <v>77</v>
      </c>
      <c r="D1751">
        <v>7317</v>
      </c>
      <c r="E1751" t="s">
        <v>378</v>
      </c>
    </row>
    <row r="1752" spans="1:5" x14ac:dyDescent="0.25">
      <c r="A1752" s="279">
        <v>39025</v>
      </c>
      <c r="B1752" t="s">
        <v>339</v>
      </c>
      <c r="C1752" t="s">
        <v>78</v>
      </c>
      <c r="D1752">
        <v>10986</v>
      </c>
      <c r="E1752" t="s">
        <v>380</v>
      </c>
    </row>
    <row r="1753" spans="1:5" x14ac:dyDescent="0.25">
      <c r="A1753" s="279">
        <v>39025</v>
      </c>
      <c r="B1753" t="s">
        <v>339</v>
      </c>
      <c r="C1753" t="s">
        <v>79</v>
      </c>
      <c r="D1753">
        <v>126629</v>
      </c>
      <c r="E1753" t="s">
        <v>379</v>
      </c>
    </row>
    <row r="1754" spans="1:5" x14ac:dyDescent="0.25">
      <c r="A1754" s="279">
        <v>39025</v>
      </c>
      <c r="B1754" t="s">
        <v>339</v>
      </c>
      <c r="C1754" t="s">
        <v>70</v>
      </c>
      <c r="D1754">
        <v>0</v>
      </c>
      <c r="E1754" t="s">
        <v>379</v>
      </c>
    </row>
    <row r="1755" spans="1:5" x14ac:dyDescent="0.25">
      <c r="A1755" s="279">
        <v>39025</v>
      </c>
      <c r="B1755" t="s">
        <v>339</v>
      </c>
      <c r="C1755" t="s">
        <v>63</v>
      </c>
      <c r="D1755">
        <v>0</v>
      </c>
      <c r="E1755" t="s">
        <v>378</v>
      </c>
    </row>
    <row r="1756" spans="1:5" x14ac:dyDescent="0.25">
      <c r="A1756" s="279">
        <v>39025</v>
      </c>
      <c r="B1756" t="s">
        <v>339</v>
      </c>
      <c r="C1756" t="s">
        <v>80</v>
      </c>
      <c r="D1756">
        <v>134</v>
      </c>
      <c r="E1756" t="s">
        <v>379</v>
      </c>
    </row>
    <row r="1757" spans="1:5" x14ac:dyDescent="0.25">
      <c r="A1757" s="279">
        <v>39026</v>
      </c>
      <c r="B1757" t="s">
        <v>338</v>
      </c>
      <c r="C1757" t="s">
        <v>59</v>
      </c>
      <c r="D1757">
        <v>0</v>
      </c>
      <c r="E1757" t="s">
        <v>378</v>
      </c>
    </row>
    <row r="1758" spans="1:5" x14ac:dyDescent="0.25">
      <c r="A1758" s="279">
        <v>39026</v>
      </c>
      <c r="B1758" t="s">
        <v>338</v>
      </c>
      <c r="C1758" t="s">
        <v>60</v>
      </c>
      <c r="D1758">
        <v>0</v>
      </c>
      <c r="E1758" t="s">
        <v>379</v>
      </c>
    </row>
    <row r="1759" spans="1:5" x14ac:dyDescent="0.25">
      <c r="A1759" s="279">
        <v>39026</v>
      </c>
      <c r="B1759" t="s">
        <v>338</v>
      </c>
      <c r="C1759" t="s">
        <v>61</v>
      </c>
      <c r="D1759">
        <v>0</v>
      </c>
      <c r="E1759" t="s">
        <v>378</v>
      </c>
    </row>
    <row r="1760" spans="1:5" x14ac:dyDescent="0.25">
      <c r="A1760" s="279">
        <v>39026</v>
      </c>
      <c r="B1760" t="s">
        <v>338</v>
      </c>
      <c r="C1760" t="s">
        <v>62</v>
      </c>
      <c r="D1760">
        <v>0</v>
      </c>
      <c r="E1760" t="s">
        <v>380</v>
      </c>
    </row>
    <row r="1761" spans="1:5" x14ac:dyDescent="0.25">
      <c r="A1761" s="279">
        <v>39026</v>
      </c>
      <c r="B1761" t="s">
        <v>338</v>
      </c>
      <c r="C1761" t="s">
        <v>63</v>
      </c>
      <c r="D1761">
        <v>0</v>
      </c>
      <c r="E1761" t="s">
        <v>378</v>
      </c>
    </row>
    <row r="1762" spans="1:5" x14ac:dyDescent="0.25">
      <c r="A1762" s="279">
        <v>39026</v>
      </c>
      <c r="B1762" t="s">
        <v>338</v>
      </c>
      <c r="C1762" t="s">
        <v>64</v>
      </c>
      <c r="D1762">
        <v>0</v>
      </c>
      <c r="E1762" t="s">
        <v>380</v>
      </c>
    </row>
    <row r="1763" spans="1:5" x14ac:dyDescent="0.25">
      <c r="A1763" s="279">
        <v>39026</v>
      </c>
      <c r="B1763" t="s">
        <v>338</v>
      </c>
      <c r="C1763" t="s">
        <v>65</v>
      </c>
      <c r="D1763">
        <v>0</v>
      </c>
      <c r="E1763" t="s">
        <v>378</v>
      </c>
    </row>
    <row r="1764" spans="1:5" x14ac:dyDescent="0.25">
      <c r="A1764" s="279">
        <v>39026</v>
      </c>
      <c r="B1764" t="s">
        <v>338</v>
      </c>
      <c r="C1764" t="s">
        <v>66</v>
      </c>
      <c r="D1764">
        <v>0</v>
      </c>
      <c r="E1764" t="s">
        <v>380</v>
      </c>
    </row>
    <row r="1765" spans="1:5" x14ac:dyDescent="0.25">
      <c r="A1765" s="279">
        <v>39026</v>
      </c>
      <c r="B1765" t="s">
        <v>338</v>
      </c>
      <c r="C1765" t="s">
        <v>120</v>
      </c>
      <c r="D1765">
        <v>4642</v>
      </c>
      <c r="E1765" t="s">
        <v>378</v>
      </c>
    </row>
    <row r="1766" spans="1:5" x14ac:dyDescent="0.25">
      <c r="A1766" s="279">
        <v>39026</v>
      </c>
      <c r="B1766" t="s">
        <v>338</v>
      </c>
      <c r="C1766" t="s">
        <v>121</v>
      </c>
      <c r="D1766">
        <v>0</v>
      </c>
      <c r="E1766" t="s">
        <v>380</v>
      </c>
    </row>
    <row r="1767" spans="1:5" x14ac:dyDescent="0.25">
      <c r="A1767" s="279">
        <v>39026</v>
      </c>
      <c r="B1767" t="s">
        <v>338</v>
      </c>
      <c r="C1767" t="s">
        <v>67</v>
      </c>
      <c r="D1767">
        <v>0</v>
      </c>
      <c r="E1767" t="s">
        <v>378</v>
      </c>
    </row>
    <row r="1768" spans="1:5" x14ac:dyDescent="0.25">
      <c r="A1768" s="279">
        <v>39026</v>
      </c>
      <c r="B1768" t="s">
        <v>338</v>
      </c>
      <c r="C1768" t="s">
        <v>68</v>
      </c>
      <c r="D1768">
        <v>0</v>
      </c>
      <c r="E1768" t="s">
        <v>380</v>
      </c>
    </row>
    <row r="1769" spans="1:5" x14ac:dyDescent="0.25">
      <c r="A1769" s="279">
        <v>39026</v>
      </c>
      <c r="B1769" t="s">
        <v>338</v>
      </c>
      <c r="C1769" t="s">
        <v>69</v>
      </c>
      <c r="D1769">
        <v>34816</v>
      </c>
      <c r="E1769" t="s">
        <v>379</v>
      </c>
    </row>
    <row r="1770" spans="1:5" x14ac:dyDescent="0.25">
      <c r="A1770" s="279">
        <v>39026</v>
      </c>
      <c r="B1770" t="s">
        <v>338</v>
      </c>
      <c r="C1770" t="s">
        <v>70</v>
      </c>
      <c r="D1770">
        <v>0</v>
      </c>
      <c r="E1770" t="s">
        <v>379</v>
      </c>
    </row>
    <row r="1771" spans="1:5" x14ac:dyDescent="0.25">
      <c r="A1771" s="279">
        <v>39026</v>
      </c>
      <c r="B1771" t="s">
        <v>338</v>
      </c>
      <c r="C1771" t="s">
        <v>80</v>
      </c>
      <c r="D1771">
        <v>40</v>
      </c>
      <c r="E1771" t="s">
        <v>379</v>
      </c>
    </row>
    <row r="1772" spans="1:5" x14ac:dyDescent="0.25">
      <c r="A1772" s="279">
        <v>39026</v>
      </c>
      <c r="B1772" t="s">
        <v>339</v>
      </c>
      <c r="C1772" t="s">
        <v>71</v>
      </c>
      <c r="D1772">
        <v>1840</v>
      </c>
      <c r="E1772" t="s">
        <v>378</v>
      </c>
    </row>
    <row r="1773" spans="1:5" x14ac:dyDescent="0.25">
      <c r="A1773" s="279">
        <v>39026</v>
      </c>
      <c r="B1773" t="s">
        <v>339</v>
      </c>
      <c r="C1773" t="s">
        <v>72</v>
      </c>
      <c r="D1773">
        <v>0</v>
      </c>
      <c r="E1773" t="s">
        <v>380</v>
      </c>
    </row>
    <row r="1774" spans="1:5" x14ac:dyDescent="0.25">
      <c r="A1774" s="279">
        <v>39026</v>
      </c>
      <c r="B1774" t="s">
        <v>339</v>
      </c>
      <c r="C1774" t="s">
        <v>73</v>
      </c>
      <c r="D1774">
        <v>724</v>
      </c>
      <c r="E1774" t="s">
        <v>378</v>
      </c>
    </row>
    <row r="1775" spans="1:5" x14ac:dyDescent="0.25">
      <c r="A1775" s="279">
        <v>39026</v>
      </c>
      <c r="B1775" t="s">
        <v>339</v>
      </c>
      <c r="C1775" t="s">
        <v>74</v>
      </c>
      <c r="D1775">
        <v>0</v>
      </c>
      <c r="E1775" t="s">
        <v>380</v>
      </c>
    </row>
    <row r="1776" spans="1:5" x14ac:dyDescent="0.25">
      <c r="A1776" s="279">
        <v>39026</v>
      </c>
      <c r="B1776" t="s">
        <v>339</v>
      </c>
      <c r="C1776" t="s">
        <v>75</v>
      </c>
      <c r="D1776">
        <v>15094</v>
      </c>
      <c r="E1776" t="s">
        <v>378</v>
      </c>
    </row>
    <row r="1777" spans="1:5" x14ac:dyDescent="0.25">
      <c r="A1777" s="279">
        <v>39026</v>
      </c>
      <c r="B1777" t="s">
        <v>339</v>
      </c>
      <c r="C1777" t="s">
        <v>76</v>
      </c>
      <c r="D1777">
        <v>14550</v>
      </c>
      <c r="E1777" t="s">
        <v>380</v>
      </c>
    </row>
    <row r="1778" spans="1:5" x14ac:dyDescent="0.25">
      <c r="A1778" s="279">
        <v>39026</v>
      </c>
      <c r="B1778" t="s">
        <v>339</v>
      </c>
      <c r="C1778" t="s">
        <v>77</v>
      </c>
      <c r="D1778">
        <v>7310</v>
      </c>
      <c r="E1778" t="s">
        <v>378</v>
      </c>
    </row>
    <row r="1779" spans="1:5" x14ac:dyDescent="0.25">
      <c r="A1779" s="279">
        <v>39026</v>
      </c>
      <c r="B1779" t="s">
        <v>339</v>
      </c>
      <c r="C1779" t="s">
        <v>78</v>
      </c>
      <c r="D1779">
        <v>7042</v>
      </c>
      <c r="E1779" t="s">
        <v>380</v>
      </c>
    </row>
    <row r="1780" spans="1:5" x14ac:dyDescent="0.25">
      <c r="A1780" s="279">
        <v>39026</v>
      </c>
      <c r="B1780" t="s">
        <v>339</v>
      </c>
      <c r="C1780" t="s">
        <v>79</v>
      </c>
      <c r="D1780">
        <v>126282</v>
      </c>
      <c r="E1780" t="s">
        <v>379</v>
      </c>
    </row>
    <row r="1781" spans="1:5" x14ac:dyDescent="0.25">
      <c r="A1781" s="279">
        <v>39026</v>
      </c>
      <c r="B1781" t="s">
        <v>339</v>
      </c>
      <c r="C1781" t="s">
        <v>70</v>
      </c>
      <c r="D1781">
        <v>0</v>
      </c>
      <c r="E1781" t="s">
        <v>379</v>
      </c>
    </row>
    <row r="1782" spans="1:5" x14ac:dyDescent="0.25">
      <c r="A1782" s="279">
        <v>39026</v>
      </c>
      <c r="B1782" t="s">
        <v>339</v>
      </c>
      <c r="C1782" t="s">
        <v>63</v>
      </c>
      <c r="D1782">
        <v>0</v>
      </c>
      <c r="E1782" t="s">
        <v>378</v>
      </c>
    </row>
    <row r="1783" spans="1:5" x14ac:dyDescent="0.25">
      <c r="A1783" s="279">
        <v>39026</v>
      </c>
      <c r="B1783" t="s">
        <v>339</v>
      </c>
      <c r="C1783" t="s">
        <v>80</v>
      </c>
      <c r="D1783">
        <v>178</v>
      </c>
      <c r="E1783" t="s">
        <v>379</v>
      </c>
    </row>
    <row r="1784" spans="1:5" x14ac:dyDescent="0.25">
      <c r="A1784" s="279">
        <v>39027</v>
      </c>
      <c r="B1784" t="s">
        <v>338</v>
      </c>
      <c r="C1784" t="s">
        <v>59</v>
      </c>
      <c r="D1784">
        <v>0</v>
      </c>
      <c r="E1784" t="s">
        <v>378</v>
      </c>
    </row>
    <row r="1785" spans="1:5" x14ac:dyDescent="0.25">
      <c r="A1785" s="279">
        <v>39027</v>
      </c>
      <c r="B1785" t="s">
        <v>338</v>
      </c>
      <c r="C1785" t="s">
        <v>60</v>
      </c>
      <c r="D1785">
        <v>0</v>
      </c>
      <c r="E1785" t="s">
        <v>379</v>
      </c>
    </row>
    <row r="1786" spans="1:5" x14ac:dyDescent="0.25">
      <c r="A1786" s="279">
        <v>39027</v>
      </c>
      <c r="B1786" t="s">
        <v>338</v>
      </c>
      <c r="C1786" t="s">
        <v>61</v>
      </c>
      <c r="D1786">
        <v>12740</v>
      </c>
      <c r="E1786" t="s">
        <v>378</v>
      </c>
    </row>
    <row r="1787" spans="1:5" x14ac:dyDescent="0.25">
      <c r="A1787" s="279">
        <v>39027</v>
      </c>
      <c r="B1787" t="s">
        <v>338</v>
      </c>
      <c r="C1787" t="s">
        <v>62</v>
      </c>
      <c r="D1787">
        <v>0</v>
      </c>
      <c r="E1787" t="s">
        <v>380</v>
      </c>
    </row>
    <row r="1788" spans="1:5" x14ac:dyDescent="0.25">
      <c r="A1788" s="279">
        <v>39027</v>
      </c>
      <c r="B1788" t="s">
        <v>338</v>
      </c>
      <c r="C1788" t="s">
        <v>63</v>
      </c>
      <c r="D1788">
        <v>0</v>
      </c>
      <c r="E1788" t="s">
        <v>378</v>
      </c>
    </row>
    <row r="1789" spans="1:5" x14ac:dyDescent="0.25">
      <c r="A1789" s="279">
        <v>39027</v>
      </c>
      <c r="B1789" t="s">
        <v>338</v>
      </c>
      <c r="C1789" t="s">
        <v>64</v>
      </c>
      <c r="D1789">
        <v>0</v>
      </c>
      <c r="E1789" t="s">
        <v>380</v>
      </c>
    </row>
    <row r="1790" spans="1:5" x14ac:dyDescent="0.25">
      <c r="A1790" s="279">
        <v>39027</v>
      </c>
      <c r="B1790" t="s">
        <v>338</v>
      </c>
      <c r="C1790" t="s">
        <v>65</v>
      </c>
      <c r="D1790">
        <v>0</v>
      </c>
      <c r="E1790" t="s">
        <v>378</v>
      </c>
    </row>
    <row r="1791" spans="1:5" x14ac:dyDescent="0.25">
      <c r="A1791" s="279">
        <v>39027</v>
      </c>
      <c r="B1791" t="s">
        <v>338</v>
      </c>
      <c r="C1791" t="s">
        <v>66</v>
      </c>
      <c r="D1791">
        <v>0</v>
      </c>
      <c r="E1791" t="s">
        <v>380</v>
      </c>
    </row>
    <row r="1792" spans="1:5" x14ac:dyDescent="0.25">
      <c r="A1792" s="279">
        <v>39027</v>
      </c>
      <c r="B1792" t="s">
        <v>338</v>
      </c>
      <c r="C1792" t="s">
        <v>120</v>
      </c>
      <c r="D1792">
        <v>12204</v>
      </c>
      <c r="E1792" t="s">
        <v>378</v>
      </c>
    </row>
    <row r="1793" spans="1:5" x14ac:dyDescent="0.25">
      <c r="A1793" s="279">
        <v>39027</v>
      </c>
      <c r="B1793" t="s">
        <v>338</v>
      </c>
      <c r="C1793" t="s">
        <v>121</v>
      </c>
      <c r="D1793">
        <v>0</v>
      </c>
      <c r="E1793" t="s">
        <v>380</v>
      </c>
    </row>
    <row r="1794" spans="1:5" x14ac:dyDescent="0.25">
      <c r="A1794" s="279">
        <v>39027</v>
      </c>
      <c r="B1794" t="s">
        <v>338</v>
      </c>
      <c r="C1794" t="s">
        <v>67</v>
      </c>
      <c r="D1794">
        <v>0</v>
      </c>
      <c r="E1794" t="s">
        <v>378</v>
      </c>
    </row>
    <row r="1795" spans="1:5" x14ac:dyDescent="0.25">
      <c r="A1795" s="279">
        <v>39027</v>
      </c>
      <c r="B1795" t="s">
        <v>338</v>
      </c>
      <c r="C1795" t="s">
        <v>68</v>
      </c>
      <c r="D1795">
        <v>0</v>
      </c>
      <c r="E1795" t="s">
        <v>380</v>
      </c>
    </row>
    <row r="1796" spans="1:5" x14ac:dyDescent="0.25">
      <c r="A1796" s="279">
        <v>39027</v>
      </c>
      <c r="B1796" t="s">
        <v>338</v>
      </c>
      <c r="C1796" t="s">
        <v>69</v>
      </c>
      <c r="D1796">
        <v>34749</v>
      </c>
      <c r="E1796" t="s">
        <v>379</v>
      </c>
    </row>
    <row r="1797" spans="1:5" x14ac:dyDescent="0.25">
      <c r="A1797" s="279">
        <v>39027</v>
      </c>
      <c r="B1797" t="s">
        <v>338</v>
      </c>
      <c r="C1797" t="s">
        <v>70</v>
      </c>
      <c r="D1797">
        <v>0</v>
      </c>
      <c r="E1797" t="s">
        <v>379</v>
      </c>
    </row>
    <row r="1798" spans="1:5" x14ac:dyDescent="0.25">
      <c r="A1798" s="279">
        <v>39027</v>
      </c>
      <c r="B1798" t="s">
        <v>338</v>
      </c>
      <c r="C1798" t="s">
        <v>80</v>
      </c>
      <c r="D1798">
        <v>216</v>
      </c>
      <c r="E1798" t="s">
        <v>379</v>
      </c>
    </row>
    <row r="1799" spans="1:5" x14ac:dyDescent="0.25">
      <c r="A1799" s="279">
        <v>39027</v>
      </c>
      <c r="B1799" t="s">
        <v>339</v>
      </c>
      <c r="C1799" t="s">
        <v>71</v>
      </c>
      <c r="D1799">
        <v>165</v>
      </c>
      <c r="E1799" t="s">
        <v>378</v>
      </c>
    </row>
    <row r="1800" spans="1:5" x14ac:dyDescent="0.25">
      <c r="A1800" s="279">
        <v>39027</v>
      </c>
      <c r="B1800" t="s">
        <v>339</v>
      </c>
      <c r="C1800" t="s">
        <v>72</v>
      </c>
      <c r="D1800">
        <v>0</v>
      </c>
      <c r="E1800" t="s">
        <v>380</v>
      </c>
    </row>
    <row r="1801" spans="1:5" x14ac:dyDescent="0.25">
      <c r="A1801" s="279">
        <v>39027</v>
      </c>
      <c r="B1801" t="s">
        <v>339</v>
      </c>
      <c r="C1801" t="s">
        <v>73</v>
      </c>
      <c r="D1801">
        <v>13553</v>
      </c>
      <c r="E1801" t="s">
        <v>378</v>
      </c>
    </row>
    <row r="1802" spans="1:5" x14ac:dyDescent="0.25">
      <c r="A1802" s="279">
        <v>39027</v>
      </c>
      <c r="B1802" t="s">
        <v>339</v>
      </c>
      <c r="C1802" t="s">
        <v>74</v>
      </c>
      <c r="D1802">
        <v>0</v>
      </c>
      <c r="E1802" t="s">
        <v>380</v>
      </c>
    </row>
    <row r="1803" spans="1:5" x14ac:dyDescent="0.25">
      <c r="A1803" s="279">
        <v>39027</v>
      </c>
      <c r="B1803" t="s">
        <v>339</v>
      </c>
      <c r="C1803" t="s">
        <v>75</v>
      </c>
      <c r="D1803">
        <v>15079</v>
      </c>
      <c r="E1803" t="s">
        <v>378</v>
      </c>
    </row>
    <row r="1804" spans="1:5" x14ac:dyDescent="0.25">
      <c r="A1804" s="279">
        <v>39027</v>
      </c>
      <c r="B1804" t="s">
        <v>339</v>
      </c>
      <c r="C1804" t="s">
        <v>76</v>
      </c>
      <c r="D1804">
        <v>0</v>
      </c>
      <c r="E1804" t="s">
        <v>380</v>
      </c>
    </row>
    <row r="1805" spans="1:5" x14ac:dyDescent="0.25">
      <c r="A1805" s="279">
        <v>39027</v>
      </c>
      <c r="B1805" t="s">
        <v>339</v>
      </c>
      <c r="C1805" t="s">
        <v>77</v>
      </c>
      <c r="D1805">
        <v>7303</v>
      </c>
      <c r="E1805" t="s">
        <v>378</v>
      </c>
    </row>
    <row r="1806" spans="1:5" x14ac:dyDescent="0.25">
      <c r="A1806" s="279">
        <v>39027</v>
      </c>
      <c r="B1806" t="s">
        <v>339</v>
      </c>
      <c r="C1806" t="s">
        <v>78</v>
      </c>
      <c r="D1806">
        <v>4860</v>
      </c>
      <c r="E1806" t="s">
        <v>380</v>
      </c>
    </row>
    <row r="1807" spans="1:5" x14ac:dyDescent="0.25">
      <c r="A1807" s="279">
        <v>39027</v>
      </c>
      <c r="B1807" t="s">
        <v>339</v>
      </c>
      <c r="C1807" t="s">
        <v>79</v>
      </c>
      <c r="D1807">
        <v>126498</v>
      </c>
      <c r="E1807" t="s">
        <v>379</v>
      </c>
    </row>
    <row r="1808" spans="1:5" x14ac:dyDescent="0.25">
      <c r="A1808" s="279">
        <v>39027</v>
      </c>
      <c r="B1808" t="s">
        <v>339</v>
      </c>
      <c r="C1808" t="s">
        <v>70</v>
      </c>
      <c r="D1808">
        <v>0</v>
      </c>
      <c r="E1808" t="s">
        <v>379</v>
      </c>
    </row>
    <row r="1809" spans="1:5" x14ac:dyDescent="0.25">
      <c r="A1809" s="279">
        <v>39027</v>
      </c>
      <c r="B1809" t="s">
        <v>339</v>
      </c>
      <c r="C1809" t="s">
        <v>63</v>
      </c>
      <c r="D1809">
        <v>0</v>
      </c>
      <c r="E1809" t="s">
        <v>378</v>
      </c>
    </row>
    <row r="1810" spans="1:5" x14ac:dyDescent="0.25">
      <c r="A1810" s="279">
        <v>39027</v>
      </c>
      <c r="B1810" t="s">
        <v>339</v>
      </c>
      <c r="C1810" t="s">
        <v>80</v>
      </c>
      <c r="D1810">
        <v>652</v>
      </c>
      <c r="E1810" t="s">
        <v>379</v>
      </c>
    </row>
    <row r="1811" spans="1:5" x14ac:dyDescent="0.25">
      <c r="A1811" s="279">
        <v>39028</v>
      </c>
      <c r="B1811" t="s">
        <v>338</v>
      </c>
      <c r="C1811" t="s">
        <v>59</v>
      </c>
      <c r="D1811">
        <v>0</v>
      </c>
      <c r="E1811" t="s">
        <v>378</v>
      </c>
    </row>
    <row r="1812" spans="1:5" x14ac:dyDescent="0.25">
      <c r="A1812" s="279">
        <v>39028</v>
      </c>
      <c r="B1812" t="s">
        <v>338</v>
      </c>
      <c r="C1812" t="s">
        <v>60</v>
      </c>
      <c r="D1812">
        <v>0</v>
      </c>
      <c r="E1812" t="s">
        <v>379</v>
      </c>
    </row>
    <row r="1813" spans="1:5" x14ac:dyDescent="0.25">
      <c r="A1813" s="279">
        <v>39028</v>
      </c>
      <c r="B1813" t="s">
        <v>338</v>
      </c>
      <c r="C1813" t="s">
        <v>61</v>
      </c>
      <c r="D1813">
        <v>17616</v>
      </c>
      <c r="E1813" t="s">
        <v>378</v>
      </c>
    </row>
    <row r="1814" spans="1:5" x14ac:dyDescent="0.25">
      <c r="A1814" s="279">
        <v>39028</v>
      </c>
      <c r="B1814" t="s">
        <v>338</v>
      </c>
      <c r="C1814" t="s">
        <v>62</v>
      </c>
      <c r="D1814">
        <v>0</v>
      </c>
      <c r="E1814" t="s">
        <v>380</v>
      </c>
    </row>
    <row r="1815" spans="1:5" x14ac:dyDescent="0.25">
      <c r="A1815" s="279">
        <v>39028</v>
      </c>
      <c r="B1815" t="s">
        <v>338</v>
      </c>
      <c r="C1815" t="s">
        <v>63</v>
      </c>
      <c r="D1815">
        <v>0</v>
      </c>
      <c r="E1815" t="s">
        <v>378</v>
      </c>
    </row>
    <row r="1816" spans="1:5" x14ac:dyDescent="0.25">
      <c r="A1816" s="279">
        <v>39028</v>
      </c>
      <c r="B1816" t="s">
        <v>338</v>
      </c>
      <c r="C1816" t="s">
        <v>64</v>
      </c>
      <c r="D1816">
        <v>0</v>
      </c>
      <c r="E1816" t="s">
        <v>380</v>
      </c>
    </row>
    <row r="1817" spans="1:5" x14ac:dyDescent="0.25">
      <c r="A1817" s="279">
        <v>39028</v>
      </c>
      <c r="B1817" t="s">
        <v>338</v>
      </c>
      <c r="C1817" t="s">
        <v>65</v>
      </c>
      <c r="D1817">
        <v>0</v>
      </c>
      <c r="E1817" t="s">
        <v>378</v>
      </c>
    </row>
    <row r="1818" spans="1:5" x14ac:dyDescent="0.25">
      <c r="A1818" s="279">
        <v>39028</v>
      </c>
      <c r="B1818" t="s">
        <v>338</v>
      </c>
      <c r="C1818" t="s">
        <v>66</v>
      </c>
      <c r="D1818">
        <v>0</v>
      </c>
      <c r="E1818" t="s">
        <v>380</v>
      </c>
    </row>
    <row r="1819" spans="1:5" x14ac:dyDescent="0.25">
      <c r="A1819" s="279">
        <v>39028</v>
      </c>
      <c r="B1819" t="s">
        <v>338</v>
      </c>
      <c r="C1819" t="s">
        <v>120</v>
      </c>
      <c r="D1819">
        <v>12180</v>
      </c>
      <c r="E1819" t="s">
        <v>378</v>
      </c>
    </row>
    <row r="1820" spans="1:5" x14ac:dyDescent="0.25">
      <c r="A1820" s="279">
        <v>39028</v>
      </c>
      <c r="B1820" t="s">
        <v>338</v>
      </c>
      <c r="C1820" t="s">
        <v>121</v>
      </c>
      <c r="D1820">
        <v>0</v>
      </c>
      <c r="E1820" t="s">
        <v>380</v>
      </c>
    </row>
    <row r="1821" spans="1:5" x14ac:dyDescent="0.25">
      <c r="A1821" s="279">
        <v>39028</v>
      </c>
      <c r="B1821" t="s">
        <v>338</v>
      </c>
      <c r="C1821" t="s">
        <v>67</v>
      </c>
      <c r="D1821">
        <v>0</v>
      </c>
      <c r="E1821" t="s">
        <v>378</v>
      </c>
    </row>
    <row r="1822" spans="1:5" x14ac:dyDescent="0.25">
      <c r="A1822" s="279">
        <v>39028</v>
      </c>
      <c r="B1822" t="s">
        <v>338</v>
      </c>
      <c r="C1822" t="s">
        <v>68</v>
      </c>
      <c r="D1822">
        <v>0</v>
      </c>
      <c r="E1822" t="s">
        <v>380</v>
      </c>
    </row>
    <row r="1823" spans="1:5" x14ac:dyDescent="0.25">
      <c r="A1823" s="279">
        <v>39028</v>
      </c>
      <c r="B1823" t="s">
        <v>338</v>
      </c>
      <c r="C1823" t="s">
        <v>69</v>
      </c>
      <c r="D1823">
        <v>34682</v>
      </c>
      <c r="E1823" t="s">
        <v>379</v>
      </c>
    </row>
    <row r="1824" spans="1:5" x14ac:dyDescent="0.25">
      <c r="A1824" s="279">
        <v>39028</v>
      </c>
      <c r="B1824" t="s">
        <v>338</v>
      </c>
      <c r="C1824" t="s">
        <v>70</v>
      </c>
      <c r="D1824">
        <v>0</v>
      </c>
      <c r="E1824" t="s">
        <v>379</v>
      </c>
    </row>
    <row r="1825" spans="1:5" x14ac:dyDescent="0.25">
      <c r="A1825" s="279">
        <v>39028</v>
      </c>
      <c r="B1825" t="s">
        <v>338</v>
      </c>
      <c r="C1825" t="s">
        <v>80</v>
      </c>
      <c r="D1825">
        <v>258</v>
      </c>
      <c r="E1825" t="s">
        <v>379</v>
      </c>
    </row>
    <row r="1826" spans="1:5" x14ac:dyDescent="0.25">
      <c r="A1826" s="279">
        <v>39028</v>
      </c>
      <c r="B1826" t="s">
        <v>339</v>
      </c>
      <c r="C1826" t="s">
        <v>71</v>
      </c>
      <c r="D1826">
        <v>0</v>
      </c>
      <c r="E1826" t="s">
        <v>378</v>
      </c>
    </row>
    <row r="1827" spans="1:5" x14ac:dyDescent="0.25">
      <c r="A1827" s="279">
        <v>39028</v>
      </c>
      <c r="B1827" t="s">
        <v>339</v>
      </c>
      <c r="C1827" t="s">
        <v>72</v>
      </c>
      <c r="D1827">
        <v>0</v>
      </c>
      <c r="E1827" t="s">
        <v>380</v>
      </c>
    </row>
    <row r="1828" spans="1:5" x14ac:dyDescent="0.25">
      <c r="A1828" s="279">
        <v>39028</v>
      </c>
      <c r="B1828" t="s">
        <v>339</v>
      </c>
      <c r="C1828" t="s">
        <v>73</v>
      </c>
      <c r="D1828">
        <v>18367</v>
      </c>
      <c r="E1828" t="s">
        <v>378</v>
      </c>
    </row>
    <row r="1829" spans="1:5" x14ac:dyDescent="0.25">
      <c r="A1829" s="279">
        <v>39028</v>
      </c>
      <c r="B1829" t="s">
        <v>339</v>
      </c>
      <c r="C1829" t="s">
        <v>74</v>
      </c>
      <c r="D1829">
        <v>0</v>
      </c>
      <c r="E1829" t="s">
        <v>380</v>
      </c>
    </row>
    <row r="1830" spans="1:5" x14ac:dyDescent="0.25">
      <c r="A1830" s="279">
        <v>39028</v>
      </c>
      <c r="B1830" t="s">
        <v>339</v>
      </c>
      <c r="C1830" t="s">
        <v>75</v>
      </c>
      <c r="D1830">
        <v>15035</v>
      </c>
      <c r="E1830" t="s">
        <v>378</v>
      </c>
    </row>
    <row r="1831" spans="1:5" x14ac:dyDescent="0.25">
      <c r="A1831" s="279">
        <v>39028</v>
      </c>
      <c r="B1831" t="s">
        <v>339</v>
      </c>
      <c r="C1831" t="s">
        <v>76</v>
      </c>
      <c r="D1831">
        <v>0</v>
      </c>
      <c r="E1831" t="s">
        <v>380</v>
      </c>
    </row>
    <row r="1832" spans="1:5" x14ac:dyDescent="0.25">
      <c r="A1832" s="279">
        <v>39028</v>
      </c>
      <c r="B1832" t="s">
        <v>339</v>
      </c>
      <c r="C1832" t="s">
        <v>77</v>
      </c>
      <c r="D1832">
        <v>7282</v>
      </c>
      <c r="E1832" t="s">
        <v>378</v>
      </c>
    </row>
    <row r="1833" spans="1:5" x14ac:dyDescent="0.25">
      <c r="A1833" s="279">
        <v>39028</v>
      </c>
      <c r="B1833" t="s">
        <v>339</v>
      </c>
      <c r="C1833" t="s">
        <v>78</v>
      </c>
      <c r="D1833">
        <v>0</v>
      </c>
      <c r="E1833" t="s">
        <v>380</v>
      </c>
    </row>
    <row r="1834" spans="1:5" x14ac:dyDescent="0.25">
      <c r="A1834" s="279">
        <v>39028</v>
      </c>
      <c r="B1834" t="s">
        <v>339</v>
      </c>
      <c r="C1834" t="s">
        <v>79</v>
      </c>
      <c r="D1834">
        <v>116479</v>
      </c>
      <c r="E1834" t="s">
        <v>379</v>
      </c>
    </row>
    <row r="1835" spans="1:5" x14ac:dyDescent="0.25">
      <c r="A1835" s="279">
        <v>39028</v>
      </c>
      <c r="B1835" t="s">
        <v>339</v>
      </c>
      <c r="C1835" t="s">
        <v>70</v>
      </c>
      <c r="D1835">
        <v>0</v>
      </c>
      <c r="E1835" t="s">
        <v>379</v>
      </c>
    </row>
    <row r="1836" spans="1:5" x14ac:dyDescent="0.25">
      <c r="A1836" s="279">
        <v>39028</v>
      </c>
      <c r="B1836" t="s">
        <v>339</v>
      </c>
      <c r="C1836" t="s">
        <v>63</v>
      </c>
      <c r="D1836">
        <v>0</v>
      </c>
      <c r="E1836" t="s">
        <v>378</v>
      </c>
    </row>
    <row r="1837" spans="1:5" x14ac:dyDescent="0.25">
      <c r="A1837" s="279">
        <v>39028</v>
      </c>
      <c r="B1837" t="s">
        <v>339</v>
      </c>
      <c r="C1837" t="s">
        <v>80</v>
      </c>
      <c r="D1837">
        <v>834</v>
      </c>
      <c r="E1837" t="s">
        <v>379</v>
      </c>
    </row>
    <row r="1838" spans="1:5" x14ac:dyDescent="0.25">
      <c r="A1838" s="279">
        <v>39029</v>
      </c>
      <c r="B1838" t="s">
        <v>338</v>
      </c>
      <c r="C1838" t="s">
        <v>59</v>
      </c>
      <c r="D1838">
        <v>0</v>
      </c>
      <c r="E1838" t="s">
        <v>378</v>
      </c>
    </row>
    <row r="1839" spans="1:5" x14ac:dyDescent="0.25">
      <c r="A1839" s="279">
        <v>39029</v>
      </c>
      <c r="B1839" t="s">
        <v>338</v>
      </c>
      <c r="C1839" t="s">
        <v>60</v>
      </c>
      <c r="D1839">
        <v>0</v>
      </c>
      <c r="E1839" t="s">
        <v>379</v>
      </c>
    </row>
    <row r="1840" spans="1:5" x14ac:dyDescent="0.25">
      <c r="A1840" s="279">
        <v>39029</v>
      </c>
      <c r="B1840" t="s">
        <v>338</v>
      </c>
      <c r="C1840" t="s">
        <v>61</v>
      </c>
      <c r="D1840">
        <v>13069</v>
      </c>
      <c r="E1840" t="s">
        <v>378</v>
      </c>
    </row>
    <row r="1841" spans="1:5" x14ac:dyDescent="0.25">
      <c r="A1841" s="279">
        <v>39029</v>
      </c>
      <c r="B1841" t="s">
        <v>338</v>
      </c>
      <c r="C1841" t="s">
        <v>62</v>
      </c>
      <c r="D1841">
        <v>0</v>
      </c>
      <c r="E1841" t="s">
        <v>380</v>
      </c>
    </row>
    <row r="1842" spans="1:5" x14ac:dyDescent="0.25">
      <c r="A1842" s="279">
        <v>39029</v>
      </c>
      <c r="B1842" t="s">
        <v>338</v>
      </c>
      <c r="C1842" t="s">
        <v>63</v>
      </c>
      <c r="D1842">
        <v>0</v>
      </c>
      <c r="E1842" t="s">
        <v>378</v>
      </c>
    </row>
    <row r="1843" spans="1:5" x14ac:dyDescent="0.25">
      <c r="A1843" s="279">
        <v>39029</v>
      </c>
      <c r="B1843" t="s">
        <v>338</v>
      </c>
      <c r="C1843" t="s">
        <v>64</v>
      </c>
      <c r="D1843">
        <v>0</v>
      </c>
      <c r="E1843" t="s">
        <v>380</v>
      </c>
    </row>
    <row r="1844" spans="1:5" x14ac:dyDescent="0.25">
      <c r="A1844" s="279">
        <v>39029</v>
      </c>
      <c r="B1844" t="s">
        <v>338</v>
      </c>
      <c r="C1844" t="s">
        <v>65</v>
      </c>
      <c r="D1844">
        <v>0</v>
      </c>
      <c r="E1844" t="s">
        <v>378</v>
      </c>
    </row>
    <row r="1845" spans="1:5" x14ac:dyDescent="0.25">
      <c r="A1845" s="279">
        <v>39029</v>
      </c>
      <c r="B1845" t="s">
        <v>338</v>
      </c>
      <c r="C1845" t="s">
        <v>66</v>
      </c>
      <c r="D1845">
        <v>0</v>
      </c>
      <c r="E1845" t="s">
        <v>380</v>
      </c>
    </row>
    <row r="1846" spans="1:5" x14ac:dyDescent="0.25">
      <c r="A1846" s="279">
        <v>39029</v>
      </c>
      <c r="B1846" t="s">
        <v>338</v>
      </c>
      <c r="C1846" t="s">
        <v>120</v>
      </c>
      <c r="D1846">
        <v>11629</v>
      </c>
      <c r="E1846" t="s">
        <v>378</v>
      </c>
    </row>
    <row r="1847" spans="1:5" x14ac:dyDescent="0.25">
      <c r="A1847" s="279">
        <v>39029</v>
      </c>
      <c r="B1847" t="s">
        <v>338</v>
      </c>
      <c r="C1847" t="s">
        <v>121</v>
      </c>
      <c r="D1847">
        <v>0</v>
      </c>
      <c r="E1847" t="s">
        <v>380</v>
      </c>
    </row>
    <row r="1848" spans="1:5" x14ac:dyDescent="0.25">
      <c r="A1848" s="279">
        <v>39029</v>
      </c>
      <c r="B1848" t="s">
        <v>338</v>
      </c>
      <c r="C1848" t="s">
        <v>67</v>
      </c>
      <c r="D1848">
        <v>0</v>
      </c>
      <c r="E1848" t="s">
        <v>378</v>
      </c>
    </row>
    <row r="1849" spans="1:5" x14ac:dyDescent="0.25">
      <c r="A1849" s="279">
        <v>39029</v>
      </c>
      <c r="B1849" t="s">
        <v>338</v>
      </c>
      <c r="C1849" t="s">
        <v>68</v>
      </c>
      <c r="D1849">
        <v>0</v>
      </c>
      <c r="E1849" t="s">
        <v>380</v>
      </c>
    </row>
    <row r="1850" spans="1:5" x14ac:dyDescent="0.25">
      <c r="A1850" s="279">
        <v>39029</v>
      </c>
      <c r="B1850" t="s">
        <v>338</v>
      </c>
      <c r="C1850" t="s">
        <v>69</v>
      </c>
      <c r="D1850">
        <v>34615</v>
      </c>
      <c r="E1850" t="s">
        <v>379</v>
      </c>
    </row>
    <row r="1851" spans="1:5" x14ac:dyDescent="0.25">
      <c r="A1851" s="279">
        <v>39029</v>
      </c>
      <c r="B1851" t="s">
        <v>338</v>
      </c>
      <c r="C1851" t="s">
        <v>70</v>
      </c>
      <c r="D1851">
        <v>0</v>
      </c>
      <c r="E1851" t="s">
        <v>379</v>
      </c>
    </row>
    <row r="1852" spans="1:5" x14ac:dyDescent="0.25">
      <c r="A1852" s="279">
        <v>39029</v>
      </c>
      <c r="B1852" t="s">
        <v>338</v>
      </c>
      <c r="C1852" t="s">
        <v>80</v>
      </c>
      <c r="D1852">
        <v>214</v>
      </c>
      <c r="E1852" t="s">
        <v>379</v>
      </c>
    </row>
    <row r="1853" spans="1:5" x14ac:dyDescent="0.25">
      <c r="A1853" s="279">
        <v>39029</v>
      </c>
      <c r="B1853" t="s">
        <v>339</v>
      </c>
      <c r="C1853" t="s">
        <v>71</v>
      </c>
      <c r="D1853">
        <v>0</v>
      </c>
      <c r="E1853" t="s">
        <v>378</v>
      </c>
    </row>
    <row r="1854" spans="1:5" x14ac:dyDescent="0.25">
      <c r="A1854" s="279">
        <v>39029</v>
      </c>
      <c r="B1854" t="s">
        <v>339</v>
      </c>
      <c r="C1854" t="s">
        <v>72</v>
      </c>
      <c r="D1854">
        <v>0</v>
      </c>
      <c r="E1854" t="s">
        <v>380</v>
      </c>
    </row>
    <row r="1855" spans="1:5" x14ac:dyDescent="0.25">
      <c r="A1855" s="279">
        <v>39029</v>
      </c>
      <c r="B1855" t="s">
        <v>339</v>
      </c>
      <c r="C1855" t="s">
        <v>73</v>
      </c>
      <c r="D1855">
        <v>13553</v>
      </c>
      <c r="E1855" t="s">
        <v>378</v>
      </c>
    </row>
    <row r="1856" spans="1:5" x14ac:dyDescent="0.25">
      <c r="A1856" s="279">
        <v>39029</v>
      </c>
      <c r="B1856" t="s">
        <v>339</v>
      </c>
      <c r="C1856" t="s">
        <v>74</v>
      </c>
      <c r="D1856">
        <v>0</v>
      </c>
      <c r="E1856" t="s">
        <v>380</v>
      </c>
    </row>
    <row r="1857" spans="1:5" x14ac:dyDescent="0.25">
      <c r="A1857" s="279">
        <v>39029</v>
      </c>
      <c r="B1857" t="s">
        <v>339</v>
      </c>
      <c r="C1857" t="s">
        <v>75</v>
      </c>
      <c r="D1857">
        <v>15079</v>
      </c>
      <c r="E1857" t="s">
        <v>378</v>
      </c>
    </row>
    <row r="1858" spans="1:5" x14ac:dyDescent="0.25">
      <c r="A1858" s="279">
        <v>39029</v>
      </c>
      <c r="B1858" t="s">
        <v>339</v>
      </c>
      <c r="C1858" t="s">
        <v>76</v>
      </c>
      <c r="D1858">
        <v>0</v>
      </c>
      <c r="E1858" t="s">
        <v>380</v>
      </c>
    </row>
    <row r="1859" spans="1:5" x14ac:dyDescent="0.25">
      <c r="A1859" s="279">
        <v>39029</v>
      </c>
      <c r="B1859" t="s">
        <v>339</v>
      </c>
      <c r="C1859" t="s">
        <v>77</v>
      </c>
      <c r="D1859">
        <v>15772</v>
      </c>
      <c r="E1859" t="s">
        <v>378</v>
      </c>
    </row>
    <row r="1860" spans="1:5" x14ac:dyDescent="0.25">
      <c r="A1860" s="279">
        <v>39029</v>
      </c>
      <c r="B1860" t="s">
        <v>339</v>
      </c>
      <c r="C1860" t="s">
        <v>78</v>
      </c>
      <c r="D1860">
        <v>3332</v>
      </c>
      <c r="E1860" t="s">
        <v>380</v>
      </c>
    </row>
    <row r="1861" spans="1:5" x14ac:dyDescent="0.25">
      <c r="A1861" s="279">
        <v>39029</v>
      </c>
      <c r="B1861" t="s">
        <v>339</v>
      </c>
      <c r="C1861" t="s">
        <v>79</v>
      </c>
      <c r="D1861">
        <v>99395</v>
      </c>
      <c r="E1861" t="s">
        <v>379</v>
      </c>
    </row>
    <row r="1862" spans="1:5" x14ac:dyDescent="0.25">
      <c r="A1862" s="279">
        <v>39029</v>
      </c>
      <c r="B1862" t="s">
        <v>339</v>
      </c>
      <c r="C1862" t="s">
        <v>70</v>
      </c>
      <c r="D1862">
        <v>0</v>
      </c>
      <c r="E1862" t="s">
        <v>379</v>
      </c>
    </row>
    <row r="1863" spans="1:5" x14ac:dyDescent="0.25">
      <c r="A1863" s="279">
        <v>39029</v>
      </c>
      <c r="B1863" t="s">
        <v>339</v>
      </c>
      <c r="C1863" t="s">
        <v>63</v>
      </c>
      <c r="D1863">
        <v>0</v>
      </c>
      <c r="E1863" t="s">
        <v>378</v>
      </c>
    </row>
    <row r="1864" spans="1:5" x14ac:dyDescent="0.25">
      <c r="A1864" s="279">
        <v>39029</v>
      </c>
      <c r="B1864" t="s">
        <v>339</v>
      </c>
      <c r="C1864" t="s">
        <v>80</v>
      </c>
      <c r="D1864">
        <v>650</v>
      </c>
      <c r="E1864" t="s">
        <v>379</v>
      </c>
    </row>
    <row r="1865" spans="1:5" x14ac:dyDescent="0.25">
      <c r="A1865" s="279">
        <v>39030</v>
      </c>
      <c r="B1865" t="s">
        <v>338</v>
      </c>
      <c r="C1865" t="s">
        <v>59</v>
      </c>
      <c r="D1865">
        <v>0</v>
      </c>
      <c r="E1865" t="s">
        <v>378</v>
      </c>
    </row>
    <row r="1866" spans="1:5" x14ac:dyDescent="0.25">
      <c r="A1866" s="279">
        <v>39030</v>
      </c>
      <c r="B1866" t="s">
        <v>338</v>
      </c>
      <c r="C1866" t="s">
        <v>60</v>
      </c>
      <c r="D1866">
        <v>0</v>
      </c>
      <c r="E1866" t="s">
        <v>379</v>
      </c>
    </row>
    <row r="1867" spans="1:5" x14ac:dyDescent="0.25">
      <c r="A1867" s="279">
        <v>39030</v>
      </c>
      <c r="B1867" t="s">
        <v>338</v>
      </c>
      <c r="C1867" t="s">
        <v>61</v>
      </c>
      <c r="D1867">
        <v>0</v>
      </c>
      <c r="E1867" t="s">
        <v>378</v>
      </c>
    </row>
    <row r="1868" spans="1:5" x14ac:dyDescent="0.25">
      <c r="A1868" s="279">
        <v>39030</v>
      </c>
      <c r="B1868" t="s">
        <v>338</v>
      </c>
      <c r="C1868" t="s">
        <v>62</v>
      </c>
      <c r="D1868">
        <v>0</v>
      </c>
      <c r="E1868" t="s">
        <v>380</v>
      </c>
    </row>
    <row r="1869" spans="1:5" x14ac:dyDescent="0.25">
      <c r="A1869" s="279">
        <v>39030</v>
      </c>
      <c r="B1869" t="s">
        <v>338</v>
      </c>
      <c r="C1869" t="s">
        <v>63</v>
      </c>
      <c r="D1869">
        <v>17592</v>
      </c>
      <c r="E1869" t="s">
        <v>378</v>
      </c>
    </row>
    <row r="1870" spans="1:5" x14ac:dyDescent="0.25">
      <c r="A1870" s="279">
        <v>39030</v>
      </c>
      <c r="B1870" t="s">
        <v>338</v>
      </c>
      <c r="C1870" t="s">
        <v>64</v>
      </c>
      <c r="D1870">
        <v>0</v>
      </c>
      <c r="E1870" t="s">
        <v>380</v>
      </c>
    </row>
    <row r="1871" spans="1:5" x14ac:dyDescent="0.25">
      <c r="A1871" s="279">
        <v>39030</v>
      </c>
      <c r="B1871" t="s">
        <v>338</v>
      </c>
      <c r="C1871" t="s">
        <v>65</v>
      </c>
      <c r="D1871">
        <v>0</v>
      </c>
      <c r="E1871" t="s">
        <v>378</v>
      </c>
    </row>
    <row r="1872" spans="1:5" x14ac:dyDescent="0.25">
      <c r="A1872" s="279">
        <v>39030</v>
      </c>
      <c r="B1872" t="s">
        <v>338</v>
      </c>
      <c r="C1872" t="s">
        <v>66</v>
      </c>
      <c r="D1872">
        <v>0</v>
      </c>
      <c r="E1872" t="s">
        <v>380</v>
      </c>
    </row>
    <row r="1873" spans="1:5" x14ac:dyDescent="0.25">
      <c r="A1873" s="279">
        <v>39030</v>
      </c>
      <c r="B1873" t="s">
        <v>338</v>
      </c>
      <c r="C1873" t="s">
        <v>120</v>
      </c>
      <c r="D1873">
        <v>5791</v>
      </c>
      <c r="E1873" t="s">
        <v>378</v>
      </c>
    </row>
    <row r="1874" spans="1:5" x14ac:dyDescent="0.25">
      <c r="A1874" s="279">
        <v>39030</v>
      </c>
      <c r="B1874" t="s">
        <v>338</v>
      </c>
      <c r="C1874" t="s">
        <v>121</v>
      </c>
      <c r="D1874">
        <v>0</v>
      </c>
      <c r="E1874" t="s">
        <v>380</v>
      </c>
    </row>
    <row r="1875" spans="1:5" x14ac:dyDescent="0.25">
      <c r="A1875" s="279">
        <v>39030</v>
      </c>
      <c r="B1875" t="s">
        <v>338</v>
      </c>
      <c r="C1875" t="s">
        <v>67</v>
      </c>
      <c r="D1875">
        <v>0</v>
      </c>
      <c r="E1875" t="s">
        <v>378</v>
      </c>
    </row>
    <row r="1876" spans="1:5" x14ac:dyDescent="0.25">
      <c r="A1876" s="279">
        <v>39030</v>
      </c>
      <c r="B1876" t="s">
        <v>338</v>
      </c>
      <c r="C1876" t="s">
        <v>68</v>
      </c>
      <c r="D1876">
        <v>0</v>
      </c>
      <c r="E1876" t="s">
        <v>380</v>
      </c>
    </row>
    <row r="1877" spans="1:5" x14ac:dyDescent="0.25">
      <c r="A1877" s="279">
        <v>39030</v>
      </c>
      <c r="B1877" t="s">
        <v>338</v>
      </c>
      <c r="C1877" t="s">
        <v>69</v>
      </c>
      <c r="D1877">
        <v>34582</v>
      </c>
      <c r="E1877" t="s">
        <v>379</v>
      </c>
    </row>
    <row r="1878" spans="1:5" x14ac:dyDescent="0.25">
      <c r="A1878" s="279">
        <v>39030</v>
      </c>
      <c r="B1878" t="s">
        <v>338</v>
      </c>
      <c r="C1878" t="s">
        <v>70</v>
      </c>
      <c r="D1878">
        <v>0</v>
      </c>
      <c r="E1878" t="s">
        <v>379</v>
      </c>
    </row>
    <row r="1879" spans="1:5" x14ac:dyDescent="0.25">
      <c r="A1879" s="279">
        <v>39030</v>
      </c>
      <c r="B1879" t="s">
        <v>338</v>
      </c>
      <c r="C1879" t="s">
        <v>80</v>
      </c>
      <c r="D1879">
        <v>632</v>
      </c>
      <c r="E1879" t="s">
        <v>379</v>
      </c>
    </row>
    <row r="1880" spans="1:5" x14ac:dyDescent="0.25">
      <c r="A1880" s="279">
        <v>39030</v>
      </c>
      <c r="B1880" t="s">
        <v>339</v>
      </c>
      <c r="C1880" t="s">
        <v>71</v>
      </c>
      <c r="D1880">
        <v>0</v>
      </c>
      <c r="E1880" t="s">
        <v>378</v>
      </c>
    </row>
    <row r="1881" spans="1:5" x14ac:dyDescent="0.25">
      <c r="A1881" s="279">
        <v>39030</v>
      </c>
      <c r="B1881" t="s">
        <v>339</v>
      </c>
      <c r="C1881" t="s">
        <v>72</v>
      </c>
      <c r="D1881">
        <v>0</v>
      </c>
      <c r="E1881" t="s">
        <v>380</v>
      </c>
    </row>
    <row r="1882" spans="1:5" x14ac:dyDescent="0.25">
      <c r="A1882" s="279">
        <v>39030</v>
      </c>
      <c r="B1882" t="s">
        <v>339</v>
      </c>
      <c r="C1882" t="s">
        <v>73</v>
      </c>
      <c r="D1882">
        <v>13553</v>
      </c>
      <c r="E1882" t="s">
        <v>378</v>
      </c>
    </row>
    <row r="1883" spans="1:5" x14ac:dyDescent="0.25">
      <c r="A1883" s="279">
        <v>39030</v>
      </c>
      <c r="B1883" t="s">
        <v>339</v>
      </c>
      <c r="C1883" t="s">
        <v>74</v>
      </c>
      <c r="D1883">
        <v>0</v>
      </c>
      <c r="E1883" t="s">
        <v>380</v>
      </c>
    </row>
    <row r="1884" spans="1:5" x14ac:dyDescent="0.25">
      <c r="A1884" s="279">
        <v>39030</v>
      </c>
      <c r="B1884" t="s">
        <v>339</v>
      </c>
      <c r="C1884" t="s">
        <v>75</v>
      </c>
      <c r="D1884">
        <v>15079</v>
      </c>
      <c r="E1884" t="s">
        <v>378</v>
      </c>
    </row>
    <row r="1885" spans="1:5" x14ac:dyDescent="0.25">
      <c r="A1885" s="279">
        <v>39030</v>
      </c>
      <c r="B1885" t="s">
        <v>339</v>
      </c>
      <c r="C1885" t="s">
        <v>76</v>
      </c>
      <c r="D1885">
        <v>0</v>
      </c>
      <c r="E1885" t="s">
        <v>380</v>
      </c>
    </row>
    <row r="1886" spans="1:5" x14ac:dyDescent="0.25">
      <c r="A1886" s="279">
        <v>39030</v>
      </c>
      <c r="B1886" t="s">
        <v>339</v>
      </c>
      <c r="C1886" t="s">
        <v>77</v>
      </c>
      <c r="D1886">
        <v>7303</v>
      </c>
      <c r="E1886" t="s">
        <v>378</v>
      </c>
    </row>
    <row r="1887" spans="1:5" x14ac:dyDescent="0.25">
      <c r="A1887" s="279">
        <v>39030</v>
      </c>
      <c r="B1887" t="s">
        <v>339</v>
      </c>
      <c r="C1887" t="s">
        <v>78</v>
      </c>
      <c r="D1887">
        <v>3552</v>
      </c>
      <c r="E1887" t="s">
        <v>380</v>
      </c>
    </row>
    <row r="1888" spans="1:5" x14ac:dyDescent="0.25">
      <c r="A1888" s="279">
        <v>39030</v>
      </c>
      <c r="B1888" t="s">
        <v>339</v>
      </c>
      <c r="C1888" t="s">
        <v>79</v>
      </c>
      <c r="D1888">
        <v>79859</v>
      </c>
      <c r="E1888" t="s">
        <v>379</v>
      </c>
    </row>
    <row r="1889" spans="1:5" x14ac:dyDescent="0.25">
      <c r="A1889" s="279">
        <v>39030</v>
      </c>
      <c r="B1889" t="s">
        <v>339</v>
      </c>
      <c r="C1889" t="s">
        <v>70</v>
      </c>
      <c r="D1889">
        <v>0</v>
      </c>
      <c r="E1889" t="s">
        <v>379</v>
      </c>
    </row>
    <row r="1890" spans="1:5" x14ac:dyDescent="0.25">
      <c r="A1890" s="279">
        <v>39030</v>
      </c>
      <c r="B1890" t="s">
        <v>339</v>
      </c>
      <c r="C1890" t="s">
        <v>63</v>
      </c>
      <c r="D1890">
        <v>0</v>
      </c>
      <c r="E1890" t="s">
        <v>378</v>
      </c>
    </row>
    <row r="1891" spans="1:5" x14ac:dyDescent="0.25">
      <c r="A1891" s="279">
        <v>39030</v>
      </c>
      <c r="B1891" t="s">
        <v>339</v>
      </c>
      <c r="C1891" t="s">
        <v>80</v>
      </c>
      <c r="D1891">
        <v>650</v>
      </c>
      <c r="E1891" t="s">
        <v>379</v>
      </c>
    </row>
    <row r="1892" spans="1:5" x14ac:dyDescent="0.25">
      <c r="A1892" s="279">
        <v>39031</v>
      </c>
      <c r="B1892" t="s">
        <v>338</v>
      </c>
      <c r="C1892" t="s">
        <v>59</v>
      </c>
      <c r="D1892">
        <v>0</v>
      </c>
      <c r="E1892" t="s">
        <v>378</v>
      </c>
    </row>
    <row r="1893" spans="1:5" x14ac:dyDescent="0.25">
      <c r="A1893" s="279">
        <v>39031</v>
      </c>
      <c r="B1893" t="s">
        <v>338</v>
      </c>
      <c r="C1893" t="s">
        <v>60</v>
      </c>
      <c r="D1893">
        <v>0</v>
      </c>
      <c r="E1893" t="s">
        <v>379</v>
      </c>
    </row>
    <row r="1894" spans="1:5" x14ac:dyDescent="0.25">
      <c r="A1894" s="279">
        <v>39031</v>
      </c>
      <c r="B1894" t="s">
        <v>338</v>
      </c>
      <c r="C1894" t="s">
        <v>61</v>
      </c>
      <c r="D1894">
        <v>0</v>
      </c>
      <c r="E1894" t="s">
        <v>378</v>
      </c>
    </row>
    <row r="1895" spans="1:5" x14ac:dyDescent="0.25">
      <c r="A1895" s="279">
        <v>39031</v>
      </c>
      <c r="B1895" t="s">
        <v>338</v>
      </c>
      <c r="C1895" t="s">
        <v>62</v>
      </c>
      <c r="D1895">
        <v>0</v>
      </c>
      <c r="E1895" t="s">
        <v>380</v>
      </c>
    </row>
    <row r="1896" spans="1:5" x14ac:dyDescent="0.25">
      <c r="A1896" s="279">
        <v>39031</v>
      </c>
      <c r="B1896" t="s">
        <v>338</v>
      </c>
      <c r="C1896" t="s">
        <v>63</v>
      </c>
      <c r="D1896">
        <v>14515</v>
      </c>
      <c r="E1896" t="s">
        <v>378</v>
      </c>
    </row>
    <row r="1897" spans="1:5" x14ac:dyDescent="0.25">
      <c r="A1897" s="279">
        <v>39031</v>
      </c>
      <c r="B1897" t="s">
        <v>338</v>
      </c>
      <c r="C1897" t="s">
        <v>64</v>
      </c>
      <c r="D1897">
        <v>0</v>
      </c>
      <c r="E1897" t="s">
        <v>380</v>
      </c>
    </row>
    <row r="1898" spans="1:5" x14ac:dyDescent="0.25">
      <c r="A1898" s="279">
        <v>39031</v>
      </c>
      <c r="B1898" t="s">
        <v>338</v>
      </c>
      <c r="C1898" t="s">
        <v>65</v>
      </c>
      <c r="D1898">
        <v>0</v>
      </c>
      <c r="E1898" t="s">
        <v>378</v>
      </c>
    </row>
    <row r="1899" spans="1:5" x14ac:dyDescent="0.25">
      <c r="A1899" s="279">
        <v>39031</v>
      </c>
      <c r="B1899" t="s">
        <v>338</v>
      </c>
      <c r="C1899" t="s">
        <v>66</v>
      </c>
      <c r="D1899">
        <v>0</v>
      </c>
      <c r="E1899" t="s">
        <v>380</v>
      </c>
    </row>
    <row r="1900" spans="1:5" x14ac:dyDescent="0.25">
      <c r="A1900" s="279">
        <v>39031</v>
      </c>
      <c r="B1900" t="s">
        <v>338</v>
      </c>
      <c r="C1900" t="s">
        <v>120</v>
      </c>
      <c r="D1900">
        <v>4674</v>
      </c>
      <c r="E1900" t="s">
        <v>378</v>
      </c>
    </row>
    <row r="1901" spans="1:5" x14ac:dyDescent="0.25">
      <c r="A1901" s="279">
        <v>39031</v>
      </c>
      <c r="B1901" t="s">
        <v>338</v>
      </c>
      <c r="C1901" t="s">
        <v>121</v>
      </c>
      <c r="D1901">
        <v>0</v>
      </c>
      <c r="E1901" t="s">
        <v>380</v>
      </c>
    </row>
    <row r="1902" spans="1:5" x14ac:dyDescent="0.25">
      <c r="A1902" s="279">
        <v>39031</v>
      </c>
      <c r="B1902" t="s">
        <v>338</v>
      </c>
      <c r="C1902" t="s">
        <v>67</v>
      </c>
      <c r="D1902">
        <v>0</v>
      </c>
      <c r="E1902" t="s">
        <v>378</v>
      </c>
    </row>
    <row r="1903" spans="1:5" x14ac:dyDescent="0.25">
      <c r="A1903" s="279">
        <v>39031</v>
      </c>
      <c r="B1903" t="s">
        <v>338</v>
      </c>
      <c r="C1903" t="s">
        <v>68</v>
      </c>
      <c r="D1903">
        <v>0</v>
      </c>
      <c r="E1903" t="s">
        <v>380</v>
      </c>
    </row>
    <row r="1904" spans="1:5" x14ac:dyDescent="0.25">
      <c r="A1904" s="279">
        <v>39031</v>
      </c>
      <c r="B1904" t="s">
        <v>338</v>
      </c>
      <c r="C1904" t="s">
        <v>69</v>
      </c>
      <c r="D1904">
        <v>34615</v>
      </c>
      <c r="E1904" t="s">
        <v>379</v>
      </c>
    </row>
    <row r="1905" spans="1:5" x14ac:dyDescent="0.25">
      <c r="A1905" s="279">
        <v>39031</v>
      </c>
      <c r="B1905" t="s">
        <v>338</v>
      </c>
      <c r="C1905" t="s">
        <v>70</v>
      </c>
      <c r="D1905">
        <v>0</v>
      </c>
      <c r="E1905" t="s">
        <v>379</v>
      </c>
    </row>
    <row r="1906" spans="1:5" x14ac:dyDescent="0.25">
      <c r="A1906" s="279">
        <v>39031</v>
      </c>
      <c r="B1906" t="s">
        <v>338</v>
      </c>
      <c r="C1906" t="s">
        <v>80</v>
      </c>
      <c r="D1906">
        <v>520</v>
      </c>
      <c r="E1906" t="s">
        <v>379</v>
      </c>
    </row>
    <row r="1907" spans="1:5" x14ac:dyDescent="0.25">
      <c r="A1907" s="279">
        <v>39031</v>
      </c>
      <c r="B1907" t="s">
        <v>339</v>
      </c>
      <c r="C1907" t="s">
        <v>71</v>
      </c>
      <c r="D1907">
        <v>0</v>
      </c>
      <c r="E1907" t="s">
        <v>378</v>
      </c>
    </row>
    <row r="1908" spans="1:5" x14ac:dyDescent="0.25">
      <c r="A1908" s="279">
        <v>39031</v>
      </c>
      <c r="B1908" t="s">
        <v>339</v>
      </c>
      <c r="C1908" t="s">
        <v>72</v>
      </c>
      <c r="D1908">
        <v>0</v>
      </c>
      <c r="E1908" t="s">
        <v>380</v>
      </c>
    </row>
    <row r="1909" spans="1:5" x14ac:dyDescent="0.25">
      <c r="A1909" s="279">
        <v>39031</v>
      </c>
      <c r="B1909" t="s">
        <v>339</v>
      </c>
      <c r="C1909" t="s">
        <v>73</v>
      </c>
      <c r="D1909">
        <v>12535</v>
      </c>
      <c r="E1909" t="s">
        <v>378</v>
      </c>
    </row>
    <row r="1910" spans="1:5" x14ac:dyDescent="0.25">
      <c r="A1910" s="279">
        <v>39031</v>
      </c>
      <c r="B1910" t="s">
        <v>339</v>
      </c>
      <c r="C1910" t="s">
        <v>74</v>
      </c>
      <c r="D1910">
        <v>0</v>
      </c>
      <c r="E1910" t="s">
        <v>380</v>
      </c>
    </row>
    <row r="1911" spans="1:5" x14ac:dyDescent="0.25">
      <c r="A1911" s="279">
        <v>39031</v>
      </c>
      <c r="B1911" t="s">
        <v>339</v>
      </c>
      <c r="C1911" t="s">
        <v>75</v>
      </c>
      <c r="D1911">
        <v>15065</v>
      </c>
      <c r="E1911" t="s">
        <v>378</v>
      </c>
    </row>
    <row r="1912" spans="1:5" x14ac:dyDescent="0.25">
      <c r="A1912" s="279">
        <v>39031</v>
      </c>
      <c r="B1912" t="s">
        <v>339</v>
      </c>
      <c r="C1912" t="s">
        <v>76</v>
      </c>
      <c r="D1912">
        <v>0</v>
      </c>
      <c r="E1912" t="s">
        <v>380</v>
      </c>
    </row>
    <row r="1913" spans="1:5" x14ac:dyDescent="0.25">
      <c r="A1913" s="279">
        <v>39031</v>
      </c>
      <c r="B1913" t="s">
        <v>339</v>
      </c>
      <c r="C1913" t="s">
        <v>77</v>
      </c>
      <c r="D1913">
        <v>7296</v>
      </c>
      <c r="E1913" t="s">
        <v>378</v>
      </c>
    </row>
    <row r="1914" spans="1:5" x14ac:dyDescent="0.25">
      <c r="A1914" s="279">
        <v>39031</v>
      </c>
      <c r="B1914" t="s">
        <v>339</v>
      </c>
      <c r="C1914" t="s">
        <v>78</v>
      </c>
      <c r="D1914">
        <v>0</v>
      </c>
      <c r="E1914" t="s">
        <v>380</v>
      </c>
    </row>
    <row r="1915" spans="1:5" x14ac:dyDescent="0.25">
      <c r="A1915" s="279">
        <v>39031</v>
      </c>
      <c r="B1915" t="s">
        <v>339</v>
      </c>
      <c r="C1915" t="s">
        <v>79</v>
      </c>
      <c r="D1915">
        <v>79781</v>
      </c>
      <c r="E1915" t="s">
        <v>379</v>
      </c>
    </row>
    <row r="1916" spans="1:5" x14ac:dyDescent="0.25">
      <c r="A1916" s="279">
        <v>39031</v>
      </c>
      <c r="B1916" t="s">
        <v>339</v>
      </c>
      <c r="C1916" t="s">
        <v>70</v>
      </c>
      <c r="D1916">
        <v>0</v>
      </c>
      <c r="E1916" t="s">
        <v>379</v>
      </c>
    </row>
    <row r="1917" spans="1:5" x14ac:dyDescent="0.25">
      <c r="A1917" s="279">
        <v>39031</v>
      </c>
      <c r="B1917" t="s">
        <v>339</v>
      </c>
      <c r="C1917" t="s">
        <v>63</v>
      </c>
      <c r="D1917">
        <v>0</v>
      </c>
      <c r="E1917" t="s">
        <v>378</v>
      </c>
    </row>
    <row r="1918" spans="1:5" x14ac:dyDescent="0.25">
      <c r="A1918" s="279">
        <v>39031</v>
      </c>
      <c r="B1918" t="s">
        <v>339</v>
      </c>
      <c r="C1918" t="s">
        <v>80</v>
      </c>
      <c r="D1918">
        <v>612</v>
      </c>
      <c r="E1918" t="s">
        <v>379</v>
      </c>
    </row>
    <row r="1919" spans="1:5" x14ac:dyDescent="0.25">
      <c r="A1919" s="279">
        <v>39032</v>
      </c>
      <c r="B1919" t="s">
        <v>338</v>
      </c>
      <c r="C1919" t="s">
        <v>59</v>
      </c>
      <c r="D1919">
        <v>0</v>
      </c>
      <c r="E1919" t="s">
        <v>378</v>
      </c>
    </row>
    <row r="1920" spans="1:5" x14ac:dyDescent="0.25">
      <c r="A1920" s="279">
        <v>39032</v>
      </c>
      <c r="B1920" t="s">
        <v>338</v>
      </c>
      <c r="C1920" t="s">
        <v>60</v>
      </c>
      <c r="D1920">
        <v>0</v>
      </c>
      <c r="E1920" t="s">
        <v>379</v>
      </c>
    </row>
    <row r="1921" spans="1:5" x14ac:dyDescent="0.25">
      <c r="A1921" s="279">
        <v>39032</v>
      </c>
      <c r="B1921" t="s">
        <v>338</v>
      </c>
      <c r="C1921" t="s">
        <v>61</v>
      </c>
      <c r="D1921">
        <v>10659</v>
      </c>
      <c r="E1921" t="s">
        <v>378</v>
      </c>
    </row>
    <row r="1922" spans="1:5" x14ac:dyDescent="0.25">
      <c r="A1922" s="279">
        <v>39032</v>
      </c>
      <c r="B1922" t="s">
        <v>338</v>
      </c>
      <c r="C1922" t="s">
        <v>62</v>
      </c>
      <c r="D1922">
        <v>0</v>
      </c>
      <c r="E1922" t="s">
        <v>380</v>
      </c>
    </row>
    <row r="1923" spans="1:5" x14ac:dyDescent="0.25">
      <c r="A1923" s="279">
        <v>39032</v>
      </c>
      <c r="B1923" t="s">
        <v>338</v>
      </c>
      <c r="C1923" t="s">
        <v>63</v>
      </c>
      <c r="D1923">
        <v>14515</v>
      </c>
      <c r="E1923" t="s">
        <v>378</v>
      </c>
    </row>
    <row r="1924" spans="1:5" x14ac:dyDescent="0.25">
      <c r="A1924" s="279">
        <v>39032</v>
      </c>
      <c r="B1924" t="s">
        <v>338</v>
      </c>
      <c r="C1924" t="s">
        <v>64</v>
      </c>
      <c r="D1924">
        <v>0</v>
      </c>
      <c r="E1924" t="s">
        <v>380</v>
      </c>
    </row>
    <row r="1925" spans="1:5" x14ac:dyDescent="0.25">
      <c r="A1925" s="279">
        <v>39032</v>
      </c>
      <c r="B1925" t="s">
        <v>338</v>
      </c>
      <c r="C1925" t="s">
        <v>65</v>
      </c>
      <c r="D1925">
        <v>0</v>
      </c>
      <c r="E1925" t="s">
        <v>378</v>
      </c>
    </row>
    <row r="1926" spans="1:5" x14ac:dyDescent="0.25">
      <c r="A1926" s="279">
        <v>39032</v>
      </c>
      <c r="B1926" t="s">
        <v>338</v>
      </c>
      <c r="C1926" t="s">
        <v>66</v>
      </c>
      <c r="D1926">
        <v>0</v>
      </c>
      <c r="E1926" t="s">
        <v>380</v>
      </c>
    </row>
    <row r="1927" spans="1:5" x14ac:dyDescent="0.25">
      <c r="A1927" s="279">
        <v>39032</v>
      </c>
      <c r="B1927" t="s">
        <v>338</v>
      </c>
      <c r="C1927" t="s">
        <v>120</v>
      </c>
      <c r="D1927">
        <v>12157</v>
      </c>
      <c r="E1927" t="s">
        <v>378</v>
      </c>
    </row>
    <row r="1928" spans="1:5" x14ac:dyDescent="0.25">
      <c r="A1928" s="279">
        <v>39032</v>
      </c>
      <c r="B1928" t="s">
        <v>338</v>
      </c>
      <c r="C1928" t="s">
        <v>121</v>
      </c>
      <c r="D1928">
        <v>0</v>
      </c>
      <c r="E1928" t="s">
        <v>380</v>
      </c>
    </row>
    <row r="1929" spans="1:5" x14ac:dyDescent="0.25">
      <c r="A1929" s="279">
        <v>39032</v>
      </c>
      <c r="B1929" t="s">
        <v>338</v>
      </c>
      <c r="C1929" t="s">
        <v>67</v>
      </c>
      <c r="D1929">
        <v>0</v>
      </c>
      <c r="E1929" t="s">
        <v>378</v>
      </c>
    </row>
    <row r="1930" spans="1:5" x14ac:dyDescent="0.25">
      <c r="A1930" s="279">
        <v>39032</v>
      </c>
      <c r="B1930" t="s">
        <v>338</v>
      </c>
      <c r="C1930" t="s">
        <v>68</v>
      </c>
      <c r="D1930">
        <v>0</v>
      </c>
      <c r="E1930" t="s">
        <v>380</v>
      </c>
    </row>
    <row r="1931" spans="1:5" x14ac:dyDescent="0.25">
      <c r="A1931" s="279">
        <v>39032</v>
      </c>
      <c r="B1931" t="s">
        <v>338</v>
      </c>
      <c r="C1931" t="s">
        <v>69</v>
      </c>
      <c r="D1931">
        <v>34615</v>
      </c>
      <c r="E1931" t="s">
        <v>379</v>
      </c>
    </row>
    <row r="1932" spans="1:5" x14ac:dyDescent="0.25">
      <c r="A1932" s="279">
        <v>39032</v>
      </c>
      <c r="B1932" t="s">
        <v>338</v>
      </c>
      <c r="C1932" t="s">
        <v>70</v>
      </c>
      <c r="D1932">
        <v>0</v>
      </c>
      <c r="E1932" t="s">
        <v>379</v>
      </c>
    </row>
    <row r="1933" spans="1:5" x14ac:dyDescent="0.25">
      <c r="A1933" s="279">
        <v>39032</v>
      </c>
      <c r="B1933" t="s">
        <v>338</v>
      </c>
      <c r="C1933" t="s">
        <v>80</v>
      </c>
      <c r="D1933">
        <v>678</v>
      </c>
      <c r="E1933" t="s">
        <v>379</v>
      </c>
    </row>
    <row r="1934" spans="1:5" x14ac:dyDescent="0.25">
      <c r="A1934" s="279">
        <v>39032</v>
      </c>
      <c r="B1934" t="s">
        <v>339</v>
      </c>
      <c r="C1934" t="s">
        <v>71</v>
      </c>
      <c r="D1934">
        <v>0</v>
      </c>
      <c r="E1934" t="s">
        <v>378</v>
      </c>
    </row>
    <row r="1935" spans="1:5" x14ac:dyDescent="0.25">
      <c r="A1935" s="279">
        <v>39032</v>
      </c>
      <c r="B1935" t="s">
        <v>339</v>
      </c>
      <c r="C1935" t="s">
        <v>72</v>
      </c>
      <c r="D1935">
        <v>0</v>
      </c>
      <c r="E1935" t="s">
        <v>380</v>
      </c>
    </row>
    <row r="1936" spans="1:5" x14ac:dyDescent="0.25">
      <c r="A1936" s="279">
        <v>39032</v>
      </c>
      <c r="B1936" t="s">
        <v>339</v>
      </c>
      <c r="C1936" t="s">
        <v>73</v>
      </c>
      <c r="D1936">
        <v>11618</v>
      </c>
      <c r="E1936" t="s">
        <v>378</v>
      </c>
    </row>
    <row r="1937" spans="1:5" x14ac:dyDescent="0.25">
      <c r="A1937" s="279">
        <v>39032</v>
      </c>
      <c r="B1937" t="s">
        <v>339</v>
      </c>
      <c r="C1937" t="s">
        <v>74</v>
      </c>
      <c r="D1937">
        <v>0</v>
      </c>
      <c r="E1937" t="s">
        <v>380</v>
      </c>
    </row>
    <row r="1938" spans="1:5" x14ac:dyDescent="0.25">
      <c r="A1938" s="279">
        <v>39032</v>
      </c>
      <c r="B1938" t="s">
        <v>339</v>
      </c>
      <c r="C1938" t="s">
        <v>75</v>
      </c>
      <c r="D1938">
        <v>15065</v>
      </c>
      <c r="E1938" t="s">
        <v>378</v>
      </c>
    </row>
    <row r="1939" spans="1:5" x14ac:dyDescent="0.25">
      <c r="A1939" s="279">
        <v>39032</v>
      </c>
      <c r="B1939" t="s">
        <v>339</v>
      </c>
      <c r="C1939" t="s">
        <v>76</v>
      </c>
      <c r="D1939">
        <v>0</v>
      </c>
      <c r="E1939" t="s">
        <v>380</v>
      </c>
    </row>
    <row r="1940" spans="1:5" x14ac:dyDescent="0.25">
      <c r="A1940" s="279">
        <v>39032</v>
      </c>
      <c r="B1940" t="s">
        <v>339</v>
      </c>
      <c r="C1940" t="s">
        <v>77</v>
      </c>
      <c r="D1940">
        <v>7296</v>
      </c>
      <c r="E1940" t="s">
        <v>378</v>
      </c>
    </row>
    <row r="1941" spans="1:5" x14ac:dyDescent="0.25">
      <c r="A1941" s="279">
        <v>39032</v>
      </c>
      <c r="B1941" t="s">
        <v>339</v>
      </c>
      <c r="C1941" t="s">
        <v>78</v>
      </c>
      <c r="D1941">
        <v>0</v>
      </c>
      <c r="E1941" t="s">
        <v>380</v>
      </c>
    </row>
    <row r="1942" spans="1:5" x14ac:dyDescent="0.25">
      <c r="A1942" s="279">
        <v>39032</v>
      </c>
      <c r="B1942" t="s">
        <v>339</v>
      </c>
      <c r="C1942" t="s">
        <v>79</v>
      </c>
      <c r="D1942">
        <v>79781</v>
      </c>
      <c r="E1942" t="s">
        <v>379</v>
      </c>
    </row>
    <row r="1943" spans="1:5" x14ac:dyDescent="0.25">
      <c r="A1943" s="279">
        <v>39032</v>
      </c>
      <c r="B1943" t="s">
        <v>339</v>
      </c>
      <c r="C1943" t="s">
        <v>70</v>
      </c>
      <c r="D1943">
        <v>0</v>
      </c>
      <c r="E1943" t="s">
        <v>379</v>
      </c>
    </row>
    <row r="1944" spans="1:5" x14ac:dyDescent="0.25">
      <c r="A1944" s="279">
        <v>39032</v>
      </c>
      <c r="B1944" t="s">
        <v>339</v>
      </c>
      <c r="C1944" t="s">
        <v>63</v>
      </c>
      <c r="D1944">
        <v>0</v>
      </c>
      <c r="E1944" t="s">
        <v>378</v>
      </c>
    </row>
    <row r="1945" spans="1:5" x14ac:dyDescent="0.25">
      <c r="A1945" s="279">
        <v>39032</v>
      </c>
      <c r="B1945" t="s">
        <v>339</v>
      </c>
      <c r="C1945" t="s">
        <v>80</v>
      </c>
      <c r="D1945">
        <v>577</v>
      </c>
      <c r="E1945" t="s">
        <v>379</v>
      </c>
    </row>
    <row r="1946" spans="1:5" x14ac:dyDescent="0.25">
      <c r="A1946" s="279">
        <v>39033</v>
      </c>
      <c r="B1946" t="s">
        <v>338</v>
      </c>
      <c r="C1946" t="s">
        <v>59</v>
      </c>
      <c r="D1946">
        <v>0</v>
      </c>
      <c r="E1946" t="s">
        <v>378</v>
      </c>
    </row>
    <row r="1947" spans="1:5" x14ac:dyDescent="0.25">
      <c r="A1947" s="279">
        <v>39033</v>
      </c>
      <c r="B1947" t="s">
        <v>338</v>
      </c>
      <c r="C1947" t="s">
        <v>60</v>
      </c>
      <c r="D1947">
        <v>0</v>
      </c>
      <c r="E1947" t="s">
        <v>379</v>
      </c>
    </row>
    <row r="1948" spans="1:5" x14ac:dyDescent="0.25">
      <c r="A1948" s="279">
        <v>39033</v>
      </c>
      <c r="B1948" t="s">
        <v>338</v>
      </c>
      <c r="C1948" t="s">
        <v>61</v>
      </c>
      <c r="D1948">
        <v>0</v>
      </c>
      <c r="E1948" t="s">
        <v>378</v>
      </c>
    </row>
    <row r="1949" spans="1:5" x14ac:dyDescent="0.25">
      <c r="A1949" s="279">
        <v>39033</v>
      </c>
      <c r="B1949" t="s">
        <v>338</v>
      </c>
      <c r="C1949" t="s">
        <v>62</v>
      </c>
      <c r="D1949">
        <v>0</v>
      </c>
      <c r="E1949" t="s">
        <v>380</v>
      </c>
    </row>
    <row r="1950" spans="1:5" x14ac:dyDescent="0.25">
      <c r="A1950" s="279">
        <v>39033</v>
      </c>
      <c r="B1950" t="s">
        <v>338</v>
      </c>
      <c r="C1950" t="s">
        <v>63</v>
      </c>
      <c r="D1950">
        <v>0</v>
      </c>
      <c r="E1950" t="s">
        <v>378</v>
      </c>
    </row>
    <row r="1951" spans="1:5" x14ac:dyDescent="0.25">
      <c r="A1951" s="279">
        <v>39033</v>
      </c>
      <c r="B1951" t="s">
        <v>338</v>
      </c>
      <c r="C1951" t="s">
        <v>64</v>
      </c>
      <c r="D1951">
        <v>0</v>
      </c>
      <c r="E1951" t="s">
        <v>380</v>
      </c>
    </row>
    <row r="1952" spans="1:5" x14ac:dyDescent="0.25">
      <c r="A1952" s="279">
        <v>39033</v>
      </c>
      <c r="B1952" t="s">
        <v>338</v>
      </c>
      <c r="C1952" t="s">
        <v>65</v>
      </c>
      <c r="D1952">
        <v>0</v>
      </c>
      <c r="E1952" t="s">
        <v>378</v>
      </c>
    </row>
    <row r="1953" spans="1:5" x14ac:dyDescent="0.25">
      <c r="A1953" s="279">
        <v>39033</v>
      </c>
      <c r="B1953" t="s">
        <v>338</v>
      </c>
      <c r="C1953" t="s">
        <v>66</v>
      </c>
      <c r="D1953">
        <v>0</v>
      </c>
      <c r="E1953" t="s">
        <v>380</v>
      </c>
    </row>
    <row r="1954" spans="1:5" x14ac:dyDescent="0.25">
      <c r="A1954" s="279">
        <v>39033</v>
      </c>
      <c r="B1954" t="s">
        <v>338</v>
      </c>
      <c r="C1954" t="s">
        <v>120</v>
      </c>
      <c r="D1954">
        <v>7351</v>
      </c>
      <c r="E1954" t="s">
        <v>378</v>
      </c>
    </row>
    <row r="1955" spans="1:5" x14ac:dyDescent="0.25">
      <c r="A1955" s="279">
        <v>39033</v>
      </c>
      <c r="B1955" t="s">
        <v>338</v>
      </c>
      <c r="C1955" t="s">
        <v>121</v>
      </c>
      <c r="D1955">
        <v>0</v>
      </c>
      <c r="E1955" t="s">
        <v>380</v>
      </c>
    </row>
    <row r="1956" spans="1:5" x14ac:dyDescent="0.25">
      <c r="A1956" s="279">
        <v>39033</v>
      </c>
      <c r="B1956" t="s">
        <v>338</v>
      </c>
      <c r="C1956" t="s">
        <v>67</v>
      </c>
      <c r="D1956">
        <v>0</v>
      </c>
      <c r="E1956" t="s">
        <v>378</v>
      </c>
    </row>
    <row r="1957" spans="1:5" x14ac:dyDescent="0.25">
      <c r="A1957" s="279">
        <v>39033</v>
      </c>
      <c r="B1957" t="s">
        <v>338</v>
      </c>
      <c r="C1957" t="s">
        <v>68</v>
      </c>
      <c r="D1957">
        <v>0</v>
      </c>
      <c r="E1957" t="s">
        <v>380</v>
      </c>
    </row>
    <row r="1958" spans="1:5" x14ac:dyDescent="0.25">
      <c r="A1958" s="279">
        <v>39033</v>
      </c>
      <c r="B1958" t="s">
        <v>338</v>
      </c>
      <c r="C1958" t="s">
        <v>69</v>
      </c>
      <c r="D1958">
        <v>34615</v>
      </c>
      <c r="E1958" t="s">
        <v>379</v>
      </c>
    </row>
    <row r="1959" spans="1:5" x14ac:dyDescent="0.25">
      <c r="A1959" s="279">
        <v>39033</v>
      </c>
      <c r="B1959" t="s">
        <v>338</v>
      </c>
      <c r="C1959" t="s">
        <v>70</v>
      </c>
      <c r="D1959">
        <v>0</v>
      </c>
      <c r="E1959" t="s">
        <v>379</v>
      </c>
    </row>
    <row r="1960" spans="1:5" x14ac:dyDescent="0.25">
      <c r="A1960" s="279">
        <v>39033</v>
      </c>
      <c r="B1960" t="s">
        <v>338</v>
      </c>
      <c r="C1960" t="s">
        <v>80</v>
      </c>
      <c r="D1960">
        <v>64</v>
      </c>
      <c r="E1960" t="s">
        <v>379</v>
      </c>
    </row>
    <row r="1961" spans="1:5" x14ac:dyDescent="0.25">
      <c r="A1961" s="279">
        <v>39033</v>
      </c>
      <c r="B1961" t="s">
        <v>339</v>
      </c>
      <c r="C1961" t="s">
        <v>71</v>
      </c>
      <c r="D1961">
        <v>0</v>
      </c>
      <c r="E1961" t="s">
        <v>378</v>
      </c>
    </row>
    <row r="1962" spans="1:5" x14ac:dyDescent="0.25">
      <c r="A1962" s="279">
        <v>39033</v>
      </c>
      <c r="B1962" t="s">
        <v>339</v>
      </c>
      <c r="C1962" t="s">
        <v>72</v>
      </c>
      <c r="D1962">
        <v>0</v>
      </c>
      <c r="E1962" t="s">
        <v>380</v>
      </c>
    </row>
    <row r="1963" spans="1:5" x14ac:dyDescent="0.25">
      <c r="A1963" s="279">
        <v>39033</v>
      </c>
      <c r="B1963" t="s">
        <v>339</v>
      </c>
      <c r="C1963" t="s">
        <v>73</v>
      </c>
      <c r="D1963">
        <v>13057</v>
      </c>
      <c r="E1963" t="s">
        <v>378</v>
      </c>
    </row>
    <row r="1964" spans="1:5" x14ac:dyDescent="0.25">
      <c r="A1964" s="279">
        <v>39033</v>
      </c>
      <c r="B1964" t="s">
        <v>339</v>
      </c>
      <c r="C1964" t="s">
        <v>74</v>
      </c>
      <c r="D1964">
        <v>0</v>
      </c>
      <c r="E1964" t="s">
        <v>380</v>
      </c>
    </row>
    <row r="1965" spans="1:5" x14ac:dyDescent="0.25">
      <c r="A1965" s="279">
        <v>39033</v>
      </c>
      <c r="B1965" t="s">
        <v>339</v>
      </c>
      <c r="C1965" t="s">
        <v>75</v>
      </c>
      <c r="D1965">
        <v>15108</v>
      </c>
      <c r="E1965" t="s">
        <v>378</v>
      </c>
    </row>
    <row r="1966" spans="1:5" x14ac:dyDescent="0.25">
      <c r="A1966" s="279">
        <v>39033</v>
      </c>
      <c r="B1966" t="s">
        <v>339</v>
      </c>
      <c r="C1966" t="s">
        <v>76</v>
      </c>
      <c r="D1966">
        <v>0</v>
      </c>
      <c r="E1966" t="s">
        <v>380</v>
      </c>
    </row>
    <row r="1967" spans="1:5" x14ac:dyDescent="0.25">
      <c r="A1967" s="279">
        <v>39033</v>
      </c>
      <c r="B1967" t="s">
        <v>339</v>
      </c>
      <c r="C1967" t="s">
        <v>77</v>
      </c>
      <c r="D1967">
        <v>7317</v>
      </c>
      <c r="E1967" t="s">
        <v>378</v>
      </c>
    </row>
    <row r="1968" spans="1:5" x14ac:dyDescent="0.25">
      <c r="A1968" s="279">
        <v>39033</v>
      </c>
      <c r="B1968" t="s">
        <v>339</v>
      </c>
      <c r="C1968" t="s">
        <v>78</v>
      </c>
      <c r="D1968">
        <v>0</v>
      </c>
      <c r="E1968" t="s">
        <v>380</v>
      </c>
    </row>
    <row r="1969" spans="1:5" x14ac:dyDescent="0.25">
      <c r="A1969" s="279">
        <v>39033</v>
      </c>
      <c r="B1969" t="s">
        <v>339</v>
      </c>
      <c r="C1969" t="s">
        <v>79</v>
      </c>
      <c r="D1969">
        <v>80014</v>
      </c>
      <c r="E1969" t="s">
        <v>379</v>
      </c>
    </row>
    <row r="1970" spans="1:5" x14ac:dyDescent="0.25">
      <c r="A1970" s="279">
        <v>39033</v>
      </c>
      <c r="B1970" t="s">
        <v>339</v>
      </c>
      <c r="C1970" t="s">
        <v>70</v>
      </c>
      <c r="D1970">
        <v>0</v>
      </c>
      <c r="E1970" t="s">
        <v>379</v>
      </c>
    </row>
    <row r="1971" spans="1:5" x14ac:dyDescent="0.25">
      <c r="A1971" s="279">
        <v>39033</v>
      </c>
      <c r="B1971" t="s">
        <v>339</v>
      </c>
      <c r="C1971" t="s">
        <v>63</v>
      </c>
      <c r="D1971">
        <v>0</v>
      </c>
      <c r="E1971" t="s">
        <v>378</v>
      </c>
    </row>
    <row r="1972" spans="1:5" x14ac:dyDescent="0.25">
      <c r="A1972" s="279">
        <v>39033</v>
      </c>
      <c r="B1972" t="s">
        <v>339</v>
      </c>
      <c r="C1972" t="s">
        <v>80</v>
      </c>
      <c r="D1972">
        <v>632</v>
      </c>
      <c r="E1972" t="s">
        <v>379</v>
      </c>
    </row>
    <row r="1973" spans="1:5" x14ac:dyDescent="0.25">
      <c r="A1973" s="279">
        <v>39034</v>
      </c>
      <c r="B1973" t="s">
        <v>338</v>
      </c>
      <c r="C1973" t="s">
        <v>59</v>
      </c>
      <c r="D1973">
        <v>0</v>
      </c>
      <c r="E1973" t="s">
        <v>378</v>
      </c>
    </row>
    <row r="1974" spans="1:5" x14ac:dyDescent="0.25">
      <c r="A1974" s="279">
        <v>39034</v>
      </c>
      <c r="B1974" t="s">
        <v>338</v>
      </c>
      <c r="C1974" t="s">
        <v>60</v>
      </c>
      <c r="D1974">
        <v>0</v>
      </c>
      <c r="E1974" t="s">
        <v>379</v>
      </c>
    </row>
    <row r="1975" spans="1:5" x14ac:dyDescent="0.25">
      <c r="A1975" s="279">
        <v>39034</v>
      </c>
      <c r="B1975" t="s">
        <v>338</v>
      </c>
      <c r="C1975" t="s">
        <v>61</v>
      </c>
      <c r="D1975">
        <v>0</v>
      </c>
      <c r="E1975" t="s">
        <v>378</v>
      </c>
    </row>
    <row r="1976" spans="1:5" x14ac:dyDescent="0.25">
      <c r="A1976" s="279">
        <v>39034</v>
      </c>
      <c r="B1976" t="s">
        <v>338</v>
      </c>
      <c r="C1976" t="s">
        <v>62</v>
      </c>
      <c r="D1976">
        <v>0</v>
      </c>
      <c r="E1976" t="s">
        <v>380</v>
      </c>
    </row>
    <row r="1977" spans="1:5" x14ac:dyDescent="0.25">
      <c r="A1977" s="279">
        <v>39034</v>
      </c>
      <c r="B1977" t="s">
        <v>338</v>
      </c>
      <c r="C1977" t="s">
        <v>63</v>
      </c>
      <c r="D1977">
        <v>0</v>
      </c>
      <c r="E1977" t="s">
        <v>378</v>
      </c>
    </row>
    <row r="1978" spans="1:5" x14ac:dyDescent="0.25">
      <c r="A1978" s="279">
        <v>39034</v>
      </c>
      <c r="B1978" t="s">
        <v>338</v>
      </c>
      <c r="C1978" t="s">
        <v>64</v>
      </c>
      <c r="D1978">
        <v>0</v>
      </c>
      <c r="E1978" t="s">
        <v>380</v>
      </c>
    </row>
    <row r="1979" spans="1:5" x14ac:dyDescent="0.25">
      <c r="A1979" s="279">
        <v>39034</v>
      </c>
      <c r="B1979" t="s">
        <v>338</v>
      </c>
      <c r="C1979" t="s">
        <v>65</v>
      </c>
      <c r="D1979">
        <v>0</v>
      </c>
      <c r="E1979" t="s">
        <v>378</v>
      </c>
    </row>
    <row r="1980" spans="1:5" x14ac:dyDescent="0.25">
      <c r="A1980" s="279">
        <v>39034</v>
      </c>
      <c r="B1980" t="s">
        <v>338</v>
      </c>
      <c r="C1980" t="s">
        <v>66</v>
      </c>
      <c r="D1980">
        <v>0</v>
      </c>
      <c r="E1980" t="s">
        <v>380</v>
      </c>
    </row>
    <row r="1981" spans="1:5" x14ac:dyDescent="0.25">
      <c r="A1981" s="279">
        <v>39034</v>
      </c>
      <c r="B1981" t="s">
        <v>338</v>
      </c>
      <c r="C1981" t="s">
        <v>120</v>
      </c>
      <c r="D1981">
        <v>9872</v>
      </c>
      <c r="E1981" t="s">
        <v>378</v>
      </c>
    </row>
    <row r="1982" spans="1:5" x14ac:dyDescent="0.25">
      <c r="A1982" s="279">
        <v>39034</v>
      </c>
      <c r="B1982" t="s">
        <v>338</v>
      </c>
      <c r="C1982" t="s">
        <v>121</v>
      </c>
      <c r="D1982">
        <v>0</v>
      </c>
      <c r="E1982" t="s">
        <v>380</v>
      </c>
    </row>
    <row r="1983" spans="1:5" x14ac:dyDescent="0.25">
      <c r="A1983" s="279">
        <v>39034</v>
      </c>
      <c r="B1983" t="s">
        <v>338</v>
      </c>
      <c r="C1983" t="s">
        <v>67</v>
      </c>
      <c r="D1983">
        <v>0</v>
      </c>
      <c r="E1983" t="s">
        <v>378</v>
      </c>
    </row>
    <row r="1984" spans="1:5" x14ac:dyDescent="0.25">
      <c r="A1984" s="279">
        <v>39034</v>
      </c>
      <c r="B1984" t="s">
        <v>338</v>
      </c>
      <c r="C1984" t="s">
        <v>68</v>
      </c>
      <c r="D1984">
        <v>0</v>
      </c>
      <c r="E1984" t="s">
        <v>380</v>
      </c>
    </row>
    <row r="1985" spans="1:5" x14ac:dyDescent="0.25">
      <c r="A1985" s="279">
        <v>39034</v>
      </c>
      <c r="B1985" t="s">
        <v>338</v>
      </c>
      <c r="C1985" t="s">
        <v>69</v>
      </c>
      <c r="D1985">
        <v>34615</v>
      </c>
      <c r="E1985" t="s">
        <v>379</v>
      </c>
    </row>
    <row r="1986" spans="1:5" x14ac:dyDescent="0.25">
      <c r="A1986" s="279">
        <v>39034</v>
      </c>
      <c r="B1986" t="s">
        <v>338</v>
      </c>
      <c r="C1986" t="s">
        <v>70</v>
      </c>
      <c r="D1986">
        <v>0</v>
      </c>
      <c r="E1986" t="s">
        <v>379</v>
      </c>
    </row>
    <row r="1987" spans="1:5" x14ac:dyDescent="0.25">
      <c r="A1987" s="279">
        <v>39034</v>
      </c>
      <c r="B1987" t="s">
        <v>338</v>
      </c>
      <c r="C1987" t="s">
        <v>80</v>
      </c>
      <c r="D1987">
        <v>86</v>
      </c>
      <c r="E1987" t="s">
        <v>379</v>
      </c>
    </row>
    <row r="1988" spans="1:5" x14ac:dyDescent="0.25">
      <c r="A1988" s="279">
        <v>39034</v>
      </c>
      <c r="B1988" t="s">
        <v>339</v>
      </c>
      <c r="C1988" t="s">
        <v>71</v>
      </c>
      <c r="D1988">
        <v>0</v>
      </c>
      <c r="E1988" t="s">
        <v>378</v>
      </c>
    </row>
    <row r="1989" spans="1:5" x14ac:dyDescent="0.25">
      <c r="A1989" s="279">
        <v>39034</v>
      </c>
      <c r="B1989" t="s">
        <v>339</v>
      </c>
      <c r="C1989" t="s">
        <v>72</v>
      </c>
      <c r="D1989">
        <v>0</v>
      </c>
      <c r="E1989" t="s">
        <v>380</v>
      </c>
    </row>
    <row r="1990" spans="1:5" x14ac:dyDescent="0.25">
      <c r="A1990" s="279">
        <v>39034</v>
      </c>
      <c r="B1990" t="s">
        <v>339</v>
      </c>
      <c r="C1990" t="s">
        <v>73</v>
      </c>
      <c r="D1990">
        <v>13170</v>
      </c>
      <c r="E1990" t="s">
        <v>378</v>
      </c>
    </row>
    <row r="1991" spans="1:5" x14ac:dyDescent="0.25">
      <c r="A1991" s="279">
        <v>39034</v>
      </c>
      <c r="B1991" t="s">
        <v>339</v>
      </c>
      <c r="C1991" t="s">
        <v>74</v>
      </c>
      <c r="D1991">
        <v>0</v>
      </c>
      <c r="E1991" t="s">
        <v>380</v>
      </c>
    </row>
    <row r="1992" spans="1:5" x14ac:dyDescent="0.25">
      <c r="A1992" s="279">
        <v>39034</v>
      </c>
      <c r="B1992" t="s">
        <v>339</v>
      </c>
      <c r="C1992" t="s">
        <v>75</v>
      </c>
      <c r="D1992">
        <v>15108</v>
      </c>
      <c r="E1992" t="s">
        <v>378</v>
      </c>
    </row>
    <row r="1993" spans="1:5" x14ac:dyDescent="0.25">
      <c r="A1993" s="279">
        <v>39034</v>
      </c>
      <c r="B1993" t="s">
        <v>339</v>
      </c>
      <c r="C1993" t="s">
        <v>76</v>
      </c>
      <c r="D1993">
        <v>0</v>
      </c>
      <c r="E1993" t="s">
        <v>380</v>
      </c>
    </row>
    <row r="1994" spans="1:5" x14ac:dyDescent="0.25">
      <c r="A1994" s="279">
        <v>39034</v>
      </c>
      <c r="B1994" t="s">
        <v>339</v>
      </c>
      <c r="C1994" t="s">
        <v>77</v>
      </c>
      <c r="D1994">
        <v>7317</v>
      </c>
      <c r="E1994" t="s">
        <v>378</v>
      </c>
    </row>
    <row r="1995" spans="1:5" x14ac:dyDescent="0.25">
      <c r="A1995" s="279">
        <v>39034</v>
      </c>
      <c r="B1995" t="s">
        <v>339</v>
      </c>
      <c r="C1995" t="s">
        <v>78</v>
      </c>
      <c r="D1995">
        <v>0</v>
      </c>
      <c r="E1995" t="s">
        <v>380</v>
      </c>
    </row>
    <row r="1996" spans="1:5" x14ac:dyDescent="0.25">
      <c r="A1996" s="279">
        <v>39034</v>
      </c>
      <c r="B1996" t="s">
        <v>339</v>
      </c>
      <c r="C1996" t="s">
        <v>79</v>
      </c>
      <c r="D1996">
        <v>80014</v>
      </c>
      <c r="E1996" t="s">
        <v>379</v>
      </c>
    </row>
    <row r="1997" spans="1:5" x14ac:dyDescent="0.25">
      <c r="A1997" s="279">
        <v>39034</v>
      </c>
      <c r="B1997" t="s">
        <v>339</v>
      </c>
      <c r="C1997" t="s">
        <v>70</v>
      </c>
      <c r="D1997">
        <v>0</v>
      </c>
      <c r="E1997" t="s">
        <v>379</v>
      </c>
    </row>
    <row r="1998" spans="1:5" x14ac:dyDescent="0.25">
      <c r="A1998" s="279">
        <v>39034</v>
      </c>
      <c r="B1998" t="s">
        <v>339</v>
      </c>
      <c r="C1998" t="s">
        <v>63</v>
      </c>
      <c r="D1998">
        <v>0</v>
      </c>
      <c r="E1998" t="s">
        <v>378</v>
      </c>
    </row>
    <row r="1999" spans="1:5" x14ac:dyDescent="0.25">
      <c r="A1999" s="279">
        <v>39034</v>
      </c>
      <c r="B1999" t="s">
        <v>339</v>
      </c>
      <c r="C1999" t="s">
        <v>80</v>
      </c>
      <c r="D1999">
        <v>636</v>
      </c>
      <c r="E1999" t="s">
        <v>379</v>
      </c>
    </row>
    <row r="2000" spans="1:5" x14ac:dyDescent="0.25">
      <c r="A2000" s="279">
        <v>39035</v>
      </c>
      <c r="B2000" t="s">
        <v>338</v>
      </c>
      <c r="C2000" t="s">
        <v>59</v>
      </c>
      <c r="D2000">
        <v>0</v>
      </c>
      <c r="E2000" t="s">
        <v>378</v>
      </c>
    </row>
    <row r="2001" spans="1:5" x14ac:dyDescent="0.25">
      <c r="A2001" s="279">
        <v>39035</v>
      </c>
      <c r="B2001" t="s">
        <v>338</v>
      </c>
      <c r="C2001" t="s">
        <v>60</v>
      </c>
      <c r="D2001">
        <v>0</v>
      </c>
      <c r="E2001" t="s">
        <v>379</v>
      </c>
    </row>
    <row r="2002" spans="1:5" x14ac:dyDescent="0.25">
      <c r="A2002" s="279">
        <v>39035</v>
      </c>
      <c r="B2002" t="s">
        <v>338</v>
      </c>
      <c r="C2002" t="s">
        <v>61</v>
      </c>
      <c r="D2002">
        <v>0</v>
      </c>
      <c r="E2002" t="s">
        <v>378</v>
      </c>
    </row>
    <row r="2003" spans="1:5" x14ac:dyDescent="0.25">
      <c r="A2003" s="279">
        <v>39035</v>
      </c>
      <c r="B2003" t="s">
        <v>338</v>
      </c>
      <c r="C2003" t="s">
        <v>62</v>
      </c>
      <c r="D2003">
        <v>0</v>
      </c>
      <c r="E2003" t="s">
        <v>380</v>
      </c>
    </row>
    <row r="2004" spans="1:5" x14ac:dyDescent="0.25">
      <c r="A2004" s="279">
        <v>39035</v>
      </c>
      <c r="B2004" t="s">
        <v>338</v>
      </c>
      <c r="C2004" t="s">
        <v>63</v>
      </c>
      <c r="D2004">
        <v>14515</v>
      </c>
      <c r="E2004" t="s">
        <v>378</v>
      </c>
    </row>
    <row r="2005" spans="1:5" x14ac:dyDescent="0.25">
      <c r="A2005" s="279">
        <v>39035</v>
      </c>
      <c r="B2005" t="s">
        <v>338</v>
      </c>
      <c r="C2005" t="s">
        <v>64</v>
      </c>
      <c r="D2005">
        <v>0</v>
      </c>
      <c r="E2005" t="s">
        <v>380</v>
      </c>
    </row>
    <row r="2006" spans="1:5" x14ac:dyDescent="0.25">
      <c r="A2006" s="279">
        <v>39035</v>
      </c>
      <c r="B2006" t="s">
        <v>338</v>
      </c>
      <c r="C2006" t="s">
        <v>65</v>
      </c>
      <c r="D2006">
        <v>0</v>
      </c>
      <c r="E2006" t="s">
        <v>378</v>
      </c>
    </row>
    <row r="2007" spans="1:5" x14ac:dyDescent="0.25">
      <c r="A2007" s="279">
        <v>39035</v>
      </c>
      <c r="B2007" t="s">
        <v>338</v>
      </c>
      <c r="C2007" t="s">
        <v>66</v>
      </c>
      <c r="D2007">
        <v>0</v>
      </c>
      <c r="E2007" t="s">
        <v>380</v>
      </c>
    </row>
    <row r="2008" spans="1:5" x14ac:dyDescent="0.25">
      <c r="A2008" s="279">
        <v>39035</v>
      </c>
      <c r="B2008" t="s">
        <v>338</v>
      </c>
      <c r="C2008" t="s">
        <v>120</v>
      </c>
      <c r="D2008">
        <v>4580</v>
      </c>
      <c r="E2008" t="s">
        <v>378</v>
      </c>
    </row>
    <row r="2009" spans="1:5" x14ac:dyDescent="0.25">
      <c r="A2009" s="279">
        <v>39035</v>
      </c>
      <c r="B2009" t="s">
        <v>338</v>
      </c>
      <c r="C2009" t="s">
        <v>121</v>
      </c>
      <c r="D2009">
        <v>0</v>
      </c>
      <c r="E2009" t="s">
        <v>380</v>
      </c>
    </row>
    <row r="2010" spans="1:5" x14ac:dyDescent="0.25">
      <c r="A2010" s="279">
        <v>39035</v>
      </c>
      <c r="B2010" t="s">
        <v>338</v>
      </c>
      <c r="C2010" t="s">
        <v>67</v>
      </c>
      <c r="D2010">
        <v>0</v>
      </c>
      <c r="E2010" t="s">
        <v>378</v>
      </c>
    </row>
    <row r="2011" spans="1:5" x14ac:dyDescent="0.25">
      <c r="A2011" s="279">
        <v>39035</v>
      </c>
      <c r="B2011" t="s">
        <v>338</v>
      </c>
      <c r="C2011" t="s">
        <v>68</v>
      </c>
      <c r="D2011">
        <v>0</v>
      </c>
      <c r="E2011" t="s">
        <v>380</v>
      </c>
    </row>
    <row r="2012" spans="1:5" x14ac:dyDescent="0.25">
      <c r="A2012" s="279">
        <v>39035</v>
      </c>
      <c r="B2012" t="s">
        <v>338</v>
      </c>
      <c r="C2012" t="s">
        <v>69</v>
      </c>
      <c r="D2012">
        <v>34615</v>
      </c>
      <c r="E2012" t="s">
        <v>379</v>
      </c>
    </row>
    <row r="2013" spans="1:5" x14ac:dyDescent="0.25">
      <c r="A2013" s="279">
        <v>39035</v>
      </c>
      <c r="B2013" t="s">
        <v>338</v>
      </c>
      <c r="C2013" t="s">
        <v>70</v>
      </c>
      <c r="D2013">
        <v>0</v>
      </c>
      <c r="E2013" t="s">
        <v>379</v>
      </c>
    </row>
    <row r="2014" spans="1:5" x14ac:dyDescent="0.25">
      <c r="A2014" s="279">
        <v>39035</v>
      </c>
      <c r="B2014" t="s">
        <v>338</v>
      </c>
      <c r="C2014" t="s">
        <v>80</v>
      </c>
      <c r="D2014">
        <v>519</v>
      </c>
      <c r="E2014" t="s">
        <v>379</v>
      </c>
    </row>
    <row r="2015" spans="1:5" x14ac:dyDescent="0.25">
      <c r="A2015" s="279">
        <v>39035</v>
      </c>
      <c r="B2015" t="s">
        <v>339</v>
      </c>
      <c r="C2015" t="s">
        <v>71</v>
      </c>
      <c r="D2015">
        <v>0</v>
      </c>
      <c r="E2015" t="s">
        <v>378</v>
      </c>
    </row>
    <row r="2016" spans="1:5" x14ac:dyDescent="0.25">
      <c r="A2016" s="279">
        <v>39035</v>
      </c>
      <c r="B2016" t="s">
        <v>339</v>
      </c>
      <c r="C2016" t="s">
        <v>72</v>
      </c>
      <c r="D2016">
        <v>0</v>
      </c>
      <c r="E2016" t="s">
        <v>380</v>
      </c>
    </row>
    <row r="2017" spans="1:5" x14ac:dyDescent="0.25">
      <c r="A2017" s="279">
        <v>39035</v>
      </c>
      <c r="B2017" t="s">
        <v>339</v>
      </c>
      <c r="C2017" t="s">
        <v>73</v>
      </c>
      <c r="D2017">
        <v>7662</v>
      </c>
      <c r="E2017" t="s">
        <v>378</v>
      </c>
    </row>
    <row r="2018" spans="1:5" x14ac:dyDescent="0.25">
      <c r="A2018" s="279">
        <v>39035</v>
      </c>
      <c r="B2018" t="s">
        <v>339</v>
      </c>
      <c r="C2018" t="s">
        <v>74</v>
      </c>
      <c r="D2018">
        <v>0</v>
      </c>
      <c r="E2018" t="s">
        <v>380</v>
      </c>
    </row>
    <row r="2019" spans="1:5" x14ac:dyDescent="0.25">
      <c r="A2019" s="279">
        <v>39035</v>
      </c>
      <c r="B2019" t="s">
        <v>339</v>
      </c>
      <c r="C2019" t="s">
        <v>75</v>
      </c>
      <c r="D2019">
        <v>15108</v>
      </c>
      <c r="E2019" t="s">
        <v>378</v>
      </c>
    </row>
    <row r="2020" spans="1:5" x14ac:dyDescent="0.25">
      <c r="A2020" s="279">
        <v>39035</v>
      </c>
      <c r="B2020" t="s">
        <v>339</v>
      </c>
      <c r="C2020" t="s">
        <v>76</v>
      </c>
      <c r="D2020">
        <v>0</v>
      </c>
      <c r="E2020" t="s">
        <v>380</v>
      </c>
    </row>
    <row r="2021" spans="1:5" x14ac:dyDescent="0.25">
      <c r="A2021" s="279">
        <v>39035</v>
      </c>
      <c r="B2021" t="s">
        <v>339</v>
      </c>
      <c r="C2021" t="s">
        <v>77</v>
      </c>
      <c r="D2021">
        <v>7317</v>
      </c>
      <c r="E2021" t="s">
        <v>378</v>
      </c>
    </row>
    <row r="2022" spans="1:5" x14ac:dyDescent="0.25">
      <c r="A2022" s="279">
        <v>39035</v>
      </c>
      <c r="B2022" t="s">
        <v>339</v>
      </c>
      <c r="C2022" t="s">
        <v>78</v>
      </c>
      <c r="D2022">
        <v>0</v>
      </c>
      <c r="E2022" t="s">
        <v>380</v>
      </c>
    </row>
    <row r="2023" spans="1:5" x14ac:dyDescent="0.25">
      <c r="A2023" s="279">
        <v>39035</v>
      </c>
      <c r="B2023" t="s">
        <v>339</v>
      </c>
      <c r="C2023" t="s">
        <v>79</v>
      </c>
      <c r="D2023">
        <v>80014</v>
      </c>
      <c r="E2023" t="s">
        <v>379</v>
      </c>
    </row>
    <row r="2024" spans="1:5" x14ac:dyDescent="0.25">
      <c r="A2024" s="279">
        <v>39035</v>
      </c>
      <c r="B2024" t="s">
        <v>339</v>
      </c>
      <c r="C2024" t="s">
        <v>70</v>
      </c>
      <c r="D2024">
        <v>0</v>
      </c>
      <c r="E2024" t="s">
        <v>379</v>
      </c>
    </row>
    <row r="2025" spans="1:5" x14ac:dyDescent="0.25">
      <c r="A2025" s="279">
        <v>39035</v>
      </c>
      <c r="B2025" t="s">
        <v>339</v>
      </c>
      <c r="C2025" t="s">
        <v>63</v>
      </c>
      <c r="D2025">
        <v>0</v>
      </c>
      <c r="E2025" t="s">
        <v>378</v>
      </c>
    </row>
    <row r="2026" spans="1:5" x14ac:dyDescent="0.25">
      <c r="A2026" s="279">
        <v>39035</v>
      </c>
      <c r="B2026" t="s">
        <v>339</v>
      </c>
      <c r="C2026" t="s">
        <v>80</v>
      </c>
      <c r="D2026">
        <v>426</v>
      </c>
      <c r="E2026" t="s">
        <v>379</v>
      </c>
    </row>
    <row r="2027" spans="1:5" x14ac:dyDescent="0.25">
      <c r="A2027" s="279">
        <v>39036</v>
      </c>
      <c r="B2027" t="s">
        <v>338</v>
      </c>
      <c r="C2027" t="s">
        <v>59</v>
      </c>
      <c r="D2027">
        <v>0</v>
      </c>
      <c r="E2027" t="s">
        <v>378</v>
      </c>
    </row>
    <row r="2028" spans="1:5" x14ac:dyDescent="0.25">
      <c r="A2028" s="279">
        <v>39036</v>
      </c>
      <c r="B2028" t="s">
        <v>338</v>
      </c>
      <c r="C2028" t="s">
        <v>60</v>
      </c>
      <c r="D2028">
        <v>0</v>
      </c>
      <c r="E2028" t="s">
        <v>379</v>
      </c>
    </row>
    <row r="2029" spans="1:5" x14ac:dyDescent="0.25">
      <c r="A2029" s="279">
        <v>39036</v>
      </c>
      <c r="B2029" t="s">
        <v>338</v>
      </c>
      <c r="C2029" t="s">
        <v>61</v>
      </c>
      <c r="D2029">
        <v>988</v>
      </c>
      <c r="E2029" t="s">
        <v>378</v>
      </c>
    </row>
    <row r="2030" spans="1:5" x14ac:dyDescent="0.25">
      <c r="A2030" s="279">
        <v>39036</v>
      </c>
      <c r="B2030" t="s">
        <v>338</v>
      </c>
      <c r="C2030" t="s">
        <v>62</v>
      </c>
      <c r="D2030">
        <v>0</v>
      </c>
      <c r="E2030" t="s">
        <v>380</v>
      </c>
    </row>
    <row r="2031" spans="1:5" x14ac:dyDescent="0.25">
      <c r="A2031" s="279">
        <v>39036</v>
      </c>
      <c r="B2031" t="s">
        <v>338</v>
      </c>
      <c r="C2031" t="s">
        <v>63</v>
      </c>
      <c r="D2031">
        <v>14515</v>
      </c>
      <c r="E2031" t="s">
        <v>378</v>
      </c>
    </row>
    <row r="2032" spans="1:5" x14ac:dyDescent="0.25">
      <c r="A2032" s="279">
        <v>39036</v>
      </c>
      <c r="B2032" t="s">
        <v>338</v>
      </c>
      <c r="C2032" t="s">
        <v>64</v>
      </c>
      <c r="D2032">
        <v>0</v>
      </c>
      <c r="E2032" t="s">
        <v>380</v>
      </c>
    </row>
    <row r="2033" spans="1:5" x14ac:dyDescent="0.25">
      <c r="A2033" s="279">
        <v>39036</v>
      </c>
      <c r="B2033" t="s">
        <v>338</v>
      </c>
      <c r="C2033" t="s">
        <v>65</v>
      </c>
      <c r="D2033">
        <v>0</v>
      </c>
      <c r="E2033" t="s">
        <v>378</v>
      </c>
    </row>
    <row r="2034" spans="1:5" x14ac:dyDescent="0.25">
      <c r="A2034" s="279">
        <v>39036</v>
      </c>
      <c r="B2034" t="s">
        <v>338</v>
      </c>
      <c r="C2034" t="s">
        <v>66</v>
      </c>
      <c r="D2034">
        <v>0</v>
      </c>
      <c r="E2034" t="s">
        <v>380</v>
      </c>
    </row>
    <row r="2035" spans="1:5" x14ac:dyDescent="0.25">
      <c r="A2035" s="279">
        <v>39036</v>
      </c>
      <c r="B2035" t="s">
        <v>338</v>
      </c>
      <c r="C2035" t="s">
        <v>120</v>
      </c>
      <c r="D2035">
        <v>12157</v>
      </c>
      <c r="E2035" t="s">
        <v>378</v>
      </c>
    </row>
    <row r="2036" spans="1:5" x14ac:dyDescent="0.25">
      <c r="A2036" s="279">
        <v>39036</v>
      </c>
      <c r="B2036" t="s">
        <v>338</v>
      </c>
      <c r="C2036" t="s">
        <v>121</v>
      </c>
      <c r="D2036">
        <v>0</v>
      </c>
      <c r="E2036" t="s">
        <v>380</v>
      </c>
    </row>
    <row r="2037" spans="1:5" x14ac:dyDescent="0.25">
      <c r="A2037" s="279">
        <v>39036</v>
      </c>
      <c r="B2037" t="s">
        <v>338</v>
      </c>
      <c r="C2037" t="s">
        <v>67</v>
      </c>
      <c r="D2037">
        <v>0</v>
      </c>
      <c r="E2037" t="s">
        <v>378</v>
      </c>
    </row>
    <row r="2038" spans="1:5" x14ac:dyDescent="0.25">
      <c r="A2038" s="279">
        <v>39036</v>
      </c>
      <c r="B2038" t="s">
        <v>338</v>
      </c>
      <c r="C2038" t="s">
        <v>68</v>
      </c>
      <c r="D2038">
        <v>0</v>
      </c>
      <c r="E2038" t="s">
        <v>380</v>
      </c>
    </row>
    <row r="2039" spans="1:5" x14ac:dyDescent="0.25">
      <c r="A2039" s="279">
        <v>39036</v>
      </c>
      <c r="B2039" t="s">
        <v>338</v>
      </c>
      <c r="C2039" t="s">
        <v>69</v>
      </c>
      <c r="D2039">
        <v>34615</v>
      </c>
      <c r="E2039" t="s">
        <v>379</v>
      </c>
    </row>
    <row r="2040" spans="1:5" x14ac:dyDescent="0.25">
      <c r="A2040" s="279">
        <v>39036</v>
      </c>
      <c r="B2040" t="s">
        <v>338</v>
      </c>
      <c r="C2040" t="s">
        <v>70</v>
      </c>
      <c r="D2040">
        <v>0</v>
      </c>
      <c r="E2040" t="s">
        <v>379</v>
      </c>
    </row>
    <row r="2041" spans="1:5" x14ac:dyDescent="0.25">
      <c r="A2041" s="279">
        <v>39036</v>
      </c>
      <c r="B2041" t="s">
        <v>338</v>
      </c>
      <c r="C2041" t="s">
        <v>80</v>
      </c>
      <c r="D2041">
        <v>594</v>
      </c>
      <c r="E2041" t="s">
        <v>379</v>
      </c>
    </row>
    <row r="2042" spans="1:5" x14ac:dyDescent="0.25">
      <c r="A2042" s="279">
        <v>39036</v>
      </c>
      <c r="B2042" t="s">
        <v>339</v>
      </c>
      <c r="C2042" t="s">
        <v>71</v>
      </c>
      <c r="D2042">
        <v>165</v>
      </c>
      <c r="E2042" t="s">
        <v>378</v>
      </c>
    </row>
    <row r="2043" spans="1:5" x14ac:dyDescent="0.25">
      <c r="A2043" s="279">
        <v>39036</v>
      </c>
      <c r="B2043" t="s">
        <v>339</v>
      </c>
      <c r="C2043" t="s">
        <v>72</v>
      </c>
      <c r="D2043">
        <v>0</v>
      </c>
      <c r="E2043" t="s">
        <v>380</v>
      </c>
    </row>
    <row r="2044" spans="1:5" x14ac:dyDescent="0.25">
      <c r="A2044" s="279">
        <v>39036</v>
      </c>
      <c r="B2044" t="s">
        <v>339</v>
      </c>
      <c r="C2044" t="s">
        <v>73</v>
      </c>
      <c r="D2044">
        <v>13589</v>
      </c>
      <c r="E2044" t="s">
        <v>378</v>
      </c>
    </row>
    <row r="2045" spans="1:5" x14ac:dyDescent="0.25">
      <c r="A2045" s="279">
        <v>39036</v>
      </c>
      <c r="B2045" t="s">
        <v>339</v>
      </c>
      <c r="C2045" t="s">
        <v>74</v>
      </c>
      <c r="D2045">
        <v>0</v>
      </c>
      <c r="E2045" t="s">
        <v>380</v>
      </c>
    </row>
    <row r="2046" spans="1:5" x14ac:dyDescent="0.25">
      <c r="A2046" s="279">
        <v>39036</v>
      </c>
      <c r="B2046" t="s">
        <v>339</v>
      </c>
      <c r="C2046" t="s">
        <v>75</v>
      </c>
      <c r="D2046">
        <v>15108</v>
      </c>
      <c r="E2046" t="s">
        <v>378</v>
      </c>
    </row>
    <row r="2047" spans="1:5" x14ac:dyDescent="0.25">
      <c r="A2047" s="279">
        <v>39036</v>
      </c>
      <c r="B2047" t="s">
        <v>339</v>
      </c>
      <c r="C2047" t="s">
        <v>76</v>
      </c>
      <c r="D2047">
        <v>0</v>
      </c>
      <c r="E2047" t="s">
        <v>380</v>
      </c>
    </row>
    <row r="2048" spans="1:5" x14ac:dyDescent="0.25">
      <c r="A2048" s="279">
        <v>39036</v>
      </c>
      <c r="B2048" t="s">
        <v>339</v>
      </c>
      <c r="C2048" t="s">
        <v>77</v>
      </c>
      <c r="D2048">
        <v>7317</v>
      </c>
      <c r="E2048" t="s">
        <v>378</v>
      </c>
    </row>
    <row r="2049" spans="1:5" x14ac:dyDescent="0.25">
      <c r="A2049" s="279">
        <v>39036</v>
      </c>
      <c r="B2049" t="s">
        <v>339</v>
      </c>
      <c r="C2049" t="s">
        <v>78</v>
      </c>
      <c r="D2049">
        <v>0</v>
      </c>
      <c r="E2049" t="s">
        <v>380</v>
      </c>
    </row>
    <row r="2050" spans="1:5" x14ac:dyDescent="0.25">
      <c r="A2050" s="279">
        <v>39036</v>
      </c>
      <c r="B2050" t="s">
        <v>339</v>
      </c>
      <c r="C2050" t="s">
        <v>79</v>
      </c>
      <c r="D2050">
        <v>80014</v>
      </c>
      <c r="E2050" t="s">
        <v>379</v>
      </c>
    </row>
    <row r="2051" spans="1:5" x14ac:dyDescent="0.25">
      <c r="A2051" s="279">
        <v>39036</v>
      </c>
      <c r="B2051" t="s">
        <v>339</v>
      </c>
      <c r="C2051" t="s">
        <v>70</v>
      </c>
      <c r="D2051">
        <v>0</v>
      </c>
      <c r="E2051" t="s">
        <v>379</v>
      </c>
    </row>
    <row r="2052" spans="1:5" x14ac:dyDescent="0.25">
      <c r="A2052" s="279">
        <v>39036</v>
      </c>
      <c r="B2052" t="s">
        <v>339</v>
      </c>
      <c r="C2052" t="s">
        <v>63</v>
      </c>
      <c r="D2052">
        <v>0</v>
      </c>
      <c r="E2052" t="s">
        <v>378</v>
      </c>
    </row>
    <row r="2053" spans="1:5" x14ac:dyDescent="0.25">
      <c r="A2053" s="279">
        <v>39036</v>
      </c>
      <c r="B2053" t="s">
        <v>339</v>
      </c>
      <c r="C2053" t="s">
        <v>80</v>
      </c>
      <c r="D2053">
        <v>654</v>
      </c>
      <c r="E2053" t="s">
        <v>379</v>
      </c>
    </row>
    <row r="2054" spans="1:5" x14ac:dyDescent="0.25">
      <c r="A2054" s="279">
        <v>39037</v>
      </c>
      <c r="B2054" t="s">
        <v>338</v>
      </c>
      <c r="C2054" t="s">
        <v>59</v>
      </c>
      <c r="D2054">
        <v>0</v>
      </c>
      <c r="E2054" t="s">
        <v>378</v>
      </c>
    </row>
    <row r="2055" spans="1:5" x14ac:dyDescent="0.25">
      <c r="A2055" s="279">
        <v>39037</v>
      </c>
      <c r="B2055" t="s">
        <v>338</v>
      </c>
      <c r="C2055" t="s">
        <v>60</v>
      </c>
      <c r="D2055">
        <v>0</v>
      </c>
      <c r="E2055" t="s">
        <v>379</v>
      </c>
    </row>
    <row r="2056" spans="1:5" x14ac:dyDescent="0.25">
      <c r="A2056" s="279">
        <v>39037</v>
      </c>
      <c r="B2056" t="s">
        <v>338</v>
      </c>
      <c r="C2056" t="s">
        <v>61</v>
      </c>
      <c r="D2056">
        <v>13019</v>
      </c>
      <c r="E2056" t="s">
        <v>378</v>
      </c>
    </row>
    <row r="2057" spans="1:5" x14ac:dyDescent="0.25">
      <c r="A2057" s="279">
        <v>39037</v>
      </c>
      <c r="B2057" t="s">
        <v>338</v>
      </c>
      <c r="C2057" t="s">
        <v>62</v>
      </c>
      <c r="D2057">
        <v>0</v>
      </c>
      <c r="E2057" t="s">
        <v>380</v>
      </c>
    </row>
    <row r="2058" spans="1:5" x14ac:dyDescent="0.25">
      <c r="A2058" s="279">
        <v>39037</v>
      </c>
      <c r="B2058" t="s">
        <v>338</v>
      </c>
      <c r="C2058" t="s">
        <v>63</v>
      </c>
      <c r="D2058">
        <v>14459</v>
      </c>
      <c r="E2058" t="s">
        <v>378</v>
      </c>
    </row>
    <row r="2059" spans="1:5" x14ac:dyDescent="0.25">
      <c r="A2059" s="279">
        <v>39037</v>
      </c>
      <c r="B2059" t="s">
        <v>338</v>
      </c>
      <c r="C2059" t="s">
        <v>64</v>
      </c>
      <c r="D2059">
        <v>0</v>
      </c>
      <c r="E2059" t="s">
        <v>380</v>
      </c>
    </row>
    <row r="2060" spans="1:5" x14ac:dyDescent="0.25">
      <c r="A2060" s="279">
        <v>39037</v>
      </c>
      <c r="B2060" t="s">
        <v>338</v>
      </c>
      <c r="C2060" t="s">
        <v>65</v>
      </c>
      <c r="D2060">
        <v>0</v>
      </c>
      <c r="E2060" t="s">
        <v>378</v>
      </c>
    </row>
    <row r="2061" spans="1:5" x14ac:dyDescent="0.25">
      <c r="A2061" s="279">
        <v>39037</v>
      </c>
      <c r="B2061" t="s">
        <v>338</v>
      </c>
      <c r="C2061" t="s">
        <v>66</v>
      </c>
      <c r="D2061">
        <v>0</v>
      </c>
      <c r="E2061" t="s">
        <v>380</v>
      </c>
    </row>
    <row r="2062" spans="1:5" x14ac:dyDescent="0.25">
      <c r="A2062" s="279">
        <v>39037</v>
      </c>
      <c r="B2062" t="s">
        <v>338</v>
      </c>
      <c r="C2062" t="s">
        <v>120</v>
      </c>
      <c r="D2062">
        <v>11866</v>
      </c>
      <c r="E2062" t="s">
        <v>378</v>
      </c>
    </row>
    <row r="2063" spans="1:5" x14ac:dyDescent="0.25">
      <c r="A2063" s="279">
        <v>39037</v>
      </c>
      <c r="B2063" t="s">
        <v>338</v>
      </c>
      <c r="C2063" t="s">
        <v>121</v>
      </c>
      <c r="D2063">
        <v>0</v>
      </c>
      <c r="E2063" t="s">
        <v>380</v>
      </c>
    </row>
    <row r="2064" spans="1:5" x14ac:dyDescent="0.25">
      <c r="A2064" s="279">
        <v>39037</v>
      </c>
      <c r="B2064" t="s">
        <v>338</v>
      </c>
      <c r="C2064" t="s">
        <v>67</v>
      </c>
      <c r="D2064">
        <v>0</v>
      </c>
      <c r="E2064" t="s">
        <v>378</v>
      </c>
    </row>
    <row r="2065" spans="1:5" x14ac:dyDescent="0.25">
      <c r="A2065" s="279">
        <v>39037</v>
      </c>
      <c r="B2065" t="s">
        <v>338</v>
      </c>
      <c r="C2065" t="s">
        <v>68</v>
      </c>
      <c r="D2065">
        <v>0</v>
      </c>
      <c r="E2065" t="s">
        <v>380</v>
      </c>
    </row>
    <row r="2066" spans="1:5" x14ac:dyDescent="0.25">
      <c r="A2066" s="279">
        <v>39037</v>
      </c>
      <c r="B2066" t="s">
        <v>338</v>
      </c>
      <c r="C2066" t="s">
        <v>69</v>
      </c>
      <c r="D2066">
        <v>34483</v>
      </c>
      <c r="E2066" t="s">
        <v>379</v>
      </c>
    </row>
    <row r="2067" spans="1:5" x14ac:dyDescent="0.25">
      <c r="A2067" s="279">
        <v>39037</v>
      </c>
      <c r="B2067" t="s">
        <v>338</v>
      </c>
      <c r="C2067" t="s">
        <v>70</v>
      </c>
      <c r="D2067">
        <v>0</v>
      </c>
      <c r="E2067" t="s">
        <v>379</v>
      </c>
    </row>
    <row r="2068" spans="1:5" x14ac:dyDescent="0.25">
      <c r="A2068" s="279">
        <v>39037</v>
      </c>
      <c r="B2068" t="s">
        <v>338</v>
      </c>
      <c r="C2068" t="s">
        <v>80</v>
      </c>
      <c r="D2068">
        <v>694</v>
      </c>
      <c r="E2068" t="s">
        <v>379</v>
      </c>
    </row>
    <row r="2069" spans="1:5" x14ac:dyDescent="0.25">
      <c r="A2069" s="279">
        <v>39037</v>
      </c>
      <c r="B2069" t="s">
        <v>339</v>
      </c>
      <c r="C2069" t="s">
        <v>71</v>
      </c>
      <c r="D2069">
        <v>0</v>
      </c>
      <c r="E2069" t="s">
        <v>378</v>
      </c>
    </row>
    <row r="2070" spans="1:5" x14ac:dyDescent="0.25">
      <c r="A2070" s="279">
        <v>39037</v>
      </c>
      <c r="B2070" t="s">
        <v>339</v>
      </c>
      <c r="C2070" t="s">
        <v>72</v>
      </c>
      <c r="D2070">
        <v>0</v>
      </c>
      <c r="E2070" t="s">
        <v>380</v>
      </c>
    </row>
    <row r="2071" spans="1:5" x14ac:dyDescent="0.25">
      <c r="A2071" s="279">
        <v>39037</v>
      </c>
      <c r="B2071" t="s">
        <v>339</v>
      </c>
      <c r="C2071" t="s">
        <v>73</v>
      </c>
      <c r="D2071">
        <v>6620</v>
      </c>
      <c r="E2071" t="s">
        <v>378</v>
      </c>
    </row>
    <row r="2072" spans="1:5" x14ac:dyDescent="0.25">
      <c r="A2072" s="279">
        <v>39037</v>
      </c>
      <c r="B2072" t="s">
        <v>339</v>
      </c>
      <c r="C2072" t="s">
        <v>74</v>
      </c>
      <c r="D2072">
        <v>0</v>
      </c>
      <c r="E2072" t="s">
        <v>380</v>
      </c>
    </row>
    <row r="2073" spans="1:5" x14ac:dyDescent="0.25">
      <c r="A2073" s="279">
        <v>39037</v>
      </c>
      <c r="B2073" t="s">
        <v>339</v>
      </c>
      <c r="C2073" t="s">
        <v>75</v>
      </c>
      <c r="D2073">
        <v>15138</v>
      </c>
      <c r="E2073" t="s">
        <v>378</v>
      </c>
    </row>
    <row r="2074" spans="1:5" x14ac:dyDescent="0.25">
      <c r="A2074" s="279">
        <v>39037</v>
      </c>
      <c r="B2074" t="s">
        <v>339</v>
      </c>
      <c r="C2074" t="s">
        <v>76</v>
      </c>
      <c r="D2074">
        <v>0</v>
      </c>
      <c r="E2074" t="s">
        <v>380</v>
      </c>
    </row>
    <row r="2075" spans="1:5" x14ac:dyDescent="0.25">
      <c r="A2075" s="279">
        <v>39037</v>
      </c>
      <c r="B2075" t="s">
        <v>339</v>
      </c>
      <c r="C2075" t="s">
        <v>77</v>
      </c>
      <c r="D2075">
        <v>7331</v>
      </c>
      <c r="E2075" t="s">
        <v>378</v>
      </c>
    </row>
    <row r="2076" spans="1:5" x14ac:dyDescent="0.25">
      <c r="A2076" s="279">
        <v>39037</v>
      </c>
      <c r="B2076" t="s">
        <v>339</v>
      </c>
      <c r="C2076" t="s">
        <v>78</v>
      </c>
      <c r="D2076">
        <v>0</v>
      </c>
      <c r="E2076" t="s">
        <v>380</v>
      </c>
    </row>
    <row r="2077" spans="1:5" x14ac:dyDescent="0.25">
      <c r="A2077" s="279">
        <v>39037</v>
      </c>
      <c r="B2077" t="s">
        <v>339</v>
      </c>
      <c r="C2077" t="s">
        <v>79</v>
      </c>
      <c r="D2077">
        <v>80169</v>
      </c>
      <c r="E2077" t="s">
        <v>379</v>
      </c>
    </row>
    <row r="2078" spans="1:5" x14ac:dyDescent="0.25">
      <c r="A2078" s="279">
        <v>39037</v>
      </c>
      <c r="B2078" t="s">
        <v>339</v>
      </c>
      <c r="C2078" t="s">
        <v>70</v>
      </c>
      <c r="D2078">
        <v>0</v>
      </c>
      <c r="E2078" t="s">
        <v>379</v>
      </c>
    </row>
    <row r="2079" spans="1:5" x14ac:dyDescent="0.25">
      <c r="A2079" s="279">
        <v>39037</v>
      </c>
      <c r="B2079" t="s">
        <v>339</v>
      </c>
      <c r="C2079" t="s">
        <v>63</v>
      </c>
      <c r="D2079">
        <v>0</v>
      </c>
      <c r="E2079" t="s">
        <v>378</v>
      </c>
    </row>
    <row r="2080" spans="1:5" x14ac:dyDescent="0.25">
      <c r="A2080" s="279">
        <v>39037</v>
      </c>
      <c r="B2080" t="s">
        <v>339</v>
      </c>
      <c r="C2080" t="s">
        <v>80</v>
      </c>
      <c r="D2080">
        <v>387</v>
      </c>
      <c r="E2080" t="s">
        <v>379</v>
      </c>
    </row>
    <row r="2081" spans="1:5" x14ac:dyDescent="0.25">
      <c r="A2081" s="279">
        <v>39038</v>
      </c>
      <c r="B2081" t="s">
        <v>338</v>
      </c>
      <c r="C2081" t="s">
        <v>59</v>
      </c>
      <c r="D2081">
        <v>0</v>
      </c>
      <c r="E2081" t="s">
        <v>378</v>
      </c>
    </row>
    <row r="2082" spans="1:5" x14ac:dyDescent="0.25">
      <c r="A2082" s="279">
        <v>39038</v>
      </c>
      <c r="B2082" t="s">
        <v>338</v>
      </c>
      <c r="C2082" t="s">
        <v>60</v>
      </c>
      <c r="D2082">
        <v>0</v>
      </c>
      <c r="E2082" t="s">
        <v>379</v>
      </c>
    </row>
    <row r="2083" spans="1:5" x14ac:dyDescent="0.25">
      <c r="A2083" s="279">
        <v>39038</v>
      </c>
      <c r="B2083" t="s">
        <v>338</v>
      </c>
      <c r="C2083" t="s">
        <v>61</v>
      </c>
      <c r="D2083">
        <v>0</v>
      </c>
      <c r="E2083" t="s">
        <v>378</v>
      </c>
    </row>
    <row r="2084" spans="1:5" x14ac:dyDescent="0.25">
      <c r="A2084" s="279">
        <v>39038</v>
      </c>
      <c r="B2084" t="s">
        <v>338</v>
      </c>
      <c r="C2084" t="s">
        <v>62</v>
      </c>
      <c r="D2084">
        <v>0</v>
      </c>
      <c r="E2084" t="s">
        <v>380</v>
      </c>
    </row>
    <row r="2085" spans="1:5" x14ac:dyDescent="0.25">
      <c r="A2085" s="279">
        <v>39038</v>
      </c>
      <c r="B2085" t="s">
        <v>338</v>
      </c>
      <c r="C2085" t="s">
        <v>63</v>
      </c>
      <c r="D2085">
        <v>0</v>
      </c>
      <c r="E2085" t="s">
        <v>378</v>
      </c>
    </row>
    <row r="2086" spans="1:5" x14ac:dyDescent="0.25">
      <c r="A2086" s="279">
        <v>39038</v>
      </c>
      <c r="B2086" t="s">
        <v>338</v>
      </c>
      <c r="C2086" t="s">
        <v>64</v>
      </c>
      <c r="D2086">
        <v>0</v>
      </c>
      <c r="E2086" t="s">
        <v>380</v>
      </c>
    </row>
    <row r="2087" spans="1:5" x14ac:dyDescent="0.25">
      <c r="A2087" s="279">
        <v>39038</v>
      </c>
      <c r="B2087" t="s">
        <v>338</v>
      </c>
      <c r="C2087" t="s">
        <v>65</v>
      </c>
      <c r="D2087">
        <v>0</v>
      </c>
      <c r="E2087" t="s">
        <v>378</v>
      </c>
    </row>
    <row r="2088" spans="1:5" x14ac:dyDescent="0.25">
      <c r="A2088" s="279">
        <v>39038</v>
      </c>
      <c r="B2088" t="s">
        <v>338</v>
      </c>
      <c r="C2088" t="s">
        <v>66</v>
      </c>
      <c r="D2088">
        <v>0</v>
      </c>
      <c r="E2088" t="s">
        <v>380</v>
      </c>
    </row>
    <row r="2089" spans="1:5" x14ac:dyDescent="0.25">
      <c r="A2089" s="279">
        <v>39038</v>
      </c>
      <c r="B2089" t="s">
        <v>338</v>
      </c>
      <c r="C2089" t="s">
        <v>120</v>
      </c>
      <c r="D2089">
        <v>0</v>
      </c>
      <c r="E2089" t="s">
        <v>378</v>
      </c>
    </row>
    <row r="2090" spans="1:5" x14ac:dyDescent="0.25">
      <c r="A2090" s="279">
        <v>39038</v>
      </c>
      <c r="B2090" t="s">
        <v>338</v>
      </c>
      <c r="C2090" t="s">
        <v>121</v>
      </c>
      <c r="D2090">
        <v>588</v>
      </c>
      <c r="E2090" t="s">
        <v>380</v>
      </c>
    </row>
    <row r="2091" spans="1:5" x14ac:dyDescent="0.25">
      <c r="A2091" s="279">
        <v>39038</v>
      </c>
      <c r="B2091" t="s">
        <v>338</v>
      </c>
      <c r="C2091" t="s">
        <v>67</v>
      </c>
      <c r="D2091">
        <v>0</v>
      </c>
      <c r="E2091" t="s">
        <v>378</v>
      </c>
    </row>
    <row r="2092" spans="1:5" x14ac:dyDescent="0.25">
      <c r="A2092" s="279">
        <v>39038</v>
      </c>
      <c r="B2092" t="s">
        <v>338</v>
      </c>
      <c r="C2092" t="s">
        <v>68</v>
      </c>
      <c r="D2092">
        <v>0</v>
      </c>
      <c r="E2092" t="s">
        <v>380</v>
      </c>
    </row>
    <row r="2093" spans="1:5" x14ac:dyDescent="0.25">
      <c r="A2093" s="279">
        <v>39038</v>
      </c>
      <c r="B2093" t="s">
        <v>338</v>
      </c>
      <c r="C2093" t="s">
        <v>69</v>
      </c>
      <c r="D2093">
        <v>34582</v>
      </c>
      <c r="E2093" t="s">
        <v>379</v>
      </c>
    </row>
    <row r="2094" spans="1:5" x14ac:dyDescent="0.25">
      <c r="A2094" s="279">
        <v>39038</v>
      </c>
      <c r="B2094" t="s">
        <v>338</v>
      </c>
      <c r="C2094" t="s">
        <v>70</v>
      </c>
      <c r="D2094">
        <v>0</v>
      </c>
      <c r="E2094" t="s">
        <v>379</v>
      </c>
    </row>
    <row r="2095" spans="1:5" x14ac:dyDescent="0.25">
      <c r="A2095" s="279">
        <v>39038</v>
      </c>
      <c r="B2095" t="s">
        <v>338</v>
      </c>
      <c r="C2095" t="s">
        <v>80</v>
      </c>
      <c r="D2095">
        <v>0</v>
      </c>
      <c r="E2095" t="s">
        <v>379</v>
      </c>
    </row>
    <row r="2096" spans="1:5" x14ac:dyDescent="0.25">
      <c r="A2096" s="279">
        <v>39038</v>
      </c>
      <c r="B2096" t="s">
        <v>339</v>
      </c>
      <c r="C2096" t="s">
        <v>71</v>
      </c>
      <c r="D2096">
        <v>0</v>
      </c>
      <c r="E2096" t="s">
        <v>378</v>
      </c>
    </row>
    <row r="2097" spans="1:5" x14ac:dyDescent="0.25">
      <c r="A2097" s="279">
        <v>39038</v>
      </c>
      <c r="B2097" t="s">
        <v>339</v>
      </c>
      <c r="C2097" t="s">
        <v>72</v>
      </c>
      <c r="D2097">
        <v>0</v>
      </c>
      <c r="E2097" t="s">
        <v>380</v>
      </c>
    </row>
    <row r="2098" spans="1:5" x14ac:dyDescent="0.25">
      <c r="A2098" s="279">
        <v>39038</v>
      </c>
      <c r="B2098" t="s">
        <v>339</v>
      </c>
      <c r="C2098" t="s">
        <v>73</v>
      </c>
      <c r="D2098">
        <v>0</v>
      </c>
      <c r="E2098" t="s">
        <v>378</v>
      </c>
    </row>
    <row r="2099" spans="1:5" x14ac:dyDescent="0.25">
      <c r="A2099" s="279">
        <v>39038</v>
      </c>
      <c r="B2099" t="s">
        <v>339</v>
      </c>
      <c r="C2099" t="s">
        <v>74</v>
      </c>
      <c r="D2099">
        <v>0</v>
      </c>
      <c r="E2099" t="s">
        <v>380</v>
      </c>
    </row>
    <row r="2100" spans="1:5" x14ac:dyDescent="0.25">
      <c r="A2100" s="279">
        <v>39038</v>
      </c>
      <c r="B2100" t="s">
        <v>339</v>
      </c>
      <c r="C2100" t="s">
        <v>75</v>
      </c>
      <c r="D2100">
        <v>15138</v>
      </c>
      <c r="E2100" t="s">
        <v>378</v>
      </c>
    </row>
    <row r="2101" spans="1:5" x14ac:dyDescent="0.25">
      <c r="A2101" s="279">
        <v>39038</v>
      </c>
      <c r="B2101" t="s">
        <v>339</v>
      </c>
      <c r="C2101" t="s">
        <v>76</v>
      </c>
      <c r="D2101">
        <v>3428</v>
      </c>
      <c r="E2101" t="s">
        <v>380</v>
      </c>
    </row>
    <row r="2102" spans="1:5" x14ac:dyDescent="0.25">
      <c r="A2102" s="279">
        <v>39038</v>
      </c>
      <c r="B2102" t="s">
        <v>339</v>
      </c>
      <c r="C2102" t="s">
        <v>77</v>
      </c>
      <c r="D2102">
        <v>7331</v>
      </c>
      <c r="E2102" t="s">
        <v>378</v>
      </c>
    </row>
    <row r="2103" spans="1:5" x14ac:dyDescent="0.25">
      <c r="A2103" s="279">
        <v>39038</v>
      </c>
      <c r="B2103" t="s">
        <v>339</v>
      </c>
      <c r="C2103" t="s">
        <v>78</v>
      </c>
      <c r="D2103">
        <v>7062</v>
      </c>
      <c r="E2103" t="s">
        <v>380</v>
      </c>
    </row>
    <row r="2104" spans="1:5" x14ac:dyDescent="0.25">
      <c r="A2104" s="279">
        <v>39038</v>
      </c>
      <c r="B2104" t="s">
        <v>339</v>
      </c>
      <c r="C2104" t="s">
        <v>79</v>
      </c>
      <c r="D2104">
        <v>80169</v>
      </c>
      <c r="E2104" t="s">
        <v>379</v>
      </c>
    </row>
    <row r="2105" spans="1:5" x14ac:dyDescent="0.25">
      <c r="A2105" s="279">
        <v>39038</v>
      </c>
      <c r="B2105" t="s">
        <v>339</v>
      </c>
      <c r="C2105" t="s">
        <v>70</v>
      </c>
      <c r="D2105">
        <v>0</v>
      </c>
      <c r="E2105" t="s">
        <v>379</v>
      </c>
    </row>
    <row r="2106" spans="1:5" x14ac:dyDescent="0.25">
      <c r="A2106" s="279">
        <v>39038</v>
      </c>
      <c r="B2106" t="s">
        <v>339</v>
      </c>
      <c r="C2106" t="s">
        <v>63</v>
      </c>
      <c r="D2106">
        <v>0</v>
      </c>
      <c r="E2106" t="s">
        <v>378</v>
      </c>
    </row>
    <row r="2107" spans="1:5" x14ac:dyDescent="0.25">
      <c r="A2107" s="279">
        <v>39038</v>
      </c>
      <c r="B2107" t="s">
        <v>339</v>
      </c>
      <c r="C2107" t="s">
        <v>80</v>
      </c>
      <c r="D2107">
        <v>134</v>
      </c>
      <c r="E2107" t="s">
        <v>379</v>
      </c>
    </row>
    <row r="2108" spans="1:5" x14ac:dyDescent="0.25">
      <c r="A2108" s="279">
        <v>39039</v>
      </c>
      <c r="B2108" t="s">
        <v>338</v>
      </c>
      <c r="C2108" t="s">
        <v>59</v>
      </c>
      <c r="D2108">
        <v>0</v>
      </c>
      <c r="E2108" t="s">
        <v>378</v>
      </c>
    </row>
    <row r="2109" spans="1:5" x14ac:dyDescent="0.25">
      <c r="A2109" s="279">
        <v>39039</v>
      </c>
      <c r="B2109" t="s">
        <v>338</v>
      </c>
      <c r="C2109" t="s">
        <v>60</v>
      </c>
      <c r="D2109">
        <v>0</v>
      </c>
      <c r="E2109" t="s">
        <v>379</v>
      </c>
    </row>
    <row r="2110" spans="1:5" x14ac:dyDescent="0.25">
      <c r="A2110" s="279">
        <v>39039</v>
      </c>
      <c r="B2110" t="s">
        <v>338</v>
      </c>
      <c r="C2110" t="s">
        <v>61</v>
      </c>
      <c r="D2110">
        <v>0</v>
      </c>
      <c r="E2110" t="s">
        <v>378</v>
      </c>
    </row>
    <row r="2111" spans="1:5" x14ac:dyDescent="0.25">
      <c r="A2111" s="279">
        <v>39039</v>
      </c>
      <c r="B2111" t="s">
        <v>338</v>
      </c>
      <c r="C2111" t="s">
        <v>62</v>
      </c>
      <c r="D2111">
        <v>3641</v>
      </c>
      <c r="E2111" t="s">
        <v>380</v>
      </c>
    </row>
    <row r="2112" spans="1:5" x14ac:dyDescent="0.25">
      <c r="A2112" s="279">
        <v>39039</v>
      </c>
      <c r="B2112" t="s">
        <v>338</v>
      </c>
      <c r="C2112" t="s">
        <v>63</v>
      </c>
      <c r="D2112">
        <v>0</v>
      </c>
      <c r="E2112" t="s">
        <v>378</v>
      </c>
    </row>
    <row r="2113" spans="1:5" x14ac:dyDescent="0.25">
      <c r="A2113" s="279">
        <v>39039</v>
      </c>
      <c r="B2113" t="s">
        <v>338</v>
      </c>
      <c r="C2113" t="s">
        <v>64</v>
      </c>
      <c r="D2113">
        <v>0</v>
      </c>
      <c r="E2113" t="s">
        <v>380</v>
      </c>
    </row>
    <row r="2114" spans="1:5" x14ac:dyDescent="0.25">
      <c r="A2114" s="279">
        <v>39039</v>
      </c>
      <c r="B2114" t="s">
        <v>338</v>
      </c>
      <c r="C2114" t="s">
        <v>65</v>
      </c>
      <c r="D2114">
        <v>0</v>
      </c>
      <c r="E2114" t="s">
        <v>378</v>
      </c>
    </row>
    <row r="2115" spans="1:5" x14ac:dyDescent="0.25">
      <c r="A2115" s="279">
        <v>39039</v>
      </c>
      <c r="B2115" t="s">
        <v>338</v>
      </c>
      <c r="C2115" t="s">
        <v>66</v>
      </c>
      <c r="D2115">
        <v>0</v>
      </c>
      <c r="E2115" t="s">
        <v>380</v>
      </c>
    </row>
    <row r="2116" spans="1:5" x14ac:dyDescent="0.25">
      <c r="A2116" s="279">
        <v>39039</v>
      </c>
      <c r="B2116" t="s">
        <v>338</v>
      </c>
      <c r="C2116" t="s">
        <v>120</v>
      </c>
      <c r="D2116">
        <v>0</v>
      </c>
      <c r="E2116" t="s">
        <v>378</v>
      </c>
    </row>
    <row r="2117" spans="1:5" x14ac:dyDescent="0.25">
      <c r="A2117" s="279">
        <v>39039</v>
      </c>
      <c r="B2117" t="s">
        <v>338</v>
      </c>
      <c r="C2117" t="s">
        <v>121</v>
      </c>
      <c r="D2117">
        <v>20103</v>
      </c>
      <c r="E2117" t="s">
        <v>380</v>
      </c>
    </row>
    <row r="2118" spans="1:5" x14ac:dyDescent="0.25">
      <c r="A2118" s="279">
        <v>39039</v>
      </c>
      <c r="B2118" t="s">
        <v>338</v>
      </c>
      <c r="C2118" t="s">
        <v>67</v>
      </c>
      <c r="D2118">
        <v>0</v>
      </c>
      <c r="E2118" t="s">
        <v>378</v>
      </c>
    </row>
    <row r="2119" spans="1:5" x14ac:dyDescent="0.25">
      <c r="A2119" s="279">
        <v>39039</v>
      </c>
      <c r="B2119" t="s">
        <v>338</v>
      </c>
      <c r="C2119" t="s">
        <v>68</v>
      </c>
      <c r="D2119">
        <v>0</v>
      </c>
      <c r="E2119" t="s">
        <v>380</v>
      </c>
    </row>
    <row r="2120" spans="1:5" x14ac:dyDescent="0.25">
      <c r="A2120" s="279">
        <v>39039</v>
      </c>
      <c r="B2120" t="s">
        <v>338</v>
      </c>
      <c r="C2120" t="s">
        <v>69</v>
      </c>
      <c r="D2120">
        <v>34716</v>
      </c>
      <c r="E2120" t="s">
        <v>379</v>
      </c>
    </row>
    <row r="2121" spans="1:5" x14ac:dyDescent="0.25">
      <c r="A2121" s="279">
        <v>39039</v>
      </c>
      <c r="B2121" t="s">
        <v>338</v>
      </c>
      <c r="C2121" t="s">
        <v>70</v>
      </c>
      <c r="D2121">
        <v>0</v>
      </c>
      <c r="E2121" t="s">
        <v>379</v>
      </c>
    </row>
    <row r="2122" spans="1:5" x14ac:dyDescent="0.25">
      <c r="A2122" s="279">
        <v>39039</v>
      </c>
      <c r="B2122" t="s">
        <v>338</v>
      </c>
      <c r="C2122" t="s">
        <v>80</v>
      </c>
      <c r="D2122">
        <v>0</v>
      </c>
      <c r="E2122" t="s">
        <v>379</v>
      </c>
    </row>
    <row r="2123" spans="1:5" x14ac:dyDescent="0.25">
      <c r="A2123" s="279">
        <v>39039</v>
      </c>
      <c r="B2123" t="s">
        <v>339</v>
      </c>
      <c r="C2123" t="s">
        <v>71</v>
      </c>
      <c r="D2123">
        <v>0</v>
      </c>
      <c r="E2123" t="s">
        <v>378</v>
      </c>
    </row>
    <row r="2124" spans="1:5" x14ac:dyDescent="0.25">
      <c r="A2124" s="279">
        <v>39039</v>
      </c>
      <c r="B2124" t="s">
        <v>339</v>
      </c>
      <c r="C2124" t="s">
        <v>72</v>
      </c>
      <c r="D2124">
        <v>0</v>
      </c>
      <c r="E2124" t="s">
        <v>380</v>
      </c>
    </row>
    <row r="2125" spans="1:5" x14ac:dyDescent="0.25">
      <c r="A2125" s="279">
        <v>39039</v>
      </c>
      <c r="B2125" t="s">
        <v>339</v>
      </c>
      <c r="C2125" t="s">
        <v>73</v>
      </c>
      <c r="D2125">
        <v>0</v>
      </c>
      <c r="E2125" t="s">
        <v>378</v>
      </c>
    </row>
    <row r="2126" spans="1:5" x14ac:dyDescent="0.25">
      <c r="A2126" s="279">
        <v>39039</v>
      </c>
      <c r="B2126" t="s">
        <v>339</v>
      </c>
      <c r="C2126" t="s">
        <v>74</v>
      </c>
      <c r="D2126">
        <v>16178</v>
      </c>
      <c r="E2126" t="s">
        <v>380</v>
      </c>
    </row>
    <row r="2127" spans="1:5" x14ac:dyDescent="0.25">
      <c r="A2127" s="279">
        <v>39039</v>
      </c>
      <c r="B2127" t="s">
        <v>339</v>
      </c>
      <c r="C2127" t="s">
        <v>75</v>
      </c>
      <c r="D2127">
        <v>15138</v>
      </c>
      <c r="E2127" t="s">
        <v>378</v>
      </c>
    </row>
    <row r="2128" spans="1:5" x14ac:dyDescent="0.25">
      <c r="A2128" s="279">
        <v>39039</v>
      </c>
      <c r="B2128" t="s">
        <v>339</v>
      </c>
      <c r="C2128" t="s">
        <v>76</v>
      </c>
      <c r="D2128">
        <v>14593</v>
      </c>
      <c r="E2128" t="s">
        <v>380</v>
      </c>
    </row>
    <row r="2129" spans="1:5" x14ac:dyDescent="0.25">
      <c r="A2129" s="279">
        <v>39039</v>
      </c>
      <c r="B2129" t="s">
        <v>339</v>
      </c>
      <c r="C2129" t="s">
        <v>77</v>
      </c>
      <c r="D2129">
        <v>7331</v>
      </c>
      <c r="E2129" t="s">
        <v>378</v>
      </c>
    </row>
    <row r="2130" spans="1:5" x14ac:dyDescent="0.25">
      <c r="A2130" s="279">
        <v>39039</v>
      </c>
      <c r="B2130" t="s">
        <v>339</v>
      </c>
      <c r="C2130" t="s">
        <v>78</v>
      </c>
      <c r="D2130">
        <v>7062</v>
      </c>
      <c r="E2130" t="s">
        <v>380</v>
      </c>
    </row>
    <row r="2131" spans="1:5" x14ac:dyDescent="0.25">
      <c r="A2131" s="279">
        <v>39039</v>
      </c>
      <c r="B2131" t="s">
        <v>339</v>
      </c>
      <c r="C2131" t="s">
        <v>79</v>
      </c>
      <c r="D2131">
        <v>80169</v>
      </c>
      <c r="E2131" t="s">
        <v>379</v>
      </c>
    </row>
    <row r="2132" spans="1:5" x14ac:dyDescent="0.25">
      <c r="A2132" s="279">
        <v>39039</v>
      </c>
      <c r="B2132" t="s">
        <v>339</v>
      </c>
      <c r="C2132" t="s">
        <v>70</v>
      </c>
      <c r="D2132">
        <v>0</v>
      </c>
      <c r="E2132" t="s">
        <v>379</v>
      </c>
    </row>
    <row r="2133" spans="1:5" x14ac:dyDescent="0.25">
      <c r="A2133" s="279">
        <v>39039</v>
      </c>
      <c r="B2133" t="s">
        <v>339</v>
      </c>
      <c r="C2133" t="s">
        <v>63</v>
      </c>
      <c r="D2133">
        <v>0</v>
      </c>
      <c r="E2133" t="s">
        <v>378</v>
      </c>
    </row>
    <row r="2134" spans="1:5" x14ac:dyDescent="0.25">
      <c r="A2134" s="279">
        <v>39039</v>
      </c>
      <c r="B2134" t="s">
        <v>339</v>
      </c>
      <c r="C2134" t="s">
        <v>80</v>
      </c>
      <c r="D2134">
        <v>134</v>
      </c>
      <c r="E2134" t="s">
        <v>379</v>
      </c>
    </row>
    <row r="2135" spans="1:5" x14ac:dyDescent="0.25">
      <c r="A2135" s="279">
        <v>39040</v>
      </c>
      <c r="B2135" t="s">
        <v>338</v>
      </c>
      <c r="C2135" t="s">
        <v>59</v>
      </c>
      <c r="D2135">
        <v>0</v>
      </c>
      <c r="E2135" t="s">
        <v>378</v>
      </c>
    </row>
    <row r="2136" spans="1:5" x14ac:dyDescent="0.25">
      <c r="A2136" s="279">
        <v>39040</v>
      </c>
      <c r="B2136" t="s">
        <v>338</v>
      </c>
      <c r="C2136" t="s">
        <v>60</v>
      </c>
      <c r="D2136">
        <v>0</v>
      </c>
      <c r="E2136" t="s">
        <v>379</v>
      </c>
    </row>
    <row r="2137" spans="1:5" x14ac:dyDescent="0.25">
      <c r="A2137" s="279">
        <v>39040</v>
      </c>
      <c r="B2137" t="s">
        <v>338</v>
      </c>
      <c r="C2137" t="s">
        <v>61</v>
      </c>
      <c r="D2137">
        <v>0</v>
      </c>
      <c r="E2137" t="s">
        <v>378</v>
      </c>
    </row>
    <row r="2138" spans="1:5" x14ac:dyDescent="0.25">
      <c r="A2138" s="279">
        <v>39040</v>
      </c>
      <c r="B2138" t="s">
        <v>338</v>
      </c>
      <c r="C2138" t="s">
        <v>62</v>
      </c>
      <c r="D2138">
        <v>0</v>
      </c>
      <c r="E2138" t="s">
        <v>380</v>
      </c>
    </row>
    <row r="2139" spans="1:5" x14ac:dyDescent="0.25">
      <c r="A2139" s="279">
        <v>39040</v>
      </c>
      <c r="B2139" t="s">
        <v>338</v>
      </c>
      <c r="C2139" t="s">
        <v>63</v>
      </c>
      <c r="D2139">
        <v>0</v>
      </c>
      <c r="E2139" t="s">
        <v>378</v>
      </c>
    </row>
    <row r="2140" spans="1:5" x14ac:dyDescent="0.25">
      <c r="A2140" s="279">
        <v>39040</v>
      </c>
      <c r="B2140" t="s">
        <v>338</v>
      </c>
      <c r="C2140" t="s">
        <v>64</v>
      </c>
      <c r="D2140">
        <v>24791</v>
      </c>
      <c r="E2140" t="s">
        <v>380</v>
      </c>
    </row>
    <row r="2141" spans="1:5" x14ac:dyDescent="0.25">
      <c r="A2141" s="279">
        <v>39040</v>
      </c>
      <c r="B2141" t="s">
        <v>338</v>
      </c>
      <c r="C2141" t="s">
        <v>65</v>
      </c>
      <c r="D2141">
        <v>0</v>
      </c>
      <c r="E2141" t="s">
        <v>378</v>
      </c>
    </row>
    <row r="2142" spans="1:5" x14ac:dyDescent="0.25">
      <c r="A2142" s="279">
        <v>39040</v>
      </c>
      <c r="B2142" t="s">
        <v>338</v>
      </c>
      <c r="C2142" t="s">
        <v>66</v>
      </c>
      <c r="D2142">
        <v>0</v>
      </c>
      <c r="E2142" t="s">
        <v>380</v>
      </c>
    </row>
    <row r="2143" spans="1:5" x14ac:dyDescent="0.25">
      <c r="A2143" s="279">
        <v>39040</v>
      </c>
      <c r="B2143" t="s">
        <v>338</v>
      </c>
      <c r="C2143" t="s">
        <v>120</v>
      </c>
      <c r="D2143">
        <v>0</v>
      </c>
      <c r="E2143" t="s">
        <v>378</v>
      </c>
    </row>
    <row r="2144" spans="1:5" x14ac:dyDescent="0.25">
      <c r="A2144" s="279">
        <v>39040</v>
      </c>
      <c r="B2144" t="s">
        <v>338</v>
      </c>
      <c r="C2144" t="s">
        <v>121</v>
      </c>
      <c r="D2144">
        <v>18358</v>
      </c>
      <c r="E2144" t="s">
        <v>380</v>
      </c>
    </row>
    <row r="2145" spans="1:5" x14ac:dyDescent="0.25">
      <c r="A2145" s="279">
        <v>39040</v>
      </c>
      <c r="B2145" t="s">
        <v>338</v>
      </c>
      <c r="C2145" t="s">
        <v>67</v>
      </c>
      <c r="D2145">
        <v>0</v>
      </c>
      <c r="E2145" t="s">
        <v>378</v>
      </c>
    </row>
    <row r="2146" spans="1:5" x14ac:dyDescent="0.25">
      <c r="A2146" s="279">
        <v>39040</v>
      </c>
      <c r="B2146" t="s">
        <v>338</v>
      </c>
      <c r="C2146" t="s">
        <v>68</v>
      </c>
      <c r="D2146">
        <v>0</v>
      </c>
      <c r="E2146" t="s">
        <v>380</v>
      </c>
    </row>
    <row r="2147" spans="1:5" x14ac:dyDescent="0.25">
      <c r="A2147" s="279">
        <v>39040</v>
      </c>
      <c r="B2147" t="s">
        <v>338</v>
      </c>
      <c r="C2147" t="s">
        <v>69</v>
      </c>
      <c r="D2147">
        <v>34716</v>
      </c>
      <c r="E2147" t="s">
        <v>379</v>
      </c>
    </row>
    <row r="2148" spans="1:5" x14ac:dyDescent="0.25">
      <c r="A2148" s="279">
        <v>39040</v>
      </c>
      <c r="B2148" t="s">
        <v>338</v>
      </c>
      <c r="C2148" t="s">
        <v>70</v>
      </c>
      <c r="D2148">
        <v>0</v>
      </c>
      <c r="E2148" t="s">
        <v>379</v>
      </c>
    </row>
    <row r="2149" spans="1:5" x14ac:dyDescent="0.25">
      <c r="A2149" s="279">
        <v>39040</v>
      </c>
      <c r="B2149" t="s">
        <v>338</v>
      </c>
      <c r="C2149" t="s">
        <v>80</v>
      </c>
      <c r="D2149">
        <v>0</v>
      </c>
      <c r="E2149" t="s">
        <v>379</v>
      </c>
    </row>
    <row r="2150" spans="1:5" x14ac:dyDescent="0.25">
      <c r="A2150" s="279">
        <v>39040</v>
      </c>
      <c r="B2150" t="s">
        <v>339</v>
      </c>
      <c r="C2150" t="s">
        <v>71</v>
      </c>
      <c r="D2150">
        <v>0</v>
      </c>
      <c r="E2150" t="s">
        <v>378</v>
      </c>
    </row>
    <row r="2151" spans="1:5" x14ac:dyDescent="0.25">
      <c r="A2151" s="279">
        <v>39040</v>
      </c>
      <c r="B2151" t="s">
        <v>339</v>
      </c>
      <c r="C2151" t="s">
        <v>72</v>
      </c>
      <c r="D2151">
        <v>36</v>
      </c>
      <c r="E2151" t="s">
        <v>380</v>
      </c>
    </row>
    <row r="2152" spans="1:5" x14ac:dyDescent="0.25">
      <c r="A2152" s="279">
        <v>39040</v>
      </c>
      <c r="B2152" t="s">
        <v>339</v>
      </c>
      <c r="C2152" t="s">
        <v>73</v>
      </c>
      <c r="D2152">
        <v>0</v>
      </c>
      <c r="E2152" t="s">
        <v>378</v>
      </c>
    </row>
    <row r="2153" spans="1:5" x14ac:dyDescent="0.25">
      <c r="A2153" s="279">
        <v>39040</v>
      </c>
      <c r="B2153" t="s">
        <v>339</v>
      </c>
      <c r="C2153" t="s">
        <v>74</v>
      </c>
      <c r="D2153">
        <v>19417</v>
      </c>
      <c r="E2153" t="s">
        <v>380</v>
      </c>
    </row>
    <row r="2154" spans="1:5" x14ac:dyDescent="0.25">
      <c r="A2154" s="279">
        <v>39040</v>
      </c>
      <c r="B2154" t="s">
        <v>339</v>
      </c>
      <c r="C2154" t="s">
        <v>75</v>
      </c>
      <c r="D2154">
        <v>15123</v>
      </c>
      <c r="E2154" t="s">
        <v>378</v>
      </c>
    </row>
    <row r="2155" spans="1:5" x14ac:dyDescent="0.25">
      <c r="A2155" s="279">
        <v>39040</v>
      </c>
      <c r="B2155" t="s">
        <v>339</v>
      </c>
      <c r="C2155" t="s">
        <v>76</v>
      </c>
      <c r="D2155">
        <v>14579</v>
      </c>
      <c r="E2155" t="s">
        <v>380</v>
      </c>
    </row>
    <row r="2156" spans="1:5" x14ac:dyDescent="0.25">
      <c r="A2156" s="279">
        <v>39040</v>
      </c>
      <c r="B2156" t="s">
        <v>339</v>
      </c>
      <c r="C2156" t="s">
        <v>77</v>
      </c>
      <c r="D2156">
        <v>7324</v>
      </c>
      <c r="E2156" t="s">
        <v>378</v>
      </c>
    </row>
    <row r="2157" spans="1:5" x14ac:dyDescent="0.25">
      <c r="A2157" s="279">
        <v>39040</v>
      </c>
      <c r="B2157" t="s">
        <v>339</v>
      </c>
      <c r="C2157" t="s">
        <v>78</v>
      </c>
      <c r="D2157">
        <v>7055</v>
      </c>
      <c r="E2157" t="s">
        <v>380</v>
      </c>
    </row>
    <row r="2158" spans="1:5" x14ac:dyDescent="0.25">
      <c r="A2158" s="279">
        <v>39040</v>
      </c>
      <c r="B2158" t="s">
        <v>339</v>
      </c>
      <c r="C2158" t="s">
        <v>79</v>
      </c>
      <c r="D2158">
        <v>80091</v>
      </c>
      <c r="E2158" t="s">
        <v>379</v>
      </c>
    </row>
    <row r="2159" spans="1:5" x14ac:dyDescent="0.25">
      <c r="A2159" s="279">
        <v>39040</v>
      </c>
      <c r="B2159" t="s">
        <v>339</v>
      </c>
      <c r="C2159" t="s">
        <v>70</v>
      </c>
      <c r="D2159">
        <v>0</v>
      </c>
      <c r="E2159" t="s">
        <v>379</v>
      </c>
    </row>
    <row r="2160" spans="1:5" x14ac:dyDescent="0.25">
      <c r="A2160" s="279">
        <v>39040</v>
      </c>
      <c r="B2160" t="s">
        <v>339</v>
      </c>
      <c r="C2160" t="s">
        <v>63</v>
      </c>
      <c r="D2160">
        <v>0</v>
      </c>
      <c r="E2160" t="s">
        <v>378</v>
      </c>
    </row>
    <row r="2161" spans="1:5" x14ac:dyDescent="0.25">
      <c r="A2161" s="279">
        <v>39040</v>
      </c>
      <c r="B2161" t="s">
        <v>339</v>
      </c>
      <c r="C2161" t="s">
        <v>80</v>
      </c>
      <c r="D2161">
        <v>134</v>
      </c>
      <c r="E2161" t="s">
        <v>379</v>
      </c>
    </row>
    <row r="2162" spans="1:5" x14ac:dyDescent="0.25">
      <c r="A2162" s="279">
        <v>39041</v>
      </c>
      <c r="B2162" t="s">
        <v>338</v>
      </c>
      <c r="C2162" t="s">
        <v>59</v>
      </c>
      <c r="D2162">
        <v>0</v>
      </c>
      <c r="E2162" t="s">
        <v>378</v>
      </c>
    </row>
    <row r="2163" spans="1:5" x14ac:dyDescent="0.25">
      <c r="A2163" s="279">
        <v>39041</v>
      </c>
      <c r="B2163" t="s">
        <v>338</v>
      </c>
      <c r="C2163" t="s">
        <v>60</v>
      </c>
      <c r="D2163">
        <v>0</v>
      </c>
      <c r="E2163" t="s">
        <v>379</v>
      </c>
    </row>
    <row r="2164" spans="1:5" x14ac:dyDescent="0.25">
      <c r="A2164" s="279">
        <v>39041</v>
      </c>
      <c r="B2164" t="s">
        <v>338</v>
      </c>
      <c r="C2164" t="s">
        <v>61</v>
      </c>
      <c r="D2164">
        <v>0</v>
      </c>
      <c r="E2164" t="s">
        <v>378</v>
      </c>
    </row>
    <row r="2165" spans="1:5" x14ac:dyDescent="0.25">
      <c r="A2165" s="279">
        <v>39041</v>
      </c>
      <c r="B2165" t="s">
        <v>338</v>
      </c>
      <c r="C2165" t="s">
        <v>62</v>
      </c>
      <c r="D2165">
        <v>18315</v>
      </c>
      <c r="E2165" t="s">
        <v>380</v>
      </c>
    </row>
    <row r="2166" spans="1:5" x14ac:dyDescent="0.25">
      <c r="A2166" s="279">
        <v>39041</v>
      </c>
      <c r="B2166" t="s">
        <v>338</v>
      </c>
      <c r="C2166" t="s">
        <v>63</v>
      </c>
      <c r="D2166">
        <v>0</v>
      </c>
      <c r="E2166" t="s">
        <v>378</v>
      </c>
    </row>
    <row r="2167" spans="1:5" x14ac:dyDescent="0.25">
      <c r="A2167" s="279">
        <v>39041</v>
      </c>
      <c r="B2167" t="s">
        <v>338</v>
      </c>
      <c r="C2167" t="s">
        <v>64</v>
      </c>
      <c r="D2167">
        <v>32301</v>
      </c>
      <c r="E2167" t="s">
        <v>380</v>
      </c>
    </row>
    <row r="2168" spans="1:5" x14ac:dyDescent="0.25">
      <c r="A2168" s="279">
        <v>39041</v>
      </c>
      <c r="B2168" t="s">
        <v>338</v>
      </c>
      <c r="C2168" t="s">
        <v>65</v>
      </c>
      <c r="D2168">
        <v>0</v>
      </c>
      <c r="E2168" t="s">
        <v>378</v>
      </c>
    </row>
    <row r="2169" spans="1:5" x14ac:dyDescent="0.25">
      <c r="A2169" s="279">
        <v>39041</v>
      </c>
      <c r="B2169" t="s">
        <v>338</v>
      </c>
      <c r="C2169" t="s">
        <v>66</v>
      </c>
      <c r="D2169">
        <v>0</v>
      </c>
      <c r="E2169" t="s">
        <v>380</v>
      </c>
    </row>
    <row r="2170" spans="1:5" x14ac:dyDescent="0.25">
      <c r="A2170" s="279">
        <v>39041</v>
      </c>
      <c r="B2170" t="s">
        <v>338</v>
      </c>
      <c r="C2170" t="s">
        <v>120</v>
      </c>
      <c r="D2170">
        <v>0</v>
      </c>
      <c r="E2170" t="s">
        <v>378</v>
      </c>
    </row>
    <row r="2171" spans="1:5" x14ac:dyDescent="0.25">
      <c r="A2171" s="279">
        <v>39041</v>
      </c>
      <c r="B2171" t="s">
        <v>338</v>
      </c>
      <c r="C2171" t="s">
        <v>121</v>
      </c>
      <c r="D2171">
        <v>20103</v>
      </c>
      <c r="E2171" t="s">
        <v>380</v>
      </c>
    </row>
    <row r="2172" spans="1:5" x14ac:dyDescent="0.25">
      <c r="A2172" s="279">
        <v>39041</v>
      </c>
      <c r="B2172" t="s">
        <v>338</v>
      </c>
      <c r="C2172" t="s">
        <v>67</v>
      </c>
      <c r="D2172">
        <v>0</v>
      </c>
      <c r="E2172" t="s">
        <v>378</v>
      </c>
    </row>
    <row r="2173" spans="1:5" x14ac:dyDescent="0.25">
      <c r="A2173" s="279">
        <v>39041</v>
      </c>
      <c r="B2173" t="s">
        <v>338</v>
      </c>
      <c r="C2173" t="s">
        <v>68</v>
      </c>
      <c r="D2173">
        <v>0</v>
      </c>
      <c r="E2173" t="s">
        <v>380</v>
      </c>
    </row>
    <row r="2174" spans="1:5" x14ac:dyDescent="0.25">
      <c r="A2174" s="279">
        <v>39041</v>
      </c>
      <c r="B2174" t="s">
        <v>338</v>
      </c>
      <c r="C2174" t="s">
        <v>69</v>
      </c>
      <c r="D2174">
        <v>34716</v>
      </c>
      <c r="E2174" t="s">
        <v>379</v>
      </c>
    </row>
    <row r="2175" spans="1:5" x14ac:dyDescent="0.25">
      <c r="A2175" s="279">
        <v>39041</v>
      </c>
      <c r="B2175" t="s">
        <v>338</v>
      </c>
      <c r="C2175" t="s">
        <v>70</v>
      </c>
      <c r="D2175">
        <v>0</v>
      </c>
      <c r="E2175" t="s">
        <v>379</v>
      </c>
    </row>
    <row r="2176" spans="1:5" x14ac:dyDescent="0.25">
      <c r="A2176" s="279">
        <v>39041</v>
      </c>
      <c r="B2176" t="s">
        <v>338</v>
      </c>
      <c r="C2176" t="s">
        <v>80</v>
      </c>
      <c r="D2176">
        <v>0</v>
      </c>
      <c r="E2176" t="s">
        <v>379</v>
      </c>
    </row>
    <row r="2177" spans="1:5" x14ac:dyDescent="0.25">
      <c r="A2177" s="279">
        <v>39041</v>
      </c>
      <c r="B2177" t="s">
        <v>339</v>
      </c>
      <c r="C2177" t="s">
        <v>71</v>
      </c>
      <c r="D2177">
        <v>0</v>
      </c>
      <c r="E2177" t="s">
        <v>378</v>
      </c>
    </row>
    <row r="2178" spans="1:5" x14ac:dyDescent="0.25">
      <c r="A2178" s="279">
        <v>39041</v>
      </c>
      <c r="B2178" t="s">
        <v>339</v>
      </c>
      <c r="C2178" t="s">
        <v>72</v>
      </c>
      <c r="D2178">
        <v>4850</v>
      </c>
      <c r="E2178" t="s">
        <v>380</v>
      </c>
    </row>
    <row r="2179" spans="1:5" x14ac:dyDescent="0.25">
      <c r="A2179" s="279">
        <v>39041</v>
      </c>
      <c r="B2179" t="s">
        <v>339</v>
      </c>
      <c r="C2179" t="s">
        <v>73</v>
      </c>
      <c r="D2179">
        <v>0</v>
      </c>
      <c r="E2179" t="s">
        <v>378</v>
      </c>
    </row>
    <row r="2180" spans="1:5" x14ac:dyDescent="0.25">
      <c r="A2180" s="279">
        <v>39041</v>
      </c>
      <c r="B2180" t="s">
        <v>339</v>
      </c>
      <c r="C2180" t="s">
        <v>74</v>
      </c>
      <c r="D2180">
        <v>19399</v>
      </c>
      <c r="E2180" t="s">
        <v>380</v>
      </c>
    </row>
    <row r="2181" spans="1:5" x14ac:dyDescent="0.25">
      <c r="A2181" s="279">
        <v>39041</v>
      </c>
      <c r="B2181" t="s">
        <v>339</v>
      </c>
      <c r="C2181" t="s">
        <v>75</v>
      </c>
      <c r="D2181">
        <v>15108</v>
      </c>
      <c r="E2181" t="s">
        <v>378</v>
      </c>
    </row>
    <row r="2182" spans="1:5" x14ac:dyDescent="0.25">
      <c r="A2182" s="279">
        <v>39041</v>
      </c>
      <c r="B2182" t="s">
        <v>339</v>
      </c>
      <c r="C2182" t="s">
        <v>76</v>
      </c>
      <c r="D2182">
        <v>32023</v>
      </c>
      <c r="E2182" t="s">
        <v>380</v>
      </c>
    </row>
    <row r="2183" spans="1:5" x14ac:dyDescent="0.25">
      <c r="A2183" s="279">
        <v>39041</v>
      </c>
      <c r="B2183" t="s">
        <v>339</v>
      </c>
      <c r="C2183" t="s">
        <v>77</v>
      </c>
      <c r="D2183">
        <v>7317</v>
      </c>
      <c r="E2183" t="s">
        <v>378</v>
      </c>
    </row>
    <row r="2184" spans="1:5" x14ac:dyDescent="0.25">
      <c r="A2184" s="279">
        <v>39041</v>
      </c>
      <c r="B2184" t="s">
        <v>339</v>
      </c>
      <c r="C2184" t="s">
        <v>78</v>
      </c>
      <c r="D2184">
        <v>8077</v>
      </c>
      <c r="E2184" t="s">
        <v>380</v>
      </c>
    </row>
    <row r="2185" spans="1:5" x14ac:dyDescent="0.25">
      <c r="A2185" s="279">
        <v>39041</v>
      </c>
      <c r="B2185" t="s">
        <v>339</v>
      </c>
      <c r="C2185" t="s">
        <v>79</v>
      </c>
      <c r="D2185">
        <v>80014</v>
      </c>
      <c r="E2185" t="s">
        <v>379</v>
      </c>
    </row>
    <row r="2186" spans="1:5" x14ac:dyDescent="0.25">
      <c r="A2186" s="279">
        <v>39041</v>
      </c>
      <c r="B2186" t="s">
        <v>339</v>
      </c>
      <c r="C2186" t="s">
        <v>70</v>
      </c>
      <c r="D2186">
        <v>0</v>
      </c>
      <c r="E2186" t="s">
        <v>379</v>
      </c>
    </row>
    <row r="2187" spans="1:5" x14ac:dyDescent="0.25">
      <c r="A2187" s="279">
        <v>39041</v>
      </c>
      <c r="B2187" t="s">
        <v>339</v>
      </c>
      <c r="C2187" t="s">
        <v>63</v>
      </c>
      <c r="D2187">
        <v>0</v>
      </c>
      <c r="E2187" t="s">
        <v>378</v>
      </c>
    </row>
    <row r="2188" spans="1:5" x14ac:dyDescent="0.25">
      <c r="A2188" s="279">
        <v>39041</v>
      </c>
      <c r="B2188" t="s">
        <v>339</v>
      </c>
      <c r="C2188" t="s">
        <v>80</v>
      </c>
      <c r="D2188">
        <v>134</v>
      </c>
      <c r="E2188" t="s">
        <v>379</v>
      </c>
    </row>
    <row r="2189" spans="1:5" x14ac:dyDescent="0.25">
      <c r="A2189" s="279">
        <v>39042</v>
      </c>
      <c r="B2189" t="s">
        <v>338</v>
      </c>
      <c r="C2189" t="s">
        <v>59</v>
      </c>
      <c r="D2189">
        <v>0</v>
      </c>
      <c r="E2189" t="s">
        <v>378</v>
      </c>
    </row>
    <row r="2190" spans="1:5" x14ac:dyDescent="0.25">
      <c r="A2190" s="279">
        <v>39042</v>
      </c>
      <c r="B2190" t="s">
        <v>338</v>
      </c>
      <c r="C2190" t="s">
        <v>60</v>
      </c>
      <c r="D2190">
        <v>0</v>
      </c>
      <c r="E2190" t="s">
        <v>379</v>
      </c>
    </row>
    <row r="2191" spans="1:5" x14ac:dyDescent="0.25">
      <c r="A2191" s="279">
        <v>39042</v>
      </c>
      <c r="B2191" t="s">
        <v>338</v>
      </c>
      <c r="C2191" t="s">
        <v>61</v>
      </c>
      <c r="D2191">
        <v>0</v>
      </c>
      <c r="E2191" t="s">
        <v>378</v>
      </c>
    </row>
    <row r="2192" spans="1:5" x14ac:dyDescent="0.25">
      <c r="A2192" s="279">
        <v>39042</v>
      </c>
      <c r="B2192" t="s">
        <v>338</v>
      </c>
      <c r="C2192" t="s">
        <v>62</v>
      </c>
      <c r="D2192">
        <v>18891</v>
      </c>
      <c r="E2192" t="s">
        <v>380</v>
      </c>
    </row>
    <row r="2193" spans="1:5" x14ac:dyDescent="0.25">
      <c r="A2193" s="279">
        <v>39042</v>
      </c>
      <c r="B2193" t="s">
        <v>338</v>
      </c>
      <c r="C2193" t="s">
        <v>63</v>
      </c>
      <c r="D2193">
        <v>0</v>
      </c>
      <c r="E2193" t="s">
        <v>378</v>
      </c>
    </row>
    <row r="2194" spans="1:5" x14ac:dyDescent="0.25">
      <c r="A2194" s="279">
        <v>39042</v>
      </c>
      <c r="B2194" t="s">
        <v>338</v>
      </c>
      <c r="C2194" t="s">
        <v>64</v>
      </c>
      <c r="D2194">
        <v>32270</v>
      </c>
      <c r="E2194" t="s">
        <v>380</v>
      </c>
    </row>
    <row r="2195" spans="1:5" x14ac:dyDescent="0.25">
      <c r="A2195" s="279">
        <v>39042</v>
      </c>
      <c r="B2195" t="s">
        <v>338</v>
      </c>
      <c r="C2195" t="s">
        <v>65</v>
      </c>
      <c r="D2195">
        <v>0</v>
      </c>
      <c r="E2195" t="s">
        <v>378</v>
      </c>
    </row>
    <row r="2196" spans="1:5" x14ac:dyDescent="0.25">
      <c r="A2196" s="279">
        <v>39042</v>
      </c>
      <c r="B2196" t="s">
        <v>338</v>
      </c>
      <c r="C2196" t="s">
        <v>66</v>
      </c>
      <c r="D2196">
        <v>0</v>
      </c>
      <c r="E2196" t="s">
        <v>380</v>
      </c>
    </row>
    <row r="2197" spans="1:5" x14ac:dyDescent="0.25">
      <c r="A2197" s="279">
        <v>39042</v>
      </c>
      <c r="B2197" t="s">
        <v>338</v>
      </c>
      <c r="C2197" t="s">
        <v>120</v>
      </c>
      <c r="D2197">
        <v>0</v>
      </c>
      <c r="E2197" t="s">
        <v>378</v>
      </c>
    </row>
    <row r="2198" spans="1:5" x14ac:dyDescent="0.25">
      <c r="A2198" s="279">
        <v>39042</v>
      </c>
      <c r="B2198" t="s">
        <v>338</v>
      </c>
      <c r="C2198" t="s">
        <v>121</v>
      </c>
      <c r="D2198">
        <v>20084</v>
      </c>
      <c r="E2198" t="s">
        <v>380</v>
      </c>
    </row>
    <row r="2199" spans="1:5" x14ac:dyDescent="0.25">
      <c r="A2199" s="279">
        <v>39042</v>
      </c>
      <c r="B2199" t="s">
        <v>338</v>
      </c>
      <c r="C2199" t="s">
        <v>67</v>
      </c>
      <c r="D2199">
        <v>0</v>
      </c>
      <c r="E2199" t="s">
        <v>378</v>
      </c>
    </row>
    <row r="2200" spans="1:5" x14ac:dyDescent="0.25">
      <c r="A2200" s="279">
        <v>39042</v>
      </c>
      <c r="B2200" t="s">
        <v>338</v>
      </c>
      <c r="C2200" t="s">
        <v>68</v>
      </c>
      <c r="D2200">
        <v>0</v>
      </c>
      <c r="E2200" t="s">
        <v>380</v>
      </c>
    </row>
    <row r="2201" spans="1:5" x14ac:dyDescent="0.25">
      <c r="A2201" s="279">
        <v>39042</v>
      </c>
      <c r="B2201" t="s">
        <v>338</v>
      </c>
      <c r="C2201" t="s">
        <v>69</v>
      </c>
      <c r="D2201">
        <v>34682</v>
      </c>
      <c r="E2201" t="s">
        <v>379</v>
      </c>
    </row>
    <row r="2202" spans="1:5" x14ac:dyDescent="0.25">
      <c r="A2202" s="279">
        <v>39042</v>
      </c>
      <c r="B2202" t="s">
        <v>338</v>
      </c>
      <c r="C2202" t="s">
        <v>70</v>
      </c>
      <c r="D2202">
        <v>0</v>
      </c>
      <c r="E2202" t="s">
        <v>379</v>
      </c>
    </row>
    <row r="2203" spans="1:5" x14ac:dyDescent="0.25">
      <c r="A2203" s="279">
        <v>39042</v>
      </c>
      <c r="B2203" t="s">
        <v>338</v>
      </c>
      <c r="C2203" t="s">
        <v>80</v>
      </c>
      <c r="D2203">
        <v>0</v>
      </c>
      <c r="E2203" t="s">
        <v>379</v>
      </c>
    </row>
    <row r="2204" spans="1:5" x14ac:dyDescent="0.25">
      <c r="A2204" s="279">
        <v>39042</v>
      </c>
      <c r="B2204" t="s">
        <v>339</v>
      </c>
      <c r="C2204" t="s">
        <v>71</v>
      </c>
      <c r="D2204">
        <v>0</v>
      </c>
      <c r="E2204" t="s">
        <v>378</v>
      </c>
    </row>
    <row r="2205" spans="1:5" x14ac:dyDescent="0.25">
      <c r="A2205" s="279">
        <v>39042</v>
      </c>
      <c r="B2205" t="s">
        <v>339</v>
      </c>
      <c r="C2205" t="s">
        <v>72</v>
      </c>
      <c r="D2205">
        <v>4850</v>
      </c>
      <c r="E2205" t="s">
        <v>380</v>
      </c>
    </row>
    <row r="2206" spans="1:5" x14ac:dyDescent="0.25">
      <c r="A2206" s="279">
        <v>39042</v>
      </c>
      <c r="B2206" t="s">
        <v>339</v>
      </c>
      <c r="C2206" t="s">
        <v>73</v>
      </c>
      <c r="D2206">
        <v>0</v>
      </c>
      <c r="E2206" t="s">
        <v>378</v>
      </c>
    </row>
    <row r="2207" spans="1:5" x14ac:dyDescent="0.25">
      <c r="A2207" s="279">
        <v>39042</v>
      </c>
      <c r="B2207" t="s">
        <v>339</v>
      </c>
      <c r="C2207" t="s">
        <v>74</v>
      </c>
      <c r="D2207">
        <v>19399</v>
      </c>
      <c r="E2207" t="s">
        <v>380</v>
      </c>
    </row>
    <row r="2208" spans="1:5" x14ac:dyDescent="0.25">
      <c r="A2208" s="279">
        <v>39042</v>
      </c>
      <c r="B2208" t="s">
        <v>339</v>
      </c>
      <c r="C2208" t="s">
        <v>75</v>
      </c>
      <c r="D2208">
        <v>15108</v>
      </c>
      <c r="E2208" t="s">
        <v>378</v>
      </c>
    </row>
    <row r="2209" spans="1:5" x14ac:dyDescent="0.25">
      <c r="A2209" s="279">
        <v>39042</v>
      </c>
      <c r="B2209" t="s">
        <v>339</v>
      </c>
      <c r="C2209" t="s">
        <v>76</v>
      </c>
      <c r="D2209">
        <v>24808</v>
      </c>
      <c r="E2209" t="s">
        <v>380</v>
      </c>
    </row>
    <row r="2210" spans="1:5" x14ac:dyDescent="0.25">
      <c r="A2210" s="279">
        <v>39042</v>
      </c>
      <c r="B2210" t="s">
        <v>339</v>
      </c>
      <c r="C2210" t="s">
        <v>77</v>
      </c>
      <c r="D2210">
        <v>7317</v>
      </c>
      <c r="E2210" t="s">
        <v>378</v>
      </c>
    </row>
    <row r="2211" spans="1:5" x14ac:dyDescent="0.25">
      <c r="A2211" s="279">
        <v>39042</v>
      </c>
      <c r="B2211" t="s">
        <v>339</v>
      </c>
      <c r="C2211" t="s">
        <v>78</v>
      </c>
      <c r="D2211">
        <v>7048</v>
      </c>
      <c r="E2211" t="s">
        <v>380</v>
      </c>
    </row>
    <row r="2212" spans="1:5" x14ac:dyDescent="0.25">
      <c r="A2212" s="279">
        <v>39042</v>
      </c>
      <c r="B2212" t="s">
        <v>339</v>
      </c>
      <c r="C2212" t="s">
        <v>79</v>
      </c>
      <c r="D2212">
        <v>80014</v>
      </c>
      <c r="E2212" t="s">
        <v>379</v>
      </c>
    </row>
    <row r="2213" spans="1:5" x14ac:dyDescent="0.25">
      <c r="A2213" s="279">
        <v>39042</v>
      </c>
      <c r="B2213" t="s">
        <v>339</v>
      </c>
      <c r="C2213" t="s">
        <v>70</v>
      </c>
      <c r="D2213">
        <v>0</v>
      </c>
      <c r="E2213" t="s">
        <v>379</v>
      </c>
    </row>
    <row r="2214" spans="1:5" x14ac:dyDescent="0.25">
      <c r="A2214" s="279">
        <v>39042</v>
      </c>
      <c r="B2214" t="s">
        <v>339</v>
      </c>
      <c r="C2214" t="s">
        <v>63</v>
      </c>
      <c r="D2214">
        <v>0</v>
      </c>
      <c r="E2214" t="s">
        <v>378</v>
      </c>
    </row>
    <row r="2215" spans="1:5" x14ac:dyDescent="0.25">
      <c r="A2215" s="279">
        <v>39042</v>
      </c>
      <c r="B2215" t="s">
        <v>339</v>
      </c>
      <c r="C2215" t="s">
        <v>80</v>
      </c>
      <c r="D2215">
        <v>134</v>
      </c>
      <c r="E2215" t="s">
        <v>379</v>
      </c>
    </row>
    <row r="2216" spans="1:5" x14ac:dyDescent="0.25">
      <c r="A2216" s="279">
        <v>39043</v>
      </c>
      <c r="B2216" t="s">
        <v>338</v>
      </c>
      <c r="C2216" t="s">
        <v>59</v>
      </c>
      <c r="D2216">
        <v>0</v>
      </c>
      <c r="E2216" t="s">
        <v>378</v>
      </c>
    </row>
    <row r="2217" spans="1:5" x14ac:dyDescent="0.25">
      <c r="A2217" s="279">
        <v>39043</v>
      </c>
      <c r="B2217" t="s">
        <v>338</v>
      </c>
      <c r="C2217" t="s">
        <v>60</v>
      </c>
      <c r="D2217">
        <v>0</v>
      </c>
      <c r="E2217" t="s">
        <v>379</v>
      </c>
    </row>
    <row r="2218" spans="1:5" x14ac:dyDescent="0.25">
      <c r="A2218" s="279">
        <v>39043</v>
      </c>
      <c r="B2218" t="s">
        <v>338</v>
      </c>
      <c r="C2218" t="s">
        <v>61</v>
      </c>
      <c r="D2218">
        <v>0</v>
      </c>
      <c r="E2218" t="s">
        <v>378</v>
      </c>
    </row>
    <row r="2219" spans="1:5" x14ac:dyDescent="0.25">
      <c r="A2219" s="279">
        <v>39043</v>
      </c>
      <c r="B2219" t="s">
        <v>338</v>
      </c>
      <c r="C2219" t="s">
        <v>62</v>
      </c>
      <c r="D2219">
        <v>17571</v>
      </c>
      <c r="E2219" t="s">
        <v>380</v>
      </c>
    </row>
    <row r="2220" spans="1:5" x14ac:dyDescent="0.25">
      <c r="A2220" s="279">
        <v>39043</v>
      </c>
      <c r="B2220" t="s">
        <v>338</v>
      </c>
      <c r="C2220" t="s">
        <v>63</v>
      </c>
      <c r="D2220">
        <v>0</v>
      </c>
      <c r="E2220" t="s">
        <v>378</v>
      </c>
    </row>
    <row r="2221" spans="1:5" x14ac:dyDescent="0.25">
      <c r="A2221" s="279">
        <v>39043</v>
      </c>
      <c r="B2221" t="s">
        <v>338</v>
      </c>
      <c r="C2221" t="s">
        <v>64</v>
      </c>
      <c r="D2221">
        <v>0</v>
      </c>
      <c r="E2221" t="s">
        <v>380</v>
      </c>
    </row>
    <row r="2222" spans="1:5" x14ac:dyDescent="0.25">
      <c r="A2222" s="279">
        <v>39043</v>
      </c>
      <c r="B2222" t="s">
        <v>338</v>
      </c>
      <c r="C2222" t="s">
        <v>65</v>
      </c>
      <c r="D2222">
        <v>0</v>
      </c>
      <c r="E2222" t="s">
        <v>378</v>
      </c>
    </row>
    <row r="2223" spans="1:5" x14ac:dyDescent="0.25">
      <c r="A2223" s="279">
        <v>39043</v>
      </c>
      <c r="B2223" t="s">
        <v>338</v>
      </c>
      <c r="C2223" t="s">
        <v>66</v>
      </c>
      <c r="D2223">
        <v>0</v>
      </c>
      <c r="E2223" t="s">
        <v>380</v>
      </c>
    </row>
    <row r="2224" spans="1:5" x14ac:dyDescent="0.25">
      <c r="A2224" s="279">
        <v>39043</v>
      </c>
      <c r="B2224" t="s">
        <v>338</v>
      </c>
      <c r="C2224" t="s">
        <v>120</v>
      </c>
      <c r="D2224">
        <v>0</v>
      </c>
      <c r="E2224" t="s">
        <v>378</v>
      </c>
    </row>
    <row r="2225" spans="1:5" x14ac:dyDescent="0.25">
      <c r="A2225" s="279">
        <v>39043</v>
      </c>
      <c r="B2225" t="s">
        <v>338</v>
      </c>
      <c r="C2225" t="s">
        <v>121</v>
      </c>
      <c r="D2225">
        <v>20084</v>
      </c>
      <c r="E2225" t="s">
        <v>380</v>
      </c>
    </row>
    <row r="2226" spans="1:5" x14ac:dyDescent="0.25">
      <c r="A2226" s="279">
        <v>39043</v>
      </c>
      <c r="B2226" t="s">
        <v>338</v>
      </c>
      <c r="C2226" t="s">
        <v>67</v>
      </c>
      <c r="D2226">
        <v>0</v>
      </c>
      <c r="E2226" t="s">
        <v>378</v>
      </c>
    </row>
    <row r="2227" spans="1:5" x14ac:dyDescent="0.25">
      <c r="A2227" s="279">
        <v>39043</v>
      </c>
      <c r="B2227" t="s">
        <v>338</v>
      </c>
      <c r="C2227" t="s">
        <v>68</v>
      </c>
      <c r="D2227">
        <v>0</v>
      </c>
      <c r="E2227" t="s">
        <v>380</v>
      </c>
    </row>
    <row r="2228" spans="1:5" x14ac:dyDescent="0.25">
      <c r="A2228" s="279">
        <v>39043</v>
      </c>
      <c r="B2228" t="s">
        <v>338</v>
      </c>
      <c r="C2228" t="s">
        <v>69</v>
      </c>
      <c r="D2228">
        <v>34682</v>
      </c>
      <c r="E2228" t="s">
        <v>379</v>
      </c>
    </row>
    <row r="2229" spans="1:5" x14ac:dyDescent="0.25">
      <c r="A2229" s="279">
        <v>39043</v>
      </c>
      <c r="B2229" t="s">
        <v>338</v>
      </c>
      <c r="C2229" t="s">
        <v>70</v>
      </c>
      <c r="D2229">
        <v>0</v>
      </c>
      <c r="E2229" t="s">
        <v>379</v>
      </c>
    </row>
    <row r="2230" spans="1:5" x14ac:dyDescent="0.25">
      <c r="A2230" s="279">
        <v>39043</v>
      </c>
      <c r="B2230" t="s">
        <v>338</v>
      </c>
      <c r="C2230" t="s">
        <v>80</v>
      </c>
      <c r="D2230">
        <v>0</v>
      </c>
      <c r="E2230" t="s">
        <v>379</v>
      </c>
    </row>
    <row r="2231" spans="1:5" x14ac:dyDescent="0.25">
      <c r="A2231" s="279">
        <v>39043</v>
      </c>
      <c r="B2231" t="s">
        <v>339</v>
      </c>
      <c r="C2231" t="s">
        <v>71</v>
      </c>
      <c r="D2231">
        <v>0</v>
      </c>
      <c r="E2231" t="s">
        <v>378</v>
      </c>
    </row>
    <row r="2232" spans="1:5" x14ac:dyDescent="0.25">
      <c r="A2232" s="279">
        <v>39043</v>
      </c>
      <c r="B2232" t="s">
        <v>339</v>
      </c>
      <c r="C2232" t="s">
        <v>72</v>
      </c>
      <c r="D2232">
        <v>4845</v>
      </c>
      <c r="E2232" t="s">
        <v>380</v>
      </c>
    </row>
    <row r="2233" spans="1:5" x14ac:dyDescent="0.25">
      <c r="A2233" s="279">
        <v>39043</v>
      </c>
      <c r="B2233" t="s">
        <v>339</v>
      </c>
      <c r="C2233" t="s">
        <v>73</v>
      </c>
      <c r="D2233">
        <v>0</v>
      </c>
      <c r="E2233" t="s">
        <v>378</v>
      </c>
    </row>
    <row r="2234" spans="1:5" x14ac:dyDescent="0.25">
      <c r="A2234" s="279">
        <v>39043</v>
      </c>
      <c r="B2234" t="s">
        <v>339</v>
      </c>
      <c r="C2234" t="s">
        <v>74</v>
      </c>
      <c r="D2234">
        <v>19380</v>
      </c>
      <c r="E2234" t="s">
        <v>380</v>
      </c>
    </row>
    <row r="2235" spans="1:5" x14ac:dyDescent="0.25">
      <c r="A2235" s="279">
        <v>39043</v>
      </c>
      <c r="B2235" t="s">
        <v>339</v>
      </c>
      <c r="C2235" t="s">
        <v>75</v>
      </c>
      <c r="D2235">
        <v>15094</v>
      </c>
      <c r="E2235" t="s">
        <v>378</v>
      </c>
    </row>
    <row r="2236" spans="1:5" x14ac:dyDescent="0.25">
      <c r="A2236" s="279">
        <v>39043</v>
      </c>
      <c r="B2236" t="s">
        <v>339</v>
      </c>
      <c r="C2236" t="s">
        <v>76</v>
      </c>
      <c r="D2236">
        <v>32391</v>
      </c>
      <c r="E2236" t="s">
        <v>380</v>
      </c>
    </row>
    <row r="2237" spans="1:5" x14ac:dyDescent="0.25">
      <c r="A2237" s="279">
        <v>39043</v>
      </c>
      <c r="B2237" t="s">
        <v>339</v>
      </c>
      <c r="C2237" t="s">
        <v>77</v>
      </c>
      <c r="D2237">
        <v>7310</v>
      </c>
      <c r="E2237" t="s">
        <v>378</v>
      </c>
    </row>
    <row r="2238" spans="1:5" x14ac:dyDescent="0.25">
      <c r="A2238" s="279">
        <v>39043</v>
      </c>
      <c r="B2238" t="s">
        <v>339</v>
      </c>
      <c r="C2238" t="s">
        <v>78</v>
      </c>
      <c r="D2238">
        <v>14441</v>
      </c>
      <c r="E2238" t="s">
        <v>380</v>
      </c>
    </row>
    <row r="2239" spans="1:5" x14ac:dyDescent="0.25">
      <c r="A2239" s="279">
        <v>39043</v>
      </c>
      <c r="B2239" t="s">
        <v>339</v>
      </c>
      <c r="C2239" t="s">
        <v>79</v>
      </c>
      <c r="D2239">
        <v>109006</v>
      </c>
      <c r="E2239" t="s">
        <v>379</v>
      </c>
    </row>
    <row r="2240" spans="1:5" x14ac:dyDescent="0.25">
      <c r="A2240" s="279">
        <v>39043</v>
      </c>
      <c r="B2240" t="s">
        <v>339</v>
      </c>
      <c r="C2240" t="s">
        <v>70</v>
      </c>
      <c r="D2240">
        <v>0</v>
      </c>
      <c r="E2240" t="s">
        <v>379</v>
      </c>
    </row>
    <row r="2241" spans="1:5" x14ac:dyDescent="0.25">
      <c r="A2241" s="279">
        <v>39043</v>
      </c>
      <c r="B2241" t="s">
        <v>339</v>
      </c>
      <c r="C2241" t="s">
        <v>63</v>
      </c>
      <c r="D2241">
        <v>0</v>
      </c>
      <c r="E2241" t="s">
        <v>378</v>
      </c>
    </row>
    <row r="2242" spans="1:5" x14ac:dyDescent="0.25">
      <c r="A2242" s="279">
        <v>39043</v>
      </c>
      <c r="B2242" t="s">
        <v>339</v>
      </c>
      <c r="C2242" t="s">
        <v>80</v>
      </c>
      <c r="D2242">
        <v>134</v>
      </c>
      <c r="E2242" t="s">
        <v>379</v>
      </c>
    </row>
    <row r="2243" spans="1:5" x14ac:dyDescent="0.25">
      <c r="A2243" s="279">
        <v>39044</v>
      </c>
      <c r="B2243" t="s">
        <v>338</v>
      </c>
      <c r="C2243" t="s">
        <v>59</v>
      </c>
      <c r="D2243">
        <v>0</v>
      </c>
      <c r="E2243" t="s">
        <v>378</v>
      </c>
    </row>
    <row r="2244" spans="1:5" x14ac:dyDescent="0.25">
      <c r="A2244" s="279">
        <v>39044</v>
      </c>
      <c r="B2244" t="s">
        <v>338</v>
      </c>
      <c r="C2244" t="s">
        <v>60</v>
      </c>
      <c r="D2244">
        <v>0</v>
      </c>
      <c r="E2244" t="s">
        <v>379</v>
      </c>
    </row>
    <row r="2245" spans="1:5" x14ac:dyDescent="0.25">
      <c r="A2245" s="279">
        <v>39044</v>
      </c>
      <c r="B2245" t="s">
        <v>338</v>
      </c>
      <c r="C2245" t="s">
        <v>61</v>
      </c>
      <c r="D2245">
        <v>519</v>
      </c>
      <c r="E2245" t="s">
        <v>378</v>
      </c>
    </row>
    <row r="2246" spans="1:5" x14ac:dyDescent="0.25">
      <c r="A2246" s="279">
        <v>39044</v>
      </c>
      <c r="B2246" t="s">
        <v>338</v>
      </c>
      <c r="C2246" t="s">
        <v>62</v>
      </c>
      <c r="D2246">
        <v>0</v>
      </c>
      <c r="E2246" t="s">
        <v>380</v>
      </c>
    </row>
    <row r="2247" spans="1:5" x14ac:dyDescent="0.25">
      <c r="A2247" s="279">
        <v>39044</v>
      </c>
      <c r="B2247" t="s">
        <v>338</v>
      </c>
      <c r="C2247" t="s">
        <v>63</v>
      </c>
      <c r="D2247">
        <v>0</v>
      </c>
      <c r="E2247" t="s">
        <v>378</v>
      </c>
    </row>
    <row r="2248" spans="1:5" x14ac:dyDescent="0.25">
      <c r="A2248" s="279">
        <v>39044</v>
      </c>
      <c r="B2248" t="s">
        <v>338</v>
      </c>
      <c r="C2248" t="s">
        <v>64</v>
      </c>
      <c r="D2248">
        <v>0</v>
      </c>
      <c r="E2248" t="s">
        <v>380</v>
      </c>
    </row>
    <row r="2249" spans="1:5" x14ac:dyDescent="0.25">
      <c r="A2249" s="279">
        <v>39044</v>
      </c>
      <c r="B2249" t="s">
        <v>338</v>
      </c>
      <c r="C2249" t="s">
        <v>65</v>
      </c>
      <c r="D2249">
        <v>0</v>
      </c>
      <c r="E2249" t="s">
        <v>378</v>
      </c>
    </row>
    <row r="2250" spans="1:5" x14ac:dyDescent="0.25">
      <c r="A2250" s="279">
        <v>39044</v>
      </c>
      <c r="B2250" t="s">
        <v>338</v>
      </c>
      <c r="C2250" t="s">
        <v>66</v>
      </c>
      <c r="D2250">
        <v>0</v>
      </c>
      <c r="E2250" t="s">
        <v>380</v>
      </c>
    </row>
    <row r="2251" spans="1:5" x14ac:dyDescent="0.25">
      <c r="A2251" s="279">
        <v>39044</v>
      </c>
      <c r="B2251" t="s">
        <v>338</v>
      </c>
      <c r="C2251" t="s">
        <v>120</v>
      </c>
      <c r="D2251">
        <v>0</v>
      </c>
      <c r="E2251" t="s">
        <v>378</v>
      </c>
    </row>
    <row r="2252" spans="1:5" x14ac:dyDescent="0.25">
      <c r="A2252" s="279">
        <v>39044</v>
      </c>
      <c r="B2252" t="s">
        <v>338</v>
      </c>
      <c r="C2252" t="s">
        <v>121</v>
      </c>
      <c r="D2252">
        <v>0</v>
      </c>
      <c r="E2252" t="s">
        <v>380</v>
      </c>
    </row>
    <row r="2253" spans="1:5" x14ac:dyDescent="0.25">
      <c r="A2253" s="279">
        <v>39044</v>
      </c>
      <c r="B2253" t="s">
        <v>338</v>
      </c>
      <c r="C2253" t="s">
        <v>67</v>
      </c>
      <c r="D2253">
        <v>0</v>
      </c>
      <c r="E2253" t="s">
        <v>378</v>
      </c>
    </row>
    <row r="2254" spans="1:5" x14ac:dyDescent="0.25">
      <c r="A2254" s="279">
        <v>39044</v>
      </c>
      <c r="B2254" t="s">
        <v>338</v>
      </c>
      <c r="C2254" t="s">
        <v>68</v>
      </c>
      <c r="D2254">
        <v>0</v>
      </c>
      <c r="E2254" t="s">
        <v>380</v>
      </c>
    </row>
    <row r="2255" spans="1:5" x14ac:dyDescent="0.25">
      <c r="A2255" s="279">
        <v>39044</v>
      </c>
      <c r="B2255" t="s">
        <v>338</v>
      </c>
      <c r="C2255" t="s">
        <v>69</v>
      </c>
      <c r="D2255">
        <v>34682</v>
      </c>
      <c r="E2255" t="s">
        <v>379</v>
      </c>
    </row>
    <row r="2256" spans="1:5" x14ac:dyDescent="0.25">
      <c r="A2256" s="279">
        <v>39044</v>
      </c>
      <c r="B2256" t="s">
        <v>338</v>
      </c>
      <c r="C2256" t="s">
        <v>70</v>
      </c>
      <c r="D2256">
        <v>0</v>
      </c>
      <c r="E2256" t="s">
        <v>379</v>
      </c>
    </row>
    <row r="2257" spans="1:5" x14ac:dyDescent="0.25">
      <c r="A2257" s="279">
        <v>39044</v>
      </c>
      <c r="B2257" t="s">
        <v>338</v>
      </c>
      <c r="C2257" t="s">
        <v>80</v>
      </c>
      <c r="D2257">
        <v>4</v>
      </c>
      <c r="E2257" t="s">
        <v>379</v>
      </c>
    </row>
    <row r="2258" spans="1:5" x14ac:dyDescent="0.25">
      <c r="A2258" s="279">
        <v>39044</v>
      </c>
      <c r="B2258" t="s">
        <v>339</v>
      </c>
      <c r="C2258" t="s">
        <v>71</v>
      </c>
      <c r="D2258">
        <v>0</v>
      </c>
      <c r="E2258" t="s">
        <v>378</v>
      </c>
    </row>
    <row r="2259" spans="1:5" x14ac:dyDescent="0.25">
      <c r="A2259" s="279">
        <v>39044</v>
      </c>
      <c r="B2259" t="s">
        <v>339</v>
      </c>
      <c r="C2259" t="s">
        <v>72</v>
      </c>
      <c r="D2259">
        <v>4845</v>
      </c>
      <c r="E2259" t="s">
        <v>380</v>
      </c>
    </row>
    <row r="2260" spans="1:5" x14ac:dyDescent="0.25">
      <c r="A2260" s="279">
        <v>39044</v>
      </c>
      <c r="B2260" t="s">
        <v>339</v>
      </c>
      <c r="C2260" t="s">
        <v>73</v>
      </c>
      <c r="D2260">
        <v>0</v>
      </c>
      <c r="E2260" t="s">
        <v>378</v>
      </c>
    </row>
    <row r="2261" spans="1:5" x14ac:dyDescent="0.25">
      <c r="A2261" s="279">
        <v>39044</v>
      </c>
      <c r="B2261" t="s">
        <v>339</v>
      </c>
      <c r="C2261" t="s">
        <v>74</v>
      </c>
      <c r="D2261">
        <v>6813</v>
      </c>
      <c r="E2261" t="s">
        <v>380</v>
      </c>
    </row>
    <row r="2262" spans="1:5" x14ac:dyDescent="0.25">
      <c r="A2262" s="279">
        <v>39044</v>
      </c>
      <c r="B2262" t="s">
        <v>339</v>
      </c>
      <c r="C2262" t="s">
        <v>75</v>
      </c>
      <c r="D2262">
        <v>15094</v>
      </c>
      <c r="E2262" t="s">
        <v>378</v>
      </c>
    </row>
    <row r="2263" spans="1:5" x14ac:dyDescent="0.25">
      <c r="A2263" s="279">
        <v>39044</v>
      </c>
      <c r="B2263" t="s">
        <v>339</v>
      </c>
      <c r="C2263" t="s">
        <v>76</v>
      </c>
      <c r="D2263">
        <v>24240</v>
      </c>
      <c r="E2263" t="s">
        <v>380</v>
      </c>
    </row>
    <row r="2264" spans="1:5" x14ac:dyDescent="0.25">
      <c r="A2264" s="279">
        <v>39044</v>
      </c>
      <c r="B2264" t="s">
        <v>339</v>
      </c>
      <c r="C2264" t="s">
        <v>77</v>
      </c>
      <c r="D2264">
        <v>7310</v>
      </c>
      <c r="E2264" t="s">
        <v>378</v>
      </c>
    </row>
    <row r="2265" spans="1:5" x14ac:dyDescent="0.25">
      <c r="A2265" s="279">
        <v>39044</v>
      </c>
      <c r="B2265" t="s">
        <v>339</v>
      </c>
      <c r="C2265" t="s">
        <v>78</v>
      </c>
      <c r="D2265">
        <v>17001</v>
      </c>
      <c r="E2265" t="s">
        <v>380</v>
      </c>
    </row>
    <row r="2266" spans="1:5" x14ac:dyDescent="0.25">
      <c r="A2266" s="279">
        <v>39044</v>
      </c>
      <c r="B2266" t="s">
        <v>339</v>
      </c>
      <c r="C2266" t="s">
        <v>79</v>
      </c>
      <c r="D2266">
        <v>121775</v>
      </c>
      <c r="E2266" t="s">
        <v>379</v>
      </c>
    </row>
    <row r="2267" spans="1:5" x14ac:dyDescent="0.25">
      <c r="A2267" s="279">
        <v>39044</v>
      </c>
      <c r="B2267" t="s">
        <v>339</v>
      </c>
      <c r="C2267" t="s">
        <v>70</v>
      </c>
      <c r="D2267">
        <v>0</v>
      </c>
      <c r="E2267" t="s">
        <v>379</v>
      </c>
    </row>
    <row r="2268" spans="1:5" x14ac:dyDescent="0.25">
      <c r="A2268" s="279">
        <v>39044</v>
      </c>
      <c r="B2268" t="s">
        <v>339</v>
      </c>
      <c r="C2268" t="s">
        <v>63</v>
      </c>
      <c r="D2268">
        <v>0</v>
      </c>
      <c r="E2268" t="s">
        <v>378</v>
      </c>
    </row>
    <row r="2269" spans="1:5" x14ac:dyDescent="0.25">
      <c r="A2269" s="279">
        <v>39044</v>
      </c>
      <c r="B2269" t="s">
        <v>339</v>
      </c>
      <c r="C2269" t="s">
        <v>80</v>
      </c>
      <c r="D2269">
        <v>134</v>
      </c>
      <c r="E2269" t="s">
        <v>379</v>
      </c>
    </row>
    <row r="2270" spans="1:5" x14ac:dyDescent="0.25">
      <c r="A2270" s="279">
        <v>39045</v>
      </c>
      <c r="B2270" t="s">
        <v>338</v>
      </c>
      <c r="C2270" t="s">
        <v>59</v>
      </c>
      <c r="D2270">
        <v>0</v>
      </c>
      <c r="E2270" t="s">
        <v>378</v>
      </c>
    </row>
    <row r="2271" spans="1:5" x14ac:dyDescent="0.25">
      <c r="A2271" s="279">
        <v>39045</v>
      </c>
      <c r="B2271" t="s">
        <v>338</v>
      </c>
      <c r="C2271" t="s">
        <v>60</v>
      </c>
      <c r="D2271">
        <v>0</v>
      </c>
      <c r="E2271" t="s">
        <v>379</v>
      </c>
    </row>
    <row r="2272" spans="1:5" x14ac:dyDescent="0.25">
      <c r="A2272" s="279">
        <v>39045</v>
      </c>
      <c r="B2272" t="s">
        <v>338</v>
      </c>
      <c r="C2272" t="s">
        <v>61</v>
      </c>
      <c r="D2272">
        <v>0</v>
      </c>
      <c r="E2272" t="s">
        <v>378</v>
      </c>
    </row>
    <row r="2273" spans="1:5" x14ac:dyDescent="0.25">
      <c r="A2273" s="279">
        <v>39045</v>
      </c>
      <c r="B2273" t="s">
        <v>338</v>
      </c>
      <c r="C2273" t="s">
        <v>62</v>
      </c>
      <c r="D2273">
        <v>0</v>
      </c>
      <c r="E2273" t="s">
        <v>380</v>
      </c>
    </row>
    <row r="2274" spans="1:5" x14ac:dyDescent="0.25">
      <c r="A2274" s="279">
        <v>39045</v>
      </c>
      <c r="B2274" t="s">
        <v>338</v>
      </c>
      <c r="C2274" t="s">
        <v>63</v>
      </c>
      <c r="D2274">
        <v>0</v>
      </c>
      <c r="E2274" t="s">
        <v>378</v>
      </c>
    </row>
    <row r="2275" spans="1:5" x14ac:dyDescent="0.25">
      <c r="A2275" s="279">
        <v>39045</v>
      </c>
      <c r="B2275" t="s">
        <v>338</v>
      </c>
      <c r="C2275" t="s">
        <v>64</v>
      </c>
      <c r="D2275">
        <v>0</v>
      </c>
      <c r="E2275" t="s">
        <v>380</v>
      </c>
    </row>
    <row r="2276" spans="1:5" x14ac:dyDescent="0.25">
      <c r="A2276" s="279">
        <v>39045</v>
      </c>
      <c r="B2276" t="s">
        <v>338</v>
      </c>
      <c r="C2276" t="s">
        <v>65</v>
      </c>
      <c r="D2276">
        <v>0</v>
      </c>
      <c r="E2276" t="s">
        <v>378</v>
      </c>
    </row>
    <row r="2277" spans="1:5" x14ac:dyDescent="0.25">
      <c r="A2277" s="279">
        <v>39045</v>
      </c>
      <c r="B2277" t="s">
        <v>338</v>
      </c>
      <c r="C2277" t="s">
        <v>66</v>
      </c>
      <c r="D2277">
        <v>0</v>
      </c>
      <c r="E2277" t="s">
        <v>380</v>
      </c>
    </row>
    <row r="2278" spans="1:5" x14ac:dyDescent="0.25">
      <c r="A2278" s="279">
        <v>39045</v>
      </c>
      <c r="B2278" t="s">
        <v>338</v>
      </c>
      <c r="C2278" t="s">
        <v>120</v>
      </c>
      <c r="D2278">
        <v>0</v>
      </c>
      <c r="E2278" t="s">
        <v>378</v>
      </c>
    </row>
    <row r="2279" spans="1:5" x14ac:dyDescent="0.25">
      <c r="A2279" s="279">
        <v>39045</v>
      </c>
      <c r="B2279" t="s">
        <v>338</v>
      </c>
      <c r="C2279" t="s">
        <v>121</v>
      </c>
      <c r="D2279">
        <v>156</v>
      </c>
      <c r="E2279" t="s">
        <v>380</v>
      </c>
    </row>
    <row r="2280" spans="1:5" x14ac:dyDescent="0.25">
      <c r="A2280" s="279">
        <v>39045</v>
      </c>
      <c r="B2280" t="s">
        <v>338</v>
      </c>
      <c r="C2280" t="s">
        <v>67</v>
      </c>
      <c r="D2280">
        <v>0</v>
      </c>
      <c r="E2280" t="s">
        <v>378</v>
      </c>
    </row>
    <row r="2281" spans="1:5" x14ac:dyDescent="0.25">
      <c r="A2281" s="279">
        <v>39045</v>
      </c>
      <c r="B2281" t="s">
        <v>338</v>
      </c>
      <c r="C2281" t="s">
        <v>68</v>
      </c>
      <c r="D2281">
        <v>0</v>
      </c>
      <c r="E2281" t="s">
        <v>380</v>
      </c>
    </row>
    <row r="2282" spans="1:5" x14ac:dyDescent="0.25">
      <c r="A2282" s="279">
        <v>39045</v>
      </c>
      <c r="B2282" t="s">
        <v>338</v>
      </c>
      <c r="C2282" t="s">
        <v>69</v>
      </c>
      <c r="D2282">
        <v>34716</v>
      </c>
      <c r="E2282" t="s">
        <v>379</v>
      </c>
    </row>
    <row r="2283" spans="1:5" x14ac:dyDescent="0.25">
      <c r="A2283" s="279">
        <v>39045</v>
      </c>
      <c r="B2283" t="s">
        <v>338</v>
      </c>
      <c r="C2283" t="s">
        <v>70</v>
      </c>
      <c r="D2283">
        <v>0</v>
      </c>
      <c r="E2283" t="s">
        <v>379</v>
      </c>
    </row>
    <row r="2284" spans="1:5" x14ac:dyDescent="0.25">
      <c r="A2284" s="279">
        <v>39045</v>
      </c>
      <c r="B2284" t="s">
        <v>338</v>
      </c>
      <c r="C2284" t="s">
        <v>80</v>
      </c>
      <c r="D2284">
        <v>0</v>
      </c>
      <c r="E2284" t="s">
        <v>379</v>
      </c>
    </row>
    <row r="2285" spans="1:5" x14ac:dyDescent="0.25">
      <c r="A2285" s="279">
        <v>39045</v>
      </c>
      <c r="B2285" t="s">
        <v>339</v>
      </c>
      <c r="C2285" t="s">
        <v>71</v>
      </c>
      <c r="D2285">
        <v>0</v>
      </c>
      <c r="E2285" t="s">
        <v>378</v>
      </c>
    </row>
    <row r="2286" spans="1:5" x14ac:dyDescent="0.25">
      <c r="A2286" s="279">
        <v>39045</v>
      </c>
      <c r="B2286" t="s">
        <v>339</v>
      </c>
      <c r="C2286" t="s">
        <v>72</v>
      </c>
      <c r="D2286">
        <v>0</v>
      </c>
      <c r="E2286" t="s">
        <v>380</v>
      </c>
    </row>
    <row r="2287" spans="1:5" x14ac:dyDescent="0.25">
      <c r="A2287" s="279">
        <v>39045</v>
      </c>
      <c r="B2287" t="s">
        <v>339</v>
      </c>
      <c r="C2287" t="s">
        <v>73</v>
      </c>
      <c r="D2287">
        <v>0</v>
      </c>
      <c r="E2287" t="s">
        <v>378</v>
      </c>
    </row>
    <row r="2288" spans="1:5" x14ac:dyDescent="0.25">
      <c r="A2288" s="279">
        <v>39045</v>
      </c>
      <c r="B2288" t="s">
        <v>339</v>
      </c>
      <c r="C2288" t="s">
        <v>74</v>
      </c>
      <c r="D2288">
        <v>0</v>
      </c>
      <c r="E2288" t="s">
        <v>380</v>
      </c>
    </row>
    <row r="2289" spans="1:5" x14ac:dyDescent="0.25">
      <c r="A2289" s="279">
        <v>39045</v>
      </c>
      <c r="B2289" t="s">
        <v>339</v>
      </c>
      <c r="C2289" t="s">
        <v>75</v>
      </c>
      <c r="D2289">
        <v>15094</v>
      </c>
      <c r="E2289" t="s">
        <v>378</v>
      </c>
    </row>
    <row r="2290" spans="1:5" x14ac:dyDescent="0.25">
      <c r="A2290" s="279">
        <v>39045</v>
      </c>
      <c r="B2290" t="s">
        <v>339</v>
      </c>
      <c r="C2290" t="s">
        <v>76</v>
      </c>
      <c r="D2290">
        <v>0</v>
      </c>
      <c r="E2290" t="s">
        <v>380</v>
      </c>
    </row>
    <row r="2291" spans="1:5" x14ac:dyDescent="0.25">
      <c r="A2291" s="279">
        <v>39045</v>
      </c>
      <c r="B2291" t="s">
        <v>339</v>
      </c>
      <c r="C2291" t="s">
        <v>77</v>
      </c>
      <c r="D2291">
        <v>7310</v>
      </c>
      <c r="E2291" t="s">
        <v>378</v>
      </c>
    </row>
    <row r="2292" spans="1:5" x14ac:dyDescent="0.25">
      <c r="A2292" s="279">
        <v>39045</v>
      </c>
      <c r="B2292" t="s">
        <v>339</v>
      </c>
      <c r="C2292" t="s">
        <v>78</v>
      </c>
      <c r="D2292">
        <v>4541</v>
      </c>
      <c r="E2292" t="s">
        <v>380</v>
      </c>
    </row>
    <row r="2293" spans="1:5" x14ac:dyDescent="0.25">
      <c r="A2293" s="279">
        <v>39045</v>
      </c>
      <c r="B2293" t="s">
        <v>339</v>
      </c>
      <c r="C2293" t="s">
        <v>79</v>
      </c>
      <c r="D2293">
        <v>121775</v>
      </c>
      <c r="E2293" t="s">
        <v>379</v>
      </c>
    </row>
    <row r="2294" spans="1:5" x14ac:dyDescent="0.25">
      <c r="A2294" s="279">
        <v>39045</v>
      </c>
      <c r="B2294" t="s">
        <v>339</v>
      </c>
      <c r="C2294" t="s">
        <v>70</v>
      </c>
      <c r="D2294">
        <v>0</v>
      </c>
      <c r="E2294" t="s">
        <v>379</v>
      </c>
    </row>
    <row r="2295" spans="1:5" x14ac:dyDescent="0.25">
      <c r="A2295" s="279">
        <v>39045</v>
      </c>
      <c r="B2295" t="s">
        <v>339</v>
      </c>
      <c r="C2295" t="s">
        <v>63</v>
      </c>
      <c r="D2295">
        <v>0</v>
      </c>
      <c r="E2295" t="s">
        <v>378</v>
      </c>
    </row>
    <row r="2296" spans="1:5" x14ac:dyDescent="0.25">
      <c r="A2296" s="279">
        <v>39045</v>
      </c>
      <c r="B2296" t="s">
        <v>339</v>
      </c>
      <c r="C2296" t="s">
        <v>80</v>
      </c>
      <c r="D2296">
        <v>134</v>
      </c>
      <c r="E2296" t="s">
        <v>379</v>
      </c>
    </row>
    <row r="2297" spans="1:5" x14ac:dyDescent="0.25">
      <c r="A2297" s="279">
        <v>39046</v>
      </c>
      <c r="B2297" t="s">
        <v>338</v>
      </c>
      <c r="C2297" t="s">
        <v>59</v>
      </c>
      <c r="D2297">
        <v>0</v>
      </c>
      <c r="E2297" t="s">
        <v>378</v>
      </c>
    </row>
    <row r="2298" spans="1:5" x14ac:dyDescent="0.25">
      <c r="A2298" s="279">
        <v>39046</v>
      </c>
      <c r="B2298" t="s">
        <v>338</v>
      </c>
      <c r="C2298" t="s">
        <v>60</v>
      </c>
      <c r="D2298">
        <v>0</v>
      </c>
      <c r="E2298" t="s">
        <v>379</v>
      </c>
    </row>
    <row r="2299" spans="1:5" x14ac:dyDescent="0.25">
      <c r="A2299" s="279">
        <v>39046</v>
      </c>
      <c r="B2299" t="s">
        <v>338</v>
      </c>
      <c r="C2299" t="s">
        <v>61</v>
      </c>
      <c r="D2299">
        <v>0</v>
      </c>
      <c r="E2299" t="s">
        <v>378</v>
      </c>
    </row>
    <row r="2300" spans="1:5" x14ac:dyDescent="0.25">
      <c r="A2300" s="279">
        <v>39046</v>
      </c>
      <c r="B2300" t="s">
        <v>338</v>
      </c>
      <c r="C2300" t="s">
        <v>62</v>
      </c>
      <c r="D2300">
        <v>0</v>
      </c>
      <c r="E2300" t="s">
        <v>380</v>
      </c>
    </row>
    <row r="2301" spans="1:5" x14ac:dyDescent="0.25">
      <c r="A2301" s="279">
        <v>39046</v>
      </c>
      <c r="B2301" t="s">
        <v>338</v>
      </c>
      <c r="C2301" t="s">
        <v>63</v>
      </c>
      <c r="D2301">
        <v>0</v>
      </c>
      <c r="E2301" t="s">
        <v>378</v>
      </c>
    </row>
    <row r="2302" spans="1:5" x14ac:dyDescent="0.25">
      <c r="A2302" s="279">
        <v>39046</v>
      </c>
      <c r="B2302" t="s">
        <v>338</v>
      </c>
      <c r="C2302" t="s">
        <v>64</v>
      </c>
      <c r="D2302">
        <v>0</v>
      </c>
      <c r="E2302" t="s">
        <v>380</v>
      </c>
    </row>
    <row r="2303" spans="1:5" x14ac:dyDescent="0.25">
      <c r="A2303" s="279">
        <v>39046</v>
      </c>
      <c r="B2303" t="s">
        <v>338</v>
      </c>
      <c r="C2303" t="s">
        <v>65</v>
      </c>
      <c r="D2303">
        <v>0</v>
      </c>
      <c r="E2303" t="s">
        <v>378</v>
      </c>
    </row>
    <row r="2304" spans="1:5" x14ac:dyDescent="0.25">
      <c r="A2304" s="279">
        <v>39046</v>
      </c>
      <c r="B2304" t="s">
        <v>338</v>
      </c>
      <c r="C2304" t="s">
        <v>66</v>
      </c>
      <c r="D2304">
        <v>0</v>
      </c>
      <c r="E2304" t="s">
        <v>380</v>
      </c>
    </row>
    <row r="2305" spans="1:5" x14ac:dyDescent="0.25">
      <c r="A2305" s="279">
        <v>39046</v>
      </c>
      <c r="B2305" t="s">
        <v>338</v>
      </c>
      <c r="C2305" t="s">
        <v>120</v>
      </c>
      <c r="D2305">
        <v>0</v>
      </c>
      <c r="E2305" t="s">
        <v>378</v>
      </c>
    </row>
    <row r="2306" spans="1:5" x14ac:dyDescent="0.25">
      <c r="A2306" s="279">
        <v>39046</v>
      </c>
      <c r="B2306" t="s">
        <v>338</v>
      </c>
      <c r="C2306" t="s">
        <v>121</v>
      </c>
      <c r="D2306">
        <v>268</v>
      </c>
      <c r="E2306" t="s">
        <v>380</v>
      </c>
    </row>
    <row r="2307" spans="1:5" x14ac:dyDescent="0.25">
      <c r="A2307" s="279">
        <v>39046</v>
      </c>
      <c r="B2307" t="s">
        <v>338</v>
      </c>
      <c r="C2307" t="s">
        <v>67</v>
      </c>
      <c r="D2307">
        <v>0</v>
      </c>
      <c r="E2307" t="s">
        <v>378</v>
      </c>
    </row>
    <row r="2308" spans="1:5" x14ac:dyDescent="0.25">
      <c r="A2308" s="279">
        <v>39046</v>
      </c>
      <c r="B2308" t="s">
        <v>338</v>
      </c>
      <c r="C2308" t="s">
        <v>68</v>
      </c>
      <c r="D2308">
        <v>0</v>
      </c>
      <c r="E2308" t="s">
        <v>380</v>
      </c>
    </row>
    <row r="2309" spans="1:5" x14ac:dyDescent="0.25">
      <c r="A2309" s="279">
        <v>39046</v>
      </c>
      <c r="B2309" t="s">
        <v>338</v>
      </c>
      <c r="C2309" t="s">
        <v>69</v>
      </c>
      <c r="D2309">
        <v>34783</v>
      </c>
      <c r="E2309" t="s">
        <v>379</v>
      </c>
    </row>
    <row r="2310" spans="1:5" x14ac:dyDescent="0.25">
      <c r="A2310" s="279">
        <v>39046</v>
      </c>
      <c r="B2310" t="s">
        <v>338</v>
      </c>
      <c r="C2310" t="s">
        <v>70</v>
      </c>
      <c r="D2310">
        <v>0</v>
      </c>
      <c r="E2310" t="s">
        <v>379</v>
      </c>
    </row>
    <row r="2311" spans="1:5" x14ac:dyDescent="0.25">
      <c r="A2311" s="279">
        <v>39046</v>
      </c>
      <c r="B2311" t="s">
        <v>338</v>
      </c>
      <c r="C2311" t="s">
        <v>80</v>
      </c>
      <c r="D2311">
        <v>0</v>
      </c>
      <c r="E2311" t="s">
        <v>379</v>
      </c>
    </row>
    <row r="2312" spans="1:5" x14ac:dyDescent="0.25">
      <c r="A2312" s="279">
        <v>39046</v>
      </c>
      <c r="B2312" t="s">
        <v>339</v>
      </c>
      <c r="C2312" t="s">
        <v>71</v>
      </c>
      <c r="D2312">
        <v>0</v>
      </c>
      <c r="E2312" t="s">
        <v>378</v>
      </c>
    </row>
    <row r="2313" spans="1:5" x14ac:dyDescent="0.25">
      <c r="A2313" s="279">
        <v>39046</v>
      </c>
      <c r="B2313" t="s">
        <v>339</v>
      </c>
      <c r="C2313" t="s">
        <v>72</v>
      </c>
      <c r="D2313">
        <v>0</v>
      </c>
      <c r="E2313" t="s">
        <v>380</v>
      </c>
    </row>
    <row r="2314" spans="1:5" x14ac:dyDescent="0.25">
      <c r="A2314" s="279">
        <v>39046</v>
      </c>
      <c r="B2314" t="s">
        <v>339</v>
      </c>
      <c r="C2314" t="s">
        <v>73</v>
      </c>
      <c r="D2314">
        <v>0</v>
      </c>
      <c r="E2314" t="s">
        <v>378</v>
      </c>
    </row>
    <row r="2315" spans="1:5" x14ac:dyDescent="0.25">
      <c r="A2315" s="279">
        <v>39046</v>
      </c>
      <c r="B2315" t="s">
        <v>339</v>
      </c>
      <c r="C2315" t="s">
        <v>74</v>
      </c>
      <c r="D2315">
        <v>0</v>
      </c>
      <c r="E2315" t="s">
        <v>380</v>
      </c>
    </row>
    <row r="2316" spans="1:5" x14ac:dyDescent="0.25">
      <c r="A2316" s="279">
        <v>39046</v>
      </c>
      <c r="B2316" t="s">
        <v>339</v>
      </c>
      <c r="C2316" t="s">
        <v>75</v>
      </c>
      <c r="D2316">
        <v>15094</v>
      </c>
      <c r="E2316" t="s">
        <v>378</v>
      </c>
    </row>
    <row r="2317" spans="1:5" x14ac:dyDescent="0.25">
      <c r="A2317" s="279">
        <v>39046</v>
      </c>
      <c r="B2317" t="s">
        <v>339</v>
      </c>
      <c r="C2317" t="s">
        <v>76</v>
      </c>
      <c r="D2317">
        <v>0</v>
      </c>
      <c r="E2317" t="s">
        <v>380</v>
      </c>
    </row>
    <row r="2318" spans="1:5" x14ac:dyDescent="0.25">
      <c r="A2318" s="279">
        <v>39046</v>
      </c>
      <c r="B2318" t="s">
        <v>339</v>
      </c>
      <c r="C2318" t="s">
        <v>77</v>
      </c>
      <c r="D2318">
        <v>7310</v>
      </c>
      <c r="E2318" t="s">
        <v>378</v>
      </c>
    </row>
    <row r="2319" spans="1:5" x14ac:dyDescent="0.25">
      <c r="A2319" s="279">
        <v>39046</v>
      </c>
      <c r="B2319" t="s">
        <v>339</v>
      </c>
      <c r="C2319" t="s">
        <v>78</v>
      </c>
      <c r="D2319">
        <v>6458</v>
      </c>
      <c r="E2319" t="s">
        <v>380</v>
      </c>
    </row>
    <row r="2320" spans="1:5" x14ac:dyDescent="0.25">
      <c r="A2320" s="279">
        <v>39046</v>
      </c>
      <c r="B2320" t="s">
        <v>339</v>
      </c>
      <c r="C2320" t="s">
        <v>79</v>
      </c>
      <c r="D2320">
        <v>121775</v>
      </c>
      <c r="E2320" t="s">
        <v>379</v>
      </c>
    </row>
    <row r="2321" spans="1:5" x14ac:dyDescent="0.25">
      <c r="A2321" s="279">
        <v>39046</v>
      </c>
      <c r="B2321" t="s">
        <v>339</v>
      </c>
      <c r="C2321" t="s">
        <v>70</v>
      </c>
      <c r="D2321">
        <v>0</v>
      </c>
      <c r="E2321" t="s">
        <v>379</v>
      </c>
    </row>
    <row r="2322" spans="1:5" x14ac:dyDescent="0.25">
      <c r="A2322" s="279">
        <v>39046</v>
      </c>
      <c r="B2322" t="s">
        <v>339</v>
      </c>
      <c r="C2322" t="s">
        <v>63</v>
      </c>
      <c r="D2322">
        <v>0</v>
      </c>
      <c r="E2322" t="s">
        <v>378</v>
      </c>
    </row>
    <row r="2323" spans="1:5" x14ac:dyDescent="0.25">
      <c r="A2323" s="279">
        <v>39046</v>
      </c>
      <c r="B2323" t="s">
        <v>339</v>
      </c>
      <c r="C2323" t="s">
        <v>80</v>
      </c>
      <c r="D2323">
        <v>134</v>
      </c>
      <c r="E2323" t="s">
        <v>379</v>
      </c>
    </row>
    <row r="2324" spans="1:5" x14ac:dyDescent="0.25">
      <c r="A2324" s="279">
        <v>39047</v>
      </c>
      <c r="B2324" t="s">
        <v>338</v>
      </c>
      <c r="C2324" t="s">
        <v>59</v>
      </c>
      <c r="D2324">
        <v>0</v>
      </c>
      <c r="E2324" t="s">
        <v>378</v>
      </c>
    </row>
    <row r="2325" spans="1:5" x14ac:dyDescent="0.25">
      <c r="A2325" s="279">
        <v>39047</v>
      </c>
      <c r="B2325" t="s">
        <v>338</v>
      </c>
      <c r="C2325" t="s">
        <v>60</v>
      </c>
      <c r="D2325">
        <v>0</v>
      </c>
      <c r="E2325" t="s">
        <v>379</v>
      </c>
    </row>
    <row r="2326" spans="1:5" x14ac:dyDescent="0.25">
      <c r="A2326" s="279">
        <v>39047</v>
      </c>
      <c r="B2326" t="s">
        <v>338</v>
      </c>
      <c r="C2326" t="s">
        <v>61</v>
      </c>
      <c r="D2326">
        <v>4508</v>
      </c>
      <c r="E2326" t="s">
        <v>378</v>
      </c>
    </row>
    <row r="2327" spans="1:5" x14ac:dyDescent="0.25">
      <c r="A2327" s="279">
        <v>39047</v>
      </c>
      <c r="B2327" t="s">
        <v>338</v>
      </c>
      <c r="C2327" t="s">
        <v>62</v>
      </c>
      <c r="D2327">
        <v>0</v>
      </c>
      <c r="E2327" t="s">
        <v>380</v>
      </c>
    </row>
    <row r="2328" spans="1:5" x14ac:dyDescent="0.25">
      <c r="A2328" s="279">
        <v>39047</v>
      </c>
      <c r="B2328" t="s">
        <v>338</v>
      </c>
      <c r="C2328" t="s">
        <v>63</v>
      </c>
      <c r="D2328">
        <v>0</v>
      </c>
      <c r="E2328" t="s">
        <v>378</v>
      </c>
    </row>
    <row r="2329" spans="1:5" x14ac:dyDescent="0.25">
      <c r="A2329" s="279">
        <v>39047</v>
      </c>
      <c r="B2329" t="s">
        <v>338</v>
      </c>
      <c r="C2329" t="s">
        <v>64</v>
      </c>
      <c r="D2329">
        <v>0</v>
      </c>
      <c r="E2329" t="s">
        <v>380</v>
      </c>
    </row>
    <row r="2330" spans="1:5" x14ac:dyDescent="0.25">
      <c r="A2330" s="279">
        <v>39047</v>
      </c>
      <c r="B2330" t="s">
        <v>338</v>
      </c>
      <c r="C2330" t="s">
        <v>65</v>
      </c>
      <c r="D2330">
        <v>0</v>
      </c>
      <c r="E2330" t="s">
        <v>378</v>
      </c>
    </row>
    <row r="2331" spans="1:5" x14ac:dyDescent="0.25">
      <c r="A2331" s="279">
        <v>39047</v>
      </c>
      <c r="B2331" t="s">
        <v>338</v>
      </c>
      <c r="C2331" t="s">
        <v>66</v>
      </c>
      <c r="D2331">
        <v>0</v>
      </c>
      <c r="E2331" t="s">
        <v>380</v>
      </c>
    </row>
    <row r="2332" spans="1:5" x14ac:dyDescent="0.25">
      <c r="A2332" s="279">
        <v>39047</v>
      </c>
      <c r="B2332" t="s">
        <v>338</v>
      </c>
      <c r="C2332" t="s">
        <v>120</v>
      </c>
      <c r="D2332">
        <v>0</v>
      </c>
      <c r="E2332" t="s">
        <v>378</v>
      </c>
    </row>
    <row r="2333" spans="1:5" x14ac:dyDescent="0.25">
      <c r="A2333" s="279">
        <v>39047</v>
      </c>
      <c r="B2333" t="s">
        <v>338</v>
      </c>
      <c r="C2333" t="s">
        <v>121</v>
      </c>
      <c r="D2333">
        <v>0</v>
      </c>
      <c r="E2333" t="s">
        <v>380</v>
      </c>
    </row>
    <row r="2334" spans="1:5" x14ac:dyDescent="0.25">
      <c r="A2334" s="279">
        <v>39047</v>
      </c>
      <c r="B2334" t="s">
        <v>338</v>
      </c>
      <c r="C2334" t="s">
        <v>67</v>
      </c>
      <c r="D2334">
        <v>0</v>
      </c>
      <c r="E2334" t="s">
        <v>378</v>
      </c>
    </row>
    <row r="2335" spans="1:5" x14ac:dyDescent="0.25">
      <c r="A2335" s="279">
        <v>39047</v>
      </c>
      <c r="B2335" t="s">
        <v>338</v>
      </c>
      <c r="C2335" t="s">
        <v>68</v>
      </c>
      <c r="D2335">
        <v>0</v>
      </c>
      <c r="E2335" t="s">
        <v>380</v>
      </c>
    </row>
    <row r="2336" spans="1:5" x14ac:dyDescent="0.25">
      <c r="A2336" s="279">
        <v>39047</v>
      </c>
      <c r="B2336" t="s">
        <v>338</v>
      </c>
      <c r="C2336" t="s">
        <v>69</v>
      </c>
      <c r="D2336">
        <v>34783</v>
      </c>
      <c r="E2336" t="s">
        <v>379</v>
      </c>
    </row>
    <row r="2337" spans="1:5" x14ac:dyDescent="0.25">
      <c r="A2337" s="279">
        <v>39047</v>
      </c>
      <c r="B2337" t="s">
        <v>338</v>
      </c>
      <c r="C2337" t="s">
        <v>70</v>
      </c>
      <c r="D2337">
        <v>0</v>
      </c>
      <c r="E2337" t="s">
        <v>379</v>
      </c>
    </row>
    <row r="2338" spans="1:5" x14ac:dyDescent="0.25">
      <c r="A2338" s="279">
        <v>39047</v>
      </c>
      <c r="B2338" t="s">
        <v>338</v>
      </c>
      <c r="C2338" t="s">
        <v>80</v>
      </c>
      <c r="D2338">
        <v>39</v>
      </c>
      <c r="E2338" t="s">
        <v>379</v>
      </c>
    </row>
    <row r="2339" spans="1:5" x14ac:dyDescent="0.25">
      <c r="A2339" s="279">
        <v>39047</v>
      </c>
      <c r="B2339" t="s">
        <v>339</v>
      </c>
      <c r="C2339" t="s">
        <v>71</v>
      </c>
      <c r="D2339">
        <v>0</v>
      </c>
      <c r="E2339" t="s">
        <v>378</v>
      </c>
    </row>
    <row r="2340" spans="1:5" x14ac:dyDescent="0.25">
      <c r="A2340" s="279">
        <v>39047</v>
      </c>
      <c r="B2340" t="s">
        <v>339</v>
      </c>
      <c r="C2340" t="s">
        <v>72</v>
      </c>
      <c r="D2340">
        <v>0</v>
      </c>
      <c r="E2340" t="s">
        <v>380</v>
      </c>
    </row>
    <row r="2341" spans="1:5" x14ac:dyDescent="0.25">
      <c r="A2341" s="279">
        <v>39047</v>
      </c>
      <c r="B2341" t="s">
        <v>339</v>
      </c>
      <c r="C2341" t="s">
        <v>73</v>
      </c>
      <c r="D2341">
        <v>0</v>
      </c>
      <c r="E2341" t="s">
        <v>378</v>
      </c>
    </row>
    <row r="2342" spans="1:5" x14ac:dyDescent="0.25">
      <c r="A2342" s="279">
        <v>39047</v>
      </c>
      <c r="B2342" t="s">
        <v>339</v>
      </c>
      <c r="C2342" t="s">
        <v>74</v>
      </c>
      <c r="D2342">
        <v>0</v>
      </c>
      <c r="E2342" t="s">
        <v>380</v>
      </c>
    </row>
    <row r="2343" spans="1:5" x14ac:dyDescent="0.25">
      <c r="A2343" s="279">
        <v>39047</v>
      </c>
      <c r="B2343" t="s">
        <v>339</v>
      </c>
      <c r="C2343" t="s">
        <v>75</v>
      </c>
      <c r="D2343">
        <v>15108</v>
      </c>
      <c r="E2343" t="s">
        <v>378</v>
      </c>
    </row>
    <row r="2344" spans="1:5" x14ac:dyDescent="0.25">
      <c r="A2344" s="279">
        <v>39047</v>
      </c>
      <c r="B2344" t="s">
        <v>339</v>
      </c>
      <c r="C2344" t="s">
        <v>76</v>
      </c>
      <c r="D2344">
        <v>0</v>
      </c>
      <c r="E2344" t="s">
        <v>380</v>
      </c>
    </row>
    <row r="2345" spans="1:5" x14ac:dyDescent="0.25">
      <c r="A2345" s="279">
        <v>39047</v>
      </c>
      <c r="B2345" t="s">
        <v>339</v>
      </c>
      <c r="C2345" t="s">
        <v>77</v>
      </c>
      <c r="D2345">
        <v>7317</v>
      </c>
      <c r="E2345" t="s">
        <v>378</v>
      </c>
    </row>
    <row r="2346" spans="1:5" x14ac:dyDescent="0.25">
      <c r="A2346" s="279">
        <v>39047</v>
      </c>
      <c r="B2346" t="s">
        <v>339</v>
      </c>
      <c r="C2346" t="s">
        <v>78</v>
      </c>
      <c r="D2346">
        <v>121</v>
      </c>
      <c r="E2346" t="s">
        <v>380</v>
      </c>
    </row>
    <row r="2347" spans="1:5" x14ac:dyDescent="0.25">
      <c r="A2347" s="279">
        <v>39047</v>
      </c>
      <c r="B2347" t="s">
        <v>339</v>
      </c>
      <c r="C2347" t="s">
        <v>79</v>
      </c>
      <c r="D2347">
        <v>121893</v>
      </c>
      <c r="E2347" t="s">
        <v>379</v>
      </c>
    </row>
    <row r="2348" spans="1:5" x14ac:dyDescent="0.25">
      <c r="A2348" s="279">
        <v>39047</v>
      </c>
      <c r="B2348" t="s">
        <v>339</v>
      </c>
      <c r="C2348" t="s">
        <v>70</v>
      </c>
      <c r="D2348">
        <v>0</v>
      </c>
      <c r="E2348" t="s">
        <v>379</v>
      </c>
    </row>
    <row r="2349" spans="1:5" x14ac:dyDescent="0.25">
      <c r="A2349" s="279">
        <v>39047</v>
      </c>
      <c r="B2349" t="s">
        <v>339</v>
      </c>
      <c r="C2349" t="s">
        <v>63</v>
      </c>
      <c r="D2349">
        <v>0</v>
      </c>
      <c r="E2349" t="s">
        <v>378</v>
      </c>
    </row>
    <row r="2350" spans="1:5" x14ac:dyDescent="0.25">
      <c r="A2350" s="279">
        <v>39047</v>
      </c>
      <c r="B2350" t="s">
        <v>339</v>
      </c>
      <c r="C2350" t="s">
        <v>80</v>
      </c>
      <c r="D2350">
        <v>134</v>
      </c>
      <c r="E2350" t="s">
        <v>379</v>
      </c>
    </row>
    <row r="2351" spans="1:5" x14ac:dyDescent="0.25">
      <c r="A2351" s="279">
        <v>39048</v>
      </c>
      <c r="B2351" t="s">
        <v>338</v>
      </c>
      <c r="C2351" t="s">
        <v>59</v>
      </c>
      <c r="D2351">
        <v>0</v>
      </c>
      <c r="E2351" t="s">
        <v>378</v>
      </c>
    </row>
    <row r="2352" spans="1:5" x14ac:dyDescent="0.25">
      <c r="A2352" s="279">
        <v>39048</v>
      </c>
      <c r="B2352" t="s">
        <v>338</v>
      </c>
      <c r="C2352" t="s">
        <v>60</v>
      </c>
      <c r="D2352">
        <v>0</v>
      </c>
      <c r="E2352" t="s">
        <v>379</v>
      </c>
    </row>
    <row r="2353" spans="1:5" x14ac:dyDescent="0.25">
      <c r="A2353" s="279">
        <v>39048</v>
      </c>
      <c r="B2353" t="s">
        <v>338</v>
      </c>
      <c r="C2353" t="s">
        <v>61</v>
      </c>
      <c r="D2353">
        <v>13120</v>
      </c>
      <c r="E2353" t="s">
        <v>378</v>
      </c>
    </row>
    <row r="2354" spans="1:5" x14ac:dyDescent="0.25">
      <c r="A2354" s="279">
        <v>39048</v>
      </c>
      <c r="B2354" t="s">
        <v>338</v>
      </c>
      <c r="C2354" t="s">
        <v>62</v>
      </c>
      <c r="D2354">
        <v>0</v>
      </c>
      <c r="E2354" t="s">
        <v>380</v>
      </c>
    </row>
    <row r="2355" spans="1:5" x14ac:dyDescent="0.25">
      <c r="A2355" s="279">
        <v>39048</v>
      </c>
      <c r="B2355" t="s">
        <v>338</v>
      </c>
      <c r="C2355" t="s">
        <v>63</v>
      </c>
      <c r="D2355">
        <v>0</v>
      </c>
      <c r="E2355" t="s">
        <v>378</v>
      </c>
    </row>
    <row r="2356" spans="1:5" x14ac:dyDescent="0.25">
      <c r="A2356" s="279">
        <v>39048</v>
      </c>
      <c r="B2356" t="s">
        <v>338</v>
      </c>
      <c r="C2356" t="s">
        <v>64</v>
      </c>
      <c r="D2356">
        <v>0</v>
      </c>
      <c r="E2356" t="s">
        <v>380</v>
      </c>
    </row>
    <row r="2357" spans="1:5" x14ac:dyDescent="0.25">
      <c r="A2357" s="279">
        <v>39048</v>
      </c>
      <c r="B2357" t="s">
        <v>338</v>
      </c>
      <c r="C2357" t="s">
        <v>65</v>
      </c>
      <c r="D2357">
        <v>0</v>
      </c>
      <c r="E2357" t="s">
        <v>378</v>
      </c>
    </row>
    <row r="2358" spans="1:5" x14ac:dyDescent="0.25">
      <c r="A2358" s="279">
        <v>39048</v>
      </c>
      <c r="B2358" t="s">
        <v>338</v>
      </c>
      <c r="C2358" t="s">
        <v>66</v>
      </c>
      <c r="D2358">
        <v>0</v>
      </c>
      <c r="E2358" t="s">
        <v>380</v>
      </c>
    </row>
    <row r="2359" spans="1:5" x14ac:dyDescent="0.25">
      <c r="A2359" s="279">
        <v>39048</v>
      </c>
      <c r="B2359" t="s">
        <v>338</v>
      </c>
      <c r="C2359" t="s">
        <v>120</v>
      </c>
      <c r="D2359">
        <v>3203</v>
      </c>
      <c r="E2359" t="s">
        <v>378</v>
      </c>
    </row>
    <row r="2360" spans="1:5" x14ac:dyDescent="0.25">
      <c r="A2360" s="279">
        <v>39048</v>
      </c>
      <c r="B2360" t="s">
        <v>338</v>
      </c>
      <c r="C2360" t="s">
        <v>121</v>
      </c>
      <c r="D2360">
        <v>0</v>
      </c>
      <c r="E2360" t="s">
        <v>380</v>
      </c>
    </row>
    <row r="2361" spans="1:5" x14ac:dyDescent="0.25">
      <c r="A2361" s="279">
        <v>39048</v>
      </c>
      <c r="B2361" t="s">
        <v>338</v>
      </c>
      <c r="C2361" t="s">
        <v>67</v>
      </c>
      <c r="D2361">
        <v>0</v>
      </c>
      <c r="E2361" t="s">
        <v>378</v>
      </c>
    </row>
    <row r="2362" spans="1:5" x14ac:dyDescent="0.25">
      <c r="A2362" s="279">
        <v>39048</v>
      </c>
      <c r="B2362" t="s">
        <v>338</v>
      </c>
      <c r="C2362" t="s">
        <v>68</v>
      </c>
      <c r="D2362">
        <v>0</v>
      </c>
      <c r="E2362" t="s">
        <v>380</v>
      </c>
    </row>
    <row r="2363" spans="1:5" x14ac:dyDescent="0.25">
      <c r="A2363" s="279">
        <v>39048</v>
      </c>
      <c r="B2363" t="s">
        <v>338</v>
      </c>
      <c r="C2363" t="s">
        <v>69</v>
      </c>
      <c r="D2363">
        <v>34749</v>
      </c>
      <c r="E2363" t="s">
        <v>379</v>
      </c>
    </row>
    <row r="2364" spans="1:5" x14ac:dyDescent="0.25">
      <c r="A2364" s="279">
        <v>39048</v>
      </c>
      <c r="B2364" t="s">
        <v>338</v>
      </c>
      <c r="C2364" t="s">
        <v>70</v>
      </c>
      <c r="D2364">
        <v>0</v>
      </c>
      <c r="E2364" t="s">
        <v>379</v>
      </c>
    </row>
    <row r="2365" spans="1:5" x14ac:dyDescent="0.25">
      <c r="A2365" s="279">
        <v>39048</v>
      </c>
      <c r="B2365" t="s">
        <v>338</v>
      </c>
      <c r="C2365" t="s">
        <v>80</v>
      </c>
      <c r="D2365">
        <v>142</v>
      </c>
      <c r="E2365" t="s">
        <v>379</v>
      </c>
    </row>
    <row r="2366" spans="1:5" x14ac:dyDescent="0.25">
      <c r="A2366" s="279">
        <v>39048</v>
      </c>
      <c r="B2366" t="s">
        <v>339</v>
      </c>
      <c r="C2366" t="s">
        <v>71</v>
      </c>
      <c r="D2366">
        <v>0</v>
      </c>
      <c r="E2366" t="s">
        <v>378</v>
      </c>
    </row>
    <row r="2367" spans="1:5" x14ac:dyDescent="0.25">
      <c r="A2367" s="279">
        <v>39048</v>
      </c>
      <c r="B2367" t="s">
        <v>339</v>
      </c>
      <c r="C2367" t="s">
        <v>72</v>
      </c>
      <c r="D2367">
        <v>0</v>
      </c>
      <c r="E2367" t="s">
        <v>380</v>
      </c>
    </row>
    <row r="2368" spans="1:5" x14ac:dyDescent="0.25">
      <c r="A2368" s="279">
        <v>39048</v>
      </c>
      <c r="B2368" t="s">
        <v>339</v>
      </c>
      <c r="C2368" t="s">
        <v>73</v>
      </c>
      <c r="D2368">
        <v>72</v>
      </c>
      <c r="E2368" t="s">
        <v>378</v>
      </c>
    </row>
    <row r="2369" spans="1:5" x14ac:dyDescent="0.25">
      <c r="A2369" s="279">
        <v>39048</v>
      </c>
      <c r="B2369" t="s">
        <v>339</v>
      </c>
      <c r="C2369" t="s">
        <v>74</v>
      </c>
      <c r="D2369">
        <v>0</v>
      </c>
      <c r="E2369" t="s">
        <v>380</v>
      </c>
    </row>
    <row r="2370" spans="1:5" x14ac:dyDescent="0.25">
      <c r="A2370" s="279">
        <v>39048</v>
      </c>
      <c r="B2370" t="s">
        <v>339</v>
      </c>
      <c r="C2370" t="s">
        <v>75</v>
      </c>
      <c r="D2370">
        <v>15138</v>
      </c>
      <c r="E2370" t="s">
        <v>378</v>
      </c>
    </row>
    <row r="2371" spans="1:5" x14ac:dyDescent="0.25">
      <c r="A2371" s="279">
        <v>39048</v>
      </c>
      <c r="B2371" t="s">
        <v>339</v>
      </c>
      <c r="C2371" t="s">
        <v>76</v>
      </c>
      <c r="D2371">
        <v>0</v>
      </c>
      <c r="E2371" t="s">
        <v>380</v>
      </c>
    </row>
    <row r="2372" spans="1:5" x14ac:dyDescent="0.25">
      <c r="A2372" s="279">
        <v>39048</v>
      </c>
      <c r="B2372" t="s">
        <v>339</v>
      </c>
      <c r="C2372" t="s">
        <v>77</v>
      </c>
      <c r="D2372">
        <v>7331</v>
      </c>
      <c r="E2372" t="s">
        <v>378</v>
      </c>
    </row>
    <row r="2373" spans="1:5" x14ac:dyDescent="0.25">
      <c r="A2373" s="279">
        <v>39048</v>
      </c>
      <c r="B2373" t="s">
        <v>339</v>
      </c>
      <c r="C2373" t="s">
        <v>78</v>
      </c>
      <c r="D2373">
        <v>0</v>
      </c>
      <c r="E2373" t="s">
        <v>380</v>
      </c>
    </row>
    <row r="2374" spans="1:5" x14ac:dyDescent="0.25">
      <c r="A2374" s="279">
        <v>39048</v>
      </c>
      <c r="B2374" t="s">
        <v>339</v>
      </c>
      <c r="C2374" t="s">
        <v>79</v>
      </c>
      <c r="D2374">
        <v>122130</v>
      </c>
      <c r="E2374" t="s">
        <v>379</v>
      </c>
    </row>
    <row r="2375" spans="1:5" x14ac:dyDescent="0.25">
      <c r="A2375" s="279">
        <v>39048</v>
      </c>
      <c r="B2375" t="s">
        <v>339</v>
      </c>
      <c r="C2375" t="s">
        <v>70</v>
      </c>
      <c r="D2375">
        <v>0</v>
      </c>
      <c r="E2375" t="s">
        <v>379</v>
      </c>
    </row>
    <row r="2376" spans="1:5" x14ac:dyDescent="0.25">
      <c r="A2376" s="279">
        <v>39048</v>
      </c>
      <c r="B2376" t="s">
        <v>339</v>
      </c>
      <c r="C2376" t="s">
        <v>63</v>
      </c>
      <c r="D2376">
        <v>0</v>
      </c>
      <c r="E2376" t="s">
        <v>378</v>
      </c>
    </row>
    <row r="2377" spans="1:5" x14ac:dyDescent="0.25">
      <c r="A2377" s="279">
        <v>39048</v>
      </c>
      <c r="B2377" t="s">
        <v>339</v>
      </c>
      <c r="C2377" t="s">
        <v>80</v>
      </c>
      <c r="D2377">
        <v>137</v>
      </c>
      <c r="E2377" t="s">
        <v>379</v>
      </c>
    </row>
    <row r="2378" spans="1:5" x14ac:dyDescent="0.25">
      <c r="A2378" s="279">
        <v>39049</v>
      </c>
      <c r="B2378" t="s">
        <v>338</v>
      </c>
      <c r="C2378" t="s">
        <v>59</v>
      </c>
      <c r="D2378">
        <v>0</v>
      </c>
      <c r="E2378" t="s">
        <v>378</v>
      </c>
    </row>
    <row r="2379" spans="1:5" x14ac:dyDescent="0.25">
      <c r="A2379" s="279">
        <v>39049</v>
      </c>
      <c r="B2379" t="s">
        <v>338</v>
      </c>
      <c r="C2379" t="s">
        <v>60</v>
      </c>
      <c r="D2379">
        <v>0</v>
      </c>
      <c r="E2379" t="s">
        <v>379</v>
      </c>
    </row>
    <row r="2380" spans="1:5" x14ac:dyDescent="0.25">
      <c r="A2380" s="279">
        <v>39049</v>
      </c>
      <c r="B2380" t="s">
        <v>338</v>
      </c>
      <c r="C2380" t="s">
        <v>61</v>
      </c>
      <c r="D2380">
        <v>0</v>
      </c>
      <c r="E2380" t="s">
        <v>378</v>
      </c>
    </row>
    <row r="2381" spans="1:5" x14ac:dyDescent="0.25">
      <c r="A2381" s="279">
        <v>39049</v>
      </c>
      <c r="B2381" t="s">
        <v>338</v>
      </c>
      <c r="C2381" t="s">
        <v>62</v>
      </c>
      <c r="D2381">
        <v>0</v>
      </c>
      <c r="E2381" t="s">
        <v>380</v>
      </c>
    </row>
    <row r="2382" spans="1:5" x14ac:dyDescent="0.25">
      <c r="A2382" s="279">
        <v>39049</v>
      </c>
      <c r="B2382" t="s">
        <v>338</v>
      </c>
      <c r="C2382" t="s">
        <v>63</v>
      </c>
      <c r="D2382">
        <v>0</v>
      </c>
      <c r="E2382" t="s">
        <v>378</v>
      </c>
    </row>
    <row r="2383" spans="1:5" x14ac:dyDescent="0.25">
      <c r="A2383" s="279">
        <v>39049</v>
      </c>
      <c r="B2383" t="s">
        <v>338</v>
      </c>
      <c r="C2383" t="s">
        <v>64</v>
      </c>
      <c r="D2383">
        <v>0</v>
      </c>
      <c r="E2383" t="s">
        <v>380</v>
      </c>
    </row>
    <row r="2384" spans="1:5" x14ac:dyDescent="0.25">
      <c r="A2384" s="279">
        <v>39049</v>
      </c>
      <c r="B2384" t="s">
        <v>338</v>
      </c>
      <c r="C2384" t="s">
        <v>65</v>
      </c>
      <c r="D2384">
        <v>0</v>
      </c>
      <c r="E2384" t="s">
        <v>378</v>
      </c>
    </row>
    <row r="2385" spans="1:5" x14ac:dyDescent="0.25">
      <c r="A2385" s="279">
        <v>39049</v>
      </c>
      <c r="B2385" t="s">
        <v>338</v>
      </c>
      <c r="C2385" t="s">
        <v>66</v>
      </c>
      <c r="D2385">
        <v>0</v>
      </c>
      <c r="E2385" t="s">
        <v>380</v>
      </c>
    </row>
    <row r="2386" spans="1:5" x14ac:dyDescent="0.25">
      <c r="A2386" s="279">
        <v>39049</v>
      </c>
      <c r="B2386" t="s">
        <v>338</v>
      </c>
      <c r="C2386" t="s">
        <v>120</v>
      </c>
      <c r="D2386">
        <v>1941</v>
      </c>
      <c r="E2386" t="s">
        <v>378</v>
      </c>
    </row>
    <row r="2387" spans="1:5" x14ac:dyDescent="0.25">
      <c r="A2387" s="279">
        <v>39049</v>
      </c>
      <c r="B2387" t="s">
        <v>338</v>
      </c>
      <c r="C2387" t="s">
        <v>121</v>
      </c>
      <c r="D2387">
        <v>0</v>
      </c>
      <c r="E2387" t="s">
        <v>380</v>
      </c>
    </row>
    <row r="2388" spans="1:5" x14ac:dyDescent="0.25">
      <c r="A2388" s="279">
        <v>39049</v>
      </c>
      <c r="B2388" t="s">
        <v>338</v>
      </c>
      <c r="C2388" t="s">
        <v>67</v>
      </c>
      <c r="D2388">
        <v>0</v>
      </c>
      <c r="E2388" t="s">
        <v>378</v>
      </c>
    </row>
    <row r="2389" spans="1:5" x14ac:dyDescent="0.25">
      <c r="A2389" s="279">
        <v>39049</v>
      </c>
      <c r="B2389" t="s">
        <v>338</v>
      </c>
      <c r="C2389" t="s">
        <v>68</v>
      </c>
      <c r="D2389">
        <v>0</v>
      </c>
      <c r="E2389" t="s">
        <v>380</v>
      </c>
    </row>
    <row r="2390" spans="1:5" x14ac:dyDescent="0.25">
      <c r="A2390" s="279">
        <v>39049</v>
      </c>
      <c r="B2390" t="s">
        <v>338</v>
      </c>
      <c r="C2390" t="s">
        <v>69</v>
      </c>
      <c r="D2390">
        <v>34783</v>
      </c>
      <c r="E2390" t="s">
        <v>379</v>
      </c>
    </row>
    <row r="2391" spans="1:5" x14ac:dyDescent="0.25">
      <c r="A2391" s="279">
        <v>39049</v>
      </c>
      <c r="B2391" t="s">
        <v>338</v>
      </c>
      <c r="C2391" t="s">
        <v>70</v>
      </c>
      <c r="D2391">
        <v>0</v>
      </c>
      <c r="E2391" t="s">
        <v>379</v>
      </c>
    </row>
    <row r="2392" spans="1:5" x14ac:dyDescent="0.25">
      <c r="A2392" s="279">
        <v>39049</v>
      </c>
      <c r="B2392" t="s">
        <v>338</v>
      </c>
      <c r="C2392" t="s">
        <v>80</v>
      </c>
      <c r="D2392">
        <v>17</v>
      </c>
      <c r="E2392" t="s">
        <v>379</v>
      </c>
    </row>
    <row r="2393" spans="1:5" x14ac:dyDescent="0.25">
      <c r="A2393" s="279">
        <v>39049</v>
      </c>
      <c r="B2393" t="s">
        <v>339</v>
      </c>
      <c r="C2393" t="s">
        <v>71</v>
      </c>
      <c r="D2393">
        <v>0</v>
      </c>
      <c r="E2393" t="s">
        <v>378</v>
      </c>
    </row>
    <row r="2394" spans="1:5" x14ac:dyDescent="0.25">
      <c r="A2394" s="279">
        <v>39049</v>
      </c>
      <c r="B2394" t="s">
        <v>339</v>
      </c>
      <c r="C2394" t="s">
        <v>72</v>
      </c>
      <c r="D2394">
        <v>0</v>
      </c>
      <c r="E2394" t="s">
        <v>380</v>
      </c>
    </row>
    <row r="2395" spans="1:5" x14ac:dyDescent="0.25">
      <c r="A2395" s="279">
        <v>39049</v>
      </c>
      <c r="B2395" t="s">
        <v>339</v>
      </c>
      <c r="C2395" t="s">
        <v>73</v>
      </c>
      <c r="D2395">
        <v>0</v>
      </c>
      <c r="E2395" t="s">
        <v>378</v>
      </c>
    </row>
    <row r="2396" spans="1:5" x14ac:dyDescent="0.25">
      <c r="A2396" s="279">
        <v>39049</v>
      </c>
      <c r="B2396" t="s">
        <v>339</v>
      </c>
      <c r="C2396" t="s">
        <v>74</v>
      </c>
      <c r="D2396">
        <v>0</v>
      </c>
      <c r="E2396" t="s">
        <v>380</v>
      </c>
    </row>
    <row r="2397" spans="1:5" x14ac:dyDescent="0.25">
      <c r="A2397" s="279">
        <v>39049</v>
      </c>
      <c r="B2397" t="s">
        <v>339</v>
      </c>
      <c r="C2397" t="s">
        <v>75</v>
      </c>
      <c r="D2397">
        <v>15152</v>
      </c>
      <c r="E2397" t="s">
        <v>378</v>
      </c>
    </row>
    <row r="2398" spans="1:5" x14ac:dyDescent="0.25">
      <c r="A2398" s="279">
        <v>39049</v>
      </c>
      <c r="B2398" t="s">
        <v>339</v>
      </c>
      <c r="C2398" t="s">
        <v>76</v>
      </c>
      <c r="D2398">
        <v>0</v>
      </c>
      <c r="E2398" t="s">
        <v>380</v>
      </c>
    </row>
    <row r="2399" spans="1:5" x14ac:dyDescent="0.25">
      <c r="A2399" s="279">
        <v>39049</v>
      </c>
      <c r="B2399" t="s">
        <v>339</v>
      </c>
      <c r="C2399" t="s">
        <v>77</v>
      </c>
      <c r="D2399">
        <v>7339</v>
      </c>
      <c r="E2399" t="s">
        <v>378</v>
      </c>
    </row>
    <row r="2400" spans="1:5" x14ac:dyDescent="0.25">
      <c r="A2400" s="279">
        <v>39049</v>
      </c>
      <c r="B2400" t="s">
        <v>339</v>
      </c>
      <c r="C2400" t="s">
        <v>78</v>
      </c>
      <c r="D2400">
        <v>6</v>
      </c>
      <c r="E2400" t="s">
        <v>380</v>
      </c>
    </row>
    <row r="2401" spans="1:5" x14ac:dyDescent="0.25">
      <c r="A2401" s="279">
        <v>39049</v>
      </c>
      <c r="B2401" t="s">
        <v>339</v>
      </c>
      <c r="C2401" t="s">
        <v>79</v>
      </c>
      <c r="D2401">
        <v>94844</v>
      </c>
      <c r="E2401" t="s">
        <v>379</v>
      </c>
    </row>
    <row r="2402" spans="1:5" x14ac:dyDescent="0.25">
      <c r="A2402" s="279">
        <v>39049</v>
      </c>
      <c r="B2402" t="s">
        <v>339</v>
      </c>
      <c r="C2402" t="s">
        <v>70</v>
      </c>
      <c r="D2402">
        <v>0</v>
      </c>
      <c r="E2402" t="s">
        <v>379</v>
      </c>
    </row>
    <row r="2403" spans="1:5" x14ac:dyDescent="0.25">
      <c r="A2403" s="279">
        <v>39049</v>
      </c>
      <c r="B2403" t="s">
        <v>339</v>
      </c>
      <c r="C2403" t="s">
        <v>63</v>
      </c>
      <c r="D2403">
        <v>0</v>
      </c>
      <c r="E2403" t="s">
        <v>378</v>
      </c>
    </row>
    <row r="2404" spans="1:5" x14ac:dyDescent="0.25">
      <c r="A2404" s="279">
        <v>39049</v>
      </c>
      <c r="B2404" t="s">
        <v>339</v>
      </c>
      <c r="C2404" t="s">
        <v>80</v>
      </c>
      <c r="D2404">
        <v>135</v>
      </c>
      <c r="E2404" t="s">
        <v>379</v>
      </c>
    </row>
    <row r="2405" spans="1:5" x14ac:dyDescent="0.25">
      <c r="A2405" s="279">
        <v>39050</v>
      </c>
      <c r="B2405" t="s">
        <v>338</v>
      </c>
      <c r="C2405" t="s">
        <v>59</v>
      </c>
      <c r="D2405">
        <v>0</v>
      </c>
      <c r="E2405" t="s">
        <v>378</v>
      </c>
    </row>
    <row r="2406" spans="1:5" x14ac:dyDescent="0.25">
      <c r="A2406" s="279">
        <v>39050</v>
      </c>
      <c r="B2406" t="s">
        <v>338</v>
      </c>
      <c r="C2406" t="s">
        <v>60</v>
      </c>
      <c r="D2406">
        <v>0</v>
      </c>
      <c r="E2406" t="s">
        <v>379</v>
      </c>
    </row>
    <row r="2407" spans="1:5" x14ac:dyDescent="0.25">
      <c r="A2407" s="279">
        <v>39050</v>
      </c>
      <c r="B2407" t="s">
        <v>338</v>
      </c>
      <c r="C2407" t="s">
        <v>61</v>
      </c>
      <c r="D2407">
        <v>0</v>
      </c>
      <c r="E2407" t="s">
        <v>378</v>
      </c>
    </row>
    <row r="2408" spans="1:5" x14ac:dyDescent="0.25">
      <c r="A2408" s="279">
        <v>39050</v>
      </c>
      <c r="B2408" t="s">
        <v>338</v>
      </c>
      <c r="C2408" t="s">
        <v>62</v>
      </c>
      <c r="D2408">
        <v>0</v>
      </c>
      <c r="E2408" t="s">
        <v>380</v>
      </c>
    </row>
    <row r="2409" spans="1:5" x14ac:dyDescent="0.25">
      <c r="A2409" s="279">
        <v>39050</v>
      </c>
      <c r="B2409" t="s">
        <v>338</v>
      </c>
      <c r="C2409" t="s">
        <v>63</v>
      </c>
      <c r="D2409">
        <v>0</v>
      </c>
      <c r="E2409" t="s">
        <v>378</v>
      </c>
    </row>
    <row r="2410" spans="1:5" x14ac:dyDescent="0.25">
      <c r="A2410" s="279">
        <v>39050</v>
      </c>
      <c r="B2410" t="s">
        <v>338</v>
      </c>
      <c r="C2410" t="s">
        <v>64</v>
      </c>
      <c r="D2410">
        <v>0</v>
      </c>
      <c r="E2410" t="s">
        <v>380</v>
      </c>
    </row>
    <row r="2411" spans="1:5" x14ac:dyDescent="0.25">
      <c r="A2411" s="279">
        <v>39050</v>
      </c>
      <c r="B2411" t="s">
        <v>338</v>
      </c>
      <c r="C2411" t="s">
        <v>65</v>
      </c>
      <c r="D2411">
        <v>0</v>
      </c>
      <c r="E2411" t="s">
        <v>378</v>
      </c>
    </row>
    <row r="2412" spans="1:5" x14ac:dyDescent="0.25">
      <c r="A2412" s="279">
        <v>39050</v>
      </c>
      <c r="B2412" t="s">
        <v>338</v>
      </c>
      <c r="C2412" t="s">
        <v>66</v>
      </c>
      <c r="D2412">
        <v>0</v>
      </c>
      <c r="E2412" t="s">
        <v>380</v>
      </c>
    </row>
    <row r="2413" spans="1:5" x14ac:dyDescent="0.25">
      <c r="A2413" s="279">
        <v>39050</v>
      </c>
      <c r="B2413" t="s">
        <v>338</v>
      </c>
      <c r="C2413" t="s">
        <v>120</v>
      </c>
      <c r="D2413">
        <v>9449</v>
      </c>
      <c r="E2413" t="s">
        <v>378</v>
      </c>
    </row>
    <row r="2414" spans="1:5" x14ac:dyDescent="0.25">
      <c r="A2414" s="279">
        <v>39050</v>
      </c>
      <c r="B2414" t="s">
        <v>338</v>
      </c>
      <c r="C2414" t="s">
        <v>121</v>
      </c>
      <c r="D2414">
        <v>0</v>
      </c>
      <c r="E2414" t="s">
        <v>380</v>
      </c>
    </row>
    <row r="2415" spans="1:5" x14ac:dyDescent="0.25">
      <c r="A2415" s="279">
        <v>39050</v>
      </c>
      <c r="B2415" t="s">
        <v>338</v>
      </c>
      <c r="C2415" t="s">
        <v>67</v>
      </c>
      <c r="D2415">
        <v>0</v>
      </c>
      <c r="E2415" t="s">
        <v>378</v>
      </c>
    </row>
    <row r="2416" spans="1:5" x14ac:dyDescent="0.25">
      <c r="A2416" s="279">
        <v>39050</v>
      </c>
      <c r="B2416" t="s">
        <v>338</v>
      </c>
      <c r="C2416" t="s">
        <v>68</v>
      </c>
      <c r="D2416">
        <v>0</v>
      </c>
      <c r="E2416" t="s">
        <v>380</v>
      </c>
    </row>
    <row r="2417" spans="1:5" x14ac:dyDescent="0.25">
      <c r="A2417" s="279">
        <v>39050</v>
      </c>
      <c r="B2417" t="s">
        <v>338</v>
      </c>
      <c r="C2417" t="s">
        <v>69</v>
      </c>
      <c r="D2417">
        <v>34783</v>
      </c>
      <c r="E2417" t="s">
        <v>379</v>
      </c>
    </row>
    <row r="2418" spans="1:5" x14ac:dyDescent="0.25">
      <c r="A2418" s="279">
        <v>39050</v>
      </c>
      <c r="B2418" t="s">
        <v>338</v>
      </c>
      <c r="C2418" t="s">
        <v>70</v>
      </c>
      <c r="D2418">
        <v>0</v>
      </c>
      <c r="E2418" t="s">
        <v>379</v>
      </c>
    </row>
    <row r="2419" spans="1:5" x14ac:dyDescent="0.25">
      <c r="A2419" s="279">
        <v>39050</v>
      </c>
      <c r="B2419" t="s">
        <v>338</v>
      </c>
      <c r="C2419" t="s">
        <v>80</v>
      </c>
      <c r="D2419">
        <v>82</v>
      </c>
      <c r="E2419" t="s">
        <v>379</v>
      </c>
    </row>
    <row r="2420" spans="1:5" x14ac:dyDescent="0.25">
      <c r="A2420" s="279">
        <v>39050</v>
      </c>
      <c r="B2420" t="s">
        <v>339</v>
      </c>
      <c r="C2420" t="s">
        <v>71</v>
      </c>
      <c r="D2420">
        <v>0</v>
      </c>
      <c r="E2420" t="s">
        <v>378</v>
      </c>
    </row>
    <row r="2421" spans="1:5" x14ac:dyDescent="0.25">
      <c r="A2421" s="279">
        <v>39050</v>
      </c>
      <c r="B2421" t="s">
        <v>339</v>
      </c>
      <c r="C2421" t="s">
        <v>72</v>
      </c>
      <c r="D2421">
        <v>0</v>
      </c>
      <c r="E2421" t="s">
        <v>380</v>
      </c>
    </row>
    <row r="2422" spans="1:5" x14ac:dyDescent="0.25">
      <c r="A2422" s="279">
        <v>39050</v>
      </c>
      <c r="B2422" t="s">
        <v>339</v>
      </c>
      <c r="C2422" t="s">
        <v>73</v>
      </c>
      <c r="D2422">
        <v>4940</v>
      </c>
      <c r="E2422" t="s">
        <v>378</v>
      </c>
    </row>
    <row r="2423" spans="1:5" x14ac:dyDescent="0.25">
      <c r="A2423" s="279">
        <v>39050</v>
      </c>
      <c r="B2423" t="s">
        <v>339</v>
      </c>
      <c r="C2423" t="s">
        <v>74</v>
      </c>
      <c r="D2423">
        <v>0</v>
      </c>
      <c r="E2423" t="s">
        <v>380</v>
      </c>
    </row>
    <row r="2424" spans="1:5" x14ac:dyDescent="0.25">
      <c r="A2424" s="279">
        <v>39050</v>
      </c>
      <c r="B2424" t="s">
        <v>339</v>
      </c>
      <c r="C2424" t="s">
        <v>75</v>
      </c>
      <c r="D2424">
        <v>15138</v>
      </c>
      <c r="E2424" t="s">
        <v>378</v>
      </c>
    </row>
    <row r="2425" spans="1:5" x14ac:dyDescent="0.25">
      <c r="A2425" s="279">
        <v>39050</v>
      </c>
      <c r="B2425" t="s">
        <v>339</v>
      </c>
      <c r="C2425" t="s">
        <v>76</v>
      </c>
      <c r="D2425">
        <v>0</v>
      </c>
      <c r="E2425" t="s">
        <v>380</v>
      </c>
    </row>
    <row r="2426" spans="1:5" x14ac:dyDescent="0.25">
      <c r="A2426" s="279">
        <v>39050</v>
      </c>
      <c r="B2426" t="s">
        <v>339</v>
      </c>
      <c r="C2426" t="s">
        <v>77</v>
      </c>
      <c r="D2426">
        <v>7331</v>
      </c>
      <c r="E2426" t="s">
        <v>378</v>
      </c>
    </row>
    <row r="2427" spans="1:5" x14ac:dyDescent="0.25">
      <c r="A2427" s="279">
        <v>39050</v>
      </c>
      <c r="B2427" t="s">
        <v>339</v>
      </c>
      <c r="C2427" t="s">
        <v>78</v>
      </c>
      <c r="D2427">
        <v>0</v>
      </c>
      <c r="E2427" t="s">
        <v>380</v>
      </c>
    </row>
    <row r="2428" spans="1:5" x14ac:dyDescent="0.25">
      <c r="A2428" s="279">
        <v>39050</v>
      </c>
      <c r="B2428" t="s">
        <v>339</v>
      </c>
      <c r="C2428" t="s">
        <v>79</v>
      </c>
      <c r="D2428">
        <v>80169</v>
      </c>
      <c r="E2428" t="s">
        <v>379</v>
      </c>
    </row>
    <row r="2429" spans="1:5" x14ac:dyDescent="0.25">
      <c r="A2429" s="279">
        <v>39050</v>
      </c>
      <c r="B2429" t="s">
        <v>339</v>
      </c>
      <c r="C2429" t="s">
        <v>70</v>
      </c>
      <c r="D2429">
        <v>0</v>
      </c>
      <c r="E2429" t="s">
        <v>379</v>
      </c>
    </row>
    <row r="2430" spans="1:5" x14ac:dyDescent="0.25">
      <c r="A2430" s="279">
        <v>39050</v>
      </c>
      <c r="B2430" t="s">
        <v>339</v>
      </c>
      <c r="C2430" t="s">
        <v>63</v>
      </c>
      <c r="D2430">
        <v>0</v>
      </c>
      <c r="E2430" t="s">
        <v>378</v>
      </c>
    </row>
    <row r="2431" spans="1:5" x14ac:dyDescent="0.25">
      <c r="A2431" s="279">
        <v>39050</v>
      </c>
      <c r="B2431" t="s">
        <v>339</v>
      </c>
      <c r="C2431" t="s">
        <v>80</v>
      </c>
      <c r="D2431">
        <v>323</v>
      </c>
      <c r="E2431" t="s">
        <v>379</v>
      </c>
    </row>
    <row r="2432" spans="1:5" x14ac:dyDescent="0.25">
      <c r="A2432" s="279">
        <v>39051</v>
      </c>
      <c r="B2432" t="s">
        <v>338</v>
      </c>
      <c r="C2432" t="s">
        <v>59</v>
      </c>
      <c r="D2432">
        <v>0</v>
      </c>
      <c r="E2432" t="s">
        <v>378</v>
      </c>
    </row>
    <row r="2433" spans="1:5" x14ac:dyDescent="0.25">
      <c r="A2433" s="279">
        <v>39051</v>
      </c>
      <c r="B2433" t="s">
        <v>338</v>
      </c>
      <c r="C2433" t="s">
        <v>60</v>
      </c>
      <c r="D2433">
        <v>0</v>
      </c>
      <c r="E2433" t="s">
        <v>379</v>
      </c>
    </row>
    <row r="2434" spans="1:5" x14ac:dyDescent="0.25">
      <c r="A2434" s="279">
        <v>39051</v>
      </c>
      <c r="B2434" t="s">
        <v>338</v>
      </c>
      <c r="C2434" t="s">
        <v>61</v>
      </c>
      <c r="D2434">
        <v>12006</v>
      </c>
      <c r="E2434" t="s">
        <v>378</v>
      </c>
    </row>
    <row r="2435" spans="1:5" x14ac:dyDescent="0.25">
      <c r="A2435" s="279">
        <v>39051</v>
      </c>
      <c r="B2435" t="s">
        <v>338</v>
      </c>
      <c r="C2435" t="s">
        <v>62</v>
      </c>
      <c r="D2435">
        <v>0</v>
      </c>
      <c r="E2435" t="s">
        <v>380</v>
      </c>
    </row>
    <row r="2436" spans="1:5" x14ac:dyDescent="0.25">
      <c r="A2436" s="279">
        <v>39051</v>
      </c>
      <c r="B2436" t="s">
        <v>338</v>
      </c>
      <c r="C2436" t="s">
        <v>63</v>
      </c>
      <c r="D2436">
        <v>0</v>
      </c>
      <c r="E2436" t="s">
        <v>378</v>
      </c>
    </row>
    <row r="2437" spans="1:5" x14ac:dyDescent="0.25">
      <c r="A2437" s="279">
        <v>39051</v>
      </c>
      <c r="B2437" t="s">
        <v>338</v>
      </c>
      <c r="C2437" t="s">
        <v>64</v>
      </c>
      <c r="D2437">
        <v>0</v>
      </c>
      <c r="E2437" t="s">
        <v>380</v>
      </c>
    </row>
    <row r="2438" spans="1:5" x14ac:dyDescent="0.25">
      <c r="A2438" s="279">
        <v>39051</v>
      </c>
      <c r="B2438" t="s">
        <v>338</v>
      </c>
      <c r="C2438" t="s">
        <v>65</v>
      </c>
      <c r="D2438">
        <v>15154</v>
      </c>
      <c r="E2438" t="s">
        <v>378</v>
      </c>
    </row>
    <row r="2439" spans="1:5" x14ac:dyDescent="0.25">
      <c r="A2439" s="279">
        <v>39051</v>
      </c>
      <c r="B2439" t="s">
        <v>338</v>
      </c>
      <c r="C2439" t="s">
        <v>66</v>
      </c>
      <c r="D2439">
        <v>0</v>
      </c>
      <c r="E2439" t="s">
        <v>380</v>
      </c>
    </row>
    <row r="2440" spans="1:5" x14ac:dyDescent="0.25">
      <c r="A2440" s="279">
        <v>39051</v>
      </c>
      <c r="B2440" t="s">
        <v>338</v>
      </c>
      <c r="C2440" t="s">
        <v>120</v>
      </c>
      <c r="D2440">
        <v>12239</v>
      </c>
      <c r="E2440" t="s">
        <v>378</v>
      </c>
    </row>
    <row r="2441" spans="1:5" x14ac:dyDescent="0.25">
      <c r="A2441" s="279">
        <v>39051</v>
      </c>
      <c r="B2441" t="s">
        <v>338</v>
      </c>
      <c r="C2441" t="s">
        <v>121</v>
      </c>
      <c r="D2441">
        <v>0</v>
      </c>
      <c r="E2441" t="s">
        <v>380</v>
      </c>
    </row>
    <row r="2442" spans="1:5" x14ac:dyDescent="0.25">
      <c r="A2442" s="279">
        <v>39051</v>
      </c>
      <c r="B2442" t="s">
        <v>338</v>
      </c>
      <c r="C2442" t="s">
        <v>67</v>
      </c>
      <c r="D2442">
        <v>0</v>
      </c>
      <c r="E2442" t="s">
        <v>378</v>
      </c>
    </row>
    <row r="2443" spans="1:5" x14ac:dyDescent="0.25">
      <c r="A2443" s="279">
        <v>39051</v>
      </c>
      <c r="B2443" t="s">
        <v>338</v>
      </c>
      <c r="C2443" t="s">
        <v>68</v>
      </c>
      <c r="D2443">
        <v>0</v>
      </c>
      <c r="E2443" t="s">
        <v>380</v>
      </c>
    </row>
    <row r="2444" spans="1:5" x14ac:dyDescent="0.25">
      <c r="A2444" s="279">
        <v>39051</v>
      </c>
      <c r="B2444" t="s">
        <v>338</v>
      </c>
      <c r="C2444" t="s">
        <v>69</v>
      </c>
      <c r="D2444">
        <v>34850</v>
      </c>
      <c r="E2444" t="s">
        <v>379</v>
      </c>
    </row>
    <row r="2445" spans="1:5" x14ac:dyDescent="0.25">
      <c r="A2445" s="279">
        <v>39051</v>
      </c>
      <c r="B2445" t="s">
        <v>338</v>
      </c>
      <c r="C2445" t="s">
        <v>70</v>
      </c>
      <c r="D2445">
        <v>0</v>
      </c>
      <c r="E2445" t="s">
        <v>379</v>
      </c>
    </row>
    <row r="2446" spans="1:5" x14ac:dyDescent="0.25">
      <c r="A2446" s="279">
        <v>39051</v>
      </c>
      <c r="B2446" t="s">
        <v>338</v>
      </c>
      <c r="C2446" t="s">
        <v>80</v>
      </c>
      <c r="D2446">
        <v>210</v>
      </c>
      <c r="E2446" t="s">
        <v>379</v>
      </c>
    </row>
    <row r="2447" spans="1:5" x14ac:dyDescent="0.25">
      <c r="A2447" s="279">
        <v>39051</v>
      </c>
      <c r="B2447" t="s">
        <v>339</v>
      </c>
      <c r="C2447" t="s">
        <v>71</v>
      </c>
      <c r="D2447">
        <v>0</v>
      </c>
      <c r="E2447" t="s">
        <v>378</v>
      </c>
    </row>
    <row r="2448" spans="1:5" x14ac:dyDescent="0.25">
      <c r="A2448" s="279">
        <v>39051</v>
      </c>
      <c r="B2448" t="s">
        <v>339</v>
      </c>
      <c r="C2448" t="s">
        <v>72</v>
      </c>
      <c r="D2448">
        <v>0</v>
      </c>
      <c r="E2448" t="s">
        <v>380</v>
      </c>
    </row>
    <row r="2449" spans="1:5" x14ac:dyDescent="0.25">
      <c r="A2449" s="279">
        <v>39051</v>
      </c>
      <c r="B2449" t="s">
        <v>339</v>
      </c>
      <c r="C2449" t="s">
        <v>73</v>
      </c>
      <c r="D2449">
        <v>6484</v>
      </c>
      <c r="E2449" t="s">
        <v>378</v>
      </c>
    </row>
    <row r="2450" spans="1:5" x14ac:dyDescent="0.25">
      <c r="A2450" s="279">
        <v>39051</v>
      </c>
      <c r="B2450" t="s">
        <v>339</v>
      </c>
      <c r="C2450" t="s">
        <v>74</v>
      </c>
      <c r="D2450">
        <v>0</v>
      </c>
      <c r="E2450" t="s">
        <v>380</v>
      </c>
    </row>
    <row r="2451" spans="1:5" x14ac:dyDescent="0.25">
      <c r="A2451" s="279">
        <v>39051</v>
      </c>
      <c r="B2451" t="s">
        <v>339</v>
      </c>
      <c r="C2451" t="s">
        <v>75</v>
      </c>
      <c r="D2451">
        <v>15138</v>
      </c>
      <c r="E2451" t="s">
        <v>378</v>
      </c>
    </row>
    <row r="2452" spans="1:5" x14ac:dyDescent="0.25">
      <c r="A2452" s="279">
        <v>39051</v>
      </c>
      <c r="B2452" t="s">
        <v>339</v>
      </c>
      <c r="C2452" t="s">
        <v>76</v>
      </c>
      <c r="D2452">
        <v>0</v>
      </c>
      <c r="E2452" t="s">
        <v>380</v>
      </c>
    </row>
    <row r="2453" spans="1:5" x14ac:dyDescent="0.25">
      <c r="A2453" s="279">
        <v>39051</v>
      </c>
      <c r="B2453" t="s">
        <v>339</v>
      </c>
      <c r="C2453" t="s">
        <v>77</v>
      </c>
      <c r="D2453">
        <v>7331</v>
      </c>
      <c r="E2453" t="s">
        <v>378</v>
      </c>
    </row>
    <row r="2454" spans="1:5" x14ac:dyDescent="0.25">
      <c r="A2454" s="279">
        <v>39051</v>
      </c>
      <c r="B2454" t="s">
        <v>339</v>
      </c>
      <c r="C2454" t="s">
        <v>78</v>
      </c>
      <c r="D2454">
        <v>0</v>
      </c>
      <c r="E2454" t="s">
        <v>380</v>
      </c>
    </row>
    <row r="2455" spans="1:5" x14ac:dyDescent="0.25">
      <c r="A2455" s="279">
        <v>39051</v>
      </c>
      <c r="B2455" t="s">
        <v>339</v>
      </c>
      <c r="C2455" t="s">
        <v>79</v>
      </c>
      <c r="D2455">
        <v>80169</v>
      </c>
      <c r="E2455" t="s">
        <v>379</v>
      </c>
    </row>
    <row r="2456" spans="1:5" x14ac:dyDescent="0.25">
      <c r="A2456" s="279">
        <v>39051</v>
      </c>
      <c r="B2456" t="s">
        <v>339</v>
      </c>
      <c r="C2456" t="s">
        <v>70</v>
      </c>
      <c r="D2456">
        <v>0</v>
      </c>
      <c r="E2456" t="s">
        <v>379</v>
      </c>
    </row>
    <row r="2457" spans="1:5" x14ac:dyDescent="0.25">
      <c r="A2457" s="279">
        <v>39051</v>
      </c>
      <c r="B2457" t="s">
        <v>339</v>
      </c>
      <c r="C2457" t="s">
        <v>63</v>
      </c>
      <c r="D2457">
        <v>0</v>
      </c>
      <c r="E2457" t="s">
        <v>378</v>
      </c>
    </row>
    <row r="2458" spans="1:5" x14ac:dyDescent="0.25">
      <c r="A2458" s="279">
        <v>39051</v>
      </c>
      <c r="B2458" t="s">
        <v>339</v>
      </c>
      <c r="C2458" t="s">
        <v>80</v>
      </c>
      <c r="D2458">
        <v>382</v>
      </c>
      <c r="E2458" t="s">
        <v>379</v>
      </c>
    </row>
    <row r="2459" spans="1:5" x14ac:dyDescent="0.25">
      <c r="A2459" s="279">
        <v>39052</v>
      </c>
      <c r="B2459" t="s">
        <v>338</v>
      </c>
      <c r="C2459" t="s">
        <v>59</v>
      </c>
      <c r="D2459">
        <v>0</v>
      </c>
      <c r="E2459" t="s">
        <v>378</v>
      </c>
    </row>
    <row r="2460" spans="1:5" x14ac:dyDescent="0.25">
      <c r="A2460" s="279">
        <v>39052</v>
      </c>
      <c r="B2460" t="s">
        <v>338</v>
      </c>
      <c r="C2460" t="s">
        <v>60</v>
      </c>
      <c r="D2460">
        <v>4838</v>
      </c>
      <c r="E2460" t="s">
        <v>379</v>
      </c>
    </row>
    <row r="2461" spans="1:5" x14ac:dyDescent="0.25">
      <c r="A2461" s="279">
        <v>39052</v>
      </c>
      <c r="B2461" t="s">
        <v>338</v>
      </c>
      <c r="C2461" t="s">
        <v>61</v>
      </c>
      <c r="D2461">
        <v>0</v>
      </c>
      <c r="E2461" t="s">
        <v>378</v>
      </c>
    </row>
    <row r="2462" spans="1:5" x14ac:dyDescent="0.25">
      <c r="A2462" s="279">
        <v>39052</v>
      </c>
      <c r="B2462" t="s">
        <v>338</v>
      </c>
      <c r="C2462" t="s">
        <v>62</v>
      </c>
      <c r="D2462">
        <v>0</v>
      </c>
      <c r="E2462" t="s">
        <v>380</v>
      </c>
    </row>
    <row r="2463" spans="1:5" x14ac:dyDescent="0.25">
      <c r="A2463" s="279">
        <v>39052</v>
      </c>
      <c r="B2463" t="s">
        <v>338</v>
      </c>
      <c r="C2463" t="s">
        <v>63</v>
      </c>
      <c r="D2463">
        <v>0</v>
      </c>
      <c r="E2463" t="s">
        <v>378</v>
      </c>
    </row>
    <row r="2464" spans="1:5" x14ac:dyDescent="0.25">
      <c r="A2464" s="279">
        <v>39052</v>
      </c>
      <c r="B2464" t="s">
        <v>338</v>
      </c>
      <c r="C2464" t="s">
        <v>64</v>
      </c>
      <c r="D2464">
        <v>0</v>
      </c>
      <c r="E2464" t="s">
        <v>380</v>
      </c>
    </row>
    <row r="2465" spans="1:5" x14ac:dyDescent="0.25">
      <c r="A2465" s="279">
        <v>39052</v>
      </c>
      <c r="B2465" t="s">
        <v>338</v>
      </c>
      <c r="C2465" t="s">
        <v>65</v>
      </c>
      <c r="D2465">
        <v>0</v>
      </c>
      <c r="E2465" t="s">
        <v>378</v>
      </c>
    </row>
    <row r="2466" spans="1:5" x14ac:dyDescent="0.25">
      <c r="A2466" s="279">
        <v>39052</v>
      </c>
      <c r="B2466" t="s">
        <v>338</v>
      </c>
      <c r="C2466" t="s">
        <v>66</v>
      </c>
      <c r="D2466">
        <v>0</v>
      </c>
      <c r="E2466" t="s">
        <v>380</v>
      </c>
    </row>
    <row r="2467" spans="1:5" x14ac:dyDescent="0.25">
      <c r="A2467" s="279">
        <v>39052</v>
      </c>
      <c r="B2467" t="s">
        <v>338</v>
      </c>
      <c r="C2467" t="s">
        <v>120</v>
      </c>
      <c r="D2467">
        <v>10357</v>
      </c>
      <c r="E2467" t="s">
        <v>378</v>
      </c>
    </row>
    <row r="2468" spans="1:5" x14ac:dyDescent="0.25">
      <c r="A2468" s="279">
        <v>39052</v>
      </c>
      <c r="B2468" t="s">
        <v>338</v>
      </c>
      <c r="C2468" t="s">
        <v>121</v>
      </c>
      <c r="D2468">
        <v>0</v>
      </c>
      <c r="E2468" t="s">
        <v>380</v>
      </c>
    </row>
    <row r="2469" spans="1:5" x14ac:dyDescent="0.25">
      <c r="A2469" s="279">
        <v>39052</v>
      </c>
      <c r="B2469" t="s">
        <v>338</v>
      </c>
      <c r="C2469" t="s">
        <v>67</v>
      </c>
      <c r="D2469">
        <v>0</v>
      </c>
      <c r="E2469" t="s">
        <v>378</v>
      </c>
    </row>
    <row r="2470" spans="1:5" x14ac:dyDescent="0.25">
      <c r="A2470" s="279">
        <v>39052</v>
      </c>
      <c r="B2470" t="s">
        <v>338</v>
      </c>
      <c r="C2470" t="s">
        <v>68</v>
      </c>
      <c r="D2470">
        <v>0</v>
      </c>
      <c r="E2470" t="s">
        <v>380</v>
      </c>
    </row>
    <row r="2471" spans="1:5" x14ac:dyDescent="0.25">
      <c r="A2471" s="279">
        <v>39052</v>
      </c>
      <c r="B2471" t="s">
        <v>338</v>
      </c>
      <c r="C2471" t="s">
        <v>69</v>
      </c>
      <c r="D2471">
        <v>34850</v>
      </c>
      <c r="E2471" t="s">
        <v>379</v>
      </c>
    </row>
    <row r="2472" spans="1:5" x14ac:dyDescent="0.25">
      <c r="A2472" s="279">
        <v>39052</v>
      </c>
      <c r="B2472" t="s">
        <v>338</v>
      </c>
      <c r="C2472" t="s">
        <v>70</v>
      </c>
      <c r="D2472">
        <v>0</v>
      </c>
      <c r="E2472" t="s">
        <v>379</v>
      </c>
    </row>
    <row r="2473" spans="1:5" x14ac:dyDescent="0.25">
      <c r="A2473" s="279">
        <v>39052</v>
      </c>
      <c r="B2473" t="s">
        <v>338</v>
      </c>
      <c r="C2473" t="s">
        <v>80</v>
      </c>
      <c r="D2473">
        <v>90</v>
      </c>
      <c r="E2473" t="s">
        <v>379</v>
      </c>
    </row>
    <row r="2474" spans="1:5" x14ac:dyDescent="0.25">
      <c r="A2474" s="279">
        <v>39052</v>
      </c>
      <c r="B2474" t="s">
        <v>339</v>
      </c>
      <c r="C2474" t="s">
        <v>71</v>
      </c>
      <c r="D2474">
        <v>0</v>
      </c>
      <c r="E2474" t="s">
        <v>378</v>
      </c>
    </row>
    <row r="2475" spans="1:5" x14ac:dyDescent="0.25">
      <c r="A2475" s="279">
        <v>39052</v>
      </c>
      <c r="B2475" t="s">
        <v>339</v>
      </c>
      <c r="C2475" t="s">
        <v>72</v>
      </c>
      <c r="D2475">
        <v>0</v>
      </c>
      <c r="E2475" t="s">
        <v>380</v>
      </c>
    </row>
    <row r="2476" spans="1:5" x14ac:dyDescent="0.25">
      <c r="A2476" s="279">
        <v>39052</v>
      </c>
      <c r="B2476" t="s">
        <v>339</v>
      </c>
      <c r="C2476" t="s">
        <v>73</v>
      </c>
      <c r="D2476">
        <v>0</v>
      </c>
      <c r="E2476" t="s">
        <v>378</v>
      </c>
    </row>
    <row r="2477" spans="1:5" x14ac:dyDescent="0.25">
      <c r="A2477" s="279">
        <v>39052</v>
      </c>
      <c r="B2477" t="s">
        <v>339</v>
      </c>
      <c r="C2477" t="s">
        <v>74</v>
      </c>
      <c r="D2477">
        <v>0</v>
      </c>
      <c r="E2477" t="s">
        <v>380</v>
      </c>
    </row>
    <row r="2478" spans="1:5" x14ac:dyDescent="0.25">
      <c r="A2478" s="279">
        <v>39052</v>
      </c>
      <c r="B2478" t="s">
        <v>339</v>
      </c>
      <c r="C2478" t="s">
        <v>75</v>
      </c>
      <c r="D2478">
        <v>15152</v>
      </c>
      <c r="E2478" t="s">
        <v>378</v>
      </c>
    </row>
    <row r="2479" spans="1:5" x14ac:dyDescent="0.25">
      <c r="A2479" s="279">
        <v>39052</v>
      </c>
      <c r="B2479" t="s">
        <v>339</v>
      </c>
      <c r="C2479" t="s">
        <v>76</v>
      </c>
      <c r="D2479">
        <v>0</v>
      </c>
      <c r="E2479" t="s">
        <v>380</v>
      </c>
    </row>
    <row r="2480" spans="1:5" x14ac:dyDescent="0.25">
      <c r="A2480" s="279">
        <v>39052</v>
      </c>
      <c r="B2480" t="s">
        <v>339</v>
      </c>
      <c r="C2480" t="s">
        <v>77</v>
      </c>
      <c r="D2480">
        <v>7339</v>
      </c>
      <c r="E2480" t="s">
        <v>378</v>
      </c>
    </row>
    <row r="2481" spans="1:5" x14ac:dyDescent="0.25">
      <c r="A2481" s="279">
        <v>39052</v>
      </c>
      <c r="B2481" t="s">
        <v>339</v>
      </c>
      <c r="C2481" t="s">
        <v>78</v>
      </c>
      <c r="D2481">
        <v>636</v>
      </c>
      <c r="E2481" t="s">
        <v>380</v>
      </c>
    </row>
    <row r="2482" spans="1:5" x14ac:dyDescent="0.25">
      <c r="A2482" s="279">
        <v>39052</v>
      </c>
      <c r="B2482" t="s">
        <v>339</v>
      </c>
      <c r="C2482" t="s">
        <v>79</v>
      </c>
      <c r="D2482">
        <v>75383</v>
      </c>
      <c r="E2482" t="s">
        <v>379</v>
      </c>
    </row>
    <row r="2483" spans="1:5" x14ac:dyDescent="0.25">
      <c r="A2483" s="279">
        <v>39052</v>
      </c>
      <c r="B2483" t="s">
        <v>339</v>
      </c>
      <c r="C2483" t="s">
        <v>70</v>
      </c>
      <c r="D2483">
        <v>0</v>
      </c>
      <c r="E2483" t="s">
        <v>379</v>
      </c>
    </row>
    <row r="2484" spans="1:5" x14ac:dyDescent="0.25">
      <c r="A2484" s="279">
        <v>39052</v>
      </c>
      <c r="B2484" t="s">
        <v>339</v>
      </c>
      <c r="C2484" t="s">
        <v>63</v>
      </c>
      <c r="D2484">
        <v>0</v>
      </c>
      <c r="E2484" t="s">
        <v>378</v>
      </c>
    </row>
    <row r="2485" spans="1:5" x14ac:dyDescent="0.25">
      <c r="A2485" s="279">
        <v>39052</v>
      </c>
      <c r="B2485" t="s">
        <v>339</v>
      </c>
      <c r="C2485" t="s">
        <v>80</v>
      </c>
      <c r="D2485">
        <v>135</v>
      </c>
      <c r="E2485" t="s">
        <v>379</v>
      </c>
    </row>
    <row r="2486" spans="1:5" x14ac:dyDescent="0.25">
      <c r="A2486" s="279">
        <v>39053</v>
      </c>
      <c r="B2486" t="s">
        <v>338</v>
      </c>
      <c r="C2486" t="s">
        <v>59</v>
      </c>
      <c r="D2486">
        <v>0</v>
      </c>
      <c r="E2486" t="s">
        <v>378</v>
      </c>
    </row>
    <row r="2487" spans="1:5" x14ac:dyDescent="0.25">
      <c r="A2487" s="279">
        <v>39053</v>
      </c>
      <c r="B2487" t="s">
        <v>338</v>
      </c>
      <c r="C2487" t="s">
        <v>60</v>
      </c>
      <c r="D2487">
        <v>4835</v>
      </c>
      <c r="E2487" t="s">
        <v>379</v>
      </c>
    </row>
    <row r="2488" spans="1:5" x14ac:dyDescent="0.25">
      <c r="A2488" s="279">
        <v>39053</v>
      </c>
      <c r="B2488" t="s">
        <v>338</v>
      </c>
      <c r="C2488" t="s">
        <v>61</v>
      </c>
      <c r="D2488">
        <v>0</v>
      </c>
      <c r="E2488" t="s">
        <v>378</v>
      </c>
    </row>
    <row r="2489" spans="1:5" x14ac:dyDescent="0.25">
      <c r="A2489" s="279">
        <v>39053</v>
      </c>
      <c r="B2489" t="s">
        <v>338</v>
      </c>
      <c r="C2489" t="s">
        <v>62</v>
      </c>
      <c r="D2489">
        <v>0</v>
      </c>
      <c r="E2489" t="s">
        <v>380</v>
      </c>
    </row>
    <row r="2490" spans="1:5" x14ac:dyDescent="0.25">
      <c r="A2490" s="279">
        <v>39053</v>
      </c>
      <c r="B2490" t="s">
        <v>338</v>
      </c>
      <c r="C2490" t="s">
        <v>63</v>
      </c>
      <c r="D2490">
        <v>0</v>
      </c>
      <c r="E2490" t="s">
        <v>378</v>
      </c>
    </row>
    <row r="2491" spans="1:5" x14ac:dyDescent="0.25">
      <c r="A2491" s="279">
        <v>39053</v>
      </c>
      <c r="B2491" t="s">
        <v>338</v>
      </c>
      <c r="C2491" t="s">
        <v>64</v>
      </c>
      <c r="D2491">
        <v>0</v>
      </c>
      <c r="E2491" t="s">
        <v>380</v>
      </c>
    </row>
    <row r="2492" spans="1:5" x14ac:dyDescent="0.25">
      <c r="A2492" s="279">
        <v>39053</v>
      </c>
      <c r="B2492" t="s">
        <v>338</v>
      </c>
      <c r="C2492" t="s">
        <v>65</v>
      </c>
      <c r="D2492">
        <v>0</v>
      </c>
      <c r="E2492" t="s">
        <v>378</v>
      </c>
    </row>
    <row r="2493" spans="1:5" x14ac:dyDescent="0.25">
      <c r="A2493" s="279">
        <v>39053</v>
      </c>
      <c r="B2493" t="s">
        <v>338</v>
      </c>
      <c r="C2493" t="s">
        <v>66</v>
      </c>
      <c r="D2493">
        <v>0</v>
      </c>
      <c r="E2493" t="s">
        <v>380</v>
      </c>
    </row>
    <row r="2494" spans="1:5" x14ac:dyDescent="0.25">
      <c r="A2494" s="279">
        <v>39053</v>
      </c>
      <c r="B2494" t="s">
        <v>338</v>
      </c>
      <c r="C2494" t="s">
        <v>120</v>
      </c>
      <c r="D2494">
        <v>0</v>
      </c>
      <c r="E2494" t="s">
        <v>378</v>
      </c>
    </row>
    <row r="2495" spans="1:5" x14ac:dyDescent="0.25">
      <c r="A2495" s="279">
        <v>39053</v>
      </c>
      <c r="B2495" t="s">
        <v>338</v>
      </c>
      <c r="C2495" t="s">
        <v>121</v>
      </c>
      <c r="D2495">
        <v>950</v>
      </c>
      <c r="E2495" t="s">
        <v>380</v>
      </c>
    </row>
    <row r="2496" spans="1:5" x14ac:dyDescent="0.25">
      <c r="A2496" s="279">
        <v>39053</v>
      </c>
      <c r="B2496" t="s">
        <v>338</v>
      </c>
      <c r="C2496" t="s">
        <v>67</v>
      </c>
      <c r="D2496">
        <v>0</v>
      </c>
      <c r="E2496" t="s">
        <v>378</v>
      </c>
    </row>
    <row r="2497" spans="1:5" x14ac:dyDescent="0.25">
      <c r="A2497" s="279">
        <v>39053</v>
      </c>
      <c r="B2497" t="s">
        <v>338</v>
      </c>
      <c r="C2497" t="s">
        <v>68</v>
      </c>
      <c r="D2497">
        <v>0</v>
      </c>
      <c r="E2497" t="s">
        <v>380</v>
      </c>
    </row>
    <row r="2498" spans="1:5" x14ac:dyDescent="0.25">
      <c r="A2498" s="279">
        <v>39053</v>
      </c>
      <c r="B2498" t="s">
        <v>338</v>
      </c>
      <c r="C2498" t="s">
        <v>69</v>
      </c>
      <c r="D2498">
        <v>34823</v>
      </c>
      <c r="E2498" t="s">
        <v>379</v>
      </c>
    </row>
    <row r="2499" spans="1:5" x14ac:dyDescent="0.25">
      <c r="A2499" s="279">
        <v>39053</v>
      </c>
      <c r="B2499" t="s">
        <v>338</v>
      </c>
      <c r="C2499" t="s">
        <v>70</v>
      </c>
      <c r="D2499">
        <v>0</v>
      </c>
      <c r="E2499" t="s">
        <v>379</v>
      </c>
    </row>
    <row r="2500" spans="1:5" x14ac:dyDescent="0.25">
      <c r="A2500" s="279">
        <v>39053</v>
      </c>
      <c r="B2500" t="s">
        <v>338</v>
      </c>
      <c r="C2500" t="s">
        <v>80</v>
      </c>
      <c r="D2500">
        <v>0</v>
      </c>
      <c r="E2500" t="s">
        <v>379</v>
      </c>
    </row>
    <row r="2501" spans="1:5" x14ac:dyDescent="0.25">
      <c r="A2501" s="279">
        <v>39053</v>
      </c>
      <c r="B2501" t="s">
        <v>339</v>
      </c>
      <c r="C2501" t="s">
        <v>71</v>
      </c>
      <c r="D2501">
        <v>0</v>
      </c>
      <c r="E2501" t="s">
        <v>378</v>
      </c>
    </row>
    <row r="2502" spans="1:5" x14ac:dyDescent="0.25">
      <c r="A2502" s="279">
        <v>39053</v>
      </c>
      <c r="B2502" t="s">
        <v>339</v>
      </c>
      <c r="C2502" t="s">
        <v>72</v>
      </c>
      <c r="D2502">
        <v>4853</v>
      </c>
      <c r="E2502" t="s">
        <v>380</v>
      </c>
    </row>
    <row r="2503" spans="1:5" x14ac:dyDescent="0.25">
      <c r="A2503" s="279">
        <v>39053</v>
      </c>
      <c r="B2503" t="s">
        <v>339</v>
      </c>
      <c r="C2503" t="s">
        <v>73</v>
      </c>
      <c r="D2503">
        <v>0</v>
      </c>
      <c r="E2503" t="s">
        <v>378</v>
      </c>
    </row>
    <row r="2504" spans="1:5" x14ac:dyDescent="0.25">
      <c r="A2504" s="279">
        <v>39053</v>
      </c>
      <c r="B2504" t="s">
        <v>339</v>
      </c>
      <c r="C2504" t="s">
        <v>74</v>
      </c>
      <c r="D2504">
        <v>13927</v>
      </c>
      <c r="E2504" t="s">
        <v>380</v>
      </c>
    </row>
    <row r="2505" spans="1:5" x14ac:dyDescent="0.25">
      <c r="A2505" s="279">
        <v>39053</v>
      </c>
      <c r="B2505" t="s">
        <v>339</v>
      </c>
      <c r="C2505" t="s">
        <v>75</v>
      </c>
      <c r="D2505">
        <v>15118</v>
      </c>
      <c r="E2505" t="s">
        <v>378</v>
      </c>
    </row>
    <row r="2506" spans="1:5" x14ac:dyDescent="0.25">
      <c r="A2506" s="279">
        <v>39053</v>
      </c>
      <c r="B2506" t="s">
        <v>339</v>
      </c>
      <c r="C2506" t="s">
        <v>76</v>
      </c>
      <c r="D2506">
        <v>14574</v>
      </c>
      <c r="E2506" t="s">
        <v>380</v>
      </c>
    </row>
    <row r="2507" spans="1:5" x14ac:dyDescent="0.25">
      <c r="A2507" s="279">
        <v>39053</v>
      </c>
      <c r="B2507" t="s">
        <v>339</v>
      </c>
      <c r="C2507" t="s">
        <v>77</v>
      </c>
      <c r="D2507">
        <v>7322</v>
      </c>
      <c r="E2507" t="s">
        <v>378</v>
      </c>
    </row>
    <row r="2508" spans="1:5" x14ac:dyDescent="0.25">
      <c r="A2508" s="279">
        <v>39053</v>
      </c>
      <c r="B2508" t="s">
        <v>339</v>
      </c>
      <c r="C2508" t="s">
        <v>78</v>
      </c>
      <c r="D2508">
        <v>7053</v>
      </c>
      <c r="E2508" t="s">
        <v>380</v>
      </c>
    </row>
    <row r="2509" spans="1:5" x14ac:dyDescent="0.25">
      <c r="A2509" s="279">
        <v>39053</v>
      </c>
      <c r="B2509" t="s">
        <v>339</v>
      </c>
      <c r="C2509" t="s">
        <v>79</v>
      </c>
      <c r="D2509">
        <v>114037</v>
      </c>
      <c r="E2509" t="s">
        <v>379</v>
      </c>
    </row>
    <row r="2510" spans="1:5" x14ac:dyDescent="0.25">
      <c r="A2510" s="279">
        <v>39053</v>
      </c>
      <c r="B2510" t="s">
        <v>339</v>
      </c>
      <c r="C2510" t="s">
        <v>70</v>
      </c>
      <c r="D2510">
        <v>0</v>
      </c>
      <c r="E2510" t="s">
        <v>379</v>
      </c>
    </row>
    <row r="2511" spans="1:5" x14ac:dyDescent="0.25">
      <c r="A2511" s="279">
        <v>39053</v>
      </c>
      <c r="B2511" t="s">
        <v>339</v>
      </c>
      <c r="C2511" t="s">
        <v>63</v>
      </c>
      <c r="D2511">
        <v>0</v>
      </c>
      <c r="E2511" t="s">
        <v>378</v>
      </c>
    </row>
    <row r="2512" spans="1:5" x14ac:dyDescent="0.25">
      <c r="A2512" s="279">
        <v>39053</v>
      </c>
      <c r="B2512" t="s">
        <v>339</v>
      </c>
      <c r="C2512" t="s">
        <v>80</v>
      </c>
      <c r="D2512">
        <v>134</v>
      </c>
      <c r="E2512" t="s">
        <v>379</v>
      </c>
    </row>
    <row r="2513" spans="1:5" x14ac:dyDescent="0.25">
      <c r="A2513" s="279">
        <v>39054</v>
      </c>
      <c r="B2513" t="s">
        <v>338</v>
      </c>
      <c r="C2513" t="s">
        <v>59</v>
      </c>
      <c r="D2513">
        <v>0</v>
      </c>
      <c r="E2513" t="s">
        <v>378</v>
      </c>
    </row>
    <row r="2514" spans="1:5" x14ac:dyDescent="0.25">
      <c r="A2514" s="279">
        <v>39054</v>
      </c>
      <c r="B2514" t="s">
        <v>338</v>
      </c>
      <c r="C2514" t="s">
        <v>60</v>
      </c>
      <c r="D2514">
        <v>4852</v>
      </c>
      <c r="E2514" t="s">
        <v>379</v>
      </c>
    </row>
    <row r="2515" spans="1:5" x14ac:dyDescent="0.25">
      <c r="A2515" s="279">
        <v>39054</v>
      </c>
      <c r="B2515" t="s">
        <v>338</v>
      </c>
      <c r="C2515" t="s">
        <v>61</v>
      </c>
      <c r="D2515">
        <v>0</v>
      </c>
      <c r="E2515" t="s">
        <v>378</v>
      </c>
    </row>
    <row r="2516" spans="1:5" x14ac:dyDescent="0.25">
      <c r="A2516" s="279">
        <v>39054</v>
      </c>
      <c r="B2516" t="s">
        <v>338</v>
      </c>
      <c r="C2516" t="s">
        <v>62</v>
      </c>
      <c r="D2516">
        <v>0</v>
      </c>
      <c r="E2516" t="s">
        <v>380</v>
      </c>
    </row>
    <row r="2517" spans="1:5" x14ac:dyDescent="0.25">
      <c r="A2517" s="279">
        <v>39054</v>
      </c>
      <c r="B2517" t="s">
        <v>338</v>
      </c>
      <c r="C2517" t="s">
        <v>63</v>
      </c>
      <c r="D2517">
        <v>0</v>
      </c>
      <c r="E2517" t="s">
        <v>378</v>
      </c>
    </row>
    <row r="2518" spans="1:5" x14ac:dyDescent="0.25">
      <c r="A2518" s="279">
        <v>39054</v>
      </c>
      <c r="B2518" t="s">
        <v>338</v>
      </c>
      <c r="C2518" t="s">
        <v>64</v>
      </c>
      <c r="D2518">
        <v>32520</v>
      </c>
      <c r="E2518" t="s">
        <v>380</v>
      </c>
    </row>
    <row r="2519" spans="1:5" x14ac:dyDescent="0.25">
      <c r="A2519" s="279">
        <v>39054</v>
      </c>
      <c r="B2519" t="s">
        <v>338</v>
      </c>
      <c r="C2519" t="s">
        <v>65</v>
      </c>
      <c r="D2519">
        <v>0</v>
      </c>
      <c r="E2519" t="s">
        <v>378</v>
      </c>
    </row>
    <row r="2520" spans="1:5" x14ac:dyDescent="0.25">
      <c r="A2520" s="279">
        <v>39054</v>
      </c>
      <c r="B2520" t="s">
        <v>338</v>
      </c>
      <c r="C2520" t="s">
        <v>66</v>
      </c>
      <c r="D2520">
        <v>0</v>
      </c>
      <c r="E2520" t="s">
        <v>380</v>
      </c>
    </row>
    <row r="2521" spans="1:5" x14ac:dyDescent="0.25">
      <c r="A2521" s="279">
        <v>39054</v>
      </c>
      <c r="B2521" t="s">
        <v>338</v>
      </c>
      <c r="C2521" t="s">
        <v>120</v>
      </c>
      <c r="D2521">
        <v>728</v>
      </c>
      <c r="E2521" t="s">
        <v>378</v>
      </c>
    </row>
    <row r="2522" spans="1:5" x14ac:dyDescent="0.25">
      <c r="A2522" s="279">
        <v>39054</v>
      </c>
      <c r="B2522" t="s">
        <v>338</v>
      </c>
      <c r="C2522" t="s">
        <v>121</v>
      </c>
      <c r="D2522">
        <v>0</v>
      </c>
      <c r="E2522" t="s">
        <v>380</v>
      </c>
    </row>
    <row r="2523" spans="1:5" x14ac:dyDescent="0.25">
      <c r="A2523" s="279">
        <v>39054</v>
      </c>
      <c r="B2523" t="s">
        <v>338</v>
      </c>
      <c r="C2523" t="s">
        <v>67</v>
      </c>
      <c r="D2523">
        <v>0</v>
      </c>
      <c r="E2523" t="s">
        <v>378</v>
      </c>
    </row>
    <row r="2524" spans="1:5" x14ac:dyDescent="0.25">
      <c r="A2524" s="279">
        <v>39054</v>
      </c>
      <c r="B2524" t="s">
        <v>338</v>
      </c>
      <c r="C2524" t="s">
        <v>68</v>
      </c>
      <c r="D2524">
        <v>0</v>
      </c>
      <c r="E2524" t="s">
        <v>380</v>
      </c>
    </row>
    <row r="2525" spans="1:5" x14ac:dyDescent="0.25">
      <c r="A2525" s="279">
        <v>39054</v>
      </c>
      <c r="B2525" t="s">
        <v>338</v>
      </c>
      <c r="C2525" t="s">
        <v>69</v>
      </c>
      <c r="D2525">
        <v>34951</v>
      </c>
      <c r="E2525" t="s">
        <v>379</v>
      </c>
    </row>
    <row r="2526" spans="1:5" x14ac:dyDescent="0.25">
      <c r="A2526" s="279">
        <v>39054</v>
      </c>
      <c r="B2526" t="s">
        <v>338</v>
      </c>
      <c r="C2526" t="s">
        <v>70</v>
      </c>
      <c r="D2526">
        <v>0</v>
      </c>
      <c r="E2526" t="s">
        <v>379</v>
      </c>
    </row>
    <row r="2527" spans="1:5" x14ac:dyDescent="0.25">
      <c r="A2527" s="279">
        <v>39054</v>
      </c>
      <c r="B2527" t="s">
        <v>338</v>
      </c>
      <c r="C2527" t="s">
        <v>80</v>
      </c>
      <c r="D2527">
        <v>6</v>
      </c>
      <c r="E2527" t="s">
        <v>379</v>
      </c>
    </row>
    <row r="2528" spans="1:5" x14ac:dyDescent="0.25">
      <c r="A2528" s="279">
        <v>39054</v>
      </c>
      <c r="B2528" t="s">
        <v>339</v>
      </c>
      <c r="C2528" t="s">
        <v>71</v>
      </c>
      <c r="D2528">
        <v>0</v>
      </c>
      <c r="E2528" t="s">
        <v>378</v>
      </c>
    </row>
    <row r="2529" spans="1:5" x14ac:dyDescent="0.25">
      <c r="A2529" s="279">
        <v>39054</v>
      </c>
      <c r="B2529" t="s">
        <v>339</v>
      </c>
      <c r="C2529" t="s">
        <v>72</v>
      </c>
      <c r="D2529">
        <v>0</v>
      </c>
      <c r="E2529" t="s">
        <v>380</v>
      </c>
    </row>
    <row r="2530" spans="1:5" x14ac:dyDescent="0.25">
      <c r="A2530" s="279">
        <v>39054</v>
      </c>
      <c r="B2530" t="s">
        <v>339</v>
      </c>
      <c r="C2530" t="s">
        <v>73</v>
      </c>
      <c r="D2530">
        <v>0</v>
      </c>
      <c r="E2530" t="s">
        <v>378</v>
      </c>
    </row>
    <row r="2531" spans="1:5" x14ac:dyDescent="0.25">
      <c r="A2531" s="279">
        <v>39054</v>
      </c>
      <c r="B2531" t="s">
        <v>339</v>
      </c>
      <c r="C2531" t="s">
        <v>74</v>
      </c>
      <c r="D2531">
        <v>0</v>
      </c>
      <c r="E2531" t="s">
        <v>380</v>
      </c>
    </row>
    <row r="2532" spans="1:5" x14ac:dyDescent="0.25">
      <c r="A2532" s="279">
        <v>39054</v>
      </c>
      <c r="B2532" t="s">
        <v>339</v>
      </c>
      <c r="C2532" t="s">
        <v>75</v>
      </c>
      <c r="D2532">
        <v>15138</v>
      </c>
      <c r="E2532" t="s">
        <v>378</v>
      </c>
    </row>
    <row r="2533" spans="1:5" x14ac:dyDescent="0.25">
      <c r="A2533" s="279">
        <v>39054</v>
      </c>
      <c r="B2533" t="s">
        <v>339</v>
      </c>
      <c r="C2533" t="s">
        <v>76</v>
      </c>
      <c r="D2533">
        <v>12144</v>
      </c>
      <c r="E2533" t="s">
        <v>380</v>
      </c>
    </row>
    <row r="2534" spans="1:5" x14ac:dyDescent="0.25">
      <c r="A2534" s="279">
        <v>39054</v>
      </c>
      <c r="B2534" t="s">
        <v>339</v>
      </c>
      <c r="C2534" t="s">
        <v>77</v>
      </c>
      <c r="D2534">
        <v>7331</v>
      </c>
      <c r="E2534" t="s">
        <v>378</v>
      </c>
    </row>
    <row r="2535" spans="1:5" x14ac:dyDescent="0.25">
      <c r="A2535" s="279">
        <v>39054</v>
      </c>
      <c r="B2535" t="s">
        <v>339</v>
      </c>
      <c r="C2535" t="s">
        <v>78</v>
      </c>
      <c r="D2535">
        <v>7062</v>
      </c>
      <c r="E2535" t="s">
        <v>380</v>
      </c>
    </row>
    <row r="2536" spans="1:5" x14ac:dyDescent="0.25">
      <c r="A2536" s="279">
        <v>39054</v>
      </c>
      <c r="B2536" t="s">
        <v>339</v>
      </c>
      <c r="C2536" t="s">
        <v>79</v>
      </c>
      <c r="D2536">
        <v>114183</v>
      </c>
      <c r="E2536" t="s">
        <v>379</v>
      </c>
    </row>
    <row r="2537" spans="1:5" x14ac:dyDescent="0.25">
      <c r="A2537" s="279">
        <v>39054</v>
      </c>
      <c r="B2537" t="s">
        <v>339</v>
      </c>
      <c r="C2537" t="s">
        <v>70</v>
      </c>
      <c r="D2537">
        <v>0</v>
      </c>
      <c r="E2537" t="s">
        <v>379</v>
      </c>
    </row>
    <row r="2538" spans="1:5" x14ac:dyDescent="0.25">
      <c r="A2538" s="279">
        <v>39054</v>
      </c>
      <c r="B2538" t="s">
        <v>339</v>
      </c>
      <c r="C2538" t="s">
        <v>63</v>
      </c>
      <c r="D2538">
        <v>0</v>
      </c>
      <c r="E2538" t="s">
        <v>378</v>
      </c>
    </row>
    <row r="2539" spans="1:5" x14ac:dyDescent="0.25">
      <c r="A2539" s="279">
        <v>39054</v>
      </c>
      <c r="B2539" t="s">
        <v>339</v>
      </c>
      <c r="C2539" t="s">
        <v>80</v>
      </c>
      <c r="D2539">
        <v>134</v>
      </c>
      <c r="E2539" t="s">
        <v>379</v>
      </c>
    </row>
    <row r="2540" spans="1:5" x14ac:dyDescent="0.25">
      <c r="A2540" s="279">
        <v>39055</v>
      </c>
      <c r="B2540" t="s">
        <v>338</v>
      </c>
      <c r="C2540" t="s">
        <v>59</v>
      </c>
      <c r="D2540">
        <v>0</v>
      </c>
      <c r="E2540" t="s">
        <v>378</v>
      </c>
    </row>
    <row r="2541" spans="1:5" x14ac:dyDescent="0.25">
      <c r="A2541" s="279">
        <v>39055</v>
      </c>
      <c r="B2541" t="s">
        <v>338</v>
      </c>
      <c r="C2541" t="s">
        <v>60</v>
      </c>
      <c r="D2541">
        <v>4900</v>
      </c>
      <c r="E2541" t="s">
        <v>379</v>
      </c>
    </row>
    <row r="2542" spans="1:5" x14ac:dyDescent="0.25">
      <c r="A2542" s="279">
        <v>39055</v>
      </c>
      <c r="B2542" t="s">
        <v>338</v>
      </c>
      <c r="C2542" t="s">
        <v>61</v>
      </c>
      <c r="D2542">
        <v>0</v>
      </c>
      <c r="E2542" t="s">
        <v>378</v>
      </c>
    </row>
    <row r="2543" spans="1:5" x14ac:dyDescent="0.25">
      <c r="A2543" s="279">
        <v>39055</v>
      </c>
      <c r="B2543" t="s">
        <v>338</v>
      </c>
      <c r="C2543" t="s">
        <v>62</v>
      </c>
      <c r="D2543">
        <v>0</v>
      </c>
      <c r="E2543" t="s">
        <v>380</v>
      </c>
    </row>
    <row r="2544" spans="1:5" x14ac:dyDescent="0.25">
      <c r="A2544" s="279">
        <v>39055</v>
      </c>
      <c r="B2544" t="s">
        <v>338</v>
      </c>
      <c r="C2544" t="s">
        <v>63</v>
      </c>
      <c r="D2544">
        <v>0</v>
      </c>
      <c r="E2544" t="s">
        <v>378</v>
      </c>
    </row>
    <row r="2545" spans="1:5" x14ac:dyDescent="0.25">
      <c r="A2545" s="279">
        <v>39055</v>
      </c>
      <c r="B2545" t="s">
        <v>338</v>
      </c>
      <c r="C2545" t="s">
        <v>64</v>
      </c>
      <c r="D2545">
        <v>32839</v>
      </c>
      <c r="E2545" t="s">
        <v>380</v>
      </c>
    </row>
    <row r="2546" spans="1:5" x14ac:dyDescent="0.25">
      <c r="A2546" s="279">
        <v>39055</v>
      </c>
      <c r="B2546" t="s">
        <v>338</v>
      </c>
      <c r="C2546" t="s">
        <v>65</v>
      </c>
      <c r="D2546">
        <v>0</v>
      </c>
      <c r="E2546" t="s">
        <v>378</v>
      </c>
    </row>
    <row r="2547" spans="1:5" x14ac:dyDescent="0.25">
      <c r="A2547" s="279">
        <v>39055</v>
      </c>
      <c r="B2547" t="s">
        <v>338</v>
      </c>
      <c r="C2547" t="s">
        <v>66</v>
      </c>
      <c r="D2547">
        <v>0</v>
      </c>
      <c r="E2547" t="s">
        <v>380</v>
      </c>
    </row>
    <row r="2548" spans="1:5" x14ac:dyDescent="0.25">
      <c r="A2548" s="279">
        <v>39055</v>
      </c>
      <c r="B2548" t="s">
        <v>338</v>
      </c>
      <c r="C2548" t="s">
        <v>120</v>
      </c>
      <c r="D2548">
        <v>0</v>
      </c>
      <c r="E2548" t="s">
        <v>378</v>
      </c>
    </row>
    <row r="2549" spans="1:5" x14ac:dyDescent="0.25">
      <c r="A2549" s="279">
        <v>39055</v>
      </c>
      <c r="B2549" t="s">
        <v>338</v>
      </c>
      <c r="C2549" t="s">
        <v>121</v>
      </c>
      <c r="D2549">
        <v>665</v>
      </c>
      <c r="E2549" t="s">
        <v>380</v>
      </c>
    </row>
    <row r="2550" spans="1:5" x14ac:dyDescent="0.25">
      <c r="A2550" s="279">
        <v>39055</v>
      </c>
      <c r="B2550" t="s">
        <v>338</v>
      </c>
      <c r="C2550" t="s">
        <v>67</v>
      </c>
      <c r="D2550">
        <v>0</v>
      </c>
      <c r="E2550" t="s">
        <v>378</v>
      </c>
    </row>
    <row r="2551" spans="1:5" x14ac:dyDescent="0.25">
      <c r="A2551" s="279">
        <v>39055</v>
      </c>
      <c r="B2551" t="s">
        <v>338</v>
      </c>
      <c r="C2551" t="s">
        <v>68</v>
      </c>
      <c r="D2551">
        <v>0</v>
      </c>
      <c r="E2551" t="s">
        <v>380</v>
      </c>
    </row>
    <row r="2552" spans="1:5" x14ac:dyDescent="0.25">
      <c r="A2552" s="279">
        <v>39055</v>
      </c>
      <c r="B2552" t="s">
        <v>338</v>
      </c>
      <c r="C2552" t="s">
        <v>69</v>
      </c>
      <c r="D2552">
        <v>35294</v>
      </c>
      <c r="E2552" t="s">
        <v>379</v>
      </c>
    </row>
    <row r="2553" spans="1:5" x14ac:dyDescent="0.25">
      <c r="A2553" s="279">
        <v>39055</v>
      </c>
      <c r="B2553" t="s">
        <v>338</v>
      </c>
      <c r="C2553" t="s">
        <v>70</v>
      </c>
      <c r="D2553">
        <v>0</v>
      </c>
      <c r="E2553" t="s">
        <v>379</v>
      </c>
    </row>
    <row r="2554" spans="1:5" x14ac:dyDescent="0.25">
      <c r="A2554" s="279">
        <v>39055</v>
      </c>
      <c r="B2554" t="s">
        <v>338</v>
      </c>
      <c r="C2554" t="s">
        <v>80</v>
      </c>
      <c r="D2554">
        <v>0</v>
      </c>
      <c r="E2554" t="s">
        <v>379</v>
      </c>
    </row>
    <row r="2555" spans="1:5" x14ac:dyDescent="0.25">
      <c r="A2555" s="279">
        <v>39055</v>
      </c>
      <c r="B2555" t="s">
        <v>339</v>
      </c>
      <c r="C2555" t="s">
        <v>71</v>
      </c>
      <c r="D2555">
        <v>0</v>
      </c>
      <c r="E2555" t="s">
        <v>378</v>
      </c>
    </row>
    <row r="2556" spans="1:5" x14ac:dyDescent="0.25">
      <c r="A2556" s="279">
        <v>39055</v>
      </c>
      <c r="B2556" t="s">
        <v>339</v>
      </c>
      <c r="C2556" t="s">
        <v>72</v>
      </c>
      <c r="D2556">
        <v>4850</v>
      </c>
      <c r="E2556" t="s">
        <v>380</v>
      </c>
    </row>
    <row r="2557" spans="1:5" x14ac:dyDescent="0.25">
      <c r="A2557" s="279">
        <v>39055</v>
      </c>
      <c r="B2557" t="s">
        <v>339</v>
      </c>
      <c r="C2557" t="s">
        <v>73</v>
      </c>
      <c r="D2557">
        <v>0</v>
      </c>
      <c r="E2557" t="s">
        <v>378</v>
      </c>
    </row>
    <row r="2558" spans="1:5" x14ac:dyDescent="0.25">
      <c r="A2558" s="279">
        <v>39055</v>
      </c>
      <c r="B2558" t="s">
        <v>339</v>
      </c>
      <c r="C2558" t="s">
        <v>74</v>
      </c>
      <c r="D2558">
        <v>29098</v>
      </c>
      <c r="E2558" t="s">
        <v>380</v>
      </c>
    </row>
    <row r="2559" spans="1:5" x14ac:dyDescent="0.25">
      <c r="A2559" s="279">
        <v>39055</v>
      </c>
      <c r="B2559" t="s">
        <v>339</v>
      </c>
      <c r="C2559" t="s">
        <v>75</v>
      </c>
      <c r="D2559">
        <v>15108</v>
      </c>
      <c r="E2559" t="s">
        <v>378</v>
      </c>
    </row>
    <row r="2560" spans="1:5" x14ac:dyDescent="0.25">
      <c r="A2560" s="279">
        <v>39055</v>
      </c>
      <c r="B2560" t="s">
        <v>339</v>
      </c>
      <c r="C2560" t="s">
        <v>76</v>
      </c>
      <c r="D2560">
        <v>27548</v>
      </c>
      <c r="E2560" t="s">
        <v>380</v>
      </c>
    </row>
    <row r="2561" spans="1:5" x14ac:dyDescent="0.25">
      <c r="A2561" s="279">
        <v>39055</v>
      </c>
      <c r="B2561" t="s">
        <v>339</v>
      </c>
      <c r="C2561" t="s">
        <v>77</v>
      </c>
      <c r="D2561">
        <v>7317</v>
      </c>
      <c r="E2561" t="s">
        <v>378</v>
      </c>
    </row>
    <row r="2562" spans="1:5" x14ac:dyDescent="0.25">
      <c r="A2562" s="279">
        <v>39055</v>
      </c>
      <c r="B2562" t="s">
        <v>339</v>
      </c>
      <c r="C2562" t="s">
        <v>78</v>
      </c>
      <c r="D2562">
        <v>18293</v>
      </c>
      <c r="E2562" t="s">
        <v>380</v>
      </c>
    </row>
    <row r="2563" spans="1:5" x14ac:dyDescent="0.25">
      <c r="A2563" s="279">
        <v>39055</v>
      </c>
      <c r="B2563" t="s">
        <v>339</v>
      </c>
      <c r="C2563" t="s">
        <v>79</v>
      </c>
      <c r="D2563">
        <v>113961</v>
      </c>
      <c r="E2563" t="s">
        <v>379</v>
      </c>
    </row>
    <row r="2564" spans="1:5" x14ac:dyDescent="0.25">
      <c r="A2564" s="279">
        <v>39055</v>
      </c>
      <c r="B2564" t="s">
        <v>339</v>
      </c>
      <c r="C2564" t="s">
        <v>70</v>
      </c>
      <c r="D2564">
        <v>0</v>
      </c>
      <c r="E2564" t="s">
        <v>379</v>
      </c>
    </row>
    <row r="2565" spans="1:5" x14ac:dyDescent="0.25">
      <c r="A2565" s="279">
        <v>39055</v>
      </c>
      <c r="B2565" t="s">
        <v>339</v>
      </c>
      <c r="C2565" t="s">
        <v>63</v>
      </c>
      <c r="D2565">
        <v>0</v>
      </c>
      <c r="E2565" t="s">
        <v>378</v>
      </c>
    </row>
    <row r="2566" spans="1:5" x14ac:dyDescent="0.25">
      <c r="A2566" s="279">
        <v>39055</v>
      </c>
      <c r="B2566" t="s">
        <v>339</v>
      </c>
      <c r="C2566" t="s">
        <v>80</v>
      </c>
      <c r="D2566">
        <v>134</v>
      </c>
      <c r="E2566" t="s">
        <v>379</v>
      </c>
    </row>
    <row r="2567" spans="1:5" x14ac:dyDescent="0.25">
      <c r="A2567" s="279">
        <v>39056</v>
      </c>
      <c r="B2567" t="s">
        <v>338</v>
      </c>
      <c r="C2567" t="s">
        <v>59</v>
      </c>
      <c r="D2567">
        <v>0</v>
      </c>
      <c r="E2567" t="s">
        <v>378</v>
      </c>
    </row>
    <row r="2568" spans="1:5" x14ac:dyDescent="0.25">
      <c r="A2568" s="279">
        <v>39056</v>
      </c>
      <c r="B2568" t="s">
        <v>338</v>
      </c>
      <c r="C2568" t="s">
        <v>60</v>
      </c>
      <c r="D2568">
        <v>4834</v>
      </c>
      <c r="E2568" t="s">
        <v>379</v>
      </c>
    </row>
    <row r="2569" spans="1:5" x14ac:dyDescent="0.25">
      <c r="A2569" s="279">
        <v>39056</v>
      </c>
      <c r="B2569" t="s">
        <v>338</v>
      </c>
      <c r="C2569" t="s">
        <v>61</v>
      </c>
      <c r="D2569">
        <v>0</v>
      </c>
      <c r="E2569" t="s">
        <v>378</v>
      </c>
    </row>
    <row r="2570" spans="1:5" x14ac:dyDescent="0.25">
      <c r="A2570" s="279">
        <v>39056</v>
      </c>
      <c r="B2570" t="s">
        <v>338</v>
      </c>
      <c r="C2570" t="s">
        <v>62</v>
      </c>
      <c r="D2570">
        <v>0</v>
      </c>
      <c r="E2570" t="s">
        <v>380</v>
      </c>
    </row>
    <row r="2571" spans="1:5" x14ac:dyDescent="0.25">
      <c r="A2571" s="279">
        <v>39056</v>
      </c>
      <c r="B2571" t="s">
        <v>338</v>
      </c>
      <c r="C2571" t="s">
        <v>63</v>
      </c>
      <c r="D2571">
        <v>0</v>
      </c>
      <c r="E2571" t="s">
        <v>378</v>
      </c>
    </row>
    <row r="2572" spans="1:5" x14ac:dyDescent="0.25">
      <c r="A2572" s="279">
        <v>39056</v>
      </c>
      <c r="B2572" t="s">
        <v>338</v>
      </c>
      <c r="C2572" t="s">
        <v>64</v>
      </c>
      <c r="D2572">
        <v>32395</v>
      </c>
      <c r="E2572" t="s">
        <v>380</v>
      </c>
    </row>
    <row r="2573" spans="1:5" x14ac:dyDescent="0.25">
      <c r="A2573" s="279">
        <v>39056</v>
      </c>
      <c r="B2573" t="s">
        <v>338</v>
      </c>
      <c r="C2573" t="s">
        <v>65</v>
      </c>
      <c r="D2573">
        <v>0</v>
      </c>
      <c r="E2573" t="s">
        <v>378</v>
      </c>
    </row>
    <row r="2574" spans="1:5" x14ac:dyDescent="0.25">
      <c r="A2574" s="279">
        <v>39056</v>
      </c>
      <c r="B2574" t="s">
        <v>338</v>
      </c>
      <c r="C2574" t="s">
        <v>66</v>
      </c>
      <c r="D2574">
        <v>0</v>
      </c>
      <c r="E2574" t="s">
        <v>380</v>
      </c>
    </row>
    <row r="2575" spans="1:5" x14ac:dyDescent="0.25">
      <c r="A2575" s="279">
        <v>39056</v>
      </c>
      <c r="B2575" t="s">
        <v>338</v>
      </c>
      <c r="C2575" t="s">
        <v>120</v>
      </c>
      <c r="D2575">
        <v>0</v>
      </c>
      <c r="E2575" t="s">
        <v>378</v>
      </c>
    </row>
    <row r="2576" spans="1:5" x14ac:dyDescent="0.25">
      <c r="A2576" s="279">
        <v>39056</v>
      </c>
      <c r="B2576" t="s">
        <v>338</v>
      </c>
      <c r="C2576" t="s">
        <v>121</v>
      </c>
      <c r="D2576">
        <v>9896</v>
      </c>
      <c r="E2576" t="s">
        <v>380</v>
      </c>
    </row>
    <row r="2577" spans="1:5" x14ac:dyDescent="0.25">
      <c r="A2577" s="279">
        <v>39056</v>
      </c>
      <c r="B2577" t="s">
        <v>338</v>
      </c>
      <c r="C2577" t="s">
        <v>67</v>
      </c>
      <c r="D2577">
        <v>0</v>
      </c>
      <c r="E2577" t="s">
        <v>378</v>
      </c>
    </row>
    <row r="2578" spans="1:5" x14ac:dyDescent="0.25">
      <c r="A2578" s="279">
        <v>39056</v>
      </c>
      <c r="B2578" t="s">
        <v>338</v>
      </c>
      <c r="C2578" t="s">
        <v>68</v>
      </c>
      <c r="D2578">
        <v>0</v>
      </c>
      <c r="E2578" t="s">
        <v>380</v>
      </c>
    </row>
    <row r="2579" spans="1:5" x14ac:dyDescent="0.25">
      <c r="A2579" s="279">
        <v>39056</v>
      </c>
      <c r="B2579" t="s">
        <v>338</v>
      </c>
      <c r="C2579" t="s">
        <v>69</v>
      </c>
      <c r="D2579">
        <v>34816</v>
      </c>
      <c r="E2579" t="s">
        <v>379</v>
      </c>
    </row>
    <row r="2580" spans="1:5" x14ac:dyDescent="0.25">
      <c r="A2580" s="279">
        <v>39056</v>
      </c>
      <c r="B2580" t="s">
        <v>338</v>
      </c>
      <c r="C2580" t="s">
        <v>70</v>
      </c>
      <c r="D2580">
        <v>0</v>
      </c>
      <c r="E2580" t="s">
        <v>379</v>
      </c>
    </row>
    <row r="2581" spans="1:5" x14ac:dyDescent="0.25">
      <c r="A2581" s="279">
        <v>39056</v>
      </c>
      <c r="B2581" t="s">
        <v>338</v>
      </c>
      <c r="C2581" t="s">
        <v>80</v>
      </c>
      <c r="D2581">
        <v>0</v>
      </c>
      <c r="E2581" t="s">
        <v>379</v>
      </c>
    </row>
    <row r="2582" spans="1:5" x14ac:dyDescent="0.25">
      <c r="A2582" s="279">
        <v>39056</v>
      </c>
      <c r="B2582" t="s">
        <v>339</v>
      </c>
      <c r="C2582" t="s">
        <v>71</v>
      </c>
      <c r="D2582">
        <v>0</v>
      </c>
      <c r="E2582" t="s">
        <v>378</v>
      </c>
    </row>
    <row r="2583" spans="1:5" x14ac:dyDescent="0.25">
      <c r="A2583" s="279">
        <v>39056</v>
      </c>
      <c r="B2583" t="s">
        <v>339</v>
      </c>
      <c r="C2583" t="s">
        <v>72</v>
      </c>
      <c r="D2583">
        <v>4840</v>
      </c>
      <c r="E2583" t="s">
        <v>380</v>
      </c>
    </row>
    <row r="2584" spans="1:5" x14ac:dyDescent="0.25">
      <c r="A2584" s="279">
        <v>39056</v>
      </c>
      <c r="B2584" t="s">
        <v>339</v>
      </c>
      <c r="C2584" t="s">
        <v>73</v>
      </c>
      <c r="D2584">
        <v>0</v>
      </c>
      <c r="E2584" t="s">
        <v>378</v>
      </c>
    </row>
    <row r="2585" spans="1:5" x14ac:dyDescent="0.25">
      <c r="A2585" s="279">
        <v>39056</v>
      </c>
      <c r="B2585" t="s">
        <v>339</v>
      </c>
      <c r="C2585" t="s">
        <v>74</v>
      </c>
      <c r="D2585">
        <v>29042</v>
      </c>
      <c r="E2585" t="s">
        <v>380</v>
      </c>
    </row>
    <row r="2586" spans="1:5" x14ac:dyDescent="0.25">
      <c r="A2586" s="279">
        <v>39056</v>
      </c>
      <c r="B2586" t="s">
        <v>339</v>
      </c>
      <c r="C2586" t="s">
        <v>75</v>
      </c>
      <c r="D2586">
        <v>15079</v>
      </c>
      <c r="E2586" t="s">
        <v>378</v>
      </c>
    </row>
    <row r="2587" spans="1:5" x14ac:dyDescent="0.25">
      <c r="A2587" s="279">
        <v>39056</v>
      </c>
      <c r="B2587" t="s">
        <v>339</v>
      </c>
      <c r="C2587" t="s">
        <v>76</v>
      </c>
      <c r="D2587">
        <v>31197</v>
      </c>
      <c r="E2587" t="s">
        <v>380</v>
      </c>
    </row>
    <row r="2588" spans="1:5" x14ac:dyDescent="0.25">
      <c r="A2588" s="279">
        <v>39056</v>
      </c>
      <c r="B2588" t="s">
        <v>339</v>
      </c>
      <c r="C2588" t="s">
        <v>77</v>
      </c>
      <c r="D2588">
        <v>7303</v>
      </c>
      <c r="E2588" t="s">
        <v>378</v>
      </c>
    </row>
    <row r="2589" spans="1:5" x14ac:dyDescent="0.25">
      <c r="A2589" s="279">
        <v>39056</v>
      </c>
      <c r="B2589" t="s">
        <v>339</v>
      </c>
      <c r="C2589" t="s">
        <v>78</v>
      </c>
      <c r="D2589">
        <v>18258</v>
      </c>
      <c r="E2589" t="s">
        <v>380</v>
      </c>
    </row>
    <row r="2590" spans="1:5" x14ac:dyDescent="0.25">
      <c r="A2590" s="279">
        <v>39056</v>
      </c>
      <c r="B2590" t="s">
        <v>339</v>
      </c>
      <c r="C2590" t="s">
        <v>79</v>
      </c>
      <c r="D2590">
        <v>113742</v>
      </c>
      <c r="E2590" t="s">
        <v>379</v>
      </c>
    </row>
    <row r="2591" spans="1:5" x14ac:dyDescent="0.25">
      <c r="A2591" s="279">
        <v>39056</v>
      </c>
      <c r="B2591" t="s">
        <v>339</v>
      </c>
      <c r="C2591" t="s">
        <v>70</v>
      </c>
      <c r="D2591">
        <v>0</v>
      </c>
      <c r="E2591" t="s">
        <v>379</v>
      </c>
    </row>
    <row r="2592" spans="1:5" x14ac:dyDescent="0.25">
      <c r="A2592" s="279">
        <v>39056</v>
      </c>
      <c r="B2592" t="s">
        <v>339</v>
      </c>
      <c r="C2592" t="s">
        <v>63</v>
      </c>
      <c r="D2592">
        <v>0</v>
      </c>
      <c r="E2592" t="s">
        <v>378</v>
      </c>
    </row>
    <row r="2593" spans="1:5" x14ac:dyDescent="0.25">
      <c r="A2593" s="279">
        <v>39056</v>
      </c>
      <c r="B2593" t="s">
        <v>339</v>
      </c>
      <c r="C2593" t="s">
        <v>80</v>
      </c>
      <c r="D2593">
        <v>134</v>
      </c>
      <c r="E2593" t="s">
        <v>379</v>
      </c>
    </row>
    <row r="2594" spans="1:5" x14ac:dyDescent="0.25">
      <c r="A2594" s="279">
        <v>39057</v>
      </c>
      <c r="B2594" t="s">
        <v>338</v>
      </c>
      <c r="C2594" t="s">
        <v>59</v>
      </c>
      <c r="D2594">
        <v>0</v>
      </c>
      <c r="E2594" t="s">
        <v>378</v>
      </c>
    </row>
    <row r="2595" spans="1:5" x14ac:dyDescent="0.25">
      <c r="A2595" s="279">
        <v>39057</v>
      </c>
      <c r="B2595" t="s">
        <v>338</v>
      </c>
      <c r="C2595" t="s">
        <v>60</v>
      </c>
      <c r="D2595">
        <v>4852</v>
      </c>
      <c r="E2595" t="s">
        <v>379</v>
      </c>
    </row>
    <row r="2596" spans="1:5" x14ac:dyDescent="0.25">
      <c r="A2596" s="279">
        <v>39057</v>
      </c>
      <c r="B2596" t="s">
        <v>338</v>
      </c>
      <c r="C2596" t="s">
        <v>61</v>
      </c>
      <c r="D2596">
        <v>0</v>
      </c>
      <c r="E2596" t="s">
        <v>378</v>
      </c>
    </row>
    <row r="2597" spans="1:5" x14ac:dyDescent="0.25">
      <c r="A2597" s="279">
        <v>39057</v>
      </c>
      <c r="B2597" t="s">
        <v>338</v>
      </c>
      <c r="C2597" t="s">
        <v>62</v>
      </c>
      <c r="D2597">
        <v>0</v>
      </c>
      <c r="E2597" t="s">
        <v>380</v>
      </c>
    </row>
    <row r="2598" spans="1:5" x14ac:dyDescent="0.25">
      <c r="A2598" s="279">
        <v>39057</v>
      </c>
      <c r="B2598" t="s">
        <v>338</v>
      </c>
      <c r="C2598" t="s">
        <v>63</v>
      </c>
      <c r="D2598">
        <v>0</v>
      </c>
      <c r="E2598" t="s">
        <v>378</v>
      </c>
    </row>
    <row r="2599" spans="1:5" x14ac:dyDescent="0.25">
      <c r="A2599" s="279">
        <v>39057</v>
      </c>
      <c r="B2599" t="s">
        <v>338</v>
      </c>
      <c r="C2599" t="s">
        <v>64</v>
      </c>
      <c r="D2599">
        <v>24959</v>
      </c>
      <c r="E2599" t="s">
        <v>380</v>
      </c>
    </row>
    <row r="2600" spans="1:5" x14ac:dyDescent="0.25">
      <c r="A2600" s="279">
        <v>39057</v>
      </c>
      <c r="B2600" t="s">
        <v>338</v>
      </c>
      <c r="C2600" t="s">
        <v>65</v>
      </c>
      <c r="D2600">
        <v>0</v>
      </c>
      <c r="E2600" t="s">
        <v>378</v>
      </c>
    </row>
    <row r="2601" spans="1:5" x14ac:dyDescent="0.25">
      <c r="A2601" s="279">
        <v>39057</v>
      </c>
      <c r="B2601" t="s">
        <v>338</v>
      </c>
      <c r="C2601" t="s">
        <v>66</v>
      </c>
      <c r="D2601">
        <v>0</v>
      </c>
      <c r="E2601" t="s">
        <v>380</v>
      </c>
    </row>
    <row r="2602" spans="1:5" x14ac:dyDescent="0.25">
      <c r="A2602" s="279">
        <v>39057</v>
      </c>
      <c r="B2602" t="s">
        <v>338</v>
      </c>
      <c r="C2602" t="s">
        <v>120</v>
      </c>
      <c r="D2602">
        <v>0</v>
      </c>
      <c r="E2602" t="s">
        <v>378</v>
      </c>
    </row>
    <row r="2603" spans="1:5" x14ac:dyDescent="0.25">
      <c r="A2603" s="279">
        <v>39057</v>
      </c>
      <c r="B2603" t="s">
        <v>338</v>
      </c>
      <c r="C2603" t="s">
        <v>121</v>
      </c>
      <c r="D2603">
        <v>387</v>
      </c>
      <c r="E2603" t="s">
        <v>380</v>
      </c>
    </row>
    <row r="2604" spans="1:5" x14ac:dyDescent="0.25">
      <c r="A2604" s="279">
        <v>39057</v>
      </c>
      <c r="B2604" t="s">
        <v>338</v>
      </c>
      <c r="C2604" t="s">
        <v>67</v>
      </c>
      <c r="D2604">
        <v>0</v>
      </c>
      <c r="E2604" t="s">
        <v>378</v>
      </c>
    </row>
    <row r="2605" spans="1:5" x14ac:dyDescent="0.25">
      <c r="A2605" s="279">
        <v>39057</v>
      </c>
      <c r="B2605" t="s">
        <v>338</v>
      </c>
      <c r="C2605" t="s">
        <v>68</v>
      </c>
      <c r="D2605">
        <v>0</v>
      </c>
      <c r="E2605" t="s">
        <v>380</v>
      </c>
    </row>
    <row r="2606" spans="1:5" x14ac:dyDescent="0.25">
      <c r="A2606" s="279">
        <v>39057</v>
      </c>
      <c r="B2606" t="s">
        <v>338</v>
      </c>
      <c r="C2606" t="s">
        <v>69</v>
      </c>
      <c r="D2606">
        <v>34951</v>
      </c>
      <c r="E2606" t="s">
        <v>379</v>
      </c>
    </row>
    <row r="2607" spans="1:5" x14ac:dyDescent="0.25">
      <c r="A2607" s="279">
        <v>39057</v>
      </c>
      <c r="B2607" t="s">
        <v>338</v>
      </c>
      <c r="C2607" t="s">
        <v>70</v>
      </c>
      <c r="D2607">
        <v>0</v>
      </c>
      <c r="E2607" t="s">
        <v>379</v>
      </c>
    </row>
    <row r="2608" spans="1:5" x14ac:dyDescent="0.25">
      <c r="A2608" s="279">
        <v>39057</v>
      </c>
      <c r="B2608" t="s">
        <v>338</v>
      </c>
      <c r="C2608" t="s">
        <v>80</v>
      </c>
      <c r="D2608">
        <v>0</v>
      </c>
      <c r="E2608" t="s">
        <v>379</v>
      </c>
    </row>
    <row r="2609" spans="1:5" x14ac:dyDescent="0.25">
      <c r="A2609" s="279">
        <v>39057</v>
      </c>
      <c r="B2609" t="s">
        <v>339</v>
      </c>
      <c r="C2609" t="s">
        <v>71</v>
      </c>
      <c r="D2609">
        <v>0</v>
      </c>
      <c r="E2609" t="s">
        <v>378</v>
      </c>
    </row>
    <row r="2610" spans="1:5" x14ac:dyDescent="0.25">
      <c r="A2610" s="279">
        <v>39057</v>
      </c>
      <c r="B2610" t="s">
        <v>339</v>
      </c>
      <c r="C2610" t="s">
        <v>72</v>
      </c>
      <c r="D2610">
        <v>0</v>
      </c>
      <c r="E2610" t="s">
        <v>380</v>
      </c>
    </row>
    <row r="2611" spans="1:5" x14ac:dyDescent="0.25">
      <c r="A2611" s="279">
        <v>39057</v>
      </c>
      <c r="B2611" t="s">
        <v>339</v>
      </c>
      <c r="C2611" t="s">
        <v>73</v>
      </c>
      <c r="D2611">
        <v>0</v>
      </c>
      <c r="E2611" t="s">
        <v>378</v>
      </c>
    </row>
    <row r="2612" spans="1:5" x14ac:dyDescent="0.25">
      <c r="A2612" s="279">
        <v>39057</v>
      </c>
      <c r="B2612" t="s">
        <v>339</v>
      </c>
      <c r="C2612" t="s">
        <v>74</v>
      </c>
      <c r="D2612">
        <v>24937</v>
      </c>
      <c r="E2612" t="s">
        <v>380</v>
      </c>
    </row>
    <row r="2613" spans="1:5" x14ac:dyDescent="0.25">
      <c r="A2613" s="279">
        <v>39057</v>
      </c>
      <c r="B2613" t="s">
        <v>339</v>
      </c>
      <c r="C2613" t="s">
        <v>75</v>
      </c>
      <c r="D2613">
        <v>15079</v>
      </c>
      <c r="E2613" t="s">
        <v>378</v>
      </c>
    </row>
    <row r="2614" spans="1:5" x14ac:dyDescent="0.25">
      <c r="A2614" s="279">
        <v>39057</v>
      </c>
      <c r="B2614" t="s">
        <v>339</v>
      </c>
      <c r="C2614" t="s">
        <v>76</v>
      </c>
      <c r="D2614">
        <v>14536</v>
      </c>
      <c r="E2614" t="s">
        <v>380</v>
      </c>
    </row>
    <row r="2615" spans="1:5" x14ac:dyDescent="0.25">
      <c r="A2615" s="279">
        <v>39057</v>
      </c>
      <c r="B2615" t="s">
        <v>339</v>
      </c>
      <c r="C2615" t="s">
        <v>77</v>
      </c>
      <c r="D2615">
        <v>7303</v>
      </c>
      <c r="E2615" t="s">
        <v>378</v>
      </c>
    </row>
    <row r="2616" spans="1:5" x14ac:dyDescent="0.25">
      <c r="A2616" s="279">
        <v>39057</v>
      </c>
      <c r="B2616" t="s">
        <v>339</v>
      </c>
      <c r="C2616" t="s">
        <v>78</v>
      </c>
      <c r="D2616">
        <v>7035</v>
      </c>
      <c r="E2616" t="s">
        <v>380</v>
      </c>
    </row>
    <row r="2617" spans="1:5" x14ac:dyDescent="0.25">
      <c r="A2617" s="279">
        <v>39057</v>
      </c>
      <c r="B2617" t="s">
        <v>339</v>
      </c>
      <c r="C2617" t="s">
        <v>79</v>
      </c>
      <c r="D2617">
        <v>98191</v>
      </c>
      <c r="E2617" t="s">
        <v>379</v>
      </c>
    </row>
    <row r="2618" spans="1:5" x14ac:dyDescent="0.25">
      <c r="A2618" s="279">
        <v>39057</v>
      </c>
      <c r="B2618" t="s">
        <v>339</v>
      </c>
      <c r="C2618" t="s">
        <v>70</v>
      </c>
      <c r="D2618">
        <v>0</v>
      </c>
      <c r="E2618" t="s">
        <v>379</v>
      </c>
    </row>
    <row r="2619" spans="1:5" x14ac:dyDescent="0.25">
      <c r="A2619" s="279">
        <v>39057</v>
      </c>
      <c r="B2619" t="s">
        <v>339</v>
      </c>
      <c r="C2619" t="s">
        <v>63</v>
      </c>
      <c r="D2619">
        <v>0</v>
      </c>
      <c r="E2619" t="s">
        <v>378</v>
      </c>
    </row>
    <row r="2620" spans="1:5" x14ac:dyDescent="0.25">
      <c r="A2620" s="279">
        <v>39057</v>
      </c>
      <c r="B2620" t="s">
        <v>339</v>
      </c>
      <c r="C2620" t="s">
        <v>80</v>
      </c>
      <c r="D2620">
        <v>134</v>
      </c>
      <c r="E2620" t="s">
        <v>379</v>
      </c>
    </row>
    <row r="2621" spans="1:5" x14ac:dyDescent="0.25">
      <c r="A2621" s="279">
        <v>39058</v>
      </c>
      <c r="B2621" t="s">
        <v>338</v>
      </c>
      <c r="C2621" t="s">
        <v>59</v>
      </c>
      <c r="D2621">
        <v>0</v>
      </c>
      <c r="E2621" t="s">
        <v>378</v>
      </c>
    </row>
    <row r="2622" spans="1:5" x14ac:dyDescent="0.25">
      <c r="A2622" s="279">
        <v>39058</v>
      </c>
      <c r="B2622" t="s">
        <v>338</v>
      </c>
      <c r="C2622" t="s">
        <v>60</v>
      </c>
      <c r="D2622">
        <v>4852</v>
      </c>
      <c r="E2622" t="s">
        <v>379</v>
      </c>
    </row>
    <row r="2623" spans="1:5" x14ac:dyDescent="0.25">
      <c r="A2623" s="279">
        <v>39058</v>
      </c>
      <c r="B2623" t="s">
        <v>338</v>
      </c>
      <c r="C2623" t="s">
        <v>61</v>
      </c>
      <c r="D2623">
        <v>0</v>
      </c>
      <c r="E2623" t="s">
        <v>378</v>
      </c>
    </row>
    <row r="2624" spans="1:5" x14ac:dyDescent="0.25">
      <c r="A2624" s="279">
        <v>39058</v>
      </c>
      <c r="B2624" t="s">
        <v>338</v>
      </c>
      <c r="C2624" t="s">
        <v>62</v>
      </c>
      <c r="D2624">
        <v>0</v>
      </c>
      <c r="E2624" t="s">
        <v>380</v>
      </c>
    </row>
    <row r="2625" spans="1:5" x14ac:dyDescent="0.25">
      <c r="A2625" s="279">
        <v>39058</v>
      </c>
      <c r="B2625" t="s">
        <v>338</v>
      </c>
      <c r="C2625" t="s">
        <v>63</v>
      </c>
      <c r="D2625">
        <v>0</v>
      </c>
      <c r="E2625" t="s">
        <v>378</v>
      </c>
    </row>
    <row r="2626" spans="1:5" x14ac:dyDescent="0.25">
      <c r="A2626" s="279">
        <v>39058</v>
      </c>
      <c r="B2626" t="s">
        <v>338</v>
      </c>
      <c r="C2626" t="s">
        <v>64</v>
      </c>
      <c r="D2626">
        <v>32520</v>
      </c>
      <c r="E2626" t="s">
        <v>380</v>
      </c>
    </row>
    <row r="2627" spans="1:5" x14ac:dyDescent="0.25">
      <c r="A2627" s="279">
        <v>39058</v>
      </c>
      <c r="B2627" t="s">
        <v>338</v>
      </c>
      <c r="C2627" t="s">
        <v>65</v>
      </c>
      <c r="D2627">
        <v>0</v>
      </c>
      <c r="E2627" t="s">
        <v>378</v>
      </c>
    </row>
    <row r="2628" spans="1:5" x14ac:dyDescent="0.25">
      <c r="A2628" s="279">
        <v>39058</v>
      </c>
      <c r="B2628" t="s">
        <v>338</v>
      </c>
      <c r="C2628" t="s">
        <v>66</v>
      </c>
      <c r="D2628">
        <v>0</v>
      </c>
      <c r="E2628" t="s">
        <v>380</v>
      </c>
    </row>
    <row r="2629" spans="1:5" x14ac:dyDescent="0.25">
      <c r="A2629" s="279">
        <v>39058</v>
      </c>
      <c r="B2629" t="s">
        <v>338</v>
      </c>
      <c r="C2629" t="s">
        <v>120</v>
      </c>
      <c r="D2629">
        <v>1323</v>
      </c>
      <c r="E2629" t="s">
        <v>378</v>
      </c>
    </row>
    <row r="2630" spans="1:5" x14ac:dyDescent="0.25">
      <c r="A2630" s="279">
        <v>39058</v>
      </c>
      <c r="B2630" t="s">
        <v>338</v>
      </c>
      <c r="C2630" t="s">
        <v>121</v>
      </c>
      <c r="D2630">
        <v>0</v>
      </c>
      <c r="E2630" t="s">
        <v>380</v>
      </c>
    </row>
    <row r="2631" spans="1:5" x14ac:dyDescent="0.25">
      <c r="A2631" s="279">
        <v>39058</v>
      </c>
      <c r="B2631" t="s">
        <v>338</v>
      </c>
      <c r="C2631" t="s">
        <v>67</v>
      </c>
      <c r="D2631">
        <v>0</v>
      </c>
      <c r="E2631" t="s">
        <v>378</v>
      </c>
    </row>
    <row r="2632" spans="1:5" x14ac:dyDescent="0.25">
      <c r="A2632" s="279">
        <v>39058</v>
      </c>
      <c r="B2632" t="s">
        <v>338</v>
      </c>
      <c r="C2632" t="s">
        <v>68</v>
      </c>
      <c r="D2632">
        <v>0</v>
      </c>
      <c r="E2632" t="s">
        <v>380</v>
      </c>
    </row>
    <row r="2633" spans="1:5" x14ac:dyDescent="0.25">
      <c r="A2633" s="279">
        <v>39058</v>
      </c>
      <c r="B2633" t="s">
        <v>338</v>
      </c>
      <c r="C2633" t="s">
        <v>69</v>
      </c>
      <c r="D2633">
        <v>34951</v>
      </c>
      <c r="E2633" t="s">
        <v>379</v>
      </c>
    </row>
    <row r="2634" spans="1:5" x14ac:dyDescent="0.25">
      <c r="A2634" s="279">
        <v>39058</v>
      </c>
      <c r="B2634" t="s">
        <v>338</v>
      </c>
      <c r="C2634" t="s">
        <v>70</v>
      </c>
      <c r="D2634">
        <v>0</v>
      </c>
      <c r="E2634" t="s">
        <v>379</v>
      </c>
    </row>
    <row r="2635" spans="1:5" x14ac:dyDescent="0.25">
      <c r="A2635" s="279">
        <v>39058</v>
      </c>
      <c r="B2635" t="s">
        <v>338</v>
      </c>
      <c r="C2635" t="s">
        <v>80</v>
      </c>
      <c r="D2635">
        <v>11</v>
      </c>
      <c r="E2635" t="s">
        <v>379</v>
      </c>
    </row>
    <row r="2636" spans="1:5" x14ac:dyDescent="0.25">
      <c r="A2636" s="279">
        <v>39058</v>
      </c>
      <c r="B2636" t="s">
        <v>339</v>
      </c>
      <c r="C2636" t="s">
        <v>71</v>
      </c>
      <c r="D2636">
        <v>0</v>
      </c>
      <c r="E2636" t="s">
        <v>378</v>
      </c>
    </row>
    <row r="2637" spans="1:5" x14ac:dyDescent="0.25">
      <c r="A2637" s="279">
        <v>39058</v>
      </c>
      <c r="B2637" t="s">
        <v>339</v>
      </c>
      <c r="C2637" t="s">
        <v>72</v>
      </c>
      <c r="D2637">
        <v>0</v>
      </c>
      <c r="E2637" t="s">
        <v>380</v>
      </c>
    </row>
    <row r="2638" spans="1:5" x14ac:dyDescent="0.25">
      <c r="A2638" s="279">
        <v>39058</v>
      </c>
      <c r="B2638" t="s">
        <v>339</v>
      </c>
      <c r="C2638" t="s">
        <v>73</v>
      </c>
      <c r="D2638">
        <v>0</v>
      </c>
      <c r="E2638" t="s">
        <v>378</v>
      </c>
    </row>
    <row r="2639" spans="1:5" x14ac:dyDescent="0.25">
      <c r="A2639" s="279">
        <v>39058</v>
      </c>
      <c r="B2639" t="s">
        <v>339</v>
      </c>
      <c r="C2639" t="s">
        <v>74</v>
      </c>
      <c r="D2639">
        <v>29098</v>
      </c>
      <c r="E2639" t="s">
        <v>380</v>
      </c>
    </row>
    <row r="2640" spans="1:5" x14ac:dyDescent="0.25">
      <c r="A2640" s="279">
        <v>39058</v>
      </c>
      <c r="B2640" t="s">
        <v>339</v>
      </c>
      <c r="C2640" t="s">
        <v>75</v>
      </c>
      <c r="D2640">
        <v>15108</v>
      </c>
      <c r="E2640" t="s">
        <v>378</v>
      </c>
    </row>
    <row r="2641" spans="1:5" x14ac:dyDescent="0.25">
      <c r="A2641" s="279">
        <v>39058</v>
      </c>
      <c r="B2641" t="s">
        <v>339</v>
      </c>
      <c r="C2641" t="s">
        <v>76</v>
      </c>
      <c r="D2641">
        <v>24159</v>
      </c>
      <c r="E2641" t="s">
        <v>380</v>
      </c>
    </row>
    <row r="2642" spans="1:5" x14ac:dyDescent="0.25">
      <c r="A2642" s="279">
        <v>39058</v>
      </c>
      <c r="B2642" t="s">
        <v>339</v>
      </c>
      <c r="C2642" t="s">
        <v>77</v>
      </c>
      <c r="D2642">
        <v>7317</v>
      </c>
      <c r="E2642" t="s">
        <v>378</v>
      </c>
    </row>
    <row r="2643" spans="1:5" x14ac:dyDescent="0.25">
      <c r="A2643" s="279">
        <v>39058</v>
      </c>
      <c r="B2643" t="s">
        <v>339</v>
      </c>
      <c r="C2643" t="s">
        <v>78</v>
      </c>
      <c r="D2643">
        <v>30121</v>
      </c>
      <c r="E2643" t="s">
        <v>380</v>
      </c>
    </row>
    <row r="2644" spans="1:5" x14ac:dyDescent="0.25">
      <c r="A2644" s="279">
        <v>39058</v>
      </c>
      <c r="B2644" t="s">
        <v>339</v>
      </c>
      <c r="C2644" t="s">
        <v>79</v>
      </c>
      <c r="D2644">
        <v>98442</v>
      </c>
      <c r="E2644" t="s">
        <v>379</v>
      </c>
    </row>
    <row r="2645" spans="1:5" x14ac:dyDescent="0.25">
      <c r="A2645" s="279">
        <v>39058</v>
      </c>
      <c r="B2645" t="s">
        <v>339</v>
      </c>
      <c r="C2645" t="s">
        <v>70</v>
      </c>
      <c r="D2645">
        <v>0</v>
      </c>
      <c r="E2645" t="s">
        <v>379</v>
      </c>
    </row>
    <row r="2646" spans="1:5" x14ac:dyDescent="0.25">
      <c r="A2646" s="279">
        <v>39058</v>
      </c>
      <c r="B2646" t="s">
        <v>339</v>
      </c>
      <c r="C2646" t="s">
        <v>63</v>
      </c>
      <c r="D2646">
        <v>0</v>
      </c>
      <c r="E2646" t="s">
        <v>378</v>
      </c>
    </row>
    <row r="2647" spans="1:5" x14ac:dyDescent="0.25">
      <c r="A2647" s="279">
        <v>39058</v>
      </c>
      <c r="B2647" t="s">
        <v>339</v>
      </c>
      <c r="C2647" t="s">
        <v>80</v>
      </c>
      <c r="D2647">
        <v>134</v>
      </c>
      <c r="E2647" t="s">
        <v>379</v>
      </c>
    </row>
    <row r="2648" spans="1:5" x14ac:dyDescent="0.25">
      <c r="A2648" s="279">
        <v>39059</v>
      </c>
      <c r="B2648" t="s">
        <v>338</v>
      </c>
      <c r="C2648" t="s">
        <v>59</v>
      </c>
      <c r="D2648">
        <v>0</v>
      </c>
      <c r="E2648" t="s">
        <v>378</v>
      </c>
    </row>
    <row r="2649" spans="1:5" x14ac:dyDescent="0.25">
      <c r="A2649" s="279">
        <v>39059</v>
      </c>
      <c r="B2649" t="s">
        <v>338</v>
      </c>
      <c r="C2649" t="s">
        <v>60</v>
      </c>
      <c r="D2649">
        <v>4852</v>
      </c>
      <c r="E2649" t="s">
        <v>379</v>
      </c>
    </row>
    <row r="2650" spans="1:5" x14ac:dyDescent="0.25">
      <c r="A2650" s="279">
        <v>39059</v>
      </c>
      <c r="B2650" t="s">
        <v>338</v>
      </c>
      <c r="C2650" t="s">
        <v>61</v>
      </c>
      <c r="D2650">
        <v>0</v>
      </c>
      <c r="E2650" t="s">
        <v>378</v>
      </c>
    </row>
    <row r="2651" spans="1:5" x14ac:dyDescent="0.25">
      <c r="A2651" s="279">
        <v>39059</v>
      </c>
      <c r="B2651" t="s">
        <v>338</v>
      </c>
      <c r="C2651" t="s">
        <v>62</v>
      </c>
      <c r="D2651">
        <v>18276</v>
      </c>
      <c r="E2651" t="s">
        <v>380</v>
      </c>
    </row>
    <row r="2652" spans="1:5" x14ac:dyDescent="0.25">
      <c r="A2652" s="279">
        <v>39059</v>
      </c>
      <c r="B2652" t="s">
        <v>338</v>
      </c>
      <c r="C2652" t="s">
        <v>63</v>
      </c>
      <c r="D2652">
        <v>0</v>
      </c>
      <c r="E2652" t="s">
        <v>378</v>
      </c>
    </row>
    <row r="2653" spans="1:5" x14ac:dyDescent="0.25">
      <c r="A2653" s="279">
        <v>39059</v>
      </c>
      <c r="B2653" t="s">
        <v>338</v>
      </c>
      <c r="C2653" t="s">
        <v>64</v>
      </c>
      <c r="D2653">
        <v>32520</v>
      </c>
      <c r="E2653" t="s">
        <v>380</v>
      </c>
    </row>
    <row r="2654" spans="1:5" x14ac:dyDescent="0.25">
      <c r="A2654" s="279">
        <v>39059</v>
      </c>
      <c r="B2654" t="s">
        <v>338</v>
      </c>
      <c r="C2654" t="s">
        <v>65</v>
      </c>
      <c r="D2654">
        <v>0</v>
      </c>
      <c r="E2654" t="s">
        <v>378</v>
      </c>
    </row>
    <row r="2655" spans="1:5" x14ac:dyDescent="0.25">
      <c r="A2655" s="279">
        <v>39059</v>
      </c>
      <c r="B2655" t="s">
        <v>338</v>
      </c>
      <c r="C2655" t="s">
        <v>66</v>
      </c>
      <c r="D2655">
        <v>0</v>
      </c>
      <c r="E2655" t="s">
        <v>380</v>
      </c>
    </row>
    <row r="2656" spans="1:5" x14ac:dyDescent="0.25">
      <c r="A2656" s="279">
        <v>39059</v>
      </c>
      <c r="B2656" t="s">
        <v>338</v>
      </c>
      <c r="C2656" t="s">
        <v>120</v>
      </c>
      <c r="D2656">
        <v>0</v>
      </c>
      <c r="E2656" t="s">
        <v>378</v>
      </c>
    </row>
    <row r="2657" spans="1:5" x14ac:dyDescent="0.25">
      <c r="A2657" s="279">
        <v>39059</v>
      </c>
      <c r="B2657" t="s">
        <v>338</v>
      </c>
      <c r="C2657" t="s">
        <v>121</v>
      </c>
      <c r="D2657">
        <v>20240</v>
      </c>
      <c r="E2657" t="s">
        <v>380</v>
      </c>
    </row>
    <row r="2658" spans="1:5" x14ac:dyDescent="0.25">
      <c r="A2658" s="279">
        <v>39059</v>
      </c>
      <c r="B2658" t="s">
        <v>338</v>
      </c>
      <c r="C2658" t="s">
        <v>67</v>
      </c>
      <c r="D2658">
        <v>0</v>
      </c>
      <c r="E2658" t="s">
        <v>378</v>
      </c>
    </row>
    <row r="2659" spans="1:5" x14ac:dyDescent="0.25">
      <c r="A2659" s="279">
        <v>39059</v>
      </c>
      <c r="B2659" t="s">
        <v>338</v>
      </c>
      <c r="C2659" t="s">
        <v>68</v>
      </c>
      <c r="D2659">
        <v>0</v>
      </c>
      <c r="E2659" t="s">
        <v>380</v>
      </c>
    </row>
    <row r="2660" spans="1:5" x14ac:dyDescent="0.25">
      <c r="A2660" s="279">
        <v>39059</v>
      </c>
      <c r="B2660" t="s">
        <v>338</v>
      </c>
      <c r="C2660" t="s">
        <v>69</v>
      </c>
      <c r="D2660">
        <v>34951</v>
      </c>
      <c r="E2660" t="s">
        <v>379</v>
      </c>
    </row>
    <row r="2661" spans="1:5" x14ac:dyDescent="0.25">
      <c r="A2661" s="279">
        <v>39059</v>
      </c>
      <c r="B2661" t="s">
        <v>338</v>
      </c>
      <c r="C2661" t="s">
        <v>70</v>
      </c>
      <c r="D2661">
        <v>0</v>
      </c>
      <c r="E2661" t="s">
        <v>379</v>
      </c>
    </row>
    <row r="2662" spans="1:5" x14ac:dyDescent="0.25">
      <c r="A2662" s="279">
        <v>39059</v>
      </c>
      <c r="B2662" t="s">
        <v>338</v>
      </c>
      <c r="C2662" t="s">
        <v>80</v>
      </c>
      <c r="D2662">
        <v>0</v>
      </c>
      <c r="E2662" t="s">
        <v>379</v>
      </c>
    </row>
    <row r="2663" spans="1:5" x14ac:dyDescent="0.25">
      <c r="A2663" s="279">
        <v>39059</v>
      </c>
      <c r="B2663" t="s">
        <v>339</v>
      </c>
      <c r="C2663" t="s">
        <v>71</v>
      </c>
      <c r="D2663">
        <v>0</v>
      </c>
      <c r="E2663" t="s">
        <v>378</v>
      </c>
    </row>
    <row r="2664" spans="1:5" x14ac:dyDescent="0.25">
      <c r="A2664" s="279">
        <v>39059</v>
      </c>
      <c r="B2664" t="s">
        <v>339</v>
      </c>
      <c r="C2664" t="s">
        <v>72</v>
      </c>
      <c r="D2664">
        <v>4836</v>
      </c>
      <c r="E2664" t="s">
        <v>380</v>
      </c>
    </row>
    <row r="2665" spans="1:5" x14ac:dyDescent="0.25">
      <c r="A2665" s="279">
        <v>39059</v>
      </c>
      <c r="B2665" t="s">
        <v>339</v>
      </c>
      <c r="C2665" t="s">
        <v>73</v>
      </c>
      <c r="D2665">
        <v>0</v>
      </c>
      <c r="E2665" t="s">
        <v>378</v>
      </c>
    </row>
    <row r="2666" spans="1:5" x14ac:dyDescent="0.25">
      <c r="A2666" s="279">
        <v>39059</v>
      </c>
      <c r="B2666" t="s">
        <v>339</v>
      </c>
      <c r="C2666" t="s">
        <v>74</v>
      </c>
      <c r="D2666">
        <v>56015</v>
      </c>
      <c r="E2666" t="s">
        <v>380</v>
      </c>
    </row>
    <row r="2667" spans="1:5" x14ac:dyDescent="0.25">
      <c r="A2667" s="279">
        <v>39059</v>
      </c>
      <c r="B2667" t="s">
        <v>339</v>
      </c>
      <c r="C2667" t="s">
        <v>75</v>
      </c>
      <c r="D2667">
        <v>15065</v>
      </c>
      <c r="E2667" t="s">
        <v>378</v>
      </c>
    </row>
    <row r="2668" spans="1:5" x14ac:dyDescent="0.25">
      <c r="A2668" s="279">
        <v>39059</v>
      </c>
      <c r="B2668" t="s">
        <v>339</v>
      </c>
      <c r="C2668" t="s">
        <v>76</v>
      </c>
      <c r="D2668">
        <v>36282</v>
      </c>
      <c r="E2668" t="s">
        <v>380</v>
      </c>
    </row>
    <row r="2669" spans="1:5" x14ac:dyDescent="0.25">
      <c r="A2669" s="279">
        <v>39059</v>
      </c>
      <c r="B2669" t="s">
        <v>339</v>
      </c>
      <c r="C2669" t="s">
        <v>77</v>
      </c>
      <c r="D2669">
        <v>7296</v>
      </c>
      <c r="E2669" t="s">
        <v>378</v>
      </c>
    </row>
    <row r="2670" spans="1:5" x14ac:dyDescent="0.25">
      <c r="A2670" s="279">
        <v>39059</v>
      </c>
      <c r="B2670" t="s">
        <v>339</v>
      </c>
      <c r="C2670" t="s">
        <v>78</v>
      </c>
      <c r="D2670">
        <v>40625</v>
      </c>
      <c r="E2670" t="s">
        <v>380</v>
      </c>
    </row>
    <row r="2671" spans="1:5" x14ac:dyDescent="0.25">
      <c r="A2671" s="279">
        <v>39059</v>
      </c>
      <c r="B2671" t="s">
        <v>339</v>
      </c>
      <c r="C2671" t="s">
        <v>79</v>
      </c>
      <c r="D2671">
        <v>87565</v>
      </c>
      <c r="E2671" t="s">
        <v>379</v>
      </c>
    </row>
    <row r="2672" spans="1:5" x14ac:dyDescent="0.25">
      <c r="A2672" s="279">
        <v>39059</v>
      </c>
      <c r="B2672" t="s">
        <v>339</v>
      </c>
      <c r="C2672" t="s">
        <v>70</v>
      </c>
      <c r="D2672">
        <v>0</v>
      </c>
      <c r="E2672" t="s">
        <v>379</v>
      </c>
    </row>
    <row r="2673" spans="1:5" x14ac:dyDescent="0.25">
      <c r="A2673" s="279">
        <v>39059</v>
      </c>
      <c r="B2673" t="s">
        <v>339</v>
      </c>
      <c r="C2673" t="s">
        <v>63</v>
      </c>
      <c r="D2673">
        <v>0</v>
      </c>
      <c r="E2673" t="s">
        <v>378</v>
      </c>
    </row>
    <row r="2674" spans="1:5" x14ac:dyDescent="0.25">
      <c r="A2674" s="279">
        <v>39059</v>
      </c>
      <c r="B2674" t="s">
        <v>339</v>
      </c>
      <c r="C2674" t="s">
        <v>80</v>
      </c>
      <c r="D2674">
        <v>134</v>
      </c>
      <c r="E2674" t="s">
        <v>379</v>
      </c>
    </row>
    <row r="2675" spans="1:5" x14ac:dyDescent="0.25">
      <c r="A2675" s="279">
        <v>39060</v>
      </c>
      <c r="B2675" t="s">
        <v>338</v>
      </c>
      <c r="C2675" t="s">
        <v>59</v>
      </c>
      <c r="D2675">
        <v>0</v>
      </c>
      <c r="E2675" t="s">
        <v>378</v>
      </c>
    </row>
    <row r="2676" spans="1:5" x14ac:dyDescent="0.25">
      <c r="A2676" s="279">
        <v>39060</v>
      </c>
      <c r="B2676" t="s">
        <v>338</v>
      </c>
      <c r="C2676" t="s">
        <v>60</v>
      </c>
      <c r="D2676">
        <v>4792</v>
      </c>
      <c r="E2676" t="s">
        <v>379</v>
      </c>
    </row>
    <row r="2677" spans="1:5" x14ac:dyDescent="0.25">
      <c r="A2677" s="279">
        <v>39060</v>
      </c>
      <c r="B2677" t="s">
        <v>338</v>
      </c>
      <c r="C2677" t="s">
        <v>61</v>
      </c>
      <c r="D2677">
        <v>0</v>
      </c>
      <c r="E2677" t="s">
        <v>378</v>
      </c>
    </row>
    <row r="2678" spans="1:5" x14ac:dyDescent="0.25">
      <c r="A2678" s="279">
        <v>39060</v>
      </c>
      <c r="B2678" t="s">
        <v>338</v>
      </c>
      <c r="C2678" t="s">
        <v>62</v>
      </c>
      <c r="D2678">
        <v>0</v>
      </c>
      <c r="E2678" t="s">
        <v>380</v>
      </c>
    </row>
    <row r="2679" spans="1:5" x14ac:dyDescent="0.25">
      <c r="A2679" s="279">
        <v>39060</v>
      </c>
      <c r="B2679" t="s">
        <v>338</v>
      </c>
      <c r="C2679" t="s">
        <v>63</v>
      </c>
      <c r="D2679">
        <v>0</v>
      </c>
      <c r="E2679" t="s">
        <v>378</v>
      </c>
    </row>
    <row r="2680" spans="1:5" x14ac:dyDescent="0.25">
      <c r="A2680" s="279">
        <v>39060</v>
      </c>
      <c r="B2680" t="s">
        <v>338</v>
      </c>
      <c r="C2680" t="s">
        <v>64</v>
      </c>
      <c r="D2680">
        <v>32115</v>
      </c>
      <c r="E2680" t="s">
        <v>380</v>
      </c>
    </row>
    <row r="2681" spans="1:5" x14ac:dyDescent="0.25">
      <c r="A2681" s="279">
        <v>39060</v>
      </c>
      <c r="B2681" t="s">
        <v>338</v>
      </c>
      <c r="C2681" t="s">
        <v>65</v>
      </c>
      <c r="D2681">
        <v>0</v>
      </c>
      <c r="E2681" t="s">
        <v>378</v>
      </c>
    </row>
    <row r="2682" spans="1:5" x14ac:dyDescent="0.25">
      <c r="A2682" s="279">
        <v>39060</v>
      </c>
      <c r="B2682" t="s">
        <v>338</v>
      </c>
      <c r="C2682" t="s">
        <v>66</v>
      </c>
      <c r="D2682">
        <v>0</v>
      </c>
      <c r="E2682" t="s">
        <v>380</v>
      </c>
    </row>
    <row r="2683" spans="1:5" x14ac:dyDescent="0.25">
      <c r="A2683" s="279">
        <v>39060</v>
      </c>
      <c r="B2683" t="s">
        <v>338</v>
      </c>
      <c r="C2683" t="s">
        <v>120</v>
      </c>
      <c r="D2683">
        <v>0</v>
      </c>
      <c r="E2683" t="s">
        <v>378</v>
      </c>
    </row>
    <row r="2684" spans="1:5" x14ac:dyDescent="0.25">
      <c r="A2684" s="279">
        <v>39060</v>
      </c>
      <c r="B2684" t="s">
        <v>338</v>
      </c>
      <c r="C2684" t="s">
        <v>121</v>
      </c>
      <c r="D2684">
        <v>16790</v>
      </c>
      <c r="E2684" t="s">
        <v>380</v>
      </c>
    </row>
    <row r="2685" spans="1:5" x14ac:dyDescent="0.25">
      <c r="A2685" s="279">
        <v>39060</v>
      </c>
      <c r="B2685" t="s">
        <v>338</v>
      </c>
      <c r="C2685" t="s">
        <v>67</v>
      </c>
      <c r="D2685">
        <v>0</v>
      </c>
      <c r="E2685" t="s">
        <v>378</v>
      </c>
    </row>
    <row r="2686" spans="1:5" x14ac:dyDescent="0.25">
      <c r="A2686" s="279">
        <v>39060</v>
      </c>
      <c r="B2686" t="s">
        <v>338</v>
      </c>
      <c r="C2686" t="s">
        <v>68</v>
      </c>
      <c r="D2686">
        <v>0</v>
      </c>
      <c r="E2686" t="s">
        <v>380</v>
      </c>
    </row>
    <row r="2687" spans="1:5" x14ac:dyDescent="0.25">
      <c r="A2687" s="279">
        <v>39060</v>
      </c>
      <c r="B2687" t="s">
        <v>338</v>
      </c>
      <c r="C2687" t="s">
        <v>69</v>
      </c>
      <c r="D2687">
        <v>34516</v>
      </c>
      <c r="E2687" t="s">
        <v>379</v>
      </c>
    </row>
    <row r="2688" spans="1:5" x14ac:dyDescent="0.25">
      <c r="A2688" s="279">
        <v>39060</v>
      </c>
      <c r="B2688" t="s">
        <v>338</v>
      </c>
      <c r="C2688" t="s">
        <v>70</v>
      </c>
      <c r="D2688">
        <v>0</v>
      </c>
      <c r="E2688" t="s">
        <v>379</v>
      </c>
    </row>
    <row r="2689" spans="1:5" x14ac:dyDescent="0.25">
      <c r="A2689" s="279">
        <v>39060</v>
      </c>
      <c r="B2689" t="s">
        <v>338</v>
      </c>
      <c r="C2689" t="s">
        <v>80</v>
      </c>
      <c r="D2689">
        <v>0</v>
      </c>
      <c r="E2689" t="s">
        <v>379</v>
      </c>
    </row>
    <row r="2690" spans="1:5" x14ac:dyDescent="0.25">
      <c r="A2690" s="279">
        <v>39060</v>
      </c>
      <c r="B2690" t="s">
        <v>339</v>
      </c>
      <c r="C2690" t="s">
        <v>71</v>
      </c>
      <c r="D2690">
        <v>0</v>
      </c>
      <c r="E2690" t="s">
        <v>378</v>
      </c>
    </row>
    <row r="2691" spans="1:5" x14ac:dyDescent="0.25">
      <c r="A2691" s="279">
        <v>39060</v>
      </c>
      <c r="B2691" t="s">
        <v>339</v>
      </c>
      <c r="C2691" t="s">
        <v>72</v>
      </c>
      <c r="D2691">
        <v>3066</v>
      </c>
      <c r="E2691" t="s">
        <v>380</v>
      </c>
    </row>
    <row r="2692" spans="1:5" x14ac:dyDescent="0.25">
      <c r="A2692" s="279">
        <v>39060</v>
      </c>
      <c r="B2692" t="s">
        <v>339</v>
      </c>
      <c r="C2692" t="s">
        <v>73</v>
      </c>
      <c r="D2692">
        <v>0</v>
      </c>
      <c r="E2692" t="s">
        <v>378</v>
      </c>
    </row>
    <row r="2693" spans="1:5" x14ac:dyDescent="0.25">
      <c r="A2693" s="279">
        <v>39060</v>
      </c>
      <c r="B2693" t="s">
        <v>339</v>
      </c>
      <c r="C2693" t="s">
        <v>74</v>
      </c>
      <c r="D2693">
        <v>29014</v>
      </c>
      <c r="E2693" t="s">
        <v>380</v>
      </c>
    </row>
    <row r="2694" spans="1:5" x14ac:dyDescent="0.25">
      <c r="A2694" s="279">
        <v>39060</v>
      </c>
      <c r="B2694" t="s">
        <v>339</v>
      </c>
      <c r="C2694" t="s">
        <v>75</v>
      </c>
      <c r="D2694">
        <v>15065</v>
      </c>
      <c r="E2694" t="s">
        <v>378</v>
      </c>
    </row>
    <row r="2695" spans="1:5" x14ac:dyDescent="0.25">
      <c r="A2695" s="279">
        <v>39060</v>
      </c>
      <c r="B2695" t="s">
        <v>339</v>
      </c>
      <c r="C2695" t="s">
        <v>76</v>
      </c>
      <c r="D2695">
        <v>36282</v>
      </c>
      <c r="E2695" t="s">
        <v>380</v>
      </c>
    </row>
    <row r="2696" spans="1:5" x14ac:dyDescent="0.25">
      <c r="A2696" s="279">
        <v>39060</v>
      </c>
      <c r="B2696" t="s">
        <v>339</v>
      </c>
      <c r="C2696" t="s">
        <v>77</v>
      </c>
      <c r="D2696">
        <v>7296</v>
      </c>
      <c r="E2696" t="s">
        <v>378</v>
      </c>
    </row>
    <row r="2697" spans="1:5" x14ac:dyDescent="0.25">
      <c r="A2697" s="279">
        <v>39060</v>
      </c>
      <c r="B2697" t="s">
        <v>339</v>
      </c>
      <c r="C2697" t="s">
        <v>78</v>
      </c>
      <c r="D2697">
        <v>30033</v>
      </c>
      <c r="E2697" t="s">
        <v>380</v>
      </c>
    </row>
    <row r="2698" spans="1:5" x14ac:dyDescent="0.25">
      <c r="A2698" s="279">
        <v>39060</v>
      </c>
      <c r="B2698" t="s">
        <v>339</v>
      </c>
      <c r="C2698" t="s">
        <v>79</v>
      </c>
      <c r="D2698">
        <v>95814</v>
      </c>
      <c r="E2698" t="s">
        <v>379</v>
      </c>
    </row>
    <row r="2699" spans="1:5" x14ac:dyDescent="0.25">
      <c r="A2699" s="279">
        <v>39060</v>
      </c>
      <c r="B2699" t="s">
        <v>339</v>
      </c>
      <c r="C2699" t="s">
        <v>70</v>
      </c>
      <c r="D2699">
        <v>0</v>
      </c>
      <c r="E2699" t="s">
        <v>379</v>
      </c>
    </row>
    <row r="2700" spans="1:5" x14ac:dyDescent="0.25">
      <c r="A2700" s="279">
        <v>39060</v>
      </c>
      <c r="B2700" t="s">
        <v>339</v>
      </c>
      <c r="C2700" t="s">
        <v>63</v>
      </c>
      <c r="D2700">
        <v>0</v>
      </c>
      <c r="E2700" t="s">
        <v>378</v>
      </c>
    </row>
    <row r="2701" spans="1:5" x14ac:dyDescent="0.25">
      <c r="A2701" s="279">
        <v>39060</v>
      </c>
      <c r="B2701" t="s">
        <v>339</v>
      </c>
      <c r="C2701" t="s">
        <v>80</v>
      </c>
      <c r="D2701">
        <v>134</v>
      </c>
      <c r="E2701" t="s">
        <v>379</v>
      </c>
    </row>
    <row r="2702" spans="1:5" x14ac:dyDescent="0.25">
      <c r="A2702" s="279">
        <v>39061</v>
      </c>
      <c r="B2702" t="s">
        <v>338</v>
      </c>
      <c r="C2702" t="s">
        <v>59</v>
      </c>
      <c r="D2702">
        <v>0</v>
      </c>
      <c r="E2702" t="s">
        <v>378</v>
      </c>
    </row>
    <row r="2703" spans="1:5" x14ac:dyDescent="0.25">
      <c r="A2703" s="279">
        <v>39061</v>
      </c>
      <c r="B2703" t="s">
        <v>338</v>
      </c>
      <c r="C2703" t="s">
        <v>60</v>
      </c>
      <c r="D2703">
        <v>4810</v>
      </c>
      <c r="E2703" t="s">
        <v>379</v>
      </c>
    </row>
    <row r="2704" spans="1:5" x14ac:dyDescent="0.25">
      <c r="A2704" s="279">
        <v>39061</v>
      </c>
      <c r="B2704" t="s">
        <v>338</v>
      </c>
      <c r="C2704" t="s">
        <v>61</v>
      </c>
      <c r="D2704">
        <v>0</v>
      </c>
      <c r="E2704" t="s">
        <v>378</v>
      </c>
    </row>
    <row r="2705" spans="1:5" x14ac:dyDescent="0.25">
      <c r="A2705" s="279">
        <v>39061</v>
      </c>
      <c r="B2705" t="s">
        <v>338</v>
      </c>
      <c r="C2705" t="s">
        <v>62</v>
      </c>
      <c r="D2705">
        <v>0</v>
      </c>
      <c r="E2705" t="s">
        <v>380</v>
      </c>
    </row>
    <row r="2706" spans="1:5" x14ac:dyDescent="0.25">
      <c r="A2706" s="279">
        <v>39061</v>
      </c>
      <c r="B2706" t="s">
        <v>338</v>
      </c>
      <c r="C2706" t="s">
        <v>63</v>
      </c>
      <c r="D2706">
        <v>0</v>
      </c>
      <c r="E2706" t="s">
        <v>378</v>
      </c>
    </row>
    <row r="2707" spans="1:5" x14ac:dyDescent="0.25">
      <c r="A2707" s="279">
        <v>39061</v>
      </c>
      <c r="B2707" t="s">
        <v>338</v>
      </c>
      <c r="C2707" t="s">
        <v>64</v>
      </c>
      <c r="D2707">
        <v>11731</v>
      </c>
      <c r="E2707" t="s">
        <v>380</v>
      </c>
    </row>
    <row r="2708" spans="1:5" x14ac:dyDescent="0.25">
      <c r="A2708" s="279">
        <v>39061</v>
      </c>
      <c r="B2708" t="s">
        <v>338</v>
      </c>
      <c r="C2708" t="s">
        <v>65</v>
      </c>
      <c r="D2708">
        <v>0</v>
      </c>
      <c r="E2708" t="s">
        <v>378</v>
      </c>
    </row>
    <row r="2709" spans="1:5" x14ac:dyDescent="0.25">
      <c r="A2709" s="279">
        <v>39061</v>
      </c>
      <c r="B2709" t="s">
        <v>338</v>
      </c>
      <c r="C2709" t="s">
        <v>66</v>
      </c>
      <c r="D2709">
        <v>0</v>
      </c>
      <c r="E2709" t="s">
        <v>380</v>
      </c>
    </row>
    <row r="2710" spans="1:5" x14ac:dyDescent="0.25">
      <c r="A2710" s="279">
        <v>39061</v>
      </c>
      <c r="B2710" t="s">
        <v>338</v>
      </c>
      <c r="C2710" t="s">
        <v>120</v>
      </c>
      <c r="D2710">
        <v>0</v>
      </c>
      <c r="E2710" t="s">
        <v>378</v>
      </c>
    </row>
    <row r="2711" spans="1:5" x14ac:dyDescent="0.25">
      <c r="A2711" s="279">
        <v>39061</v>
      </c>
      <c r="B2711" t="s">
        <v>338</v>
      </c>
      <c r="C2711" t="s">
        <v>121</v>
      </c>
      <c r="D2711">
        <v>974</v>
      </c>
      <c r="E2711" t="s">
        <v>380</v>
      </c>
    </row>
    <row r="2712" spans="1:5" x14ac:dyDescent="0.25">
      <c r="A2712" s="279">
        <v>39061</v>
      </c>
      <c r="B2712" t="s">
        <v>338</v>
      </c>
      <c r="C2712" t="s">
        <v>67</v>
      </c>
      <c r="D2712">
        <v>0</v>
      </c>
      <c r="E2712" t="s">
        <v>378</v>
      </c>
    </row>
    <row r="2713" spans="1:5" x14ac:dyDescent="0.25">
      <c r="A2713" s="279">
        <v>39061</v>
      </c>
      <c r="B2713" t="s">
        <v>338</v>
      </c>
      <c r="C2713" t="s">
        <v>68</v>
      </c>
      <c r="D2713">
        <v>0</v>
      </c>
      <c r="E2713" t="s">
        <v>380</v>
      </c>
    </row>
    <row r="2714" spans="1:5" x14ac:dyDescent="0.25">
      <c r="A2714" s="279">
        <v>39061</v>
      </c>
      <c r="B2714" t="s">
        <v>338</v>
      </c>
      <c r="C2714" t="s">
        <v>69</v>
      </c>
      <c r="D2714">
        <v>34649</v>
      </c>
      <c r="E2714" t="s">
        <v>379</v>
      </c>
    </row>
    <row r="2715" spans="1:5" x14ac:dyDescent="0.25">
      <c r="A2715" s="279">
        <v>39061</v>
      </c>
      <c r="B2715" t="s">
        <v>338</v>
      </c>
      <c r="C2715" t="s">
        <v>70</v>
      </c>
      <c r="D2715">
        <v>0</v>
      </c>
      <c r="E2715" t="s">
        <v>379</v>
      </c>
    </row>
    <row r="2716" spans="1:5" x14ac:dyDescent="0.25">
      <c r="A2716" s="279">
        <v>39061</v>
      </c>
      <c r="B2716" t="s">
        <v>338</v>
      </c>
      <c r="C2716" t="s">
        <v>80</v>
      </c>
      <c r="D2716">
        <v>0</v>
      </c>
      <c r="E2716" t="s">
        <v>379</v>
      </c>
    </row>
    <row r="2717" spans="1:5" x14ac:dyDescent="0.25">
      <c r="A2717" s="279">
        <v>39061</v>
      </c>
      <c r="B2717" t="s">
        <v>339</v>
      </c>
      <c r="C2717" t="s">
        <v>71</v>
      </c>
      <c r="D2717">
        <v>0</v>
      </c>
      <c r="E2717" t="s">
        <v>378</v>
      </c>
    </row>
    <row r="2718" spans="1:5" x14ac:dyDescent="0.25">
      <c r="A2718" s="279">
        <v>39061</v>
      </c>
      <c r="B2718" t="s">
        <v>339</v>
      </c>
      <c r="C2718" t="s">
        <v>72</v>
      </c>
      <c r="D2718">
        <v>0</v>
      </c>
      <c r="E2718" t="s">
        <v>380</v>
      </c>
    </row>
    <row r="2719" spans="1:5" x14ac:dyDescent="0.25">
      <c r="A2719" s="279">
        <v>39061</v>
      </c>
      <c r="B2719" t="s">
        <v>339</v>
      </c>
      <c r="C2719" t="s">
        <v>73</v>
      </c>
      <c r="D2719">
        <v>0</v>
      </c>
      <c r="E2719" t="s">
        <v>378</v>
      </c>
    </row>
    <row r="2720" spans="1:5" x14ac:dyDescent="0.25">
      <c r="A2720" s="279">
        <v>39061</v>
      </c>
      <c r="B2720" t="s">
        <v>339</v>
      </c>
      <c r="C2720" t="s">
        <v>74</v>
      </c>
      <c r="D2720">
        <v>12305</v>
      </c>
      <c r="E2720" t="s">
        <v>380</v>
      </c>
    </row>
    <row r="2721" spans="1:5" x14ac:dyDescent="0.25">
      <c r="A2721" s="279">
        <v>39061</v>
      </c>
      <c r="B2721" t="s">
        <v>339</v>
      </c>
      <c r="C2721" t="s">
        <v>75</v>
      </c>
      <c r="D2721">
        <v>15094</v>
      </c>
      <c r="E2721" t="s">
        <v>378</v>
      </c>
    </row>
    <row r="2722" spans="1:5" x14ac:dyDescent="0.25">
      <c r="A2722" s="279">
        <v>39061</v>
      </c>
      <c r="B2722" t="s">
        <v>339</v>
      </c>
      <c r="C2722" t="s">
        <v>76</v>
      </c>
      <c r="D2722">
        <v>14550</v>
      </c>
      <c r="E2722" t="s">
        <v>380</v>
      </c>
    </row>
    <row r="2723" spans="1:5" x14ac:dyDescent="0.25">
      <c r="A2723" s="279">
        <v>39061</v>
      </c>
      <c r="B2723" t="s">
        <v>339</v>
      </c>
      <c r="C2723" t="s">
        <v>77</v>
      </c>
      <c r="D2723">
        <v>7310</v>
      </c>
      <c r="E2723" t="s">
        <v>378</v>
      </c>
    </row>
    <row r="2724" spans="1:5" x14ac:dyDescent="0.25">
      <c r="A2724" s="279">
        <v>39061</v>
      </c>
      <c r="B2724" t="s">
        <v>339</v>
      </c>
      <c r="C2724" t="s">
        <v>78</v>
      </c>
      <c r="D2724">
        <v>7042</v>
      </c>
      <c r="E2724" t="s">
        <v>380</v>
      </c>
    </row>
    <row r="2725" spans="1:5" x14ac:dyDescent="0.25">
      <c r="A2725" s="279">
        <v>39061</v>
      </c>
      <c r="B2725" t="s">
        <v>339</v>
      </c>
      <c r="C2725" t="s">
        <v>79</v>
      </c>
      <c r="D2725">
        <v>98347</v>
      </c>
      <c r="E2725" t="s">
        <v>379</v>
      </c>
    </row>
    <row r="2726" spans="1:5" x14ac:dyDescent="0.25">
      <c r="A2726" s="279">
        <v>39061</v>
      </c>
      <c r="B2726" t="s">
        <v>339</v>
      </c>
      <c r="C2726" t="s">
        <v>70</v>
      </c>
      <c r="D2726">
        <v>0</v>
      </c>
      <c r="E2726" t="s">
        <v>379</v>
      </c>
    </row>
    <row r="2727" spans="1:5" x14ac:dyDescent="0.25">
      <c r="A2727" s="279">
        <v>39061</v>
      </c>
      <c r="B2727" t="s">
        <v>339</v>
      </c>
      <c r="C2727" t="s">
        <v>63</v>
      </c>
      <c r="D2727">
        <v>0</v>
      </c>
      <c r="E2727" t="s">
        <v>378</v>
      </c>
    </row>
    <row r="2728" spans="1:5" x14ac:dyDescent="0.25">
      <c r="A2728" s="279">
        <v>39061</v>
      </c>
      <c r="B2728" t="s">
        <v>339</v>
      </c>
      <c r="C2728" t="s">
        <v>80</v>
      </c>
      <c r="D2728">
        <v>134</v>
      </c>
      <c r="E2728" t="s">
        <v>379</v>
      </c>
    </row>
    <row r="2729" spans="1:5" x14ac:dyDescent="0.25">
      <c r="A2729" s="279">
        <v>39062</v>
      </c>
      <c r="B2729" t="s">
        <v>338</v>
      </c>
      <c r="C2729" t="s">
        <v>59</v>
      </c>
      <c r="D2729">
        <v>0</v>
      </c>
      <c r="E2729" t="s">
        <v>378</v>
      </c>
    </row>
    <row r="2730" spans="1:5" x14ac:dyDescent="0.25">
      <c r="A2730" s="279">
        <v>39062</v>
      </c>
      <c r="B2730" t="s">
        <v>338</v>
      </c>
      <c r="C2730" t="s">
        <v>60</v>
      </c>
      <c r="D2730">
        <v>4801</v>
      </c>
      <c r="E2730" t="s">
        <v>379</v>
      </c>
    </row>
    <row r="2731" spans="1:5" x14ac:dyDescent="0.25">
      <c r="A2731" s="279">
        <v>39062</v>
      </c>
      <c r="B2731" t="s">
        <v>338</v>
      </c>
      <c r="C2731" t="s">
        <v>61</v>
      </c>
      <c r="D2731">
        <v>3421</v>
      </c>
      <c r="E2731" t="s">
        <v>378</v>
      </c>
    </row>
    <row r="2732" spans="1:5" x14ac:dyDescent="0.25">
      <c r="A2732" s="279">
        <v>39062</v>
      </c>
      <c r="B2732" t="s">
        <v>338</v>
      </c>
      <c r="C2732" t="s">
        <v>62</v>
      </c>
      <c r="D2732">
        <v>0</v>
      </c>
      <c r="E2732" t="s">
        <v>380</v>
      </c>
    </row>
    <row r="2733" spans="1:5" x14ac:dyDescent="0.25">
      <c r="A2733" s="279">
        <v>39062</v>
      </c>
      <c r="B2733" t="s">
        <v>338</v>
      </c>
      <c r="C2733" t="s">
        <v>63</v>
      </c>
      <c r="D2733">
        <v>0</v>
      </c>
      <c r="E2733" t="s">
        <v>378</v>
      </c>
    </row>
    <row r="2734" spans="1:5" x14ac:dyDescent="0.25">
      <c r="A2734" s="279">
        <v>39062</v>
      </c>
      <c r="B2734" t="s">
        <v>338</v>
      </c>
      <c r="C2734" t="s">
        <v>64</v>
      </c>
      <c r="D2734">
        <v>11708</v>
      </c>
      <c r="E2734" t="s">
        <v>380</v>
      </c>
    </row>
    <row r="2735" spans="1:5" x14ac:dyDescent="0.25">
      <c r="A2735" s="279">
        <v>39062</v>
      </c>
      <c r="B2735" t="s">
        <v>338</v>
      </c>
      <c r="C2735" t="s">
        <v>65</v>
      </c>
      <c r="D2735">
        <v>0</v>
      </c>
      <c r="E2735" t="s">
        <v>378</v>
      </c>
    </row>
    <row r="2736" spans="1:5" x14ac:dyDescent="0.25">
      <c r="A2736" s="279">
        <v>39062</v>
      </c>
      <c r="B2736" t="s">
        <v>338</v>
      </c>
      <c r="C2736" t="s">
        <v>66</v>
      </c>
      <c r="D2736">
        <v>0</v>
      </c>
      <c r="E2736" t="s">
        <v>380</v>
      </c>
    </row>
    <row r="2737" spans="1:5" x14ac:dyDescent="0.25">
      <c r="A2737" s="279">
        <v>39062</v>
      </c>
      <c r="B2737" t="s">
        <v>338</v>
      </c>
      <c r="C2737" t="s">
        <v>120</v>
      </c>
      <c r="D2737">
        <v>12145</v>
      </c>
      <c r="E2737" t="s">
        <v>378</v>
      </c>
    </row>
    <row r="2738" spans="1:5" x14ac:dyDescent="0.25">
      <c r="A2738" s="279">
        <v>39062</v>
      </c>
      <c r="B2738" t="s">
        <v>338</v>
      </c>
      <c r="C2738" t="s">
        <v>121</v>
      </c>
      <c r="D2738">
        <v>0</v>
      </c>
      <c r="E2738" t="s">
        <v>380</v>
      </c>
    </row>
    <row r="2739" spans="1:5" x14ac:dyDescent="0.25">
      <c r="A2739" s="279">
        <v>39062</v>
      </c>
      <c r="B2739" t="s">
        <v>338</v>
      </c>
      <c r="C2739" t="s">
        <v>67</v>
      </c>
      <c r="D2739">
        <v>0</v>
      </c>
      <c r="E2739" t="s">
        <v>378</v>
      </c>
    </row>
    <row r="2740" spans="1:5" x14ac:dyDescent="0.25">
      <c r="A2740" s="279">
        <v>39062</v>
      </c>
      <c r="B2740" t="s">
        <v>338</v>
      </c>
      <c r="C2740" t="s">
        <v>68</v>
      </c>
      <c r="D2740">
        <v>0</v>
      </c>
      <c r="E2740" t="s">
        <v>380</v>
      </c>
    </row>
    <row r="2741" spans="1:5" x14ac:dyDescent="0.25">
      <c r="A2741" s="279">
        <v>39062</v>
      </c>
      <c r="B2741" t="s">
        <v>338</v>
      </c>
      <c r="C2741" t="s">
        <v>69</v>
      </c>
      <c r="D2741">
        <v>34582</v>
      </c>
      <c r="E2741" t="s">
        <v>379</v>
      </c>
    </row>
    <row r="2742" spans="1:5" x14ac:dyDescent="0.25">
      <c r="A2742" s="279">
        <v>39062</v>
      </c>
      <c r="B2742" t="s">
        <v>338</v>
      </c>
      <c r="C2742" t="s">
        <v>70</v>
      </c>
      <c r="D2742">
        <v>0</v>
      </c>
      <c r="E2742" t="s">
        <v>379</v>
      </c>
    </row>
    <row r="2743" spans="1:5" x14ac:dyDescent="0.25">
      <c r="A2743" s="279">
        <v>39062</v>
      </c>
      <c r="B2743" t="s">
        <v>338</v>
      </c>
      <c r="C2743" t="s">
        <v>80</v>
      </c>
      <c r="D2743">
        <v>135</v>
      </c>
      <c r="E2743" t="s">
        <v>379</v>
      </c>
    </row>
    <row r="2744" spans="1:5" x14ac:dyDescent="0.25">
      <c r="A2744" s="279">
        <v>39062</v>
      </c>
      <c r="B2744" t="s">
        <v>339</v>
      </c>
      <c r="C2744" t="s">
        <v>71</v>
      </c>
      <c r="D2744">
        <v>0</v>
      </c>
      <c r="E2744" t="s">
        <v>378</v>
      </c>
    </row>
    <row r="2745" spans="1:5" x14ac:dyDescent="0.25">
      <c r="A2745" s="279">
        <v>39062</v>
      </c>
      <c r="B2745" t="s">
        <v>339</v>
      </c>
      <c r="C2745" t="s">
        <v>72</v>
      </c>
      <c r="D2745">
        <v>0</v>
      </c>
      <c r="E2745" t="s">
        <v>380</v>
      </c>
    </row>
    <row r="2746" spans="1:5" x14ac:dyDescent="0.25">
      <c r="A2746" s="279">
        <v>39062</v>
      </c>
      <c r="B2746" t="s">
        <v>339</v>
      </c>
      <c r="C2746" t="s">
        <v>73</v>
      </c>
      <c r="D2746">
        <v>418</v>
      </c>
      <c r="E2746" t="s">
        <v>378</v>
      </c>
    </row>
    <row r="2747" spans="1:5" x14ac:dyDescent="0.25">
      <c r="A2747" s="279">
        <v>39062</v>
      </c>
      <c r="B2747" t="s">
        <v>339</v>
      </c>
      <c r="C2747" t="s">
        <v>74</v>
      </c>
      <c r="D2747">
        <v>0</v>
      </c>
      <c r="E2747" t="s">
        <v>380</v>
      </c>
    </row>
    <row r="2748" spans="1:5" x14ac:dyDescent="0.25">
      <c r="A2748" s="279">
        <v>39062</v>
      </c>
      <c r="B2748" t="s">
        <v>339</v>
      </c>
      <c r="C2748" t="s">
        <v>75</v>
      </c>
      <c r="D2748">
        <v>15094</v>
      </c>
      <c r="E2748" t="s">
        <v>378</v>
      </c>
    </row>
    <row r="2749" spans="1:5" x14ac:dyDescent="0.25">
      <c r="A2749" s="279">
        <v>39062</v>
      </c>
      <c r="B2749" t="s">
        <v>339</v>
      </c>
      <c r="C2749" t="s">
        <v>76</v>
      </c>
      <c r="D2749">
        <v>0</v>
      </c>
      <c r="E2749" t="s">
        <v>380</v>
      </c>
    </row>
    <row r="2750" spans="1:5" x14ac:dyDescent="0.25">
      <c r="A2750" s="279">
        <v>39062</v>
      </c>
      <c r="B2750" t="s">
        <v>339</v>
      </c>
      <c r="C2750" t="s">
        <v>77</v>
      </c>
      <c r="D2750">
        <v>7310</v>
      </c>
      <c r="E2750" t="s">
        <v>378</v>
      </c>
    </row>
    <row r="2751" spans="1:5" x14ac:dyDescent="0.25">
      <c r="A2751" s="279">
        <v>39062</v>
      </c>
      <c r="B2751" t="s">
        <v>339</v>
      </c>
      <c r="C2751" t="s">
        <v>78</v>
      </c>
      <c r="D2751">
        <v>0</v>
      </c>
      <c r="E2751" t="s">
        <v>380</v>
      </c>
    </row>
    <row r="2752" spans="1:5" x14ac:dyDescent="0.25">
      <c r="A2752" s="279">
        <v>39062</v>
      </c>
      <c r="B2752" t="s">
        <v>339</v>
      </c>
      <c r="C2752" t="s">
        <v>79</v>
      </c>
      <c r="D2752">
        <v>98347</v>
      </c>
      <c r="E2752" t="s">
        <v>379</v>
      </c>
    </row>
    <row r="2753" spans="1:5" x14ac:dyDescent="0.25">
      <c r="A2753" s="279">
        <v>39062</v>
      </c>
      <c r="B2753" t="s">
        <v>339</v>
      </c>
      <c r="C2753" t="s">
        <v>70</v>
      </c>
      <c r="D2753">
        <v>0</v>
      </c>
      <c r="E2753" t="s">
        <v>379</v>
      </c>
    </row>
    <row r="2754" spans="1:5" x14ac:dyDescent="0.25">
      <c r="A2754" s="279">
        <v>39062</v>
      </c>
      <c r="B2754" t="s">
        <v>339</v>
      </c>
      <c r="C2754" t="s">
        <v>63</v>
      </c>
      <c r="D2754">
        <v>0</v>
      </c>
      <c r="E2754" t="s">
        <v>378</v>
      </c>
    </row>
    <row r="2755" spans="1:5" x14ac:dyDescent="0.25">
      <c r="A2755" s="279">
        <v>39062</v>
      </c>
      <c r="B2755" t="s">
        <v>339</v>
      </c>
      <c r="C2755" t="s">
        <v>80</v>
      </c>
      <c r="D2755">
        <v>150</v>
      </c>
      <c r="E2755" t="s">
        <v>379</v>
      </c>
    </row>
    <row r="2756" spans="1:5" x14ac:dyDescent="0.25">
      <c r="A2756" s="279">
        <v>39063</v>
      </c>
      <c r="B2756" t="s">
        <v>338</v>
      </c>
      <c r="C2756" t="s">
        <v>59</v>
      </c>
      <c r="D2756">
        <v>0</v>
      </c>
      <c r="E2756" t="s">
        <v>378</v>
      </c>
    </row>
    <row r="2757" spans="1:5" x14ac:dyDescent="0.25">
      <c r="A2757" s="279">
        <v>39063</v>
      </c>
      <c r="B2757" t="s">
        <v>338</v>
      </c>
      <c r="C2757" t="s">
        <v>60</v>
      </c>
      <c r="D2757">
        <v>4792</v>
      </c>
      <c r="E2757" t="s">
        <v>379</v>
      </c>
    </row>
    <row r="2758" spans="1:5" x14ac:dyDescent="0.25">
      <c r="A2758" s="279">
        <v>39063</v>
      </c>
      <c r="B2758" t="s">
        <v>338</v>
      </c>
      <c r="C2758" t="s">
        <v>61</v>
      </c>
      <c r="D2758">
        <v>0</v>
      </c>
      <c r="E2758" t="s">
        <v>378</v>
      </c>
    </row>
    <row r="2759" spans="1:5" x14ac:dyDescent="0.25">
      <c r="A2759" s="279">
        <v>39063</v>
      </c>
      <c r="B2759" t="s">
        <v>338</v>
      </c>
      <c r="C2759" t="s">
        <v>62</v>
      </c>
      <c r="D2759">
        <v>0</v>
      </c>
      <c r="E2759" t="s">
        <v>380</v>
      </c>
    </row>
    <row r="2760" spans="1:5" x14ac:dyDescent="0.25">
      <c r="A2760" s="279">
        <v>39063</v>
      </c>
      <c r="B2760" t="s">
        <v>338</v>
      </c>
      <c r="C2760" t="s">
        <v>63</v>
      </c>
      <c r="D2760">
        <v>0</v>
      </c>
      <c r="E2760" t="s">
        <v>378</v>
      </c>
    </row>
    <row r="2761" spans="1:5" x14ac:dyDescent="0.25">
      <c r="A2761" s="279">
        <v>39063</v>
      </c>
      <c r="B2761" t="s">
        <v>338</v>
      </c>
      <c r="C2761" t="s">
        <v>64</v>
      </c>
      <c r="D2761">
        <v>0</v>
      </c>
      <c r="E2761" t="s">
        <v>380</v>
      </c>
    </row>
    <row r="2762" spans="1:5" x14ac:dyDescent="0.25">
      <c r="A2762" s="279">
        <v>39063</v>
      </c>
      <c r="B2762" t="s">
        <v>338</v>
      </c>
      <c r="C2762" t="s">
        <v>65</v>
      </c>
      <c r="D2762">
        <v>0</v>
      </c>
      <c r="E2762" t="s">
        <v>378</v>
      </c>
    </row>
    <row r="2763" spans="1:5" x14ac:dyDescent="0.25">
      <c r="A2763" s="279">
        <v>39063</v>
      </c>
      <c r="B2763" t="s">
        <v>338</v>
      </c>
      <c r="C2763" t="s">
        <v>66</v>
      </c>
      <c r="D2763">
        <v>0</v>
      </c>
      <c r="E2763" t="s">
        <v>380</v>
      </c>
    </row>
    <row r="2764" spans="1:5" x14ac:dyDescent="0.25">
      <c r="A2764" s="279">
        <v>39063</v>
      </c>
      <c r="B2764" t="s">
        <v>338</v>
      </c>
      <c r="C2764" t="s">
        <v>120</v>
      </c>
      <c r="D2764">
        <v>0</v>
      </c>
      <c r="E2764" t="s">
        <v>378</v>
      </c>
    </row>
    <row r="2765" spans="1:5" x14ac:dyDescent="0.25">
      <c r="A2765" s="279">
        <v>39063</v>
      </c>
      <c r="B2765" t="s">
        <v>338</v>
      </c>
      <c r="C2765" t="s">
        <v>121</v>
      </c>
      <c r="D2765">
        <v>260</v>
      </c>
      <c r="E2765" t="s">
        <v>380</v>
      </c>
    </row>
    <row r="2766" spans="1:5" x14ac:dyDescent="0.25">
      <c r="A2766" s="279">
        <v>39063</v>
      </c>
      <c r="B2766" t="s">
        <v>338</v>
      </c>
      <c r="C2766" t="s">
        <v>67</v>
      </c>
      <c r="D2766">
        <v>0</v>
      </c>
      <c r="E2766" t="s">
        <v>378</v>
      </c>
    </row>
    <row r="2767" spans="1:5" x14ac:dyDescent="0.25">
      <c r="A2767" s="279">
        <v>39063</v>
      </c>
      <c r="B2767" t="s">
        <v>338</v>
      </c>
      <c r="C2767" t="s">
        <v>68</v>
      </c>
      <c r="D2767">
        <v>0</v>
      </c>
      <c r="E2767" t="s">
        <v>380</v>
      </c>
    </row>
    <row r="2768" spans="1:5" x14ac:dyDescent="0.25">
      <c r="A2768" s="279">
        <v>39063</v>
      </c>
      <c r="B2768" t="s">
        <v>338</v>
      </c>
      <c r="C2768" t="s">
        <v>69</v>
      </c>
      <c r="D2768">
        <v>34516</v>
      </c>
      <c r="E2768" t="s">
        <v>379</v>
      </c>
    </row>
    <row r="2769" spans="1:5" x14ac:dyDescent="0.25">
      <c r="A2769" s="279">
        <v>39063</v>
      </c>
      <c r="B2769" t="s">
        <v>338</v>
      </c>
      <c r="C2769" t="s">
        <v>70</v>
      </c>
      <c r="D2769">
        <v>0</v>
      </c>
      <c r="E2769" t="s">
        <v>379</v>
      </c>
    </row>
    <row r="2770" spans="1:5" x14ac:dyDescent="0.25">
      <c r="A2770" s="279">
        <v>39063</v>
      </c>
      <c r="B2770" t="s">
        <v>338</v>
      </c>
      <c r="C2770" t="s">
        <v>80</v>
      </c>
      <c r="D2770">
        <v>0</v>
      </c>
      <c r="E2770" t="s">
        <v>379</v>
      </c>
    </row>
    <row r="2771" spans="1:5" x14ac:dyDescent="0.25">
      <c r="A2771" s="279">
        <v>39063</v>
      </c>
      <c r="B2771" t="s">
        <v>339</v>
      </c>
      <c r="C2771" t="s">
        <v>71</v>
      </c>
      <c r="D2771">
        <v>0</v>
      </c>
      <c r="E2771" t="s">
        <v>378</v>
      </c>
    </row>
    <row r="2772" spans="1:5" x14ac:dyDescent="0.25">
      <c r="A2772" s="279">
        <v>39063</v>
      </c>
      <c r="B2772" t="s">
        <v>339</v>
      </c>
      <c r="C2772" t="s">
        <v>72</v>
      </c>
      <c r="D2772">
        <v>0</v>
      </c>
      <c r="E2772" t="s">
        <v>380</v>
      </c>
    </row>
    <row r="2773" spans="1:5" x14ac:dyDescent="0.25">
      <c r="A2773" s="279">
        <v>39063</v>
      </c>
      <c r="B2773" t="s">
        <v>339</v>
      </c>
      <c r="C2773" t="s">
        <v>73</v>
      </c>
      <c r="D2773">
        <v>0</v>
      </c>
      <c r="E2773" t="s">
        <v>378</v>
      </c>
    </row>
    <row r="2774" spans="1:5" x14ac:dyDescent="0.25">
      <c r="A2774" s="279">
        <v>39063</v>
      </c>
      <c r="B2774" t="s">
        <v>339</v>
      </c>
      <c r="C2774" t="s">
        <v>74</v>
      </c>
      <c r="D2774">
        <v>19276</v>
      </c>
      <c r="E2774" t="s">
        <v>380</v>
      </c>
    </row>
    <row r="2775" spans="1:5" x14ac:dyDescent="0.25">
      <c r="A2775" s="279">
        <v>39063</v>
      </c>
      <c r="B2775" t="s">
        <v>339</v>
      </c>
      <c r="C2775" t="s">
        <v>75</v>
      </c>
      <c r="D2775">
        <v>15079</v>
      </c>
      <c r="E2775" t="s">
        <v>378</v>
      </c>
    </row>
    <row r="2776" spans="1:5" x14ac:dyDescent="0.25">
      <c r="A2776" s="279">
        <v>39063</v>
      </c>
      <c r="B2776" t="s">
        <v>339</v>
      </c>
      <c r="C2776" t="s">
        <v>76</v>
      </c>
      <c r="D2776">
        <v>14536</v>
      </c>
      <c r="E2776" t="s">
        <v>380</v>
      </c>
    </row>
    <row r="2777" spans="1:5" x14ac:dyDescent="0.25">
      <c r="A2777" s="279">
        <v>39063</v>
      </c>
      <c r="B2777" t="s">
        <v>339</v>
      </c>
      <c r="C2777" t="s">
        <v>77</v>
      </c>
      <c r="D2777">
        <v>7303</v>
      </c>
      <c r="E2777" t="s">
        <v>378</v>
      </c>
    </row>
    <row r="2778" spans="1:5" x14ac:dyDescent="0.25">
      <c r="A2778" s="279">
        <v>39063</v>
      </c>
      <c r="B2778" t="s">
        <v>339</v>
      </c>
      <c r="C2778" t="s">
        <v>78</v>
      </c>
      <c r="D2778">
        <v>7035</v>
      </c>
      <c r="E2778" t="s">
        <v>380</v>
      </c>
    </row>
    <row r="2779" spans="1:5" x14ac:dyDescent="0.25">
      <c r="A2779" s="279">
        <v>39063</v>
      </c>
      <c r="B2779" t="s">
        <v>339</v>
      </c>
      <c r="C2779" t="s">
        <v>79</v>
      </c>
      <c r="D2779">
        <v>87650</v>
      </c>
      <c r="E2779" t="s">
        <v>379</v>
      </c>
    </row>
    <row r="2780" spans="1:5" x14ac:dyDescent="0.25">
      <c r="A2780" s="279">
        <v>39063</v>
      </c>
      <c r="B2780" t="s">
        <v>339</v>
      </c>
      <c r="C2780" t="s">
        <v>70</v>
      </c>
      <c r="D2780">
        <v>0</v>
      </c>
      <c r="E2780" t="s">
        <v>379</v>
      </c>
    </row>
    <row r="2781" spans="1:5" x14ac:dyDescent="0.25">
      <c r="A2781" s="279">
        <v>39063</v>
      </c>
      <c r="B2781" t="s">
        <v>339</v>
      </c>
      <c r="C2781" t="s">
        <v>63</v>
      </c>
      <c r="D2781">
        <v>0</v>
      </c>
      <c r="E2781" t="s">
        <v>378</v>
      </c>
    </row>
    <row r="2782" spans="1:5" x14ac:dyDescent="0.25">
      <c r="A2782" s="279">
        <v>39063</v>
      </c>
      <c r="B2782" t="s">
        <v>339</v>
      </c>
      <c r="C2782" t="s">
        <v>80</v>
      </c>
      <c r="D2782">
        <v>134</v>
      </c>
      <c r="E2782" t="s">
        <v>379</v>
      </c>
    </row>
    <row r="2783" spans="1:5" x14ac:dyDescent="0.25">
      <c r="A2783" s="279">
        <v>39064</v>
      </c>
      <c r="B2783" t="s">
        <v>338</v>
      </c>
      <c r="C2783" t="s">
        <v>59</v>
      </c>
      <c r="D2783">
        <v>0</v>
      </c>
      <c r="E2783" t="s">
        <v>378</v>
      </c>
    </row>
    <row r="2784" spans="1:5" x14ac:dyDescent="0.25">
      <c r="A2784" s="279">
        <v>39064</v>
      </c>
      <c r="B2784" t="s">
        <v>338</v>
      </c>
      <c r="C2784" t="s">
        <v>60</v>
      </c>
      <c r="D2784">
        <v>4792</v>
      </c>
      <c r="E2784" t="s">
        <v>379</v>
      </c>
    </row>
    <row r="2785" spans="1:5" x14ac:dyDescent="0.25">
      <c r="A2785" s="279">
        <v>39064</v>
      </c>
      <c r="B2785" t="s">
        <v>338</v>
      </c>
      <c r="C2785" t="s">
        <v>61</v>
      </c>
      <c r="D2785">
        <v>0</v>
      </c>
      <c r="E2785" t="s">
        <v>378</v>
      </c>
    </row>
    <row r="2786" spans="1:5" x14ac:dyDescent="0.25">
      <c r="A2786" s="279">
        <v>39064</v>
      </c>
      <c r="B2786" t="s">
        <v>338</v>
      </c>
      <c r="C2786" t="s">
        <v>62</v>
      </c>
      <c r="D2786">
        <v>0</v>
      </c>
      <c r="E2786" t="s">
        <v>380</v>
      </c>
    </row>
    <row r="2787" spans="1:5" x14ac:dyDescent="0.25">
      <c r="A2787" s="279">
        <v>39064</v>
      </c>
      <c r="B2787" t="s">
        <v>338</v>
      </c>
      <c r="C2787" t="s">
        <v>63</v>
      </c>
      <c r="D2787">
        <v>0</v>
      </c>
      <c r="E2787" t="s">
        <v>378</v>
      </c>
    </row>
    <row r="2788" spans="1:5" x14ac:dyDescent="0.25">
      <c r="A2788" s="279">
        <v>39064</v>
      </c>
      <c r="B2788" t="s">
        <v>338</v>
      </c>
      <c r="C2788" t="s">
        <v>64</v>
      </c>
      <c r="D2788">
        <v>0</v>
      </c>
      <c r="E2788" t="s">
        <v>380</v>
      </c>
    </row>
    <row r="2789" spans="1:5" x14ac:dyDescent="0.25">
      <c r="A2789" s="279">
        <v>39064</v>
      </c>
      <c r="B2789" t="s">
        <v>338</v>
      </c>
      <c r="C2789" t="s">
        <v>65</v>
      </c>
      <c r="D2789">
        <v>0</v>
      </c>
      <c r="E2789" t="s">
        <v>378</v>
      </c>
    </row>
    <row r="2790" spans="1:5" x14ac:dyDescent="0.25">
      <c r="A2790" s="279">
        <v>39064</v>
      </c>
      <c r="B2790" t="s">
        <v>338</v>
      </c>
      <c r="C2790" t="s">
        <v>66</v>
      </c>
      <c r="D2790">
        <v>0</v>
      </c>
      <c r="E2790" t="s">
        <v>380</v>
      </c>
    </row>
    <row r="2791" spans="1:5" x14ac:dyDescent="0.25">
      <c r="A2791" s="279">
        <v>39064</v>
      </c>
      <c r="B2791" t="s">
        <v>338</v>
      </c>
      <c r="C2791" t="s">
        <v>120</v>
      </c>
      <c r="D2791">
        <v>0</v>
      </c>
      <c r="E2791" t="s">
        <v>378</v>
      </c>
    </row>
    <row r="2792" spans="1:5" x14ac:dyDescent="0.25">
      <c r="A2792" s="279">
        <v>39064</v>
      </c>
      <c r="B2792" t="s">
        <v>338</v>
      </c>
      <c r="C2792" t="s">
        <v>121</v>
      </c>
      <c r="D2792">
        <v>17716</v>
      </c>
      <c r="E2792" t="s">
        <v>380</v>
      </c>
    </row>
    <row r="2793" spans="1:5" x14ac:dyDescent="0.25">
      <c r="A2793" s="279">
        <v>39064</v>
      </c>
      <c r="B2793" t="s">
        <v>338</v>
      </c>
      <c r="C2793" t="s">
        <v>67</v>
      </c>
      <c r="D2793">
        <v>0</v>
      </c>
      <c r="E2793" t="s">
        <v>378</v>
      </c>
    </row>
    <row r="2794" spans="1:5" x14ac:dyDescent="0.25">
      <c r="A2794" s="279">
        <v>39064</v>
      </c>
      <c r="B2794" t="s">
        <v>338</v>
      </c>
      <c r="C2794" t="s">
        <v>68</v>
      </c>
      <c r="D2794">
        <v>0</v>
      </c>
      <c r="E2794" t="s">
        <v>380</v>
      </c>
    </row>
    <row r="2795" spans="1:5" x14ac:dyDescent="0.25">
      <c r="A2795" s="279">
        <v>39064</v>
      </c>
      <c r="B2795" t="s">
        <v>338</v>
      </c>
      <c r="C2795" t="s">
        <v>69</v>
      </c>
      <c r="D2795">
        <v>34516</v>
      </c>
      <c r="E2795" t="s">
        <v>379</v>
      </c>
    </row>
    <row r="2796" spans="1:5" x14ac:dyDescent="0.25">
      <c r="A2796" s="279">
        <v>39064</v>
      </c>
      <c r="B2796" t="s">
        <v>338</v>
      </c>
      <c r="C2796" t="s">
        <v>70</v>
      </c>
      <c r="D2796">
        <v>0</v>
      </c>
      <c r="E2796" t="s">
        <v>379</v>
      </c>
    </row>
    <row r="2797" spans="1:5" x14ac:dyDescent="0.25">
      <c r="A2797" s="279">
        <v>39064</v>
      </c>
      <c r="B2797" t="s">
        <v>338</v>
      </c>
      <c r="C2797" t="s">
        <v>80</v>
      </c>
      <c r="D2797">
        <v>0</v>
      </c>
      <c r="E2797" t="s">
        <v>379</v>
      </c>
    </row>
    <row r="2798" spans="1:5" x14ac:dyDescent="0.25">
      <c r="A2798" s="279">
        <v>39064</v>
      </c>
      <c r="B2798" t="s">
        <v>339</v>
      </c>
      <c r="C2798" t="s">
        <v>71</v>
      </c>
      <c r="D2798">
        <v>0</v>
      </c>
      <c r="E2798" t="s">
        <v>378</v>
      </c>
    </row>
    <row r="2799" spans="1:5" x14ac:dyDescent="0.25">
      <c r="A2799" s="279">
        <v>39064</v>
      </c>
      <c r="B2799" t="s">
        <v>339</v>
      </c>
      <c r="C2799" t="s">
        <v>72</v>
      </c>
      <c r="D2799">
        <v>0</v>
      </c>
      <c r="E2799" t="s">
        <v>380</v>
      </c>
    </row>
    <row r="2800" spans="1:5" x14ac:dyDescent="0.25">
      <c r="A2800" s="279">
        <v>39064</v>
      </c>
      <c r="B2800" t="s">
        <v>339</v>
      </c>
      <c r="C2800" t="s">
        <v>73</v>
      </c>
      <c r="D2800">
        <v>0</v>
      </c>
      <c r="E2800" t="s">
        <v>378</v>
      </c>
    </row>
    <row r="2801" spans="1:5" x14ac:dyDescent="0.25">
      <c r="A2801" s="279">
        <v>39064</v>
      </c>
      <c r="B2801" t="s">
        <v>339</v>
      </c>
      <c r="C2801" t="s">
        <v>74</v>
      </c>
      <c r="D2801">
        <v>0</v>
      </c>
      <c r="E2801" t="s">
        <v>380</v>
      </c>
    </row>
    <row r="2802" spans="1:5" x14ac:dyDescent="0.25">
      <c r="A2802" s="279">
        <v>39064</v>
      </c>
      <c r="B2802" t="s">
        <v>339</v>
      </c>
      <c r="C2802" t="s">
        <v>75</v>
      </c>
      <c r="D2802">
        <v>15094</v>
      </c>
      <c r="E2802" t="s">
        <v>378</v>
      </c>
    </row>
    <row r="2803" spans="1:5" x14ac:dyDescent="0.25">
      <c r="A2803" s="279">
        <v>39064</v>
      </c>
      <c r="B2803" t="s">
        <v>339</v>
      </c>
      <c r="C2803" t="s">
        <v>76</v>
      </c>
      <c r="D2803">
        <v>1937</v>
      </c>
      <c r="E2803" t="s">
        <v>380</v>
      </c>
    </row>
    <row r="2804" spans="1:5" x14ac:dyDescent="0.25">
      <c r="A2804" s="279">
        <v>39064</v>
      </c>
      <c r="B2804" t="s">
        <v>339</v>
      </c>
      <c r="C2804" t="s">
        <v>77</v>
      </c>
      <c r="D2804">
        <v>7310</v>
      </c>
      <c r="E2804" t="s">
        <v>378</v>
      </c>
    </row>
    <row r="2805" spans="1:5" x14ac:dyDescent="0.25">
      <c r="A2805" s="279">
        <v>39064</v>
      </c>
      <c r="B2805" t="s">
        <v>339</v>
      </c>
      <c r="C2805" t="s">
        <v>78</v>
      </c>
      <c r="D2805">
        <v>7042</v>
      </c>
      <c r="E2805" t="s">
        <v>380</v>
      </c>
    </row>
    <row r="2806" spans="1:5" x14ac:dyDescent="0.25">
      <c r="A2806" s="279">
        <v>39064</v>
      </c>
      <c r="B2806" t="s">
        <v>339</v>
      </c>
      <c r="C2806" t="s">
        <v>79</v>
      </c>
      <c r="D2806">
        <v>75091</v>
      </c>
      <c r="E2806" t="s">
        <v>379</v>
      </c>
    </row>
    <row r="2807" spans="1:5" x14ac:dyDescent="0.25">
      <c r="A2807" s="279">
        <v>39064</v>
      </c>
      <c r="B2807" t="s">
        <v>339</v>
      </c>
      <c r="C2807" t="s">
        <v>70</v>
      </c>
      <c r="D2807">
        <v>0</v>
      </c>
      <c r="E2807" t="s">
        <v>379</v>
      </c>
    </row>
    <row r="2808" spans="1:5" x14ac:dyDescent="0.25">
      <c r="A2808" s="279">
        <v>39064</v>
      </c>
      <c r="B2808" t="s">
        <v>339</v>
      </c>
      <c r="C2808" t="s">
        <v>63</v>
      </c>
      <c r="D2808">
        <v>0</v>
      </c>
      <c r="E2808" t="s">
        <v>378</v>
      </c>
    </row>
    <row r="2809" spans="1:5" x14ac:dyDescent="0.25">
      <c r="A2809" s="279">
        <v>39064</v>
      </c>
      <c r="B2809" t="s">
        <v>339</v>
      </c>
      <c r="C2809" t="s">
        <v>80</v>
      </c>
      <c r="D2809">
        <v>134</v>
      </c>
      <c r="E2809" t="s">
        <v>379</v>
      </c>
    </row>
    <row r="2810" spans="1:5" x14ac:dyDescent="0.25">
      <c r="A2810" s="279">
        <v>39065</v>
      </c>
      <c r="B2810" t="s">
        <v>338</v>
      </c>
      <c r="C2810" t="s">
        <v>59</v>
      </c>
      <c r="D2810">
        <v>0</v>
      </c>
      <c r="E2810" t="s">
        <v>378</v>
      </c>
    </row>
    <row r="2811" spans="1:5" x14ac:dyDescent="0.25">
      <c r="A2811" s="279">
        <v>39065</v>
      </c>
      <c r="B2811" t="s">
        <v>338</v>
      </c>
      <c r="C2811" t="s">
        <v>60</v>
      </c>
      <c r="D2811">
        <v>4797</v>
      </c>
      <c r="E2811" t="s">
        <v>379</v>
      </c>
    </row>
    <row r="2812" spans="1:5" x14ac:dyDescent="0.25">
      <c r="A2812" s="279">
        <v>39065</v>
      </c>
      <c r="B2812" t="s">
        <v>338</v>
      </c>
      <c r="C2812" t="s">
        <v>61</v>
      </c>
      <c r="D2812">
        <v>0</v>
      </c>
      <c r="E2812" t="s">
        <v>378</v>
      </c>
    </row>
    <row r="2813" spans="1:5" x14ac:dyDescent="0.25">
      <c r="A2813" s="279">
        <v>39065</v>
      </c>
      <c r="B2813" t="s">
        <v>338</v>
      </c>
      <c r="C2813" t="s">
        <v>62</v>
      </c>
      <c r="D2813">
        <v>0</v>
      </c>
      <c r="E2813" t="s">
        <v>380</v>
      </c>
    </row>
    <row r="2814" spans="1:5" x14ac:dyDescent="0.25">
      <c r="A2814" s="279">
        <v>39065</v>
      </c>
      <c r="B2814" t="s">
        <v>338</v>
      </c>
      <c r="C2814" t="s">
        <v>63</v>
      </c>
      <c r="D2814">
        <v>0</v>
      </c>
      <c r="E2814" t="s">
        <v>378</v>
      </c>
    </row>
    <row r="2815" spans="1:5" x14ac:dyDescent="0.25">
      <c r="A2815" s="279">
        <v>39065</v>
      </c>
      <c r="B2815" t="s">
        <v>338</v>
      </c>
      <c r="C2815" t="s">
        <v>64</v>
      </c>
      <c r="D2815">
        <v>0</v>
      </c>
      <c r="E2815" t="s">
        <v>380</v>
      </c>
    </row>
    <row r="2816" spans="1:5" x14ac:dyDescent="0.25">
      <c r="A2816" s="279">
        <v>39065</v>
      </c>
      <c r="B2816" t="s">
        <v>338</v>
      </c>
      <c r="C2816" t="s">
        <v>65</v>
      </c>
      <c r="D2816">
        <v>0</v>
      </c>
      <c r="E2816" t="s">
        <v>378</v>
      </c>
    </row>
    <row r="2817" spans="1:5" x14ac:dyDescent="0.25">
      <c r="A2817" s="279">
        <v>39065</v>
      </c>
      <c r="B2817" t="s">
        <v>338</v>
      </c>
      <c r="C2817" t="s">
        <v>66</v>
      </c>
      <c r="D2817">
        <v>0</v>
      </c>
      <c r="E2817" t="s">
        <v>380</v>
      </c>
    </row>
    <row r="2818" spans="1:5" x14ac:dyDescent="0.25">
      <c r="A2818" s="279">
        <v>39065</v>
      </c>
      <c r="B2818" t="s">
        <v>338</v>
      </c>
      <c r="C2818" t="s">
        <v>120</v>
      </c>
      <c r="D2818">
        <v>0</v>
      </c>
      <c r="E2818" t="s">
        <v>378</v>
      </c>
    </row>
    <row r="2819" spans="1:5" x14ac:dyDescent="0.25">
      <c r="A2819" s="279">
        <v>39065</v>
      </c>
      <c r="B2819" t="s">
        <v>338</v>
      </c>
      <c r="C2819" t="s">
        <v>121</v>
      </c>
      <c r="D2819">
        <v>17083</v>
      </c>
      <c r="E2819" t="s">
        <v>380</v>
      </c>
    </row>
    <row r="2820" spans="1:5" x14ac:dyDescent="0.25">
      <c r="A2820" s="279">
        <v>39065</v>
      </c>
      <c r="B2820" t="s">
        <v>338</v>
      </c>
      <c r="C2820" t="s">
        <v>67</v>
      </c>
      <c r="D2820">
        <v>0</v>
      </c>
      <c r="E2820" t="s">
        <v>378</v>
      </c>
    </row>
    <row r="2821" spans="1:5" x14ac:dyDescent="0.25">
      <c r="A2821" s="279">
        <v>39065</v>
      </c>
      <c r="B2821" t="s">
        <v>338</v>
      </c>
      <c r="C2821" t="s">
        <v>68</v>
      </c>
      <c r="D2821">
        <v>0</v>
      </c>
      <c r="E2821" t="s">
        <v>380</v>
      </c>
    </row>
    <row r="2822" spans="1:5" x14ac:dyDescent="0.25">
      <c r="A2822" s="279">
        <v>39065</v>
      </c>
      <c r="B2822" t="s">
        <v>338</v>
      </c>
      <c r="C2822" t="s">
        <v>69</v>
      </c>
      <c r="D2822">
        <v>34549</v>
      </c>
      <c r="E2822" t="s">
        <v>379</v>
      </c>
    </row>
    <row r="2823" spans="1:5" x14ac:dyDescent="0.25">
      <c r="A2823" s="279">
        <v>39065</v>
      </c>
      <c r="B2823" t="s">
        <v>338</v>
      </c>
      <c r="C2823" t="s">
        <v>70</v>
      </c>
      <c r="D2823">
        <v>0</v>
      </c>
      <c r="E2823" t="s">
        <v>379</v>
      </c>
    </row>
    <row r="2824" spans="1:5" x14ac:dyDescent="0.25">
      <c r="A2824" s="279">
        <v>39065</v>
      </c>
      <c r="B2824" t="s">
        <v>338</v>
      </c>
      <c r="C2824" t="s">
        <v>80</v>
      </c>
      <c r="D2824">
        <v>0</v>
      </c>
      <c r="E2824" t="s">
        <v>379</v>
      </c>
    </row>
    <row r="2825" spans="1:5" x14ac:dyDescent="0.25">
      <c r="A2825" s="279">
        <v>39065</v>
      </c>
      <c r="B2825" t="s">
        <v>339</v>
      </c>
      <c r="C2825" t="s">
        <v>71</v>
      </c>
      <c r="D2825">
        <v>0</v>
      </c>
      <c r="E2825" t="s">
        <v>378</v>
      </c>
    </row>
    <row r="2826" spans="1:5" x14ac:dyDescent="0.25">
      <c r="A2826" s="279">
        <v>39065</v>
      </c>
      <c r="B2826" t="s">
        <v>339</v>
      </c>
      <c r="C2826" t="s">
        <v>72</v>
      </c>
      <c r="D2826">
        <v>0</v>
      </c>
      <c r="E2826" t="s">
        <v>380</v>
      </c>
    </row>
    <row r="2827" spans="1:5" x14ac:dyDescent="0.25">
      <c r="A2827" s="279">
        <v>39065</v>
      </c>
      <c r="B2827" t="s">
        <v>339</v>
      </c>
      <c r="C2827" t="s">
        <v>73</v>
      </c>
      <c r="D2827">
        <v>0</v>
      </c>
      <c r="E2827" t="s">
        <v>378</v>
      </c>
    </row>
    <row r="2828" spans="1:5" x14ac:dyDescent="0.25">
      <c r="A2828" s="279">
        <v>39065</v>
      </c>
      <c r="B2828" t="s">
        <v>339</v>
      </c>
      <c r="C2828" t="s">
        <v>74</v>
      </c>
      <c r="D2828">
        <v>0</v>
      </c>
      <c r="E2828" t="s">
        <v>380</v>
      </c>
    </row>
    <row r="2829" spans="1:5" x14ac:dyDescent="0.25">
      <c r="A2829" s="279">
        <v>39065</v>
      </c>
      <c r="B2829" t="s">
        <v>339</v>
      </c>
      <c r="C2829" t="s">
        <v>75</v>
      </c>
      <c r="D2829">
        <v>15079</v>
      </c>
      <c r="E2829" t="s">
        <v>378</v>
      </c>
    </row>
    <row r="2830" spans="1:5" x14ac:dyDescent="0.25">
      <c r="A2830" s="279">
        <v>39065</v>
      </c>
      <c r="B2830" t="s">
        <v>339</v>
      </c>
      <c r="C2830" t="s">
        <v>76</v>
      </c>
      <c r="D2830">
        <v>12076</v>
      </c>
      <c r="E2830" t="s">
        <v>380</v>
      </c>
    </row>
    <row r="2831" spans="1:5" x14ac:dyDescent="0.25">
      <c r="A2831" s="279">
        <v>39065</v>
      </c>
      <c r="B2831" t="s">
        <v>339</v>
      </c>
      <c r="C2831" t="s">
        <v>77</v>
      </c>
      <c r="D2831">
        <v>7303</v>
      </c>
      <c r="E2831" t="s">
        <v>378</v>
      </c>
    </row>
    <row r="2832" spans="1:5" x14ac:dyDescent="0.25">
      <c r="A2832" s="279">
        <v>39065</v>
      </c>
      <c r="B2832" t="s">
        <v>339</v>
      </c>
      <c r="C2832" t="s">
        <v>78</v>
      </c>
      <c r="D2832">
        <v>7035</v>
      </c>
      <c r="E2832" t="s">
        <v>380</v>
      </c>
    </row>
    <row r="2833" spans="1:5" x14ac:dyDescent="0.25">
      <c r="A2833" s="279">
        <v>39065</v>
      </c>
      <c r="B2833" t="s">
        <v>339</v>
      </c>
      <c r="C2833" t="s">
        <v>79</v>
      </c>
      <c r="D2833">
        <v>75018</v>
      </c>
      <c r="E2833" t="s">
        <v>379</v>
      </c>
    </row>
    <row r="2834" spans="1:5" x14ac:dyDescent="0.25">
      <c r="A2834" s="279">
        <v>39065</v>
      </c>
      <c r="B2834" t="s">
        <v>339</v>
      </c>
      <c r="C2834" t="s">
        <v>70</v>
      </c>
      <c r="D2834">
        <v>0</v>
      </c>
      <c r="E2834" t="s">
        <v>379</v>
      </c>
    </row>
    <row r="2835" spans="1:5" x14ac:dyDescent="0.25">
      <c r="A2835" s="279">
        <v>39065</v>
      </c>
      <c r="B2835" t="s">
        <v>339</v>
      </c>
      <c r="C2835" t="s">
        <v>63</v>
      </c>
      <c r="D2835">
        <v>0</v>
      </c>
      <c r="E2835" t="s">
        <v>378</v>
      </c>
    </row>
    <row r="2836" spans="1:5" x14ac:dyDescent="0.25">
      <c r="A2836" s="279">
        <v>39065</v>
      </c>
      <c r="B2836" t="s">
        <v>339</v>
      </c>
      <c r="C2836" t="s">
        <v>80</v>
      </c>
      <c r="D2836">
        <v>134</v>
      </c>
      <c r="E2836" t="s">
        <v>379</v>
      </c>
    </row>
    <row r="2837" spans="1:5" x14ac:dyDescent="0.25">
      <c r="A2837" s="279">
        <v>39066</v>
      </c>
      <c r="B2837" t="s">
        <v>338</v>
      </c>
      <c r="C2837" t="s">
        <v>59</v>
      </c>
      <c r="D2837">
        <v>0</v>
      </c>
      <c r="E2837" t="s">
        <v>378</v>
      </c>
    </row>
    <row r="2838" spans="1:5" x14ac:dyDescent="0.25">
      <c r="A2838" s="279">
        <v>39066</v>
      </c>
      <c r="B2838" t="s">
        <v>338</v>
      </c>
      <c r="C2838" t="s">
        <v>60</v>
      </c>
      <c r="D2838">
        <v>0</v>
      </c>
      <c r="E2838" t="s">
        <v>379</v>
      </c>
    </row>
    <row r="2839" spans="1:5" x14ac:dyDescent="0.25">
      <c r="A2839" s="279">
        <v>39066</v>
      </c>
      <c r="B2839" t="s">
        <v>338</v>
      </c>
      <c r="C2839" t="s">
        <v>61</v>
      </c>
      <c r="D2839">
        <v>0</v>
      </c>
      <c r="E2839" t="s">
        <v>378</v>
      </c>
    </row>
    <row r="2840" spans="1:5" x14ac:dyDescent="0.25">
      <c r="A2840" s="279">
        <v>39066</v>
      </c>
      <c r="B2840" t="s">
        <v>338</v>
      </c>
      <c r="C2840" t="s">
        <v>62</v>
      </c>
      <c r="D2840">
        <v>351</v>
      </c>
      <c r="E2840" t="s">
        <v>380</v>
      </c>
    </row>
    <row r="2841" spans="1:5" x14ac:dyDescent="0.25">
      <c r="A2841" s="279">
        <v>39066</v>
      </c>
      <c r="B2841" t="s">
        <v>338</v>
      </c>
      <c r="C2841" t="s">
        <v>63</v>
      </c>
      <c r="D2841">
        <v>0</v>
      </c>
      <c r="E2841" t="s">
        <v>378</v>
      </c>
    </row>
    <row r="2842" spans="1:5" x14ac:dyDescent="0.25">
      <c r="A2842" s="279">
        <v>39066</v>
      </c>
      <c r="B2842" t="s">
        <v>338</v>
      </c>
      <c r="C2842" t="s">
        <v>64</v>
      </c>
      <c r="D2842">
        <v>0</v>
      </c>
      <c r="E2842" t="s">
        <v>380</v>
      </c>
    </row>
    <row r="2843" spans="1:5" x14ac:dyDescent="0.25">
      <c r="A2843" s="279">
        <v>39066</v>
      </c>
      <c r="B2843" t="s">
        <v>338</v>
      </c>
      <c r="C2843" t="s">
        <v>65</v>
      </c>
      <c r="D2843">
        <v>0</v>
      </c>
      <c r="E2843" t="s">
        <v>378</v>
      </c>
    </row>
    <row r="2844" spans="1:5" x14ac:dyDescent="0.25">
      <c r="A2844" s="279">
        <v>39066</v>
      </c>
      <c r="B2844" t="s">
        <v>338</v>
      </c>
      <c r="C2844" t="s">
        <v>66</v>
      </c>
      <c r="D2844">
        <v>0</v>
      </c>
      <c r="E2844" t="s">
        <v>380</v>
      </c>
    </row>
    <row r="2845" spans="1:5" x14ac:dyDescent="0.25">
      <c r="A2845" s="279">
        <v>39066</v>
      </c>
      <c r="B2845" t="s">
        <v>338</v>
      </c>
      <c r="C2845" t="s">
        <v>120</v>
      </c>
      <c r="D2845">
        <v>0</v>
      </c>
      <c r="E2845" t="s">
        <v>378</v>
      </c>
    </row>
    <row r="2846" spans="1:5" x14ac:dyDescent="0.25">
      <c r="A2846" s="279">
        <v>39066</v>
      </c>
      <c r="B2846" t="s">
        <v>338</v>
      </c>
      <c r="C2846" t="s">
        <v>121</v>
      </c>
      <c r="D2846">
        <v>17115</v>
      </c>
      <c r="E2846" t="s">
        <v>380</v>
      </c>
    </row>
    <row r="2847" spans="1:5" x14ac:dyDescent="0.25">
      <c r="A2847" s="279">
        <v>39066</v>
      </c>
      <c r="B2847" t="s">
        <v>338</v>
      </c>
      <c r="C2847" t="s">
        <v>67</v>
      </c>
      <c r="D2847">
        <v>0</v>
      </c>
      <c r="E2847" t="s">
        <v>378</v>
      </c>
    </row>
    <row r="2848" spans="1:5" x14ac:dyDescent="0.25">
      <c r="A2848" s="279">
        <v>39066</v>
      </c>
      <c r="B2848" t="s">
        <v>338</v>
      </c>
      <c r="C2848" t="s">
        <v>68</v>
      </c>
      <c r="D2848">
        <v>0</v>
      </c>
      <c r="E2848" t="s">
        <v>380</v>
      </c>
    </row>
    <row r="2849" spans="1:5" x14ac:dyDescent="0.25">
      <c r="A2849" s="279">
        <v>39066</v>
      </c>
      <c r="B2849" t="s">
        <v>338</v>
      </c>
      <c r="C2849" t="s">
        <v>69</v>
      </c>
      <c r="D2849">
        <v>34615</v>
      </c>
      <c r="E2849" t="s">
        <v>379</v>
      </c>
    </row>
    <row r="2850" spans="1:5" x14ac:dyDescent="0.25">
      <c r="A2850" s="279">
        <v>39066</v>
      </c>
      <c r="B2850" t="s">
        <v>338</v>
      </c>
      <c r="C2850" t="s">
        <v>70</v>
      </c>
      <c r="D2850">
        <v>0</v>
      </c>
      <c r="E2850" t="s">
        <v>379</v>
      </c>
    </row>
    <row r="2851" spans="1:5" x14ac:dyDescent="0.25">
      <c r="A2851" s="279">
        <v>39066</v>
      </c>
      <c r="B2851" t="s">
        <v>338</v>
      </c>
      <c r="C2851" t="s">
        <v>80</v>
      </c>
      <c r="D2851">
        <v>0</v>
      </c>
      <c r="E2851" t="s">
        <v>379</v>
      </c>
    </row>
    <row r="2852" spans="1:5" x14ac:dyDescent="0.25">
      <c r="A2852" s="279">
        <v>39066</v>
      </c>
      <c r="B2852" t="s">
        <v>339</v>
      </c>
      <c r="C2852" t="s">
        <v>71</v>
      </c>
      <c r="D2852">
        <v>0</v>
      </c>
      <c r="E2852" t="s">
        <v>378</v>
      </c>
    </row>
    <row r="2853" spans="1:5" x14ac:dyDescent="0.25">
      <c r="A2853" s="279">
        <v>39066</v>
      </c>
      <c r="B2853" t="s">
        <v>339</v>
      </c>
      <c r="C2853" t="s">
        <v>72</v>
      </c>
      <c r="D2853">
        <v>4840</v>
      </c>
      <c r="E2853" t="s">
        <v>380</v>
      </c>
    </row>
    <row r="2854" spans="1:5" x14ac:dyDescent="0.25">
      <c r="A2854" s="279">
        <v>39066</v>
      </c>
      <c r="B2854" t="s">
        <v>339</v>
      </c>
      <c r="C2854" t="s">
        <v>73</v>
      </c>
      <c r="D2854">
        <v>0</v>
      </c>
      <c r="E2854" t="s">
        <v>378</v>
      </c>
    </row>
    <row r="2855" spans="1:5" x14ac:dyDescent="0.25">
      <c r="A2855" s="279">
        <v>39066</v>
      </c>
      <c r="B2855" t="s">
        <v>339</v>
      </c>
      <c r="C2855" t="s">
        <v>74</v>
      </c>
      <c r="D2855">
        <v>7778</v>
      </c>
      <c r="E2855" t="s">
        <v>380</v>
      </c>
    </row>
    <row r="2856" spans="1:5" x14ac:dyDescent="0.25">
      <c r="A2856" s="279">
        <v>39066</v>
      </c>
      <c r="B2856" t="s">
        <v>339</v>
      </c>
      <c r="C2856" t="s">
        <v>75</v>
      </c>
      <c r="D2856">
        <v>15079</v>
      </c>
      <c r="E2856" t="s">
        <v>378</v>
      </c>
    </row>
    <row r="2857" spans="1:5" x14ac:dyDescent="0.25">
      <c r="A2857" s="279">
        <v>39066</v>
      </c>
      <c r="B2857" t="s">
        <v>339</v>
      </c>
      <c r="C2857" t="s">
        <v>76</v>
      </c>
      <c r="D2857">
        <v>14536</v>
      </c>
      <c r="E2857" t="s">
        <v>380</v>
      </c>
    </row>
    <row r="2858" spans="1:5" x14ac:dyDescent="0.25">
      <c r="A2858" s="279">
        <v>39066</v>
      </c>
      <c r="B2858" t="s">
        <v>339</v>
      </c>
      <c r="C2858" t="s">
        <v>77</v>
      </c>
      <c r="D2858">
        <v>7303</v>
      </c>
      <c r="E2858" t="s">
        <v>378</v>
      </c>
    </row>
    <row r="2859" spans="1:5" x14ac:dyDescent="0.25">
      <c r="A2859" s="279">
        <v>39066</v>
      </c>
      <c r="B2859" t="s">
        <v>339</v>
      </c>
      <c r="C2859" t="s">
        <v>78</v>
      </c>
      <c r="D2859">
        <v>7035</v>
      </c>
      <c r="E2859" t="s">
        <v>380</v>
      </c>
    </row>
    <row r="2860" spans="1:5" x14ac:dyDescent="0.25">
      <c r="A2860" s="279">
        <v>39066</v>
      </c>
      <c r="B2860" t="s">
        <v>339</v>
      </c>
      <c r="C2860" t="s">
        <v>79</v>
      </c>
      <c r="D2860">
        <v>75018</v>
      </c>
      <c r="E2860" t="s">
        <v>379</v>
      </c>
    </row>
    <row r="2861" spans="1:5" x14ac:dyDescent="0.25">
      <c r="A2861" s="279">
        <v>39066</v>
      </c>
      <c r="B2861" t="s">
        <v>339</v>
      </c>
      <c r="C2861" t="s">
        <v>70</v>
      </c>
      <c r="D2861">
        <v>0</v>
      </c>
      <c r="E2861" t="s">
        <v>379</v>
      </c>
    </row>
    <row r="2862" spans="1:5" x14ac:dyDescent="0.25">
      <c r="A2862" s="279">
        <v>39066</v>
      </c>
      <c r="B2862" t="s">
        <v>339</v>
      </c>
      <c r="C2862" t="s">
        <v>63</v>
      </c>
      <c r="D2862">
        <v>0</v>
      </c>
      <c r="E2862" t="s">
        <v>378</v>
      </c>
    </row>
    <row r="2863" spans="1:5" x14ac:dyDescent="0.25">
      <c r="A2863" s="279">
        <v>39066</v>
      </c>
      <c r="B2863" t="s">
        <v>339</v>
      </c>
      <c r="C2863" t="s">
        <v>80</v>
      </c>
      <c r="D2863">
        <v>134</v>
      </c>
      <c r="E2863" t="s">
        <v>379</v>
      </c>
    </row>
    <row r="2864" spans="1:5" x14ac:dyDescent="0.25">
      <c r="A2864" s="279">
        <v>39067</v>
      </c>
      <c r="B2864" t="s">
        <v>338</v>
      </c>
      <c r="C2864" t="s">
        <v>59</v>
      </c>
      <c r="D2864">
        <v>0</v>
      </c>
      <c r="E2864" t="s">
        <v>378</v>
      </c>
    </row>
    <row r="2865" spans="1:5" x14ac:dyDescent="0.25">
      <c r="A2865" s="279">
        <v>39067</v>
      </c>
      <c r="B2865" t="s">
        <v>338</v>
      </c>
      <c r="C2865" t="s">
        <v>60</v>
      </c>
      <c r="D2865">
        <v>0</v>
      </c>
      <c r="E2865" t="s">
        <v>379</v>
      </c>
    </row>
    <row r="2866" spans="1:5" x14ac:dyDescent="0.25">
      <c r="A2866" s="279">
        <v>39067</v>
      </c>
      <c r="B2866" t="s">
        <v>338</v>
      </c>
      <c r="C2866" t="s">
        <v>61</v>
      </c>
      <c r="D2866">
        <v>0</v>
      </c>
      <c r="E2866" t="s">
        <v>378</v>
      </c>
    </row>
    <row r="2867" spans="1:5" x14ac:dyDescent="0.25">
      <c r="A2867" s="279">
        <v>39067</v>
      </c>
      <c r="B2867" t="s">
        <v>338</v>
      </c>
      <c r="C2867" t="s">
        <v>62</v>
      </c>
      <c r="D2867">
        <v>308</v>
      </c>
      <c r="E2867" t="s">
        <v>380</v>
      </c>
    </row>
    <row r="2868" spans="1:5" x14ac:dyDescent="0.25">
      <c r="A2868" s="279">
        <v>39067</v>
      </c>
      <c r="B2868" t="s">
        <v>338</v>
      </c>
      <c r="C2868" t="s">
        <v>63</v>
      </c>
      <c r="D2868">
        <v>0</v>
      </c>
      <c r="E2868" t="s">
        <v>378</v>
      </c>
    </row>
    <row r="2869" spans="1:5" x14ac:dyDescent="0.25">
      <c r="A2869" s="279">
        <v>39067</v>
      </c>
      <c r="B2869" t="s">
        <v>338</v>
      </c>
      <c r="C2869" t="s">
        <v>64</v>
      </c>
      <c r="D2869">
        <v>12975</v>
      </c>
      <c r="E2869" t="s">
        <v>380</v>
      </c>
    </row>
    <row r="2870" spans="1:5" x14ac:dyDescent="0.25">
      <c r="A2870" s="279">
        <v>39067</v>
      </c>
      <c r="B2870" t="s">
        <v>338</v>
      </c>
      <c r="C2870" t="s">
        <v>65</v>
      </c>
      <c r="D2870">
        <v>0</v>
      </c>
      <c r="E2870" t="s">
        <v>378</v>
      </c>
    </row>
    <row r="2871" spans="1:5" x14ac:dyDescent="0.25">
      <c r="A2871" s="279">
        <v>39067</v>
      </c>
      <c r="B2871" t="s">
        <v>338</v>
      </c>
      <c r="C2871" t="s">
        <v>66</v>
      </c>
      <c r="D2871">
        <v>0</v>
      </c>
      <c r="E2871" t="s">
        <v>380</v>
      </c>
    </row>
    <row r="2872" spans="1:5" x14ac:dyDescent="0.25">
      <c r="A2872" s="279">
        <v>39067</v>
      </c>
      <c r="B2872" t="s">
        <v>338</v>
      </c>
      <c r="C2872" t="s">
        <v>120</v>
      </c>
      <c r="D2872">
        <v>0</v>
      </c>
      <c r="E2872" t="s">
        <v>378</v>
      </c>
    </row>
    <row r="2873" spans="1:5" x14ac:dyDescent="0.25">
      <c r="A2873" s="279">
        <v>39067</v>
      </c>
      <c r="B2873" t="s">
        <v>338</v>
      </c>
      <c r="C2873" t="s">
        <v>121</v>
      </c>
      <c r="D2873">
        <v>17083</v>
      </c>
      <c r="E2873" t="s">
        <v>380</v>
      </c>
    </row>
    <row r="2874" spans="1:5" x14ac:dyDescent="0.25">
      <c r="A2874" s="279">
        <v>39067</v>
      </c>
      <c r="B2874" t="s">
        <v>338</v>
      </c>
      <c r="C2874" t="s">
        <v>67</v>
      </c>
      <c r="D2874">
        <v>0</v>
      </c>
      <c r="E2874" t="s">
        <v>378</v>
      </c>
    </row>
    <row r="2875" spans="1:5" x14ac:dyDescent="0.25">
      <c r="A2875" s="279">
        <v>39067</v>
      </c>
      <c r="B2875" t="s">
        <v>338</v>
      </c>
      <c r="C2875" t="s">
        <v>68</v>
      </c>
      <c r="D2875">
        <v>0</v>
      </c>
      <c r="E2875" t="s">
        <v>380</v>
      </c>
    </row>
    <row r="2876" spans="1:5" x14ac:dyDescent="0.25">
      <c r="A2876" s="279">
        <v>39067</v>
      </c>
      <c r="B2876" t="s">
        <v>338</v>
      </c>
      <c r="C2876" t="s">
        <v>69</v>
      </c>
      <c r="D2876">
        <v>34549</v>
      </c>
      <c r="E2876" t="s">
        <v>379</v>
      </c>
    </row>
    <row r="2877" spans="1:5" x14ac:dyDescent="0.25">
      <c r="A2877" s="279">
        <v>39067</v>
      </c>
      <c r="B2877" t="s">
        <v>338</v>
      </c>
      <c r="C2877" t="s">
        <v>70</v>
      </c>
      <c r="D2877">
        <v>0</v>
      </c>
      <c r="E2877" t="s">
        <v>379</v>
      </c>
    </row>
    <row r="2878" spans="1:5" x14ac:dyDescent="0.25">
      <c r="A2878" s="279">
        <v>39067</v>
      </c>
      <c r="B2878" t="s">
        <v>338</v>
      </c>
      <c r="C2878" t="s">
        <v>80</v>
      </c>
      <c r="D2878">
        <v>0</v>
      </c>
      <c r="E2878" t="s">
        <v>379</v>
      </c>
    </row>
    <row r="2879" spans="1:5" x14ac:dyDescent="0.25">
      <c r="A2879" s="279">
        <v>39067</v>
      </c>
      <c r="B2879" t="s">
        <v>339</v>
      </c>
      <c r="C2879" t="s">
        <v>71</v>
      </c>
      <c r="D2879">
        <v>0</v>
      </c>
      <c r="E2879" t="s">
        <v>378</v>
      </c>
    </row>
    <row r="2880" spans="1:5" x14ac:dyDescent="0.25">
      <c r="A2880" s="279">
        <v>39067</v>
      </c>
      <c r="B2880" t="s">
        <v>339</v>
      </c>
      <c r="C2880" t="s">
        <v>72</v>
      </c>
      <c r="D2880">
        <v>4831</v>
      </c>
      <c r="E2880" t="s">
        <v>380</v>
      </c>
    </row>
    <row r="2881" spans="1:5" x14ac:dyDescent="0.25">
      <c r="A2881" s="279">
        <v>39067</v>
      </c>
      <c r="B2881" t="s">
        <v>339</v>
      </c>
      <c r="C2881" t="s">
        <v>73</v>
      </c>
      <c r="D2881">
        <v>0</v>
      </c>
      <c r="E2881" t="s">
        <v>378</v>
      </c>
    </row>
    <row r="2882" spans="1:5" x14ac:dyDescent="0.25">
      <c r="A2882" s="279">
        <v>39067</v>
      </c>
      <c r="B2882" t="s">
        <v>339</v>
      </c>
      <c r="C2882" t="s">
        <v>74</v>
      </c>
      <c r="D2882">
        <v>15875</v>
      </c>
      <c r="E2882" t="s">
        <v>380</v>
      </c>
    </row>
    <row r="2883" spans="1:5" x14ac:dyDescent="0.25">
      <c r="A2883" s="279">
        <v>39067</v>
      </c>
      <c r="B2883" t="s">
        <v>339</v>
      </c>
      <c r="C2883" t="s">
        <v>75</v>
      </c>
      <c r="D2883">
        <v>15050</v>
      </c>
      <c r="E2883" t="s">
        <v>378</v>
      </c>
    </row>
    <row r="2884" spans="1:5" x14ac:dyDescent="0.25">
      <c r="A2884" s="279">
        <v>39067</v>
      </c>
      <c r="B2884" t="s">
        <v>339</v>
      </c>
      <c r="C2884" t="s">
        <v>76</v>
      </c>
      <c r="D2884">
        <v>14508</v>
      </c>
      <c r="E2884" t="s">
        <v>380</v>
      </c>
    </row>
    <row r="2885" spans="1:5" x14ac:dyDescent="0.25">
      <c r="A2885" s="279">
        <v>39067</v>
      </c>
      <c r="B2885" t="s">
        <v>339</v>
      </c>
      <c r="C2885" t="s">
        <v>77</v>
      </c>
      <c r="D2885">
        <v>7289</v>
      </c>
      <c r="E2885" t="s">
        <v>378</v>
      </c>
    </row>
    <row r="2886" spans="1:5" x14ac:dyDescent="0.25">
      <c r="A2886" s="279">
        <v>39067</v>
      </c>
      <c r="B2886" t="s">
        <v>339</v>
      </c>
      <c r="C2886" t="s">
        <v>78</v>
      </c>
      <c r="D2886">
        <v>7021</v>
      </c>
      <c r="E2886" t="s">
        <v>380</v>
      </c>
    </row>
    <row r="2887" spans="1:5" x14ac:dyDescent="0.25">
      <c r="A2887" s="279">
        <v>39067</v>
      </c>
      <c r="B2887" t="s">
        <v>339</v>
      </c>
      <c r="C2887" t="s">
        <v>79</v>
      </c>
      <c r="D2887">
        <v>74873</v>
      </c>
      <c r="E2887" t="s">
        <v>379</v>
      </c>
    </row>
    <row r="2888" spans="1:5" x14ac:dyDescent="0.25">
      <c r="A2888" s="279">
        <v>39067</v>
      </c>
      <c r="B2888" t="s">
        <v>339</v>
      </c>
      <c r="C2888" t="s">
        <v>70</v>
      </c>
      <c r="D2888">
        <v>0</v>
      </c>
      <c r="E2888" t="s">
        <v>379</v>
      </c>
    </row>
    <row r="2889" spans="1:5" x14ac:dyDescent="0.25">
      <c r="A2889" s="279">
        <v>39067</v>
      </c>
      <c r="B2889" t="s">
        <v>339</v>
      </c>
      <c r="C2889" t="s">
        <v>63</v>
      </c>
      <c r="D2889">
        <v>0</v>
      </c>
      <c r="E2889" t="s">
        <v>378</v>
      </c>
    </row>
    <row r="2890" spans="1:5" x14ac:dyDescent="0.25">
      <c r="A2890" s="279">
        <v>39067</v>
      </c>
      <c r="B2890" t="s">
        <v>339</v>
      </c>
      <c r="C2890" t="s">
        <v>80</v>
      </c>
      <c r="D2890">
        <v>134</v>
      </c>
      <c r="E2890" t="s">
        <v>379</v>
      </c>
    </row>
    <row r="2891" spans="1:5" x14ac:dyDescent="0.25">
      <c r="A2891" s="279">
        <v>39068</v>
      </c>
      <c r="B2891" t="s">
        <v>338</v>
      </c>
      <c r="C2891" t="s">
        <v>59</v>
      </c>
      <c r="D2891">
        <v>0</v>
      </c>
      <c r="E2891" t="s">
        <v>378</v>
      </c>
    </row>
    <row r="2892" spans="1:5" x14ac:dyDescent="0.25">
      <c r="A2892" s="279">
        <v>39068</v>
      </c>
      <c r="B2892" t="s">
        <v>338</v>
      </c>
      <c r="C2892" t="s">
        <v>60</v>
      </c>
      <c r="D2892">
        <v>0</v>
      </c>
      <c r="E2892" t="s">
        <v>379</v>
      </c>
    </row>
    <row r="2893" spans="1:5" x14ac:dyDescent="0.25">
      <c r="A2893" s="279">
        <v>39068</v>
      </c>
      <c r="B2893" t="s">
        <v>338</v>
      </c>
      <c r="C2893" t="s">
        <v>61</v>
      </c>
      <c r="D2893">
        <v>0</v>
      </c>
      <c r="E2893" t="s">
        <v>378</v>
      </c>
    </row>
    <row r="2894" spans="1:5" x14ac:dyDescent="0.25">
      <c r="A2894" s="279">
        <v>39068</v>
      </c>
      <c r="B2894" t="s">
        <v>338</v>
      </c>
      <c r="C2894" t="s">
        <v>62</v>
      </c>
      <c r="D2894">
        <v>0</v>
      </c>
      <c r="E2894" t="s">
        <v>380</v>
      </c>
    </row>
    <row r="2895" spans="1:5" x14ac:dyDescent="0.25">
      <c r="A2895" s="279">
        <v>39068</v>
      </c>
      <c r="B2895" t="s">
        <v>338</v>
      </c>
      <c r="C2895" t="s">
        <v>63</v>
      </c>
      <c r="D2895">
        <v>0</v>
      </c>
      <c r="E2895" t="s">
        <v>378</v>
      </c>
    </row>
    <row r="2896" spans="1:5" x14ac:dyDescent="0.25">
      <c r="A2896" s="279">
        <v>39068</v>
      </c>
      <c r="B2896" t="s">
        <v>338</v>
      </c>
      <c r="C2896" t="s">
        <v>64</v>
      </c>
      <c r="D2896">
        <v>0</v>
      </c>
      <c r="E2896" t="s">
        <v>380</v>
      </c>
    </row>
    <row r="2897" spans="1:5" x14ac:dyDescent="0.25">
      <c r="A2897" s="279">
        <v>39068</v>
      </c>
      <c r="B2897" t="s">
        <v>338</v>
      </c>
      <c r="C2897" t="s">
        <v>65</v>
      </c>
      <c r="D2897">
        <v>0</v>
      </c>
      <c r="E2897" t="s">
        <v>378</v>
      </c>
    </row>
    <row r="2898" spans="1:5" x14ac:dyDescent="0.25">
      <c r="A2898" s="279">
        <v>39068</v>
      </c>
      <c r="B2898" t="s">
        <v>338</v>
      </c>
      <c r="C2898" t="s">
        <v>66</v>
      </c>
      <c r="D2898">
        <v>0</v>
      </c>
      <c r="E2898" t="s">
        <v>380</v>
      </c>
    </row>
    <row r="2899" spans="1:5" x14ac:dyDescent="0.25">
      <c r="A2899" s="279">
        <v>39068</v>
      </c>
      <c r="B2899" t="s">
        <v>338</v>
      </c>
      <c r="C2899" t="s">
        <v>120</v>
      </c>
      <c r="D2899">
        <v>0</v>
      </c>
      <c r="E2899" t="s">
        <v>378</v>
      </c>
    </row>
    <row r="2900" spans="1:5" x14ac:dyDescent="0.25">
      <c r="A2900" s="279">
        <v>39068</v>
      </c>
      <c r="B2900" t="s">
        <v>338</v>
      </c>
      <c r="C2900" t="s">
        <v>121</v>
      </c>
      <c r="D2900">
        <v>16458</v>
      </c>
      <c r="E2900" t="s">
        <v>380</v>
      </c>
    </row>
    <row r="2901" spans="1:5" x14ac:dyDescent="0.25">
      <c r="A2901" s="279">
        <v>39068</v>
      </c>
      <c r="B2901" t="s">
        <v>338</v>
      </c>
      <c r="C2901" t="s">
        <v>67</v>
      </c>
      <c r="D2901">
        <v>0</v>
      </c>
      <c r="E2901" t="s">
        <v>378</v>
      </c>
    </row>
    <row r="2902" spans="1:5" x14ac:dyDescent="0.25">
      <c r="A2902" s="279">
        <v>39068</v>
      </c>
      <c r="B2902" t="s">
        <v>338</v>
      </c>
      <c r="C2902" t="s">
        <v>68</v>
      </c>
      <c r="D2902">
        <v>0</v>
      </c>
      <c r="E2902" t="s">
        <v>380</v>
      </c>
    </row>
    <row r="2903" spans="1:5" x14ac:dyDescent="0.25">
      <c r="A2903" s="279">
        <v>39068</v>
      </c>
      <c r="B2903" t="s">
        <v>338</v>
      </c>
      <c r="C2903" t="s">
        <v>69</v>
      </c>
      <c r="D2903">
        <v>34549</v>
      </c>
      <c r="E2903" t="s">
        <v>379</v>
      </c>
    </row>
    <row r="2904" spans="1:5" x14ac:dyDescent="0.25">
      <c r="A2904" s="279">
        <v>39068</v>
      </c>
      <c r="B2904" t="s">
        <v>338</v>
      </c>
      <c r="C2904" t="s">
        <v>70</v>
      </c>
      <c r="D2904">
        <v>0</v>
      </c>
      <c r="E2904" t="s">
        <v>379</v>
      </c>
    </row>
    <row r="2905" spans="1:5" x14ac:dyDescent="0.25">
      <c r="A2905" s="279">
        <v>39068</v>
      </c>
      <c r="B2905" t="s">
        <v>338</v>
      </c>
      <c r="C2905" t="s">
        <v>80</v>
      </c>
      <c r="D2905">
        <v>0</v>
      </c>
      <c r="E2905" t="s">
        <v>379</v>
      </c>
    </row>
    <row r="2906" spans="1:5" x14ac:dyDescent="0.25">
      <c r="A2906" s="279">
        <v>39068</v>
      </c>
      <c r="B2906" t="s">
        <v>339</v>
      </c>
      <c r="C2906" t="s">
        <v>71</v>
      </c>
      <c r="D2906">
        <v>0</v>
      </c>
      <c r="E2906" t="s">
        <v>378</v>
      </c>
    </row>
    <row r="2907" spans="1:5" x14ac:dyDescent="0.25">
      <c r="A2907" s="279">
        <v>39068</v>
      </c>
      <c r="B2907" t="s">
        <v>339</v>
      </c>
      <c r="C2907" t="s">
        <v>72</v>
      </c>
      <c r="D2907">
        <v>3914</v>
      </c>
      <c r="E2907" t="s">
        <v>380</v>
      </c>
    </row>
    <row r="2908" spans="1:5" x14ac:dyDescent="0.25">
      <c r="A2908" s="279">
        <v>39068</v>
      </c>
      <c r="B2908" t="s">
        <v>339</v>
      </c>
      <c r="C2908" t="s">
        <v>73</v>
      </c>
      <c r="D2908">
        <v>0</v>
      </c>
      <c r="E2908" t="s">
        <v>378</v>
      </c>
    </row>
    <row r="2909" spans="1:5" x14ac:dyDescent="0.25">
      <c r="A2909" s="279">
        <v>39068</v>
      </c>
      <c r="B2909" t="s">
        <v>339</v>
      </c>
      <c r="C2909" t="s">
        <v>74</v>
      </c>
      <c r="D2909">
        <v>0</v>
      </c>
      <c r="E2909" t="s">
        <v>380</v>
      </c>
    </row>
    <row r="2910" spans="1:5" x14ac:dyDescent="0.25">
      <c r="A2910" s="279">
        <v>39068</v>
      </c>
      <c r="B2910" t="s">
        <v>339</v>
      </c>
      <c r="C2910" t="s">
        <v>75</v>
      </c>
      <c r="D2910">
        <v>15065</v>
      </c>
      <c r="E2910" t="s">
        <v>378</v>
      </c>
    </row>
    <row r="2911" spans="1:5" x14ac:dyDescent="0.25">
      <c r="A2911" s="279">
        <v>39068</v>
      </c>
      <c r="B2911" t="s">
        <v>339</v>
      </c>
      <c r="C2911" t="s">
        <v>76</v>
      </c>
      <c r="D2911">
        <v>14522</v>
      </c>
      <c r="E2911" t="s">
        <v>380</v>
      </c>
    </row>
    <row r="2912" spans="1:5" x14ac:dyDescent="0.25">
      <c r="A2912" s="279">
        <v>39068</v>
      </c>
      <c r="B2912" t="s">
        <v>339</v>
      </c>
      <c r="C2912" t="s">
        <v>77</v>
      </c>
      <c r="D2912">
        <v>7296</v>
      </c>
      <c r="E2912" t="s">
        <v>378</v>
      </c>
    </row>
    <row r="2913" spans="1:5" x14ac:dyDescent="0.25">
      <c r="A2913" s="279">
        <v>39068</v>
      </c>
      <c r="B2913" t="s">
        <v>339</v>
      </c>
      <c r="C2913" t="s">
        <v>78</v>
      </c>
      <c r="D2913">
        <v>7028</v>
      </c>
      <c r="E2913" t="s">
        <v>380</v>
      </c>
    </row>
    <row r="2914" spans="1:5" x14ac:dyDescent="0.25">
      <c r="A2914" s="279">
        <v>39068</v>
      </c>
      <c r="B2914" t="s">
        <v>339</v>
      </c>
      <c r="C2914" t="s">
        <v>79</v>
      </c>
      <c r="D2914">
        <v>74946</v>
      </c>
      <c r="E2914" t="s">
        <v>379</v>
      </c>
    </row>
    <row r="2915" spans="1:5" x14ac:dyDescent="0.25">
      <c r="A2915" s="279">
        <v>39068</v>
      </c>
      <c r="B2915" t="s">
        <v>339</v>
      </c>
      <c r="C2915" t="s">
        <v>70</v>
      </c>
      <c r="D2915">
        <v>0</v>
      </c>
      <c r="E2915" t="s">
        <v>379</v>
      </c>
    </row>
    <row r="2916" spans="1:5" x14ac:dyDescent="0.25">
      <c r="A2916" s="279">
        <v>39068</v>
      </c>
      <c r="B2916" t="s">
        <v>339</v>
      </c>
      <c r="C2916" t="s">
        <v>63</v>
      </c>
      <c r="D2916">
        <v>0</v>
      </c>
      <c r="E2916" t="s">
        <v>378</v>
      </c>
    </row>
    <row r="2917" spans="1:5" x14ac:dyDescent="0.25">
      <c r="A2917" s="279">
        <v>39068</v>
      </c>
      <c r="B2917" t="s">
        <v>339</v>
      </c>
      <c r="C2917" t="s">
        <v>80</v>
      </c>
      <c r="D2917">
        <v>134</v>
      </c>
      <c r="E2917" t="s">
        <v>379</v>
      </c>
    </row>
    <row r="2918" spans="1:5" x14ac:dyDescent="0.25">
      <c r="A2918" s="279">
        <v>39069</v>
      </c>
      <c r="B2918" t="s">
        <v>338</v>
      </c>
      <c r="C2918" t="s">
        <v>59</v>
      </c>
      <c r="D2918">
        <v>0</v>
      </c>
      <c r="E2918" t="s">
        <v>378</v>
      </c>
    </row>
    <row r="2919" spans="1:5" x14ac:dyDescent="0.25">
      <c r="A2919" s="279">
        <v>39069</v>
      </c>
      <c r="B2919" t="s">
        <v>338</v>
      </c>
      <c r="C2919" t="s">
        <v>60</v>
      </c>
      <c r="D2919">
        <v>0</v>
      </c>
      <c r="E2919" t="s">
        <v>379</v>
      </c>
    </row>
    <row r="2920" spans="1:5" x14ac:dyDescent="0.25">
      <c r="A2920" s="279">
        <v>39069</v>
      </c>
      <c r="B2920" t="s">
        <v>338</v>
      </c>
      <c r="C2920" t="s">
        <v>61</v>
      </c>
      <c r="D2920">
        <v>0</v>
      </c>
      <c r="E2920" t="s">
        <v>378</v>
      </c>
    </row>
    <row r="2921" spans="1:5" x14ac:dyDescent="0.25">
      <c r="A2921" s="279">
        <v>39069</v>
      </c>
      <c r="B2921" t="s">
        <v>338</v>
      </c>
      <c r="C2921" t="s">
        <v>62</v>
      </c>
      <c r="D2921">
        <v>0</v>
      </c>
      <c r="E2921" t="s">
        <v>380</v>
      </c>
    </row>
    <row r="2922" spans="1:5" x14ac:dyDescent="0.25">
      <c r="A2922" s="279">
        <v>39069</v>
      </c>
      <c r="B2922" t="s">
        <v>338</v>
      </c>
      <c r="C2922" t="s">
        <v>63</v>
      </c>
      <c r="D2922">
        <v>0</v>
      </c>
      <c r="E2922" t="s">
        <v>378</v>
      </c>
    </row>
    <row r="2923" spans="1:5" x14ac:dyDescent="0.25">
      <c r="A2923" s="279">
        <v>39069</v>
      </c>
      <c r="B2923" t="s">
        <v>338</v>
      </c>
      <c r="C2923" t="s">
        <v>64</v>
      </c>
      <c r="D2923">
        <v>0</v>
      </c>
      <c r="E2923" t="s">
        <v>380</v>
      </c>
    </row>
    <row r="2924" spans="1:5" x14ac:dyDescent="0.25">
      <c r="A2924" s="279">
        <v>39069</v>
      </c>
      <c r="B2924" t="s">
        <v>338</v>
      </c>
      <c r="C2924" t="s">
        <v>65</v>
      </c>
      <c r="D2924">
        <v>0</v>
      </c>
      <c r="E2924" t="s">
        <v>378</v>
      </c>
    </row>
    <row r="2925" spans="1:5" x14ac:dyDescent="0.25">
      <c r="A2925" s="279">
        <v>39069</v>
      </c>
      <c r="B2925" t="s">
        <v>338</v>
      </c>
      <c r="C2925" t="s">
        <v>66</v>
      </c>
      <c r="D2925">
        <v>0</v>
      </c>
      <c r="E2925" t="s">
        <v>380</v>
      </c>
    </row>
    <row r="2926" spans="1:5" x14ac:dyDescent="0.25">
      <c r="A2926" s="279">
        <v>39069</v>
      </c>
      <c r="B2926" t="s">
        <v>338</v>
      </c>
      <c r="C2926" t="s">
        <v>120</v>
      </c>
      <c r="D2926">
        <v>0</v>
      </c>
      <c r="E2926" t="s">
        <v>378</v>
      </c>
    </row>
    <row r="2927" spans="1:5" x14ac:dyDescent="0.25">
      <c r="A2927" s="279">
        <v>39069</v>
      </c>
      <c r="B2927" t="s">
        <v>338</v>
      </c>
      <c r="C2927" t="s">
        <v>121</v>
      </c>
      <c r="D2927">
        <v>10948</v>
      </c>
      <c r="E2927" t="s">
        <v>380</v>
      </c>
    </row>
    <row r="2928" spans="1:5" x14ac:dyDescent="0.25">
      <c r="A2928" s="279">
        <v>39069</v>
      </c>
      <c r="B2928" t="s">
        <v>338</v>
      </c>
      <c r="C2928" t="s">
        <v>67</v>
      </c>
      <c r="D2928">
        <v>0</v>
      </c>
      <c r="E2928" t="s">
        <v>378</v>
      </c>
    </row>
    <row r="2929" spans="1:5" x14ac:dyDescent="0.25">
      <c r="A2929" s="279">
        <v>39069</v>
      </c>
      <c r="B2929" t="s">
        <v>338</v>
      </c>
      <c r="C2929" t="s">
        <v>68</v>
      </c>
      <c r="D2929">
        <v>0</v>
      </c>
      <c r="E2929" t="s">
        <v>380</v>
      </c>
    </row>
    <row r="2930" spans="1:5" x14ac:dyDescent="0.25">
      <c r="A2930" s="279">
        <v>39069</v>
      </c>
      <c r="B2930" t="s">
        <v>338</v>
      </c>
      <c r="C2930" t="s">
        <v>69</v>
      </c>
      <c r="D2930">
        <v>34549</v>
      </c>
      <c r="E2930" t="s">
        <v>379</v>
      </c>
    </row>
    <row r="2931" spans="1:5" x14ac:dyDescent="0.25">
      <c r="A2931" s="279">
        <v>39069</v>
      </c>
      <c r="B2931" t="s">
        <v>338</v>
      </c>
      <c r="C2931" t="s">
        <v>70</v>
      </c>
      <c r="D2931">
        <v>0</v>
      </c>
      <c r="E2931" t="s">
        <v>379</v>
      </c>
    </row>
    <row r="2932" spans="1:5" x14ac:dyDescent="0.25">
      <c r="A2932" s="279">
        <v>39069</v>
      </c>
      <c r="B2932" t="s">
        <v>338</v>
      </c>
      <c r="C2932" t="s">
        <v>80</v>
      </c>
      <c r="D2932">
        <v>0</v>
      </c>
      <c r="E2932" t="s">
        <v>379</v>
      </c>
    </row>
    <row r="2933" spans="1:5" x14ac:dyDescent="0.25">
      <c r="A2933" s="279">
        <v>39069</v>
      </c>
      <c r="B2933" t="s">
        <v>339</v>
      </c>
      <c r="C2933" t="s">
        <v>71</v>
      </c>
      <c r="D2933">
        <v>0</v>
      </c>
      <c r="E2933" t="s">
        <v>378</v>
      </c>
    </row>
    <row r="2934" spans="1:5" x14ac:dyDescent="0.25">
      <c r="A2934" s="279">
        <v>39069</v>
      </c>
      <c r="B2934" t="s">
        <v>339</v>
      </c>
      <c r="C2934" t="s">
        <v>72</v>
      </c>
      <c r="D2934">
        <v>0</v>
      </c>
      <c r="E2934" t="s">
        <v>380</v>
      </c>
    </row>
    <row r="2935" spans="1:5" x14ac:dyDescent="0.25">
      <c r="A2935" s="279">
        <v>39069</v>
      </c>
      <c r="B2935" t="s">
        <v>339</v>
      </c>
      <c r="C2935" t="s">
        <v>73</v>
      </c>
      <c r="D2935">
        <v>0</v>
      </c>
      <c r="E2935" t="s">
        <v>378</v>
      </c>
    </row>
    <row r="2936" spans="1:5" x14ac:dyDescent="0.25">
      <c r="A2936" s="279">
        <v>39069</v>
      </c>
      <c r="B2936" t="s">
        <v>339</v>
      </c>
      <c r="C2936" t="s">
        <v>74</v>
      </c>
      <c r="D2936">
        <v>0</v>
      </c>
      <c r="E2936" t="s">
        <v>380</v>
      </c>
    </row>
    <row r="2937" spans="1:5" x14ac:dyDescent="0.25">
      <c r="A2937" s="279">
        <v>39069</v>
      </c>
      <c r="B2937" t="s">
        <v>339</v>
      </c>
      <c r="C2937" t="s">
        <v>75</v>
      </c>
      <c r="D2937">
        <v>15094</v>
      </c>
      <c r="E2937" t="s">
        <v>378</v>
      </c>
    </row>
    <row r="2938" spans="1:5" x14ac:dyDescent="0.25">
      <c r="A2938" s="279">
        <v>39069</v>
      </c>
      <c r="B2938" t="s">
        <v>339</v>
      </c>
      <c r="C2938" t="s">
        <v>76</v>
      </c>
      <c r="D2938">
        <v>14404</v>
      </c>
      <c r="E2938" t="s">
        <v>380</v>
      </c>
    </row>
    <row r="2939" spans="1:5" x14ac:dyDescent="0.25">
      <c r="A2939" s="279">
        <v>39069</v>
      </c>
      <c r="B2939" t="s">
        <v>339</v>
      </c>
      <c r="C2939" t="s">
        <v>77</v>
      </c>
      <c r="D2939">
        <v>7310</v>
      </c>
      <c r="E2939" t="s">
        <v>378</v>
      </c>
    </row>
    <row r="2940" spans="1:5" x14ac:dyDescent="0.25">
      <c r="A2940" s="279">
        <v>39069</v>
      </c>
      <c r="B2940" t="s">
        <v>339</v>
      </c>
      <c r="C2940" t="s">
        <v>78</v>
      </c>
      <c r="D2940">
        <v>7042</v>
      </c>
      <c r="E2940" t="s">
        <v>380</v>
      </c>
    </row>
    <row r="2941" spans="1:5" x14ac:dyDescent="0.25">
      <c r="A2941" s="279">
        <v>39069</v>
      </c>
      <c r="B2941" t="s">
        <v>339</v>
      </c>
      <c r="C2941" t="s">
        <v>79</v>
      </c>
      <c r="D2941">
        <v>75091</v>
      </c>
      <c r="E2941" t="s">
        <v>379</v>
      </c>
    </row>
    <row r="2942" spans="1:5" x14ac:dyDescent="0.25">
      <c r="A2942" s="279">
        <v>39069</v>
      </c>
      <c r="B2942" t="s">
        <v>339</v>
      </c>
      <c r="C2942" t="s">
        <v>70</v>
      </c>
      <c r="D2942">
        <v>0</v>
      </c>
      <c r="E2942" t="s">
        <v>379</v>
      </c>
    </row>
    <row r="2943" spans="1:5" x14ac:dyDescent="0.25">
      <c r="A2943" s="279">
        <v>39069</v>
      </c>
      <c r="B2943" t="s">
        <v>339</v>
      </c>
      <c r="C2943" t="s">
        <v>63</v>
      </c>
      <c r="D2943">
        <v>0</v>
      </c>
      <c r="E2943" t="s">
        <v>378</v>
      </c>
    </row>
    <row r="2944" spans="1:5" x14ac:dyDescent="0.25">
      <c r="A2944" s="279">
        <v>39069</v>
      </c>
      <c r="B2944" t="s">
        <v>339</v>
      </c>
      <c r="C2944" t="s">
        <v>80</v>
      </c>
      <c r="D2944">
        <v>134</v>
      </c>
      <c r="E2944" t="s">
        <v>379</v>
      </c>
    </row>
    <row r="2945" spans="1:5" x14ac:dyDescent="0.25">
      <c r="A2945" s="279">
        <v>39070</v>
      </c>
      <c r="B2945" t="s">
        <v>338</v>
      </c>
      <c r="C2945" t="s">
        <v>59</v>
      </c>
      <c r="D2945">
        <v>0</v>
      </c>
      <c r="E2945" t="s">
        <v>378</v>
      </c>
    </row>
    <row r="2946" spans="1:5" x14ac:dyDescent="0.25">
      <c r="A2946" s="279">
        <v>39070</v>
      </c>
      <c r="B2946" t="s">
        <v>338</v>
      </c>
      <c r="C2946" t="s">
        <v>60</v>
      </c>
      <c r="D2946">
        <v>4806</v>
      </c>
      <c r="E2946" t="s">
        <v>379</v>
      </c>
    </row>
    <row r="2947" spans="1:5" x14ac:dyDescent="0.25">
      <c r="A2947" s="279">
        <v>39070</v>
      </c>
      <c r="B2947" t="s">
        <v>338</v>
      </c>
      <c r="C2947" t="s">
        <v>61</v>
      </c>
      <c r="D2947">
        <v>0</v>
      </c>
      <c r="E2947" t="s">
        <v>378</v>
      </c>
    </row>
    <row r="2948" spans="1:5" x14ac:dyDescent="0.25">
      <c r="A2948" s="279">
        <v>39070</v>
      </c>
      <c r="B2948" t="s">
        <v>338</v>
      </c>
      <c r="C2948" t="s">
        <v>62</v>
      </c>
      <c r="D2948">
        <v>26946</v>
      </c>
      <c r="E2948" t="s">
        <v>380</v>
      </c>
    </row>
    <row r="2949" spans="1:5" x14ac:dyDescent="0.25">
      <c r="A2949" s="279">
        <v>39070</v>
      </c>
      <c r="B2949" t="s">
        <v>338</v>
      </c>
      <c r="C2949" t="s">
        <v>63</v>
      </c>
      <c r="D2949">
        <v>0</v>
      </c>
      <c r="E2949" t="s">
        <v>378</v>
      </c>
    </row>
    <row r="2950" spans="1:5" x14ac:dyDescent="0.25">
      <c r="A2950" s="279">
        <v>39070</v>
      </c>
      <c r="B2950" t="s">
        <v>338</v>
      </c>
      <c r="C2950" t="s">
        <v>64</v>
      </c>
      <c r="D2950">
        <v>24719</v>
      </c>
      <c r="E2950" t="s">
        <v>380</v>
      </c>
    </row>
    <row r="2951" spans="1:5" x14ac:dyDescent="0.25">
      <c r="A2951" s="279">
        <v>39070</v>
      </c>
      <c r="B2951" t="s">
        <v>338</v>
      </c>
      <c r="C2951" t="s">
        <v>65</v>
      </c>
      <c r="D2951">
        <v>0</v>
      </c>
      <c r="E2951" t="s">
        <v>378</v>
      </c>
    </row>
    <row r="2952" spans="1:5" x14ac:dyDescent="0.25">
      <c r="A2952" s="279">
        <v>39070</v>
      </c>
      <c r="B2952" t="s">
        <v>338</v>
      </c>
      <c r="C2952" t="s">
        <v>66</v>
      </c>
      <c r="D2952">
        <v>0</v>
      </c>
      <c r="E2952" t="s">
        <v>380</v>
      </c>
    </row>
    <row r="2953" spans="1:5" x14ac:dyDescent="0.25">
      <c r="A2953" s="279">
        <v>39070</v>
      </c>
      <c r="B2953" t="s">
        <v>338</v>
      </c>
      <c r="C2953" t="s">
        <v>120</v>
      </c>
      <c r="D2953">
        <v>0</v>
      </c>
      <c r="E2953" t="s">
        <v>378</v>
      </c>
    </row>
    <row r="2954" spans="1:5" x14ac:dyDescent="0.25">
      <c r="A2954" s="279">
        <v>39070</v>
      </c>
      <c r="B2954" t="s">
        <v>338</v>
      </c>
      <c r="C2954" t="s">
        <v>121</v>
      </c>
      <c r="D2954">
        <v>17596</v>
      </c>
      <c r="E2954" t="s">
        <v>380</v>
      </c>
    </row>
    <row r="2955" spans="1:5" x14ac:dyDescent="0.25">
      <c r="A2955" s="279">
        <v>39070</v>
      </c>
      <c r="B2955" t="s">
        <v>338</v>
      </c>
      <c r="C2955" t="s">
        <v>67</v>
      </c>
      <c r="D2955">
        <v>0</v>
      </c>
      <c r="E2955" t="s">
        <v>378</v>
      </c>
    </row>
    <row r="2956" spans="1:5" x14ac:dyDescent="0.25">
      <c r="A2956" s="279">
        <v>39070</v>
      </c>
      <c r="B2956" t="s">
        <v>338</v>
      </c>
      <c r="C2956" t="s">
        <v>68</v>
      </c>
      <c r="D2956">
        <v>0</v>
      </c>
      <c r="E2956" t="s">
        <v>380</v>
      </c>
    </row>
    <row r="2957" spans="1:5" x14ac:dyDescent="0.25">
      <c r="A2957" s="279">
        <v>39070</v>
      </c>
      <c r="B2957" t="s">
        <v>338</v>
      </c>
      <c r="C2957" t="s">
        <v>69</v>
      </c>
      <c r="D2957">
        <v>34615</v>
      </c>
      <c r="E2957" t="s">
        <v>379</v>
      </c>
    </row>
    <row r="2958" spans="1:5" x14ac:dyDescent="0.25">
      <c r="A2958" s="279">
        <v>39070</v>
      </c>
      <c r="B2958" t="s">
        <v>338</v>
      </c>
      <c r="C2958" t="s">
        <v>70</v>
      </c>
      <c r="D2958">
        <v>0</v>
      </c>
      <c r="E2958" t="s">
        <v>379</v>
      </c>
    </row>
    <row r="2959" spans="1:5" x14ac:dyDescent="0.25">
      <c r="A2959" s="279">
        <v>39070</v>
      </c>
      <c r="B2959" t="s">
        <v>338</v>
      </c>
      <c r="C2959" t="s">
        <v>80</v>
      </c>
      <c r="D2959">
        <v>0</v>
      </c>
      <c r="E2959" t="s">
        <v>379</v>
      </c>
    </row>
    <row r="2960" spans="1:5" x14ac:dyDescent="0.25">
      <c r="A2960" s="279">
        <v>39070</v>
      </c>
      <c r="B2960" t="s">
        <v>339</v>
      </c>
      <c r="C2960" t="s">
        <v>71</v>
      </c>
      <c r="D2960">
        <v>0</v>
      </c>
      <c r="E2960" t="s">
        <v>378</v>
      </c>
    </row>
    <row r="2961" spans="1:5" x14ac:dyDescent="0.25">
      <c r="A2961" s="279">
        <v>39070</v>
      </c>
      <c r="B2961" t="s">
        <v>339</v>
      </c>
      <c r="C2961" t="s">
        <v>72</v>
      </c>
      <c r="D2961">
        <v>4845</v>
      </c>
      <c r="E2961" t="s">
        <v>380</v>
      </c>
    </row>
    <row r="2962" spans="1:5" x14ac:dyDescent="0.25">
      <c r="A2962" s="279">
        <v>39070</v>
      </c>
      <c r="B2962" t="s">
        <v>339</v>
      </c>
      <c r="C2962" t="s">
        <v>73</v>
      </c>
      <c r="D2962">
        <v>0</v>
      </c>
      <c r="E2962" t="s">
        <v>378</v>
      </c>
    </row>
    <row r="2963" spans="1:5" x14ac:dyDescent="0.25">
      <c r="A2963" s="279">
        <v>39070</v>
      </c>
      <c r="B2963" t="s">
        <v>339</v>
      </c>
      <c r="C2963" t="s">
        <v>74</v>
      </c>
      <c r="D2963">
        <v>20897</v>
      </c>
      <c r="E2963" t="s">
        <v>380</v>
      </c>
    </row>
    <row r="2964" spans="1:5" x14ac:dyDescent="0.25">
      <c r="A2964" s="279">
        <v>39070</v>
      </c>
      <c r="B2964" t="s">
        <v>339</v>
      </c>
      <c r="C2964" t="s">
        <v>75</v>
      </c>
      <c r="D2964">
        <v>15094</v>
      </c>
      <c r="E2964" t="s">
        <v>378</v>
      </c>
    </row>
    <row r="2965" spans="1:5" x14ac:dyDescent="0.25">
      <c r="A2965" s="279">
        <v>39070</v>
      </c>
      <c r="B2965" t="s">
        <v>339</v>
      </c>
      <c r="C2965" t="s">
        <v>76</v>
      </c>
      <c r="D2965">
        <v>14550</v>
      </c>
      <c r="E2965" t="s">
        <v>380</v>
      </c>
    </row>
    <row r="2966" spans="1:5" x14ac:dyDescent="0.25">
      <c r="A2966" s="279">
        <v>39070</v>
      </c>
      <c r="B2966" t="s">
        <v>339</v>
      </c>
      <c r="C2966" t="s">
        <v>77</v>
      </c>
      <c r="D2966">
        <v>7310</v>
      </c>
      <c r="E2966" t="s">
        <v>378</v>
      </c>
    </row>
    <row r="2967" spans="1:5" x14ac:dyDescent="0.25">
      <c r="A2967" s="279">
        <v>39070</v>
      </c>
      <c r="B2967" t="s">
        <v>339</v>
      </c>
      <c r="C2967" t="s">
        <v>78</v>
      </c>
      <c r="D2967">
        <v>7042</v>
      </c>
      <c r="E2967" t="s">
        <v>380</v>
      </c>
    </row>
    <row r="2968" spans="1:5" x14ac:dyDescent="0.25">
      <c r="A2968" s="279">
        <v>39070</v>
      </c>
      <c r="B2968" t="s">
        <v>339</v>
      </c>
      <c r="C2968" t="s">
        <v>79</v>
      </c>
      <c r="D2968">
        <v>75091</v>
      </c>
      <c r="E2968" t="s">
        <v>379</v>
      </c>
    </row>
    <row r="2969" spans="1:5" x14ac:dyDescent="0.25">
      <c r="A2969" s="279">
        <v>39070</v>
      </c>
      <c r="B2969" t="s">
        <v>339</v>
      </c>
      <c r="C2969" t="s">
        <v>70</v>
      </c>
      <c r="D2969">
        <v>0</v>
      </c>
      <c r="E2969" t="s">
        <v>379</v>
      </c>
    </row>
    <row r="2970" spans="1:5" x14ac:dyDescent="0.25">
      <c r="A2970" s="279">
        <v>39070</v>
      </c>
      <c r="B2970" t="s">
        <v>339</v>
      </c>
      <c r="C2970" t="s">
        <v>63</v>
      </c>
      <c r="D2970">
        <v>0</v>
      </c>
      <c r="E2970" t="s">
        <v>378</v>
      </c>
    </row>
    <row r="2971" spans="1:5" x14ac:dyDescent="0.25">
      <c r="A2971" s="279">
        <v>39070</v>
      </c>
      <c r="B2971" t="s">
        <v>339</v>
      </c>
      <c r="C2971" t="s">
        <v>80</v>
      </c>
      <c r="D2971">
        <v>134</v>
      </c>
      <c r="E2971" t="s">
        <v>379</v>
      </c>
    </row>
    <row r="2972" spans="1:5" x14ac:dyDescent="0.25">
      <c r="A2972" s="279">
        <v>39071</v>
      </c>
      <c r="B2972" t="s">
        <v>338</v>
      </c>
      <c r="C2972" t="s">
        <v>59</v>
      </c>
      <c r="D2972">
        <v>0</v>
      </c>
      <c r="E2972" t="s">
        <v>378</v>
      </c>
    </row>
    <row r="2973" spans="1:5" x14ac:dyDescent="0.25">
      <c r="A2973" s="279">
        <v>39071</v>
      </c>
      <c r="B2973" t="s">
        <v>338</v>
      </c>
      <c r="C2973" t="s">
        <v>60</v>
      </c>
      <c r="D2973">
        <v>4806</v>
      </c>
      <c r="E2973" t="s">
        <v>379</v>
      </c>
    </row>
    <row r="2974" spans="1:5" x14ac:dyDescent="0.25">
      <c r="A2974" s="279">
        <v>39071</v>
      </c>
      <c r="B2974" t="s">
        <v>338</v>
      </c>
      <c r="C2974" t="s">
        <v>61</v>
      </c>
      <c r="D2974">
        <v>0</v>
      </c>
      <c r="E2974" t="s">
        <v>378</v>
      </c>
    </row>
    <row r="2975" spans="1:5" x14ac:dyDescent="0.25">
      <c r="A2975" s="279">
        <v>39071</v>
      </c>
      <c r="B2975" t="s">
        <v>338</v>
      </c>
      <c r="C2975" t="s">
        <v>62</v>
      </c>
      <c r="D2975">
        <v>26652</v>
      </c>
      <c r="E2975" t="s">
        <v>380</v>
      </c>
    </row>
    <row r="2976" spans="1:5" x14ac:dyDescent="0.25">
      <c r="A2976" s="279">
        <v>39071</v>
      </c>
      <c r="B2976" t="s">
        <v>338</v>
      </c>
      <c r="C2976" t="s">
        <v>63</v>
      </c>
      <c r="D2976">
        <v>0</v>
      </c>
      <c r="E2976" t="s">
        <v>378</v>
      </c>
    </row>
    <row r="2977" spans="1:5" x14ac:dyDescent="0.25">
      <c r="A2977" s="279">
        <v>39071</v>
      </c>
      <c r="B2977" t="s">
        <v>338</v>
      </c>
      <c r="C2977" t="s">
        <v>64</v>
      </c>
      <c r="D2977">
        <v>32208</v>
      </c>
      <c r="E2977" t="s">
        <v>380</v>
      </c>
    </row>
    <row r="2978" spans="1:5" x14ac:dyDescent="0.25">
      <c r="A2978" s="279">
        <v>39071</v>
      </c>
      <c r="B2978" t="s">
        <v>338</v>
      </c>
      <c r="C2978" t="s">
        <v>65</v>
      </c>
      <c r="D2978">
        <v>0</v>
      </c>
      <c r="E2978" t="s">
        <v>378</v>
      </c>
    </row>
    <row r="2979" spans="1:5" x14ac:dyDescent="0.25">
      <c r="A2979" s="279">
        <v>39071</v>
      </c>
      <c r="B2979" t="s">
        <v>338</v>
      </c>
      <c r="C2979" t="s">
        <v>66</v>
      </c>
      <c r="D2979">
        <v>0</v>
      </c>
      <c r="E2979" t="s">
        <v>380</v>
      </c>
    </row>
    <row r="2980" spans="1:5" x14ac:dyDescent="0.25">
      <c r="A2980" s="279">
        <v>39071</v>
      </c>
      <c r="B2980" t="s">
        <v>338</v>
      </c>
      <c r="C2980" t="s">
        <v>120</v>
      </c>
      <c r="D2980">
        <v>0</v>
      </c>
      <c r="E2980" t="s">
        <v>378</v>
      </c>
    </row>
    <row r="2981" spans="1:5" x14ac:dyDescent="0.25">
      <c r="A2981" s="279">
        <v>39071</v>
      </c>
      <c r="B2981" t="s">
        <v>338</v>
      </c>
      <c r="C2981" t="s">
        <v>121</v>
      </c>
      <c r="D2981">
        <v>17596</v>
      </c>
      <c r="E2981" t="s">
        <v>380</v>
      </c>
    </row>
    <row r="2982" spans="1:5" x14ac:dyDescent="0.25">
      <c r="A2982" s="279">
        <v>39071</v>
      </c>
      <c r="B2982" t="s">
        <v>338</v>
      </c>
      <c r="C2982" t="s">
        <v>67</v>
      </c>
      <c r="D2982">
        <v>0</v>
      </c>
      <c r="E2982" t="s">
        <v>378</v>
      </c>
    </row>
    <row r="2983" spans="1:5" x14ac:dyDescent="0.25">
      <c r="A2983" s="279">
        <v>39071</v>
      </c>
      <c r="B2983" t="s">
        <v>338</v>
      </c>
      <c r="C2983" t="s">
        <v>68</v>
      </c>
      <c r="D2983">
        <v>0</v>
      </c>
      <c r="E2983" t="s">
        <v>380</v>
      </c>
    </row>
    <row r="2984" spans="1:5" x14ac:dyDescent="0.25">
      <c r="A2984" s="279">
        <v>39071</v>
      </c>
      <c r="B2984" t="s">
        <v>338</v>
      </c>
      <c r="C2984" t="s">
        <v>69</v>
      </c>
      <c r="D2984">
        <v>34615</v>
      </c>
      <c r="E2984" t="s">
        <v>379</v>
      </c>
    </row>
    <row r="2985" spans="1:5" x14ac:dyDescent="0.25">
      <c r="A2985" s="279">
        <v>39071</v>
      </c>
      <c r="B2985" t="s">
        <v>338</v>
      </c>
      <c r="C2985" t="s">
        <v>70</v>
      </c>
      <c r="D2985">
        <v>0</v>
      </c>
      <c r="E2985" t="s">
        <v>379</v>
      </c>
    </row>
    <row r="2986" spans="1:5" x14ac:dyDescent="0.25">
      <c r="A2986" s="279">
        <v>39071</v>
      </c>
      <c r="B2986" t="s">
        <v>338</v>
      </c>
      <c r="C2986" t="s">
        <v>80</v>
      </c>
      <c r="D2986">
        <v>0</v>
      </c>
      <c r="E2986" t="s">
        <v>379</v>
      </c>
    </row>
    <row r="2987" spans="1:5" x14ac:dyDescent="0.25">
      <c r="A2987" s="279">
        <v>39071</v>
      </c>
      <c r="B2987" t="s">
        <v>339</v>
      </c>
      <c r="C2987" t="s">
        <v>71</v>
      </c>
      <c r="D2987">
        <v>0</v>
      </c>
      <c r="E2987" t="s">
        <v>378</v>
      </c>
    </row>
    <row r="2988" spans="1:5" x14ac:dyDescent="0.25">
      <c r="A2988" s="279">
        <v>39071</v>
      </c>
      <c r="B2988" t="s">
        <v>339</v>
      </c>
      <c r="C2988" t="s">
        <v>72</v>
      </c>
      <c r="D2988">
        <v>4845</v>
      </c>
      <c r="E2988" t="s">
        <v>380</v>
      </c>
    </row>
    <row r="2989" spans="1:5" x14ac:dyDescent="0.25">
      <c r="A2989" s="279">
        <v>39071</v>
      </c>
      <c r="B2989" t="s">
        <v>339</v>
      </c>
      <c r="C2989" t="s">
        <v>73</v>
      </c>
      <c r="D2989">
        <v>0</v>
      </c>
      <c r="E2989" t="s">
        <v>378</v>
      </c>
    </row>
    <row r="2990" spans="1:5" x14ac:dyDescent="0.25">
      <c r="A2990" s="279">
        <v>39071</v>
      </c>
      <c r="B2990" t="s">
        <v>339</v>
      </c>
      <c r="C2990" t="s">
        <v>74</v>
      </c>
      <c r="D2990">
        <v>17618</v>
      </c>
      <c r="E2990" t="s">
        <v>380</v>
      </c>
    </row>
    <row r="2991" spans="1:5" x14ac:dyDescent="0.25">
      <c r="A2991" s="279">
        <v>39071</v>
      </c>
      <c r="B2991" t="s">
        <v>339</v>
      </c>
      <c r="C2991" t="s">
        <v>75</v>
      </c>
      <c r="D2991">
        <v>15094</v>
      </c>
      <c r="E2991" t="s">
        <v>378</v>
      </c>
    </row>
    <row r="2992" spans="1:5" x14ac:dyDescent="0.25">
      <c r="A2992" s="279">
        <v>39071</v>
      </c>
      <c r="B2992" t="s">
        <v>339</v>
      </c>
      <c r="C2992" t="s">
        <v>76</v>
      </c>
      <c r="D2992">
        <v>14550</v>
      </c>
      <c r="E2992" t="s">
        <v>380</v>
      </c>
    </row>
    <row r="2993" spans="1:5" x14ac:dyDescent="0.25">
      <c r="A2993" s="279">
        <v>39071</v>
      </c>
      <c r="B2993" t="s">
        <v>339</v>
      </c>
      <c r="C2993" t="s">
        <v>77</v>
      </c>
      <c r="D2993">
        <v>7310</v>
      </c>
      <c r="E2993" t="s">
        <v>378</v>
      </c>
    </row>
    <row r="2994" spans="1:5" x14ac:dyDescent="0.25">
      <c r="A2994" s="279">
        <v>39071</v>
      </c>
      <c r="B2994" t="s">
        <v>339</v>
      </c>
      <c r="C2994" t="s">
        <v>78</v>
      </c>
      <c r="D2994">
        <v>7042</v>
      </c>
      <c r="E2994" t="s">
        <v>380</v>
      </c>
    </row>
    <row r="2995" spans="1:5" x14ac:dyDescent="0.25">
      <c r="A2995" s="279">
        <v>39071</v>
      </c>
      <c r="B2995" t="s">
        <v>339</v>
      </c>
      <c r="C2995" t="s">
        <v>79</v>
      </c>
      <c r="D2995">
        <v>75091</v>
      </c>
      <c r="E2995" t="s">
        <v>379</v>
      </c>
    </row>
    <row r="2996" spans="1:5" x14ac:dyDescent="0.25">
      <c r="A2996" s="279">
        <v>39071</v>
      </c>
      <c r="B2996" t="s">
        <v>339</v>
      </c>
      <c r="C2996" t="s">
        <v>70</v>
      </c>
      <c r="D2996">
        <v>0</v>
      </c>
      <c r="E2996" t="s">
        <v>379</v>
      </c>
    </row>
    <row r="2997" spans="1:5" x14ac:dyDescent="0.25">
      <c r="A2997" s="279">
        <v>39071</v>
      </c>
      <c r="B2997" t="s">
        <v>339</v>
      </c>
      <c r="C2997" t="s">
        <v>63</v>
      </c>
      <c r="D2997">
        <v>0</v>
      </c>
      <c r="E2997" t="s">
        <v>378</v>
      </c>
    </row>
    <row r="2998" spans="1:5" x14ac:dyDescent="0.25">
      <c r="A2998" s="279">
        <v>39071</v>
      </c>
      <c r="B2998" t="s">
        <v>339</v>
      </c>
      <c r="C2998" t="s">
        <v>80</v>
      </c>
      <c r="D2998">
        <v>134</v>
      </c>
      <c r="E2998" t="s">
        <v>379</v>
      </c>
    </row>
    <row r="2999" spans="1:5" x14ac:dyDescent="0.25">
      <c r="A2999" s="279">
        <v>39072</v>
      </c>
      <c r="B2999" t="s">
        <v>338</v>
      </c>
      <c r="C2999" t="s">
        <v>59</v>
      </c>
      <c r="D2999">
        <v>0</v>
      </c>
      <c r="E2999" t="s">
        <v>378</v>
      </c>
    </row>
    <row r="3000" spans="1:5" x14ac:dyDescent="0.25">
      <c r="A3000" s="279">
        <v>39072</v>
      </c>
      <c r="B3000" t="s">
        <v>338</v>
      </c>
      <c r="C3000" t="s">
        <v>60</v>
      </c>
      <c r="D3000">
        <v>4815</v>
      </c>
      <c r="E3000" t="s">
        <v>379</v>
      </c>
    </row>
    <row r="3001" spans="1:5" x14ac:dyDescent="0.25">
      <c r="A3001" s="279">
        <v>39072</v>
      </c>
      <c r="B3001" t="s">
        <v>338</v>
      </c>
      <c r="C3001" t="s">
        <v>61</v>
      </c>
      <c r="D3001">
        <v>0</v>
      </c>
      <c r="E3001" t="s">
        <v>378</v>
      </c>
    </row>
    <row r="3002" spans="1:5" x14ac:dyDescent="0.25">
      <c r="A3002" s="279">
        <v>39072</v>
      </c>
      <c r="B3002" t="s">
        <v>338</v>
      </c>
      <c r="C3002" t="s">
        <v>62</v>
      </c>
      <c r="D3002">
        <v>22287</v>
      </c>
      <c r="E3002" t="s">
        <v>380</v>
      </c>
    </row>
    <row r="3003" spans="1:5" x14ac:dyDescent="0.25">
      <c r="A3003" s="279">
        <v>39072</v>
      </c>
      <c r="B3003" t="s">
        <v>338</v>
      </c>
      <c r="C3003" t="s">
        <v>63</v>
      </c>
      <c r="D3003">
        <v>0</v>
      </c>
      <c r="E3003" t="s">
        <v>378</v>
      </c>
    </row>
    <row r="3004" spans="1:5" x14ac:dyDescent="0.25">
      <c r="A3004" s="279">
        <v>39072</v>
      </c>
      <c r="B3004" t="s">
        <v>338</v>
      </c>
      <c r="C3004" t="s">
        <v>64</v>
      </c>
      <c r="D3004">
        <v>24767</v>
      </c>
      <c r="E3004" t="s">
        <v>380</v>
      </c>
    </row>
    <row r="3005" spans="1:5" x14ac:dyDescent="0.25">
      <c r="A3005" s="279">
        <v>39072</v>
      </c>
      <c r="B3005" t="s">
        <v>338</v>
      </c>
      <c r="C3005" t="s">
        <v>65</v>
      </c>
      <c r="D3005">
        <v>0</v>
      </c>
      <c r="E3005" t="s">
        <v>378</v>
      </c>
    </row>
    <row r="3006" spans="1:5" x14ac:dyDescent="0.25">
      <c r="A3006" s="279">
        <v>39072</v>
      </c>
      <c r="B3006" t="s">
        <v>338</v>
      </c>
      <c r="C3006" t="s">
        <v>66</v>
      </c>
      <c r="D3006">
        <v>0</v>
      </c>
      <c r="E3006" t="s">
        <v>380</v>
      </c>
    </row>
    <row r="3007" spans="1:5" x14ac:dyDescent="0.25">
      <c r="A3007" s="279">
        <v>39072</v>
      </c>
      <c r="B3007" t="s">
        <v>338</v>
      </c>
      <c r="C3007" t="s">
        <v>120</v>
      </c>
      <c r="D3007">
        <v>0</v>
      </c>
      <c r="E3007" t="s">
        <v>378</v>
      </c>
    </row>
    <row r="3008" spans="1:5" x14ac:dyDescent="0.25">
      <c r="A3008" s="279">
        <v>39072</v>
      </c>
      <c r="B3008" t="s">
        <v>338</v>
      </c>
      <c r="C3008" t="s">
        <v>121</v>
      </c>
      <c r="D3008">
        <v>18497</v>
      </c>
      <c r="E3008" t="s">
        <v>380</v>
      </c>
    </row>
    <row r="3009" spans="1:5" x14ac:dyDescent="0.25">
      <c r="A3009" s="279">
        <v>39072</v>
      </c>
      <c r="B3009" t="s">
        <v>338</v>
      </c>
      <c r="C3009" t="s">
        <v>67</v>
      </c>
      <c r="D3009">
        <v>0</v>
      </c>
      <c r="E3009" t="s">
        <v>378</v>
      </c>
    </row>
    <row r="3010" spans="1:5" x14ac:dyDescent="0.25">
      <c r="A3010" s="279">
        <v>39072</v>
      </c>
      <c r="B3010" t="s">
        <v>338</v>
      </c>
      <c r="C3010" t="s">
        <v>68</v>
      </c>
      <c r="D3010">
        <v>0</v>
      </c>
      <c r="E3010" t="s">
        <v>380</v>
      </c>
    </row>
    <row r="3011" spans="1:5" x14ac:dyDescent="0.25">
      <c r="A3011" s="279">
        <v>39072</v>
      </c>
      <c r="B3011" t="s">
        <v>338</v>
      </c>
      <c r="C3011" t="s">
        <v>69</v>
      </c>
      <c r="D3011">
        <v>34682</v>
      </c>
      <c r="E3011" t="s">
        <v>379</v>
      </c>
    </row>
    <row r="3012" spans="1:5" x14ac:dyDescent="0.25">
      <c r="A3012" s="279">
        <v>39072</v>
      </c>
      <c r="B3012" t="s">
        <v>338</v>
      </c>
      <c r="C3012" t="s">
        <v>70</v>
      </c>
      <c r="D3012">
        <v>0</v>
      </c>
      <c r="E3012" t="s">
        <v>379</v>
      </c>
    </row>
    <row r="3013" spans="1:5" x14ac:dyDescent="0.25">
      <c r="A3013" s="279">
        <v>39072</v>
      </c>
      <c r="B3013" t="s">
        <v>338</v>
      </c>
      <c r="C3013" t="s">
        <v>80</v>
      </c>
      <c r="D3013">
        <v>0</v>
      </c>
      <c r="E3013" t="s">
        <v>379</v>
      </c>
    </row>
    <row r="3014" spans="1:5" x14ac:dyDescent="0.25">
      <c r="A3014" s="279">
        <v>39072</v>
      </c>
      <c r="B3014" t="s">
        <v>339</v>
      </c>
      <c r="C3014" t="s">
        <v>71</v>
      </c>
      <c r="D3014">
        <v>0</v>
      </c>
      <c r="E3014" t="s">
        <v>378</v>
      </c>
    </row>
    <row r="3015" spans="1:5" x14ac:dyDescent="0.25">
      <c r="A3015" s="279">
        <v>39072</v>
      </c>
      <c r="B3015" t="s">
        <v>339</v>
      </c>
      <c r="C3015" t="s">
        <v>72</v>
      </c>
      <c r="D3015">
        <v>0</v>
      </c>
      <c r="E3015" t="s">
        <v>380</v>
      </c>
    </row>
    <row r="3016" spans="1:5" x14ac:dyDescent="0.25">
      <c r="A3016" s="279">
        <v>39072</v>
      </c>
      <c r="B3016" t="s">
        <v>339</v>
      </c>
      <c r="C3016" t="s">
        <v>73</v>
      </c>
      <c r="D3016">
        <v>0</v>
      </c>
      <c r="E3016" t="s">
        <v>378</v>
      </c>
    </row>
    <row r="3017" spans="1:5" x14ac:dyDescent="0.25">
      <c r="A3017" s="279">
        <v>39072</v>
      </c>
      <c r="B3017" t="s">
        <v>339</v>
      </c>
      <c r="C3017" t="s">
        <v>74</v>
      </c>
      <c r="D3017">
        <v>0</v>
      </c>
      <c r="E3017" t="s">
        <v>380</v>
      </c>
    </row>
    <row r="3018" spans="1:5" x14ac:dyDescent="0.25">
      <c r="A3018" s="279">
        <v>39072</v>
      </c>
      <c r="B3018" t="s">
        <v>339</v>
      </c>
      <c r="C3018" t="s">
        <v>75</v>
      </c>
      <c r="D3018">
        <v>15094</v>
      </c>
      <c r="E3018" t="s">
        <v>378</v>
      </c>
    </row>
    <row r="3019" spans="1:5" x14ac:dyDescent="0.25">
      <c r="A3019" s="279">
        <v>39072</v>
      </c>
      <c r="B3019" t="s">
        <v>339</v>
      </c>
      <c r="C3019" t="s">
        <v>76</v>
      </c>
      <c r="D3019">
        <v>13972</v>
      </c>
      <c r="E3019" t="s">
        <v>380</v>
      </c>
    </row>
    <row r="3020" spans="1:5" x14ac:dyDescent="0.25">
      <c r="A3020" s="279">
        <v>39072</v>
      </c>
      <c r="B3020" t="s">
        <v>339</v>
      </c>
      <c r="C3020" t="s">
        <v>77</v>
      </c>
      <c r="D3020">
        <v>7310</v>
      </c>
      <c r="E3020" t="s">
        <v>378</v>
      </c>
    </row>
    <row r="3021" spans="1:5" x14ac:dyDescent="0.25">
      <c r="A3021" s="279">
        <v>39072</v>
      </c>
      <c r="B3021" t="s">
        <v>339</v>
      </c>
      <c r="C3021" t="s">
        <v>78</v>
      </c>
      <c r="D3021">
        <v>7042</v>
      </c>
      <c r="E3021" t="s">
        <v>380</v>
      </c>
    </row>
    <row r="3022" spans="1:5" x14ac:dyDescent="0.25">
      <c r="A3022" s="279">
        <v>39072</v>
      </c>
      <c r="B3022" t="s">
        <v>339</v>
      </c>
      <c r="C3022" t="s">
        <v>79</v>
      </c>
      <c r="D3022">
        <v>75091</v>
      </c>
      <c r="E3022" t="s">
        <v>379</v>
      </c>
    </row>
    <row r="3023" spans="1:5" x14ac:dyDescent="0.25">
      <c r="A3023" s="279">
        <v>39072</v>
      </c>
      <c r="B3023" t="s">
        <v>339</v>
      </c>
      <c r="C3023" t="s">
        <v>70</v>
      </c>
      <c r="D3023">
        <v>0</v>
      </c>
      <c r="E3023" t="s">
        <v>379</v>
      </c>
    </row>
    <row r="3024" spans="1:5" x14ac:dyDescent="0.25">
      <c r="A3024" s="279">
        <v>39072</v>
      </c>
      <c r="B3024" t="s">
        <v>339</v>
      </c>
      <c r="C3024" t="s">
        <v>63</v>
      </c>
      <c r="D3024">
        <v>0</v>
      </c>
      <c r="E3024" t="s">
        <v>378</v>
      </c>
    </row>
    <row r="3025" spans="1:5" x14ac:dyDescent="0.25">
      <c r="A3025" s="279">
        <v>39072</v>
      </c>
      <c r="B3025" t="s">
        <v>339</v>
      </c>
      <c r="C3025" t="s">
        <v>80</v>
      </c>
      <c r="D3025">
        <v>134</v>
      </c>
      <c r="E3025" t="s">
        <v>379</v>
      </c>
    </row>
    <row r="3026" spans="1:5" x14ac:dyDescent="0.25">
      <c r="A3026" s="279">
        <v>39073</v>
      </c>
      <c r="B3026" t="s">
        <v>338</v>
      </c>
      <c r="C3026" t="s">
        <v>59</v>
      </c>
      <c r="D3026">
        <v>0</v>
      </c>
      <c r="E3026" t="s">
        <v>378</v>
      </c>
    </row>
    <row r="3027" spans="1:5" x14ac:dyDescent="0.25">
      <c r="A3027" s="279">
        <v>39073</v>
      </c>
      <c r="B3027" t="s">
        <v>338</v>
      </c>
      <c r="C3027" t="s">
        <v>60</v>
      </c>
      <c r="D3027">
        <v>4820</v>
      </c>
      <c r="E3027" t="s">
        <v>379</v>
      </c>
    </row>
    <row r="3028" spans="1:5" x14ac:dyDescent="0.25">
      <c r="A3028" s="279">
        <v>39073</v>
      </c>
      <c r="B3028" t="s">
        <v>338</v>
      </c>
      <c r="C3028" t="s">
        <v>61</v>
      </c>
      <c r="D3028">
        <v>0</v>
      </c>
      <c r="E3028" t="s">
        <v>378</v>
      </c>
    </row>
    <row r="3029" spans="1:5" x14ac:dyDescent="0.25">
      <c r="A3029" s="279">
        <v>39073</v>
      </c>
      <c r="B3029" t="s">
        <v>338</v>
      </c>
      <c r="C3029" t="s">
        <v>62</v>
      </c>
      <c r="D3029">
        <v>647</v>
      </c>
      <c r="E3029" t="s">
        <v>380</v>
      </c>
    </row>
    <row r="3030" spans="1:5" x14ac:dyDescent="0.25">
      <c r="A3030" s="279">
        <v>39073</v>
      </c>
      <c r="B3030" t="s">
        <v>338</v>
      </c>
      <c r="C3030" t="s">
        <v>63</v>
      </c>
      <c r="D3030">
        <v>0</v>
      </c>
      <c r="E3030" t="s">
        <v>378</v>
      </c>
    </row>
    <row r="3031" spans="1:5" x14ac:dyDescent="0.25">
      <c r="A3031" s="279">
        <v>39073</v>
      </c>
      <c r="B3031" t="s">
        <v>338</v>
      </c>
      <c r="C3031" t="s">
        <v>64</v>
      </c>
      <c r="D3031">
        <v>0</v>
      </c>
      <c r="E3031" t="s">
        <v>380</v>
      </c>
    </row>
    <row r="3032" spans="1:5" x14ac:dyDescent="0.25">
      <c r="A3032" s="279">
        <v>39073</v>
      </c>
      <c r="B3032" t="s">
        <v>338</v>
      </c>
      <c r="C3032" t="s">
        <v>65</v>
      </c>
      <c r="D3032">
        <v>0</v>
      </c>
      <c r="E3032" t="s">
        <v>378</v>
      </c>
    </row>
    <row r="3033" spans="1:5" x14ac:dyDescent="0.25">
      <c r="A3033" s="279">
        <v>39073</v>
      </c>
      <c r="B3033" t="s">
        <v>338</v>
      </c>
      <c r="C3033" t="s">
        <v>66</v>
      </c>
      <c r="D3033">
        <v>0</v>
      </c>
      <c r="E3033" t="s">
        <v>380</v>
      </c>
    </row>
    <row r="3034" spans="1:5" x14ac:dyDescent="0.25">
      <c r="A3034" s="279">
        <v>39073</v>
      </c>
      <c r="B3034" t="s">
        <v>338</v>
      </c>
      <c r="C3034" t="s">
        <v>120</v>
      </c>
      <c r="D3034">
        <v>0</v>
      </c>
      <c r="E3034" t="s">
        <v>378</v>
      </c>
    </row>
    <row r="3035" spans="1:5" x14ac:dyDescent="0.25">
      <c r="A3035" s="279">
        <v>39073</v>
      </c>
      <c r="B3035" t="s">
        <v>338</v>
      </c>
      <c r="C3035" t="s">
        <v>121</v>
      </c>
      <c r="D3035">
        <v>18515</v>
      </c>
      <c r="E3035" t="s">
        <v>380</v>
      </c>
    </row>
    <row r="3036" spans="1:5" x14ac:dyDescent="0.25">
      <c r="A3036" s="279">
        <v>39073</v>
      </c>
      <c r="B3036" t="s">
        <v>338</v>
      </c>
      <c r="C3036" t="s">
        <v>67</v>
      </c>
      <c r="D3036">
        <v>0</v>
      </c>
      <c r="E3036" t="s">
        <v>378</v>
      </c>
    </row>
    <row r="3037" spans="1:5" x14ac:dyDescent="0.25">
      <c r="A3037" s="279">
        <v>39073</v>
      </c>
      <c r="B3037" t="s">
        <v>338</v>
      </c>
      <c r="C3037" t="s">
        <v>68</v>
      </c>
      <c r="D3037">
        <v>0</v>
      </c>
      <c r="E3037" t="s">
        <v>380</v>
      </c>
    </row>
    <row r="3038" spans="1:5" x14ac:dyDescent="0.25">
      <c r="A3038" s="279">
        <v>39073</v>
      </c>
      <c r="B3038" t="s">
        <v>338</v>
      </c>
      <c r="C3038" t="s">
        <v>69</v>
      </c>
      <c r="D3038">
        <v>34716</v>
      </c>
      <c r="E3038" t="s">
        <v>379</v>
      </c>
    </row>
    <row r="3039" spans="1:5" x14ac:dyDescent="0.25">
      <c r="A3039" s="279">
        <v>39073</v>
      </c>
      <c r="B3039" t="s">
        <v>338</v>
      </c>
      <c r="C3039" t="s">
        <v>70</v>
      </c>
      <c r="D3039">
        <v>0</v>
      </c>
      <c r="E3039" t="s">
        <v>379</v>
      </c>
    </row>
    <row r="3040" spans="1:5" x14ac:dyDescent="0.25">
      <c r="A3040" s="279">
        <v>39073</v>
      </c>
      <c r="B3040" t="s">
        <v>338</v>
      </c>
      <c r="C3040" t="s">
        <v>80</v>
      </c>
      <c r="D3040">
        <v>0</v>
      </c>
      <c r="E3040" t="s">
        <v>379</v>
      </c>
    </row>
    <row r="3041" spans="1:5" x14ac:dyDescent="0.25">
      <c r="A3041" s="279">
        <v>39073</v>
      </c>
      <c r="B3041" t="s">
        <v>339</v>
      </c>
      <c r="C3041" t="s">
        <v>71</v>
      </c>
      <c r="D3041">
        <v>0</v>
      </c>
      <c r="E3041" t="s">
        <v>378</v>
      </c>
    </row>
    <row r="3042" spans="1:5" x14ac:dyDescent="0.25">
      <c r="A3042" s="279">
        <v>39073</v>
      </c>
      <c r="B3042" t="s">
        <v>339</v>
      </c>
      <c r="C3042" t="s">
        <v>72</v>
      </c>
      <c r="D3042">
        <v>0</v>
      </c>
      <c r="E3042" t="s">
        <v>380</v>
      </c>
    </row>
    <row r="3043" spans="1:5" x14ac:dyDescent="0.25">
      <c r="A3043" s="279">
        <v>39073</v>
      </c>
      <c r="B3043" t="s">
        <v>339</v>
      </c>
      <c r="C3043" t="s">
        <v>73</v>
      </c>
      <c r="D3043">
        <v>0</v>
      </c>
      <c r="E3043" t="s">
        <v>378</v>
      </c>
    </row>
    <row r="3044" spans="1:5" x14ac:dyDescent="0.25">
      <c r="A3044" s="279">
        <v>39073</v>
      </c>
      <c r="B3044" t="s">
        <v>339</v>
      </c>
      <c r="C3044" t="s">
        <v>74</v>
      </c>
      <c r="D3044">
        <v>0</v>
      </c>
      <c r="E3044" t="s">
        <v>380</v>
      </c>
    </row>
    <row r="3045" spans="1:5" x14ac:dyDescent="0.25">
      <c r="A3045" s="279">
        <v>39073</v>
      </c>
      <c r="B3045" t="s">
        <v>339</v>
      </c>
      <c r="C3045" t="s">
        <v>75</v>
      </c>
      <c r="D3045">
        <v>15094</v>
      </c>
      <c r="E3045" t="s">
        <v>378</v>
      </c>
    </row>
    <row r="3046" spans="1:5" x14ac:dyDescent="0.25">
      <c r="A3046" s="279">
        <v>39073</v>
      </c>
      <c r="B3046" t="s">
        <v>339</v>
      </c>
      <c r="C3046" t="s">
        <v>76</v>
      </c>
      <c r="D3046">
        <v>10821</v>
      </c>
      <c r="E3046" t="s">
        <v>380</v>
      </c>
    </row>
    <row r="3047" spans="1:5" x14ac:dyDescent="0.25">
      <c r="A3047" s="279">
        <v>39073</v>
      </c>
      <c r="B3047" t="s">
        <v>339</v>
      </c>
      <c r="C3047" t="s">
        <v>77</v>
      </c>
      <c r="D3047">
        <v>7310</v>
      </c>
      <c r="E3047" t="s">
        <v>378</v>
      </c>
    </row>
    <row r="3048" spans="1:5" x14ac:dyDescent="0.25">
      <c r="A3048" s="279">
        <v>39073</v>
      </c>
      <c r="B3048" t="s">
        <v>339</v>
      </c>
      <c r="C3048" t="s">
        <v>78</v>
      </c>
      <c r="D3048">
        <v>7042</v>
      </c>
      <c r="E3048" t="s">
        <v>380</v>
      </c>
    </row>
    <row r="3049" spans="1:5" x14ac:dyDescent="0.25">
      <c r="A3049" s="279">
        <v>39073</v>
      </c>
      <c r="B3049" t="s">
        <v>339</v>
      </c>
      <c r="C3049" t="s">
        <v>79</v>
      </c>
      <c r="D3049">
        <v>75091</v>
      </c>
      <c r="E3049" t="s">
        <v>379</v>
      </c>
    </row>
    <row r="3050" spans="1:5" x14ac:dyDescent="0.25">
      <c r="A3050" s="279">
        <v>39073</v>
      </c>
      <c r="B3050" t="s">
        <v>339</v>
      </c>
      <c r="C3050" t="s">
        <v>70</v>
      </c>
      <c r="D3050">
        <v>0</v>
      </c>
      <c r="E3050" t="s">
        <v>379</v>
      </c>
    </row>
    <row r="3051" spans="1:5" x14ac:dyDescent="0.25">
      <c r="A3051" s="279">
        <v>39073</v>
      </c>
      <c r="B3051" t="s">
        <v>339</v>
      </c>
      <c r="C3051" t="s">
        <v>63</v>
      </c>
      <c r="D3051">
        <v>0</v>
      </c>
      <c r="E3051" t="s">
        <v>378</v>
      </c>
    </row>
    <row r="3052" spans="1:5" x14ac:dyDescent="0.25">
      <c r="A3052" s="279">
        <v>39073</v>
      </c>
      <c r="B3052" t="s">
        <v>339</v>
      </c>
      <c r="C3052" t="s">
        <v>80</v>
      </c>
      <c r="D3052">
        <v>134</v>
      </c>
      <c r="E3052" t="s">
        <v>379</v>
      </c>
    </row>
    <row r="3053" spans="1:5" x14ac:dyDescent="0.25">
      <c r="A3053" s="279">
        <v>39074</v>
      </c>
      <c r="B3053" t="s">
        <v>338</v>
      </c>
      <c r="C3053" t="s">
        <v>59</v>
      </c>
      <c r="D3053">
        <v>0</v>
      </c>
      <c r="E3053" t="s">
        <v>378</v>
      </c>
    </row>
    <row r="3054" spans="1:5" x14ac:dyDescent="0.25">
      <c r="A3054" s="279">
        <v>39074</v>
      </c>
      <c r="B3054" t="s">
        <v>338</v>
      </c>
      <c r="C3054" t="s">
        <v>60</v>
      </c>
      <c r="D3054">
        <v>4810</v>
      </c>
      <c r="E3054" t="s">
        <v>379</v>
      </c>
    </row>
    <row r="3055" spans="1:5" x14ac:dyDescent="0.25">
      <c r="A3055" s="279">
        <v>39074</v>
      </c>
      <c r="B3055" t="s">
        <v>338</v>
      </c>
      <c r="C3055" t="s">
        <v>61</v>
      </c>
      <c r="D3055">
        <v>0</v>
      </c>
      <c r="E3055" t="s">
        <v>378</v>
      </c>
    </row>
    <row r="3056" spans="1:5" x14ac:dyDescent="0.25">
      <c r="A3056" s="279">
        <v>39074</v>
      </c>
      <c r="B3056" t="s">
        <v>338</v>
      </c>
      <c r="C3056" t="s">
        <v>62</v>
      </c>
      <c r="D3056">
        <v>0</v>
      </c>
      <c r="E3056" t="s">
        <v>380</v>
      </c>
    </row>
    <row r="3057" spans="1:5" x14ac:dyDescent="0.25">
      <c r="A3057" s="279">
        <v>39074</v>
      </c>
      <c r="B3057" t="s">
        <v>338</v>
      </c>
      <c r="C3057" t="s">
        <v>63</v>
      </c>
      <c r="D3057">
        <v>0</v>
      </c>
      <c r="E3057" t="s">
        <v>378</v>
      </c>
    </row>
    <row r="3058" spans="1:5" x14ac:dyDescent="0.25">
      <c r="A3058" s="279">
        <v>39074</v>
      </c>
      <c r="B3058" t="s">
        <v>338</v>
      </c>
      <c r="C3058" t="s">
        <v>64</v>
      </c>
      <c r="D3058">
        <v>0</v>
      </c>
      <c r="E3058" t="s">
        <v>380</v>
      </c>
    </row>
    <row r="3059" spans="1:5" x14ac:dyDescent="0.25">
      <c r="A3059" s="279">
        <v>39074</v>
      </c>
      <c r="B3059" t="s">
        <v>338</v>
      </c>
      <c r="C3059" t="s">
        <v>65</v>
      </c>
      <c r="D3059">
        <v>0</v>
      </c>
      <c r="E3059" t="s">
        <v>378</v>
      </c>
    </row>
    <row r="3060" spans="1:5" x14ac:dyDescent="0.25">
      <c r="A3060" s="279">
        <v>39074</v>
      </c>
      <c r="B3060" t="s">
        <v>338</v>
      </c>
      <c r="C3060" t="s">
        <v>66</v>
      </c>
      <c r="D3060">
        <v>0</v>
      </c>
      <c r="E3060" t="s">
        <v>380</v>
      </c>
    </row>
    <row r="3061" spans="1:5" x14ac:dyDescent="0.25">
      <c r="A3061" s="279">
        <v>39074</v>
      </c>
      <c r="B3061" t="s">
        <v>338</v>
      </c>
      <c r="C3061" t="s">
        <v>120</v>
      </c>
      <c r="D3061">
        <v>0</v>
      </c>
      <c r="E3061" t="s">
        <v>378</v>
      </c>
    </row>
    <row r="3062" spans="1:5" x14ac:dyDescent="0.25">
      <c r="A3062" s="279">
        <v>39074</v>
      </c>
      <c r="B3062" t="s">
        <v>338</v>
      </c>
      <c r="C3062" t="s">
        <v>121</v>
      </c>
      <c r="D3062">
        <v>2628</v>
      </c>
      <c r="E3062" t="s">
        <v>380</v>
      </c>
    </row>
    <row r="3063" spans="1:5" x14ac:dyDescent="0.25">
      <c r="A3063" s="279">
        <v>39074</v>
      </c>
      <c r="B3063" t="s">
        <v>338</v>
      </c>
      <c r="C3063" t="s">
        <v>67</v>
      </c>
      <c r="D3063">
        <v>0</v>
      </c>
      <c r="E3063" t="s">
        <v>378</v>
      </c>
    </row>
    <row r="3064" spans="1:5" x14ac:dyDescent="0.25">
      <c r="A3064" s="279">
        <v>39074</v>
      </c>
      <c r="B3064" t="s">
        <v>338</v>
      </c>
      <c r="C3064" t="s">
        <v>68</v>
      </c>
      <c r="D3064">
        <v>0</v>
      </c>
      <c r="E3064" t="s">
        <v>380</v>
      </c>
    </row>
    <row r="3065" spans="1:5" x14ac:dyDescent="0.25">
      <c r="A3065" s="279">
        <v>39074</v>
      </c>
      <c r="B3065" t="s">
        <v>338</v>
      </c>
      <c r="C3065" t="s">
        <v>69</v>
      </c>
      <c r="D3065">
        <v>34649</v>
      </c>
      <c r="E3065" t="s">
        <v>379</v>
      </c>
    </row>
    <row r="3066" spans="1:5" x14ac:dyDescent="0.25">
      <c r="A3066" s="279">
        <v>39074</v>
      </c>
      <c r="B3066" t="s">
        <v>338</v>
      </c>
      <c r="C3066" t="s">
        <v>70</v>
      </c>
      <c r="D3066">
        <v>0</v>
      </c>
      <c r="E3066" t="s">
        <v>379</v>
      </c>
    </row>
    <row r="3067" spans="1:5" x14ac:dyDescent="0.25">
      <c r="A3067" s="279">
        <v>39074</v>
      </c>
      <c r="B3067" t="s">
        <v>338</v>
      </c>
      <c r="C3067" t="s">
        <v>80</v>
      </c>
      <c r="D3067">
        <v>0</v>
      </c>
      <c r="E3067" t="s">
        <v>379</v>
      </c>
    </row>
    <row r="3068" spans="1:5" x14ac:dyDescent="0.25">
      <c r="A3068" s="279">
        <v>39074</v>
      </c>
      <c r="B3068" t="s">
        <v>339</v>
      </c>
      <c r="C3068" t="s">
        <v>71</v>
      </c>
      <c r="D3068">
        <v>0</v>
      </c>
      <c r="E3068" t="s">
        <v>378</v>
      </c>
    </row>
    <row r="3069" spans="1:5" x14ac:dyDescent="0.25">
      <c r="A3069" s="279">
        <v>39074</v>
      </c>
      <c r="B3069" t="s">
        <v>339</v>
      </c>
      <c r="C3069" t="s">
        <v>72</v>
      </c>
      <c r="D3069">
        <v>0</v>
      </c>
      <c r="E3069" t="s">
        <v>380</v>
      </c>
    </row>
    <row r="3070" spans="1:5" x14ac:dyDescent="0.25">
      <c r="A3070" s="279">
        <v>39074</v>
      </c>
      <c r="B3070" t="s">
        <v>339</v>
      </c>
      <c r="C3070" t="s">
        <v>73</v>
      </c>
      <c r="D3070">
        <v>0</v>
      </c>
      <c r="E3070" t="s">
        <v>378</v>
      </c>
    </row>
    <row r="3071" spans="1:5" x14ac:dyDescent="0.25">
      <c r="A3071" s="279">
        <v>39074</v>
      </c>
      <c r="B3071" t="s">
        <v>339</v>
      </c>
      <c r="C3071" t="s">
        <v>74</v>
      </c>
      <c r="D3071">
        <v>0</v>
      </c>
      <c r="E3071" t="s">
        <v>380</v>
      </c>
    </row>
    <row r="3072" spans="1:5" x14ac:dyDescent="0.25">
      <c r="A3072" s="279">
        <v>39074</v>
      </c>
      <c r="B3072" t="s">
        <v>339</v>
      </c>
      <c r="C3072" t="s">
        <v>75</v>
      </c>
      <c r="D3072">
        <v>15094</v>
      </c>
      <c r="E3072" t="s">
        <v>378</v>
      </c>
    </row>
    <row r="3073" spans="1:5" x14ac:dyDescent="0.25">
      <c r="A3073" s="279">
        <v>39074</v>
      </c>
      <c r="B3073" t="s">
        <v>339</v>
      </c>
      <c r="C3073" t="s">
        <v>76</v>
      </c>
      <c r="D3073">
        <v>12124</v>
      </c>
      <c r="E3073" t="s">
        <v>380</v>
      </c>
    </row>
    <row r="3074" spans="1:5" x14ac:dyDescent="0.25">
      <c r="A3074" s="279">
        <v>39074</v>
      </c>
      <c r="B3074" t="s">
        <v>339</v>
      </c>
      <c r="C3074" t="s">
        <v>77</v>
      </c>
      <c r="D3074">
        <v>7310</v>
      </c>
      <c r="E3074" t="s">
        <v>378</v>
      </c>
    </row>
    <row r="3075" spans="1:5" x14ac:dyDescent="0.25">
      <c r="A3075" s="279">
        <v>39074</v>
      </c>
      <c r="B3075" t="s">
        <v>339</v>
      </c>
      <c r="C3075" t="s">
        <v>78</v>
      </c>
      <c r="D3075">
        <v>7042</v>
      </c>
      <c r="E3075" t="s">
        <v>380</v>
      </c>
    </row>
    <row r="3076" spans="1:5" x14ac:dyDescent="0.25">
      <c r="A3076" s="279">
        <v>39074</v>
      </c>
      <c r="B3076" t="s">
        <v>339</v>
      </c>
      <c r="C3076" t="s">
        <v>79</v>
      </c>
      <c r="D3076">
        <v>75091</v>
      </c>
      <c r="E3076" t="s">
        <v>379</v>
      </c>
    </row>
    <row r="3077" spans="1:5" x14ac:dyDescent="0.25">
      <c r="A3077" s="279">
        <v>39074</v>
      </c>
      <c r="B3077" t="s">
        <v>339</v>
      </c>
      <c r="C3077" t="s">
        <v>70</v>
      </c>
      <c r="D3077">
        <v>0</v>
      </c>
      <c r="E3077" t="s">
        <v>379</v>
      </c>
    </row>
    <row r="3078" spans="1:5" x14ac:dyDescent="0.25">
      <c r="A3078" s="279">
        <v>39074</v>
      </c>
      <c r="B3078" t="s">
        <v>339</v>
      </c>
      <c r="C3078" t="s">
        <v>63</v>
      </c>
      <c r="D3078">
        <v>0</v>
      </c>
      <c r="E3078" t="s">
        <v>378</v>
      </c>
    </row>
    <row r="3079" spans="1:5" x14ac:dyDescent="0.25">
      <c r="A3079" s="279">
        <v>39074</v>
      </c>
      <c r="B3079" t="s">
        <v>339</v>
      </c>
      <c r="C3079" t="s">
        <v>80</v>
      </c>
      <c r="D3079">
        <v>134</v>
      </c>
      <c r="E3079" t="s">
        <v>379</v>
      </c>
    </row>
    <row r="3080" spans="1:5" x14ac:dyDescent="0.25">
      <c r="A3080" s="279">
        <v>39075</v>
      </c>
      <c r="B3080" t="s">
        <v>338</v>
      </c>
      <c r="C3080" t="s">
        <v>59</v>
      </c>
      <c r="D3080">
        <v>0</v>
      </c>
      <c r="E3080" t="s">
        <v>378</v>
      </c>
    </row>
    <row r="3081" spans="1:5" x14ac:dyDescent="0.25">
      <c r="A3081" s="279">
        <v>39075</v>
      </c>
      <c r="B3081" t="s">
        <v>338</v>
      </c>
      <c r="C3081" t="s">
        <v>60</v>
      </c>
      <c r="D3081">
        <v>4797</v>
      </c>
      <c r="E3081" t="s">
        <v>379</v>
      </c>
    </row>
    <row r="3082" spans="1:5" x14ac:dyDescent="0.25">
      <c r="A3082" s="279">
        <v>39075</v>
      </c>
      <c r="B3082" t="s">
        <v>338</v>
      </c>
      <c r="C3082" t="s">
        <v>61</v>
      </c>
      <c r="D3082">
        <v>0</v>
      </c>
      <c r="E3082" t="s">
        <v>378</v>
      </c>
    </row>
    <row r="3083" spans="1:5" x14ac:dyDescent="0.25">
      <c r="A3083" s="279">
        <v>39075</v>
      </c>
      <c r="B3083" t="s">
        <v>338</v>
      </c>
      <c r="C3083" t="s">
        <v>62</v>
      </c>
      <c r="D3083">
        <v>22506</v>
      </c>
      <c r="E3083" t="s">
        <v>380</v>
      </c>
    </row>
    <row r="3084" spans="1:5" x14ac:dyDescent="0.25">
      <c r="A3084" s="279">
        <v>39075</v>
      </c>
      <c r="B3084" t="s">
        <v>338</v>
      </c>
      <c r="C3084" t="s">
        <v>63</v>
      </c>
      <c r="D3084">
        <v>0</v>
      </c>
      <c r="E3084" t="s">
        <v>378</v>
      </c>
    </row>
    <row r="3085" spans="1:5" x14ac:dyDescent="0.25">
      <c r="A3085" s="279">
        <v>39075</v>
      </c>
      <c r="B3085" t="s">
        <v>338</v>
      </c>
      <c r="C3085" t="s">
        <v>64</v>
      </c>
      <c r="D3085">
        <v>0</v>
      </c>
      <c r="E3085" t="s">
        <v>380</v>
      </c>
    </row>
    <row r="3086" spans="1:5" x14ac:dyDescent="0.25">
      <c r="A3086" s="279">
        <v>39075</v>
      </c>
      <c r="B3086" t="s">
        <v>338</v>
      </c>
      <c r="C3086" t="s">
        <v>65</v>
      </c>
      <c r="D3086">
        <v>0</v>
      </c>
      <c r="E3086" t="s">
        <v>378</v>
      </c>
    </row>
    <row r="3087" spans="1:5" x14ac:dyDescent="0.25">
      <c r="A3087" s="279">
        <v>39075</v>
      </c>
      <c r="B3087" t="s">
        <v>338</v>
      </c>
      <c r="C3087" t="s">
        <v>66</v>
      </c>
      <c r="D3087">
        <v>0</v>
      </c>
      <c r="E3087" t="s">
        <v>380</v>
      </c>
    </row>
    <row r="3088" spans="1:5" x14ac:dyDescent="0.25">
      <c r="A3088" s="279">
        <v>39075</v>
      </c>
      <c r="B3088" t="s">
        <v>338</v>
      </c>
      <c r="C3088" t="s">
        <v>120</v>
      </c>
      <c r="D3088">
        <v>0</v>
      </c>
      <c r="E3088" t="s">
        <v>378</v>
      </c>
    </row>
    <row r="3089" spans="1:5" x14ac:dyDescent="0.25">
      <c r="A3089" s="279">
        <v>39075</v>
      </c>
      <c r="B3089" t="s">
        <v>338</v>
      </c>
      <c r="C3089" t="s">
        <v>121</v>
      </c>
      <c r="D3089">
        <v>18426</v>
      </c>
      <c r="E3089" t="s">
        <v>380</v>
      </c>
    </row>
    <row r="3090" spans="1:5" x14ac:dyDescent="0.25">
      <c r="A3090" s="279">
        <v>39075</v>
      </c>
      <c r="B3090" t="s">
        <v>338</v>
      </c>
      <c r="C3090" t="s">
        <v>67</v>
      </c>
      <c r="D3090">
        <v>0</v>
      </c>
      <c r="E3090" t="s">
        <v>378</v>
      </c>
    </row>
    <row r="3091" spans="1:5" x14ac:dyDescent="0.25">
      <c r="A3091" s="279">
        <v>39075</v>
      </c>
      <c r="B3091" t="s">
        <v>338</v>
      </c>
      <c r="C3091" t="s">
        <v>68</v>
      </c>
      <c r="D3091">
        <v>0</v>
      </c>
      <c r="E3091" t="s">
        <v>380</v>
      </c>
    </row>
    <row r="3092" spans="1:5" x14ac:dyDescent="0.25">
      <c r="A3092" s="279">
        <v>39075</v>
      </c>
      <c r="B3092" t="s">
        <v>338</v>
      </c>
      <c r="C3092" t="s">
        <v>69</v>
      </c>
      <c r="D3092">
        <v>34549</v>
      </c>
      <c r="E3092" t="s">
        <v>379</v>
      </c>
    </row>
    <row r="3093" spans="1:5" x14ac:dyDescent="0.25">
      <c r="A3093" s="279">
        <v>39075</v>
      </c>
      <c r="B3093" t="s">
        <v>338</v>
      </c>
      <c r="C3093" t="s">
        <v>70</v>
      </c>
      <c r="D3093">
        <v>0</v>
      </c>
      <c r="E3093" t="s">
        <v>379</v>
      </c>
    </row>
    <row r="3094" spans="1:5" x14ac:dyDescent="0.25">
      <c r="A3094" s="279">
        <v>39075</v>
      </c>
      <c r="B3094" t="s">
        <v>338</v>
      </c>
      <c r="C3094" t="s">
        <v>80</v>
      </c>
      <c r="D3094">
        <v>0</v>
      </c>
      <c r="E3094" t="s">
        <v>379</v>
      </c>
    </row>
    <row r="3095" spans="1:5" x14ac:dyDescent="0.25">
      <c r="A3095" s="279">
        <v>39075</v>
      </c>
      <c r="B3095" t="s">
        <v>339</v>
      </c>
      <c r="C3095" t="s">
        <v>71</v>
      </c>
      <c r="D3095">
        <v>0</v>
      </c>
      <c r="E3095" t="s">
        <v>378</v>
      </c>
    </row>
    <row r="3096" spans="1:5" x14ac:dyDescent="0.25">
      <c r="A3096" s="279">
        <v>39075</v>
      </c>
      <c r="B3096" t="s">
        <v>339</v>
      </c>
      <c r="C3096" t="s">
        <v>72</v>
      </c>
      <c r="D3096">
        <v>0</v>
      </c>
      <c r="E3096" t="s">
        <v>380</v>
      </c>
    </row>
    <row r="3097" spans="1:5" x14ac:dyDescent="0.25">
      <c r="A3097" s="279">
        <v>39075</v>
      </c>
      <c r="B3097" t="s">
        <v>339</v>
      </c>
      <c r="C3097" t="s">
        <v>73</v>
      </c>
      <c r="D3097">
        <v>0</v>
      </c>
      <c r="E3097" t="s">
        <v>378</v>
      </c>
    </row>
    <row r="3098" spans="1:5" x14ac:dyDescent="0.25">
      <c r="A3098" s="279">
        <v>39075</v>
      </c>
      <c r="B3098" t="s">
        <v>339</v>
      </c>
      <c r="C3098" t="s">
        <v>74</v>
      </c>
      <c r="D3098">
        <v>0</v>
      </c>
      <c r="E3098" t="s">
        <v>380</v>
      </c>
    </row>
    <row r="3099" spans="1:5" x14ac:dyDescent="0.25">
      <c r="A3099" s="279">
        <v>39075</v>
      </c>
      <c r="B3099" t="s">
        <v>339</v>
      </c>
      <c r="C3099" t="s">
        <v>75</v>
      </c>
      <c r="D3099">
        <v>15094</v>
      </c>
      <c r="E3099" t="s">
        <v>378</v>
      </c>
    </row>
    <row r="3100" spans="1:5" x14ac:dyDescent="0.25">
      <c r="A3100" s="279">
        <v>39075</v>
      </c>
      <c r="B3100" t="s">
        <v>339</v>
      </c>
      <c r="C3100" t="s">
        <v>76</v>
      </c>
      <c r="D3100">
        <v>14496</v>
      </c>
      <c r="E3100" t="s">
        <v>380</v>
      </c>
    </row>
    <row r="3101" spans="1:5" x14ac:dyDescent="0.25">
      <c r="A3101" s="279">
        <v>39075</v>
      </c>
      <c r="B3101" t="s">
        <v>339</v>
      </c>
      <c r="C3101" t="s">
        <v>77</v>
      </c>
      <c r="D3101">
        <v>7310</v>
      </c>
      <c r="E3101" t="s">
        <v>378</v>
      </c>
    </row>
    <row r="3102" spans="1:5" x14ac:dyDescent="0.25">
      <c r="A3102" s="279">
        <v>39075</v>
      </c>
      <c r="B3102" t="s">
        <v>339</v>
      </c>
      <c r="C3102" t="s">
        <v>78</v>
      </c>
      <c r="D3102">
        <v>7042</v>
      </c>
      <c r="E3102" t="s">
        <v>380</v>
      </c>
    </row>
    <row r="3103" spans="1:5" x14ac:dyDescent="0.25">
      <c r="A3103" s="279">
        <v>39075</v>
      </c>
      <c r="B3103" t="s">
        <v>339</v>
      </c>
      <c r="C3103" t="s">
        <v>79</v>
      </c>
      <c r="D3103">
        <v>75091</v>
      </c>
      <c r="E3103" t="s">
        <v>379</v>
      </c>
    </row>
    <row r="3104" spans="1:5" x14ac:dyDescent="0.25">
      <c r="A3104" s="279">
        <v>39075</v>
      </c>
      <c r="B3104" t="s">
        <v>339</v>
      </c>
      <c r="C3104" t="s">
        <v>70</v>
      </c>
      <c r="D3104">
        <v>0</v>
      </c>
      <c r="E3104" t="s">
        <v>379</v>
      </c>
    </row>
    <row r="3105" spans="1:5" x14ac:dyDescent="0.25">
      <c r="A3105" s="279">
        <v>39075</v>
      </c>
      <c r="B3105" t="s">
        <v>339</v>
      </c>
      <c r="C3105" t="s">
        <v>63</v>
      </c>
      <c r="D3105">
        <v>0</v>
      </c>
      <c r="E3105" t="s">
        <v>378</v>
      </c>
    </row>
    <row r="3106" spans="1:5" x14ac:dyDescent="0.25">
      <c r="A3106" s="279">
        <v>39075</v>
      </c>
      <c r="B3106" t="s">
        <v>339</v>
      </c>
      <c r="C3106" t="s">
        <v>80</v>
      </c>
      <c r="D3106">
        <v>134</v>
      </c>
      <c r="E3106" t="s">
        <v>379</v>
      </c>
    </row>
    <row r="3107" spans="1:5" x14ac:dyDescent="0.25">
      <c r="A3107" s="279">
        <v>39076</v>
      </c>
      <c r="B3107" t="s">
        <v>338</v>
      </c>
      <c r="C3107" t="s">
        <v>59</v>
      </c>
      <c r="D3107">
        <v>0</v>
      </c>
      <c r="E3107" t="s">
        <v>378</v>
      </c>
    </row>
    <row r="3108" spans="1:5" x14ac:dyDescent="0.25">
      <c r="A3108" s="279">
        <v>39076</v>
      </c>
      <c r="B3108" t="s">
        <v>338</v>
      </c>
      <c r="C3108" t="s">
        <v>60</v>
      </c>
      <c r="D3108">
        <v>4797</v>
      </c>
      <c r="E3108" t="s">
        <v>379</v>
      </c>
    </row>
    <row r="3109" spans="1:5" x14ac:dyDescent="0.25">
      <c r="A3109" s="279">
        <v>39076</v>
      </c>
      <c r="B3109" t="s">
        <v>338</v>
      </c>
      <c r="C3109" t="s">
        <v>61</v>
      </c>
      <c r="D3109">
        <v>0</v>
      </c>
      <c r="E3109" t="s">
        <v>378</v>
      </c>
    </row>
    <row r="3110" spans="1:5" x14ac:dyDescent="0.25">
      <c r="A3110" s="279">
        <v>39076</v>
      </c>
      <c r="B3110" t="s">
        <v>338</v>
      </c>
      <c r="C3110" t="s">
        <v>62</v>
      </c>
      <c r="D3110">
        <v>17378</v>
      </c>
      <c r="E3110" t="s">
        <v>380</v>
      </c>
    </row>
    <row r="3111" spans="1:5" x14ac:dyDescent="0.25">
      <c r="A3111" s="279">
        <v>39076</v>
      </c>
      <c r="B3111" t="s">
        <v>338</v>
      </c>
      <c r="C3111" t="s">
        <v>63</v>
      </c>
      <c r="D3111">
        <v>0</v>
      </c>
      <c r="E3111" t="s">
        <v>378</v>
      </c>
    </row>
    <row r="3112" spans="1:5" x14ac:dyDescent="0.25">
      <c r="A3112" s="279">
        <v>39076</v>
      </c>
      <c r="B3112" t="s">
        <v>338</v>
      </c>
      <c r="C3112" t="s">
        <v>64</v>
      </c>
      <c r="D3112">
        <v>0</v>
      </c>
      <c r="E3112" t="s">
        <v>380</v>
      </c>
    </row>
    <row r="3113" spans="1:5" x14ac:dyDescent="0.25">
      <c r="A3113" s="279">
        <v>39076</v>
      </c>
      <c r="B3113" t="s">
        <v>338</v>
      </c>
      <c r="C3113" t="s">
        <v>65</v>
      </c>
      <c r="D3113">
        <v>0</v>
      </c>
      <c r="E3113" t="s">
        <v>378</v>
      </c>
    </row>
    <row r="3114" spans="1:5" x14ac:dyDescent="0.25">
      <c r="A3114" s="279">
        <v>39076</v>
      </c>
      <c r="B3114" t="s">
        <v>338</v>
      </c>
      <c r="C3114" t="s">
        <v>66</v>
      </c>
      <c r="D3114">
        <v>0</v>
      </c>
      <c r="E3114" t="s">
        <v>380</v>
      </c>
    </row>
    <row r="3115" spans="1:5" x14ac:dyDescent="0.25">
      <c r="A3115" s="279">
        <v>39076</v>
      </c>
      <c r="B3115" t="s">
        <v>338</v>
      </c>
      <c r="C3115" t="s">
        <v>120</v>
      </c>
      <c r="D3115">
        <v>0</v>
      </c>
      <c r="E3115" t="s">
        <v>378</v>
      </c>
    </row>
    <row r="3116" spans="1:5" x14ac:dyDescent="0.25">
      <c r="A3116" s="279">
        <v>39076</v>
      </c>
      <c r="B3116" t="s">
        <v>338</v>
      </c>
      <c r="C3116" t="s">
        <v>121</v>
      </c>
      <c r="D3116">
        <v>18426</v>
      </c>
      <c r="E3116" t="s">
        <v>380</v>
      </c>
    </row>
    <row r="3117" spans="1:5" x14ac:dyDescent="0.25">
      <c r="A3117" s="279">
        <v>39076</v>
      </c>
      <c r="B3117" t="s">
        <v>338</v>
      </c>
      <c r="C3117" t="s">
        <v>67</v>
      </c>
      <c r="D3117">
        <v>0</v>
      </c>
      <c r="E3117" t="s">
        <v>378</v>
      </c>
    </row>
    <row r="3118" spans="1:5" x14ac:dyDescent="0.25">
      <c r="A3118" s="279">
        <v>39076</v>
      </c>
      <c r="B3118" t="s">
        <v>338</v>
      </c>
      <c r="C3118" t="s">
        <v>68</v>
      </c>
      <c r="D3118">
        <v>0</v>
      </c>
      <c r="E3118" t="s">
        <v>380</v>
      </c>
    </row>
    <row r="3119" spans="1:5" x14ac:dyDescent="0.25">
      <c r="A3119" s="279">
        <v>39076</v>
      </c>
      <c r="B3119" t="s">
        <v>338</v>
      </c>
      <c r="C3119" t="s">
        <v>69</v>
      </c>
      <c r="D3119">
        <v>34549</v>
      </c>
      <c r="E3119" t="s">
        <v>379</v>
      </c>
    </row>
    <row r="3120" spans="1:5" x14ac:dyDescent="0.25">
      <c r="A3120" s="279">
        <v>39076</v>
      </c>
      <c r="B3120" t="s">
        <v>338</v>
      </c>
      <c r="C3120" t="s">
        <v>70</v>
      </c>
      <c r="D3120">
        <v>0</v>
      </c>
      <c r="E3120" t="s">
        <v>379</v>
      </c>
    </row>
    <row r="3121" spans="1:5" x14ac:dyDescent="0.25">
      <c r="A3121" s="279">
        <v>39076</v>
      </c>
      <c r="B3121" t="s">
        <v>338</v>
      </c>
      <c r="C3121" t="s">
        <v>80</v>
      </c>
      <c r="D3121">
        <v>0</v>
      </c>
      <c r="E3121" t="s">
        <v>379</v>
      </c>
    </row>
    <row r="3122" spans="1:5" x14ac:dyDescent="0.25">
      <c r="A3122" s="279">
        <v>39076</v>
      </c>
      <c r="B3122" t="s">
        <v>339</v>
      </c>
      <c r="C3122" t="s">
        <v>71</v>
      </c>
      <c r="D3122">
        <v>0</v>
      </c>
      <c r="E3122" t="s">
        <v>378</v>
      </c>
    </row>
    <row r="3123" spans="1:5" x14ac:dyDescent="0.25">
      <c r="A3123" s="279">
        <v>39076</v>
      </c>
      <c r="B3123" t="s">
        <v>339</v>
      </c>
      <c r="C3123" t="s">
        <v>72</v>
      </c>
      <c r="D3123">
        <v>1788</v>
      </c>
      <c r="E3123" t="s">
        <v>380</v>
      </c>
    </row>
    <row r="3124" spans="1:5" x14ac:dyDescent="0.25">
      <c r="A3124" s="279">
        <v>39076</v>
      </c>
      <c r="B3124" t="s">
        <v>339</v>
      </c>
      <c r="C3124" t="s">
        <v>73</v>
      </c>
      <c r="D3124">
        <v>0</v>
      </c>
      <c r="E3124" t="s">
        <v>378</v>
      </c>
    </row>
    <row r="3125" spans="1:5" x14ac:dyDescent="0.25">
      <c r="A3125" s="279">
        <v>39076</v>
      </c>
      <c r="B3125" t="s">
        <v>339</v>
      </c>
      <c r="C3125" t="s">
        <v>74</v>
      </c>
      <c r="D3125">
        <v>0</v>
      </c>
      <c r="E3125" t="s">
        <v>380</v>
      </c>
    </row>
    <row r="3126" spans="1:5" x14ac:dyDescent="0.25">
      <c r="A3126" s="279">
        <v>39076</v>
      </c>
      <c r="B3126" t="s">
        <v>339</v>
      </c>
      <c r="C3126" t="s">
        <v>75</v>
      </c>
      <c r="D3126">
        <v>15094</v>
      </c>
      <c r="E3126" t="s">
        <v>378</v>
      </c>
    </row>
    <row r="3127" spans="1:5" x14ac:dyDescent="0.25">
      <c r="A3127" s="279">
        <v>39076</v>
      </c>
      <c r="B3127" t="s">
        <v>339</v>
      </c>
      <c r="C3127" t="s">
        <v>76</v>
      </c>
      <c r="D3127">
        <v>14550</v>
      </c>
      <c r="E3127" t="s">
        <v>380</v>
      </c>
    </row>
    <row r="3128" spans="1:5" x14ac:dyDescent="0.25">
      <c r="A3128" s="279">
        <v>39076</v>
      </c>
      <c r="B3128" t="s">
        <v>339</v>
      </c>
      <c r="C3128" t="s">
        <v>77</v>
      </c>
      <c r="D3128">
        <v>7310</v>
      </c>
      <c r="E3128" t="s">
        <v>378</v>
      </c>
    </row>
    <row r="3129" spans="1:5" x14ac:dyDescent="0.25">
      <c r="A3129" s="279">
        <v>39076</v>
      </c>
      <c r="B3129" t="s">
        <v>339</v>
      </c>
      <c r="C3129" t="s">
        <v>78</v>
      </c>
      <c r="D3129">
        <v>7042</v>
      </c>
      <c r="E3129" t="s">
        <v>380</v>
      </c>
    </row>
    <row r="3130" spans="1:5" x14ac:dyDescent="0.25">
      <c r="A3130" s="279">
        <v>39076</v>
      </c>
      <c r="B3130" t="s">
        <v>339</v>
      </c>
      <c r="C3130" t="s">
        <v>79</v>
      </c>
      <c r="D3130">
        <v>75091</v>
      </c>
      <c r="E3130" t="s">
        <v>379</v>
      </c>
    </row>
    <row r="3131" spans="1:5" x14ac:dyDescent="0.25">
      <c r="A3131" s="279">
        <v>39076</v>
      </c>
      <c r="B3131" t="s">
        <v>339</v>
      </c>
      <c r="C3131" t="s">
        <v>70</v>
      </c>
      <c r="D3131">
        <v>0</v>
      </c>
      <c r="E3131" t="s">
        <v>379</v>
      </c>
    </row>
    <row r="3132" spans="1:5" x14ac:dyDescent="0.25">
      <c r="A3132" s="279">
        <v>39076</v>
      </c>
      <c r="B3132" t="s">
        <v>339</v>
      </c>
      <c r="C3132" t="s">
        <v>63</v>
      </c>
      <c r="D3132">
        <v>0</v>
      </c>
      <c r="E3132" t="s">
        <v>378</v>
      </c>
    </row>
    <row r="3133" spans="1:5" x14ac:dyDescent="0.25">
      <c r="A3133" s="279">
        <v>39076</v>
      </c>
      <c r="B3133" t="s">
        <v>339</v>
      </c>
      <c r="C3133" t="s">
        <v>80</v>
      </c>
      <c r="D3133">
        <v>134</v>
      </c>
      <c r="E3133" t="s">
        <v>379</v>
      </c>
    </row>
    <row r="3134" spans="1:5" x14ac:dyDescent="0.25">
      <c r="A3134" s="279">
        <v>39077</v>
      </c>
      <c r="B3134" t="s">
        <v>338</v>
      </c>
      <c r="C3134" t="s">
        <v>59</v>
      </c>
      <c r="D3134">
        <v>0</v>
      </c>
      <c r="E3134" t="s">
        <v>378</v>
      </c>
    </row>
    <row r="3135" spans="1:5" x14ac:dyDescent="0.25">
      <c r="A3135" s="279">
        <v>39077</v>
      </c>
      <c r="B3135" t="s">
        <v>338</v>
      </c>
      <c r="C3135" t="s">
        <v>60</v>
      </c>
      <c r="D3135">
        <v>4797</v>
      </c>
      <c r="E3135" t="s">
        <v>379</v>
      </c>
    </row>
    <row r="3136" spans="1:5" x14ac:dyDescent="0.25">
      <c r="A3136" s="279">
        <v>39077</v>
      </c>
      <c r="B3136" t="s">
        <v>338</v>
      </c>
      <c r="C3136" t="s">
        <v>61</v>
      </c>
      <c r="D3136">
        <v>0</v>
      </c>
      <c r="E3136" t="s">
        <v>378</v>
      </c>
    </row>
    <row r="3137" spans="1:5" x14ac:dyDescent="0.25">
      <c r="A3137" s="279">
        <v>39077</v>
      </c>
      <c r="B3137" t="s">
        <v>338</v>
      </c>
      <c r="C3137" t="s">
        <v>62</v>
      </c>
      <c r="D3137">
        <v>0</v>
      </c>
      <c r="E3137" t="s">
        <v>380</v>
      </c>
    </row>
    <row r="3138" spans="1:5" x14ac:dyDescent="0.25">
      <c r="A3138" s="279">
        <v>39077</v>
      </c>
      <c r="B3138" t="s">
        <v>338</v>
      </c>
      <c r="C3138" t="s">
        <v>63</v>
      </c>
      <c r="D3138">
        <v>0</v>
      </c>
      <c r="E3138" t="s">
        <v>378</v>
      </c>
    </row>
    <row r="3139" spans="1:5" x14ac:dyDescent="0.25">
      <c r="A3139" s="279">
        <v>39077</v>
      </c>
      <c r="B3139" t="s">
        <v>338</v>
      </c>
      <c r="C3139" t="s">
        <v>64</v>
      </c>
      <c r="D3139">
        <v>24672</v>
      </c>
      <c r="E3139" t="s">
        <v>380</v>
      </c>
    </row>
    <row r="3140" spans="1:5" x14ac:dyDescent="0.25">
      <c r="A3140" s="279">
        <v>39077</v>
      </c>
      <c r="B3140" t="s">
        <v>338</v>
      </c>
      <c r="C3140" t="s">
        <v>65</v>
      </c>
      <c r="D3140">
        <v>0</v>
      </c>
      <c r="E3140" t="s">
        <v>378</v>
      </c>
    </row>
    <row r="3141" spans="1:5" x14ac:dyDescent="0.25">
      <c r="A3141" s="279">
        <v>39077</v>
      </c>
      <c r="B3141" t="s">
        <v>338</v>
      </c>
      <c r="C3141" t="s">
        <v>66</v>
      </c>
      <c r="D3141">
        <v>0</v>
      </c>
      <c r="E3141" t="s">
        <v>380</v>
      </c>
    </row>
    <row r="3142" spans="1:5" x14ac:dyDescent="0.25">
      <c r="A3142" s="279">
        <v>39077</v>
      </c>
      <c r="B3142" t="s">
        <v>338</v>
      </c>
      <c r="C3142" t="s">
        <v>120</v>
      </c>
      <c r="D3142">
        <v>0</v>
      </c>
      <c r="E3142" t="s">
        <v>378</v>
      </c>
    </row>
    <row r="3143" spans="1:5" x14ac:dyDescent="0.25">
      <c r="A3143" s="279">
        <v>39077</v>
      </c>
      <c r="B3143" t="s">
        <v>338</v>
      </c>
      <c r="C3143" t="s">
        <v>121</v>
      </c>
      <c r="D3143">
        <v>14084</v>
      </c>
      <c r="E3143" t="s">
        <v>380</v>
      </c>
    </row>
    <row r="3144" spans="1:5" x14ac:dyDescent="0.25">
      <c r="A3144" s="279">
        <v>39077</v>
      </c>
      <c r="B3144" t="s">
        <v>338</v>
      </c>
      <c r="C3144" t="s">
        <v>67</v>
      </c>
      <c r="D3144">
        <v>0</v>
      </c>
      <c r="E3144" t="s">
        <v>378</v>
      </c>
    </row>
    <row r="3145" spans="1:5" x14ac:dyDescent="0.25">
      <c r="A3145" s="279">
        <v>39077</v>
      </c>
      <c r="B3145" t="s">
        <v>338</v>
      </c>
      <c r="C3145" t="s">
        <v>68</v>
      </c>
      <c r="D3145">
        <v>0</v>
      </c>
      <c r="E3145" t="s">
        <v>380</v>
      </c>
    </row>
    <row r="3146" spans="1:5" x14ac:dyDescent="0.25">
      <c r="A3146" s="279">
        <v>39077</v>
      </c>
      <c r="B3146" t="s">
        <v>338</v>
      </c>
      <c r="C3146" t="s">
        <v>69</v>
      </c>
      <c r="D3146">
        <v>34549</v>
      </c>
      <c r="E3146" t="s">
        <v>379</v>
      </c>
    </row>
    <row r="3147" spans="1:5" x14ac:dyDescent="0.25">
      <c r="A3147" s="279">
        <v>39077</v>
      </c>
      <c r="B3147" t="s">
        <v>338</v>
      </c>
      <c r="C3147" t="s">
        <v>70</v>
      </c>
      <c r="D3147">
        <v>0</v>
      </c>
      <c r="E3147" t="s">
        <v>379</v>
      </c>
    </row>
    <row r="3148" spans="1:5" x14ac:dyDescent="0.25">
      <c r="A3148" s="279">
        <v>39077</v>
      </c>
      <c r="B3148" t="s">
        <v>338</v>
      </c>
      <c r="C3148" t="s">
        <v>80</v>
      </c>
      <c r="D3148">
        <v>0</v>
      </c>
      <c r="E3148" t="s">
        <v>379</v>
      </c>
    </row>
    <row r="3149" spans="1:5" x14ac:dyDescent="0.25">
      <c r="A3149" s="279">
        <v>39077</v>
      </c>
      <c r="B3149" t="s">
        <v>339</v>
      </c>
      <c r="C3149" t="s">
        <v>71</v>
      </c>
      <c r="D3149">
        <v>0</v>
      </c>
      <c r="E3149" t="s">
        <v>378</v>
      </c>
    </row>
    <row r="3150" spans="1:5" x14ac:dyDescent="0.25">
      <c r="A3150" s="279">
        <v>39077</v>
      </c>
      <c r="B3150" t="s">
        <v>339</v>
      </c>
      <c r="C3150" t="s">
        <v>72</v>
      </c>
      <c r="D3150">
        <v>0</v>
      </c>
      <c r="E3150" t="s">
        <v>380</v>
      </c>
    </row>
    <row r="3151" spans="1:5" x14ac:dyDescent="0.25">
      <c r="A3151" s="279">
        <v>39077</v>
      </c>
      <c r="B3151" t="s">
        <v>339</v>
      </c>
      <c r="C3151" t="s">
        <v>73</v>
      </c>
      <c r="D3151">
        <v>0</v>
      </c>
      <c r="E3151" t="s">
        <v>378</v>
      </c>
    </row>
    <row r="3152" spans="1:5" x14ac:dyDescent="0.25">
      <c r="A3152" s="279">
        <v>39077</v>
      </c>
      <c r="B3152" t="s">
        <v>339</v>
      </c>
      <c r="C3152" t="s">
        <v>74</v>
      </c>
      <c r="D3152">
        <v>0</v>
      </c>
      <c r="E3152" t="s">
        <v>380</v>
      </c>
    </row>
    <row r="3153" spans="1:5" x14ac:dyDescent="0.25">
      <c r="A3153" s="279">
        <v>39077</v>
      </c>
      <c r="B3153" t="s">
        <v>339</v>
      </c>
      <c r="C3153" t="s">
        <v>75</v>
      </c>
      <c r="D3153">
        <v>15123</v>
      </c>
      <c r="E3153" t="s">
        <v>378</v>
      </c>
    </row>
    <row r="3154" spans="1:5" x14ac:dyDescent="0.25">
      <c r="A3154" s="279">
        <v>39077</v>
      </c>
      <c r="B3154" t="s">
        <v>339</v>
      </c>
      <c r="C3154" t="s">
        <v>76</v>
      </c>
      <c r="D3154">
        <v>14579</v>
      </c>
      <c r="E3154" t="s">
        <v>380</v>
      </c>
    </row>
    <row r="3155" spans="1:5" x14ac:dyDescent="0.25">
      <c r="A3155" s="279">
        <v>39077</v>
      </c>
      <c r="B3155" t="s">
        <v>339</v>
      </c>
      <c r="C3155" t="s">
        <v>77</v>
      </c>
      <c r="D3155">
        <v>7324</v>
      </c>
      <c r="E3155" t="s">
        <v>378</v>
      </c>
    </row>
    <row r="3156" spans="1:5" x14ac:dyDescent="0.25">
      <c r="A3156" s="279">
        <v>39077</v>
      </c>
      <c r="B3156" t="s">
        <v>339</v>
      </c>
      <c r="C3156" t="s">
        <v>78</v>
      </c>
      <c r="D3156">
        <v>7055</v>
      </c>
      <c r="E3156" t="s">
        <v>380</v>
      </c>
    </row>
    <row r="3157" spans="1:5" x14ac:dyDescent="0.25">
      <c r="A3157" s="279">
        <v>39077</v>
      </c>
      <c r="B3157" t="s">
        <v>339</v>
      </c>
      <c r="C3157" t="s">
        <v>79</v>
      </c>
      <c r="D3157">
        <v>75237</v>
      </c>
      <c r="E3157" t="s">
        <v>379</v>
      </c>
    </row>
    <row r="3158" spans="1:5" x14ac:dyDescent="0.25">
      <c r="A3158" s="279">
        <v>39077</v>
      </c>
      <c r="B3158" t="s">
        <v>339</v>
      </c>
      <c r="C3158" t="s">
        <v>70</v>
      </c>
      <c r="D3158">
        <v>0</v>
      </c>
      <c r="E3158" t="s">
        <v>379</v>
      </c>
    </row>
    <row r="3159" spans="1:5" x14ac:dyDescent="0.25">
      <c r="A3159" s="279">
        <v>39077</v>
      </c>
      <c r="B3159" t="s">
        <v>339</v>
      </c>
      <c r="C3159" t="s">
        <v>63</v>
      </c>
      <c r="D3159">
        <v>0</v>
      </c>
      <c r="E3159" t="s">
        <v>378</v>
      </c>
    </row>
    <row r="3160" spans="1:5" x14ac:dyDescent="0.25">
      <c r="A3160" s="279">
        <v>39077</v>
      </c>
      <c r="B3160" t="s">
        <v>339</v>
      </c>
      <c r="C3160" t="s">
        <v>80</v>
      </c>
      <c r="D3160">
        <v>134</v>
      </c>
      <c r="E3160" t="s">
        <v>379</v>
      </c>
    </row>
    <row r="3161" spans="1:5" x14ac:dyDescent="0.25">
      <c r="A3161" s="279">
        <v>39078</v>
      </c>
      <c r="B3161" t="s">
        <v>338</v>
      </c>
      <c r="C3161" t="s">
        <v>59</v>
      </c>
      <c r="D3161">
        <v>0</v>
      </c>
      <c r="E3161" t="s">
        <v>378</v>
      </c>
    </row>
    <row r="3162" spans="1:5" x14ac:dyDescent="0.25">
      <c r="A3162" s="279">
        <v>39078</v>
      </c>
      <c r="B3162" t="s">
        <v>338</v>
      </c>
      <c r="C3162" t="s">
        <v>60</v>
      </c>
      <c r="D3162">
        <v>4787</v>
      </c>
      <c r="E3162" t="s">
        <v>379</v>
      </c>
    </row>
    <row r="3163" spans="1:5" x14ac:dyDescent="0.25">
      <c r="A3163" s="279">
        <v>39078</v>
      </c>
      <c r="B3163" t="s">
        <v>338</v>
      </c>
      <c r="C3163" t="s">
        <v>61</v>
      </c>
      <c r="D3163">
        <v>0</v>
      </c>
      <c r="E3163" t="s">
        <v>378</v>
      </c>
    </row>
    <row r="3164" spans="1:5" x14ac:dyDescent="0.25">
      <c r="A3164" s="279">
        <v>39078</v>
      </c>
      <c r="B3164" t="s">
        <v>338</v>
      </c>
      <c r="C3164" t="s">
        <v>62</v>
      </c>
      <c r="D3164">
        <v>35311</v>
      </c>
      <c r="E3164" t="s">
        <v>380</v>
      </c>
    </row>
    <row r="3165" spans="1:5" x14ac:dyDescent="0.25">
      <c r="A3165" s="279">
        <v>39078</v>
      </c>
      <c r="B3165" t="s">
        <v>338</v>
      </c>
      <c r="C3165" t="s">
        <v>63</v>
      </c>
      <c r="D3165">
        <v>0</v>
      </c>
      <c r="E3165" t="s">
        <v>378</v>
      </c>
    </row>
    <row r="3166" spans="1:5" x14ac:dyDescent="0.25">
      <c r="A3166" s="279">
        <v>39078</v>
      </c>
      <c r="B3166" t="s">
        <v>338</v>
      </c>
      <c r="C3166" t="s">
        <v>64</v>
      </c>
      <c r="D3166">
        <v>24625</v>
      </c>
      <c r="E3166" t="s">
        <v>380</v>
      </c>
    </row>
    <row r="3167" spans="1:5" x14ac:dyDescent="0.25">
      <c r="A3167" s="279">
        <v>39078</v>
      </c>
      <c r="B3167" t="s">
        <v>338</v>
      </c>
      <c r="C3167" t="s">
        <v>65</v>
      </c>
      <c r="D3167">
        <v>0</v>
      </c>
      <c r="E3167" t="s">
        <v>378</v>
      </c>
    </row>
    <row r="3168" spans="1:5" x14ac:dyDescent="0.25">
      <c r="A3168" s="279">
        <v>39078</v>
      </c>
      <c r="B3168" t="s">
        <v>338</v>
      </c>
      <c r="C3168" t="s">
        <v>66</v>
      </c>
      <c r="D3168">
        <v>0</v>
      </c>
      <c r="E3168" t="s">
        <v>380</v>
      </c>
    </row>
    <row r="3169" spans="1:5" x14ac:dyDescent="0.25">
      <c r="A3169" s="279">
        <v>39078</v>
      </c>
      <c r="B3169" t="s">
        <v>338</v>
      </c>
      <c r="C3169" t="s">
        <v>120</v>
      </c>
      <c r="D3169">
        <v>0</v>
      </c>
      <c r="E3169" t="s">
        <v>378</v>
      </c>
    </row>
    <row r="3170" spans="1:5" x14ac:dyDescent="0.25">
      <c r="A3170" s="279">
        <v>39078</v>
      </c>
      <c r="B3170" t="s">
        <v>338</v>
      </c>
      <c r="C3170" t="s">
        <v>121</v>
      </c>
      <c r="D3170">
        <v>19968</v>
      </c>
      <c r="E3170" t="s">
        <v>380</v>
      </c>
    </row>
    <row r="3171" spans="1:5" x14ac:dyDescent="0.25">
      <c r="A3171" s="279">
        <v>39078</v>
      </c>
      <c r="B3171" t="s">
        <v>338</v>
      </c>
      <c r="C3171" t="s">
        <v>67</v>
      </c>
      <c r="D3171">
        <v>0</v>
      </c>
      <c r="E3171" t="s">
        <v>378</v>
      </c>
    </row>
    <row r="3172" spans="1:5" x14ac:dyDescent="0.25">
      <c r="A3172" s="279">
        <v>39078</v>
      </c>
      <c r="B3172" t="s">
        <v>338</v>
      </c>
      <c r="C3172" t="s">
        <v>68</v>
      </c>
      <c r="D3172">
        <v>0</v>
      </c>
      <c r="E3172" t="s">
        <v>380</v>
      </c>
    </row>
    <row r="3173" spans="1:5" x14ac:dyDescent="0.25">
      <c r="A3173" s="279">
        <v>39078</v>
      </c>
      <c r="B3173" t="s">
        <v>338</v>
      </c>
      <c r="C3173" t="s">
        <v>69</v>
      </c>
      <c r="D3173">
        <v>34483</v>
      </c>
      <c r="E3173" t="s">
        <v>379</v>
      </c>
    </row>
    <row r="3174" spans="1:5" x14ac:dyDescent="0.25">
      <c r="A3174" s="279">
        <v>39078</v>
      </c>
      <c r="B3174" t="s">
        <v>338</v>
      </c>
      <c r="C3174" t="s">
        <v>70</v>
      </c>
      <c r="D3174">
        <v>0</v>
      </c>
      <c r="E3174" t="s">
        <v>379</v>
      </c>
    </row>
    <row r="3175" spans="1:5" x14ac:dyDescent="0.25">
      <c r="A3175" s="279">
        <v>39078</v>
      </c>
      <c r="B3175" t="s">
        <v>338</v>
      </c>
      <c r="C3175" t="s">
        <v>80</v>
      </c>
      <c r="D3175">
        <v>0</v>
      </c>
      <c r="E3175" t="s">
        <v>379</v>
      </c>
    </row>
    <row r="3176" spans="1:5" x14ac:dyDescent="0.25">
      <c r="A3176" s="279">
        <v>39078</v>
      </c>
      <c r="B3176" t="s">
        <v>339</v>
      </c>
      <c r="C3176" t="s">
        <v>71</v>
      </c>
      <c r="D3176">
        <v>0</v>
      </c>
      <c r="E3176" t="s">
        <v>378</v>
      </c>
    </row>
    <row r="3177" spans="1:5" x14ac:dyDescent="0.25">
      <c r="A3177" s="279">
        <v>39078</v>
      </c>
      <c r="B3177" t="s">
        <v>339</v>
      </c>
      <c r="C3177" t="s">
        <v>72</v>
      </c>
      <c r="D3177">
        <v>4864</v>
      </c>
      <c r="E3177" t="s">
        <v>380</v>
      </c>
    </row>
    <row r="3178" spans="1:5" x14ac:dyDescent="0.25">
      <c r="A3178" s="279">
        <v>39078</v>
      </c>
      <c r="B3178" t="s">
        <v>339</v>
      </c>
      <c r="C3178" t="s">
        <v>73</v>
      </c>
      <c r="D3178">
        <v>0</v>
      </c>
      <c r="E3178" t="s">
        <v>378</v>
      </c>
    </row>
    <row r="3179" spans="1:5" x14ac:dyDescent="0.25">
      <c r="A3179" s="279">
        <v>39078</v>
      </c>
      <c r="B3179" t="s">
        <v>339</v>
      </c>
      <c r="C3179" t="s">
        <v>74</v>
      </c>
      <c r="D3179">
        <v>27134</v>
      </c>
      <c r="E3179" t="s">
        <v>380</v>
      </c>
    </row>
    <row r="3180" spans="1:5" x14ac:dyDescent="0.25">
      <c r="A3180" s="279">
        <v>39078</v>
      </c>
      <c r="B3180" t="s">
        <v>339</v>
      </c>
      <c r="C3180" t="s">
        <v>75</v>
      </c>
      <c r="D3180">
        <v>15152</v>
      </c>
      <c r="E3180" t="s">
        <v>378</v>
      </c>
    </row>
    <row r="3181" spans="1:5" x14ac:dyDescent="0.25">
      <c r="A3181" s="279">
        <v>39078</v>
      </c>
      <c r="B3181" t="s">
        <v>339</v>
      </c>
      <c r="C3181" t="s">
        <v>76</v>
      </c>
      <c r="D3181">
        <v>14607</v>
      </c>
      <c r="E3181" t="s">
        <v>380</v>
      </c>
    </row>
    <row r="3182" spans="1:5" x14ac:dyDescent="0.25">
      <c r="A3182" s="279">
        <v>39078</v>
      </c>
      <c r="B3182" t="s">
        <v>339</v>
      </c>
      <c r="C3182" t="s">
        <v>77</v>
      </c>
      <c r="D3182">
        <v>7339</v>
      </c>
      <c r="E3182" t="s">
        <v>378</v>
      </c>
    </row>
    <row r="3183" spans="1:5" x14ac:dyDescent="0.25">
      <c r="A3183" s="279">
        <v>39078</v>
      </c>
      <c r="B3183" t="s">
        <v>339</v>
      </c>
      <c r="C3183" t="s">
        <v>78</v>
      </c>
      <c r="D3183">
        <v>7069</v>
      </c>
      <c r="E3183" t="s">
        <v>380</v>
      </c>
    </row>
    <row r="3184" spans="1:5" x14ac:dyDescent="0.25">
      <c r="A3184" s="279">
        <v>39078</v>
      </c>
      <c r="B3184" t="s">
        <v>339</v>
      </c>
      <c r="C3184" t="s">
        <v>79</v>
      </c>
      <c r="D3184">
        <v>75383</v>
      </c>
      <c r="E3184" t="s">
        <v>379</v>
      </c>
    </row>
    <row r="3185" spans="1:5" x14ac:dyDescent="0.25">
      <c r="A3185" s="279">
        <v>39078</v>
      </c>
      <c r="B3185" t="s">
        <v>339</v>
      </c>
      <c r="C3185" t="s">
        <v>70</v>
      </c>
      <c r="D3185">
        <v>0</v>
      </c>
      <c r="E3185" t="s">
        <v>379</v>
      </c>
    </row>
    <row r="3186" spans="1:5" x14ac:dyDescent="0.25">
      <c r="A3186" s="279">
        <v>39078</v>
      </c>
      <c r="B3186" t="s">
        <v>339</v>
      </c>
      <c r="C3186" t="s">
        <v>63</v>
      </c>
      <c r="D3186">
        <v>0</v>
      </c>
      <c r="E3186" t="s">
        <v>378</v>
      </c>
    </row>
    <row r="3187" spans="1:5" x14ac:dyDescent="0.25">
      <c r="A3187" s="279">
        <v>39078</v>
      </c>
      <c r="B3187" t="s">
        <v>339</v>
      </c>
      <c r="C3187" t="s">
        <v>80</v>
      </c>
      <c r="D3187">
        <v>135</v>
      </c>
      <c r="E3187" t="s">
        <v>379</v>
      </c>
    </row>
    <row r="3188" spans="1:5" x14ac:dyDescent="0.25">
      <c r="A3188" s="279">
        <v>39079</v>
      </c>
      <c r="B3188" t="s">
        <v>338</v>
      </c>
      <c r="C3188" t="s">
        <v>59</v>
      </c>
      <c r="D3188">
        <v>0</v>
      </c>
      <c r="E3188" t="s">
        <v>378</v>
      </c>
    </row>
    <row r="3189" spans="1:5" x14ac:dyDescent="0.25">
      <c r="A3189" s="279">
        <v>39079</v>
      </c>
      <c r="B3189" t="s">
        <v>338</v>
      </c>
      <c r="C3189" t="s">
        <v>60</v>
      </c>
      <c r="D3189">
        <v>4792</v>
      </c>
      <c r="E3189" t="s">
        <v>379</v>
      </c>
    </row>
    <row r="3190" spans="1:5" x14ac:dyDescent="0.25">
      <c r="A3190" s="279">
        <v>39079</v>
      </c>
      <c r="B3190" t="s">
        <v>338</v>
      </c>
      <c r="C3190" t="s">
        <v>61</v>
      </c>
      <c r="D3190">
        <v>0</v>
      </c>
      <c r="E3190" t="s">
        <v>378</v>
      </c>
    </row>
    <row r="3191" spans="1:5" x14ac:dyDescent="0.25">
      <c r="A3191" s="279">
        <v>39079</v>
      </c>
      <c r="B3191" t="s">
        <v>338</v>
      </c>
      <c r="C3191" t="s">
        <v>62</v>
      </c>
      <c r="D3191">
        <v>25935</v>
      </c>
      <c r="E3191" t="s">
        <v>380</v>
      </c>
    </row>
    <row r="3192" spans="1:5" x14ac:dyDescent="0.25">
      <c r="A3192" s="279">
        <v>39079</v>
      </c>
      <c r="B3192" t="s">
        <v>338</v>
      </c>
      <c r="C3192" t="s">
        <v>63</v>
      </c>
      <c r="D3192">
        <v>0</v>
      </c>
      <c r="E3192" t="s">
        <v>378</v>
      </c>
    </row>
    <row r="3193" spans="1:5" x14ac:dyDescent="0.25">
      <c r="A3193" s="279">
        <v>39079</v>
      </c>
      <c r="B3193" t="s">
        <v>338</v>
      </c>
      <c r="C3193" t="s">
        <v>64</v>
      </c>
      <c r="D3193">
        <v>24648</v>
      </c>
      <c r="E3193" t="s">
        <v>380</v>
      </c>
    </row>
    <row r="3194" spans="1:5" x14ac:dyDescent="0.25">
      <c r="A3194" s="279">
        <v>39079</v>
      </c>
      <c r="B3194" t="s">
        <v>338</v>
      </c>
      <c r="C3194" t="s">
        <v>65</v>
      </c>
      <c r="D3194">
        <v>0</v>
      </c>
      <c r="E3194" t="s">
        <v>378</v>
      </c>
    </row>
    <row r="3195" spans="1:5" x14ac:dyDescent="0.25">
      <c r="A3195" s="279">
        <v>39079</v>
      </c>
      <c r="B3195" t="s">
        <v>338</v>
      </c>
      <c r="C3195" t="s">
        <v>66</v>
      </c>
      <c r="D3195">
        <v>0</v>
      </c>
      <c r="E3195" t="s">
        <v>380</v>
      </c>
    </row>
    <row r="3196" spans="1:5" x14ac:dyDescent="0.25">
      <c r="A3196" s="279">
        <v>39079</v>
      </c>
      <c r="B3196" t="s">
        <v>338</v>
      </c>
      <c r="C3196" t="s">
        <v>120</v>
      </c>
      <c r="D3196">
        <v>0</v>
      </c>
      <c r="E3196" t="s">
        <v>378</v>
      </c>
    </row>
    <row r="3197" spans="1:5" x14ac:dyDescent="0.25">
      <c r="A3197" s="279">
        <v>39079</v>
      </c>
      <c r="B3197" t="s">
        <v>338</v>
      </c>
      <c r="C3197" t="s">
        <v>121</v>
      </c>
      <c r="D3197">
        <v>19988</v>
      </c>
      <c r="E3197" t="s">
        <v>380</v>
      </c>
    </row>
    <row r="3198" spans="1:5" x14ac:dyDescent="0.25">
      <c r="A3198" s="279">
        <v>39079</v>
      </c>
      <c r="B3198" t="s">
        <v>338</v>
      </c>
      <c r="C3198" t="s">
        <v>67</v>
      </c>
      <c r="D3198">
        <v>0</v>
      </c>
      <c r="E3198" t="s">
        <v>378</v>
      </c>
    </row>
    <row r="3199" spans="1:5" x14ac:dyDescent="0.25">
      <c r="A3199" s="279">
        <v>39079</v>
      </c>
      <c r="B3199" t="s">
        <v>338</v>
      </c>
      <c r="C3199" t="s">
        <v>68</v>
      </c>
      <c r="D3199">
        <v>0</v>
      </c>
      <c r="E3199" t="s">
        <v>380</v>
      </c>
    </row>
    <row r="3200" spans="1:5" x14ac:dyDescent="0.25">
      <c r="A3200" s="279">
        <v>39079</v>
      </c>
      <c r="B3200" t="s">
        <v>338</v>
      </c>
      <c r="C3200" t="s">
        <v>69</v>
      </c>
      <c r="D3200">
        <v>34516</v>
      </c>
      <c r="E3200" t="s">
        <v>379</v>
      </c>
    </row>
    <row r="3201" spans="1:5" x14ac:dyDescent="0.25">
      <c r="A3201" s="279">
        <v>39079</v>
      </c>
      <c r="B3201" t="s">
        <v>338</v>
      </c>
      <c r="C3201" t="s">
        <v>70</v>
      </c>
      <c r="D3201">
        <v>0</v>
      </c>
      <c r="E3201" t="s">
        <v>379</v>
      </c>
    </row>
    <row r="3202" spans="1:5" x14ac:dyDescent="0.25">
      <c r="A3202" s="279">
        <v>39079</v>
      </c>
      <c r="B3202" t="s">
        <v>338</v>
      </c>
      <c r="C3202" t="s">
        <v>80</v>
      </c>
      <c r="D3202">
        <v>0</v>
      </c>
      <c r="E3202" t="s">
        <v>379</v>
      </c>
    </row>
    <row r="3203" spans="1:5" x14ac:dyDescent="0.25">
      <c r="A3203" s="279">
        <v>39079</v>
      </c>
      <c r="B3203" t="s">
        <v>339</v>
      </c>
      <c r="C3203" t="s">
        <v>71</v>
      </c>
      <c r="D3203">
        <v>0</v>
      </c>
      <c r="E3203" t="s">
        <v>378</v>
      </c>
    </row>
    <row r="3204" spans="1:5" x14ac:dyDescent="0.25">
      <c r="A3204" s="279">
        <v>39079</v>
      </c>
      <c r="B3204" t="s">
        <v>339</v>
      </c>
      <c r="C3204" t="s">
        <v>72</v>
      </c>
      <c r="D3204">
        <v>119</v>
      </c>
      <c r="E3204" t="s">
        <v>380</v>
      </c>
    </row>
    <row r="3205" spans="1:5" x14ac:dyDescent="0.25">
      <c r="A3205" s="279">
        <v>39079</v>
      </c>
      <c r="B3205" t="s">
        <v>339</v>
      </c>
      <c r="C3205" t="s">
        <v>73</v>
      </c>
      <c r="D3205">
        <v>0</v>
      </c>
      <c r="E3205" t="s">
        <v>378</v>
      </c>
    </row>
    <row r="3206" spans="1:5" x14ac:dyDescent="0.25">
      <c r="A3206" s="279">
        <v>39079</v>
      </c>
      <c r="B3206" t="s">
        <v>339</v>
      </c>
      <c r="C3206" t="s">
        <v>74</v>
      </c>
      <c r="D3206">
        <v>0</v>
      </c>
      <c r="E3206" t="s">
        <v>380</v>
      </c>
    </row>
    <row r="3207" spans="1:5" x14ac:dyDescent="0.25">
      <c r="A3207" s="279">
        <v>39079</v>
      </c>
      <c r="B3207" t="s">
        <v>339</v>
      </c>
      <c r="C3207" t="s">
        <v>75</v>
      </c>
      <c r="D3207">
        <v>15152</v>
      </c>
      <c r="E3207" t="s">
        <v>378</v>
      </c>
    </row>
    <row r="3208" spans="1:5" x14ac:dyDescent="0.25">
      <c r="A3208" s="279">
        <v>39079</v>
      </c>
      <c r="B3208" t="s">
        <v>339</v>
      </c>
      <c r="C3208" t="s">
        <v>76</v>
      </c>
      <c r="D3208">
        <v>14607</v>
      </c>
      <c r="E3208" t="s">
        <v>380</v>
      </c>
    </row>
    <row r="3209" spans="1:5" x14ac:dyDescent="0.25">
      <c r="A3209" s="279">
        <v>39079</v>
      </c>
      <c r="B3209" t="s">
        <v>339</v>
      </c>
      <c r="C3209" t="s">
        <v>77</v>
      </c>
      <c r="D3209">
        <v>7339</v>
      </c>
      <c r="E3209" t="s">
        <v>378</v>
      </c>
    </row>
    <row r="3210" spans="1:5" x14ac:dyDescent="0.25">
      <c r="A3210" s="279">
        <v>39079</v>
      </c>
      <c r="B3210" t="s">
        <v>339</v>
      </c>
      <c r="C3210" t="s">
        <v>78</v>
      </c>
      <c r="D3210">
        <v>7069</v>
      </c>
      <c r="E3210" t="s">
        <v>380</v>
      </c>
    </row>
    <row r="3211" spans="1:5" x14ac:dyDescent="0.25">
      <c r="A3211" s="279">
        <v>39079</v>
      </c>
      <c r="B3211" t="s">
        <v>339</v>
      </c>
      <c r="C3211" t="s">
        <v>79</v>
      </c>
      <c r="D3211">
        <v>75383</v>
      </c>
      <c r="E3211" t="s">
        <v>379</v>
      </c>
    </row>
    <row r="3212" spans="1:5" x14ac:dyDescent="0.25">
      <c r="A3212" s="279">
        <v>39079</v>
      </c>
      <c r="B3212" t="s">
        <v>339</v>
      </c>
      <c r="C3212" t="s">
        <v>70</v>
      </c>
      <c r="D3212">
        <v>0</v>
      </c>
      <c r="E3212" t="s">
        <v>379</v>
      </c>
    </row>
    <row r="3213" spans="1:5" x14ac:dyDescent="0.25">
      <c r="A3213" s="279">
        <v>39079</v>
      </c>
      <c r="B3213" t="s">
        <v>339</v>
      </c>
      <c r="C3213" t="s">
        <v>63</v>
      </c>
      <c r="D3213">
        <v>0</v>
      </c>
      <c r="E3213" t="s">
        <v>378</v>
      </c>
    </row>
    <row r="3214" spans="1:5" x14ac:dyDescent="0.25">
      <c r="A3214" s="279">
        <v>39079</v>
      </c>
      <c r="B3214" t="s">
        <v>339</v>
      </c>
      <c r="C3214" t="s">
        <v>80</v>
      </c>
      <c r="D3214">
        <v>135</v>
      </c>
      <c r="E3214" t="s">
        <v>379</v>
      </c>
    </row>
    <row r="3215" spans="1:5" x14ac:dyDescent="0.25">
      <c r="A3215" s="279">
        <v>39080</v>
      </c>
      <c r="B3215" t="s">
        <v>338</v>
      </c>
      <c r="C3215" t="s">
        <v>59</v>
      </c>
      <c r="D3215">
        <v>0</v>
      </c>
      <c r="E3215" t="s">
        <v>378</v>
      </c>
    </row>
    <row r="3216" spans="1:5" x14ac:dyDescent="0.25">
      <c r="A3216" s="279">
        <v>39080</v>
      </c>
      <c r="B3216" t="s">
        <v>338</v>
      </c>
      <c r="C3216" t="s">
        <v>60</v>
      </c>
      <c r="D3216">
        <v>4806</v>
      </c>
      <c r="E3216" t="s">
        <v>379</v>
      </c>
    </row>
    <row r="3217" spans="1:5" x14ac:dyDescent="0.25">
      <c r="A3217" s="279">
        <v>39080</v>
      </c>
      <c r="B3217" t="s">
        <v>338</v>
      </c>
      <c r="C3217" t="s">
        <v>61</v>
      </c>
      <c r="D3217">
        <v>0</v>
      </c>
      <c r="E3217" t="s">
        <v>378</v>
      </c>
    </row>
    <row r="3218" spans="1:5" x14ac:dyDescent="0.25">
      <c r="A3218" s="279">
        <v>39080</v>
      </c>
      <c r="B3218" t="s">
        <v>338</v>
      </c>
      <c r="C3218" t="s">
        <v>62</v>
      </c>
      <c r="D3218">
        <v>34841</v>
      </c>
      <c r="E3218" t="s">
        <v>380</v>
      </c>
    </row>
    <row r="3219" spans="1:5" x14ac:dyDescent="0.25">
      <c r="A3219" s="279">
        <v>39080</v>
      </c>
      <c r="B3219" t="s">
        <v>338</v>
      </c>
      <c r="C3219" t="s">
        <v>63</v>
      </c>
      <c r="D3219">
        <v>0</v>
      </c>
      <c r="E3219" t="s">
        <v>378</v>
      </c>
    </row>
    <row r="3220" spans="1:5" x14ac:dyDescent="0.25">
      <c r="A3220" s="279">
        <v>39080</v>
      </c>
      <c r="B3220" t="s">
        <v>338</v>
      </c>
      <c r="C3220" t="s">
        <v>64</v>
      </c>
      <c r="D3220">
        <v>0</v>
      </c>
      <c r="E3220" t="s">
        <v>380</v>
      </c>
    </row>
    <row r="3221" spans="1:5" x14ac:dyDescent="0.25">
      <c r="A3221" s="279">
        <v>39080</v>
      </c>
      <c r="B3221" t="s">
        <v>338</v>
      </c>
      <c r="C3221" t="s">
        <v>65</v>
      </c>
      <c r="D3221">
        <v>0</v>
      </c>
      <c r="E3221" t="s">
        <v>378</v>
      </c>
    </row>
    <row r="3222" spans="1:5" x14ac:dyDescent="0.25">
      <c r="A3222" s="279">
        <v>39080</v>
      </c>
      <c r="B3222" t="s">
        <v>338</v>
      </c>
      <c r="C3222" t="s">
        <v>66</v>
      </c>
      <c r="D3222">
        <v>0</v>
      </c>
      <c r="E3222" t="s">
        <v>380</v>
      </c>
    </row>
    <row r="3223" spans="1:5" x14ac:dyDescent="0.25">
      <c r="A3223" s="279">
        <v>39080</v>
      </c>
      <c r="B3223" t="s">
        <v>338</v>
      </c>
      <c r="C3223" t="s">
        <v>120</v>
      </c>
      <c r="D3223">
        <v>0</v>
      </c>
      <c r="E3223" t="s">
        <v>378</v>
      </c>
    </row>
    <row r="3224" spans="1:5" x14ac:dyDescent="0.25">
      <c r="A3224" s="279">
        <v>39080</v>
      </c>
      <c r="B3224" t="s">
        <v>338</v>
      </c>
      <c r="C3224" t="s">
        <v>121</v>
      </c>
      <c r="D3224">
        <v>20045</v>
      </c>
      <c r="E3224" t="s">
        <v>380</v>
      </c>
    </row>
    <row r="3225" spans="1:5" x14ac:dyDescent="0.25">
      <c r="A3225" s="279">
        <v>39080</v>
      </c>
      <c r="B3225" t="s">
        <v>338</v>
      </c>
      <c r="C3225" t="s">
        <v>67</v>
      </c>
      <c r="D3225">
        <v>0</v>
      </c>
      <c r="E3225" t="s">
        <v>378</v>
      </c>
    </row>
    <row r="3226" spans="1:5" x14ac:dyDescent="0.25">
      <c r="A3226" s="279">
        <v>39080</v>
      </c>
      <c r="B3226" t="s">
        <v>338</v>
      </c>
      <c r="C3226" t="s">
        <v>68</v>
      </c>
      <c r="D3226">
        <v>0</v>
      </c>
      <c r="E3226" t="s">
        <v>380</v>
      </c>
    </row>
    <row r="3227" spans="1:5" x14ac:dyDescent="0.25">
      <c r="A3227" s="279">
        <v>39080</v>
      </c>
      <c r="B3227" t="s">
        <v>338</v>
      </c>
      <c r="C3227" t="s">
        <v>69</v>
      </c>
      <c r="D3227">
        <v>34615</v>
      </c>
      <c r="E3227" t="s">
        <v>379</v>
      </c>
    </row>
    <row r="3228" spans="1:5" x14ac:dyDescent="0.25">
      <c r="A3228" s="279">
        <v>39080</v>
      </c>
      <c r="B3228" t="s">
        <v>338</v>
      </c>
      <c r="C3228" t="s">
        <v>70</v>
      </c>
      <c r="D3228">
        <v>0</v>
      </c>
      <c r="E3228" t="s">
        <v>379</v>
      </c>
    </row>
    <row r="3229" spans="1:5" x14ac:dyDescent="0.25">
      <c r="A3229" s="279">
        <v>39080</v>
      </c>
      <c r="B3229" t="s">
        <v>338</v>
      </c>
      <c r="C3229" t="s">
        <v>80</v>
      </c>
      <c r="D3229">
        <v>0</v>
      </c>
      <c r="E3229" t="s">
        <v>379</v>
      </c>
    </row>
    <row r="3230" spans="1:5" x14ac:dyDescent="0.25">
      <c r="A3230" s="279">
        <v>39080</v>
      </c>
      <c r="B3230" t="s">
        <v>339</v>
      </c>
      <c r="C3230" t="s">
        <v>71</v>
      </c>
      <c r="D3230">
        <v>0</v>
      </c>
      <c r="E3230" t="s">
        <v>378</v>
      </c>
    </row>
    <row r="3231" spans="1:5" x14ac:dyDescent="0.25">
      <c r="A3231" s="279">
        <v>39080</v>
      </c>
      <c r="B3231" t="s">
        <v>339</v>
      </c>
      <c r="C3231" t="s">
        <v>72</v>
      </c>
      <c r="D3231">
        <v>0</v>
      </c>
      <c r="E3231" t="s">
        <v>380</v>
      </c>
    </row>
    <row r="3232" spans="1:5" x14ac:dyDescent="0.25">
      <c r="A3232" s="279">
        <v>39080</v>
      </c>
      <c r="B3232" t="s">
        <v>339</v>
      </c>
      <c r="C3232" t="s">
        <v>73</v>
      </c>
      <c r="D3232">
        <v>0</v>
      </c>
      <c r="E3232" t="s">
        <v>378</v>
      </c>
    </row>
    <row r="3233" spans="1:5" x14ac:dyDescent="0.25">
      <c r="A3233" s="279">
        <v>39080</v>
      </c>
      <c r="B3233" t="s">
        <v>339</v>
      </c>
      <c r="C3233" t="s">
        <v>74</v>
      </c>
      <c r="D3233">
        <v>0</v>
      </c>
      <c r="E3233" t="s">
        <v>380</v>
      </c>
    </row>
    <row r="3234" spans="1:5" x14ac:dyDescent="0.25">
      <c r="A3234" s="279">
        <v>39080</v>
      </c>
      <c r="B3234" t="s">
        <v>339</v>
      </c>
      <c r="C3234" t="s">
        <v>75</v>
      </c>
      <c r="D3234">
        <v>15152</v>
      </c>
      <c r="E3234" t="s">
        <v>378</v>
      </c>
    </row>
    <row r="3235" spans="1:5" x14ac:dyDescent="0.25">
      <c r="A3235" s="279">
        <v>39080</v>
      </c>
      <c r="B3235" t="s">
        <v>339</v>
      </c>
      <c r="C3235" t="s">
        <v>76</v>
      </c>
      <c r="D3235">
        <v>13827</v>
      </c>
      <c r="E3235" t="s">
        <v>380</v>
      </c>
    </row>
    <row r="3236" spans="1:5" x14ac:dyDescent="0.25">
      <c r="A3236" s="279">
        <v>39080</v>
      </c>
      <c r="B3236" t="s">
        <v>339</v>
      </c>
      <c r="C3236" t="s">
        <v>77</v>
      </c>
      <c r="D3236">
        <v>7339</v>
      </c>
      <c r="E3236" t="s">
        <v>378</v>
      </c>
    </row>
    <row r="3237" spans="1:5" x14ac:dyDescent="0.25">
      <c r="A3237" s="279">
        <v>39080</v>
      </c>
      <c r="B3237" t="s">
        <v>339</v>
      </c>
      <c r="C3237" t="s">
        <v>78</v>
      </c>
      <c r="D3237">
        <v>7069</v>
      </c>
      <c r="E3237" t="s">
        <v>380</v>
      </c>
    </row>
    <row r="3238" spans="1:5" x14ac:dyDescent="0.25">
      <c r="A3238" s="279">
        <v>39080</v>
      </c>
      <c r="B3238" t="s">
        <v>339</v>
      </c>
      <c r="C3238" t="s">
        <v>79</v>
      </c>
      <c r="D3238">
        <v>76168</v>
      </c>
      <c r="E3238" t="s">
        <v>379</v>
      </c>
    </row>
    <row r="3239" spans="1:5" x14ac:dyDescent="0.25">
      <c r="A3239" s="279">
        <v>39080</v>
      </c>
      <c r="B3239" t="s">
        <v>339</v>
      </c>
      <c r="C3239" t="s">
        <v>70</v>
      </c>
      <c r="D3239">
        <v>0</v>
      </c>
      <c r="E3239" t="s">
        <v>379</v>
      </c>
    </row>
    <row r="3240" spans="1:5" x14ac:dyDescent="0.25">
      <c r="A3240" s="279">
        <v>39080</v>
      </c>
      <c r="B3240" t="s">
        <v>339</v>
      </c>
      <c r="C3240" t="s">
        <v>63</v>
      </c>
      <c r="D3240">
        <v>0</v>
      </c>
      <c r="E3240" t="s">
        <v>378</v>
      </c>
    </row>
    <row r="3241" spans="1:5" x14ac:dyDescent="0.25">
      <c r="A3241" s="279">
        <v>39080</v>
      </c>
      <c r="B3241" t="s">
        <v>339</v>
      </c>
      <c r="C3241" t="s">
        <v>80</v>
      </c>
      <c r="D3241">
        <v>135</v>
      </c>
      <c r="E3241" t="s">
        <v>379</v>
      </c>
    </row>
    <row r="3242" spans="1:5" x14ac:dyDescent="0.25">
      <c r="A3242" s="279">
        <v>39081</v>
      </c>
      <c r="B3242" t="s">
        <v>338</v>
      </c>
      <c r="C3242" t="s">
        <v>59</v>
      </c>
      <c r="D3242">
        <v>0</v>
      </c>
      <c r="E3242" t="s">
        <v>378</v>
      </c>
    </row>
    <row r="3243" spans="1:5" x14ac:dyDescent="0.25">
      <c r="A3243" s="279">
        <v>39081</v>
      </c>
      <c r="B3243" t="s">
        <v>338</v>
      </c>
      <c r="C3243" t="s">
        <v>60</v>
      </c>
      <c r="D3243">
        <v>4806</v>
      </c>
      <c r="E3243" t="s">
        <v>379</v>
      </c>
    </row>
    <row r="3244" spans="1:5" x14ac:dyDescent="0.25">
      <c r="A3244" s="279">
        <v>39081</v>
      </c>
      <c r="B3244" t="s">
        <v>338</v>
      </c>
      <c r="C3244" t="s">
        <v>61</v>
      </c>
      <c r="D3244">
        <v>0</v>
      </c>
      <c r="E3244" t="s">
        <v>378</v>
      </c>
    </row>
    <row r="3245" spans="1:5" x14ac:dyDescent="0.25">
      <c r="A3245" s="279">
        <v>39081</v>
      </c>
      <c r="B3245" t="s">
        <v>338</v>
      </c>
      <c r="C3245" t="s">
        <v>62</v>
      </c>
      <c r="D3245">
        <v>28077</v>
      </c>
      <c r="E3245" t="s">
        <v>380</v>
      </c>
    </row>
    <row r="3246" spans="1:5" x14ac:dyDescent="0.25">
      <c r="A3246" s="279">
        <v>39081</v>
      </c>
      <c r="B3246" t="s">
        <v>338</v>
      </c>
      <c r="C3246" t="s">
        <v>63</v>
      </c>
      <c r="D3246">
        <v>0</v>
      </c>
      <c r="E3246" t="s">
        <v>378</v>
      </c>
    </row>
    <row r="3247" spans="1:5" x14ac:dyDescent="0.25">
      <c r="A3247" s="279">
        <v>39081</v>
      </c>
      <c r="B3247" t="s">
        <v>338</v>
      </c>
      <c r="C3247" t="s">
        <v>64</v>
      </c>
      <c r="D3247">
        <v>13000</v>
      </c>
      <c r="E3247" t="s">
        <v>380</v>
      </c>
    </row>
    <row r="3248" spans="1:5" x14ac:dyDescent="0.25">
      <c r="A3248" s="279">
        <v>39081</v>
      </c>
      <c r="B3248" t="s">
        <v>338</v>
      </c>
      <c r="C3248" t="s">
        <v>65</v>
      </c>
      <c r="D3248">
        <v>0</v>
      </c>
      <c r="E3248" t="s">
        <v>378</v>
      </c>
    </row>
    <row r="3249" spans="1:5" x14ac:dyDescent="0.25">
      <c r="A3249" s="279">
        <v>39081</v>
      </c>
      <c r="B3249" t="s">
        <v>338</v>
      </c>
      <c r="C3249" t="s">
        <v>66</v>
      </c>
      <c r="D3249">
        <v>0</v>
      </c>
      <c r="E3249" t="s">
        <v>380</v>
      </c>
    </row>
    <row r="3250" spans="1:5" x14ac:dyDescent="0.25">
      <c r="A3250" s="279">
        <v>39081</v>
      </c>
      <c r="B3250" t="s">
        <v>338</v>
      </c>
      <c r="C3250" t="s">
        <v>120</v>
      </c>
      <c r="D3250">
        <v>0</v>
      </c>
      <c r="E3250" t="s">
        <v>378</v>
      </c>
    </row>
    <row r="3251" spans="1:5" x14ac:dyDescent="0.25">
      <c r="A3251" s="279">
        <v>39081</v>
      </c>
      <c r="B3251" t="s">
        <v>338</v>
      </c>
      <c r="C3251" t="s">
        <v>121</v>
      </c>
      <c r="D3251">
        <v>20045</v>
      </c>
      <c r="E3251" t="s">
        <v>380</v>
      </c>
    </row>
    <row r="3252" spans="1:5" x14ac:dyDescent="0.25">
      <c r="A3252" s="279">
        <v>39081</v>
      </c>
      <c r="B3252" t="s">
        <v>338</v>
      </c>
      <c r="C3252" t="s">
        <v>67</v>
      </c>
      <c r="D3252">
        <v>0</v>
      </c>
      <c r="E3252" t="s">
        <v>378</v>
      </c>
    </row>
    <row r="3253" spans="1:5" x14ac:dyDescent="0.25">
      <c r="A3253" s="279">
        <v>39081</v>
      </c>
      <c r="B3253" t="s">
        <v>338</v>
      </c>
      <c r="C3253" t="s">
        <v>68</v>
      </c>
      <c r="D3253">
        <v>0</v>
      </c>
      <c r="E3253" t="s">
        <v>380</v>
      </c>
    </row>
    <row r="3254" spans="1:5" x14ac:dyDescent="0.25">
      <c r="A3254" s="279">
        <v>39081</v>
      </c>
      <c r="B3254" t="s">
        <v>338</v>
      </c>
      <c r="C3254" t="s">
        <v>69</v>
      </c>
      <c r="D3254">
        <v>34615</v>
      </c>
      <c r="E3254" t="s">
        <v>379</v>
      </c>
    </row>
    <row r="3255" spans="1:5" x14ac:dyDescent="0.25">
      <c r="A3255" s="279">
        <v>39081</v>
      </c>
      <c r="B3255" t="s">
        <v>338</v>
      </c>
      <c r="C3255" t="s">
        <v>70</v>
      </c>
      <c r="D3255">
        <v>0</v>
      </c>
      <c r="E3255" t="s">
        <v>379</v>
      </c>
    </row>
    <row r="3256" spans="1:5" x14ac:dyDescent="0.25">
      <c r="A3256" s="279">
        <v>39081</v>
      </c>
      <c r="B3256" t="s">
        <v>338</v>
      </c>
      <c r="C3256" t="s">
        <v>80</v>
      </c>
      <c r="D3256">
        <v>0</v>
      </c>
      <c r="E3256" t="s">
        <v>379</v>
      </c>
    </row>
    <row r="3257" spans="1:5" x14ac:dyDescent="0.25">
      <c r="A3257" s="279">
        <v>39081</v>
      </c>
      <c r="B3257" t="s">
        <v>339</v>
      </c>
      <c r="C3257" t="s">
        <v>71</v>
      </c>
      <c r="D3257">
        <v>0</v>
      </c>
      <c r="E3257" t="s">
        <v>378</v>
      </c>
    </row>
    <row r="3258" spans="1:5" x14ac:dyDescent="0.25">
      <c r="A3258" s="279">
        <v>39081</v>
      </c>
      <c r="B3258" t="s">
        <v>339</v>
      </c>
      <c r="C3258" t="s">
        <v>72</v>
      </c>
      <c r="D3258">
        <v>0</v>
      </c>
      <c r="E3258" t="s">
        <v>380</v>
      </c>
    </row>
    <row r="3259" spans="1:5" x14ac:dyDescent="0.25">
      <c r="A3259" s="279">
        <v>39081</v>
      </c>
      <c r="B3259" t="s">
        <v>339</v>
      </c>
      <c r="C3259" t="s">
        <v>73</v>
      </c>
      <c r="D3259">
        <v>0</v>
      </c>
      <c r="E3259" t="s">
        <v>378</v>
      </c>
    </row>
    <row r="3260" spans="1:5" x14ac:dyDescent="0.25">
      <c r="A3260" s="279">
        <v>39081</v>
      </c>
      <c r="B3260" t="s">
        <v>339</v>
      </c>
      <c r="C3260" t="s">
        <v>74</v>
      </c>
      <c r="D3260">
        <v>0</v>
      </c>
      <c r="E3260" t="s">
        <v>380</v>
      </c>
    </row>
    <row r="3261" spans="1:5" x14ac:dyDescent="0.25">
      <c r="A3261" s="279">
        <v>39081</v>
      </c>
      <c r="B3261" t="s">
        <v>339</v>
      </c>
      <c r="C3261" t="s">
        <v>75</v>
      </c>
      <c r="D3261">
        <v>15123</v>
      </c>
      <c r="E3261" t="s">
        <v>378</v>
      </c>
    </row>
    <row r="3262" spans="1:5" x14ac:dyDescent="0.25">
      <c r="A3262" s="279">
        <v>39081</v>
      </c>
      <c r="B3262" t="s">
        <v>339</v>
      </c>
      <c r="C3262" t="s">
        <v>76</v>
      </c>
      <c r="D3262">
        <v>14528</v>
      </c>
      <c r="E3262" t="s">
        <v>380</v>
      </c>
    </row>
    <row r="3263" spans="1:5" x14ac:dyDescent="0.25">
      <c r="A3263" s="279">
        <v>39081</v>
      </c>
      <c r="B3263" t="s">
        <v>339</v>
      </c>
      <c r="C3263" t="s">
        <v>77</v>
      </c>
      <c r="D3263">
        <v>7324</v>
      </c>
      <c r="E3263" t="s">
        <v>378</v>
      </c>
    </row>
    <row r="3264" spans="1:5" x14ac:dyDescent="0.25">
      <c r="A3264" s="279">
        <v>39081</v>
      </c>
      <c r="B3264" t="s">
        <v>339</v>
      </c>
      <c r="C3264" t="s">
        <v>78</v>
      </c>
      <c r="D3264">
        <v>7055</v>
      </c>
      <c r="E3264" t="s">
        <v>380</v>
      </c>
    </row>
    <row r="3265" spans="1:5" x14ac:dyDescent="0.25">
      <c r="A3265" s="279">
        <v>39081</v>
      </c>
      <c r="B3265" t="s">
        <v>339</v>
      </c>
      <c r="C3265" t="s">
        <v>79</v>
      </c>
      <c r="D3265">
        <v>76020</v>
      </c>
      <c r="E3265" t="s">
        <v>379</v>
      </c>
    </row>
    <row r="3266" spans="1:5" x14ac:dyDescent="0.25">
      <c r="A3266" s="279">
        <v>39081</v>
      </c>
      <c r="B3266" t="s">
        <v>339</v>
      </c>
      <c r="C3266" t="s">
        <v>70</v>
      </c>
      <c r="D3266">
        <v>0</v>
      </c>
      <c r="E3266" t="s">
        <v>379</v>
      </c>
    </row>
    <row r="3267" spans="1:5" x14ac:dyDescent="0.25">
      <c r="A3267" s="279">
        <v>39081</v>
      </c>
      <c r="B3267" t="s">
        <v>339</v>
      </c>
      <c r="C3267" t="s">
        <v>63</v>
      </c>
      <c r="D3267">
        <v>0</v>
      </c>
      <c r="E3267" t="s">
        <v>378</v>
      </c>
    </row>
    <row r="3268" spans="1:5" x14ac:dyDescent="0.25">
      <c r="A3268" s="279">
        <v>39081</v>
      </c>
      <c r="B3268" t="s">
        <v>339</v>
      </c>
      <c r="C3268" t="s">
        <v>80</v>
      </c>
      <c r="D3268">
        <v>134</v>
      </c>
      <c r="E3268" t="s">
        <v>379</v>
      </c>
    </row>
    <row r="3269" spans="1:5" x14ac:dyDescent="0.25">
      <c r="A3269" s="279">
        <v>39082</v>
      </c>
      <c r="B3269" t="s">
        <v>338</v>
      </c>
      <c r="C3269" t="s">
        <v>59</v>
      </c>
      <c r="D3269">
        <v>0</v>
      </c>
      <c r="E3269" t="s">
        <v>378</v>
      </c>
    </row>
    <row r="3270" spans="1:5" x14ac:dyDescent="0.25">
      <c r="A3270" s="279">
        <v>39082</v>
      </c>
      <c r="B3270" t="s">
        <v>338</v>
      </c>
      <c r="C3270" t="s">
        <v>60</v>
      </c>
      <c r="D3270">
        <v>4806</v>
      </c>
      <c r="E3270" t="s">
        <v>379</v>
      </c>
    </row>
    <row r="3271" spans="1:5" x14ac:dyDescent="0.25">
      <c r="A3271" s="279">
        <v>39082</v>
      </c>
      <c r="B3271" t="s">
        <v>338</v>
      </c>
      <c r="C3271" t="s">
        <v>61</v>
      </c>
      <c r="D3271">
        <v>0</v>
      </c>
      <c r="E3271" t="s">
        <v>378</v>
      </c>
    </row>
    <row r="3272" spans="1:5" x14ac:dyDescent="0.25">
      <c r="A3272" s="279">
        <v>39082</v>
      </c>
      <c r="B3272" t="s">
        <v>338</v>
      </c>
      <c r="C3272" t="s">
        <v>62</v>
      </c>
      <c r="D3272">
        <v>14768</v>
      </c>
      <c r="E3272" t="s">
        <v>380</v>
      </c>
    </row>
    <row r="3273" spans="1:5" x14ac:dyDescent="0.25">
      <c r="A3273" s="279">
        <v>39082</v>
      </c>
      <c r="B3273" t="s">
        <v>338</v>
      </c>
      <c r="C3273" t="s">
        <v>63</v>
      </c>
      <c r="D3273">
        <v>0</v>
      </c>
      <c r="E3273" t="s">
        <v>378</v>
      </c>
    </row>
    <row r="3274" spans="1:5" x14ac:dyDescent="0.25">
      <c r="A3274" s="279">
        <v>39082</v>
      </c>
      <c r="B3274" t="s">
        <v>338</v>
      </c>
      <c r="C3274" t="s">
        <v>64</v>
      </c>
      <c r="D3274">
        <v>13000</v>
      </c>
      <c r="E3274" t="s">
        <v>380</v>
      </c>
    </row>
    <row r="3275" spans="1:5" x14ac:dyDescent="0.25">
      <c r="A3275" s="279">
        <v>39082</v>
      </c>
      <c r="B3275" t="s">
        <v>338</v>
      </c>
      <c r="C3275" t="s">
        <v>65</v>
      </c>
      <c r="D3275">
        <v>0</v>
      </c>
      <c r="E3275" t="s">
        <v>378</v>
      </c>
    </row>
    <row r="3276" spans="1:5" x14ac:dyDescent="0.25">
      <c r="A3276" s="279">
        <v>39082</v>
      </c>
      <c r="B3276" t="s">
        <v>338</v>
      </c>
      <c r="C3276" t="s">
        <v>66</v>
      </c>
      <c r="D3276">
        <v>0</v>
      </c>
      <c r="E3276" t="s">
        <v>380</v>
      </c>
    </row>
    <row r="3277" spans="1:5" x14ac:dyDescent="0.25">
      <c r="A3277" s="279">
        <v>39082</v>
      </c>
      <c r="B3277" t="s">
        <v>338</v>
      </c>
      <c r="C3277" t="s">
        <v>120</v>
      </c>
      <c r="D3277">
        <v>0</v>
      </c>
      <c r="E3277" t="s">
        <v>378</v>
      </c>
    </row>
    <row r="3278" spans="1:5" x14ac:dyDescent="0.25">
      <c r="A3278" s="279">
        <v>39082</v>
      </c>
      <c r="B3278" t="s">
        <v>338</v>
      </c>
      <c r="C3278" t="s">
        <v>121</v>
      </c>
      <c r="D3278">
        <v>20045</v>
      </c>
      <c r="E3278" t="s">
        <v>380</v>
      </c>
    </row>
    <row r="3279" spans="1:5" x14ac:dyDescent="0.25">
      <c r="A3279" s="279">
        <v>39082</v>
      </c>
      <c r="B3279" t="s">
        <v>338</v>
      </c>
      <c r="C3279" t="s">
        <v>67</v>
      </c>
      <c r="D3279">
        <v>0</v>
      </c>
      <c r="E3279" t="s">
        <v>378</v>
      </c>
    </row>
    <row r="3280" spans="1:5" x14ac:dyDescent="0.25">
      <c r="A3280" s="279">
        <v>39082</v>
      </c>
      <c r="B3280" t="s">
        <v>338</v>
      </c>
      <c r="C3280" t="s">
        <v>68</v>
      </c>
      <c r="D3280">
        <v>0</v>
      </c>
      <c r="E3280" t="s">
        <v>380</v>
      </c>
    </row>
    <row r="3281" spans="1:5" x14ac:dyDescent="0.25">
      <c r="A3281" s="279">
        <v>39082</v>
      </c>
      <c r="B3281" t="s">
        <v>338</v>
      </c>
      <c r="C3281" t="s">
        <v>69</v>
      </c>
      <c r="D3281">
        <v>34615</v>
      </c>
      <c r="E3281" t="s">
        <v>379</v>
      </c>
    </row>
    <row r="3282" spans="1:5" x14ac:dyDescent="0.25">
      <c r="A3282" s="279">
        <v>39082</v>
      </c>
      <c r="B3282" t="s">
        <v>338</v>
      </c>
      <c r="C3282" t="s">
        <v>70</v>
      </c>
      <c r="D3282">
        <v>0</v>
      </c>
      <c r="E3282" t="s">
        <v>379</v>
      </c>
    </row>
    <row r="3283" spans="1:5" x14ac:dyDescent="0.25">
      <c r="A3283" s="279">
        <v>39082</v>
      </c>
      <c r="B3283" t="s">
        <v>338</v>
      </c>
      <c r="C3283" t="s">
        <v>80</v>
      </c>
      <c r="D3283">
        <v>0</v>
      </c>
      <c r="E3283" t="s">
        <v>379</v>
      </c>
    </row>
    <row r="3284" spans="1:5" x14ac:dyDescent="0.25">
      <c r="A3284" s="279">
        <v>39082</v>
      </c>
      <c r="B3284" t="s">
        <v>339</v>
      </c>
      <c r="C3284" t="s">
        <v>71</v>
      </c>
      <c r="D3284">
        <v>0</v>
      </c>
      <c r="E3284" t="s">
        <v>378</v>
      </c>
    </row>
    <row r="3285" spans="1:5" x14ac:dyDescent="0.25">
      <c r="A3285" s="279">
        <v>39082</v>
      </c>
      <c r="B3285" t="s">
        <v>339</v>
      </c>
      <c r="C3285" t="s">
        <v>72</v>
      </c>
      <c r="D3285">
        <v>0</v>
      </c>
      <c r="E3285" t="s">
        <v>380</v>
      </c>
    </row>
    <row r="3286" spans="1:5" x14ac:dyDescent="0.25">
      <c r="A3286" s="279">
        <v>39082</v>
      </c>
      <c r="B3286" t="s">
        <v>339</v>
      </c>
      <c r="C3286" t="s">
        <v>73</v>
      </c>
      <c r="D3286">
        <v>0</v>
      </c>
      <c r="E3286" t="s">
        <v>378</v>
      </c>
    </row>
    <row r="3287" spans="1:5" x14ac:dyDescent="0.25">
      <c r="A3287" s="279">
        <v>39082</v>
      </c>
      <c r="B3287" t="s">
        <v>339</v>
      </c>
      <c r="C3287" t="s">
        <v>74</v>
      </c>
      <c r="D3287">
        <v>0</v>
      </c>
      <c r="E3287" t="s">
        <v>380</v>
      </c>
    </row>
    <row r="3288" spans="1:5" x14ac:dyDescent="0.25">
      <c r="A3288" s="279">
        <v>39082</v>
      </c>
      <c r="B3288" t="s">
        <v>339</v>
      </c>
      <c r="C3288" t="s">
        <v>75</v>
      </c>
      <c r="D3288">
        <v>15123</v>
      </c>
      <c r="E3288" t="s">
        <v>378</v>
      </c>
    </row>
    <row r="3289" spans="1:5" x14ac:dyDescent="0.25">
      <c r="A3289" s="279">
        <v>39082</v>
      </c>
      <c r="B3289" t="s">
        <v>339</v>
      </c>
      <c r="C3289" t="s">
        <v>76</v>
      </c>
      <c r="D3289">
        <v>14364</v>
      </c>
      <c r="E3289" t="s">
        <v>380</v>
      </c>
    </row>
    <row r="3290" spans="1:5" x14ac:dyDescent="0.25">
      <c r="A3290" s="279">
        <v>39082</v>
      </c>
      <c r="B3290" t="s">
        <v>339</v>
      </c>
      <c r="C3290" t="s">
        <v>77</v>
      </c>
      <c r="D3290">
        <v>7324</v>
      </c>
      <c r="E3290" t="s">
        <v>378</v>
      </c>
    </row>
    <row r="3291" spans="1:5" x14ac:dyDescent="0.25">
      <c r="A3291" s="279">
        <v>39082</v>
      </c>
      <c r="B3291" t="s">
        <v>339</v>
      </c>
      <c r="C3291" t="s">
        <v>78</v>
      </c>
      <c r="D3291">
        <v>7055</v>
      </c>
      <c r="E3291" t="s">
        <v>380</v>
      </c>
    </row>
    <row r="3292" spans="1:5" x14ac:dyDescent="0.25">
      <c r="A3292" s="279">
        <v>39082</v>
      </c>
      <c r="B3292" t="s">
        <v>339</v>
      </c>
      <c r="C3292" t="s">
        <v>79</v>
      </c>
      <c r="D3292">
        <v>76020</v>
      </c>
      <c r="E3292" t="s">
        <v>379</v>
      </c>
    </row>
    <row r="3293" spans="1:5" x14ac:dyDescent="0.25">
      <c r="A3293" s="279">
        <v>39082</v>
      </c>
      <c r="B3293" t="s">
        <v>339</v>
      </c>
      <c r="C3293" t="s">
        <v>70</v>
      </c>
      <c r="D3293">
        <v>0</v>
      </c>
      <c r="E3293" t="s">
        <v>379</v>
      </c>
    </row>
    <row r="3294" spans="1:5" x14ac:dyDescent="0.25">
      <c r="A3294" s="279">
        <v>39082</v>
      </c>
      <c r="B3294" t="s">
        <v>339</v>
      </c>
      <c r="C3294" t="s">
        <v>63</v>
      </c>
      <c r="D3294">
        <v>0</v>
      </c>
      <c r="E3294" t="s">
        <v>378</v>
      </c>
    </row>
    <row r="3295" spans="1:5" x14ac:dyDescent="0.25">
      <c r="A3295" s="279">
        <v>39082</v>
      </c>
      <c r="B3295" t="s">
        <v>339</v>
      </c>
      <c r="C3295" t="s">
        <v>80</v>
      </c>
      <c r="D3295">
        <v>134</v>
      </c>
      <c r="E3295" t="s">
        <v>379</v>
      </c>
    </row>
    <row r="3296" spans="1:5" x14ac:dyDescent="0.25">
      <c r="A3296" s="279">
        <v>39083</v>
      </c>
      <c r="B3296" t="s">
        <v>338</v>
      </c>
      <c r="C3296" t="s">
        <v>59</v>
      </c>
      <c r="D3296">
        <v>0</v>
      </c>
      <c r="E3296" t="s">
        <v>378</v>
      </c>
    </row>
    <row r="3297" spans="1:5" x14ac:dyDescent="0.25">
      <c r="A3297" s="279">
        <v>39083</v>
      </c>
      <c r="B3297" t="s">
        <v>338</v>
      </c>
      <c r="C3297" t="s">
        <v>60</v>
      </c>
      <c r="D3297">
        <v>4806</v>
      </c>
      <c r="E3297" t="s">
        <v>379</v>
      </c>
    </row>
    <row r="3298" spans="1:5" x14ac:dyDescent="0.25">
      <c r="A3298" s="279">
        <v>39083</v>
      </c>
      <c r="B3298" t="s">
        <v>338</v>
      </c>
      <c r="C3298" t="s">
        <v>61</v>
      </c>
      <c r="D3298">
        <v>0</v>
      </c>
      <c r="E3298" t="s">
        <v>378</v>
      </c>
    </row>
    <row r="3299" spans="1:5" x14ac:dyDescent="0.25">
      <c r="A3299" s="279">
        <v>39083</v>
      </c>
      <c r="B3299" t="s">
        <v>338</v>
      </c>
      <c r="C3299" t="s">
        <v>62</v>
      </c>
      <c r="D3299">
        <v>0</v>
      </c>
      <c r="E3299" t="s">
        <v>380</v>
      </c>
    </row>
    <row r="3300" spans="1:5" x14ac:dyDescent="0.25">
      <c r="A3300" s="279">
        <v>39083</v>
      </c>
      <c r="B3300" t="s">
        <v>338</v>
      </c>
      <c r="C3300" t="s">
        <v>63</v>
      </c>
      <c r="D3300">
        <v>0</v>
      </c>
      <c r="E3300" t="s">
        <v>378</v>
      </c>
    </row>
    <row r="3301" spans="1:5" x14ac:dyDescent="0.25">
      <c r="A3301" s="279">
        <v>39083</v>
      </c>
      <c r="B3301" t="s">
        <v>338</v>
      </c>
      <c r="C3301" t="s">
        <v>64</v>
      </c>
      <c r="D3301">
        <v>28197</v>
      </c>
      <c r="E3301" t="s">
        <v>380</v>
      </c>
    </row>
    <row r="3302" spans="1:5" x14ac:dyDescent="0.25">
      <c r="A3302" s="279">
        <v>39083</v>
      </c>
      <c r="B3302" t="s">
        <v>338</v>
      </c>
      <c r="C3302" t="s">
        <v>65</v>
      </c>
      <c r="D3302">
        <v>0</v>
      </c>
      <c r="E3302" t="s">
        <v>378</v>
      </c>
    </row>
    <row r="3303" spans="1:5" x14ac:dyDescent="0.25">
      <c r="A3303" s="279">
        <v>39083</v>
      </c>
      <c r="B3303" t="s">
        <v>338</v>
      </c>
      <c r="C3303" t="s">
        <v>66</v>
      </c>
      <c r="D3303">
        <v>0</v>
      </c>
      <c r="E3303" t="s">
        <v>380</v>
      </c>
    </row>
    <row r="3304" spans="1:5" x14ac:dyDescent="0.25">
      <c r="A3304" s="279">
        <v>39083</v>
      </c>
      <c r="B3304" t="s">
        <v>338</v>
      </c>
      <c r="C3304" t="s">
        <v>120</v>
      </c>
      <c r="D3304">
        <v>0</v>
      </c>
      <c r="E3304" t="s">
        <v>378</v>
      </c>
    </row>
    <row r="3305" spans="1:5" x14ac:dyDescent="0.25">
      <c r="A3305" s="279">
        <v>39083</v>
      </c>
      <c r="B3305" t="s">
        <v>338</v>
      </c>
      <c r="C3305" t="s">
        <v>121</v>
      </c>
      <c r="D3305">
        <v>577</v>
      </c>
      <c r="E3305" t="s">
        <v>380</v>
      </c>
    </row>
    <row r="3306" spans="1:5" x14ac:dyDescent="0.25">
      <c r="A3306" s="279">
        <v>39083</v>
      </c>
      <c r="B3306" t="s">
        <v>338</v>
      </c>
      <c r="C3306" t="s">
        <v>67</v>
      </c>
      <c r="D3306">
        <v>0</v>
      </c>
      <c r="E3306" t="s">
        <v>378</v>
      </c>
    </row>
    <row r="3307" spans="1:5" x14ac:dyDescent="0.25">
      <c r="A3307" s="279">
        <v>39083</v>
      </c>
      <c r="B3307" t="s">
        <v>338</v>
      </c>
      <c r="C3307" t="s">
        <v>68</v>
      </c>
      <c r="D3307">
        <v>0</v>
      </c>
      <c r="E3307" t="s">
        <v>380</v>
      </c>
    </row>
    <row r="3308" spans="1:5" x14ac:dyDescent="0.25">
      <c r="A3308" s="279">
        <v>39083</v>
      </c>
      <c r="B3308" t="s">
        <v>338</v>
      </c>
      <c r="C3308" t="s">
        <v>69</v>
      </c>
      <c r="D3308">
        <v>34615</v>
      </c>
      <c r="E3308" t="s">
        <v>379</v>
      </c>
    </row>
    <row r="3309" spans="1:5" x14ac:dyDescent="0.25">
      <c r="A3309" s="279">
        <v>39083</v>
      </c>
      <c r="B3309" t="s">
        <v>338</v>
      </c>
      <c r="C3309" t="s">
        <v>70</v>
      </c>
      <c r="D3309">
        <v>0</v>
      </c>
      <c r="E3309" t="s">
        <v>379</v>
      </c>
    </row>
    <row r="3310" spans="1:5" x14ac:dyDescent="0.25">
      <c r="A3310" s="279">
        <v>39083</v>
      </c>
      <c r="B3310" t="s">
        <v>338</v>
      </c>
      <c r="C3310" t="s">
        <v>80</v>
      </c>
      <c r="D3310">
        <v>0</v>
      </c>
      <c r="E3310" t="s">
        <v>379</v>
      </c>
    </row>
    <row r="3311" spans="1:5" x14ac:dyDescent="0.25">
      <c r="A3311" s="279">
        <v>39083</v>
      </c>
      <c r="B3311" t="s">
        <v>339</v>
      </c>
      <c r="C3311" t="s">
        <v>71</v>
      </c>
      <c r="D3311">
        <v>0</v>
      </c>
      <c r="E3311" t="s">
        <v>378</v>
      </c>
    </row>
    <row r="3312" spans="1:5" x14ac:dyDescent="0.25">
      <c r="A3312" s="279">
        <v>39083</v>
      </c>
      <c r="B3312" t="s">
        <v>339</v>
      </c>
      <c r="C3312" t="s">
        <v>72</v>
      </c>
      <c r="D3312">
        <v>0</v>
      </c>
      <c r="E3312" t="s">
        <v>380</v>
      </c>
    </row>
    <row r="3313" spans="1:5" x14ac:dyDescent="0.25">
      <c r="A3313" s="279">
        <v>39083</v>
      </c>
      <c r="B3313" t="s">
        <v>339</v>
      </c>
      <c r="C3313" t="s">
        <v>73</v>
      </c>
      <c r="D3313">
        <v>0</v>
      </c>
      <c r="E3313" t="s">
        <v>378</v>
      </c>
    </row>
    <row r="3314" spans="1:5" x14ac:dyDescent="0.25">
      <c r="A3314" s="279">
        <v>39083</v>
      </c>
      <c r="B3314" t="s">
        <v>339</v>
      </c>
      <c r="C3314" t="s">
        <v>74</v>
      </c>
      <c r="D3314">
        <v>0</v>
      </c>
      <c r="E3314" t="s">
        <v>380</v>
      </c>
    </row>
    <row r="3315" spans="1:5" x14ac:dyDescent="0.25">
      <c r="A3315" s="279">
        <v>39083</v>
      </c>
      <c r="B3315" t="s">
        <v>339</v>
      </c>
      <c r="C3315" t="s">
        <v>75</v>
      </c>
      <c r="D3315">
        <v>15123</v>
      </c>
      <c r="E3315" t="s">
        <v>378</v>
      </c>
    </row>
    <row r="3316" spans="1:5" x14ac:dyDescent="0.25">
      <c r="A3316" s="279">
        <v>39083</v>
      </c>
      <c r="B3316" t="s">
        <v>339</v>
      </c>
      <c r="C3316" t="s">
        <v>76</v>
      </c>
      <c r="D3316">
        <v>0</v>
      </c>
      <c r="E3316" t="s">
        <v>380</v>
      </c>
    </row>
    <row r="3317" spans="1:5" x14ac:dyDescent="0.25">
      <c r="A3317" s="279">
        <v>39083</v>
      </c>
      <c r="B3317" t="s">
        <v>339</v>
      </c>
      <c r="C3317" t="s">
        <v>77</v>
      </c>
      <c r="D3317">
        <v>7324</v>
      </c>
      <c r="E3317" t="s">
        <v>378</v>
      </c>
    </row>
    <row r="3318" spans="1:5" x14ac:dyDescent="0.25">
      <c r="A3318" s="279">
        <v>39083</v>
      </c>
      <c r="B3318" t="s">
        <v>339</v>
      </c>
      <c r="C3318" t="s">
        <v>78</v>
      </c>
      <c r="D3318">
        <v>3935</v>
      </c>
      <c r="E3318" t="s">
        <v>380</v>
      </c>
    </row>
    <row r="3319" spans="1:5" x14ac:dyDescent="0.25">
      <c r="A3319" s="279">
        <v>39083</v>
      </c>
      <c r="B3319" t="s">
        <v>339</v>
      </c>
      <c r="C3319" t="s">
        <v>79</v>
      </c>
      <c r="D3319">
        <v>90193</v>
      </c>
      <c r="E3319" t="s">
        <v>379</v>
      </c>
    </row>
    <row r="3320" spans="1:5" x14ac:dyDescent="0.25">
      <c r="A3320" s="279">
        <v>39083</v>
      </c>
      <c r="B3320" t="s">
        <v>339</v>
      </c>
      <c r="C3320" t="s">
        <v>70</v>
      </c>
      <c r="D3320">
        <v>0</v>
      </c>
      <c r="E3320" t="s">
        <v>379</v>
      </c>
    </row>
    <row r="3321" spans="1:5" x14ac:dyDescent="0.25">
      <c r="A3321" s="279">
        <v>39083</v>
      </c>
      <c r="B3321" t="s">
        <v>339</v>
      </c>
      <c r="C3321" t="s">
        <v>63</v>
      </c>
      <c r="D3321">
        <v>0</v>
      </c>
      <c r="E3321" t="s">
        <v>378</v>
      </c>
    </row>
    <row r="3322" spans="1:5" x14ac:dyDescent="0.25">
      <c r="A3322" s="279">
        <v>39083</v>
      </c>
      <c r="B3322" t="s">
        <v>339</v>
      </c>
      <c r="C3322" t="s">
        <v>80</v>
      </c>
      <c r="D3322">
        <v>134</v>
      </c>
      <c r="E3322" t="s">
        <v>379</v>
      </c>
    </row>
    <row r="3323" spans="1:5" x14ac:dyDescent="0.25">
      <c r="A3323" s="279">
        <v>39084</v>
      </c>
      <c r="B3323" t="s">
        <v>338</v>
      </c>
      <c r="C3323" t="s">
        <v>59</v>
      </c>
      <c r="D3323">
        <v>0</v>
      </c>
      <c r="E3323" t="s">
        <v>378</v>
      </c>
    </row>
    <row r="3324" spans="1:5" x14ac:dyDescent="0.25">
      <c r="A3324" s="279">
        <v>39084</v>
      </c>
      <c r="B3324" t="s">
        <v>338</v>
      </c>
      <c r="C3324" t="s">
        <v>60</v>
      </c>
      <c r="D3324">
        <v>4806</v>
      </c>
      <c r="E3324" t="s">
        <v>379</v>
      </c>
    </row>
    <row r="3325" spans="1:5" x14ac:dyDescent="0.25">
      <c r="A3325" s="279">
        <v>39084</v>
      </c>
      <c r="B3325" t="s">
        <v>338</v>
      </c>
      <c r="C3325" t="s">
        <v>61</v>
      </c>
      <c r="D3325">
        <v>0</v>
      </c>
      <c r="E3325" t="s">
        <v>378</v>
      </c>
    </row>
    <row r="3326" spans="1:5" x14ac:dyDescent="0.25">
      <c r="A3326" s="279">
        <v>39084</v>
      </c>
      <c r="B3326" t="s">
        <v>338</v>
      </c>
      <c r="C3326" t="s">
        <v>62</v>
      </c>
      <c r="D3326">
        <v>0</v>
      </c>
      <c r="E3326" t="s">
        <v>380</v>
      </c>
    </row>
    <row r="3327" spans="1:5" x14ac:dyDescent="0.25">
      <c r="A3327" s="279">
        <v>39084</v>
      </c>
      <c r="B3327" t="s">
        <v>338</v>
      </c>
      <c r="C3327" t="s">
        <v>63</v>
      </c>
      <c r="D3327">
        <v>0</v>
      </c>
      <c r="E3327" t="s">
        <v>378</v>
      </c>
    </row>
    <row r="3328" spans="1:5" x14ac:dyDescent="0.25">
      <c r="A3328" s="279">
        <v>39084</v>
      </c>
      <c r="B3328" t="s">
        <v>338</v>
      </c>
      <c r="C3328" t="s">
        <v>64</v>
      </c>
      <c r="D3328">
        <v>28197</v>
      </c>
      <c r="E3328" t="s">
        <v>380</v>
      </c>
    </row>
    <row r="3329" spans="1:5" x14ac:dyDescent="0.25">
      <c r="A3329" s="279">
        <v>39084</v>
      </c>
      <c r="B3329" t="s">
        <v>338</v>
      </c>
      <c r="C3329" t="s">
        <v>65</v>
      </c>
      <c r="D3329">
        <v>0</v>
      </c>
      <c r="E3329" t="s">
        <v>378</v>
      </c>
    </row>
    <row r="3330" spans="1:5" x14ac:dyDescent="0.25">
      <c r="A3330" s="279">
        <v>39084</v>
      </c>
      <c r="B3330" t="s">
        <v>338</v>
      </c>
      <c r="C3330" t="s">
        <v>66</v>
      </c>
      <c r="D3330">
        <v>0</v>
      </c>
      <c r="E3330" t="s">
        <v>380</v>
      </c>
    </row>
    <row r="3331" spans="1:5" x14ac:dyDescent="0.25">
      <c r="A3331" s="279">
        <v>39084</v>
      </c>
      <c r="B3331" t="s">
        <v>338</v>
      </c>
      <c r="C3331" t="s">
        <v>120</v>
      </c>
      <c r="D3331">
        <v>0</v>
      </c>
      <c r="E3331" t="s">
        <v>378</v>
      </c>
    </row>
    <row r="3332" spans="1:5" x14ac:dyDescent="0.25">
      <c r="A3332" s="279">
        <v>39084</v>
      </c>
      <c r="B3332" t="s">
        <v>338</v>
      </c>
      <c r="C3332" t="s">
        <v>121</v>
      </c>
      <c r="D3332">
        <v>736</v>
      </c>
      <c r="E3332" t="s">
        <v>380</v>
      </c>
    </row>
    <row r="3333" spans="1:5" x14ac:dyDescent="0.25">
      <c r="A3333" s="279">
        <v>39084</v>
      </c>
      <c r="B3333" t="s">
        <v>338</v>
      </c>
      <c r="C3333" t="s">
        <v>67</v>
      </c>
      <c r="D3333">
        <v>0</v>
      </c>
      <c r="E3333" t="s">
        <v>378</v>
      </c>
    </row>
    <row r="3334" spans="1:5" x14ac:dyDescent="0.25">
      <c r="A3334" s="279">
        <v>39084</v>
      </c>
      <c r="B3334" t="s">
        <v>338</v>
      </c>
      <c r="C3334" t="s">
        <v>68</v>
      </c>
      <c r="D3334">
        <v>0</v>
      </c>
      <c r="E3334" t="s">
        <v>380</v>
      </c>
    </row>
    <row r="3335" spans="1:5" x14ac:dyDescent="0.25">
      <c r="A3335" s="279">
        <v>39084</v>
      </c>
      <c r="B3335" t="s">
        <v>338</v>
      </c>
      <c r="C3335" t="s">
        <v>69</v>
      </c>
      <c r="D3335">
        <v>34615</v>
      </c>
      <c r="E3335" t="s">
        <v>379</v>
      </c>
    </row>
    <row r="3336" spans="1:5" x14ac:dyDescent="0.25">
      <c r="A3336" s="279">
        <v>39084</v>
      </c>
      <c r="B3336" t="s">
        <v>338</v>
      </c>
      <c r="C3336" t="s">
        <v>70</v>
      </c>
      <c r="D3336">
        <v>0</v>
      </c>
      <c r="E3336" t="s">
        <v>379</v>
      </c>
    </row>
    <row r="3337" spans="1:5" x14ac:dyDescent="0.25">
      <c r="A3337" s="279">
        <v>39084</v>
      </c>
      <c r="B3337" t="s">
        <v>338</v>
      </c>
      <c r="C3337" t="s">
        <v>80</v>
      </c>
      <c r="D3337">
        <v>0</v>
      </c>
      <c r="E3337" t="s">
        <v>379</v>
      </c>
    </row>
    <row r="3338" spans="1:5" x14ac:dyDescent="0.25">
      <c r="A3338" s="279">
        <v>39084</v>
      </c>
      <c r="B3338" t="s">
        <v>339</v>
      </c>
      <c r="C3338" t="s">
        <v>71</v>
      </c>
      <c r="D3338">
        <v>0</v>
      </c>
      <c r="E3338" t="s">
        <v>378</v>
      </c>
    </row>
    <row r="3339" spans="1:5" x14ac:dyDescent="0.25">
      <c r="A3339" s="279">
        <v>39084</v>
      </c>
      <c r="B3339" t="s">
        <v>339</v>
      </c>
      <c r="C3339" t="s">
        <v>72</v>
      </c>
      <c r="D3339">
        <v>4854</v>
      </c>
      <c r="E3339" t="s">
        <v>380</v>
      </c>
    </row>
    <row r="3340" spans="1:5" x14ac:dyDescent="0.25">
      <c r="A3340" s="279">
        <v>39084</v>
      </c>
      <c r="B3340" t="s">
        <v>339</v>
      </c>
      <c r="C3340" t="s">
        <v>73</v>
      </c>
      <c r="D3340">
        <v>0</v>
      </c>
      <c r="E3340" t="s">
        <v>378</v>
      </c>
    </row>
    <row r="3341" spans="1:5" x14ac:dyDescent="0.25">
      <c r="A3341" s="279">
        <v>39084</v>
      </c>
      <c r="B3341" t="s">
        <v>339</v>
      </c>
      <c r="C3341" t="s">
        <v>74</v>
      </c>
      <c r="D3341">
        <v>29126</v>
      </c>
      <c r="E3341" t="s">
        <v>380</v>
      </c>
    </row>
    <row r="3342" spans="1:5" x14ac:dyDescent="0.25">
      <c r="A3342" s="279">
        <v>39084</v>
      </c>
      <c r="B3342" t="s">
        <v>339</v>
      </c>
      <c r="C3342" t="s">
        <v>75</v>
      </c>
      <c r="D3342">
        <v>15123</v>
      </c>
      <c r="E3342" t="s">
        <v>378</v>
      </c>
    </row>
    <row r="3343" spans="1:5" x14ac:dyDescent="0.25">
      <c r="A3343" s="279">
        <v>39084</v>
      </c>
      <c r="B3343" t="s">
        <v>339</v>
      </c>
      <c r="C3343" t="s">
        <v>76</v>
      </c>
      <c r="D3343">
        <v>29544</v>
      </c>
      <c r="E3343" t="s">
        <v>380</v>
      </c>
    </row>
    <row r="3344" spans="1:5" x14ac:dyDescent="0.25">
      <c r="A3344" s="279">
        <v>39084</v>
      </c>
      <c r="B3344" t="s">
        <v>339</v>
      </c>
      <c r="C3344" t="s">
        <v>77</v>
      </c>
      <c r="D3344">
        <v>7324</v>
      </c>
      <c r="E3344" t="s">
        <v>378</v>
      </c>
    </row>
    <row r="3345" spans="1:5" x14ac:dyDescent="0.25">
      <c r="A3345" s="279">
        <v>39084</v>
      </c>
      <c r="B3345" t="s">
        <v>339</v>
      </c>
      <c r="C3345" t="s">
        <v>78</v>
      </c>
      <c r="D3345">
        <v>8966</v>
      </c>
      <c r="E3345" t="s">
        <v>380</v>
      </c>
    </row>
    <row r="3346" spans="1:5" x14ac:dyDescent="0.25">
      <c r="A3346" s="279">
        <v>39084</v>
      </c>
      <c r="B3346" t="s">
        <v>339</v>
      </c>
      <c r="C3346" t="s">
        <v>79</v>
      </c>
      <c r="D3346">
        <v>90193</v>
      </c>
      <c r="E3346" t="s">
        <v>379</v>
      </c>
    </row>
    <row r="3347" spans="1:5" x14ac:dyDescent="0.25">
      <c r="A3347" s="279">
        <v>39084</v>
      </c>
      <c r="B3347" t="s">
        <v>339</v>
      </c>
      <c r="C3347" t="s">
        <v>70</v>
      </c>
      <c r="D3347">
        <v>0</v>
      </c>
      <c r="E3347" t="s">
        <v>379</v>
      </c>
    </row>
    <row r="3348" spans="1:5" x14ac:dyDescent="0.25">
      <c r="A3348" s="279">
        <v>39084</v>
      </c>
      <c r="B3348" t="s">
        <v>339</v>
      </c>
      <c r="C3348" t="s">
        <v>63</v>
      </c>
      <c r="D3348">
        <v>0</v>
      </c>
      <c r="E3348" t="s">
        <v>378</v>
      </c>
    </row>
    <row r="3349" spans="1:5" x14ac:dyDescent="0.25">
      <c r="A3349" s="279">
        <v>39084</v>
      </c>
      <c r="B3349" t="s">
        <v>339</v>
      </c>
      <c r="C3349" t="s">
        <v>80</v>
      </c>
      <c r="D3349">
        <v>134</v>
      </c>
      <c r="E3349" t="s">
        <v>379</v>
      </c>
    </row>
    <row r="3350" spans="1:5" x14ac:dyDescent="0.25">
      <c r="A3350" s="279">
        <v>39085</v>
      </c>
      <c r="B3350" t="s">
        <v>338</v>
      </c>
      <c r="C3350" t="s">
        <v>59</v>
      </c>
      <c r="D3350">
        <v>0</v>
      </c>
      <c r="E3350" t="s">
        <v>378</v>
      </c>
    </row>
    <row r="3351" spans="1:5" x14ac:dyDescent="0.25">
      <c r="A3351" s="279">
        <v>39085</v>
      </c>
      <c r="B3351" t="s">
        <v>338</v>
      </c>
      <c r="C3351" t="s">
        <v>60</v>
      </c>
      <c r="D3351">
        <v>4797</v>
      </c>
      <c r="E3351" t="s">
        <v>379</v>
      </c>
    </row>
    <row r="3352" spans="1:5" x14ac:dyDescent="0.25">
      <c r="A3352" s="279">
        <v>39085</v>
      </c>
      <c r="B3352" t="s">
        <v>338</v>
      </c>
      <c r="C3352" t="s">
        <v>61</v>
      </c>
      <c r="D3352">
        <v>0</v>
      </c>
      <c r="E3352" t="s">
        <v>378</v>
      </c>
    </row>
    <row r="3353" spans="1:5" x14ac:dyDescent="0.25">
      <c r="A3353" s="279">
        <v>39085</v>
      </c>
      <c r="B3353" t="s">
        <v>338</v>
      </c>
      <c r="C3353" t="s">
        <v>62</v>
      </c>
      <c r="D3353">
        <v>633</v>
      </c>
      <c r="E3353" t="s">
        <v>380</v>
      </c>
    </row>
    <row r="3354" spans="1:5" x14ac:dyDescent="0.25">
      <c r="A3354" s="279">
        <v>39085</v>
      </c>
      <c r="B3354" t="s">
        <v>338</v>
      </c>
      <c r="C3354" t="s">
        <v>63</v>
      </c>
      <c r="D3354">
        <v>0</v>
      </c>
      <c r="E3354" t="s">
        <v>378</v>
      </c>
    </row>
    <row r="3355" spans="1:5" x14ac:dyDescent="0.25">
      <c r="A3355" s="279">
        <v>39085</v>
      </c>
      <c r="B3355" t="s">
        <v>338</v>
      </c>
      <c r="C3355" t="s">
        <v>64</v>
      </c>
      <c r="D3355">
        <v>28143</v>
      </c>
      <c r="E3355" t="s">
        <v>380</v>
      </c>
    </row>
    <row r="3356" spans="1:5" x14ac:dyDescent="0.25">
      <c r="A3356" s="279">
        <v>39085</v>
      </c>
      <c r="B3356" t="s">
        <v>338</v>
      </c>
      <c r="C3356" t="s">
        <v>65</v>
      </c>
      <c r="D3356">
        <v>0</v>
      </c>
      <c r="E3356" t="s">
        <v>378</v>
      </c>
    </row>
    <row r="3357" spans="1:5" x14ac:dyDescent="0.25">
      <c r="A3357" s="279">
        <v>39085</v>
      </c>
      <c r="B3357" t="s">
        <v>338</v>
      </c>
      <c r="C3357" t="s">
        <v>66</v>
      </c>
      <c r="D3357">
        <v>0</v>
      </c>
      <c r="E3357" t="s">
        <v>380</v>
      </c>
    </row>
    <row r="3358" spans="1:5" x14ac:dyDescent="0.25">
      <c r="A3358" s="279">
        <v>39085</v>
      </c>
      <c r="B3358" t="s">
        <v>338</v>
      </c>
      <c r="C3358" t="s">
        <v>120</v>
      </c>
      <c r="D3358">
        <v>0</v>
      </c>
      <c r="E3358" t="s">
        <v>378</v>
      </c>
    </row>
    <row r="3359" spans="1:5" x14ac:dyDescent="0.25">
      <c r="A3359" s="279">
        <v>39085</v>
      </c>
      <c r="B3359" t="s">
        <v>338</v>
      </c>
      <c r="C3359" t="s">
        <v>121</v>
      </c>
      <c r="D3359">
        <v>20007</v>
      </c>
      <c r="E3359" t="s">
        <v>380</v>
      </c>
    </row>
    <row r="3360" spans="1:5" x14ac:dyDescent="0.25">
      <c r="A3360" s="279">
        <v>39085</v>
      </c>
      <c r="B3360" t="s">
        <v>338</v>
      </c>
      <c r="C3360" t="s">
        <v>67</v>
      </c>
      <c r="D3360">
        <v>0</v>
      </c>
      <c r="E3360" t="s">
        <v>378</v>
      </c>
    </row>
    <row r="3361" spans="1:5" x14ac:dyDescent="0.25">
      <c r="A3361" s="279">
        <v>39085</v>
      </c>
      <c r="B3361" t="s">
        <v>338</v>
      </c>
      <c r="C3361" t="s">
        <v>68</v>
      </c>
      <c r="D3361">
        <v>0</v>
      </c>
      <c r="E3361" t="s">
        <v>380</v>
      </c>
    </row>
    <row r="3362" spans="1:5" x14ac:dyDescent="0.25">
      <c r="A3362" s="279">
        <v>39085</v>
      </c>
      <c r="B3362" t="s">
        <v>338</v>
      </c>
      <c r="C3362" t="s">
        <v>69</v>
      </c>
      <c r="D3362">
        <v>34549</v>
      </c>
      <c r="E3362" t="s">
        <v>379</v>
      </c>
    </row>
    <row r="3363" spans="1:5" x14ac:dyDescent="0.25">
      <c r="A3363" s="279">
        <v>39085</v>
      </c>
      <c r="B3363" t="s">
        <v>338</v>
      </c>
      <c r="C3363" t="s">
        <v>70</v>
      </c>
      <c r="D3363">
        <v>0</v>
      </c>
      <c r="E3363" t="s">
        <v>379</v>
      </c>
    </row>
    <row r="3364" spans="1:5" x14ac:dyDescent="0.25">
      <c r="A3364" s="279">
        <v>39085</v>
      </c>
      <c r="B3364" t="s">
        <v>338</v>
      </c>
      <c r="C3364" t="s">
        <v>80</v>
      </c>
      <c r="D3364">
        <v>0</v>
      </c>
      <c r="E3364" t="s">
        <v>379</v>
      </c>
    </row>
    <row r="3365" spans="1:5" x14ac:dyDescent="0.25">
      <c r="A3365" s="279">
        <v>39085</v>
      </c>
      <c r="B3365" t="s">
        <v>339</v>
      </c>
      <c r="C3365" t="s">
        <v>71</v>
      </c>
      <c r="D3365">
        <v>0</v>
      </c>
      <c r="E3365" t="s">
        <v>378</v>
      </c>
    </row>
    <row r="3366" spans="1:5" x14ac:dyDescent="0.25">
      <c r="A3366" s="279">
        <v>39085</v>
      </c>
      <c r="B3366" t="s">
        <v>339</v>
      </c>
      <c r="C3366" t="s">
        <v>72</v>
      </c>
      <c r="D3366">
        <v>4854</v>
      </c>
      <c r="E3366" t="s">
        <v>380</v>
      </c>
    </row>
    <row r="3367" spans="1:5" x14ac:dyDescent="0.25">
      <c r="A3367" s="279">
        <v>39085</v>
      </c>
      <c r="B3367" t="s">
        <v>339</v>
      </c>
      <c r="C3367" t="s">
        <v>73</v>
      </c>
      <c r="D3367">
        <v>0</v>
      </c>
      <c r="E3367" t="s">
        <v>378</v>
      </c>
    </row>
    <row r="3368" spans="1:5" x14ac:dyDescent="0.25">
      <c r="A3368" s="279">
        <v>39085</v>
      </c>
      <c r="B3368" t="s">
        <v>339</v>
      </c>
      <c r="C3368" t="s">
        <v>74</v>
      </c>
      <c r="D3368">
        <v>24718</v>
      </c>
      <c r="E3368" t="s">
        <v>380</v>
      </c>
    </row>
    <row r="3369" spans="1:5" x14ac:dyDescent="0.25">
      <c r="A3369" s="279">
        <v>39085</v>
      </c>
      <c r="B3369" t="s">
        <v>339</v>
      </c>
      <c r="C3369" t="s">
        <v>75</v>
      </c>
      <c r="D3369">
        <v>15123</v>
      </c>
      <c r="E3369" t="s">
        <v>378</v>
      </c>
    </row>
    <row r="3370" spans="1:5" x14ac:dyDescent="0.25">
      <c r="A3370" s="279">
        <v>39085</v>
      </c>
      <c r="B3370" t="s">
        <v>339</v>
      </c>
      <c r="C3370" t="s">
        <v>76</v>
      </c>
      <c r="D3370">
        <v>14579</v>
      </c>
      <c r="E3370" t="s">
        <v>380</v>
      </c>
    </row>
    <row r="3371" spans="1:5" x14ac:dyDescent="0.25">
      <c r="A3371" s="279">
        <v>39085</v>
      </c>
      <c r="B3371" t="s">
        <v>339</v>
      </c>
      <c r="C3371" t="s">
        <v>77</v>
      </c>
      <c r="D3371">
        <v>7324</v>
      </c>
      <c r="E3371" t="s">
        <v>378</v>
      </c>
    </row>
    <row r="3372" spans="1:5" x14ac:dyDescent="0.25">
      <c r="A3372" s="279">
        <v>39085</v>
      </c>
      <c r="B3372" t="s">
        <v>339</v>
      </c>
      <c r="C3372" t="s">
        <v>78</v>
      </c>
      <c r="D3372">
        <v>7056</v>
      </c>
      <c r="E3372" t="s">
        <v>380</v>
      </c>
    </row>
    <row r="3373" spans="1:5" x14ac:dyDescent="0.25">
      <c r="A3373" s="279">
        <v>39085</v>
      </c>
      <c r="B3373" t="s">
        <v>339</v>
      </c>
      <c r="C3373" t="s">
        <v>79</v>
      </c>
      <c r="D3373">
        <v>65921</v>
      </c>
      <c r="E3373" t="s">
        <v>379</v>
      </c>
    </row>
    <row r="3374" spans="1:5" x14ac:dyDescent="0.25">
      <c r="A3374" s="279">
        <v>39085</v>
      </c>
      <c r="B3374" t="s">
        <v>339</v>
      </c>
      <c r="C3374" t="s">
        <v>70</v>
      </c>
      <c r="D3374">
        <v>0</v>
      </c>
      <c r="E3374" t="s">
        <v>379</v>
      </c>
    </row>
    <row r="3375" spans="1:5" x14ac:dyDescent="0.25">
      <c r="A3375" s="279">
        <v>39085</v>
      </c>
      <c r="B3375" t="s">
        <v>339</v>
      </c>
      <c r="C3375" t="s">
        <v>63</v>
      </c>
      <c r="D3375">
        <v>0</v>
      </c>
      <c r="E3375" t="s">
        <v>378</v>
      </c>
    </row>
    <row r="3376" spans="1:5" x14ac:dyDescent="0.25">
      <c r="A3376" s="279">
        <v>39085</v>
      </c>
      <c r="B3376" t="s">
        <v>339</v>
      </c>
      <c r="C3376" t="s">
        <v>80</v>
      </c>
      <c r="D3376">
        <v>134</v>
      </c>
      <c r="E3376" t="s">
        <v>379</v>
      </c>
    </row>
    <row r="3377" spans="1:5" x14ac:dyDescent="0.25">
      <c r="A3377" s="279">
        <v>39086</v>
      </c>
      <c r="B3377" t="s">
        <v>338</v>
      </c>
      <c r="C3377" t="s">
        <v>59</v>
      </c>
      <c r="D3377">
        <v>0</v>
      </c>
      <c r="E3377" t="s">
        <v>378</v>
      </c>
    </row>
    <row r="3378" spans="1:5" x14ac:dyDescent="0.25">
      <c r="A3378" s="279">
        <v>39086</v>
      </c>
      <c r="B3378" t="s">
        <v>338</v>
      </c>
      <c r="C3378" t="s">
        <v>60</v>
      </c>
      <c r="D3378">
        <v>4792</v>
      </c>
      <c r="E3378" t="s">
        <v>379</v>
      </c>
    </row>
    <row r="3379" spans="1:5" x14ac:dyDescent="0.25">
      <c r="A3379" s="279">
        <v>39086</v>
      </c>
      <c r="B3379" t="s">
        <v>338</v>
      </c>
      <c r="C3379" t="s">
        <v>61</v>
      </c>
      <c r="D3379">
        <v>0</v>
      </c>
      <c r="E3379" t="s">
        <v>378</v>
      </c>
    </row>
    <row r="3380" spans="1:5" x14ac:dyDescent="0.25">
      <c r="A3380" s="279">
        <v>39086</v>
      </c>
      <c r="B3380" t="s">
        <v>338</v>
      </c>
      <c r="C3380" t="s">
        <v>62</v>
      </c>
      <c r="D3380">
        <v>0</v>
      </c>
      <c r="E3380" t="s">
        <v>380</v>
      </c>
    </row>
    <row r="3381" spans="1:5" x14ac:dyDescent="0.25">
      <c r="A3381" s="279">
        <v>39086</v>
      </c>
      <c r="B3381" t="s">
        <v>338</v>
      </c>
      <c r="C3381" t="s">
        <v>63</v>
      </c>
      <c r="D3381">
        <v>0</v>
      </c>
      <c r="E3381" t="s">
        <v>378</v>
      </c>
    </row>
    <row r="3382" spans="1:5" x14ac:dyDescent="0.25">
      <c r="A3382" s="279">
        <v>39086</v>
      </c>
      <c r="B3382" t="s">
        <v>338</v>
      </c>
      <c r="C3382" t="s">
        <v>64</v>
      </c>
      <c r="D3382">
        <v>24648</v>
      </c>
      <c r="E3382" t="s">
        <v>380</v>
      </c>
    </row>
    <row r="3383" spans="1:5" x14ac:dyDescent="0.25">
      <c r="A3383" s="279">
        <v>39086</v>
      </c>
      <c r="B3383" t="s">
        <v>338</v>
      </c>
      <c r="C3383" t="s">
        <v>65</v>
      </c>
      <c r="D3383">
        <v>0</v>
      </c>
      <c r="E3383" t="s">
        <v>378</v>
      </c>
    </row>
    <row r="3384" spans="1:5" x14ac:dyDescent="0.25">
      <c r="A3384" s="279">
        <v>39086</v>
      </c>
      <c r="B3384" t="s">
        <v>338</v>
      </c>
      <c r="C3384" t="s">
        <v>66</v>
      </c>
      <c r="D3384">
        <v>0</v>
      </c>
      <c r="E3384" t="s">
        <v>380</v>
      </c>
    </row>
    <row r="3385" spans="1:5" x14ac:dyDescent="0.25">
      <c r="A3385" s="279">
        <v>39086</v>
      </c>
      <c r="B3385" t="s">
        <v>338</v>
      </c>
      <c r="C3385" t="s">
        <v>120</v>
      </c>
      <c r="D3385">
        <v>0</v>
      </c>
      <c r="E3385" t="s">
        <v>378</v>
      </c>
    </row>
    <row r="3386" spans="1:5" x14ac:dyDescent="0.25">
      <c r="A3386" s="279">
        <v>39086</v>
      </c>
      <c r="B3386" t="s">
        <v>338</v>
      </c>
      <c r="C3386" t="s">
        <v>121</v>
      </c>
      <c r="D3386">
        <v>733</v>
      </c>
      <c r="E3386" t="s">
        <v>380</v>
      </c>
    </row>
    <row r="3387" spans="1:5" x14ac:dyDescent="0.25">
      <c r="A3387" s="279">
        <v>39086</v>
      </c>
      <c r="B3387" t="s">
        <v>338</v>
      </c>
      <c r="C3387" t="s">
        <v>67</v>
      </c>
      <c r="D3387">
        <v>0</v>
      </c>
      <c r="E3387" t="s">
        <v>378</v>
      </c>
    </row>
    <row r="3388" spans="1:5" x14ac:dyDescent="0.25">
      <c r="A3388" s="279">
        <v>39086</v>
      </c>
      <c r="B3388" t="s">
        <v>338</v>
      </c>
      <c r="C3388" t="s">
        <v>68</v>
      </c>
      <c r="D3388">
        <v>0</v>
      </c>
      <c r="E3388" t="s">
        <v>380</v>
      </c>
    </row>
    <row r="3389" spans="1:5" x14ac:dyDescent="0.25">
      <c r="A3389" s="279">
        <v>39086</v>
      </c>
      <c r="B3389" t="s">
        <v>338</v>
      </c>
      <c r="C3389" t="s">
        <v>69</v>
      </c>
      <c r="D3389">
        <v>34516</v>
      </c>
      <c r="E3389" t="s">
        <v>379</v>
      </c>
    </row>
    <row r="3390" spans="1:5" x14ac:dyDescent="0.25">
      <c r="A3390" s="279">
        <v>39086</v>
      </c>
      <c r="B3390" t="s">
        <v>338</v>
      </c>
      <c r="C3390" t="s">
        <v>70</v>
      </c>
      <c r="D3390">
        <v>0</v>
      </c>
      <c r="E3390" t="s">
        <v>379</v>
      </c>
    </row>
    <row r="3391" spans="1:5" x14ac:dyDescent="0.25">
      <c r="A3391" s="279">
        <v>39086</v>
      </c>
      <c r="B3391" t="s">
        <v>338</v>
      </c>
      <c r="C3391" t="s">
        <v>80</v>
      </c>
      <c r="D3391">
        <v>0</v>
      </c>
      <c r="E3391" t="s">
        <v>379</v>
      </c>
    </row>
    <row r="3392" spans="1:5" x14ac:dyDescent="0.25">
      <c r="A3392" s="279">
        <v>39086</v>
      </c>
      <c r="B3392" t="s">
        <v>339</v>
      </c>
      <c r="C3392" t="s">
        <v>71</v>
      </c>
      <c r="D3392">
        <v>0</v>
      </c>
      <c r="E3392" t="s">
        <v>378</v>
      </c>
    </row>
    <row r="3393" spans="1:5" x14ac:dyDescent="0.25">
      <c r="A3393" s="279">
        <v>39086</v>
      </c>
      <c r="B3393" t="s">
        <v>339</v>
      </c>
      <c r="C3393" t="s">
        <v>72</v>
      </c>
      <c r="D3393">
        <v>0</v>
      </c>
      <c r="E3393" t="s">
        <v>380</v>
      </c>
    </row>
    <row r="3394" spans="1:5" x14ac:dyDescent="0.25">
      <c r="A3394" s="279">
        <v>39086</v>
      </c>
      <c r="B3394" t="s">
        <v>339</v>
      </c>
      <c r="C3394" t="s">
        <v>73</v>
      </c>
      <c r="D3394">
        <v>0</v>
      </c>
      <c r="E3394" t="s">
        <v>378</v>
      </c>
    </row>
    <row r="3395" spans="1:5" x14ac:dyDescent="0.25">
      <c r="A3395" s="279">
        <v>39086</v>
      </c>
      <c r="B3395" t="s">
        <v>339</v>
      </c>
      <c r="C3395" t="s">
        <v>74</v>
      </c>
      <c r="D3395">
        <v>0</v>
      </c>
      <c r="E3395" t="s">
        <v>380</v>
      </c>
    </row>
    <row r="3396" spans="1:5" x14ac:dyDescent="0.25">
      <c r="A3396" s="279">
        <v>39086</v>
      </c>
      <c r="B3396" t="s">
        <v>339</v>
      </c>
      <c r="C3396" t="s">
        <v>75</v>
      </c>
      <c r="D3396">
        <v>15079</v>
      </c>
      <c r="E3396" t="s">
        <v>378</v>
      </c>
    </row>
    <row r="3397" spans="1:5" x14ac:dyDescent="0.25">
      <c r="A3397" s="279">
        <v>39086</v>
      </c>
      <c r="B3397" t="s">
        <v>339</v>
      </c>
      <c r="C3397" t="s">
        <v>76</v>
      </c>
      <c r="D3397">
        <v>1993</v>
      </c>
      <c r="E3397" t="s">
        <v>380</v>
      </c>
    </row>
    <row r="3398" spans="1:5" x14ac:dyDescent="0.25">
      <c r="A3398" s="279">
        <v>39086</v>
      </c>
      <c r="B3398" t="s">
        <v>339</v>
      </c>
      <c r="C3398" t="s">
        <v>77</v>
      </c>
      <c r="D3398">
        <v>7303</v>
      </c>
      <c r="E3398" t="s">
        <v>378</v>
      </c>
    </row>
    <row r="3399" spans="1:5" x14ac:dyDescent="0.25">
      <c r="A3399" s="279">
        <v>39086</v>
      </c>
      <c r="B3399" t="s">
        <v>339</v>
      </c>
      <c r="C3399" t="s">
        <v>78</v>
      </c>
      <c r="D3399">
        <v>7036</v>
      </c>
      <c r="E3399" t="s">
        <v>380</v>
      </c>
    </row>
    <row r="3400" spans="1:5" x14ac:dyDescent="0.25">
      <c r="A3400" s="279">
        <v>39086</v>
      </c>
      <c r="B3400" t="s">
        <v>339</v>
      </c>
      <c r="C3400" t="s">
        <v>79</v>
      </c>
      <c r="D3400">
        <v>65730</v>
      </c>
      <c r="E3400" t="s">
        <v>379</v>
      </c>
    </row>
    <row r="3401" spans="1:5" x14ac:dyDescent="0.25">
      <c r="A3401" s="279">
        <v>39086</v>
      </c>
      <c r="B3401" t="s">
        <v>339</v>
      </c>
      <c r="C3401" t="s">
        <v>70</v>
      </c>
      <c r="D3401">
        <v>0</v>
      </c>
      <c r="E3401" t="s">
        <v>379</v>
      </c>
    </row>
    <row r="3402" spans="1:5" x14ac:dyDescent="0.25">
      <c r="A3402" s="279">
        <v>39086</v>
      </c>
      <c r="B3402" t="s">
        <v>339</v>
      </c>
      <c r="C3402" t="s">
        <v>63</v>
      </c>
      <c r="D3402">
        <v>0</v>
      </c>
      <c r="E3402" t="s">
        <v>378</v>
      </c>
    </row>
    <row r="3403" spans="1:5" x14ac:dyDescent="0.25">
      <c r="A3403" s="279">
        <v>39086</v>
      </c>
      <c r="B3403" t="s">
        <v>339</v>
      </c>
      <c r="C3403" t="s">
        <v>80</v>
      </c>
      <c r="D3403">
        <v>134</v>
      </c>
      <c r="E3403" t="s">
        <v>379</v>
      </c>
    </row>
    <row r="3404" spans="1:5" x14ac:dyDescent="0.25">
      <c r="A3404" s="279">
        <v>39087</v>
      </c>
      <c r="B3404" t="s">
        <v>338</v>
      </c>
      <c r="C3404" t="s">
        <v>59</v>
      </c>
      <c r="D3404">
        <v>0</v>
      </c>
      <c r="E3404" t="s">
        <v>378</v>
      </c>
    </row>
    <row r="3405" spans="1:5" x14ac:dyDescent="0.25">
      <c r="A3405" s="279">
        <v>39087</v>
      </c>
      <c r="B3405" t="s">
        <v>338</v>
      </c>
      <c r="C3405" t="s">
        <v>60</v>
      </c>
      <c r="D3405">
        <v>0</v>
      </c>
      <c r="E3405" t="s">
        <v>379</v>
      </c>
    </row>
    <row r="3406" spans="1:5" x14ac:dyDescent="0.25">
      <c r="A3406" s="279">
        <v>39087</v>
      </c>
      <c r="B3406" t="s">
        <v>338</v>
      </c>
      <c r="C3406" t="s">
        <v>61</v>
      </c>
      <c r="D3406">
        <v>4027</v>
      </c>
      <c r="E3406" t="s">
        <v>378</v>
      </c>
    </row>
    <row r="3407" spans="1:5" x14ac:dyDescent="0.25">
      <c r="A3407" s="279">
        <v>39087</v>
      </c>
      <c r="B3407" t="s">
        <v>338</v>
      </c>
      <c r="C3407" t="s">
        <v>62</v>
      </c>
      <c r="D3407">
        <v>0</v>
      </c>
      <c r="E3407" t="s">
        <v>380</v>
      </c>
    </row>
    <row r="3408" spans="1:5" x14ac:dyDescent="0.25">
      <c r="A3408" s="279">
        <v>39087</v>
      </c>
      <c r="B3408" t="s">
        <v>338</v>
      </c>
      <c r="C3408" t="s">
        <v>63</v>
      </c>
      <c r="D3408">
        <v>0</v>
      </c>
      <c r="E3408" t="s">
        <v>378</v>
      </c>
    </row>
    <row r="3409" spans="1:5" x14ac:dyDescent="0.25">
      <c r="A3409" s="279">
        <v>39087</v>
      </c>
      <c r="B3409" t="s">
        <v>338</v>
      </c>
      <c r="C3409" t="s">
        <v>64</v>
      </c>
      <c r="D3409">
        <v>0</v>
      </c>
      <c r="E3409" t="s">
        <v>380</v>
      </c>
    </row>
    <row r="3410" spans="1:5" x14ac:dyDescent="0.25">
      <c r="A3410" s="279">
        <v>39087</v>
      </c>
      <c r="B3410" t="s">
        <v>338</v>
      </c>
      <c r="C3410" t="s">
        <v>65</v>
      </c>
      <c r="D3410">
        <v>0</v>
      </c>
      <c r="E3410" t="s">
        <v>378</v>
      </c>
    </row>
    <row r="3411" spans="1:5" x14ac:dyDescent="0.25">
      <c r="A3411" s="279">
        <v>39087</v>
      </c>
      <c r="B3411" t="s">
        <v>338</v>
      </c>
      <c r="C3411" t="s">
        <v>66</v>
      </c>
      <c r="D3411">
        <v>0</v>
      </c>
      <c r="E3411" t="s">
        <v>380</v>
      </c>
    </row>
    <row r="3412" spans="1:5" x14ac:dyDescent="0.25">
      <c r="A3412" s="279">
        <v>39087</v>
      </c>
      <c r="B3412" t="s">
        <v>338</v>
      </c>
      <c r="C3412" t="s">
        <v>120</v>
      </c>
      <c r="D3412">
        <v>12138</v>
      </c>
      <c r="E3412" t="s">
        <v>378</v>
      </c>
    </row>
    <row r="3413" spans="1:5" x14ac:dyDescent="0.25">
      <c r="A3413" s="279">
        <v>39087</v>
      </c>
      <c r="B3413" t="s">
        <v>338</v>
      </c>
      <c r="C3413" t="s">
        <v>121</v>
      </c>
      <c r="D3413">
        <v>0</v>
      </c>
      <c r="E3413" t="s">
        <v>380</v>
      </c>
    </row>
    <row r="3414" spans="1:5" x14ac:dyDescent="0.25">
      <c r="A3414" s="279">
        <v>39087</v>
      </c>
      <c r="B3414" t="s">
        <v>338</v>
      </c>
      <c r="C3414" t="s">
        <v>67</v>
      </c>
      <c r="D3414">
        <v>0</v>
      </c>
      <c r="E3414" t="s">
        <v>378</v>
      </c>
    </row>
    <row r="3415" spans="1:5" x14ac:dyDescent="0.25">
      <c r="A3415" s="279">
        <v>39087</v>
      </c>
      <c r="B3415" t="s">
        <v>338</v>
      </c>
      <c r="C3415" t="s">
        <v>68</v>
      </c>
      <c r="D3415">
        <v>0</v>
      </c>
      <c r="E3415" t="s">
        <v>380</v>
      </c>
    </row>
    <row r="3416" spans="1:5" x14ac:dyDescent="0.25">
      <c r="A3416" s="279">
        <v>39087</v>
      </c>
      <c r="B3416" t="s">
        <v>338</v>
      </c>
      <c r="C3416" t="s">
        <v>69</v>
      </c>
      <c r="D3416">
        <v>34516</v>
      </c>
      <c r="E3416" t="s">
        <v>379</v>
      </c>
    </row>
    <row r="3417" spans="1:5" x14ac:dyDescent="0.25">
      <c r="A3417" s="279">
        <v>39087</v>
      </c>
      <c r="B3417" t="s">
        <v>338</v>
      </c>
      <c r="C3417" t="s">
        <v>70</v>
      </c>
      <c r="D3417">
        <v>0</v>
      </c>
      <c r="E3417" t="s">
        <v>379</v>
      </c>
    </row>
    <row r="3418" spans="1:5" x14ac:dyDescent="0.25">
      <c r="A3418" s="279">
        <v>39087</v>
      </c>
      <c r="B3418" t="s">
        <v>338</v>
      </c>
      <c r="C3418" t="s">
        <v>80</v>
      </c>
      <c r="D3418">
        <v>140</v>
      </c>
      <c r="E3418" t="s">
        <v>379</v>
      </c>
    </row>
    <row r="3419" spans="1:5" x14ac:dyDescent="0.25">
      <c r="A3419" s="279">
        <v>39087</v>
      </c>
      <c r="B3419" t="s">
        <v>339</v>
      </c>
      <c r="C3419" t="s">
        <v>71</v>
      </c>
      <c r="D3419">
        <v>0</v>
      </c>
      <c r="E3419" t="s">
        <v>378</v>
      </c>
    </row>
    <row r="3420" spans="1:5" x14ac:dyDescent="0.25">
      <c r="A3420" s="279">
        <v>39087</v>
      </c>
      <c r="B3420" t="s">
        <v>339</v>
      </c>
      <c r="C3420" t="s">
        <v>72</v>
      </c>
      <c r="D3420">
        <v>0</v>
      </c>
      <c r="E3420" t="s">
        <v>380</v>
      </c>
    </row>
    <row r="3421" spans="1:5" x14ac:dyDescent="0.25">
      <c r="A3421" s="279">
        <v>39087</v>
      </c>
      <c r="B3421" t="s">
        <v>339</v>
      </c>
      <c r="C3421" t="s">
        <v>73</v>
      </c>
      <c r="D3421">
        <v>7947</v>
      </c>
      <c r="E3421" t="s">
        <v>378</v>
      </c>
    </row>
    <row r="3422" spans="1:5" x14ac:dyDescent="0.25">
      <c r="A3422" s="279">
        <v>39087</v>
      </c>
      <c r="B3422" t="s">
        <v>339</v>
      </c>
      <c r="C3422" t="s">
        <v>74</v>
      </c>
      <c r="D3422">
        <v>0</v>
      </c>
      <c r="E3422" t="s">
        <v>380</v>
      </c>
    </row>
    <row r="3423" spans="1:5" x14ac:dyDescent="0.25">
      <c r="A3423" s="279">
        <v>39087</v>
      </c>
      <c r="B3423" t="s">
        <v>339</v>
      </c>
      <c r="C3423" t="s">
        <v>75</v>
      </c>
      <c r="D3423">
        <v>14978</v>
      </c>
      <c r="E3423" t="s">
        <v>378</v>
      </c>
    </row>
    <row r="3424" spans="1:5" x14ac:dyDescent="0.25">
      <c r="A3424" s="279">
        <v>39087</v>
      </c>
      <c r="B3424" t="s">
        <v>339</v>
      </c>
      <c r="C3424" t="s">
        <v>76</v>
      </c>
      <c r="D3424">
        <v>0</v>
      </c>
      <c r="E3424" t="s">
        <v>380</v>
      </c>
    </row>
    <row r="3425" spans="1:5" x14ac:dyDescent="0.25">
      <c r="A3425" s="279">
        <v>39087</v>
      </c>
      <c r="B3425" t="s">
        <v>339</v>
      </c>
      <c r="C3425" t="s">
        <v>77</v>
      </c>
      <c r="D3425">
        <v>7254</v>
      </c>
      <c r="E3425" t="s">
        <v>378</v>
      </c>
    </row>
    <row r="3426" spans="1:5" x14ac:dyDescent="0.25">
      <c r="A3426" s="279">
        <v>39087</v>
      </c>
      <c r="B3426" t="s">
        <v>339</v>
      </c>
      <c r="C3426" t="s">
        <v>78</v>
      </c>
      <c r="D3426">
        <v>0</v>
      </c>
      <c r="E3426" t="s">
        <v>380</v>
      </c>
    </row>
    <row r="3427" spans="1:5" x14ac:dyDescent="0.25">
      <c r="A3427" s="279">
        <v>39087</v>
      </c>
      <c r="B3427" t="s">
        <v>339</v>
      </c>
      <c r="C3427" t="s">
        <v>79</v>
      </c>
      <c r="D3427">
        <v>65288</v>
      </c>
      <c r="E3427" t="s">
        <v>379</v>
      </c>
    </row>
    <row r="3428" spans="1:5" x14ac:dyDescent="0.25">
      <c r="A3428" s="279">
        <v>39087</v>
      </c>
      <c r="B3428" t="s">
        <v>339</v>
      </c>
      <c r="C3428" t="s">
        <v>70</v>
      </c>
      <c r="D3428">
        <v>0</v>
      </c>
      <c r="E3428" t="s">
        <v>379</v>
      </c>
    </row>
    <row r="3429" spans="1:5" x14ac:dyDescent="0.25">
      <c r="A3429" s="279">
        <v>39087</v>
      </c>
      <c r="B3429" t="s">
        <v>339</v>
      </c>
      <c r="C3429" t="s">
        <v>63</v>
      </c>
      <c r="D3429">
        <v>0</v>
      </c>
      <c r="E3429" t="s">
        <v>378</v>
      </c>
    </row>
    <row r="3430" spans="1:5" x14ac:dyDescent="0.25">
      <c r="A3430" s="279">
        <v>39087</v>
      </c>
      <c r="B3430" t="s">
        <v>339</v>
      </c>
      <c r="C3430" t="s">
        <v>80</v>
      </c>
      <c r="D3430">
        <v>436</v>
      </c>
      <c r="E3430" t="s">
        <v>379</v>
      </c>
    </row>
    <row r="3431" spans="1:5" x14ac:dyDescent="0.25">
      <c r="A3431" s="279">
        <v>39088</v>
      </c>
      <c r="B3431" t="s">
        <v>338</v>
      </c>
      <c r="C3431" t="s">
        <v>59</v>
      </c>
      <c r="D3431">
        <v>0</v>
      </c>
      <c r="E3431" t="s">
        <v>378</v>
      </c>
    </row>
    <row r="3432" spans="1:5" x14ac:dyDescent="0.25">
      <c r="A3432" s="279">
        <v>39088</v>
      </c>
      <c r="B3432" t="s">
        <v>338</v>
      </c>
      <c r="C3432" t="s">
        <v>60</v>
      </c>
      <c r="D3432">
        <v>0</v>
      </c>
      <c r="E3432" t="s">
        <v>379</v>
      </c>
    </row>
    <row r="3433" spans="1:5" x14ac:dyDescent="0.25">
      <c r="A3433" s="279">
        <v>39088</v>
      </c>
      <c r="B3433" t="s">
        <v>338</v>
      </c>
      <c r="C3433" t="s">
        <v>61</v>
      </c>
      <c r="D3433">
        <v>0</v>
      </c>
      <c r="E3433" t="s">
        <v>378</v>
      </c>
    </row>
    <row r="3434" spans="1:5" x14ac:dyDescent="0.25">
      <c r="A3434" s="279">
        <v>39088</v>
      </c>
      <c r="B3434" t="s">
        <v>338</v>
      </c>
      <c r="C3434" t="s">
        <v>62</v>
      </c>
      <c r="D3434">
        <v>0</v>
      </c>
      <c r="E3434" t="s">
        <v>380</v>
      </c>
    </row>
    <row r="3435" spans="1:5" x14ac:dyDescent="0.25">
      <c r="A3435" s="279">
        <v>39088</v>
      </c>
      <c r="B3435" t="s">
        <v>338</v>
      </c>
      <c r="C3435" t="s">
        <v>63</v>
      </c>
      <c r="D3435">
        <v>7261</v>
      </c>
      <c r="E3435" t="s">
        <v>378</v>
      </c>
    </row>
    <row r="3436" spans="1:5" x14ac:dyDescent="0.25">
      <c r="A3436" s="279">
        <v>39088</v>
      </c>
      <c r="B3436" t="s">
        <v>338</v>
      </c>
      <c r="C3436" t="s">
        <v>64</v>
      </c>
      <c r="D3436">
        <v>0</v>
      </c>
      <c r="E3436" t="s">
        <v>380</v>
      </c>
    </row>
    <row r="3437" spans="1:5" x14ac:dyDescent="0.25">
      <c r="A3437" s="279">
        <v>39088</v>
      </c>
      <c r="B3437" t="s">
        <v>338</v>
      </c>
      <c r="C3437" t="s">
        <v>65</v>
      </c>
      <c r="D3437">
        <v>0</v>
      </c>
      <c r="E3437" t="s">
        <v>378</v>
      </c>
    </row>
    <row r="3438" spans="1:5" x14ac:dyDescent="0.25">
      <c r="A3438" s="279">
        <v>39088</v>
      </c>
      <c r="B3438" t="s">
        <v>338</v>
      </c>
      <c r="C3438" t="s">
        <v>66</v>
      </c>
      <c r="D3438">
        <v>0</v>
      </c>
      <c r="E3438" t="s">
        <v>380</v>
      </c>
    </row>
    <row r="3439" spans="1:5" x14ac:dyDescent="0.25">
      <c r="A3439" s="279">
        <v>39088</v>
      </c>
      <c r="B3439" t="s">
        <v>338</v>
      </c>
      <c r="C3439" t="s">
        <v>120</v>
      </c>
      <c r="D3439">
        <v>1888</v>
      </c>
      <c r="E3439" t="s">
        <v>378</v>
      </c>
    </row>
    <row r="3440" spans="1:5" x14ac:dyDescent="0.25">
      <c r="A3440" s="279">
        <v>39088</v>
      </c>
      <c r="B3440" t="s">
        <v>338</v>
      </c>
      <c r="C3440" t="s">
        <v>121</v>
      </c>
      <c r="D3440">
        <v>0</v>
      </c>
      <c r="E3440" t="s">
        <v>380</v>
      </c>
    </row>
    <row r="3441" spans="1:5" x14ac:dyDescent="0.25">
      <c r="A3441" s="279">
        <v>39088</v>
      </c>
      <c r="B3441" t="s">
        <v>338</v>
      </c>
      <c r="C3441" t="s">
        <v>67</v>
      </c>
      <c r="D3441">
        <v>0</v>
      </c>
      <c r="E3441" t="s">
        <v>378</v>
      </c>
    </row>
    <row r="3442" spans="1:5" x14ac:dyDescent="0.25">
      <c r="A3442" s="279">
        <v>39088</v>
      </c>
      <c r="B3442" t="s">
        <v>338</v>
      </c>
      <c r="C3442" t="s">
        <v>68</v>
      </c>
      <c r="D3442">
        <v>0</v>
      </c>
      <c r="E3442" t="s">
        <v>380</v>
      </c>
    </row>
    <row r="3443" spans="1:5" x14ac:dyDescent="0.25">
      <c r="A3443" s="279">
        <v>39088</v>
      </c>
      <c r="B3443" t="s">
        <v>338</v>
      </c>
      <c r="C3443" t="s">
        <v>69</v>
      </c>
      <c r="D3443">
        <v>34516</v>
      </c>
      <c r="E3443" t="s">
        <v>379</v>
      </c>
    </row>
    <row r="3444" spans="1:5" x14ac:dyDescent="0.25">
      <c r="A3444" s="279">
        <v>39088</v>
      </c>
      <c r="B3444" t="s">
        <v>338</v>
      </c>
      <c r="C3444" t="s">
        <v>70</v>
      </c>
      <c r="D3444">
        <v>0</v>
      </c>
      <c r="E3444" t="s">
        <v>379</v>
      </c>
    </row>
    <row r="3445" spans="1:5" x14ac:dyDescent="0.25">
      <c r="A3445" s="279">
        <v>39088</v>
      </c>
      <c r="B3445" t="s">
        <v>338</v>
      </c>
      <c r="C3445" t="s">
        <v>80</v>
      </c>
      <c r="D3445">
        <v>256</v>
      </c>
      <c r="E3445" t="s">
        <v>379</v>
      </c>
    </row>
    <row r="3446" spans="1:5" x14ac:dyDescent="0.25">
      <c r="A3446" s="279">
        <v>39088</v>
      </c>
      <c r="B3446" t="s">
        <v>339</v>
      </c>
      <c r="C3446" t="s">
        <v>71</v>
      </c>
      <c r="D3446">
        <v>0</v>
      </c>
      <c r="E3446" t="s">
        <v>378</v>
      </c>
    </row>
    <row r="3447" spans="1:5" x14ac:dyDescent="0.25">
      <c r="A3447" s="279">
        <v>39088</v>
      </c>
      <c r="B3447" t="s">
        <v>339</v>
      </c>
      <c r="C3447" t="s">
        <v>72</v>
      </c>
      <c r="D3447">
        <v>0</v>
      </c>
      <c r="E3447" t="s">
        <v>380</v>
      </c>
    </row>
    <row r="3448" spans="1:5" x14ac:dyDescent="0.25">
      <c r="A3448" s="279">
        <v>39088</v>
      </c>
      <c r="B3448" t="s">
        <v>339</v>
      </c>
      <c r="C3448" t="s">
        <v>73</v>
      </c>
      <c r="D3448">
        <v>11601</v>
      </c>
      <c r="E3448" t="s">
        <v>378</v>
      </c>
    </row>
    <row r="3449" spans="1:5" x14ac:dyDescent="0.25">
      <c r="A3449" s="279">
        <v>39088</v>
      </c>
      <c r="B3449" t="s">
        <v>339</v>
      </c>
      <c r="C3449" t="s">
        <v>74</v>
      </c>
      <c r="D3449">
        <v>0</v>
      </c>
      <c r="E3449" t="s">
        <v>380</v>
      </c>
    </row>
    <row r="3450" spans="1:5" x14ac:dyDescent="0.25">
      <c r="A3450" s="279">
        <v>39088</v>
      </c>
      <c r="B3450" t="s">
        <v>339</v>
      </c>
      <c r="C3450" t="s">
        <v>75</v>
      </c>
      <c r="D3450">
        <v>15108</v>
      </c>
      <c r="E3450" t="s">
        <v>378</v>
      </c>
    </row>
    <row r="3451" spans="1:5" x14ac:dyDescent="0.25">
      <c r="A3451" s="279">
        <v>39088</v>
      </c>
      <c r="B3451" t="s">
        <v>339</v>
      </c>
      <c r="C3451" t="s">
        <v>76</v>
      </c>
      <c r="D3451">
        <v>0</v>
      </c>
      <c r="E3451" t="s">
        <v>380</v>
      </c>
    </row>
    <row r="3452" spans="1:5" x14ac:dyDescent="0.25">
      <c r="A3452" s="279">
        <v>39088</v>
      </c>
      <c r="B3452" t="s">
        <v>339</v>
      </c>
      <c r="C3452" t="s">
        <v>77</v>
      </c>
      <c r="D3452">
        <v>7317</v>
      </c>
      <c r="E3452" t="s">
        <v>378</v>
      </c>
    </row>
    <row r="3453" spans="1:5" x14ac:dyDescent="0.25">
      <c r="A3453" s="279">
        <v>39088</v>
      </c>
      <c r="B3453" t="s">
        <v>339</v>
      </c>
      <c r="C3453" t="s">
        <v>78</v>
      </c>
      <c r="D3453">
        <v>0</v>
      </c>
      <c r="E3453" t="s">
        <v>380</v>
      </c>
    </row>
    <row r="3454" spans="1:5" x14ac:dyDescent="0.25">
      <c r="A3454" s="279">
        <v>39088</v>
      </c>
      <c r="B3454" t="s">
        <v>339</v>
      </c>
      <c r="C3454" t="s">
        <v>79</v>
      </c>
      <c r="D3454">
        <v>65857</v>
      </c>
      <c r="E3454" t="s">
        <v>379</v>
      </c>
    </row>
    <row r="3455" spans="1:5" x14ac:dyDescent="0.25">
      <c r="A3455" s="279">
        <v>39088</v>
      </c>
      <c r="B3455" t="s">
        <v>339</v>
      </c>
      <c r="C3455" t="s">
        <v>70</v>
      </c>
      <c r="D3455">
        <v>0</v>
      </c>
      <c r="E3455" t="s">
        <v>379</v>
      </c>
    </row>
    <row r="3456" spans="1:5" x14ac:dyDescent="0.25">
      <c r="A3456" s="279">
        <v>39088</v>
      </c>
      <c r="B3456" t="s">
        <v>339</v>
      </c>
      <c r="C3456" t="s">
        <v>63</v>
      </c>
      <c r="D3456">
        <v>0</v>
      </c>
      <c r="E3456" t="s">
        <v>378</v>
      </c>
    </row>
    <row r="3457" spans="1:5" x14ac:dyDescent="0.25">
      <c r="A3457" s="279">
        <v>39088</v>
      </c>
      <c r="B3457" t="s">
        <v>339</v>
      </c>
      <c r="C3457" t="s">
        <v>80</v>
      </c>
      <c r="D3457">
        <v>576</v>
      </c>
      <c r="E3457" t="s">
        <v>379</v>
      </c>
    </row>
    <row r="3458" spans="1:5" x14ac:dyDescent="0.25">
      <c r="A3458" s="279">
        <v>39089</v>
      </c>
      <c r="B3458" t="s">
        <v>338</v>
      </c>
      <c r="C3458" t="s">
        <v>59</v>
      </c>
      <c r="D3458">
        <v>0</v>
      </c>
      <c r="E3458" t="s">
        <v>378</v>
      </c>
    </row>
    <row r="3459" spans="1:5" x14ac:dyDescent="0.25">
      <c r="A3459" s="279">
        <v>39089</v>
      </c>
      <c r="B3459" t="s">
        <v>338</v>
      </c>
      <c r="C3459" t="s">
        <v>60</v>
      </c>
      <c r="D3459">
        <v>4797</v>
      </c>
      <c r="E3459" t="s">
        <v>379</v>
      </c>
    </row>
    <row r="3460" spans="1:5" x14ac:dyDescent="0.25">
      <c r="A3460" s="279">
        <v>39089</v>
      </c>
      <c r="B3460" t="s">
        <v>338</v>
      </c>
      <c r="C3460" t="s">
        <v>61</v>
      </c>
      <c r="D3460">
        <v>0</v>
      </c>
      <c r="E3460" t="s">
        <v>378</v>
      </c>
    </row>
    <row r="3461" spans="1:5" x14ac:dyDescent="0.25">
      <c r="A3461" s="279">
        <v>39089</v>
      </c>
      <c r="B3461" t="s">
        <v>338</v>
      </c>
      <c r="C3461" t="s">
        <v>62</v>
      </c>
      <c r="D3461">
        <v>0</v>
      </c>
      <c r="E3461" t="s">
        <v>380</v>
      </c>
    </row>
    <row r="3462" spans="1:5" x14ac:dyDescent="0.25">
      <c r="A3462" s="279">
        <v>39089</v>
      </c>
      <c r="B3462" t="s">
        <v>338</v>
      </c>
      <c r="C3462" t="s">
        <v>63</v>
      </c>
      <c r="D3462">
        <v>0</v>
      </c>
      <c r="E3462" t="s">
        <v>378</v>
      </c>
    </row>
    <row r="3463" spans="1:5" x14ac:dyDescent="0.25">
      <c r="A3463" s="279">
        <v>39089</v>
      </c>
      <c r="B3463" t="s">
        <v>338</v>
      </c>
      <c r="C3463" t="s">
        <v>64</v>
      </c>
      <c r="D3463">
        <v>0</v>
      </c>
      <c r="E3463" t="s">
        <v>380</v>
      </c>
    </row>
    <row r="3464" spans="1:5" x14ac:dyDescent="0.25">
      <c r="A3464" s="279">
        <v>39089</v>
      </c>
      <c r="B3464" t="s">
        <v>338</v>
      </c>
      <c r="C3464" t="s">
        <v>65</v>
      </c>
      <c r="D3464">
        <v>0</v>
      </c>
      <c r="E3464" t="s">
        <v>378</v>
      </c>
    </row>
    <row r="3465" spans="1:5" x14ac:dyDescent="0.25">
      <c r="A3465" s="279">
        <v>39089</v>
      </c>
      <c r="B3465" t="s">
        <v>338</v>
      </c>
      <c r="C3465" t="s">
        <v>66</v>
      </c>
      <c r="D3465">
        <v>0</v>
      </c>
      <c r="E3465" t="s">
        <v>380</v>
      </c>
    </row>
    <row r="3466" spans="1:5" x14ac:dyDescent="0.25">
      <c r="A3466" s="279">
        <v>39089</v>
      </c>
      <c r="B3466" t="s">
        <v>338</v>
      </c>
      <c r="C3466" t="s">
        <v>120</v>
      </c>
      <c r="D3466">
        <v>0</v>
      </c>
      <c r="E3466" t="s">
        <v>378</v>
      </c>
    </row>
    <row r="3467" spans="1:5" x14ac:dyDescent="0.25">
      <c r="A3467" s="279">
        <v>39089</v>
      </c>
      <c r="B3467" t="s">
        <v>338</v>
      </c>
      <c r="C3467" t="s">
        <v>121</v>
      </c>
      <c r="D3467">
        <v>16890</v>
      </c>
      <c r="E3467" t="s">
        <v>380</v>
      </c>
    </row>
    <row r="3468" spans="1:5" x14ac:dyDescent="0.25">
      <c r="A3468" s="279">
        <v>39089</v>
      </c>
      <c r="B3468" t="s">
        <v>338</v>
      </c>
      <c r="C3468" t="s">
        <v>67</v>
      </c>
      <c r="D3468">
        <v>0</v>
      </c>
      <c r="E3468" t="s">
        <v>378</v>
      </c>
    </row>
    <row r="3469" spans="1:5" x14ac:dyDescent="0.25">
      <c r="A3469" s="279">
        <v>39089</v>
      </c>
      <c r="B3469" t="s">
        <v>338</v>
      </c>
      <c r="C3469" t="s">
        <v>68</v>
      </c>
      <c r="D3469">
        <v>0</v>
      </c>
      <c r="E3469" t="s">
        <v>380</v>
      </c>
    </row>
    <row r="3470" spans="1:5" x14ac:dyDescent="0.25">
      <c r="A3470" s="279">
        <v>39089</v>
      </c>
      <c r="B3470" t="s">
        <v>338</v>
      </c>
      <c r="C3470" t="s">
        <v>69</v>
      </c>
      <c r="D3470">
        <v>34549</v>
      </c>
      <c r="E3470" t="s">
        <v>379</v>
      </c>
    </row>
    <row r="3471" spans="1:5" x14ac:dyDescent="0.25">
      <c r="A3471" s="279">
        <v>39089</v>
      </c>
      <c r="B3471" t="s">
        <v>338</v>
      </c>
      <c r="C3471" t="s">
        <v>70</v>
      </c>
      <c r="D3471">
        <v>0</v>
      </c>
      <c r="E3471" t="s">
        <v>379</v>
      </c>
    </row>
    <row r="3472" spans="1:5" x14ac:dyDescent="0.25">
      <c r="A3472" s="279">
        <v>39089</v>
      </c>
      <c r="B3472" t="s">
        <v>338</v>
      </c>
      <c r="C3472" t="s">
        <v>80</v>
      </c>
      <c r="D3472">
        <v>0</v>
      </c>
      <c r="E3472" t="s">
        <v>379</v>
      </c>
    </row>
    <row r="3473" spans="1:5" x14ac:dyDescent="0.25">
      <c r="A3473" s="279">
        <v>39089</v>
      </c>
      <c r="B3473" t="s">
        <v>339</v>
      </c>
      <c r="C3473" t="s">
        <v>71</v>
      </c>
      <c r="D3473">
        <v>0</v>
      </c>
      <c r="E3473" t="s">
        <v>378</v>
      </c>
    </row>
    <row r="3474" spans="1:5" x14ac:dyDescent="0.25">
      <c r="A3474" s="279">
        <v>39089</v>
      </c>
      <c r="B3474" t="s">
        <v>339</v>
      </c>
      <c r="C3474" t="s">
        <v>72</v>
      </c>
      <c r="D3474">
        <v>0</v>
      </c>
      <c r="E3474" t="s">
        <v>380</v>
      </c>
    </row>
    <row r="3475" spans="1:5" x14ac:dyDescent="0.25">
      <c r="A3475" s="279">
        <v>39089</v>
      </c>
      <c r="B3475" t="s">
        <v>339</v>
      </c>
      <c r="C3475" t="s">
        <v>73</v>
      </c>
      <c r="D3475">
        <v>0</v>
      </c>
      <c r="E3475" t="s">
        <v>378</v>
      </c>
    </row>
    <row r="3476" spans="1:5" x14ac:dyDescent="0.25">
      <c r="A3476" s="279">
        <v>39089</v>
      </c>
      <c r="B3476" t="s">
        <v>339</v>
      </c>
      <c r="C3476" t="s">
        <v>74</v>
      </c>
      <c r="D3476">
        <v>0</v>
      </c>
      <c r="E3476" t="s">
        <v>380</v>
      </c>
    </row>
    <row r="3477" spans="1:5" x14ac:dyDescent="0.25">
      <c r="A3477" s="279">
        <v>39089</v>
      </c>
      <c r="B3477" t="s">
        <v>339</v>
      </c>
      <c r="C3477" t="s">
        <v>75</v>
      </c>
      <c r="D3477">
        <v>15123</v>
      </c>
      <c r="E3477" t="s">
        <v>378</v>
      </c>
    </row>
    <row r="3478" spans="1:5" x14ac:dyDescent="0.25">
      <c r="A3478" s="279">
        <v>39089</v>
      </c>
      <c r="B3478" t="s">
        <v>339</v>
      </c>
      <c r="C3478" t="s">
        <v>76</v>
      </c>
      <c r="D3478">
        <v>13680</v>
      </c>
      <c r="E3478" t="s">
        <v>380</v>
      </c>
    </row>
    <row r="3479" spans="1:5" x14ac:dyDescent="0.25">
      <c r="A3479" s="279">
        <v>39089</v>
      </c>
      <c r="B3479" t="s">
        <v>339</v>
      </c>
      <c r="C3479" t="s">
        <v>77</v>
      </c>
      <c r="D3479">
        <v>7324</v>
      </c>
      <c r="E3479" t="s">
        <v>378</v>
      </c>
    </row>
    <row r="3480" spans="1:5" x14ac:dyDescent="0.25">
      <c r="A3480" s="279">
        <v>39089</v>
      </c>
      <c r="B3480" t="s">
        <v>339</v>
      </c>
      <c r="C3480" t="s">
        <v>78</v>
      </c>
      <c r="D3480">
        <v>7056</v>
      </c>
      <c r="E3480" t="s">
        <v>380</v>
      </c>
    </row>
    <row r="3481" spans="1:5" x14ac:dyDescent="0.25">
      <c r="A3481" s="279">
        <v>39089</v>
      </c>
      <c r="B3481" t="s">
        <v>339</v>
      </c>
      <c r="C3481" t="s">
        <v>79</v>
      </c>
      <c r="D3481">
        <v>65921</v>
      </c>
      <c r="E3481" t="s">
        <v>379</v>
      </c>
    </row>
    <row r="3482" spans="1:5" x14ac:dyDescent="0.25">
      <c r="A3482" s="279">
        <v>39089</v>
      </c>
      <c r="B3482" t="s">
        <v>339</v>
      </c>
      <c r="C3482" t="s">
        <v>70</v>
      </c>
      <c r="D3482">
        <v>0</v>
      </c>
      <c r="E3482" t="s">
        <v>379</v>
      </c>
    </row>
    <row r="3483" spans="1:5" x14ac:dyDescent="0.25">
      <c r="A3483" s="279">
        <v>39089</v>
      </c>
      <c r="B3483" t="s">
        <v>339</v>
      </c>
      <c r="C3483" t="s">
        <v>63</v>
      </c>
      <c r="D3483">
        <v>0</v>
      </c>
      <c r="E3483" t="s">
        <v>378</v>
      </c>
    </row>
    <row r="3484" spans="1:5" x14ac:dyDescent="0.25">
      <c r="A3484" s="279">
        <v>39089</v>
      </c>
      <c r="B3484" t="s">
        <v>339</v>
      </c>
      <c r="C3484" t="s">
        <v>80</v>
      </c>
      <c r="D3484">
        <v>134</v>
      </c>
      <c r="E3484" t="s">
        <v>379</v>
      </c>
    </row>
    <row r="3485" spans="1:5" x14ac:dyDescent="0.25">
      <c r="A3485" s="279">
        <v>39090</v>
      </c>
      <c r="B3485" t="s">
        <v>338</v>
      </c>
      <c r="C3485" t="s">
        <v>59</v>
      </c>
      <c r="D3485">
        <v>0</v>
      </c>
      <c r="E3485" t="s">
        <v>378</v>
      </c>
    </row>
    <row r="3486" spans="1:5" x14ac:dyDescent="0.25">
      <c r="A3486" s="279">
        <v>39090</v>
      </c>
      <c r="B3486" t="s">
        <v>338</v>
      </c>
      <c r="C3486" t="s">
        <v>60</v>
      </c>
      <c r="D3486">
        <v>4792</v>
      </c>
      <c r="E3486" t="s">
        <v>379</v>
      </c>
    </row>
    <row r="3487" spans="1:5" x14ac:dyDescent="0.25">
      <c r="A3487" s="279">
        <v>39090</v>
      </c>
      <c r="B3487" t="s">
        <v>338</v>
      </c>
      <c r="C3487" t="s">
        <v>61</v>
      </c>
      <c r="D3487">
        <v>0</v>
      </c>
      <c r="E3487" t="s">
        <v>378</v>
      </c>
    </row>
    <row r="3488" spans="1:5" x14ac:dyDescent="0.25">
      <c r="A3488" s="279">
        <v>39090</v>
      </c>
      <c r="B3488" t="s">
        <v>338</v>
      </c>
      <c r="C3488" t="s">
        <v>62</v>
      </c>
      <c r="D3488">
        <v>531</v>
      </c>
      <c r="E3488" t="s">
        <v>380</v>
      </c>
    </row>
    <row r="3489" spans="1:5" x14ac:dyDescent="0.25">
      <c r="A3489" s="279">
        <v>39090</v>
      </c>
      <c r="B3489" t="s">
        <v>338</v>
      </c>
      <c r="C3489" t="s">
        <v>63</v>
      </c>
      <c r="D3489">
        <v>0</v>
      </c>
      <c r="E3489" t="s">
        <v>378</v>
      </c>
    </row>
    <row r="3490" spans="1:5" x14ac:dyDescent="0.25">
      <c r="A3490" s="279">
        <v>39090</v>
      </c>
      <c r="B3490" t="s">
        <v>338</v>
      </c>
      <c r="C3490" t="s">
        <v>64</v>
      </c>
      <c r="D3490">
        <v>28116</v>
      </c>
      <c r="E3490" t="s">
        <v>380</v>
      </c>
    </row>
    <row r="3491" spans="1:5" x14ac:dyDescent="0.25">
      <c r="A3491" s="279">
        <v>39090</v>
      </c>
      <c r="B3491" t="s">
        <v>338</v>
      </c>
      <c r="C3491" t="s">
        <v>65</v>
      </c>
      <c r="D3491">
        <v>0</v>
      </c>
      <c r="E3491" t="s">
        <v>378</v>
      </c>
    </row>
    <row r="3492" spans="1:5" x14ac:dyDescent="0.25">
      <c r="A3492" s="279">
        <v>39090</v>
      </c>
      <c r="B3492" t="s">
        <v>338</v>
      </c>
      <c r="C3492" t="s">
        <v>66</v>
      </c>
      <c r="D3492">
        <v>0</v>
      </c>
      <c r="E3492" t="s">
        <v>380</v>
      </c>
    </row>
    <row r="3493" spans="1:5" x14ac:dyDescent="0.25">
      <c r="A3493" s="279">
        <v>39090</v>
      </c>
      <c r="B3493" t="s">
        <v>338</v>
      </c>
      <c r="C3493" t="s">
        <v>120</v>
      </c>
      <c r="D3493">
        <v>0</v>
      </c>
      <c r="E3493" t="s">
        <v>378</v>
      </c>
    </row>
    <row r="3494" spans="1:5" x14ac:dyDescent="0.25">
      <c r="A3494" s="279">
        <v>39090</v>
      </c>
      <c r="B3494" t="s">
        <v>338</v>
      </c>
      <c r="C3494" t="s">
        <v>121</v>
      </c>
      <c r="D3494">
        <v>19988</v>
      </c>
      <c r="E3494" t="s">
        <v>380</v>
      </c>
    </row>
    <row r="3495" spans="1:5" x14ac:dyDescent="0.25">
      <c r="A3495" s="279">
        <v>39090</v>
      </c>
      <c r="B3495" t="s">
        <v>338</v>
      </c>
      <c r="C3495" t="s">
        <v>67</v>
      </c>
      <c r="D3495">
        <v>0</v>
      </c>
      <c r="E3495" t="s">
        <v>378</v>
      </c>
    </row>
    <row r="3496" spans="1:5" x14ac:dyDescent="0.25">
      <c r="A3496" s="279">
        <v>39090</v>
      </c>
      <c r="B3496" t="s">
        <v>338</v>
      </c>
      <c r="C3496" t="s">
        <v>68</v>
      </c>
      <c r="D3496">
        <v>0</v>
      </c>
      <c r="E3496" t="s">
        <v>380</v>
      </c>
    </row>
    <row r="3497" spans="1:5" x14ac:dyDescent="0.25">
      <c r="A3497" s="279">
        <v>39090</v>
      </c>
      <c r="B3497" t="s">
        <v>338</v>
      </c>
      <c r="C3497" t="s">
        <v>69</v>
      </c>
      <c r="D3497">
        <v>34516</v>
      </c>
      <c r="E3497" t="s">
        <v>379</v>
      </c>
    </row>
    <row r="3498" spans="1:5" x14ac:dyDescent="0.25">
      <c r="A3498" s="279">
        <v>39090</v>
      </c>
      <c r="B3498" t="s">
        <v>338</v>
      </c>
      <c r="C3498" t="s">
        <v>70</v>
      </c>
      <c r="D3498">
        <v>0</v>
      </c>
      <c r="E3498" t="s">
        <v>379</v>
      </c>
    </row>
    <row r="3499" spans="1:5" x14ac:dyDescent="0.25">
      <c r="A3499" s="279">
        <v>39090</v>
      </c>
      <c r="B3499" t="s">
        <v>338</v>
      </c>
      <c r="C3499" t="s">
        <v>80</v>
      </c>
      <c r="D3499">
        <v>0</v>
      </c>
      <c r="E3499" t="s">
        <v>379</v>
      </c>
    </row>
    <row r="3500" spans="1:5" x14ac:dyDescent="0.25">
      <c r="A3500" s="279">
        <v>39090</v>
      </c>
      <c r="B3500" t="s">
        <v>339</v>
      </c>
      <c r="C3500" t="s">
        <v>71</v>
      </c>
      <c r="D3500">
        <v>0</v>
      </c>
      <c r="E3500" t="s">
        <v>378</v>
      </c>
    </row>
    <row r="3501" spans="1:5" x14ac:dyDescent="0.25">
      <c r="A3501" s="279">
        <v>39090</v>
      </c>
      <c r="B3501" t="s">
        <v>339</v>
      </c>
      <c r="C3501" t="s">
        <v>72</v>
      </c>
      <c r="D3501">
        <v>4859</v>
      </c>
      <c r="E3501" t="s">
        <v>380</v>
      </c>
    </row>
    <row r="3502" spans="1:5" x14ac:dyDescent="0.25">
      <c r="A3502" s="279">
        <v>39090</v>
      </c>
      <c r="B3502" t="s">
        <v>339</v>
      </c>
      <c r="C3502" t="s">
        <v>73</v>
      </c>
      <c r="D3502">
        <v>0</v>
      </c>
      <c r="E3502" t="s">
        <v>378</v>
      </c>
    </row>
    <row r="3503" spans="1:5" x14ac:dyDescent="0.25">
      <c r="A3503" s="279">
        <v>39090</v>
      </c>
      <c r="B3503" t="s">
        <v>339</v>
      </c>
      <c r="C3503" t="s">
        <v>74</v>
      </c>
      <c r="D3503">
        <v>29155</v>
      </c>
      <c r="E3503" t="s">
        <v>380</v>
      </c>
    </row>
    <row r="3504" spans="1:5" x14ac:dyDescent="0.25">
      <c r="A3504" s="279">
        <v>39090</v>
      </c>
      <c r="B3504" t="s">
        <v>339</v>
      </c>
      <c r="C3504" t="s">
        <v>75</v>
      </c>
      <c r="D3504">
        <v>15138</v>
      </c>
      <c r="E3504" t="s">
        <v>378</v>
      </c>
    </row>
    <row r="3505" spans="1:5" x14ac:dyDescent="0.25">
      <c r="A3505" s="279">
        <v>39090</v>
      </c>
      <c r="B3505" t="s">
        <v>339</v>
      </c>
      <c r="C3505" t="s">
        <v>76</v>
      </c>
      <c r="D3505">
        <v>21888</v>
      </c>
      <c r="E3505" t="s">
        <v>380</v>
      </c>
    </row>
    <row r="3506" spans="1:5" x14ac:dyDescent="0.25">
      <c r="A3506" s="279">
        <v>39090</v>
      </c>
      <c r="B3506" t="s">
        <v>339</v>
      </c>
      <c r="C3506" t="s">
        <v>77</v>
      </c>
      <c r="D3506">
        <v>7331</v>
      </c>
      <c r="E3506" t="s">
        <v>378</v>
      </c>
    </row>
    <row r="3507" spans="1:5" x14ac:dyDescent="0.25">
      <c r="A3507" s="279">
        <v>39090</v>
      </c>
      <c r="B3507" t="s">
        <v>339</v>
      </c>
      <c r="C3507" t="s">
        <v>78</v>
      </c>
      <c r="D3507">
        <v>8975</v>
      </c>
      <c r="E3507" t="s">
        <v>380</v>
      </c>
    </row>
    <row r="3508" spans="1:5" x14ac:dyDescent="0.25">
      <c r="A3508" s="279">
        <v>39090</v>
      </c>
      <c r="B3508" t="s">
        <v>339</v>
      </c>
      <c r="C3508" t="s">
        <v>79</v>
      </c>
      <c r="D3508">
        <v>65985</v>
      </c>
      <c r="E3508" t="s">
        <v>379</v>
      </c>
    </row>
    <row r="3509" spans="1:5" x14ac:dyDescent="0.25">
      <c r="A3509" s="279">
        <v>39090</v>
      </c>
      <c r="B3509" t="s">
        <v>339</v>
      </c>
      <c r="C3509" t="s">
        <v>70</v>
      </c>
      <c r="D3509">
        <v>0</v>
      </c>
      <c r="E3509" t="s">
        <v>379</v>
      </c>
    </row>
    <row r="3510" spans="1:5" x14ac:dyDescent="0.25">
      <c r="A3510" s="279">
        <v>39090</v>
      </c>
      <c r="B3510" t="s">
        <v>339</v>
      </c>
      <c r="C3510" t="s">
        <v>63</v>
      </c>
      <c r="D3510">
        <v>0</v>
      </c>
      <c r="E3510" t="s">
        <v>378</v>
      </c>
    </row>
    <row r="3511" spans="1:5" x14ac:dyDescent="0.25">
      <c r="A3511" s="279">
        <v>39090</v>
      </c>
      <c r="B3511" t="s">
        <v>339</v>
      </c>
      <c r="C3511" t="s">
        <v>80</v>
      </c>
      <c r="D3511">
        <v>134</v>
      </c>
      <c r="E3511" t="s">
        <v>379</v>
      </c>
    </row>
    <row r="3512" spans="1:5" x14ac:dyDescent="0.25">
      <c r="A3512" s="279">
        <v>39091</v>
      </c>
      <c r="B3512" t="s">
        <v>338</v>
      </c>
      <c r="C3512" t="s">
        <v>59</v>
      </c>
      <c r="D3512">
        <v>0</v>
      </c>
      <c r="E3512" t="s">
        <v>378</v>
      </c>
    </row>
    <row r="3513" spans="1:5" x14ac:dyDescent="0.25">
      <c r="A3513" s="279">
        <v>39091</v>
      </c>
      <c r="B3513" t="s">
        <v>338</v>
      </c>
      <c r="C3513" t="s">
        <v>60</v>
      </c>
      <c r="D3513">
        <v>4824</v>
      </c>
      <c r="E3513" t="s">
        <v>379</v>
      </c>
    </row>
    <row r="3514" spans="1:5" x14ac:dyDescent="0.25">
      <c r="A3514" s="279">
        <v>39091</v>
      </c>
      <c r="B3514" t="s">
        <v>338</v>
      </c>
      <c r="C3514" t="s">
        <v>61</v>
      </c>
      <c r="D3514">
        <v>0</v>
      </c>
      <c r="E3514" t="s">
        <v>378</v>
      </c>
    </row>
    <row r="3515" spans="1:5" x14ac:dyDescent="0.25">
      <c r="A3515" s="279">
        <v>39091</v>
      </c>
      <c r="B3515" t="s">
        <v>338</v>
      </c>
      <c r="C3515" t="s">
        <v>62</v>
      </c>
      <c r="D3515">
        <v>24455</v>
      </c>
      <c r="E3515" t="s">
        <v>380</v>
      </c>
    </row>
    <row r="3516" spans="1:5" x14ac:dyDescent="0.25">
      <c r="A3516" s="279">
        <v>39091</v>
      </c>
      <c r="B3516" t="s">
        <v>338</v>
      </c>
      <c r="C3516" t="s">
        <v>63</v>
      </c>
      <c r="D3516">
        <v>0</v>
      </c>
      <c r="E3516" t="s">
        <v>378</v>
      </c>
    </row>
    <row r="3517" spans="1:5" x14ac:dyDescent="0.25">
      <c r="A3517" s="279">
        <v>39091</v>
      </c>
      <c r="B3517" t="s">
        <v>338</v>
      </c>
      <c r="C3517" t="s">
        <v>64</v>
      </c>
      <c r="D3517">
        <v>32332</v>
      </c>
      <c r="E3517" t="s">
        <v>380</v>
      </c>
    </row>
    <row r="3518" spans="1:5" x14ac:dyDescent="0.25">
      <c r="A3518" s="279">
        <v>39091</v>
      </c>
      <c r="B3518" t="s">
        <v>338</v>
      </c>
      <c r="C3518" t="s">
        <v>65</v>
      </c>
      <c r="D3518">
        <v>0</v>
      </c>
      <c r="E3518" t="s">
        <v>378</v>
      </c>
    </row>
    <row r="3519" spans="1:5" x14ac:dyDescent="0.25">
      <c r="A3519" s="279">
        <v>39091</v>
      </c>
      <c r="B3519" t="s">
        <v>338</v>
      </c>
      <c r="C3519" t="s">
        <v>66</v>
      </c>
      <c r="D3519">
        <v>0</v>
      </c>
      <c r="E3519" t="s">
        <v>380</v>
      </c>
    </row>
    <row r="3520" spans="1:5" x14ac:dyDescent="0.25">
      <c r="A3520" s="279">
        <v>39091</v>
      </c>
      <c r="B3520" t="s">
        <v>338</v>
      </c>
      <c r="C3520" t="s">
        <v>120</v>
      </c>
      <c r="D3520">
        <v>0</v>
      </c>
      <c r="E3520" t="s">
        <v>378</v>
      </c>
    </row>
    <row r="3521" spans="1:5" x14ac:dyDescent="0.25">
      <c r="A3521" s="279">
        <v>39091</v>
      </c>
      <c r="B3521" t="s">
        <v>338</v>
      </c>
      <c r="C3521" t="s">
        <v>121</v>
      </c>
      <c r="D3521">
        <v>20123</v>
      </c>
      <c r="E3521" t="s">
        <v>380</v>
      </c>
    </row>
    <row r="3522" spans="1:5" x14ac:dyDescent="0.25">
      <c r="A3522" s="279">
        <v>39091</v>
      </c>
      <c r="B3522" t="s">
        <v>338</v>
      </c>
      <c r="C3522" t="s">
        <v>67</v>
      </c>
      <c r="D3522">
        <v>0</v>
      </c>
      <c r="E3522" t="s">
        <v>378</v>
      </c>
    </row>
    <row r="3523" spans="1:5" x14ac:dyDescent="0.25">
      <c r="A3523" s="279">
        <v>39091</v>
      </c>
      <c r="B3523" t="s">
        <v>338</v>
      </c>
      <c r="C3523" t="s">
        <v>68</v>
      </c>
      <c r="D3523">
        <v>0</v>
      </c>
      <c r="E3523" t="s">
        <v>380</v>
      </c>
    </row>
    <row r="3524" spans="1:5" x14ac:dyDescent="0.25">
      <c r="A3524" s="279">
        <v>39091</v>
      </c>
      <c r="B3524" t="s">
        <v>338</v>
      </c>
      <c r="C3524" t="s">
        <v>69</v>
      </c>
      <c r="D3524">
        <v>34749</v>
      </c>
      <c r="E3524" t="s">
        <v>379</v>
      </c>
    </row>
    <row r="3525" spans="1:5" x14ac:dyDescent="0.25">
      <c r="A3525" s="279">
        <v>39091</v>
      </c>
      <c r="B3525" t="s">
        <v>338</v>
      </c>
      <c r="C3525" t="s">
        <v>70</v>
      </c>
      <c r="D3525">
        <v>0</v>
      </c>
      <c r="E3525" t="s">
        <v>379</v>
      </c>
    </row>
    <row r="3526" spans="1:5" x14ac:dyDescent="0.25">
      <c r="A3526" s="279">
        <v>39091</v>
      </c>
      <c r="B3526" t="s">
        <v>338</v>
      </c>
      <c r="C3526" t="s">
        <v>80</v>
      </c>
      <c r="D3526">
        <v>0</v>
      </c>
      <c r="E3526" t="s">
        <v>379</v>
      </c>
    </row>
    <row r="3527" spans="1:5" x14ac:dyDescent="0.25">
      <c r="A3527" s="279">
        <v>39091</v>
      </c>
      <c r="B3527" t="s">
        <v>339</v>
      </c>
      <c r="C3527" t="s">
        <v>71</v>
      </c>
      <c r="D3527">
        <v>0</v>
      </c>
      <c r="E3527" t="s">
        <v>378</v>
      </c>
    </row>
    <row r="3528" spans="1:5" x14ac:dyDescent="0.25">
      <c r="A3528" s="279">
        <v>39091</v>
      </c>
      <c r="B3528" t="s">
        <v>339</v>
      </c>
      <c r="C3528" t="s">
        <v>72</v>
      </c>
      <c r="D3528">
        <v>4812</v>
      </c>
      <c r="E3528" t="s">
        <v>380</v>
      </c>
    </row>
    <row r="3529" spans="1:5" x14ac:dyDescent="0.25">
      <c r="A3529" s="279">
        <v>39091</v>
      </c>
      <c r="B3529" t="s">
        <v>339</v>
      </c>
      <c r="C3529" t="s">
        <v>73</v>
      </c>
      <c r="D3529">
        <v>0</v>
      </c>
      <c r="E3529" t="s">
        <v>378</v>
      </c>
    </row>
    <row r="3530" spans="1:5" x14ac:dyDescent="0.25">
      <c r="A3530" s="279">
        <v>39091</v>
      </c>
      <c r="B3530" t="s">
        <v>339</v>
      </c>
      <c r="C3530" t="s">
        <v>74</v>
      </c>
      <c r="D3530">
        <v>28874</v>
      </c>
      <c r="E3530" t="s">
        <v>380</v>
      </c>
    </row>
    <row r="3531" spans="1:5" x14ac:dyDescent="0.25">
      <c r="A3531" s="279">
        <v>39091</v>
      </c>
      <c r="B3531" t="s">
        <v>339</v>
      </c>
      <c r="C3531" t="s">
        <v>75</v>
      </c>
      <c r="D3531">
        <v>14992</v>
      </c>
      <c r="E3531" t="s">
        <v>378</v>
      </c>
    </row>
    <row r="3532" spans="1:5" x14ac:dyDescent="0.25">
      <c r="A3532" s="279">
        <v>39091</v>
      </c>
      <c r="B3532" t="s">
        <v>339</v>
      </c>
      <c r="C3532" t="s">
        <v>76</v>
      </c>
      <c r="D3532">
        <v>33702</v>
      </c>
      <c r="E3532" t="s">
        <v>380</v>
      </c>
    </row>
    <row r="3533" spans="1:5" x14ac:dyDescent="0.25">
      <c r="A3533" s="279">
        <v>39091</v>
      </c>
      <c r="B3533" t="s">
        <v>339</v>
      </c>
      <c r="C3533" t="s">
        <v>77</v>
      </c>
      <c r="D3533">
        <v>7261</v>
      </c>
      <c r="E3533" t="s">
        <v>378</v>
      </c>
    </row>
    <row r="3534" spans="1:5" x14ac:dyDescent="0.25">
      <c r="A3534" s="279">
        <v>39091</v>
      </c>
      <c r="B3534" t="s">
        <v>339</v>
      </c>
      <c r="C3534" t="s">
        <v>78</v>
      </c>
      <c r="D3534">
        <v>15321</v>
      </c>
      <c r="E3534" t="s">
        <v>380</v>
      </c>
    </row>
    <row r="3535" spans="1:5" x14ac:dyDescent="0.25">
      <c r="A3535" s="279">
        <v>39091</v>
      </c>
      <c r="B3535" t="s">
        <v>339</v>
      </c>
      <c r="C3535" t="s">
        <v>79</v>
      </c>
      <c r="D3535">
        <v>65350</v>
      </c>
      <c r="E3535" t="s">
        <v>379</v>
      </c>
    </row>
    <row r="3536" spans="1:5" x14ac:dyDescent="0.25">
      <c r="A3536" s="279">
        <v>39091</v>
      </c>
      <c r="B3536" t="s">
        <v>339</v>
      </c>
      <c r="C3536" t="s">
        <v>70</v>
      </c>
      <c r="D3536">
        <v>0</v>
      </c>
      <c r="E3536" t="s">
        <v>379</v>
      </c>
    </row>
    <row r="3537" spans="1:5" x14ac:dyDescent="0.25">
      <c r="A3537" s="279">
        <v>39091</v>
      </c>
      <c r="B3537" t="s">
        <v>339</v>
      </c>
      <c r="C3537" t="s">
        <v>63</v>
      </c>
      <c r="D3537">
        <v>0</v>
      </c>
      <c r="E3537" t="s">
        <v>378</v>
      </c>
    </row>
    <row r="3538" spans="1:5" x14ac:dyDescent="0.25">
      <c r="A3538" s="279">
        <v>39091</v>
      </c>
      <c r="B3538" t="s">
        <v>339</v>
      </c>
      <c r="C3538" t="s">
        <v>80</v>
      </c>
      <c r="D3538">
        <v>133</v>
      </c>
      <c r="E3538" t="s">
        <v>379</v>
      </c>
    </row>
    <row r="3539" spans="1:5" x14ac:dyDescent="0.25">
      <c r="A3539" s="279">
        <v>39092</v>
      </c>
      <c r="B3539" t="s">
        <v>338</v>
      </c>
      <c r="C3539" t="s">
        <v>59</v>
      </c>
      <c r="D3539">
        <v>0</v>
      </c>
      <c r="E3539" t="s">
        <v>378</v>
      </c>
    </row>
    <row r="3540" spans="1:5" x14ac:dyDescent="0.25">
      <c r="A3540" s="279">
        <v>39092</v>
      </c>
      <c r="B3540" t="s">
        <v>338</v>
      </c>
      <c r="C3540" t="s">
        <v>60</v>
      </c>
      <c r="D3540">
        <v>4815</v>
      </c>
      <c r="E3540" t="s">
        <v>379</v>
      </c>
    </row>
    <row r="3541" spans="1:5" x14ac:dyDescent="0.25">
      <c r="A3541" s="279">
        <v>39092</v>
      </c>
      <c r="B3541" t="s">
        <v>338</v>
      </c>
      <c r="C3541" t="s">
        <v>61</v>
      </c>
      <c r="D3541">
        <v>0</v>
      </c>
      <c r="E3541" t="s">
        <v>378</v>
      </c>
    </row>
    <row r="3542" spans="1:5" x14ac:dyDescent="0.25">
      <c r="A3542" s="279">
        <v>39092</v>
      </c>
      <c r="B3542" t="s">
        <v>338</v>
      </c>
      <c r="C3542" t="s">
        <v>62</v>
      </c>
      <c r="D3542">
        <v>26027</v>
      </c>
      <c r="E3542" t="s">
        <v>380</v>
      </c>
    </row>
    <row r="3543" spans="1:5" x14ac:dyDescent="0.25">
      <c r="A3543" s="279">
        <v>39092</v>
      </c>
      <c r="B3543" t="s">
        <v>338</v>
      </c>
      <c r="C3543" t="s">
        <v>63</v>
      </c>
      <c r="D3543">
        <v>0</v>
      </c>
      <c r="E3543" t="s">
        <v>378</v>
      </c>
    </row>
    <row r="3544" spans="1:5" x14ac:dyDescent="0.25">
      <c r="A3544" s="279">
        <v>39092</v>
      </c>
      <c r="B3544" t="s">
        <v>338</v>
      </c>
      <c r="C3544" t="s">
        <v>64</v>
      </c>
      <c r="D3544">
        <v>32270</v>
      </c>
      <c r="E3544" t="s">
        <v>380</v>
      </c>
    </row>
    <row r="3545" spans="1:5" x14ac:dyDescent="0.25">
      <c r="A3545" s="279">
        <v>39092</v>
      </c>
      <c r="B3545" t="s">
        <v>338</v>
      </c>
      <c r="C3545" t="s">
        <v>65</v>
      </c>
      <c r="D3545">
        <v>0</v>
      </c>
      <c r="E3545" t="s">
        <v>378</v>
      </c>
    </row>
    <row r="3546" spans="1:5" x14ac:dyDescent="0.25">
      <c r="A3546" s="279">
        <v>39092</v>
      </c>
      <c r="B3546" t="s">
        <v>338</v>
      </c>
      <c r="C3546" t="s">
        <v>66</v>
      </c>
      <c r="D3546">
        <v>0</v>
      </c>
      <c r="E3546" t="s">
        <v>380</v>
      </c>
    </row>
    <row r="3547" spans="1:5" x14ac:dyDescent="0.25">
      <c r="A3547" s="279">
        <v>39092</v>
      </c>
      <c r="B3547" t="s">
        <v>338</v>
      </c>
      <c r="C3547" t="s">
        <v>120</v>
      </c>
      <c r="D3547">
        <v>0</v>
      </c>
      <c r="E3547" t="s">
        <v>378</v>
      </c>
    </row>
    <row r="3548" spans="1:5" x14ac:dyDescent="0.25">
      <c r="A3548" s="279">
        <v>39092</v>
      </c>
      <c r="B3548" t="s">
        <v>338</v>
      </c>
      <c r="C3548" t="s">
        <v>121</v>
      </c>
      <c r="D3548">
        <v>20084</v>
      </c>
      <c r="E3548" t="s">
        <v>380</v>
      </c>
    </row>
    <row r="3549" spans="1:5" x14ac:dyDescent="0.25">
      <c r="A3549" s="279">
        <v>39092</v>
      </c>
      <c r="B3549" t="s">
        <v>338</v>
      </c>
      <c r="C3549" t="s">
        <v>67</v>
      </c>
      <c r="D3549">
        <v>0</v>
      </c>
      <c r="E3549" t="s">
        <v>378</v>
      </c>
    </row>
    <row r="3550" spans="1:5" x14ac:dyDescent="0.25">
      <c r="A3550" s="279">
        <v>39092</v>
      </c>
      <c r="B3550" t="s">
        <v>338</v>
      </c>
      <c r="C3550" t="s">
        <v>68</v>
      </c>
      <c r="D3550">
        <v>0</v>
      </c>
      <c r="E3550" t="s">
        <v>380</v>
      </c>
    </row>
    <row r="3551" spans="1:5" x14ac:dyDescent="0.25">
      <c r="A3551" s="279">
        <v>39092</v>
      </c>
      <c r="B3551" t="s">
        <v>338</v>
      </c>
      <c r="C3551" t="s">
        <v>69</v>
      </c>
      <c r="D3551">
        <v>34682</v>
      </c>
      <c r="E3551" t="s">
        <v>379</v>
      </c>
    </row>
    <row r="3552" spans="1:5" x14ac:dyDescent="0.25">
      <c r="A3552" s="279">
        <v>39092</v>
      </c>
      <c r="B3552" t="s">
        <v>338</v>
      </c>
      <c r="C3552" t="s">
        <v>70</v>
      </c>
      <c r="D3552">
        <v>0</v>
      </c>
      <c r="E3552" t="s">
        <v>379</v>
      </c>
    </row>
    <row r="3553" spans="1:5" x14ac:dyDescent="0.25">
      <c r="A3553" s="279">
        <v>39092</v>
      </c>
      <c r="B3553" t="s">
        <v>338</v>
      </c>
      <c r="C3553" t="s">
        <v>80</v>
      </c>
      <c r="D3553">
        <v>0</v>
      </c>
      <c r="E3553" t="s">
        <v>379</v>
      </c>
    </row>
    <row r="3554" spans="1:5" x14ac:dyDescent="0.25">
      <c r="A3554" s="279">
        <v>39092</v>
      </c>
      <c r="B3554" t="s">
        <v>339</v>
      </c>
      <c r="C3554" t="s">
        <v>71</v>
      </c>
      <c r="D3554">
        <v>0</v>
      </c>
      <c r="E3554" t="s">
        <v>378</v>
      </c>
    </row>
    <row r="3555" spans="1:5" x14ac:dyDescent="0.25">
      <c r="A3555" s="279">
        <v>39092</v>
      </c>
      <c r="B3555" t="s">
        <v>339</v>
      </c>
      <c r="C3555" t="s">
        <v>72</v>
      </c>
      <c r="D3555">
        <v>4864</v>
      </c>
      <c r="E3555" t="s">
        <v>380</v>
      </c>
    </row>
    <row r="3556" spans="1:5" x14ac:dyDescent="0.25">
      <c r="A3556" s="279">
        <v>39092</v>
      </c>
      <c r="B3556" t="s">
        <v>339</v>
      </c>
      <c r="C3556" t="s">
        <v>73</v>
      </c>
      <c r="D3556">
        <v>0</v>
      </c>
      <c r="E3556" t="s">
        <v>378</v>
      </c>
    </row>
    <row r="3557" spans="1:5" x14ac:dyDescent="0.25">
      <c r="A3557" s="279">
        <v>39092</v>
      </c>
      <c r="B3557" t="s">
        <v>339</v>
      </c>
      <c r="C3557" t="s">
        <v>74</v>
      </c>
      <c r="D3557">
        <v>52420</v>
      </c>
      <c r="E3557" t="s">
        <v>380</v>
      </c>
    </row>
    <row r="3558" spans="1:5" x14ac:dyDescent="0.25">
      <c r="A3558" s="279">
        <v>39092</v>
      </c>
      <c r="B3558" t="s">
        <v>339</v>
      </c>
      <c r="C3558" t="s">
        <v>75</v>
      </c>
      <c r="D3558">
        <v>15152</v>
      </c>
      <c r="E3558" t="s">
        <v>378</v>
      </c>
    </row>
    <row r="3559" spans="1:5" x14ac:dyDescent="0.25">
      <c r="A3559" s="279">
        <v>39092</v>
      </c>
      <c r="B3559" t="s">
        <v>339</v>
      </c>
      <c r="C3559" t="s">
        <v>76</v>
      </c>
      <c r="D3559">
        <v>34062</v>
      </c>
      <c r="E3559" t="s">
        <v>380</v>
      </c>
    </row>
    <row r="3560" spans="1:5" x14ac:dyDescent="0.25">
      <c r="A3560" s="279">
        <v>39092</v>
      </c>
      <c r="B3560" t="s">
        <v>339</v>
      </c>
      <c r="C3560" t="s">
        <v>77</v>
      </c>
      <c r="D3560">
        <v>7339</v>
      </c>
      <c r="E3560" t="s">
        <v>378</v>
      </c>
    </row>
    <row r="3561" spans="1:5" x14ac:dyDescent="0.25">
      <c r="A3561" s="279">
        <v>39092</v>
      </c>
      <c r="B3561" t="s">
        <v>339</v>
      </c>
      <c r="C3561" t="s">
        <v>78</v>
      </c>
      <c r="D3561">
        <v>64856</v>
      </c>
      <c r="E3561" t="s">
        <v>380</v>
      </c>
    </row>
    <row r="3562" spans="1:5" x14ac:dyDescent="0.25">
      <c r="A3562" s="279">
        <v>39092</v>
      </c>
      <c r="B3562" t="s">
        <v>339</v>
      </c>
      <c r="C3562" t="s">
        <v>79</v>
      </c>
      <c r="D3562">
        <v>66050</v>
      </c>
      <c r="E3562" t="s">
        <v>379</v>
      </c>
    </row>
    <row r="3563" spans="1:5" x14ac:dyDescent="0.25">
      <c r="A3563" s="279">
        <v>39092</v>
      </c>
      <c r="B3563" t="s">
        <v>339</v>
      </c>
      <c r="C3563" t="s">
        <v>70</v>
      </c>
      <c r="D3563">
        <v>0</v>
      </c>
      <c r="E3563" t="s">
        <v>379</v>
      </c>
    </row>
    <row r="3564" spans="1:5" x14ac:dyDescent="0.25">
      <c r="A3564" s="279">
        <v>39092</v>
      </c>
      <c r="B3564" t="s">
        <v>339</v>
      </c>
      <c r="C3564" t="s">
        <v>63</v>
      </c>
      <c r="D3564">
        <v>0</v>
      </c>
      <c r="E3564" t="s">
        <v>378</v>
      </c>
    </row>
    <row r="3565" spans="1:5" x14ac:dyDescent="0.25">
      <c r="A3565" s="279">
        <v>39092</v>
      </c>
      <c r="B3565" t="s">
        <v>339</v>
      </c>
      <c r="C3565" t="s">
        <v>80</v>
      </c>
      <c r="D3565">
        <v>135</v>
      </c>
      <c r="E3565" t="s">
        <v>379</v>
      </c>
    </row>
    <row r="3566" spans="1:5" x14ac:dyDescent="0.25">
      <c r="A3566" s="279">
        <v>39093</v>
      </c>
      <c r="B3566" t="s">
        <v>338</v>
      </c>
      <c r="C3566" t="s">
        <v>59</v>
      </c>
      <c r="D3566">
        <v>0</v>
      </c>
      <c r="E3566" t="s">
        <v>378</v>
      </c>
    </row>
    <row r="3567" spans="1:5" x14ac:dyDescent="0.25">
      <c r="A3567" s="279">
        <v>39093</v>
      </c>
      <c r="B3567" t="s">
        <v>338</v>
      </c>
      <c r="C3567" t="s">
        <v>60</v>
      </c>
      <c r="D3567">
        <v>4820</v>
      </c>
      <c r="E3567" t="s">
        <v>379</v>
      </c>
    </row>
    <row r="3568" spans="1:5" x14ac:dyDescent="0.25">
      <c r="A3568" s="279">
        <v>39093</v>
      </c>
      <c r="B3568" t="s">
        <v>338</v>
      </c>
      <c r="C3568" t="s">
        <v>61</v>
      </c>
      <c r="D3568">
        <v>0</v>
      </c>
      <c r="E3568" t="s">
        <v>378</v>
      </c>
    </row>
    <row r="3569" spans="1:5" x14ac:dyDescent="0.25">
      <c r="A3569" s="279">
        <v>39093</v>
      </c>
      <c r="B3569" t="s">
        <v>338</v>
      </c>
      <c r="C3569" t="s">
        <v>62</v>
      </c>
      <c r="D3569">
        <v>24643</v>
      </c>
      <c r="E3569" t="s">
        <v>380</v>
      </c>
    </row>
    <row r="3570" spans="1:5" x14ac:dyDescent="0.25">
      <c r="A3570" s="279">
        <v>39093</v>
      </c>
      <c r="B3570" t="s">
        <v>338</v>
      </c>
      <c r="C3570" t="s">
        <v>63</v>
      </c>
      <c r="D3570">
        <v>0</v>
      </c>
      <c r="E3570" t="s">
        <v>378</v>
      </c>
    </row>
    <row r="3571" spans="1:5" x14ac:dyDescent="0.25">
      <c r="A3571" s="279">
        <v>39093</v>
      </c>
      <c r="B3571" t="s">
        <v>338</v>
      </c>
      <c r="C3571" t="s">
        <v>64</v>
      </c>
      <c r="D3571">
        <v>32301</v>
      </c>
      <c r="E3571" t="s">
        <v>380</v>
      </c>
    </row>
    <row r="3572" spans="1:5" x14ac:dyDescent="0.25">
      <c r="A3572" s="279">
        <v>39093</v>
      </c>
      <c r="B3572" t="s">
        <v>338</v>
      </c>
      <c r="C3572" t="s">
        <v>65</v>
      </c>
      <c r="D3572">
        <v>0</v>
      </c>
      <c r="E3572" t="s">
        <v>378</v>
      </c>
    </row>
    <row r="3573" spans="1:5" x14ac:dyDescent="0.25">
      <c r="A3573" s="279">
        <v>39093</v>
      </c>
      <c r="B3573" t="s">
        <v>338</v>
      </c>
      <c r="C3573" t="s">
        <v>66</v>
      </c>
      <c r="D3573">
        <v>0</v>
      </c>
      <c r="E3573" t="s">
        <v>380</v>
      </c>
    </row>
    <row r="3574" spans="1:5" x14ac:dyDescent="0.25">
      <c r="A3574" s="279">
        <v>39093</v>
      </c>
      <c r="B3574" t="s">
        <v>338</v>
      </c>
      <c r="C3574" t="s">
        <v>120</v>
      </c>
      <c r="D3574">
        <v>0</v>
      </c>
      <c r="E3574" t="s">
        <v>378</v>
      </c>
    </row>
    <row r="3575" spans="1:5" x14ac:dyDescent="0.25">
      <c r="A3575" s="279">
        <v>39093</v>
      </c>
      <c r="B3575" t="s">
        <v>338</v>
      </c>
      <c r="C3575" t="s">
        <v>121</v>
      </c>
      <c r="D3575">
        <v>20103</v>
      </c>
      <c r="E3575" t="s">
        <v>380</v>
      </c>
    </row>
    <row r="3576" spans="1:5" x14ac:dyDescent="0.25">
      <c r="A3576" s="279">
        <v>39093</v>
      </c>
      <c r="B3576" t="s">
        <v>338</v>
      </c>
      <c r="C3576" t="s">
        <v>67</v>
      </c>
      <c r="D3576">
        <v>0</v>
      </c>
      <c r="E3576" t="s">
        <v>378</v>
      </c>
    </row>
    <row r="3577" spans="1:5" x14ac:dyDescent="0.25">
      <c r="A3577" s="279">
        <v>39093</v>
      </c>
      <c r="B3577" t="s">
        <v>338</v>
      </c>
      <c r="C3577" t="s">
        <v>68</v>
      </c>
      <c r="D3577">
        <v>0</v>
      </c>
      <c r="E3577" t="s">
        <v>380</v>
      </c>
    </row>
    <row r="3578" spans="1:5" x14ac:dyDescent="0.25">
      <c r="A3578" s="279">
        <v>39093</v>
      </c>
      <c r="B3578" t="s">
        <v>338</v>
      </c>
      <c r="C3578" t="s">
        <v>69</v>
      </c>
      <c r="D3578">
        <v>34716</v>
      </c>
      <c r="E3578" t="s">
        <v>379</v>
      </c>
    </row>
    <row r="3579" spans="1:5" x14ac:dyDescent="0.25">
      <c r="A3579" s="279">
        <v>39093</v>
      </c>
      <c r="B3579" t="s">
        <v>338</v>
      </c>
      <c r="C3579" t="s">
        <v>70</v>
      </c>
      <c r="D3579">
        <v>0</v>
      </c>
      <c r="E3579" t="s">
        <v>379</v>
      </c>
    </row>
    <row r="3580" spans="1:5" x14ac:dyDescent="0.25">
      <c r="A3580" s="279">
        <v>39093</v>
      </c>
      <c r="B3580" t="s">
        <v>338</v>
      </c>
      <c r="C3580" t="s">
        <v>80</v>
      </c>
      <c r="D3580">
        <v>0</v>
      </c>
      <c r="E3580" t="s">
        <v>379</v>
      </c>
    </row>
    <row r="3581" spans="1:5" x14ac:dyDescent="0.25">
      <c r="A3581" s="279">
        <v>39093</v>
      </c>
      <c r="B3581" t="s">
        <v>339</v>
      </c>
      <c r="C3581" t="s">
        <v>71</v>
      </c>
      <c r="D3581">
        <v>0</v>
      </c>
      <c r="E3581" t="s">
        <v>378</v>
      </c>
    </row>
    <row r="3582" spans="1:5" x14ac:dyDescent="0.25">
      <c r="A3582" s="279">
        <v>39093</v>
      </c>
      <c r="B3582" t="s">
        <v>339</v>
      </c>
      <c r="C3582" t="s">
        <v>72</v>
      </c>
      <c r="D3582">
        <v>4845</v>
      </c>
      <c r="E3582" t="s">
        <v>380</v>
      </c>
    </row>
    <row r="3583" spans="1:5" x14ac:dyDescent="0.25">
      <c r="A3583" s="279">
        <v>39093</v>
      </c>
      <c r="B3583" t="s">
        <v>339</v>
      </c>
      <c r="C3583" t="s">
        <v>73</v>
      </c>
      <c r="D3583">
        <v>0</v>
      </c>
      <c r="E3583" t="s">
        <v>378</v>
      </c>
    </row>
    <row r="3584" spans="1:5" x14ac:dyDescent="0.25">
      <c r="A3584" s="279">
        <v>39093</v>
      </c>
      <c r="B3584" t="s">
        <v>339</v>
      </c>
      <c r="C3584" t="s">
        <v>74</v>
      </c>
      <c r="D3584">
        <v>33915</v>
      </c>
      <c r="E3584" t="s">
        <v>380</v>
      </c>
    </row>
    <row r="3585" spans="1:5" x14ac:dyDescent="0.25">
      <c r="A3585" s="279">
        <v>39093</v>
      </c>
      <c r="B3585" t="s">
        <v>339</v>
      </c>
      <c r="C3585" t="s">
        <v>75</v>
      </c>
      <c r="D3585">
        <v>15094</v>
      </c>
      <c r="E3585" t="s">
        <v>378</v>
      </c>
    </row>
    <row r="3586" spans="1:5" x14ac:dyDescent="0.25">
      <c r="A3586" s="279">
        <v>39093</v>
      </c>
      <c r="B3586" t="s">
        <v>339</v>
      </c>
      <c r="C3586" t="s">
        <v>76</v>
      </c>
      <c r="D3586">
        <v>33930</v>
      </c>
      <c r="E3586" t="s">
        <v>380</v>
      </c>
    </row>
    <row r="3587" spans="1:5" x14ac:dyDescent="0.25">
      <c r="A3587" s="279">
        <v>39093</v>
      </c>
      <c r="B3587" t="s">
        <v>339</v>
      </c>
      <c r="C3587" t="s">
        <v>77</v>
      </c>
      <c r="D3587">
        <v>7310</v>
      </c>
      <c r="E3587" t="s">
        <v>378</v>
      </c>
    </row>
    <row r="3588" spans="1:5" x14ac:dyDescent="0.25">
      <c r="A3588" s="279">
        <v>39093</v>
      </c>
      <c r="B3588" t="s">
        <v>339</v>
      </c>
      <c r="C3588" t="s">
        <v>78</v>
      </c>
      <c r="D3588">
        <v>37148</v>
      </c>
      <c r="E3588" t="s">
        <v>380</v>
      </c>
    </row>
    <row r="3589" spans="1:5" x14ac:dyDescent="0.25">
      <c r="A3589" s="279">
        <v>39093</v>
      </c>
      <c r="B3589" t="s">
        <v>339</v>
      </c>
      <c r="C3589" t="s">
        <v>79</v>
      </c>
      <c r="D3589">
        <v>65794</v>
      </c>
      <c r="E3589" t="s">
        <v>379</v>
      </c>
    </row>
    <row r="3590" spans="1:5" x14ac:dyDescent="0.25">
      <c r="A3590" s="279">
        <v>39093</v>
      </c>
      <c r="B3590" t="s">
        <v>339</v>
      </c>
      <c r="C3590" t="s">
        <v>70</v>
      </c>
      <c r="D3590">
        <v>0</v>
      </c>
      <c r="E3590" t="s">
        <v>379</v>
      </c>
    </row>
    <row r="3591" spans="1:5" x14ac:dyDescent="0.25">
      <c r="A3591" s="279">
        <v>39093</v>
      </c>
      <c r="B3591" t="s">
        <v>339</v>
      </c>
      <c r="C3591" t="s">
        <v>63</v>
      </c>
      <c r="D3591">
        <v>0</v>
      </c>
      <c r="E3591" t="s">
        <v>378</v>
      </c>
    </row>
    <row r="3592" spans="1:5" x14ac:dyDescent="0.25">
      <c r="A3592" s="279">
        <v>39093</v>
      </c>
      <c r="B3592" t="s">
        <v>339</v>
      </c>
      <c r="C3592" t="s">
        <v>80</v>
      </c>
      <c r="D3592">
        <v>134</v>
      </c>
      <c r="E3592" t="s">
        <v>379</v>
      </c>
    </row>
    <row r="3593" spans="1:5" x14ac:dyDescent="0.25">
      <c r="A3593" s="279">
        <v>39094</v>
      </c>
      <c r="B3593" t="s">
        <v>338</v>
      </c>
      <c r="C3593" t="s">
        <v>59</v>
      </c>
      <c r="D3593">
        <v>0</v>
      </c>
      <c r="E3593" t="s">
        <v>378</v>
      </c>
    </row>
    <row r="3594" spans="1:5" x14ac:dyDescent="0.25">
      <c r="A3594" s="279">
        <v>39094</v>
      </c>
      <c r="B3594" t="s">
        <v>338</v>
      </c>
      <c r="C3594" t="s">
        <v>60</v>
      </c>
      <c r="D3594">
        <v>4815</v>
      </c>
      <c r="E3594" t="s">
        <v>379</v>
      </c>
    </row>
    <row r="3595" spans="1:5" x14ac:dyDescent="0.25">
      <c r="A3595" s="279">
        <v>39094</v>
      </c>
      <c r="B3595" t="s">
        <v>338</v>
      </c>
      <c r="C3595" t="s">
        <v>61</v>
      </c>
      <c r="D3595">
        <v>0</v>
      </c>
      <c r="E3595" t="s">
        <v>378</v>
      </c>
    </row>
    <row r="3596" spans="1:5" x14ac:dyDescent="0.25">
      <c r="A3596" s="279">
        <v>39094</v>
      </c>
      <c r="B3596" t="s">
        <v>338</v>
      </c>
      <c r="C3596" t="s">
        <v>62</v>
      </c>
      <c r="D3596">
        <v>857</v>
      </c>
      <c r="E3596" t="s">
        <v>380</v>
      </c>
    </row>
    <row r="3597" spans="1:5" x14ac:dyDescent="0.25">
      <c r="A3597" s="279">
        <v>39094</v>
      </c>
      <c r="B3597" t="s">
        <v>338</v>
      </c>
      <c r="C3597" t="s">
        <v>63</v>
      </c>
      <c r="D3597">
        <v>0</v>
      </c>
      <c r="E3597" t="s">
        <v>378</v>
      </c>
    </row>
    <row r="3598" spans="1:5" x14ac:dyDescent="0.25">
      <c r="A3598" s="279">
        <v>39094</v>
      </c>
      <c r="B3598" t="s">
        <v>338</v>
      </c>
      <c r="C3598" t="s">
        <v>64</v>
      </c>
      <c r="D3598">
        <v>32270</v>
      </c>
      <c r="E3598" t="s">
        <v>380</v>
      </c>
    </row>
    <row r="3599" spans="1:5" x14ac:dyDescent="0.25">
      <c r="A3599" s="279">
        <v>39094</v>
      </c>
      <c r="B3599" t="s">
        <v>338</v>
      </c>
      <c r="C3599" t="s">
        <v>65</v>
      </c>
      <c r="D3599">
        <v>0</v>
      </c>
      <c r="E3599" t="s">
        <v>378</v>
      </c>
    </row>
    <row r="3600" spans="1:5" x14ac:dyDescent="0.25">
      <c r="A3600" s="279">
        <v>39094</v>
      </c>
      <c r="B3600" t="s">
        <v>338</v>
      </c>
      <c r="C3600" t="s">
        <v>66</v>
      </c>
      <c r="D3600">
        <v>0</v>
      </c>
      <c r="E3600" t="s">
        <v>380</v>
      </c>
    </row>
    <row r="3601" spans="1:5" x14ac:dyDescent="0.25">
      <c r="A3601" s="279">
        <v>39094</v>
      </c>
      <c r="B3601" t="s">
        <v>338</v>
      </c>
      <c r="C3601" t="s">
        <v>120</v>
      </c>
      <c r="D3601">
        <v>0</v>
      </c>
      <c r="E3601" t="s">
        <v>378</v>
      </c>
    </row>
    <row r="3602" spans="1:5" x14ac:dyDescent="0.25">
      <c r="A3602" s="279">
        <v>39094</v>
      </c>
      <c r="B3602" t="s">
        <v>338</v>
      </c>
      <c r="C3602" t="s">
        <v>121</v>
      </c>
      <c r="D3602">
        <v>20084</v>
      </c>
      <c r="E3602" t="s">
        <v>380</v>
      </c>
    </row>
    <row r="3603" spans="1:5" x14ac:dyDescent="0.25">
      <c r="A3603" s="279">
        <v>39094</v>
      </c>
      <c r="B3603" t="s">
        <v>338</v>
      </c>
      <c r="C3603" t="s">
        <v>67</v>
      </c>
      <c r="D3603">
        <v>0</v>
      </c>
      <c r="E3603" t="s">
        <v>378</v>
      </c>
    </row>
    <row r="3604" spans="1:5" x14ac:dyDescent="0.25">
      <c r="A3604" s="279">
        <v>39094</v>
      </c>
      <c r="B3604" t="s">
        <v>338</v>
      </c>
      <c r="C3604" t="s">
        <v>68</v>
      </c>
      <c r="D3604">
        <v>0</v>
      </c>
      <c r="E3604" t="s">
        <v>380</v>
      </c>
    </row>
    <row r="3605" spans="1:5" x14ac:dyDescent="0.25">
      <c r="A3605" s="279">
        <v>39094</v>
      </c>
      <c r="B3605" t="s">
        <v>338</v>
      </c>
      <c r="C3605" t="s">
        <v>69</v>
      </c>
      <c r="D3605">
        <v>34682</v>
      </c>
      <c r="E3605" t="s">
        <v>379</v>
      </c>
    </row>
    <row r="3606" spans="1:5" x14ac:dyDescent="0.25">
      <c r="A3606" s="279">
        <v>39094</v>
      </c>
      <c r="B3606" t="s">
        <v>338</v>
      </c>
      <c r="C3606" t="s">
        <v>70</v>
      </c>
      <c r="D3606">
        <v>0</v>
      </c>
      <c r="E3606" t="s">
        <v>379</v>
      </c>
    </row>
    <row r="3607" spans="1:5" x14ac:dyDescent="0.25">
      <c r="A3607" s="279">
        <v>39094</v>
      </c>
      <c r="B3607" t="s">
        <v>338</v>
      </c>
      <c r="C3607" t="s">
        <v>80</v>
      </c>
      <c r="D3607">
        <v>0</v>
      </c>
      <c r="E3607" t="s">
        <v>379</v>
      </c>
    </row>
    <row r="3608" spans="1:5" x14ac:dyDescent="0.25">
      <c r="A3608" s="279">
        <v>39094</v>
      </c>
      <c r="B3608" t="s">
        <v>339</v>
      </c>
      <c r="C3608" t="s">
        <v>71</v>
      </c>
      <c r="D3608">
        <v>0</v>
      </c>
      <c r="E3608" t="s">
        <v>378</v>
      </c>
    </row>
    <row r="3609" spans="1:5" x14ac:dyDescent="0.25">
      <c r="A3609" s="279">
        <v>39094</v>
      </c>
      <c r="B3609" t="s">
        <v>339</v>
      </c>
      <c r="C3609" t="s">
        <v>72</v>
      </c>
      <c r="D3609">
        <v>4836</v>
      </c>
      <c r="E3609" t="s">
        <v>380</v>
      </c>
    </row>
    <row r="3610" spans="1:5" x14ac:dyDescent="0.25">
      <c r="A3610" s="279">
        <v>39094</v>
      </c>
      <c r="B3610" t="s">
        <v>339</v>
      </c>
      <c r="C3610" t="s">
        <v>73</v>
      </c>
      <c r="D3610">
        <v>0</v>
      </c>
      <c r="E3610" t="s">
        <v>378</v>
      </c>
    </row>
    <row r="3611" spans="1:5" x14ac:dyDescent="0.25">
      <c r="A3611" s="279">
        <v>39094</v>
      </c>
      <c r="B3611" t="s">
        <v>339</v>
      </c>
      <c r="C3611" t="s">
        <v>74</v>
      </c>
      <c r="D3611">
        <v>11854</v>
      </c>
      <c r="E3611" t="s">
        <v>380</v>
      </c>
    </row>
    <row r="3612" spans="1:5" x14ac:dyDescent="0.25">
      <c r="A3612" s="279">
        <v>39094</v>
      </c>
      <c r="B3612" t="s">
        <v>339</v>
      </c>
      <c r="C3612" t="s">
        <v>75</v>
      </c>
      <c r="D3612">
        <v>15065</v>
      </c>
      <c r="E3612" t="s">
        <v>378</v>
      </c>
    </row>
    <row r="3613" spans="1:5" x14ac:dyDescent="0.25">
      <c r="A3613" s="279">
        <v>39094</v>
      </c>
      <c r="B3613" t="s">
        <v>339</v>
      </c>
      <c r="C3613" t="s">
        <v>76</v>
      </c>
      <c r="D3613">
        <v>14522</v>
      </c>
      <c r="E3613" t="s">
        <v>380</v>
      </c>
    </row>
    <row r="3614" spans="1:5" x14ac:dyDescent="0.25">
      <c r="A3614" s="279">
        <v>39094</v>
      </c>
      <c r="B3614" t="s">
        <v>339</v>
      </c>
      <c r="C3614" t="s">
        <v>77</v>
      </c>
      <c r="D3614">
        <v>7296</v>
      </c>
      <c r="E3614" t="s">
        <v>378</v>
      </c>
    </row>
    <row r="3615" spans="1:5" x14ac:dyDescent="0.25">
      <c r="A3615" s="279">
        <v>39094</v>
      </c>
      <c r="B3615" t="s">
        <v>339</v>
      </c>
      <c r="C3615" t="s">
        <v>78</v>
      </c>
      <c r="D3615">
        <v>7029</v>
      </c>
      <c r="E3615" t="s">
        <v>380</v>
      </c>
    </row>
    <row r="3616" spans="1:5" x14ac:dyDescent="0.25">
      <c r="A3616" s="279">
        <v>39094</v>
      </c>
      <c r="B3616" t="s">
        <v>339</v>
      </c>
      <c r="C3616" t="s">
        <v>79</v>
      </c>
      <c r="D3616">
        <v>65666</v>
      </c>
      <c r="E3616" t="s">
        <v>379</v>
      </c>
    </row>
    <row r="3617" spans="1:5" x14ac:dyDescent="0.25">
      <c r="A3617" s="279">
        <v>39094</v>
      </c>
      <c r="B3617" t="s">
        <v>339</v>
      </c>
      <c r="C3617" t="s">
        <v>70</v>
      </c>
      <c r="D3617">
        <v>0</v>
      </c>
      <c r="E3617" t="s">
        <v>379</v>
      </c>
    </row>
    <row r="3618" spans="1:5" x14ac:dyDescent="0.25">
      <c r="A3618" s="279">
        <v>39094</v>
      </c>
      <c r="B3618" t="s">
        <v>339</v>
      </c>
      <c r="C3618" t="s">
        <v>63</v>
      </c>
      <c r="D3618">
        <v>0</v>
      </c>
      <c r="E3618" t="s">
        <v>378</v>
      </c>
    </row>
    <row r="3619" spans="1:5" x14ac:dyDescent="0.25">
      <c r="A3619" s="279">
        <v>39094</v>
      </c>
      <c r="B3619" t="s">
        <v>339</v>
      </c>
      <c r="C3619" t="s">
        <v>80</v>
      </c>
      <c r="D3619">
        <v>134</v>
      </c>
      <c r="E3619" t="s">
        <v>379</v>
      </c>
    </row>
    <row r="3620" spans="1:5" x14ac:dyDescent="0.25">
      <c r="A3620" s="279">
        <v>39095</v>
      </c>
      <c r="B3620" t="s">
        <v>338</v>
      </c>
      <c r="C3620" t="s">
        <v>59</v>
      </c>
      <c r="D3620">
        <v>0</v>
      </c>
      <c r="E3620" t="s">
        <v>378</v>
      </c>
    </row>
    <row r="3621" spans="1:5" x14ac:dyDescent="0.25">
      <c r="A3621" s="279">
        <v>39095</v>
      </c>
      <c r="B3621" t="s">
        <v>338</v>
      </c>
      <c r="C3621" t="s">
        <v>60</v>
      </c>
      <c r="D3621">
        <v>4797</v>
      </c>
      <c r="E3621" t="s">
        <v>379</v>
      </c>
    </row>
    <row r="3622" spans="1:5" x14ac:dyDescent="0.25">
      <c r="A3622" s="279">
        <v>39095</v>
      </c>
      <c r="B3622" t="s">
        <v>338</v>
      </c>
      <c r="C3622" t="s">
        <v>61</v>
      </c>
      <c r="D3622">
        <v>0</v>
      </c>
      <c r="E3622" t="s">
        <v>378</v>
      </c>
    </row>
    <row r="3623" spans="1:5" x14ac:dyDescent="0.25">
      <c r="A3623" s="279">
        <v>39095</v>
      </c>
      <c r="B3623" t="s">
        <v>338</v>
      </c>
      <c r="C3623" t="s">
        <v>62</v>
      </c>
      <c r="D3623">
        <v>0</v>
      </c>
      <c r="E3623" t="s">
        <v>380</v>
      </c>
    </row>
    <row r="3624" spans="1:5" x14ac:dyDescent="0.25">
      <c r="A3624" s="279">
        <v>39095</v>
      </c>
      <c r="B3624" t="s">
        <v>338</v>
      </c>
      <c r="C3624" t="s">
        <v>63</v>
      </c>
      <c r="D3624">
        <v>0</v>
      </c>
      <c r="E3624" t="s">
        <v>378</v>
      </c>
    </row>
    <row r="3625" spans="1:5" x14ac:dyDescent="0.25">
      <c r="A3625" s="279">
        <v>39095</v>
      </c>
      <c r="B3625" t="s">
        <v>338</v>
      </c>
      <c r="C3625" t="s">
        <v>64</v>
      </c>
      <c r="D3625">
        <v>0</v>
      </c>
      <c r="E3625" t="s">
        <v>380</v>
      </c>
    </row>
    <row r="3626" spans="1:5" x14ac:dyDescent="0.25">
      <c r="A3626" s="279">
        <v>39095</v>
      </c>
      <c r="B3626" t="s">
        <v>338</v>
      </c>
      <c r="C3626" t="s">
        <v>65</v>
      </c>
      <c r="D3626">
        <v>0</v>
      </c>
      <c r="E3626" t="s">
        <v>378</v>
      </c>
    </row>
    <row r="3627" spans="1:5" x14ac:dyDescent="0.25">
      <c r="A3627" s="279">
        <v>39095</v>
      </c>
      <c r="B3627" t="s">
        <v>338</v>
      </c>
      <c r="C3627" t="s">
        <v>66</v>
      </c>
      <c r="D3627">
        <v>0</v>
      </c>
      <c r="E3627" t="s">
        <v>380</v>
      </c>
    </row>
    <row r="3628" spans="1:5" x14ac:dyDescent="0.25">
      <c r="A3628" s="279">
        <v>39095</v>
      </c>
      <c r="B3628" t="s">
        <v>338</v>
      </c>
      <c r="C3628" t="s">
        <v>120</v>
      </c>
      <c r="D3628">
        <v>0</v>
      </c>
      <c r="E3628" t="s">
        <v>378</v>
      </c>
    </row>
    <row r="3629" spans="1:5" x14ac:dyDescent="0.25">
      <c r="A3629" s="279">
        <v>39095</v>
      </c>
      <c r="B3629" t="s">
        <v>338</v>
      </c>
      <c r="C3629" t="s">
        <v>121</v>
      </c>
      <c r="D3629">
        <v>302</v>
      </c>
      <c r="E3629" t="s">
        <v>380</v>
      </c>
    </row>
    <row r="3630" spans="1:5" x14ac:dyDescent="0.25">
      <c r="A3630" s="279">
        <v>39095</v>
      </c>
      <c r="B3630" t="s">
        <v>338</v>
      </c>
      <c r="C3630" t="s">
        <v>67</v>
      </c>
      <c r="D3630">
        <v>0</v>
      </c>
      <c r="E3630" t="s">
        <v>378</v>
      </c>
    </row>
    <row r="3631" spans="1:5" x14ac:dyDescent="0.25">
      <c r="A3631" s="279">
        <v>39095</v>
      </c>
      <c r="B3631" t="s">
        <v>338</v>
      </c>
      <c r="C3631" t="s">
        <v>68</v>
      </c>
      <c r="D3631">
        <v>0</v>
      </c>
      <c r="E3631" t="s">
        <v>380</v>
      </c>
    </row>
    <row r="3632" spans="1:5" x14ac:dyDescent="0.25">
      <c r="A3632" s="279">
        <v>39095</v>
      </c>
      <c r="B3632" t="s">
        <v>338</v>
      </c>
      <c r="C3632" t="s">
        <v>69</v>
      </c>
      <c r="D3632">
        <v>34549</v>
      </c>
      <c r="E3632" t="s">
        <v>379</v>
      </c>
    </row>
    <row r="3633" spans="1:5" x14ac:dyDescent="0.25">
      <c r="A3633" s="279">
        <v>39095</v>
      </c>
      <c r="B3633" t="s">
        <v>338</v>
      </c>
      <c r="C3633" t="s">
        <v>70</v>
      </c>
      <c r="D3633">
        <v>0</v>
      </c>
      <c r="E3633" t="s">
        <v>379</v>
      </c>
    </row>
    <row r="3634" spans="1:5" x14ac:dyDescent="0.25">
      <c r="A3634" s="279">
        <v>39095</v>
      </c>
      <c r="B3634" t="s">
        <v>338</v>
      </c>
      <c r="C3634" t="s">
        <v>80</v>
      </c>
      <c r="D3634">
        <v>0</v>
      </c>
      <c r="E3634" t="s">
        <v>379</v>
      </c>
    </row>
    <row r="3635" spans="1:5" x14ac:dyDescent="0.25">
      <c r="A3635" s="279">
        <v>39095</v>
      </c>
      <c r="B3635" t="s">
        <v>339</v>
      </c>
      <c r="C3635" t="s">
        <v>71</v>
      </c>
      <c r="D3635">
        <v>0</v>
      </c>
      <c r="E3635" t="s">
        <v>378</v>
      </c>
    </row>
    <row r="3636" spans="1:5" x14ac:dyDescent="0.25">
      <c r="A3636" s="279">
        <v>39095</v>
      </c>
      <c r="B3636" t="s">
        <v>339</v>
      </c>
      <c r="C3636" t="s">
        <v>72</v>
      </c>
      <c r="D3636">
        <v>0</v>
      </c>
      <c r="E3636" t="s">
        <v>380</v>
      </c>
    </row>
    <row r="3637" spans="1:5" x14ac:dyDescent="0.25">
      <c r="A3637" s="279">
        <v>39095</v>
      </c>
      <c r="B3637" t="s">
        <v>339</v>
      </c>
      <c r="C3637" t="s">
        <v>73</v>
      </c>
      <c r="D3637">
        <v>0</v>
      </c>
      <c r="E3637" t="s">
        <v>378</v>
      </c>
    </row>
    <row r="3638" spans="1:5" x14ac:dyDescent="0.25">
      <c r="A3638" s="279">
        <v>39095</v>
      </c>
      <c r="B3638" t="s">
        <v>339</v>
      </c>
      <c r="C3638" t="s">
        <v>74</v>
      </c>
      <c r="D3638">
        <v>0</v>
      </c>
      <c r="E3638" t="s">
        <v>380</v>
      </c>
    </row>
    <row r="3639" spans="1:5" x14ac:dyDescent="0.25">
      <c r="A3639" s="279">
        <v>39095</v>
      </c>
      <c r="B3639" t="s">
        <v>339</v>
      </c>
      <c r="C3639" t="s">
        <v>75</v>
      </c>
      <c r="D3639">
        <v>15050</v>
      </c>
      <c r="E3639" t="s">
        <v>378</v>
      </c>
    </row>
    <row r="3640" spans="1:5" x14ac:dyDescent="0.25">
      <c r="A3640" s="279">
        <v>39095</v>
      </c>
      <c r="B3640" t="s">
        <v>339</v>
      </c>
      <c r="C3640" t="s">
        <v>76</v>
      </c>
      <c r="D3640">
        <v>12093</v>
      </c>
      <c r="E3640" t="s">
        <v>380</v>
      </c>
    </row>
    <row r="3641" spans="1:5" x14ac:dyDescent="0.25">
      <c r="A3641" s="279">
        <v>39095</v>
      </c>
      <c r="B3641" t="s">
        <v>339</v>
      </c>
      <c r="C3641" t="s">
        <v>77</v>
      </c>
      <c r="D3641">
        <v>7289</v>
      </c>
      <c r="E3641" t="s">
        <v>378</v>
      </c>
    </row>
    <row r="3642" spans="1:5" x14ac:dyDescent="0.25">
      <c r="A3642" s="279">
        <v>39095</v>
      </c>
      <c r="B3642" t="s">
        <v>339</v>
      </c>
      <c r="C3642" t="s">
        <v>78</v>
      </c>
      <c r="D3642">
        <v>7022</v>
      </c>
      <c r="E3642" t="s">
        <v>380</v>
      </c>
    </row>
    <row r="3643" spans="1:5" x14ac:dyDescent="0.25">
      <c r="A3643" s="279">
        <v>39095</v>
      </c>
      <c r="B3643" t="s">
        <v>339</v>
      </c>
      <c r="C3643" t="s">
        <v>79</v>
      </c>
      <c r="D3643">
        <v>65603</v>
      </c>
      <c r="E3643" t="s">
        <v>379</v>
      </c>
    </row>
    <row r="3644" spans="1:5" x14ac:dyDescent="0.25">
      <c r="A3644" s="279">
        <v>39095</v>
      </c>
      <c r="B3644" t="s">
        <v>339</v>
      </c>
      <c r="C3644" t="s">
        <v>70</v>
      </c>
      <c r="D3644">
        <v>0</v>
      </c>
      <c r="E3644" t="s">
        <v>379</v>
      </c>
    </row>
    <row r="3645" spans="1:5" x14ac:dyDescent="0.25">
      <c r="A3645" s="279">
        <v>39095</v>
      </c>
      <c r="B3645" t="s">
        <v>339</v>
      </c>
      <c r="C3645" t="s">
        <v>63</v>
      </c>
      <c r="D3645">
        <v>0</v>
      </c>
      <c r="E3645" t="s">
        <v>378</v>
      </c>
    </row>
    <row r="3646" spans="1:5" x14ac:dyDescent="0.25">
      <c r="A3646" s="279">
        <v>39095</v>
      </c>
      <c r="B3646" t="s">
        <v>339</v>
      </c>
      <c r="C3646" t="s">
        <v>80</v>
      </c>
      <c r="D3646">
        <v>134</v>
      </c>
      <c r="E3646" t="s">
        <v>379</v>
      </c>
    </row>
    <row r="3647" spans="1:5" x14ac:dyDescent="0.25">
      <c r="A3647" s="279">
        <v>39096</v>
      </c>
      <c r="B3647" t="s">
        <v>338</v>
      </c>
      <c r="C3647" t="s">
        <v>59</v>
      </c>
      <c r="D3647">
        <v>0</v>
      </c>
      <c r="E3647" t="s">
        <v>378</v>
      </c>
    </row>
    <row r="3648" spans="1:5" x14ac:dyDescent="0.25">
      <c r="A3648" s="279">
        <v>39096</v>
      </c>
      <c r="B3648" t="s">
        <v>338</v>
      </c>
      <c r="C3648" t="s">
        <v>60</v>
      </c>
      <c r="D3648">
        <v>4792</v>
      </c>
      <c r="E3648" t="s">
        <v>379</v>
      </c>
    </row>
    <row r="3649" spans="1:5" x14ac:dyDescent="0.25">
      <c r="A3649" s="279">
        <v>39096</v>
      </c>
      <c r="B3649" t="s">
        <v>338</v>
      </c>
      <c r="C3649" t="s">
        <v>61</v>
      </c>
      <c r="D3649">
        <v>0</v>
      </c>
      <c r="E3649" t="s">
        <v>378</v>
      </c>
    </row>
    <row r="3650" spans="1:5" x14ac:dyDescent="0.25">
      <c r="A3650" s="279">
        <v>39096</v>
      </c>
      <c r="B3650" t="s">
        <v>338</v>
      </c>
      <c r="C3650" t="s">
        <v>62</v>
      </c>
      <c r="D3650">
        <v>240</v>
      </c>
      <c r="E3650" t="s">
        <v>380</v>
      </c>
    </row>
    <row r="3651" spans="1:5" x14ac:dyDescent="0.25">
      <c r="A3651" s="279">
        <v>39096</v>
      </c>
      <c r="B3651" t="s">
        <v>338</v>
      </c>
      <c r="C3651" t="s">
        <v>63</v>
      </c>
      <c r="D3651">
        <v>0</v>
      </c>
      <c r="E3651" t="s">
        <v>378</v>
      </c>
    </row>
    <row r="3652" spans="1:5" x14ac:dyDescent="0.25">
      <c r="A3652" s="279">
        <v>39096</v>
      </c>
      <c r="B3652" t="s">
        <v>338</v>
      </c>
      <c r="C3652" t="s">
        <v>64</v>
      </c>
      <c r="D3652">
        <v>0</v>
      </c>
      <c r="E3652" t="s">
        <v>380</v>
      </c>
    </row>
    <row r="3653" spans="1:5" x14ac:dyDescent="0.25">
      <c r="A3653" s="279">
        <v>39096</v>
      </c>
      <c r="B3653" t="s">
        <v>338</v>
      </c>
      <c r="C3653" t="s">
        <v>65</v>
      </c>
      <c r="D3653">
        <v>0</v>
      </c>
      <c r="E3653" t="s">
        <v>378</v>
      </c>
    </row>
    <row r="3654" spans="1:5" x14ac:dyDescent="0.25">
      <c r="A3654" s="279">
        <v>39096</v>
      </c>
      <c r="B3654" t="s">
        <v>338</v>
      </c>
      <c r="C3654" t="s">
        <v>66</v>
      </c>
      <c r="D3654">
        <v>0</v>
      </c>
      <c r="E3654" t="s">
        <v>380</v>
      </c>
    </row>
    <row r="3655" spans="1:5" x14ac:dyDescent="0.25">
      <c r="A3655" s="279">
        <v>39096</v>
      </c>
      <c r="B3655" t="s">
        <v>338</v>
      </c>
      <c r="C3655" t="s">
        <v>120</v>
      </c>
      <c r="D3655">
        <v>0</v>
      </c>
      <c r="E3655" t="s">
        <v>378</v>
      </c>
    </row>
    <row r="3656" spans="1:5" x14ac:dyDescent="0.25">
      <c r="A3656" s="279">
        <v>39096</v>
      </c>
      <c r="B3656" t="s">
        <v>338</v>
      </c>
      <c r="C3656" t="s">
        <v>121</v>
      </c>
      <c r="D3656">
        <v>19988</v>
      </c>
      <c r="E3656" t="s">
        <v>380</v>
      </c>
    </row>
    <row r="3657" spans="1:5" x14ac:dyDescent="0.25">
      <c r="A3657" s="279">
        <v>39096</v>
      </c>
      <c r="B3657" t="s">
        <v>338</v>
      </c>
      <c r="C3657" t="s">
        <v>67</v>
      </c>
      <c r="D3657">
        <v>0</v>
      </c>
      <c r="E3657" t="s">
        <v>378</v>
      </c>
    </row>
    <row r="3658" spans="1:5" x14ac:dyDescent="0.25">
      <c r="A3658" s="279">
        <v>39096</v>
      </c>
      <c r="B3658" t="s">
        <v>338</v>
      </c>
      <c r="C3658" t="s">
        <v>68</v>
      </c>
      <c r="D3658">
        <v>0</v>
      </c>
      <c r="E3658" t="s">
        <v>380</v>
      </c>
    </row>
    <row r="3659" spans="1:5" x14ac:dyDescent="0.25">
      <c r="A3659" s="279">
        <v>39096</v>
      </c>
      <c r="B3659" t="s">
        <v>338</v>
      </c>
      <c r="C3659" t="s">
        <v>69</v>
      </c>
      <c r="D3659">
        <v>34516</v>
      </c>
      <c r="E3659" t="s">
        <v>379</v>
      </c>
    </row>
    <row r="3660" spans="1:5" x14ac:dyDescent="0.25">
      <c r="A3660" s="279">
        <v>39096</v>
      </c>
      <c r="B3660" t="s">
        <v>338</v>
      </c>
      <c r="C3660" t="s">
        <v>70</v>
      </c>
      <c r="D3660">
        <v>0</v>
      </c>
      <c r="E3660" t="s">
        <v>379</v>
      </c>
    </row>
    <row r="3661" spans="1:5" x14ac:dyDescent="0.25">
      <c r="A3661" s="279">
        <v>39096</v>
      </c>
      <c r="B3661" t="s">
        <v>338</v>
      </c>
      <c r="C3661" t="s">
        <v>80</v>
      </c>
      <c r="D3661">
        <v>0</v>
      </c>
      <c r="E3661" t="s">
        <v>379</v>
      </c>
    </row>
    <row r="3662" spans="1:5" x14ac:dyDescent="0.25">
      <c r="A3662" s="279">
        <v>39096</v>
      </c>
      <c r="B3662" t="s">
        <v>339</v>
      </c>
      <c r="C3662" t="s">
        <v>71</v>
      </c>
      <c r="D3662">
        <v>0</v>
      </c>
      <c r="E3662" t="s">
        <v>378</v>
      </c>
    </row>
    <row r="3663" spans="1:5" x14ac:dyDescent="0.25">
      <c r="A3663" s="279">
        <v>39096</v>
      </c>
      <c r="B3663" t="s">
        <v>339</v>
      </c>
      <c r="C3663" t="s">
        <v>72</v>
      </c>
      <c r="D3663">
        <v>291</v>
      </c>
      <c r="E3663" t="s">
        <v>380</v>
      </c>
    </row>
    <row r="3664" spans="1:5" x14ac:dyDescent="0.25">
      <c r="A3664" s="279">
        <v>39096</v>
      </c>
      <c r="B3664" t="s">
        <v>339</v>
      </c>
      <c r="C3664" t="s">
        <v>73</v>
      </c>
      <c r="D3664">
        <v>0</v>
      </c>
      <c r="E3664" t="s">
        <v>378</v>
      </c>
    </row>
    <row r="3665" spans="1:5" x14ac:dyDescent="0.25">
      <c r="A3665" s="279">
        <v>39096</v>
      </c>
      <c r="B3665" t="s">
        <v>339</v>
      </c>
      <c r="C3665" t="s">
        <v>74</v>
      </c>
      <c r="D3665">
        <v>0</v>
      </c>
      <c r="E3665" t="s">
        <v>380</v>
      </c>
    </row>
    <row r="3666" spans="1:5" x14ac:dyDescent="0.25">
      <c r="A3666" s="279">
        <v>39096</v>
      </c>
      <c r="B3666" t="s">
        <v>339</v>
      </c>
      <c r="C3666" t="s">
        <v>75</v>
      </c>
      <c r="D3666">
        <v>15035</v>
      </c>
      <c r="E3666" t="s">
        <v>378</v>
      </c>
    </row>
    <row r="3667" spans="1:5" x14ac:dyDescent="0.25">
      <c r="A3667" s="279">
        <v>39096</v>
      </c>
      <c r="B3667" t="s">
        <v>339</v>
      </c>
      <c r="C3667" t="s">
        <v>76</v>
      </c>
      <c r="D3667">
        <v>14494</v>
      </c>
      <c r="E3667" t="s">
        <v>380</v>
      </c>
    </row>
    <row r="3668" spans="1:5" x14ac:dyDescent="0.25">
      <c r="A3668" s="279">
        <v>39096</v>
      </c>
      <c r="B3668" t="s">
        <v>339</v>
      </c>
      <c r="C3668" t="s">
        <v>77</v>
      </c>
      <c r="D3668">
        <v>7282</v>
      </c>
      <c r="E3668" t="s">
        <v>378</v>
      </c>
    </row>
    <row r="3669" spans="1:5" x14ac:dyDescent="0.25">
      <c r="A3669" s="279">
        <v>39096</v>
      </c>
      <c r="B3669" t="s">
        <v>339</v>
      </c>
      <c r="C3669" t="s">
        <v>78</v>
      </c>
      <c r="D3669">
        <v>7015</v>
      </c>
      <c r="E3669" t="s">
        <v>380</v>
      </c>
    </row>
    <row r="3670" spans="1:5" x14ac:dyDescent="0.25">
      <c r="A3670" s="279">
        <v>39096</v>
      </c>
      <c r="B3670" t="s">
        <v>339</v>
      </c>
      <c r="C3670" t="s">
        <v>79</v>
      </c>
      <c r="D3670">
        <v>65540</v>
      </c>
      <c r="E3670" t="s">
        <v>379</v>
      </c>
    </row>
    <row r="3671" spans="1:5" x14ac:dyDescent="0.25">
      <c r="A3671" s="279">
        <v>39096</v>
      </c>
      <c r="B3671" t="s">
        <v>339</v>
      </c>
      <c r="C3671" t="s">
        <v>70</v>
      </c>
      <c r="D3671">
        <v>0</v>
      </c>
      <c r="E3671" t="s">
        <v>379</v>
      </c>
    </row>
    <row r="3672" spans="1:5" x14ac:dyDescent="0.25">
      <c r="A3672" s="279">
        <v>39096</v>
      </c>
      <c r="B3672" t="s">
        <v>339</v>
      </c>
      <c r="C3672" t="s">
        <v>63</v>
      </c>
      <c r="D3672">
        <v>0</v>
      </c>
      <c r="E3672" t="s">
        <v>378</v>
      </c>
    </row>
    <row r="3673" spans="1:5" x14ac:dyDescent="0.25">
      <c r="A3673" s="279">
        <v>39096</v>
      </c>
      <c r="B3673" t="s">
        <v>339</v>
      </c>
      <c r="C3673" t="s">
        <v>80</v>
      </c>
      <c r="D3673">
        <v>133</v>
      </c>
      <c r="E3673" t="s">
        <v>379</v>
      </c>
    </row>
    <row r="3674" spans="1:5" x14ac:dyDescent="0.25">
      <c r="A3674" s="279">
        <v>39097</v>
      </c>
      <c r="B3674" t="s">
        <v>338</v>
      </c>
      <c r="C3674" t="s">
        <v>59</v>
      </c>
      <c r="D3674">
        <v>0</v>
      </c>
      <c r="E3674" t="s">
        <v>378</v>
      </c>
    </row>
    <row r="3675" spans="1:5" x14ac:dyDescent="0.25">
      <c r="A3675" s="279">
        <v>39097</v>
      </c>
      <c r="B3675" t="s">
        <v>338</v>
      </c>
      <c r="C3675" t="s">
        <v>60</v>
      </c>
      <c r="D3675">
        <v>4792</v>
      </c>
      <c r="E3675" t="s">
        <v>379</v>
      </c>
    </row>
    <row r="3676" spans="1:5" x14ac:dyDescent="0.25">
      <c r="A3676" s="279">
        <v>39097</v>
      </c>
      <c r="B3676" t="s">
        <v>338</v>
      </c>
      <c r="C3676" t="s">
        <v>61</v>
      </c>
      <c r="D3676">
        <v>0</v>
      </c>
      <c r="E3676" t="s">
        <v>378</v>
      </c>
    </row>
    <row r="3677" spans="1:5" x14ac:dyDescent="0.25">
      <c r="A3677" s="279">
        <v>39097</v>
      </c>
      <c r="B3677" t="s">
        <v>338</v>
      </c>
      <c r="C3677" t="s">
        <v>62</v>
      </c>
      <c r="D3677">
        <v>0</v>
      </c>
      <c r="E3677" t="s">
        <v>380</v>
      </c>
    </row>
    <row r="3678" spans="1:5" x14ac:dyDescent="0.25">
      <c r="A3678" s="279">
        <v>39097</v>
      </c>
      <c r="B3678" t="s">
        <v>338</v>
      </c>
      <c r="C3678" t="s">
        <v>63</v>
      </c>
      <c r="D3678">
        <v>0</v>
      </c>
      <c r="E3678" t="s">
        <v>378</v>
      </c>
    </row>
    <row r="3679" spans="1:5" x14ac:dyDescent="0.25">
      <c r="A3679" s="279">
        <v>39097</v>
      </c>
      <c r="B3679" t="s">
        <v>338</v>
      </c>
      <c r="C3679" t="s">
        <v>64</v>
      </c>
      <c r="D3679">
        <v>32115</v>
      </c>
      <c r="E3679" t="s">
        <v>380</v>
      </c>
    </row>
    <row r="3680" spans="1:5" x14ac:dyDescent="0.25">
      <c r="A3680" s="279">
        <v>39097</v>
      </c>
      <c r="B3680" t="s">
        <v>338</v>
      </c>
      <c r="C3680" t="s">
        <v>65</v>
      </c>
      <c r="D3680">
        <v>0</v>
      </c>
      <c r="E3680" t="s">
        <v>378</v>
      </c>
    </row>
    <row r="3681" spans="1:5" x14ac:dyDescent="0.25">
      <c r="A3681" s="279">
        <v>39097</v>
      </c>
      <c r="B3681" t="s">
        <v>338</v>
      </c>
      <c r="C3681" t="s">
        <v>66</v>
      </c>
      <c r="D3681">
        <v>0</v>
      </c>
      <c r="E3681" t="s">
        <v>380</v>
      </c>
    </row>
    <row r="3682" spans="1:5" x14ac:dyDescent="0.25">
      <c r="A3682" s="279">
        <v>39097</v>
      </c>
      <c r="B3682" t="s">
        <v>338</v>
      </c>
      <c r="C3682" t="s">
        <v>120</v>
      </c>
      <c r="D3682">
        <v>176</v>
      </c>
      <c r="E3682" t="s">
        <v>378</v>
      </c>
    </row>
    <row r="3683" spans="1:5" x14ac:dyDescent="0.25">
      <c r="A3683" s="279">
        <v>39097</v>
      </c>
      <c r="B3683" t="s">
        <v>338</v>
      </c>
      <c r="C3683" t="s">
        <v>121</v>
      </c>
      <c r="D3683">
        <v>0</v>
      </c>
      <c r="E3683" t="s">
        <v>380</v>
      </c>
    </row>
    <row r="3684" spans="1:5" x14ac:dyDescent="0.25">
      <c r="A3684" s="279">
        <v>39097</v>
      </c>
      <c r="B3684" t="s">
        <v>338</v>
      </c>
      <c r="C3684" t="s">
        <v>67</v>
      </c>
      <c r="D3684">
        <v>0</v>
      </c>
      <c r="E3684" t="s">
        <v>378</v>
      </c>
    </row>
    <row r="3685" spans="1:5" x14ac:dyDescent="0.25">
      <c r="A3685" s="279">
        <v>39097</v>
      </c>
      <c r="B3685" t="s">
        <v>338</v>
      </c>
      <c r="C3685" t="s">
        <v>68</v>
      </c>
      <c r="D3685">
        <v>0</v>
      </c>
      <c r="E3685" t="s">
        <v>380</v>
      </c>
    </row>
    <row r="3686" spans="1:5" x14ac:dyDescent="0.25">
      <c r="A3686" s="279">
        <v>39097</v>
      </c>
      <c r="B3686" t="s">
        <v>338</v>
      </c>
      <c r="C3686" t="s">
        <v>69</v>
      </c>
      <c r="D3686">
        <v>34516</v>
      </c>
      <c r="E3686" t="s">
        <v>379</v>
      </c>
    </row>
    <row r="3687" spans="1:5" x14ac:dyDescent="0.25">
      <c r="A3687" s="279">
        <v>39097</v>
      </c>
      <c r="B3687" t="s">
        <v>338</v>
      </c>
      <c r="C3687" t="s">
        <v>70</v>
      </c>
      <c r="D3687">
        <v>0</v>
      </c>
      <c r="E3687" t="s">
        <v>379</v>
      </c>
    </row>
    <row r="3688" spans="1:5" x14ac:dyDescent="0.25">
      <c r="A3688" s="279">
        <v>39097</v>
      </c>
      <c r="B3688" t="s">
        <v>338</v>
      </c>
      <c r="C3688" t="s">
        <v>80</v>
      </c>
      <c r="D3688">
        <v>0</v>
      </c>
      <c r="E3688" t="s">
        <v>379</v>
      </c>
    </row>
    <row r="3689" spans="1:5" x14ac:dyDescent="0.25">
      <c r="A3689" s="279">
        <v>39097</v>
      </c>
      <c r="B3689" t="s">
        <v>339</v>
      </c>
      <c r="C3689" t="s">
        <v>71</v>
      </c>
      <c r="D3689">
        <v>0</v>
      </c>
      <c r="E3689" t="s">
        <v>378</v>
      </c>
    </row>
    <row r="3690" spans="1:5" x14ac:dyDescent="0.25">
      <c r="A3690" s="279">
        <v>39097</v>
      </c>
      <c r="B3690" t="s">
        <v>339</v>
      </c>
      <c r="C3690" t="s">
        <v>72</v>
      </c>
      <c r="D3690">
        <v>0</v>
      </c>
      <c r="E3690" t="s">
        <v>380</v>
      </c>
    </row>
    <row r="3691" spans="1:5" x14ac:dyDescent="0.25">
      <c r="A3691" s="279">
        <v>39097</v>
      </c>
      <c r="B3691" t="s">
        <v>339</v>
      </c>
      <c r="C3691" t="s">
        <v>73</v>
      </c>
      <c r="D3691">
        <v>2720</v>
      </c>
      <c r="E3691" t="s">
        <v>378</v>
      </c>
    </row>
    <row r="3692" spans="1:5" x14ac:dyDescent="0.25">
      <c r="A3692" s="279">
        <v>39097</v>
      </c>
      <c r="B3692" t="s">
        <v>339</v>
      </c>
      <c r="C3692" t="s">
        <v>74</v>
      </c>
      <c r="D3692">
        <v>0</v>
      </c>
      <c r="E3692" t="s">
        <v>380</v>
      </c>
    </row>
    <row r="3693" spans="1:5" x14ac:dyDescent="0.25">
      <c r="A3693" s="279">
        <v>39097</v>
      </c>
      <c r="B3693" t="s">
        <v>339</v>
      </c>
      <c r="C3693" t="s">
        <v>75</v>
      </c>
      <c r="D3693">
        <v>15050</v>
      </c>
      <c r="E3693" t="s">
        <v>378</v>
      </c>
    </row>
    <row r="3694" spans="1:5" x14ac:dyDescent="0.25">
      <c r="A3694" s="279">
        <v>39097</v>
      </c>
      <c r="B3694" t="s">
        <v>339</v>
      </c>
      <c r="C3694" t="s">
        <v>76</v>
      </c>
      <c r="D3694">
        <v>0</v>
      </c>
      <c r="E3694" t="s">
        <v>380</v>
      </c>
    </row>
    <row r="3695" spans="1:5" x14ac:dyDescent="0.25">
      <c r="A3695" s="279">
        <v>39097</v>
      </c>
      <c r="B3695" t="s">
        <v>339</v>
      </c>
      <c r="C3695" t="s">
        <v>77</v>
      </c>
      <c r="D3695">
        <v>7289</v>
      </c>
      <c r="E3695" t="s">
        <v>378</v>
      </c>
    </row>
    <row r="3696" spans="1:5" x14ac:dyDescent="0.25">
      <c r="A3696" s="279">
        <v>39097</v>
      </c>
      <c r="B3696" t="s">
        <v>339</v>
      </c>
      <c r="C3696" t="s">
        <v>78</v>
      </c>
      <c r="D3696">
        <v>0</v>
      </c>
      <c r="E3696" t="s">
        <v>380</v>
      </c>
    </row>
    <row r="3697" spans="1:5" x14ac:dyDescent="0.25">
      <c r="A3697" s="279">
        <v>39097</v>
      </c>
      <c r="B3697" t="s">
        <v>339</v>
      </c>
      <c r="C3697" t="s">
        <v>79</v>
      </c>
      <c r="D3697">
        <v>65603</v>
      </c>
      <c r="E3697" t="s">
        <v>379</v>
      </c>
    </row>
    <row r="3698" spans="1:5" x14ac:dyDescent="0.25">
      <c r="A3698" s="279">
        <v>39097</v>
      </c>
      <c r="B3698" t="s">
        <v>339</v>
      </c>
      <c r="C3698" t="s">
        <v>70</v>
      </c>
      <c r="D3698">
        <v>0</v>
      </c>
      <c r="E3698" t="s">
        <v>379</v>
      </c>
    </row>
    <row r="3699" spans="1:5" x14ac:dyDescent="0.25">
      <c r="A3699" s="279">
        <v>39097</v>
      </c>
      <c r="B3699" t="s">
        <v>339</v>
      </c>
      <c r="C3699" t="s">
        <v>63</v>
      </c>
      <c r="D3699">
        <v>0</v>
      </c>
      <c r="E3699" t="s">
        <v>378</v>
      </c>
    </row>
    <row r="3700" spans="1:5" x14ac:dyDescent="0.25">
      <c r="A3700" s="279">
        <v>39097</v>
      </c>
      <c r="B3700" t="s">
        <v>339</v>
      </c>
      <c r="C3700" t="s">
        <v>80</v>
      </c>
      <c r="D3700">
        <v>237</v>
      </c>
      <c r="E3700" t="s">
        <v>379</v>
      </c>
    </row>
    <row r="3701" spans="1:5" x14ac:dyDescent="0.25">
      <c r="A3701" s="279">
        <v>39098</v>
      </c>
      <c r="B3701" t="s">
        <v>338</v>
      </c>
      <c r="C3701" t="s">
        <v>59</v>
      </c>
      <c r="D3701">
        <v>0</v>
      </c>
      <c r="E3701" t="s">
        <v>378</v>
      </c>
    </row>
    <row r="3702" spans="1:5" x14ac:dyDescent="0.25">
      <c r="A3702" s="279">
        <v>39098</v>
      </c>
      <c r="B3702" t="s">
        <v>338</v>
      </c>
      <c r="C3702" t="s">
        <v>60</v>
      </c>
      <c r="D3702">
        <v>4806</v>
      </c>
      <c r="E3702" t="s">
        <v>379</v>
      </c>
    </row>
    <row r="3703" spans="1:5" x14ac:dyDescent="0.25">
      <c r="A3703" s="279">
        <v>39098</v>
      </c>
      <c r="B3703" t="s">
        <v>338</v>
      </c>
      <c r="C3703" t="s">
        <v>61</v>
      </c>
      <c r="D3703">
        <v>0</v>
      </c>
      <c r="E3703" t="s">
        <v>378</v>
      </c>
    </row>
    <row r="3704" spans="1:5" x14ac:dyDescent="0.25">
      <c r="A3704" s="279">
        <v>39098</v>
      </c>
      <c r="B3704" t="s">
        <v>338</v>
      </c>
      <c r="C3704" t="s">
        <v>62</v>
      </c>
      <c r="D3704">
        <v>34455</v>
      </c>
      <c r="E3704" t="s">
        <v>380</v>
      </c>
    </row>
    <row r="3705" spans="1:5" x14ac:dyDescent="0.25">
      <c r="A3705" s="279">
        <v>39098</v>
      </c>
      <c r="B3705" t="s">
        <v>338</v>
      </c>
      <c r="C3705" t="s">
        <v>63</v>
      </c>
      <c r="D3705">
        <v>0</v>
      </c>
      <c r="E3705" t="s">
        <v>378</v>
      </c>
    </row>
    <row r="3706" spans="1:5" x14ac:dyDescent="0.25">
      <c r="A3706" s="279">
        <v>39098</v>
      </c>
      <c r="B3706" t="s">
        <v>338</v>
      </c>
      <c r="C3706" t="s">
        <v>64</v>
      </c>
      <c r="D3706">
        <v>32208</v>
      </c>
      <c r="E3706" t="s">
        <v>380</v>
      </c>
    </row>
    <row r="3707" spans="1:5" x14ac:dyDescent="0.25">
      <c r="A3707" s="279">
        <v>39098</v>
      </c>
      <c r="B3707" t="s">
        <v>338</v>
      </c>
      <c r="C3707" t="s">
        <v>65</v>
      </c>
      <c r="D3707">
        <v>0</v>
      </c>
      <c r="E3707" t="s">
        <v>378</v>
      </c>
    </row>
    <row r="3708" spans="1:5" x14ac:dyDescent="0.25">
      <c r="A3708" s="279">
        <v>39098</v>
      </c>
      <c r="B3708" t="s">
        <v>338</v>
      </c>
      <c r="C3708" t="s">
        <v>66</v>
      </c>
      <c r="D3708">
        <v>0</v>
      </c>
      <c r="E3708" t="s">
        <v>380</v>
      </c>
    </row>
    <row r="3709" spans="1:5" x14ac:dyDescent="0.25">
      <c r="A3709" s="279">
        <v>39098</v>
      </c>
      <c r="B3709" t="s">
        <v>338</v>
      </c>
      <c r="C3709" t="s">
        <v>120</v>
      </c>
      <c r="D3709">
        <v>0</v>
      </c>
      <c r="E3709" t="s">
        <v>378</v>
      </c>
    </row>
    <row r="3710" spans="1:5" x14ac:dyDescent="0.25">
      <c r="A3710" s="279">
        <v>39098</v>
      </c>
      <c r="B3710" t="s">
        <v>338</v>
      </c>
      <c r="C3710" t="s">
        <v>121</v>
      </c>
      <c r="D3710">
        <v>20045</v>
      </c>
      <c r="E3710" t="s">
        <v>380</v>
      </c>
    </row>
    <row r="3711" spans="1:5" x14ac:dyDescent="0.25">
      <c r="A3711" s="279">
        <v>39098</v>
      </c>
      <c r="B3711" t="s">
        <v>338</v>
      </c>
      <c r="C3711" t="s">
        <v>67</v>
      </c>
      <c r="D3711">
        <v>0</v>
      </c>
      <c r="E3711" t="s">
        <v>378</v>
      </c>
    </row>
    <row r="3712" spans="1:5" x14ac:dyDescent="0.25">
      <c r="A3712" s="279">
        <v>39098</v>
      </c>
      <c r="B3712" t="s">
        <v>338</v>
      </c>
      <c r="C3712" t="s">
        <v>68</v>
      </c>
      <c r="D3712">
        <v>0</v>
      </c>
      <c r="E3712" t="s">
        <v>380</v>
      </c>
    </row>
    <row r="3713" spans="1:5" x14ac:dyDescent="0.25">
      <c r="A3713" s="279">
        <v>39098</v>
      </c>
      <c r="B3713" t="s">
        <v>338</v>
      </c>
      <c r="C3713" t="s">
        <v>69</v>
      </c>
      <c r="D3713">
        <v>34615</v>
      </c>
      <c r="E3713" t="s">
        <v>379</v>
      </c>
    </row>
    <row r="3714" spans="1:5" x14ac:dyDescent="0.25">
      <c r="A3714" s="279">
        <v>39098</v>
      </c>
      <c r="B3714" t="s">
        <v>338</v>
      </c>
      <c r="C3714" t="s">
        <v>70</v>
      </c>
      <c r="D3714">
        <v>0</v>
      </c>
      <c r="E3714" t="s">
        <v>379</v>
      </c>
    </row>
    <row r="3715" spans="1:5" x14ac:dyDescent="0.25">
      <c r="A3715" s="279">
        <v>39098</v>
      </c>
      <c r="B3715" t="s">
        <v>338</v>
      </c>
      <c r="C3715" t="s">
        <v>80</v>
      </c>
      <c r="D3715">
        <v>0</v>
      </c>
      <c r="E3715" t="s">
        <v>379</v>
      </c>
    </row>
    <row r="3716" spans="1:5" x14ac:dyDescent="0.25">
      <c r="A3716" s="279">
        <v>39098</v>
      </c>
      <c r="B3716" t="s">
        <v>339</v>
      </c>
      <c r="C3716" t="s">
        <v>71</v>
      </c>
      <c r="D3716">
        <v>0</v>
      </c>
      <c r="E3716" t="s">
        <v>378</v>
      </c>
    </row>
    <row r="3717" spans="1:5" x14ac:dyDescent="0.25">
      <c r="A3717" s="279">
        <v>39098</v>
      </c>
      <c r="B3717" t="s">
        <v>339</v>
      </c>
      <c r="C3717" t="s">
        <v>72</v>
      </c>
      <c r="D3717">
        <v>4845</v>
      </c>
      <c r="E3717" t="s">
        <v>380</v>
      </c>
    </row>
    <row r="3718" spans="1:5" x14ac:dyDescent="0.25">
      <c r="A3718" s="279">
        <v>39098</v>
      </c>
      <c r="B3718" t="s">
        <v>339</v>
      </c>
      <c r="C3718" t="s">
        <v>73</v>
      </c>
      <c r="D3718">
        <v>0</v>
      </c>
      <c r="E3718" t="s">
        <v>378</v>
      </c>
    </row>
    <row r="3719" spans="1:5" x14ac:dyDescent="0.25">
      <c r="A3719" s="279">
        <v>39098</v>
      </c>
      <c r="B3719" t="s">
        <v>339</v>
      </c>
      <c r="C3719" t="s">
        <v>74</v>
      </c>
      <c r="D3719">
        <v>38760</v>
      </c>
      <c r="E3719" t="s">
        <v>380</v>
      </c>
    </row>
    <row r="3720" spans="1:5" x14ac:dyDescent="0.25">
      <c r="A3720" s="279">
        <v>39098</v>
      </c>
      <c r="B3720" t="s">
        <v>339</v>
      </c>
      <c r="C3720" t="s">
        <v>75</v>
      </c>
      <c r="D3720">
        <v>15094</v>
      </c>
      <c r="E3720" t="s">
        <v>378</v>
      </c>
    </row>
    <row r="3721" spans="1:5" x14ac:dyDescent="0.25">
      <c r="A3721" s="279">
        <v>39098</v>
      </c>
      <c r="B3721" t="s">
        <v>339</v>
      </c>
      <c r="C3721" t="s">
        <v>76</v>
      </c>
      <c r="D3721">
        <v>33930</v>
      </c>
      <c r="E3721" t="s">
        <v>380</v>
      </c>
    </row>
    <row r="3722" spans="1:5" x14ac:dyDescent="0.25">
      <c r="A3722" s="279">
        <v>39098</v>
      </c>
      <c r="B3722" t="s">
        <v>339</v>
      </c>
      <c r="C3722" t="s">
        <v>77</v>
      </c>
      <c r="D3722">
        <v>7310</v>
      </c>
      <c r="E3722" t="s">
        <v>378</v>
      </c>
    </row>
    <row r="3723" spans="1:5" x14ac:dyDescent="0.25">
      <c r="A3723" s="279">
        <v>39098</v>
      </c>
      <c r="B3723" t="s">
        <v>339</v>
      </c>
      <c r="C3723" t="s">
        <v>78</v>
      </c>
      <c r="D3723">
        <v>39443</v>
      </c>
      <c r="E3723" t="s">
        <v>380</v>
      </c>
    </row>
    <row r="3724" spans="1:5" x14ac:dyDescent="0.25">
      <c r="A3724" s="279">
        <v>39098</v>
      </c>
      <c r="B3724" t="s">
        <v>339</v>
      </c>
      <c r="C3724" t="s">
        <v>79</v>
      </c>
      <c r="D3724">
        <v>65794</v>
      </c>
      <c r="E3724" t="s">
        <v>379</v>
      </c>
    </row>
    <row r="3725" spans="1:5" x14ac:dyDescent="0.25">
      <c r="A3725" s="279">
        <v>39098</v>
      </c>
      <c r="B3725" t="s">
        <v>339</v>
      </c>
      <c r="C3725" t="s">
        <v>70</v>
      </c>
      <c r="D3725">
        <v>0</v>
      </c>
      <c r="E3725" t="s">
        <v>379</v>
      </c>
    </row>
    <row r="3726" spans="1:5" x14ac:dyDescent="0.25">
      <c r="A3726" s="279">
        <v>39098</v>
      </c>
      <c r="B3726" t="s">
        <v>339</v>
      </c>
      <c r="C3726" t="s">
        <v>63</v>
      </c>
      <c r="D3726">
        <v>0</v>
      </c>
      <c r="E3726" t="s">
        <v>378</v>
      </c>
    </row>
    <row r="3727" spans="1:5" x14ac:dyDescent="0.25">
      <c r="A3727" s="279">
        <v>39098</v>
      </c>
      <c r="B3727" t="s">
        <v>339</v>
      </c>
      <c r="C3727" t="s">
        <v>80</v>
      </c>
      <c r="D3727">
        <v>134</v>
      </c>
      <c r="E3727" t="s">
        <v>379</v>
      </c>
    </row>
    <row r="3728" spans="1:5" x14ac:dyDescent="0.25">
      <c r="A3728" s="279">
        <v>39099</v>
      </c>
      <c r="B3728" t="s">
        <v>338</v>
      </c>
      <c r="C3728" t="s">
        <v>59</v>
      </c>
      <c r="D3728">
        <v>0</v>
      </c>
      <c r="E3728" t="s">
        <v>378</v>
      </c>
    </row>
    <row r="3729" spans="1:5" x14ac:dyDescent="0.25">
      <c r="A3729" s="279">
        <v>39099</v>
      </c>
      <c r="B3729" t="s">
        <v>338</v>
      </c>
      <c r="C3729" t="s">
        <v>60</v>
      </c>
      <c r="D3729">
        <v>4801</v>
      </c>
      <c r="E3729" t="s">
        <v>379</v>
      </c>
    </row>
    <row r="3730" spans="1:5" x14ac:dyDescent="0.25">
      <c r="A3730" s="279">
        <v>39099</v>
      </c>
      <c r="B3730" t="s">
        <v>338</v>
      </c>
      <c r="C3730" t="s">
        <v>61</v>
      </c>
      <c r="D3730">
        <v>0</v>
      </c>
      <c r="E3730" t="s">
        <v>378</v>
      </c>
    </row>
    <row r="3731" spans="1:5" x14ac:dyDescent="0.25">
      <c r="A3731" s="279">
        <v>39099</v>
      </c>
      <c r="B3731" t="s">
        <v>338</v>
      </c>
      <c r="C3731" t="s">
        <v>62</v>
      </c>
      <c r="D3731">
        <v>36277</v>
      </c>
      <c r="E3731" t="s">
        <v>380</v>
      </c>
    </row>
    <row r="3732" spans="1:5" x14ac:dyDescent="0.25">
      <c r="A3732" s="279">
        <v>39099</v>
      </c>
      <c r="B3732" t="s">
        <v>338</v>
      </c>
      <c r="C3732" t="s">
        <v>63</v>
      </c>
      <c r="D3732">
        <v>0</v>
      </c>
      <c r="E3732" t="s">
        <v>378</v>
      </c>
    </row>
    <row r="3733" spans="1:5" x14ac:dyDescent="0.25">
      <c r="A3733" s="279">
        <v>39099</v>
      </c>
      <c r="B3733" t="s">
        <v>338</v>
      </c>
      <c r="C3733" t="s">
        <v>64</v>
      </c>
      <c r="D3733">
        <v>32177</v>
      </c>
      <c r="E3733" t="s">
        <v>380</v>
      </c>
    </row>
    <row r="3734" spans="1:5" x14ac:dyDescent="0.25">
      <c r="A3734" s="279">
        <v>39099</v>
      </c>
      <c r="B3734" t="s">
        <v>338</v>
      </c>
      <c r="C3734" t="s">
        <v>65</v>
      </c>
      <c r="D3734">
        <v>0</v>
      </c>
      <c r="E3734" t="s">
        <v>378</v>
      </c>
    </row>
    <row r="3735" spans="1:5" x14ac:dyDescent="0.25">
      <c r="A3735" s="279">
        <v>39099</v>
      </c>
      <c r="B3735" t="s">
        <v>338</v>
      </c>
      <c r="C3735" t="s">
        <v>66</v>
      </c>
      <c r="D3735">
        <v>0</v>
      </c>
      <c r="E3735" t="s">
        <v>380</v>
      </c>
    </row>
    <row r="3736" spans="1:5" x14ac:dyDescent="0.25">
      <c r="A3736" s="279">
        <v>39099</v>
      </c>
      <c r="B3736" t="s">
        <v>338</v>
      </c>
      <c r="C3736" t="s">
        <v>120</v>
      </c>
      <c r="D3736">
        <v>0</v>
      </c>
      <c r="E3736" t="s">
        <v>378</v>
      </c>
    </row>
    <row r="3737" spans="1:5" x14ac:dyDescent="0.25">
      <c r="A3737" s="279">
        <v>39099</v>
      </c>
      <c r="B3737" t="s">
        <v>338</v>
      </c>
      <c r="C3737" t="s">
        <v>121</v>
      </c>
      <c r="D3737">
        <v>20026</v>
      </c>
      <c r="E3737" t="s">
        <v>380</v>
      </c>
    </row>
    <row r="3738" spans="1:5" x14ac:dyDescent="0.25">
      <c r="A3738" s="279">
        <v>39099</v>
      </c>
      <c r="B3738" t="s">
        <v>338</v>
      </c>
      <c r="C3738" t="s">
        <v>67</v>
      </c>
      <c r="D3738">
        <v>0</v>
      </c>
      <c r="E3738" t="s">
        <v>378</v>
      </c>
    </row>
    <row r="3739" spans="1:5" x14ac:dyDescent="0.25">
      <c r="A3739" s="279">
        <v>39099</v>
      </c>
      <c r="B3739" t="s">
        <v>338</v>
      </c>
      <c r="C3739" t="s">
        <v>68</v>
      </c>
      <c r="D3739">
        <v>0</v>
      </c>
      <c r="E3739" t="s">
        <v>380</v>
      </c>
    </row>
    <row r="3740" spans="1:5" x14ac:dyDescent="0.25">
      <c r="A3740" s="279">
        <v>39099</v>
      </c>
      <c r="B3740" t="s">
        <v>338</v>
      </c>
      <c r="C3740" t="s">
        <v>69</v>
      </c>
      <c r="D3740">
        <v>34582</v>
      </c>
      <c r="E3740" t="s">
        <v>379</v>
      </c>
    </row>
    <row r="3741" spans="1:5" x14ac:dyDescent="0.25">
      <c r="A3741" s="279">
        <v>39099</v>
      </c>
      <c r="B3741" t="s">
        <v>338</v>
      </c>
      <c r="C3741" t="s">
        <v>70</v>
      </c>
      <c r="D3741">
        <v>0</v>
      </c>
      <c r="E3741" t="s">
        <v>379</v>
      </c>
    </row>
    <row r="3742" spans="1:5" x14ac:dyDescent="0.25">
      <c r="A3742" s="279">
        <v>39099</v>
      </c>
      <c r="B3742" t="s">
        <v>338</v>
      </c>
      <c r="C3742" t="s">
        <v>80</v>
      </c>
      <c r="D3742">
        <v>0</v>
      </c>
      <c r="E3742" t="s">
        <v>379</v>
      </c>
    </row>
    <row r="3743" spans="1:5" x14ac:dyDescent="0.25">
      <c r="A3743" s="279">
        <v>39099</v>
      </c>
      <c r="B3743" t="s">
        <v>339</v>
      </c>
      <c r="C3743" t="s">
        <v>71</v>
      </c>
      <c r="D3743">
        <v>0</v>
      </c>
      <c r="E3743" t="s">
        <v>378</v>
      </c>
    </row>
    <row r="3744" spans="1:5" x14ac:dyDescent="0.25">
      <c r="A3744" s="279">
        <v>39099</v>
      </c>
      <c r="B3744" t="s">
        <v>339</v>
      </c>
      <c r="C3744" t="s">
        <v>72</v>
      </c>
      <c r="D3744">
        <v>4836</v>
      </c>
      <c r="E3744" t="s">
        <v>380</v>
      </c>
    </row>
    <row r="3745" spans="1:5" x14ac:dyDescent="0.25">
      <c r="A3745" s="279">
        <v>39099</v>
      </c>
      <c r="B3745" t="s">
        <v>339</v>
      </c>
      <c r="C3745" t="s">
        <v>73</v>
      </c>
      <c r="D3745">
        <v>0</v>
      </c>
      <c r="E3745" t="s">
        <v>378</v>
      </c>
    </row>
    <row r="3746" spans="1:5" x14ac:dyDescent="0.25">
      <c r="A3746" s="279">
        <v>39099</v>
      </c>
      <c r="B3746" t="s">
        <v>339</v>
      </c>
      <c r="C3746" t="s">
        <v>74</v>
      </c>
      <c r="D3746">
        <v>49992</v>
      </c>
      <c r="E3746" t="s">
        <v>380</v>
      </c>
    </row>
    <row r="3747" spans="1:5" x14ac:dyDescent="0.25">
      <c r="A3747" s="279">
        <v>39099</v>
      </c>
      <c r="B3747" t="s">
        <v>339</v>
      </c>
      <c r="C3747" t="s">
        <v>75</v>
      </c>
      <c r="D3747">
        <v>15065</v>
      </c>
      <c r="E3747" t="s">
        <v>378</v>
      </c>
    </row>
    <row r="3748" spans="1:5" x14ac:dyDescent="0.25">
      <c r="A3748" s="279">
        <v>39099</v>
      </c>
      <c r="B3748" t="s">
        <v>339</v>
      </c>
      <c r="C3748" t="s">
        <v>76</v>
      </c>
      <c r="D3748">
        <v>33366</v>
      </c>
      <c r="E3748" t="s">
        <v>380</v>
      </c>
    </row>
    <row r="3749" spans="1:5" x14ac:dyDescent="0.25">
      <c r="A3749" s="279">
        <v>39099</v>
      </c>
      <c r="B3749" t="s">
        <v>339</v>
      </c>
      <c r="C3749" t="s">
        <v>77</v>
      </c>
      <c r="D3749">
        <v>7296</v>
      </c>
      <c r="E3749" t="s">
        <v>378</v>
      </c>
    </row>
    <row r="3750" spans="1:5" x14ac:dyDescent="0.25">
      <c r="A3750" s="279">
        <v>39099</v>
      </c>
      <c r="B3750" t="s">
        <v>339</v>
      </c>
      <c r="C3750" t="s">
        <v>78</v>
      </c>
      <c r="D3750">
        <v>35466</v>
      </c>
      <c r="E3750" t="s">
        <v>380</v>
      </c>
    </row>
    <row r="3751" spans="1:5" x14ac:dyDescent="0.25">
      <c r="A3751" s="279">
        <v>39099</v>
      </c>
      <c r="B3751" t="s">
        <v>339</v>
      </c>
      <c r="C3751" t="s">
        <v>79</v>
      </c>
      <c r="D3751">
        <v>94680</v>
      </c>
      <c r="E3751" t="s">
        <v>379</v>
      </c>
    </row>
    <row r="3752" spans="1:5" x14ac:dyDescent="0.25">
      <c r="A3752" s="279">
        <v>39099</v>
      </c>
      <c r="B3752" t="s">
        <v>339</v>
      </c>
      <c r="C3752" t="s">
        <v>70</v>
      </c>
      <c r="D3752">
        <v>0</v>
      </c>
      <c r="E3752" t="s">
        <v>379</v>
      </c>
    </row>
    <row r="3753" spans="1:5" x14ac:dyDescent="0.25">
      <c r="A3753" s="279">
        <v>39099</v>
      </c>
      <c r="B3753" t="s">
        <v>339</v>
      </c>
      <c r="C3753" t="s">
        <v>63</v>
      </c>
      <c r="D3753">
        <v>0</v>
      </c>
      <c r="E3753" t="s">
        <v>378</v>
      </c>
    </row>
    <row r="3754" spans="1:5" x14ac:dyDescent="0.25">
      <c r="A3754" s="279">
        <v>39099</v>
      </c>
      <c r="B3754" t="s">
        <v>339</v>
      </c>
      <c r="C3754" t="s">
        <v>80</v>
      </c>
      <c r="D3754">
        <v>134</v>
      </c>
      <c r="E3754" t="s">
        <v>379</v>
      </c>
    </row>
    <row r="3755" spans="1:5" x14ac:dyDescent="0.25">
      <c r="A3755" s="279">
        <v>39100</v>
      </c>
      <c r="B3755" t="s">
        <v>338</v>
      </c>
      <c r="C3755" t="s">
        <v>59</v>
      </c>
      <c r="D3755">
        <v>0</v>
      </c>
      <c r="E3755" t="s">
        <v>378</v>
      </c>
    </row>
    <row r="3756" spans="1:5" x14ac:dyDescent="0.25">
      <c r="A3756" s="279">
        <v>39100</v>
      </c>
      <c r="B3756" t="s">
        <v>338</v>
      </c>
      <c r="C3756" t="s">
        <v>60</v>
      </c>
      <c r="D3756">
        <v>4801</v>
      </c>
      <c r="E3756" t="s">
        <v>379</v>
      </c>
    </row>
    <row r="3757" spans="1:5" x14ac:dyDescent="0.25">
      <c r="A3757" s="279">
        <v>39100</v>
      </c>
      <c r="B3757" t="s">
        <v>338</v>
      </c>
      <c r="C3757" t="s">
        <v>61</v>
      </c>
      <c r="D3757">
        <v>0</v>
      </c>
      <c r="E3757" t="s">
        <v>378</v>
      </c>
    </row>
    <row r="3758" spans="1:5" x14ac:dyDescent="0.25">
      <c r="A3758" s="279">
        <v>39100</v>
      </c>
      <c r="B3758" t="s">
        <v>338</v>
      </c>
      <c r="C3758" t="s">
        <v>62</v>
      </c>
      <c r="D3758">
        <v>34598</v>
      </c>
      <c r="E3758" t="s">
        <v>380</v>
      </c>
    </row>
    <row r="3759" spans="1:5" x14ac:dyDescent="0.25">
      <c r="A3759" s="279">
        <v>39100</v>
      </c>
      <c r="B3759" t="s">
        <v>338</v>
      </c>
      <c r="C3759" t="s">
        <v>63</v>
      </c>
      <c r="D3759">
        <v>0</v>
      </c>
      <c r="E3759" t="s">
        <v>378</v>
      </c>
    </row>
    <row r="3760" spans="1:5" x14ac:dyDescent="0.25">
      <c r="A3760" s="279">
        <v>39100</v>
      </c>
      <c r="B3760" t="s">
        <v>338</v>
      </c>
      <c r="C3760" t="s">
        <v>64</v>
      </c>
      <c r="D3760">
        <v>32177</v>
      </c>
      <c r="E3760" t="s">
        <v>380</v>
      </c>
    </row>
    <row r="3761" spans="1:5" x14ac:dyDescent="0.25">
      <c r="A3761" s="279">
        <v>39100</v>
      </c>
      <c r="B3761" t="s">
        <v>338</v>
      </c>
      <c r="C3761" t="s">
        <v>65</v>
      </c>
      <c r="D3761">
        <v>0</v>
      </c>
      <c r="E3761" t="s">
        <v>378</v>
      </c>
    </row>
    <row r="3762" spans="1:5" x14ac:dyDescent="0.25">
      <c r="A3762" s="279">
        <v>39100</v>
      </c>
      <c r="B3762" t="s">
        <v>338</v>
      </c>
      <c r="C3762" t="s">
        <v>66</v>
      </c>
      <c r="D3762">
        <v>0</v>
      </c>
      <c r="E3762" t="s">
        <v>380</v>
      </c>
    </row>
    <row r="3763" spans="1:5" x14ac:dyDescent="0.25">
      <c r="A3763" s="279">
        <v>39100</v>
      </c>
      <c r="B3763" t="s">
        <v>338</v>
      </c>
      <c r="C3763" t="s">
        <v>120</v>
      </c>
      <c r="D3763">
        <v>0</v>
      </c>
      <c r="E3763" t="s">
        <v>378</v>
      </c>
    </row>
    <row r="3764" spans="1:5" x14ac:dyDescent="0.25">
      <c r="A3764" s="279">
        <v>39100</v>
      </c>
      <c r="B3764" t="s">
        <v>338</v>
      </c>
      <c r="C3764" t="s">
        <v>121</v>
      </c>
      <c r="D3764">
        <v>20026</v>
      </c>
      <c r="E3764" t="s">
        <v>380</v>
      </c>
    </row>
    <row r="3765" spans="1:5" x14ac:dyDescent="0.25">
      <c r="A3765" s="279">
        <v>39100</v>
      </c>
      <c r="B3765" t="s">
        <v>338</v>
      </c>
      <c r="C3765" t="s">
        <v>67</v>
      </c>
      <c r="D3765">
        <v>0</v>
      </c>
      <c r="E3765" t="s">
        <v>378</v>
      </c>
    </row>
    <row r="3766" spans="1:5" x14ac:dyDescent="0.25">
      <c r="A3766" s="279">
        <v>39100</v>
      </c>
      <c r="B3766" t="s">
        <v>338</v>
      </c>
      <c r="C3766" t="s">
        <v>68</v>
      </c>
      <c r="D3766">
        <v>0</v>
      </c>
      <c r="E3766" t="s">
        <v>380</v>
      </c>
    </row>
    <row r="3767" spans="1:5" x14ac:dyDescent="0.25">
      <c r="A3767" s="279">
        <v>39100</v>
      </c>
      <c r="B3767" t="s">
        <v>338</v>
      </c>
      <c r="C3767" t="s">
        <v>69</v>
      </c>
      <c r="D3767">
        <v>34582</v>
      </c>
      <c r="E3767" t="s">
        <v>379</v>
      </c>
    </row>
    <row r="3768" spans="1:5" x14ac:dyDescent="0.25">
      <c r="A3768" s="279">
        <v>39100</v>
      </c>
      <c r="B3768" t="s">
        <v>338</v>
      </c>
      <c r="C3768" t="s">
        <v>70</v>
      </c>
      <c r="D3768">
        <v>0</v>
      </c>
      <c r="E3768" t="s">
        <v>379</v>
      </c>
    </row>
    <row r="3769" spans="1:5" x14ac:dyDescent="0.25">
      <c r="A3769" s="279">
        <v>39100</v>
      </c>
      <c r="B3769" t="s">
        <v>338</v>
      </c>
      <c r="C3769" t="s">
        <v>80</v>
      </c>
      <c r="D3769">
        <v>0</v>
      </c>
      <c r="E3769" t="s">
        <v>379</v>
      </c>
    </row>
    <row r="3770" spans="1:5" x14ac:dyDescent="0.25">
      <c r="A3770" s="279">
        <v>39100</v>
      </c>
      <c r="B3770" t="s">
        <v>339</v>
      </c>
      <c r="C3770" t="s">
        <v>71</v>
      </c>
      <c r="D3770">
        <v>0</v>
      </c>
      <c r="E3770" t="s">
        <v>378</v>
      </c>
    </row>
    <row r="3771" spans="1:5" x14ac:dyDescent="0.25">
      <c r="A3771" s="279">
        <v>39100</v>
      </c>
      <c r="B3771" t="s">
        <v>339</v>
      </c>
      <c r="C3771" t="s">
        <v>72</v>
      </c>
      <c r="D3771">
        <v>4831</v>
      </c>
      <c r="E3771" t="s">
        <v>380</v>
      </c>
    </row>
    <row r="3772" spans="1:5" x14ac:dyDescent="0.25">
      <c r="A3772" s="279">
        <v>39100</v>
      </c>
      <c r="B3772" t="s">
        <v>339</v>
      </c>
      <c r="C3772" t="s">
        <v>73</v>
      </c>
      <c r="D3772">
        <v>0</v>
      </c>
      <c r="E3772" t="s">
        <v>378</v>
      </c>
    </row>
    <row r="3773" spans="1:5" x14ac:dyDescent="0.25">
      <c r="A3773" s="279">
        <v>39100</v>
      </c>
      <c r="B3773" t="s">
        <v>339</v>
      </c>
      <c r="C3773" t="s">
        <v>74</v>
      </c>
      <c r="D3773">
        <v>40580</v>
      </c>
      <c r="E3773" t="s">
        <v>380</v>
      </c>
    </row>
    <row r="3774" spans="1:5" x14ac:dyDescent="0.25">
      <c r="A3774" s="279">
        <v>39100</v>
      </c>
      <c r="B3774" t="s">
        <v>339</v>
      </c>
      <c r="C3774" t="s">
        <v>75</v>
      </c>
      <c r="D3774">
        <v>15050</v>
      </c>
      <c r="E3774" t="s">
        <v>378</v>
      </c>
    </row>
    <row r="3775" spans="1:5" x14ac:dyDescent="0.25">
      <c r="A3775" s="279">
        <v>39100</v>
      </c>
      <c r="B3775" t="s">
        <v>339</v>
      </c>
      <c r="C3775" t="s">
        <v>76</v>
      </c>
      <c r="D3775">
        <v>33832</v>
      </c>
      <c r="E3775" t="s">
        <v>380</v>
      </c>
    </row>
    <row r="3776" spans="1:5" x14ac:dyDescent="0.25">
      <c r="A3776" s="279">
        <v>39100</v>
      </c>
      <c r="B3776" t="s">
        <v>339</v>
      </c>
      <c r="C3776" t="s">
        <v>77</v>
      </c>
      <c r="D3776">
        <v>7289</v>
      </c>
      <c r="E3776" t="s">
        <v>378</v>
      </c>
    </row>
    <row r="3777" spans="1:5" x14ac:dyDescent="0.25">
      <c r="A3777" s="279">
        <v>39100</v>
      </c>
      <c r="B3777" t="s">
        <v>339</v>
      </c>
      <c r="C3777" t="s">
        <v>78</v>
      </c>
      <c r="D3777">
        <v>13066</v>
      </c>
      <c r="E3777" t="s">
        <v>380</v>
      </c>
    </row>
    <row r="3778" spans="1:5" x14ac:dyDescent="0.25">
      <c r="A3778" s="279">
        <v>39100</v>
      </c>
      <c r="B3778" t="s">
        <v>339</v>
      </c>
      <c r="C3778" t="s">
        <v>79</v>
      </c>
      <c r="D3778">
        <v>94588</v>
      </c>
      <c r="E3778" t="s">
        <v>379</v>
      </c>
    </row>
    <row r="3779" spans="1:5" x14ac:dyDescent="0.25">
      <c r="A3779" s="279">
        <v>39100</v>
      </c>
      <c r="B3779" t="s">
        <v>339</v>
      </c>
      <c r="C3779" t="s">
        <v>70</v>
      </c>
      <c r="D3779">
        <v>0</v>
      </c>
      <c r="E3779" t="s">
        <v>379</v>
      </c>
    </row>
    <row r="3780" spans="1:5" x14ac:dyDescent="0.25">
      <c r="A3780" s="279">
        <v>39100</v>
      </c>
      <c r="B3780" t="s">
        <v>339</v>
      </c>
      <c r="C3780" t="s">
        <v>63</v>
      </c>
      <c r="D3780">
        <v>0</v>
      </c>
      <c r="E3780" t="s">
        <v>378</v>
      </c>
    </row>
    <row r="3781" spans="1:5" x14ac:dyDescent="0.25">
      <c r="A3781" s="279">
        <v>39100</v>
      </c>
      <c r="B3781" t="s">
        <v>339</v>
      </c>
      <c r="C3781" t="s">
        <v>80</v>
      </c>
      <c r="D3781">
        <v>134</v>
      </c>
      <c r="E3781" t="s">
        <v>379</v>
      </c>
    </row>
    <row r="3782" spans="1:5" x14ac:dyDescent="0.25">
      <c r="A3782" s="279">
        <v>39101</v>
      </c>
      <c r="B3782" t="s">
        <v>338</v>
      </c>
      <c r="C3782" t="s">
        <v>59</v>
      </c>
      <c r="D3782">
        <v>0</v>
      </c>
      <c r="E3782" t="s">
        <v>378</v>
      </c>
    </row>
    <row r="3783" spans="1:5" x14ac:dyDescent="0.25">
      <c r="A3783" s="279">
        <v>39101</v>
      </c>
      <c r="B3783" t="s">
        <v>338</v>
      </c>
      <c r="C3783" t="s">
        <v>60</v>
      </c>
      <c r="D3783">
        <v>4792</v>
      </c>
      <c r="E3783" t="s">
        <v>379</v>
      </c>
    </row>
    <row r="3784" spans="1:5" x14ac:dyDescent="0.25">
      <c r="A3784" s="279">
        <v>39101</v>
      </c>
      <c r="B3784" t="s">
        <v>338</v>
      </c>
      <c r="C3784" t="s">
        <v>61</v>
      </c>
      <c r="D3784">
        <v>0</v>
      </c>
      <c r="E3784" t="s">
        <v>378</v>
      </c>
    </row>
    <row r="3785" spans="1:5" x14ac:dyDescent="0.25">
      <c r="A3785" s="279">
        <v>39101</v>
      </c>
      <c r="B3785" t="s">
        <v>338</v>
      </c>
      <c r="C3785" t="s">
        <v>62</v>
      </c>
      <c r="D3785">
        <v>35768</v>
      </c>
      <c r="E3785" t="s">
        <v>380</v>
      </c>
    </row>
    <row r="3786" spans="1:5" x14ac:dyDescent="0.25">
      <c r="A3786" s="279">
        <v>39101</v>
      </c>
      <c r="B3786" t="s">
        <v>338</v>
      </c>
      <c r="C3786" t="s">
        <v>63</v>
      </c>
      <c r="D3786">
        <v>0</v>
      </c>
      <c r="E3786" t="s">
        <v>378</v>
      </c>
    </row>
    <row r="3787" spans="1:5" x14ac:dyDescent="0.25">
      <c r="A3787" s="279">
        <v>39101</v>
      </c>
      <c r="B3787" t="s">
        <v>338</v>
      </c>
      <c r="C3787" t="s">
        <v>64</v>
      </c>
      <c r="D3787">
        <v>32115</v>
      </c>
      <c r="E3787" t="s">
        <v>380</v>
      </c>
    </row>
    <row r="3788" spans="1:5" x14ac:dyDescent="0.25">
      <c r="A3788" s="279">
        <v>39101</v>
      </c>
      <c r="B3788" t="s">
        <v>338</v>
      </c>
      <c r="C3788" t="s">
        <v>65</v>
      </c>
      <c r="D3788">
        <v>0</v>
      </c>
      <c r="E3788" t="s">
        <v>378</v>
      </c>
    </row>
    <row r="3789" spans="1:5" x14ac:dyDescent="0.25">
      <c r="A3789" s="279">
        <v>39101</v>
      </c>
      <c r="B3789" t="s">
        <v>338</v>
      </c>
      <c r="C3789" t="s">
        <v>66</v>
      </c>
      <c r="D3789">
        <v>0</v>
      </c>
      <c r="E3789" t="s">
        <v>380</v>
      </c>
    </row>
    <row r="3790" spans="1:5" x14ac:dyDescent="0.25">
      <c r="A3790" s="279">
        <v>39101</v>
      </c>
      <c r="B3790" t="s">
        <v>338</v>
      </c>
      <c r="C3790" t="s">
        <v>120</v>
      </c>
      <c r="D3790">
        <v>0</v>
      </c>
      <c r="E3790" t="s">
        <v>378</v>
      </c>
    </row>
    <row r="3791" spans="1:5" x14ac:dyDescent="0.25">
      <c r="A3791" s="279">
        <v>39101</v>
      </c>
      <c r="B3791" t="s">
        <v>338</v>
      </c>
      <c r="C3791" t="s">
        <v>121</v>
      </c>
      <c r="D3791">
        <v>19988</v>
      </c>
      <c r="E3791" t="s">
        <v>380</v>
      </c>
    </row>
    <row r="3792" spans="1:5" x14ac:dyDescent="0.25">
      <c r="A3792" s="279">
        <v>39101</v>
      </c>
      <c r="B3792" t="s">
        <v>338</v>
      </c>
      <c r="C3792" t="s">
        <v>67</v>
      </c>
      <c r="D3792">
        <v>0</v>
      </c>
      <c r="E3792" t="s">
        <v>378</v>
      </c>
    </row>
    <row r="3793" spans="1:5" x14ac:dyDescent="0.25">
      <c r="A3793" s="279">
        <v>39101</v>
      </c>
      <c r="B3793" t="s">
        <v>338</v>
      </c>
      <c r="C3793" t="s">
        <v>68</v>
      </c>
      <c r="D3793">
        <v>0</v>
      </c>
      <c r="E3793" t="s">
        <v>380</v>
      </c>
    </row>
    <row r="3794" spans="1:5" x14ac:dyDescent="0.25">
      <c r="A3794" s="279">
        <v>39101</v>
      </c>
      <c r="B3794" t="s">
        <v>338</v>
      </c>
      <c r="C3794" t="s">
        <v>69</v>
      </c>
      <c r="D3794">
        <v>34516</v>
      </c>
      <c r="E3794" t="s">
        <v>379</v>
      </c>
    </row>
    <row r="3795" spans="1:5" x14ac:dyDescent="0.25">
      <c r="A3795" s="279">
        <v>39101</v>
      </c>
      <c r="B3795" t="s">
        <v>338</v>
      </c>
      <c r="C3795" t="s">
        <v>70</v>
      </c>
      <c r="D3795">
        <v>0</v>
      </c>
      <c r="E3795" t="s">
        <v>379</v>
      </c>
    </row>
    <row r="3796" spans="1:5" x14ac:dyDescent="0.25">
      <c r="A3796" s="279">
        <v>39101</v>
      </c>
      <c r="B3796" t="s">
        <v>338</v>
      </c>
      <c r="C3796" t="s">
        <v>80</v>
      </c>
      <c r="D3796">
        <v>0</v>
      </c>
      <c r="E3796" t="s">
        <v>379</v>
      </c>
    </row>
    <row r="3797" spans="1:5" x14ac:dyDescent="0.25">
      <c r="A3797" s="279">
        <v>39101</v>
      </c>
      <c r="B3797" t="s">
        <v>339</v>
      </c>
      <c r="C3797" t="s">
        <v>71</v>
      </c>
      <c r="D3797">
        <v>0</v>
      </c>
      <c r="E3797" t="s">
        <v>378</v>
      </c>
    </row>
    <row r="3798" spans="1:5" x14ac:dyDescent="0.25">
      <c r="A3798" s="279">
        <v>39101</v>
      </c>
      <c r="B3798" t="s">
        <v>339</v>
      </c>
      <c r="C3798" t="s">
        <v>72</v>
      </c>
      <c r="D3798">
        <v>4822</v>
      </c>
      <c r="E3798" t="s">
        <v>380</v>
      </c>
    </row>
    <row r="3799" spans="1:5" x14ac:dyDescent="0.25">
      <c r="A3799" s="279">
        <v>39101</v>
      </c>
      <c r="B3799" t="s">
        <v>339</v>
      </c>
      <c r="C3799" t="s">
        <v>73</v>
      </c>
      <c r="D3799">
        <v>0</v>
      </c>
      <c r="E3799" t="s">
        <v>378</v>
      </c>
    </row>
    <row r="3800" spans="1:5" x14ac:dyDescent="0.25">
      <c r="A3800" s="279">
        <v>39101</v>
      </c>
      <c r="B3800" t="s">
        <v>339</v>
      </c>
      <c r="C3800" t="s">
        <v>74</v>
      </c>
      <c r="D3800">
        <v>40501</v>
      </c>
      <c r="E3800" t="s">
        <v>380</v>
      </c>
    </row>
    <row r="3801" spans="1:5" x14ac:dyDescent="0.25">
      <c r="A3801" s="279">
        <v>39101</v>
      </c>
      <c r="B3801" t="s">
        <v>339</v>
      </c>
      <c r="C3801" t="s">
        <v>75</v>
      </c>
      <c r="D3801">
        <v>15021</v>
      </c>
      <c r="E3801" t="s">
        <v>378</v>
      </c>
    </row>
    <row r="3802" spans="1:5" x14ac:dyDescent="0.25">
      <c r="A3802" s="279">
        <v>39101</v>
      </c>
      <c r="B3802" t="s">
        <v>339</v>
      </c>
      <c r="C3802" t="s">
        <v>76</v>
      </c>
      <c r="D3802">
        <v>24388</v>
      </c>
      <c r="E3802" t="s">
        <v>380</v>
      </c>
    </row>
    <row r="3803" spans="1:5" x14ac:dyDescent="0.25">
      <c r="A3803" s="279">
        <v>39101</v>
      </c>
      <c r="B3803" t="s">
        <v>339</v>
      </c>
      <c r="C3803" t="s">
        <v>77</v>
      </c>
      <c r="D3803">
        <v>7275</v>
      </c>
      <c r="E3803" t="s">
        <v>378</v>
      </c>
    </row>
    <row r="3804" spans="1:5" x14ac:dyDescent="0.25">
      <c r="A3804" s="279">
        <v>39101</v>
      </c>
      <c r="B3804" t="s">
        <v>339</v>
      </c>
      <c r="C3804" t="s">
        <v>78</v>
      </c>
      <c r="D3804">
        <v>8905</v>
      </c>
      <c r="E3804" t="s">
        <v>380</v>
      </c>
    </row>
    <row r="3805" spans="1:5" x14ac:dyDescent="0.25">
      <c r="A3805" s="279">
        <v>39101</v>
      </c>
      <c r="B3805" t="s">
        <v>339</v>
      </c>
      <c r="C3805" t="s">
        <v>79</v>
      </c>
      <c r="D3805">
        <v>94406</v>
      </c>
      <c r="E3805" t="s">
        <v>379</v>
      </c>
    </row>
    <row r="3806" spans="1:5" x14ac:dyDescent="0.25">
      <c r="A3806" s="279">
        <v>39101</v>
      </c>
      <c r="B3806" t="s">
        <v>339</v>
      </c>
      <c r="C3806" t="s">
        <v>70</v>
      </c>
      <c r="D3806">
        <v>0</v>
      </c>
      <c r="E3806" t="s">
        <v>379</v>
      </c>
    </row>
    <row r="3807" spans="1:5" x14ac:dyDescent="0.25">
      <c r="A3807" s="279">
        <v>39101</v>
      </c>
      <c r="B3807" t="s">
        <v>339</v>
      </c>
      <c r="C3807" t="s">
        <v>63</v>
      </c>
      <c r="D3807">
        <v>0</v>
      </c>
      <c r="E3807" t="s">
        <v>378</v>
      </c>
    </row>
    <row r="3808" spans="1:5" x14ac:dyDescent="0.25">
      <c r="A3808" s="279">
        <v>39101</v>
      </c>
      <c r="B3808" t="s">
        <v>339</v>
      </c>
      <c r="C3808" t="s">
        <v>80</v>
      </c>
      <c r="D3808">
        <v>133</v>
      </c>
      <c r="E3808" t="s">
        <v>379</v>
      </c>
    </row>
    <row r="3809" spans="1:5" x14ac:dyDescent="0.25">
      <c r="A3809" s="279">
        <v>39102</v>
      </c>
      <c r="B3809" t="s">
        <v>338</v>
      </c>
      <c r="C3809" t="s">
        <v>59</v>
      </c>
      <c r="D3809">
        <v>0</v>
      </c>
      <c r="E3809" t="s">
        <v>378</v>
      </c>
    </row>
    <row r="3810" spans="1:5" x14ac:dyDescent="0.25">
      <c r="A3810" s="279">
        <v>39102</v>
      </c>
      <c r="B3810" t="s">
        <v>338</v>
      </c>
      <c r="C3810" t="s">
        <v>60</v>
      </c>
      <c r="D3810">
        <v>4797</v>
      </c>
      <c r="E3810" t="s">
        <v>379</v>
      </c>
    </row>
    <row r="3811" spans="1:5" x14ac:dyDescent="0.25">
      <c r="A3811" s="279">
        <v>39102</v>
      </c>
      <c r="B3811" t="s">
        <v>338</v>
      </c>
      <c r="C3811" t="s">
        <v>61</v>
      </c>
      <c r="D3811">
        <v>0</v>
      </c>
      <c r="E3811" t="s">
        <v>378</v>
      </c>
    </row>
    <row r="3812" spans="1:5" x14ac:dyDescent="0.25">
      <c r="A3812" s="279">
        <v>39102</v>
      </c>
      <c r="B3812" t="s">
        <v>338</v>
      </c>
      <c r="C3812" t="s">
        <v>62</v>
      </c>
      <c r="D3812">
        <v>39211</v>
      </c>
      <c r="E3812" t="s">
        <v>380</v>
      </c>
    </row>
    <row r="3813" spans="1:5" x14ac:dyDescent="0.25">
      <c r="A3813" s="279">
        <v>39102</v>
      </c>
      <c r="B3813" t="s">
        <v>338</v>
      </c>
      <c r="C3813" t="s">
        <v>63</v>
      </c>
      <c r="D3813">
        <v>0</v>
      </c>
      <c r="E3813" t="s">
        <v>378</v>
      </c>
    </row>
    <row r="3814" spans="1:5" x14ac:dyDescent="0.25">
      <c r="A3814" s="279">
        <v>39102</v>
      </c>
      <c r="B3814" t="s">
        <v>338</v>
      </c>
      <c r="C3814" t="s">
        <v>64</v>
      </c>
      <c r="D3814">
        <v>32146</v>
      </c>
      <c r="E3814" t="s">
        <v>380</v>
      </c>
    </row>
    <row r="3815" spans="1:5" x14ac:dyDescent="0.25">
      <c r="A3815" s="279">
        <v>39102</v>
      </c>
      <c r="B3815" t="s">
        <v>338</v>
      </c>
      <c r="C3815" t="s">
        <v>65</v>
      </c>
      <c r="D3815">
        <v>0</v>
      </c>
      <c r="E3815" t="s">
        <v>378</v>
      </c>
    </row>
    <row r="3816" spans="1:5" x14ac:dyDescent="0.25">
      <c r="A3816" s="279">
        <v>39102</v>
      </c>
      <c r="B3816" t="s">
        <v>338</v>
      </c>
      <c r="C3816" t="s">
        <v>66</v>
      </c>
      <c r="D3816">
        <v>0</v>
      </c>
      <c r="E3816" t="s">
        <v>380</v>
      </c>
    </row>
    <row r="3817" spans="1:5" x14ac:dyDescent="0.25">
      <c r="A3817" s="279">
        <v>39102</v>
      </c>
      <c r="B3817" t="s">
        <v>338</v>
      </c>
      <c r="C3817" t="s">
        <v>120</v>
      </c>
      <c r="D3817">
        <v>0</v>
      </c>
      <c r="E3817" t="s">
        <v>378</v>
      </c>
    </row>
    <row r="3818" spans="1:5" x14ac:dyDescent="0.25">
      <c r="A3818" s="279">
        <v>39102</v>
      </c>
      <c r="B3818" t="s">
        <v>338</v>
      </c>
      <c r="C3818" t="s">
        <v>121</v>
      </c>
      <c r="D3818">
        <v>20007</v>
      </c>
      <c r="E3818" t="s">
        <v>380</v>
      </c>
    </row>
    <row r="3819" spans="1:5" x14ac:dyDescent="0.25">
      <c r="A3819" s="279">
        <v>39102</v>
      </c>
      <c r="B3819" t="s">
        <v>338</v>
      </c>
      <c r="C3819" t="s">
        <v>67</v>
      </c>
      <c r="D3819">
        <v>0</v>
      </c>
      <c r="E3819" t="s">
        <v>378</v>
      </c>
    </row>
    <row r="3820" spans="1:5" x14ac:dyDescent="0.25">
      <c r="A3820" s="279">
        <v>39102</v>
      </c>
      <c r="B3820" t="s">
        <v>338</v>
      </c>
      <c r="C3820" t="s">
        <v>68</v>
      </c>
      <c r="D3820">
        <v>0</v>
      </c>
      <c r="E3820" t="s">
        <v>380</v>
      </c>
    </row>
    <row r="3821" spans="1:5" x14ac:dyDescent="0.25">
      <c r="A3821" s="279">
        <v>39102</v>
      </c>
      <c r="B3821" t="s">
        <v>338</v>
      </c>
      <c r="C3821" t="s">
        <v>69</v>
      </c>
      <c r="D3821">
        <v>34549</v>
      </c>
      <c r="E3821" t="s">
        <v>379</v>
      </c>
    </row>
    <row r="3822" spans="1:5" x14ac:dyDescent="0.25">
      <c r="A3822" s="279">
        <v>39102</v>
      </c>
      <c r="B3822" t="s">
        <v>338</v>
      </c>
      <c r="C3822" t="s">
        <v>70</v>
      </c>
      <c r="D3822">
        <v>0</v>
      </c>
      <c r="E3822" t="s">
        <v>379</v>
      </c>
    </row>
    <row r="3823" spans="1:5" x14ac:dyDescent="0.25">
      <c r="A3823" s="279">
        <v>39102</v>
      </c>
      <c r="B3823" t="s">
        <v>338</v>
      </c>
      <c r="C3823" t="s">
        <v>80</v>
      </c>
      <c r="D3823">
        <v>0</v>
      </c>
      <c r="E3823" t="s">
        <v>379</v>
      </c>
    </row>
    <row r="3824" spans="1:5" x14ac:dyDescent="0.25">
      <c r="A3824" s="279">
        <v>39102</v>
      </c>
      <c r="B3824" t="s">
        <v>339</v>
      </c>
      <c r="C3824" t="s">
        <v>71</v>
      </c>
      <c r="D3824">
        <v>0</v>
      </c>
      <c r="E3824" t="s">
        <v>378</v>
      </c>
    </row>
    <row r="3825" spans="1:5" x14ac:dyDescent="0.25">
      <c r="A3825" s="279">
        <v>39102</v>
      </c>
      <c r="B3825" t="s">
        <v>339</v>
      </c>
      <c r="C3825" t="s">
        <v>72</v>
      </c>
      <c r="D3825">
        <v>4836</v>
      </c>
      <c r="E3825" t="s">
        <v>380</v>
      </c>
    </row>
    <row r="3826" spans="1:5" x14ac:dyDescent="0.25">
      <c r="A3826" s="279">
        <v>39102</v>
      </c>
      <c r="B3826" t="s">
        <v>339</v>
      </c>
      <c r="C3826" t="s">
        <v>73</v>
      </c>
      <c r="D3826">
        <v>0</v>
      </c>
      <c r="E3826" t="s">
        <v>378</v>
      </c>
    </row>
    <row r="3827" spans="1:5" x14ac:dyDescent="0.25">
      <c r="A3827" s="279">
        <v>39102</v>
      </c>
      <c r="B3827" t="s">
        <v>339</v>
      </c>
      <c r="C3827" t="s">
        <v>74</v>
      </c>
      <c r="D3827">
        <v>53556</v>
      </c>
      <c r="E3827" t="s">
        <v>380</v>
      </c>
    </row>
    <row r="3828" spans="1:5" x14ac:dyDescent="0.25">
      <c r="A3828" s="279">
        <v>39102</v>
      </c>
      <c r="B3828" t="s">
        <v>339</v>
      </c>
      <c r="C3828" t="s">
        <v>75</v>
      </c>
      <c r="D3828">
        <v>15065</v>
      </c>
      <c r="E3828" t="s">
        <v>378</v>
      </c>
    </row>
    <row r="3829" spans="1:5" x14ac:dyDescent="0.25">
      <c r="A3829" s="279">
        <v>39102</v>
      </c>
      <c r="B3829" t="s">
        <v>339</v>
      </c>
      <c r="C3829" t="s">
        <v>76</v>
      </c>
      <c r="D3829">
        <v>33865</v>
      </c>
      <c r="E3829" t="s">
        <v>380</v>
      </c>
    </row>
    <row r="3830" spans="1:5" x14ac:dyDescent="0.25">
      <c r="A3830" s="279">
        <v>39102</v>
      </c>
      <c r="B3830" t="s">
        <v>339</v>
      </c>
      <c r="C3830" t="s">
        <v>77</v>
      </c>
      <c r="D3830">
        <v>7296</v>
      </c>
      <c r="E3830" t="s">
        <v>378</v>
      </c>
    </row>
    <row r="3831" spans="1:5" x14ac:dyDescent="0.25">
      <c r="A3831" s="279">
        <v>39102</v>
      </c>
      <c r="B3831" t="s">
        <v>339</v>
      </c>
      <c r="C3831" t="s">
        <v>78</v>
      </c>
      <c r="D3831">
        <v>25795</v>
      </c>
      <c r="E3831" t="s">
        <v>380</v>
      </c>
    </row>
    <row r="3832" spans="1:5" x14ac:dyDescent="0.25">
      <c r="A3832" s="279">
        <v>39102</v>
      </c>
      <c r="B3832" t="s">
        <v>339</v>
      </c>
      <c r="C3832" t="s">
        <v>79</v>
      </c>
      <c r="D3832">
        <v>104351</v>
      </c>
      <c r="E3832" t="s">
        <v>379</v>
      </c>
    </row>
    <row r="3833" spans="1:5" x14ac:dyDescent="0.25">
      <c r="A3833" s="279">
        <v>39102</v>
      </c>
      <c r="B3833" t="s">
        <v>339</v>
      </c>
      <c r="C3833" t="s">
        <v>70</v>
      </c>
      <c r="D3833">
        <v>0</v>
      </c>
      <c r="E3833" t="s">
        <v>379</v>
      </c>
    </row>
    <row r="3834" spans="1:5" x14ac:dyDescent="0.25">
      <c r="A3834" s="279">
        <v>39102</v>
      </c>
      <c r="B3834" t="s">
        <v>339</v>
      </c>
      <c r="C3834" t="s">
        <v>63</v>
      </c>
      <c r="D3834">
        <v>0</v>
      </c>
      <c r="E3834" t="s">
        <v>378</v>
      </c>
    </row>
    <row r="3835" spans="1:5" x14ac:dyDescent="0.25">
      <c r="A3835" s="279">
        <v>39102</v>
      </c>
      <c r="B3835" t="s">
        <v>339</v>
      </c>
      <c r="C3835" t="s">
        <v>80</v>
      </c>
      <c r="D3835">
        <v>134</v>
      </c>
      <c r="E3835" t="s">
        <v>379</v>
      </c>
    </row>
    <row r="3836" spans="1:5" x14ac:dyDescent="0.25">
      <c r="A3836" s="279">
        <v>39103</v>
      </c>
      <c r="B3836" t="s">
        <v>338</v>
      </c>
      <c r="C3836" t="s">
        <v>59</v>
      </c>
      <c r="D3836">
        <v>0</v>
      </c>
      <c r="E3836" t="s">
        <v>378</v>
      </c>
    </row>
    <row r="3837" spans="1:5" x14ac:dyDescent="0.25">
      <c r="A3837" s="279">
        <v>39103</v>
      </c>
      <c r="B3837" t="s">
        <v>338</v>
      </c>
      <c r="C3837" t="s">
        <v>60</v>
      </c>
      <c r="D3837">
        <v>4815</v>
      </c>
      <c r="E3837" t="s">
        <v>379</v>
      </c>
    </row>
    <row r="3838" spans="1:5" x14ac:dyDescent="0.25">
      <c r="A3838" s="279">
        <v>39103</v>
      </c>
      <c r="B3838" t="s">
        <v>338</v>
      </c>
      <c r="C3838" t="s">
        <v>61</v>
      </c>
      <c r="D3838">
        <v>0</v>
      </c>
      <c r="E3838" t="s">
        <v>378</v>
      </c>
    </row>
    <row r="3839" spans="1:5" x14ac:dyDescent="0.25">
      <c r="A3839" s="279">
        <v>39103</v>
      </c>
      <c r="B3839" t="s">
        <v>338</v>
      </c>
      <c r="C3839" t="s">
        <v>62</v>
      </c>
      <c r="D3839">
        <v>36254</v>
      </c>
      <c r="E3839" t="s">
        <v>380</v>
      </c>
    </row>
    <row r="3840" spans="1:5" x14ac:dyDescent="0.25">
      <c r="A3840" s="279">
        <v>39103</v>
      </c>
      <c r="B3840" t="s">
        <v>338</v>
      </c>
      <c r="C3840" t="s">
        <v>63</v>
      </c>
      <c r="D3840">
        <v>0</v>
      </c>
      <c r="E3840" t="s">
        <v>378</v>
      </c>
    </row>
    <row r="3841" spans="1:5" x14ac:dyDescent="0.25">
      <c r="A3841" s="279">
        <v>39103</v>
      </c>
      <c r="B3841" t="s">
        <v>338</v>
      </c>
      <c r="C3841" t="s">
        <v>64</v>
      </c>
      <c r="D3841">
        <v>32270</v>
      </c>
      <c r="E3841" t="s">
        <v>380</v>
      </c>
    </row>
    <row r="3842" spans="1:5" x14ac:dyDescent="0.25">
      <c r="A3842" s="279">
        <v>39103</v>
      </c>
      <c r="B3842" t="s">
        <v>338</v>
      </c>
      <c r="C3842" t="s">
        <v>65</v>
      </c>
      <c r="D3842">
        <v>0</v>
      </c>
      <c r="E3842" t="s">
        <v>378</v>
      </c>
    </row>
    <row r="3843" spans="1:5" x14ac:dyDescent="0.25">
      <c r="A3843" s="279">
        <v>39103</v>
      </c>
      <c r="B3843" t="s">
        <v>338</v>
      </c>
      <c r="C3843" t="s">
        <v>66</v>
      </c>
      <c r="D3843">
        <v>0</v>
      </c>
      <c r="E3843" t="s">
        <v>380</v>
      </c>
    </row>
    <row r="3844" spans="1:5" x14ac:dyDescent="0.25">
      <c r="A3844" s="279">
        <v>39103</v>
      </c>
      <c r="B3844" t="s">
        <v>338</v>
      </c>
      <c r="C3844" t="s">
        <v>120</v>
      </c>
      <c r="D3844">
        <v>0</v>
      </c>
      <c r="E3844" t="s">
        <v>378</v>
      </c>
    </row>
    <row r="3845" spans="1:5" x14ac:dyDescent="0.25">
      <c r="A3845" s="279">
        <v>39103</v>
      </c>
      <c r="B3845" t="s">
        <v>338</v>
      </c>
      <c r="C3845" t="s">
        <v>121</v>
      </c>
      <c r="D3845">
        <v>20084</v>
      </c>
      <c r="E3845" t="s">
        <v>380</v>
      </c>
    </row>
    <row r="3846" spans="1:5" x14ac:dyDescent="0.25">
      <c r="A3846" s="279">
        <v>39103</v>
      </c>
      <c r="B3846" t="s">
        <v>338</v>
      </c>
      <c r="C3846" t="s">
        <v>67</v>
      </c>
      <c r="D3846">
        <v>0</v>
      </c>
      <c r="E3846" t="s">
        <v>378</v>
      </c>
    </row>
    <row r="3847" spans="1:5" x14ac:dyDescent="0.25">
      <c r="A3847" s="279">
        <v>39103</v>
      </c>
      <c r="B3847" t="s">
        <v>338</v>
      </c>
      <c r="C3847" t="s">
        <v>68</v>
      </c>
      <c r="D3847">
        <v>0</v>
      </c>
      <c r="E3847" t="s">
        <v>380</v>
      </c>
    </row>
    <row r="3848" spans="1:5" x14ac:dyDescent="0.25">
      <c r="A3848" s="279">
        <v>39103</v>
      </c>
      <c r="B3848" t="s">
        <v>338</v>
      </c>
      <c r="C3848" t="s">
        <v>69</v>
      </c>
      <c r="D3848">
        <v>34682</v>
      </c>
      <c r="E3848" t="s">
        <v>379</v>
      </c>
    </row>
    <row r="3849" spans="1:5" x14ac:dyDescent="0.25">
      <c r="A3849" s="279">
        <v>39103</v>
      </c>
      <c r="B3849" t="s">
        <v>338</v>
      </c>
      <c r="C3849" t="s">
        <v>70</v>
      </c>
      <c r="D3849">
        <v>0</v>
      </c>
      <c r="E3849" t="s">
        <v>379</v>
      </c>
    </row>
    <row r="3850" spans="1:5" x14ac:dyDescent="0.25">
      <c r="A3850" s="279">
        <v>39103</v>
      </c>
      <c r="B3850" t="s">
        <v>338</v>
      </c>
      <c r="C3850" t="s">
        <v>80</v>
      </c>
      <c r="D3850">
        <v>0</v>
      </c>
      <c r="E3850" t="s">
        <v>379</v>
      </c>
    </row>
    <row r="3851" spans="1:5" x14ac:dyDescent="0.25">
      <c r="A3851" s="279">
        <v>39103</v>
      </c>
      <c r="B3851" t="s">
        <v>339</v>
      </c>
      <c r="C3851" t="s">
        <v>71</v>
      </c>
      <c r="D3851">
        <v>0</v>
      </c>
      <c r="E3851" t="s">
        <v>378</v>
      </c>
    </row>
    <row r="3852" spans="1:5" x14ac:dyDescent="0.25">
      <c r="A3852" s="279">
        <v>39103</v>
      </c>
      <c r="B3852" t="s">
        <v>339</v>
      </c>
      <c r="C3852" t="s">
        <v>72</v>
      </c>
      <c r="D3852">
        <v>4845</v>
      </c>
      <c r="E3852" t="s">
        <v>380</v>
      </c>
    </row>
    <row r="3853" spans="1:5" x14ac:dyDescent="0.25">
      <c r="A3853" s="279">
        <v>39103</v>
      </c>
      <c r="B3853" t="s">
        <v>339</v>
      </c>
      <c r="C3853" t="s">
        <v>73</v>
      </c>
      <c r="D3853">
        <v>0</v>
      </c>
      <c r="E3853" t="s">
        <v>378</v>
      </c>
    </row>
    <row r="3854" spans="1:5" x14ac:dyDescent="0.25">
      <c r="A3854" s="279">
        <v>39103</v>
      </c>
      <c r="B3854" t="s">
        <v>339</v>
      </c>
      <c r="C3854" t="s">
        <v>74</v>
      </c>
      <c r="D3854">
        <v>50241</v>
      </c>
      <c r="E3854" t="s">
        <v>380</v>
      </c>
    </row>
    <row r="3855" spans="1:5" x14ac:dyDescent="0.25">
      <c r="A3855" s="279">
        <v>39103</v>
      </c>
      <c r="B3855" t="s">
        <v>339</v>
      </c>
      <c r="C3855" t="s">
        <v>75</v>
      </c>
      <c r="D3855">
        <v>15094</v>
      </c>
      <c r="E3855" t="s">
        <v>378</v>
      </c>
    </row>
    <row r="3856" spans="1:5" x14ac:dyDescent="0.25">
      <c r="A3856" s="279">
        <v>39103</v>
      </c>
      <c r="B3856" t="s">
        <v>339</v>
      </c>
      <c r="C3856" t="s">
        <v>76</v>
      </c>
      <c r="D3856">
        <v>33930</v>
      </c>
      <c r="E3856" t="s">
        <v>380</v>
      </c>
    </row>
    <row r="3857" spans="1:5" x14ac:dyDescent="0.25">
      <c r="A3857" s="279">
        <v>39103</v>
      </c>
      <c r="B3857" t="s">
        <v>339</v>
      </c>
      <c r="C3857" t="s">
        <v>77</v>
      </c>
      <c r="D3857">
        <v>7310</v>
      </c>
      <c r="E3857" t="s">
        <v>378</v>
      </c>
    </row>
    <row r="3858" spans="1:5" x14ac:dyDescent="0.25">
      <c r="A3858" s="279">
        <v>39103</v>
      </c>
      <c r="B3858" t="s">
        <v>339</v>
      </c>
      <c r="C3858" t="s">
        <v>78</v>
      </c>
      <c r="D3858">
        <v>25845</v>
      </c>
      <c r="E3858" t="s">
        <v>380</v>
      </c>
    </row>
    <row r="3859" spans="1:5" x14ac:dyDescent="0.25">
      <c r="A3859" s="279">
        <v>39103</v>
      </c>
      <c r="B3859" t="s">
        <v>339</v>
      </c>
      <c r="C3859" t="s">
        <v>79</v>
      </c>
      <c r="D3859">
        <v>104553</v>
      </c>
      <c r="E3859" t="s">
        <v>379</v>
      </c>
    </row>
    <row r="3860" spans="1:5" x14ac:dyDescent="0.25">
      <c r="A3860" s="279">
        <v>39103</v>
      </c>
      <c r="B3860" t="s">
        <v>339</v>
      </c>
      <c r="C3860" t="s">
        <v>70</v>
      </c>
      <c r="D3860">
        <v>0</v>
      </c>
      <c r="E3860" t="s">
        <v>379</v>
      </c>
    </row>
    <row r="3861" spans="1:5" x14ac:dyDescent="0.25">
      <c r="A3861" s="279">
        <v>39103</v>
      </c>
      <c r="B3861" t="s">
        <v>339</v>
      </c>
      <c r="C3861" t="s">
        <v>63</v>
      </c>
      <c r="D3861">
        <v>0</v>
      </c>
      <c r="E3861" t="s">
        <v>378</v>
      </c>
    </row>
    <row r="3862" spans="1:5" x14ac:dyDescent="0.25">
      <c r="A3862" s="279">
        <v>39103</v>
      </c>
      <c r="B3862" t="s">
        <v>339</v>
      </c>
      <c r="C3862" t="s">
        <v>80</v>
      </c>
      <c r="D3862">
        <v>134</v>
      </c>
      <c r="E3862" t="s">
        <v>379</v>
      </c>
    </row>
    <row r="3863" spans="1:5" x14ac:dyDescent="0.25">
      <c r="A3863" s="279">
        <v>39104</v>
      </c>
      <c r="B3863" t="s">
        <v>338</v>
      </c>
      <c r="C3863" t="s">
        <v>59</v>
      </c>
      <c r="D3863">
        <v>0</v>
      </c>
      <c r="E3863" t="s">
        <v>378</v>
      </c>
    </row>
    <row r="3864" spans="1:5" x14ac:dyDescent="0.25">
      <c r="A3864" s="279">
        <v>39104</v>
      </c>
      <c r="B3864" t="s">
        <v>338</v>
      </c>
      <c r="C3864" t="s">
        <v>60</v>
      </c>
      <c r="D3864">
        <v>4792</v>
      </c>
      <c r="E3864" t="s">
        <v>379</v>
      </c>
    </row>
    <row r="3865" spans="1:5" x14ac:dyDescent="0.25">
      <c r="A3865" s="279">
        <v>39104</v>
      </c>
      <c r="B3865" t="s">
        <v>338</v>
      </c>
      <c r="C3865" t="s">
        <v>61</v>
      </c>
      <c r="D3865">
        <v>0</v>
      </c>
      <c r="E3865" t="s">
        <v>378</v>
      </c>
    </row>
    <row r="3866" spans="1:5" x14ac:dyDescent="0.25">
      <c r="A3866" s="279">
        <v>39104</v>
      </c>
      <c r="B3866" t="s">
        <v>338</v>
      </c>
      <c r="C3866" t="s">
        <v>62</v>
      </c>
      <c r="D3866">
        <v>30113</v>
      </c>
      <c r="E3866" t="s">
        <v>380</v>
      </c>
    </row>
    <row r="3867" spans="1:5" x14ac:dyDescent="0.25">
      <c r="A3867" s="279">
        <v>39104</v>
      </c>
      <c r="B3867" t="s">
        <v>338</v>
      </c>
      <c r="C3867" t="s">
        <v>63</v>
      </c>
      <c r="D3867">
        <v>0</v>
      </c>
      <c r="E3867" t="s">
        <v>378</v>
      </c>
    </row>
    <row r="3868" spans="1:5" x14ac:dyDescent="0.25">
      <c r="A3868" s="279">
        <v>39104</v>
      </c>
      <c r="B3868" t="s">
        <v>338</v>
      </c>
      <c r="C3868" t="s">
        <v>64</v>
      </c>
      <c r="D3868">
        <v>32115</v>
      </c>
      <c r="E3868" t="s">
        <v>380</v>
      </c>
    </row>
    <row r="3869" spans="1:5" x14ac:dyDescent="0.25">
      <c r="A3869" s="279">
        <v>39104</v>
      </c>
      <c r="B3869" t="s">
        <v>338</v>
      </c>
      <c r="C3869" t="s">
        <v>65</v>
      </c>
      <c r="D3869">
        <v>0</v>
      </c>
      <c r="E3869" t="s">
        <v>378</v>
      </c>
    </row>
    <row r="3870" spans="1:5" x14ac:dyDescent="0.25">
      <c r="A3870" s="279">
        <v>39104</v>
      </c>
      <c r="B3870" t="s">
        <v>338</v>
      </c>
      <c r="C3870" t="s">
        <v>66</v>
      </c>
      <c r="D3870">
        <v>0</v>
      </c>
      <c r="E3870" t="s">
        <v>380</v>
      </c>
    </row>
    <row r="3871" spans="1:5" x14ac:dyDescent="0.25">
      <c r="A3871" s="279">
        <v>39104</v>
      </c>
      <c r="B3871" t="s">
        <v>338</v>
      </c>
      <c r="C3871" t="s">
        <v>120</v>
      </c>
      <c r="D3871">
        <v>0</v>
      </c>
      <c r="E3871" t="s">
        <v>378</v>
      </c>
    </row>
    <row r="3872" spans="1:5" x14ac:dyDescent="0.25">
      <c r="A3872" s="279">
        <v>39104</v>
      </c>
      <c r="B3872" t="s">
        <v>338</v>
      </c>
      <c r="C3872" t="s">
        <v>121</v>
      </c>
      <c r="D3872">
        <v>19988</v>
      </c>
      <c r="E3872" t="s">
        <v>380</v>
      </c>
    </row>
    <row r="3873" spans="1:5" x14ac:dyDescent="0.25">
      <c r="A3873" s="279">
        <v>39104</v>
      </c>
      <c r="B3873" t="s">
        <v>338</v>
      </c>
      <c r="C3873" t="s">
        <v>67</v>
      </c>
      <c r="D3873">
        <v>0</v>
      </c>
      <c r="E3873" t="s">
        <v>378</v>
      </c>
    </row>
    <row r="3874" spans="1:5" x14ac:dyDescent="0.25">
      <c r="A3874" s="279">
        <v>39104</v>
      </c>
      <c r="B3874" t="s">
        <v>338</v>
      </c>
      <c r="C3874" t="s">
        <v>68</v>
      </c>
      <c r="D3874">
        <v>0</v>
      </c>
      <c r="E3874" t="s">
        <v>380</v>
      </c>
    </row>
    <row r="3875" spans="1:5" x14ac:dyDescent="0.25">
      <c r="A3875" s="279">
        <v>39104</v>
      </c>
      <c r="B3875" t="s">
        <v>338</v>
      </c>
      <c r="C3875" t="s">
        <v>69</v>
      </c>
      <c r="D3875">
        <v>34516</v>
      </c>
      <c r="E3875" t="s">
        <v>379</v>
      </c>
    </row>
    <row r="3876" spans="1:5" x14ac:dyDescent="0.25">
      <c r="A3876" s="279">
        <v>39104</v>
      </c>
      <c r="B3876" t="s">
        <v>338</v>
      </c>
      <c r="C3876" t="s">
        <v>70</v>
      </c>
      <c r="D3876">
        <v>0</v>
      </c>
      <c r="E3876" t="s">
        <v>379</v>
      </c>
    </row>
    <row r="3877" spans="1:5" x14ac:dyDescent="0.25">
      <c r="A3877" s="279">
        <v>39104</v>
      </c>
      <c r="B3877" t="s">
        <v>338</v>
      </c>
      <c r="C3877" t="s">
        <v>80</v>
      </c>
      <c r="D3877">
        <v>0</v>
      </c>
      <c r="E3877" t="s">
        <v>379</v>
      </c>
    </row>
    <row r="3878" spans="1:5" x14ac:dyDescent="0.25">
      <c r="A3878" s="279">
        <v>39104</v>
      </c>
      <c r="B3878" t="s">
        <v>339</v>
      </c>
      <c r="C3878" t="s">
        <v>71</v>
      </c>
      <c r="D3878">
        <v>0</v>
      </c>
      <c r="E3878" t="s">
        <v>378</v>
      </c>
    </row>
    <row r="3879" spans="1:5" x14ac:dyDescent="0.25">
      <c r="A3879" s="279">
        <v>39104</v>
      </c>
      <c r="B3879" t="s">
        <v>339</v>
      </c>
      <c r="C3879" t="s">
        <v>72</v>
      </c>
      <c r="D3879">
        <v>4845</v>
      </c>
      <c r="E3879" t="s">
        <v>380</v>
      </c>
    </row>
    <row r="3880" spans="1:5" x14ac:dyDescent="0.25">
      <c r="A3880" s="279">
        <v>39104</v>
      </c>
      <c r="B3880" t="s">
        <v>339</v>
      </c>
      <c r="C3880" t="s">
        <v>73</v>
      </c>
      <c r="D3880">
        <v>0</v>
      </c>
      <c r="E3880" t="s">
        <v>378</v>
      </c>
    </row>
    <row r="3881" spans="1:5" x14ac:dyDescent="0.25">
      <c r="A3881" s="279">
        <v>39104</v>
      </c>
      <c r="B3881" t="s">
        <v>339</v>
      </c>
      <c r="C3881" t="s">
        <v>74</v>
      </c>
      <c r="D3881">
        <v>43605</v>
      </c>
      <c r="E3881" t="s">
        <v>380</v>
      </c>
    </row>
    <row r="3882" spans="1:5" x14ac:dyDescent="0.25">
      <c r="A3882" s="279">
        <v>39104</v>
      </c>
      <c r="B3882" t="s">
        <v>339</v>
      </c>
      <c r="C3882" t="s">
        <v>75</v>
      </c>
      <c r="D3882">
        <v>15094</v>
      </c>
      <c r="E3882" t="s">
        <v>378</v>
      </c>
    </row>
    <row r="3883" spans="1:5" x14ac:dyDescent="0.25">
      <c r="A3883" s="279">
        <v>39104</v>
      </c>
      <c r="B3883" t="s">
        <v>339</v>
      </c>
      <c r="C3883" t="s">
        <v>76</v>
      </c>
      <c r="D3883">
        <v>25085</v>
      </c>
      <c r="E3883" t="s">
        <v>380</v>
      </c>
    </row>
    <row r="3884" spans="1:5" x14ac:dyDescent="0.25">
      <c r="A3884" s="279">
        <v>39104</v>
      </c>
      <c r="B3884" t="s">
        <v>339</v>
      </c>
      <c r="C3884" t="s">
        <v>77</v>
      </c>
      <c r="D3884">
        <v>7310</v>
      </c>
      <c r="E3884" t="s">
        <v>378</v>
      </c>
    </row>
    <row r="3885" spans="1:5" x14ac:dyDescent="0.25">
      <c r="A3885" s="279">
        <v>39104</v>
      </c>
      <c r="B3885" t="s">
        <v>339</v>
      </c>
      <c r="C3885" t="s">
        <v>78</v>
      </c>
      <c r="D3885">
        <v>8949</v>
      </c>
      <c r="E3885" t="s">
        <v>380</v>
      </c>
    </row>
    <row r="3886" spans="1:5" x14ac:dyDescent="0.25">
      <c r="A3886" s="279">
        <v>39104</v>
      </c>
      <c r="B3886" t="s">
        <v>339</v>
      </c>
      <c r="C3886" t="s">
        <v>79</v>
      </c>
      <c r="D3886">
        <v>104553</v>
      </c>
      <c r="E3886" t="s">
        <v>379</v>
      </c>
    </row>
    <row r="3887" spans="1:5" x14ac:dyDescent="0.25">
      <c r="A3887" s="279">
        <v>39104</v>
      </c>
      <c r="B3887" t="s">
        <v>339</v>
      </c>
      <c r="C3887" t="s">
        <v>70</v>
      </c>
      <c r="D3887">
        <v>0</v>
      </c>
      <c r="E3887" t="s">
        <v>379</v>
      </c>
    </row>
    <row r="3888" spans="1:5" x14ac:dyDescent="0.25">
      <c r="A3888" s="279">
        <v>39104</v>
      </c>
      <c r="B3888" t="s">
        <v>339</v>
      </c>
      <c r="C3888" t="s">
        <v>63</v>
      </c>
      <c r="D3888">
        <v>0</v>
      </c>
      <c r="E3888" t="s">
        <v>378</v>
      </c>
    </row>
    <row r="3889" spans="1:5" x14ac:dyDescent="0.25">
      <c r="A3889" s="279">
        <v>39104</v>
      </c>
      <c r="B3889" t="s">
        <v>339</v>
      </c>
      <c r="C3889" t="s">
        <v>80</v>
      </c>
      <c r="D3889">
        <v>134</v>
      </c>
      <c r="E3889" t="s">
        <v>379</v>
      </c>
    </row>
    <row r="3890" spans="1:5" x14ac:dyDescent="0.25">
      <c r="A3890" s="279">
        <v>39105</v>
      </c>
      <c r="B3890" t="s">
        <v>338</v>
      </c>
      <c r="C3890" t="s">
        <v>59</v>
      </c>
      <c r="D3890">
        <v>0</v>
      </c>
      <c r="E3890" t="s">
        <v>378</v>
      </c>
    </row>
    <row r="3891" spans="1:5" x14ac:dyDescent="0.25">
      <c r="A3891" s="279">
        <v>39105</v>
      </c>
      <c r="B3891" t="s">
        <v>338</v>
      </c>
      <c r="C3891" t="s">
        <v>60</v>
      </c>
      <c r="D3891">
        <v>4801</v>
      </c>
      <c r="E3891" t="s">
        <v>379</v>
      </c>
    </row>
    <row r="3892" spans="1:5" x14ac:dyDescent="0.25">
      <c r="A3892" s="279">
        <v>39105</v>
      </c>
      <c r="B3892" t="s">
        <v>338</v>
      </c>
      <c r="C3892" t="s">
        <v>61</v>
      </c>
      <c r="D3892">
        <v>0</v>
      </c>
      <c r="E3892" t="s">
        <v>378</v>
      </c>
    </row>
    <row r="3893" spans="1:5" x14ac:dyDescent="0.25">
      <c r="A3893" s="279">
        <v>39105</v>
      </c>
      <c r="B3893" t="s">
        <v>338</v>
      </c>
      <c r="C3893" t="s">
        <v>62</v>
      </c>
      <c r="D3893">
        <v>23784</v>
      </c>
      <c r="E3893" t="s">
        <v>380</v>
      </c>
    </row>
    <row r="3894" spans="1:5" x14ac:dyDescent="0.25">
      <c r="A3894" s="279">
        <v>39105</v>
      </c>
      <c r="B3894" t="s">
        <v>338</v>
      </c>
      <c r="C3894" t="s">
        <v>63</v>
      </c>
      <c r="D3894">
        <v>0</v>
      </c>
      <c r="E3894" t="s">
        <v>378</v>
      </c>
    </row>
    <row r="3895" spans="1:5" x14ac:dyDescent="0.25">
      <c r="A3895" s="279">
        <v>39105</v>
      </c>
      <c r="B3895" t="s">
        <v>338</v>
      </c>
      <c r="C3895" t="s">
        <v>64</v>
      </c>
      <c r="D3895">
        <v>32177</v>
      </c>
      <c r="E3895" t="s">
        <v>380</v>
      </c>
    </row>
    <row r="3896" spans="1:5" x14ac:dyDescent="0.25">
      <c r="A3896" s="279">
        <v>39105</v>
      </c>
      <c r="B3896" t="s">
        <v>338</v>
      </c>
      <c r="C3896" t="s">
        <v>65</v>
      </c>
      <c r="D3896">
        <v>0</v>
      </c>
      <c r="E3896" t="s">
        <v>378</v>
      </c>
    </row>
    <row r="3897" spans="1:5" x14ac:dyDescent="0.25">
      <c r="A3897" s="279">
        <v>39105</v>
      </c>
      <c r="B3897" t="s">
        <v>338</v>
      </c>
      <c r="C3897" t="s">
        <v>66</v>
      </c>
      <c r="D3897">
        <v>0</v>
      </c>
      <c r="E3897" t="s">
        <v>380</v>
      </c>
    </row>
    <row r="3898" spans="1:5" x14ac:dyDescent="0.25">
      <c r="A3898" s="279">
        <v>39105</v>
      </c>
      <c r="B3898" t="s">
        <v>338</v>
      </c>
      <c r="C3898" t="s">
        <v>120</v>
      </c>
      <c r="D3898">
        <v>0</v>
      </c>
      <c r="E3898" t="s">
        <v>378</v>
      </c>
    </row>
    <row r="3899" spans="1:5" x14ac:dyDescent="0.25">
      <c r="A3899" s="279">
        <v>39105</v>
      </c>
      <c r="B3899" t="s">
        <v>338</v>
      </c>
      <c r="C3899" t="s">
        <v>121</v>
      </c>
      <c r="D3899">
        <v>20026</v>
      </c>
      <c r="E3899" t="s">
        <v>380</v>
      </c>
    </row>
    <row r="3900" spans="1:5" x14ac:dyDescent="0.25">
      <c r="A3900" s="279">
        <v>39105</v>
      </c>
      <c r="B3900" t="s">
        <v>338</v>
      </c>
      <c r="C3900" t="s">
        <v>67</v>
      </c>
      <c r="D3900">
        <v>0</v>
      </c>
      <c r="E3900" t="s">
        <v>378</v>
      </c>
    </row>
    <row r="3901" spans="1:5" x14ac:dyDescent="0.25">
      <c r="A3901" s="279">
        <v>39105</v>
      </c>
      <c r="B3901" t="s">
        <v>338</v>
      </c>
      <c r="C3901" t="s">
        <v>68</v>
      </c>
      <c r="D3901">
        <v>0</v>
      </c>
      <c r="E3901" t="s">
        <v>380</v>
      </c>
    </row>
    <row r="3902" spans="1:5" x14ac:dyDescent="0.25">
      <c r="A3902" s="279">
        <v>39105</v>
      </c>
      <c r="B3902" t="s">
        <v>338</v>
      </c>
      <c r="C3902" t="s">
        <v>69</v>
      </c>
      <c r="D3902">
        <v>34582</v>
      </c>
      <c r="E3902" t="s">
        <v>379</v>
      </c>
    </row>
    <row r="3903" spans="1:5" x14ac:dyDescent="0.25">
      <c r="A3903" s="279">
        <v>39105</v>
      </c>
      <c r="B3903" t="s">
        <v>338</v>
      </c>
      <c r="C3903" t="s">
        <v>70</v>
      </c>
      <c r="D3903">
        <v>0</v>
      </c>
      <c r="E3903" t="s">
        <v>379</v>
      </c>
    </row>
    <row r="3904" spans="1:5" x14ac:dyDescent="0.25">
      <c r="A3904" s="279">
        <v>39105</v>
      </c>
      <c r="B3904" t="s">
        <v>338</v>
      </c>
      <c r="C3904" t="s">
        <v>80</v>
      </c>
      <c r="D3904">
        <v>0</v>
      </c>
      <c r="E3904" t="s">
        <v>379</v>
      </c>
    </row>
    <row r="3905" spans="1:5" x14ac:dyDescent="0.25">
      <c r="A3905" s="279">
        <v>39105</v>
      </c>
      <c r="B3905" t="s">
        <v>339</v>
      </c>
      <c r="C3905" t="s">
        <v>71</v>
      </c>
      <c r="D3905">
        <v>0</v>
      </c>
      <c r="E3905" t="s">
        <v>378</v>
      </c>
    </row>
    <row r="3906" spans="1:5" x14ac:dyDescent="0.25">
      <c r="A3906" s="279">
        <v>39105</v>
      </c>
      <c r="B3906" t="s">
        <v>339</v>
      </c>
      <c r="C3906" t="s">
        <v>72</v>
      </c>
      <c r="D3906">
        <v>4854</v>
      </c>
      <c r="E3906" t="s">
        <v>380</v>
      </c>
    </row>
    <row r="3907" spans="1:5" x14ac:dyDescent="0.25">
      <c r="A3907" s="279">
        <v>39105</v>
      </c>
      <c r="B3907" t="s">
        <v>339</v>
      </c>
      <c r="C3907" t="s">
        <v>73</v>
      </c>
      <c r="D3907">
        <v>0</v>
      </c>
      <c r="E3907" t="s">
        <v>378</v>
      </c>
    </row>
    <row r="3908" spans="1:5" x14ac:dyDescent="0.25">
      <c r="A3908" s="279">
        <v>39105</v>
      </c>
      <c r="B3908" t="s">
        <v>339</v>
      </c>
      <c r="C3908" t="s">
        <v>74</v>
      </c>
      <c r="D3908">
        <v>43689</v>
      </c>
      <c r="E3908" t="s">
        <v>380</v>
      </c>
    </row>
    <row r="3909" spans="1:5" x14ac:dyDescent="0.25">
      <c r="A3909" s="279">
        <v>39105</v>
      </c>
      <c r="B3909" t="s">
        <v>339</v>
      </c>
      <c r="C3909" t="s">
        <v>75</v>
      </c>
      <c r="D3909">
        <v>15123</v>
      </c>
      <c r="E3909" t="s">
        <v>378</v>
      </c>
    </row>
    <row r="3910" spans="1:5" x14ac:dyDescent="0.25">
      <c r="A3910" s="279">
        <v>39105</v>
      </c>
      <c r="B3910" t="s">
        <v>339</v>
      </c>
      <c r="C3910" t="s">
        <v>76</v>
      </c>
      <c r="D3910">
        <v>14622</v>
      </c>
      <c r="E3910" t="s">
        <v>380</v>
      </c>
    </row>
    <row r="3911" spans="1:5" x14ac:dyDescent="0.25">
      <c r="A3911" s="279">
        <v>39105</v>
      </c>
      <c r="B3911" t="s">
        <v>339</v>
      </c>
      <c r="C3911" t="s">
        <v>77</v>
      </c>
      <c r="D3911">
        <v>7324</v>
      </c>
      <c r="E3911" t="s">
        <v>378</v>
      </c>
    </row>
    <row r="3912" spans="1:5" x14ac:dyDescent="0.25">
      <c r="A3912" s="279">
        <v>39105</v>
      </c>
      <c r="B3912" t="s">
        <v>339</v>
      </c>
      <c r="C3912" t="s">
        <v>78</v>
      </c>
      <c r="D3912">
        <v>8966</v>
      </c>
      <c r="E3912" t="s">
        <v>380</v>
      </c>
    </row>
    <row r="3913" spans="1:5" x14ac:dyDescent="0.25">
      <c r="A3913" s="279">
        <v>39105</v>
      </c>
      <c r="B3913" t="s">
        <v>339</v>
      </c>
      <c r="C3913" t="s">
        <v>79</v>
      </c>
      <c r="D3913">
        <v>104756</v>
      </c>
      <c r="E3913" t="s">
        <v>379</v>
      </c>
    </row>
    <row r="3914" spans="1:5" x14ac:dyDescent="0.25">
      <c r="A3914" s="279">
        <v>39105</v>
      </c>
      <c r="B3914" t="s">
        <v>339</v>
      </c>
      <c r="C3914" t="s">
        <v>70</v>
      </c>
      <c r="D3914">
        <v>0</v>
      </c>
      <c r="E3914" t="s">
        <v>379</v>
      </c>
    </row>
    <row r="3915" spans="1:5" x14ac:dyDescent="0.25">
      <c r="A3915" s="279">
        <v>39105</v>
      </c>
      <c r="B3915" t="s">
        <v>339</v>
      </c>
      <c r="C3915" t="s">
        <v>63</v>
      </c>
      <c r="D3915">
        <v>0</v>
      </c>
      <c r="E3915" t="s">
        <v>378</v>
      </c>
    </row>
    <row r="3916" spans="1:5" x14ac:dyDescent="0.25">
      <c r="A3916" s="279">
        <v>39105</v>
      </c>
      <c r="B3916" t="s">
        <v>339</v>
      </c>
      <c r="C3916" t="s">
        <v>80</v>
      </c>
      <c r="D3916">
        <v>134</v>
      </c>
      <c r="E3916" t="s">
        <v>379</v>
      </c>
    </row>
    <row r="3917" spans="1:5" x14ac:dyDescent="0.25">
      <c r="A3917" s="279">
        <v>39106</v>
      </c>
      <c r="B3917" t="s">
        <v>338</v>
      </c>
      <c r="C3917" t="s">
        <v>59</v>
      </c>
      <c r="D3917">
        <v>0</v>
      </c>
      <c r="E3917" t="s">
        <v>378</v>
      </c>
    </row>
    <row r="3918" spans="1:5" x14ac:dyDescent="0.25">
      <c r="A3918" s="279">
        <v>39106</v>
      </c>
      <c r="B3918" t="s">
        <v>338</v>
      </c>
      <c r="C3918" t="s">
        <v>60</v>
      </c>
      <c r="D3918">
        <v>4797</v>
      </c>
      <c r="E3918" t="s">
        <v>379</v>
      </c>
    </row>
    <row r="3919" spans="1:5" x14ac:dyDescent="0.25">
      <c r="A3919" s="279">
        <v>39106</v>
      </c>
      <c r="B3919" t="s">
        <v>338</v>
      </c>
      <c r="C3919" t="s">
        <v>61</v>
      </c>
      <c r="D3919">
        <v>0</v>
      </c>
      <c r="E3919" t="s">
        <v>378</v>
      </c>
    </row>
    <row r="3920" spans="1:5" x14ac:dyDescent="0.25">
      <c r="A3920" s="279">
        <v>39106</v>
      </c>
      <c r="B3920" t="s">
        <v>338</v>
      </c>
      <c r="C3920" t="s">
        <v>62</v>
      </c>
      <c r="D3920">
        <v>14608</v>
      </c>
      <c r="E3920" t="s">
        <v>380</v>
      </c>
    </row>
    <row r="3921" spans="1:5" x14ac:dyDescent="0.25">
      <c r="A3921" s="279">
        <v>39106</v>
      </c>
      <c r="B3921" t="s">
        <v>338</v>
      </c>
      <c r="C3921" t="s">
        <v>63</v>
      </c>
      <c r="D3921">
        <v>0</v>
      </c>
      <c r="E3921" t="s">
        <v>378</v>
      </c>
    </row>
    <row r="3922" spans="1:5" x14ac:dyDescent="0.25">
      <c r="A3922" s="279">
        <v>39106</v>
      </c>
      <c r="B3922" t="s">
        <v>338</v>
      </c>
      <c r="C3922" t="s">
        <v>64</v>
      </c>
      <c r="D3922">
        <v>32146</v>
      </c>
      <c r="E3922" t="s">
        <v>380</v>
      </c>
    </row>
    <row r="3923" spans="1:5" x14ac:dyDescent="0.25">
      <c r="A3923" s="279">
        <v>39106</v>
      </c>
      <c r="B3923" t="s">
        <v>338</v>
      </c>
      <c r="C3923" t="s">
        <v>65</v>
      </c>
      <c r="D3923">
        <v>0</v>
      </c>
      <c r="E3923" t="s">
        <v>378</v>
      </c>
    </row>
    <row r="3924" spans="1:5" x14ac:dyDescent="0.25">
      <c r="A3924" s="279">
        <v>39106</v>
      </c>
      <c r="B3924" t="s">
        <v>338</v>
      </c>
      <c r="C3924" t="s">
        <v>66</v>
      </c>
      <c r="D3924">
        <v>0</v>
      </c>
      <c r="E3924" t="s">
        <v>380</v>
      </c>
    </row>
    <row r="3925" spans="1:5" x14ac:dyDescent="0.25">
      <c r="A3925" s="279">
        <v>39106</v>
      </c>
      <c r="B3925" t="s">
        <v>338</v>
      </c>
      <c r="C3925" t="s">
        <v>120</v>
      </c>
      <c r="D3925">
        <v>0</v>
      </c>
      <c r="E3925" t="s">
        <v>378</v>
      </c>
    </row>
    <row r="3926" spans="1:5" x14ac:dyDescent="0.25">
      <c r="A3926" s="279">
        <v>39106</v>
      </c>
      <c r="B3926" t="s">
        <v>338</v>
      </c>
      <c r="C3926" t="s">
        <v>121</v>
      </c>
      <c r="D3926">
        <v>20007</v>
      </c>
      <c r="E3926" t="s">
        <v>380</v>
      </c>
    </row>
    <row r="3927" spans="1:5" x14ac:dyDescent="0.25">
      <c r="A3927" s="279">
        <v>39106</v>
      </c>
      <c r="B3927" t="s">
        <v>338</v>
      </c>
      <c r="C3927" t="s">
        <v>67</v>
      </c>
      <c r="D3927">
        <v>0</v>
      </c>
      <c r="E3927" t="s">
        <v>378</v>
      </c>
    </row>
    <row r="3928" spans="1:5" x14ac:dyDescent="0.25">
      <c r="A3928" s="279">
        <v>39106</v>
      </c>
      <c r="B3928" t="s">
        <v>338</v>
      </c>
      <c r="C3928" t="s">
        <v>68</v>
      </c>
      <c r="D3928">
        <v>0</v>
      </c>
      <c r="E3928" t="s">
        <v>380</v>
      </c>
    </row>
    <row r="3929" spans="1:5" x14ac:dyDescent="0.25">
      <c r="A3929" s="279">
        <v>39106</v>
      </c>
      <c r="B3929" t="s">
        <v>338</v>
      </c>
      <c r="C3929" t="s">
        <v>69</v>
      </c>
      <c r="D3929">
        <v>34549</v>
      </c>
      <c r="E3929" t="s">
        <v>379</v>
      </c>
    </row>
    <row r="3930" spans="1:5" x14ac:dyDescent="0.25">
      <c r="A3930" s="279">
        <v>39106</v>
      </c>
      <c r="B3930" t="s">
        <v>338</v>
      </c>
      <c r="C3930" t="s">
        <v>70</v>
      </c>
      <c r="D3930">
        <v>0</v>
      </c>
      <c r="E3930" t="s">
        <v>379</v>
      </c>
    </row>
    <row r="3931" spans="1:5" x14ac:dyDescent="0.25">
      <c r="A3931" s="279">
        <v>39106</v>
      </c>
      <c r="B3931" t="s">
        <v>338</v>
      </c>
      <c r="C3931" t="s">
        <v>80</v>
      </c>
      <c r="D3931">
        <v>0</v>
      </c>
      <c r="E3931" t="s">
        <v>379</v>
      </c>
    </row>
    <row r="3932" spans="1:5" x14ac:dyDescent="0.25">
      <c r="A3932" s="279">
        <v>39106</v>
      </c>
      <c r="B3932" t="s">
        <v>339</v>
      </c>
      <c r="C3932" t="s">
        <v>71</v>
      </c>
      <c r="D3932">
        <v>0</v>
      </c>
      <c r="E3932" t="s">
        <v>378</v>
      </c>
    </row>
    <row r="3933" spans="1:5" x14ac:dyDescent="0.25">
      <c r="A3933" s="279">
        <v>39106</v>
      </c>
      <c r="B3933" t="s">
        <v>339</v>
      </c>
      <c r="C3933" t="s">
        <v>72</v>
      </c>
      <c r="D3933">
        <v>4854</v>
      </c>
      <c r="E3933" t="s">
        <v>380</v>
      </c>
    </row>
    <row r="3934" spans="1:5" x14ac:dyDescent="0.25">
      <c r="A3934" s="279">
        <v>39106</v>
      </c>
      <c r="B3934" t="s">
        <v>339</v>
      </c>
      <c r="C3934" t="s">
        <v>73</v>
      </c>
      <c r="D3934">
        <v>0</v>
      </c>
      <c r="E3934" t="s">
        <v>378</v>
      </c>
    </row>
    <row r="3935" spans="1:5" x14ac:dyDescent="0.25">
      <c r="A3935" s="279">
        <v>39106</v>
      </c>
      <c r="B3935" t="s">
        <v>339</v>
      </c>
      <c r="C3935" t="s">
        <v>74</v>
      </c>
      <c r="D3935">
        <v>43689</v>
      </c>
      <c r="E3935" t="s">
        <v>380</v>
      </c>
    </row>
    <row r="3936" spans="1:5" x14ac:dyDescent="0.25">
      <c r="A3936" s="279">
        <v>39106</v>
      </c>
      <c r="B3936" t="s">
        <v>339</v>
      </c>
      <c r="C3936" t="s">
        <v>75</v>
      </c>
      <c r="D3936">
        <v>15123</v>
      </c>
      <c r="E3936" t="s">
        <v>378</v>
      </c>
    </row>
    <row r="3937" spans="1:5" x14ac:dyDescent="0.25">
      <c r="A3937" s="279">
        <v>39106</v>
      </c>
      <c r="B3937" t="s">
        <v>339</v>
      </c>
      <c r="C3937" t="s">
        <v>76</v>
      </c>
      <c r="D3937">
        <v>14579</v>
      </c>
      <c r="E3937" t="s">
        <v>380</v>
      </c>
    </row>
    <row r="3938" spans="1:5" x14ac:dyDescent="0.25">
      <c r="A3938" s="279">
        <v>39106</v>
      </c>
      <c r="B3938" t="s">
        <v>339</v>
      </c>
      <c r="C3938" t="s">
        <v>77</v>
      </c>
      <c r="D3938">
        <v>7324</v>
      </c>
      <c r="E3938" t="s">
        <v>378</v>
      </c>
    </row>
    <row r="3939" spans="1:5" x14ac:dyDescent="0.25">
      <c r="A3939" s="279">
        <v>39106</v>
      </c>
      <c r="B3939" t="s">
        <v>339</v>
      </c>
      <c r="C3939" t="s">
        <v>78</v>
      </c>
      <c r="D3939">
        <v>7710</v>
      </c>
      <c r="E3939" t="s">
        <v>380</v>
      </c>
    </row>
    <row r="3940" spans="1:5" x14ac:dyDescent="0.25">
      <c r="A3940" s="279">
        <v>39106</v>
      </c>
      <c r="B3940" t="s">
        <v>339</v>
      </c>
      <c r="C3940" t="s">
        <v>79</v>
      </c>
      <c r="D3940">
        <v>104756</v>
      </c>
      <c r="E3940" t="s">
        <v>379</v>
      </c>
    </row>
    <row r="3941" spans="1:5" x14ac:dyDescent="0.25">
      <c r="A3941" s="279">
        <v>39106</v>
      </c>
      <c r="B3941" t="s">
        <v>339</v>
      </c>
      <c r="C3941" t="s">
        <v>70</v>
      </c>
      <c r="D3941">
        <v>0</v>
      </c>
      <c r="E3941" t="s">
        <v>379</v>
      </c>
    </row>
    <row r="3942" spans="1:5" x14ac:dyDescent="0.25">
      <c r="A3942" s="279">
        <v>39106</v>
      </c>
      <c r="B3942" t="s">
        <v>339</v>
      </c>
      <c r="C3942" t="s">
        <v>63</v>
      </c>
      <c r="D3942">
        <v>0</v>
      </c>
      <c r="E3942" t="s">
        <v>378</v>
      </c>
    </row>
    <row r="3943" spans="1:5" x14ac:dyDescent="0.25">
      <c r="A3943" s="279">
        <v>39106</v>
      </c>
      <c r="B3943" t="s">
        <v>339</v>
      </c>
      <c r="C3943" t="s">
        <v>80</v>
      </c>
      <c r="D3943">
        <v>134</v>
      </c>
      <c r="E3943" t="s">
        <v>379</v>
      </c>
    </row>
    <row r="3944" spans="1:5" x14ac:dyDescent="0.25">
      <c r="A3944" s="279">
        <v>39107</v>
      </c>
      <c r="B3944" t="s">
        <v>338</v>
      </c>
      <c r="C3944" t="s">
        <v>59</v>
      </c>
      <c r="D3944">
        <v>0</v>
      </c>
      <c r="E3944" t="s">
        <v>378</v>
      </c>
    </row>
    <row r="3945" spans="1:5" x14ac:dyDescent="0.25">
      <c r="A3945" s="279">
        <v>39107</v>
      </c>
      <c r="B3945" t="s">
        <v>338</v>
      </c>
      <c r="C3945" t="s">
        <v>60</v>
      </c>
      <c r="D3945">
        <v>4797</v>
      </c>
      <c r="E3945" t="s">
        <v>379</v>
      </c>
    </row>
    <row r="3946" spans="1:5" x14ac:dyDescent="0.25">
      <c r="A3946" s="279">
        <v>39107</v>
      </c>
      <c r="B3946" t="s">
        <v>338</v>
      </c>
      <c r="C3946" t="s">
        <v>61</v>
      </c>
      <c r="D3946">
        <v>0</v>
      </c>
      <c r="E3946" t="s">
        <v>378</v>
      </c>
    </row>
    <row r="3947" spans="1:5" x14ac:dyDescent="0.25">
      <c r="A3947" s="279">
        <v>39107</v>
      </c>
      <c r="B3947" t="s">
        <v>338</v>
      </c>
      <c r="C3947" t="s">
        <v>62</v>
      </c>
      <c r="D3947">
        <v>35913</v>
      </c>
      <c r="E3947" t="s">
        <v>380</v>
      </c>
    </row>
    <row r="3948" spans="1:5" x14ac:dyDescent="0.25">
      <c r="A3948" s="279">
        <v>39107</v>
      </c>
      <c r="B3948" t="s">
        <v>338</v>
      </c>
      <c r="C3948" t="s">
        <v>63</v>
      </c>
      <c r="D3948">
        <v>0</v>
      </c>
      <c r="E3948" t="s">
        <v>378</v>
      </c>
    </row>
    <row r="3949" spans="1:5" x14ac:dyDescent="0.25">
      <c r="A3949" s="279">
        <v>39107</v>
      </c>
      <c r="B3949" t="s">
        <v>338</v>
      </c>
      <c r="C3949" t="s">
        <v>64</v>
      </c>
      <c r="D3949">
        <v>32146</v>
      </c>
      <c r="E3949" t="s">
        <v>380</v>
      </c>
    </row>
    <row r="3950" spans="1:5" x14ac:dyDescent="0.25">
      <c r="A3950" s="279">
        <v>39107</v>
      </c>
      <c r="B3950" t="s">
        <v>338</v>
      </c>
      <c r="C3950" t="s">
        <v>65</v>
      </c>
      <c r="D3950">
        <v>0</v>
      </c>
      <c r="E3950" t="s">
        <v>378</v>
      </c>
    </row>
    <row r="3951" spans="1:5" x14ac:dyDescent="0.25">
      <c r="A3951" s="279">
        <v>39107</v>
      </c>
      <c r="B3951" t="s">
        <v>338</v>
      </c>
      <c r="C3951" t="s">
        <v>66</v>
      </c>
      <c r="D3951">
        <v>0</v>
      </c>
      <c r="E3951" t="s">
        <v>380</v>
      </c>
    </row>
    <row r="3952" spans="1:5" x14ac:dyDescent="0.25">
      <c r="A3952" s="279">
        <v>39107</v>
      </c>
      <c r="B3952" t="s">
        <v>338</v>
      </c>
      <c r="C3952" t="s">
        <v>120</v>
      </c>
      <c r="D3952">
        <v>0</v>
      </c>
      <c r="E3952" t="s">
        <v>378</v>
      </c>
    </row>
    <row r="3953" spans="1:5" x14ac:dyDescent="0.25">
      <c r="A3953" s="279">
        <v>39107</v>
      </c>
      <c r="B3953" t="s">
        <v>338</v>
      </c>
      <c r="C3953" t="s">
        <v>121</v>
      </c>
      <c r="D3953">
        <v>20007</v>
      </c>
      <c r="E3953" t="s">
        <v>380</v>
      </c>
    </row>
    <row r="3954" spans="1:5" x14ac:dyDescent="0.25">
      <c r="A3954" s="279">
        <v>39107</v>
      </c>
      <c r="B3954" t="s">
        <v>338</v>
      </c>
      <c r="C3954" t="s">
        <v>67</v>
      </c>
      <c r="D3954">
        <v>0</v>
      </c>
      <c r="E3954" t="s">
        <v>378</v>
      </c>
    </row>
    <row r="3955" spans="1:5" x14ac:dyDescent="0.25">
      <c r="A3955" s="279">
        <v>39107</v>
      </c>
      <c r="B3955" t="s">
        <v>338</v>
      </c>
      <c r="C3955" t="s">
        <v>68</v>
      </c>
      <c r="D3955">
        <v>0</v>
      </c>
      <c r="E3955" t="s">
        <v>380</v>
      </c>
    </row>
    <row r="3956" spans="1:5" x14ac:dyDescent="0.25">
      <c r="A3956" s="279">
        <v>39107</v>
      </c>
      <c r="B3956" t="s">
        <v>338</v>
      </c>
      <c r="C3956" t="s">
        <v>69</v>
      </c>
      <c r="D3956">
        <v>34549</v>
      </c>
      <c r="E3956" t="s">
        <v>379</v>
      </c>
    </row>
    <row r="3957" spans="1:5" x14ac:dyDescent="0.25">
      <c r="A3957" s="279">
        <v>39107</v>
      </c>
      <c r="B3957" t="s">
        <v>338</v>
      </c>
      <c r="C3957" t="s">
        <v>70</v>
      </c>
      <c r="D3957">
        <v>0</v>
      </c>
      <c r="E3957" t="s">
        <v>379</v>
      </c>
    </row>
    <row r="3958" spans="1:5" x14ac:dyDescent="0.25">
      <c r="A3958" s="279">
        <v>39107</v>
      </c>
      <c r="B3958" t="s">
        <v>338</v>
      </c>
      <c r="C3958" t="s">
        <v>80</v>
      </c>
      <c r="D3958">
        <v>0</v>
      </c>
      <c r="E3958" t="s">
        <v>379</v>
      </c>
    </row>
    <row r="3959" spans="1:5" x14ac:dyDescent="0.25">
      <c r="A3959" s="279">
        <v>39107</v>
      </c>
      <c r="B3959" t="s">
        <v>339</v>
      </c>
      <c r="C3959" t="s">
        <v>71</v>
      </c>
      <c r="D3959">
        <v>0</v>
      </c>
      <c r="E3959" t="s">
        <v>378</v>
      </c>
    </row>
    <row r="3960" spans="1:5" x14ac:dyDescent="0.25">
      <c r="A3960" s="279">
        <v>39107</v>
      </c>
      <c r="B3960" t="s">
        <v>339</v>
      </c>
      <c r="C3960" t="s">
        <v>72</v>
      </c>
      <c r="D3960">
        <v>4831</v>
      </c>
      <c r="E3960" t="s">
        <v>380</v>
      </c>
    </row>
    <row r="3961" spans="1:5" x14ac:dyDescent="0.25">
      <c r="A3961" s="279">
        <v>39107</v>
      </c>
      <c r="B3961" t="s">
        <v>339</v>
      </c>
      <c r="C3961" t="s">
        <v>73</v>
      </c>
      <c r="D3961">
        <v>0</v>
      </c>
      <c r="E3961" t="s">
        <v>378</v>
      </c>
    </row>
    <row r="3962" spans="1:5" x14ac:dyDescent="0.25">
      <c r="A3962" s="279">
        <v>39107</v>
      </c>
      <c r="B3962" t="s">
        <v>339</v>
      </c>
      <c r="C3962" t="s">
        <v>74</v>
      </c>
      <c r="D3962">
        <v>52648</v>
      </c>
      <c r="E3962" t="s">
        <v>380</v>
      </c>
    </row>
    <row r="3963" spans="1:5" x14ac:dyDescent="0.25">
      <c r="A3963" s="279">
        <v>39107</v>
      </c>
      <c r="B3963" t="s">
        <v>339</v>
      </c>
      <c r="C3963" t="s">
        <v>75</v>
      </c>
      <c r="D3963">
        <v>15050</v>
      </c>
      <c r="E3963" t="s">
        <v>378</v>
      </c>
    </row>
    <row r="3964" spans="1:5" x14ac:dyDescent="0.25">
      <c r="A3964" s="279">
        <v>39107</v>
      </c>
      <c r="B3964" t="s">
        <v>339</v>
      </c>
      <c r="C3964" t="s">
        <v>76</v>
      </c>
      <c r="D3964">
        <v>33832</v>
      </c>
      <c r="E3964" t="s">
        <v>380</v>
      </c>
    </row>
    <row r="3965" spans="1:5" x14ac:dyDescent="0.25">
      <c r="A3965" s="279">
        <v>39107</v>
      </c>
      <c r="B3965" t="s">
        <v>339</v>
      </c>
      <c r="C3965" t="s">
        <v>77</v>
      </c>
      <c r="D3965">
        <v>7289</v>
      </c>
      <c r="E3965" t="s">
        <v>378</v>
      </c>
    </row>
    <row r="3966" spans="1:5" x14ac:dyDescent="0.25">
      <c r="A3966" s="279">
        <v>39107</v>
      </c>
      <c r="B3966" t="s">
        <v>339</v>
      </c>
      <c r="C3966" t="s">
        <v>78</v>
      </c>
      <c r="D3966">
        <v>22700</v>
      </c>
      <c r="E3966" t="s">
        <v>380</v>
      </c>
    </row>
    <row r="3967" spans="1:5" x14ac:dyDescent="0.25">
      <c r="A3967" s="279">
        <v>39107</v>
      </c>
      <c r="B3967" t="s">
        <v>339</v>
      </c>
      <c r="C3967" t="s">
        <v>79</v>
      </c>
      <c r="D3967">
        <v>107321</v>
      </c>
      <c r="E3967" t="s">
        <v>379</v>
      </c>
    </row>
    <row r="3968" spans="1:5" x14ac:dyDescent="0.25">
      <c r="A3968" s="279">
        <v>39107</v>
      </c>
      <c r="B3968" t="s">
        <v>339</v>
      </c>
      <c r="C3968" t="s">
        <v>70</v>
      </c>
      <c r="D3968">
        <v>0</v>
      </c>
      <c r="E3968" t="s">
        <v>379</v>
      </c>
    </row>
    <row r="3969" spans="1:5" x14ac:dyDescent="0.25">
      <c r="A3969" s="279">
        <v>39107</v>
      </c>
      <c r="B3969" t="s">
        <v>339</v>
      </c>
      <c r="C3969" t="s">
        <v>63</v>
      </c>
      <c r="D3969">
        <v>0</v>
      </c>
      <c r="E3969" t="s">
        <v>378</v>
      </c>
    </row>
    <row r="3970" spans="1:5" x14ac:dyDescent="0.25">
      <c r="A3970" s="279">
        <v>39107</v>
      </c>
      <c r="B3970" t="s">
        <v>339</v>
      </c>
      <c r="C3970" t="s">
        <v>80</v>
      </c>
      <c r="D3970">
        <v>134</v>
      </c>
      <c r="E3970" t="s">
        <v>379</v>
      </c>
    </row>
    <row r="3971" spans="1:5" x14ac:dyDescent="0.25">
      <c r="A3971" s="279">
        <v>39108</v>
      </c>
      <c r="B3971" t="s">
        <v>338</v>
      </c>
      <c r="C3971" t="s">
        <v>59</v>
      </c>
      <c r="D3971">
        <v>0</v>
      </c>
      <c r="E3971" t="s">
        <v>378</v>
      </c>
    </row>
    <row r="3972" spans="1:5" x14ac:dyDescent="0.25">
      <c r="A3972" s="279">
        <v>39108</v>
      </c>
      <c r="B3972" t="s">
        <v>338</v>
      </c>
      <c r="C3972" t="s">
        <v>60</v>
      </c>
      <c r="D3972">
        <v>4797</v>
      </c>
      <c r="E3972" t="s">
        <v>379</v>
      </c>
    </row>
    <row r="3973" spans="1:5" x14ac:dyDescent="0.25">
      <c r="A3973" s="279">
        <v>39108</v>
      </c>
      <c r="B3973" t="s">
        <v>338</v>
      </c>
      <c r="C3973" t="s">
        <v>61</v>
      </c>
      <c r="D3973">
        <v>0</v>
      </c>
      <c r="E3973" t="s">
        <v>378</v>
      </c>
    </row>
    <row r="3974" spans="1:5" x14ac:dyDescent="0.25">
      <c r="A3974" s="279">
        <v>39108</v>
      </c>
      <c r="B3974" t="s">
        <v>338</v>
      </c>
      <c r="C3974" t="s">
        <v>62</v>
      </c>
      <c r="D3974">
        <v>35579</v>
      </c>
      <c r="E3974" t="s">
        <v>380</v>
      </c>
    </row>
    <row r="3975" spans="1:5" x14ac:dyDescent="0.25">
      <c r="A3975" s="279">
        <v>39108</v>
      </c>
      <c r="B3975" t="s">
        <v>338</v>
      </c>
      <c r="C3975" t="s">
        <v>63</v>
      </c>
      <c r="D3975">
        <v>0</v>
      </c>
      <c r="E3975" t="s">
        <v>378</v>
      </c>
    </row>
    <row r="3976" spans="1:5" x14ac:dyDescent="0.25">
      <c r="A3976" s="279">
        <v>39108</v>
      </c>
      <c r="B3976" t="s">
        <v>338</v>
      </c>
      <c r="C3976" t="s">
        <v>64</v>
      </c>
      <c r="D3976">
        <v>32146</v>
      </c>
      <c r="E3976" t="s">
        <v>380</v>
      </c>
    </row>
    <row r="3977" spans="1:5" x14ac:dyDescent="0.25">
      <c r="A3977" s="279">
        <v>39108</v>
      </c>
      <c r="B3977" t="s">
        <v>338</v>
      </c>
      <c r="C3977" t="s">
        <v>65</v>
      </c>
      <c r="D3977">
        <v>0</v>
      </c>
      <c r="E3977" t="s">
        <v>378</v>
      </c>
    </row>
    <row r="3978" spans="1:5" x14ac:dyDescent="0.25">
      <c r="A3978" s="279">
        <v>39108</v>
      </c>
      <c r="B3978" t="s">
        <v>338</v>
      </c>
      <c r="C3978" t="s">
        <v>66</v>
      </c>
      <c r="D3978">
        <v>0</v>
      </c>
      <c r="E3978" t="s">
        <v>380</v>
      </c>
    </row>
    <row r="3979" spans="1:5" x14ac:dyDescent="0.25">
      <c r="A3979" s="279">
        <v>39108</v>
      </c>
      <c r="B3979" t="s">
        <v>338</v>
      </c>
      <c r="C3979" t="s">
        <v>120</v>
      </c>
      <c r="D3979">
        <v>0</v>
      </c>
      <c r="E3979" t="s">
        <v>378</v>
      </c>
    </row>
    <row r="3980" spans="1:5" x14ac:dyDescent="0.25">
      <c r="A3980" s="279">
        <v>39108</v>
      </c>
      <c r="B3980" t="s">
        <v>338</v>
      </c>
      <c r="C3980" t="s">
        <v>121</v>
      </c>
      <c r="D3980">
        <v>20007</v>
      </c>
      <c r="E3980" t="s">
        <v>380</v>
      </c>
    </row>
    <row r="3981" spans="1:5" x14ac:dyDescent="0.25">
      <c r="A3981" s="279">
        <v>39108</v>
      </c>
      <c r="B3981" t="s">
        <v>338</v>
      </c>
      <c r="C3981" t="s">
        <v>67</v>
      </c>
      <c r="D3981">
        <v>0</v>
      </c>
      <c r="E3981" t="s">
        <v>378</v>
      </c>
    </row>
    <row r="3982" spans="1:5" x14ac:dyDescent="0.25">
      <c r="A3982" s="279">
        <v>39108</v>
      </c>
      <c r="B3982" t="s">
        <v>338</v>
      </c>
      <c r="C3982" t="s">
        <v>68</v>
      </c>
      <c r="D3982">
        <v>0</v>
      </c>
      <c r="E3982" t="s">
        <v>380</v>
      </c>
    </row>
    <row r="3983" spans="1:5" x14ac:dyDescent="0.25">
      <c r="A3983" s="279">
        <v>39108</v>
      </c>
      <c r="B3983" t="s">
        <v>338</v>
      </c>
      <c r="C3983" t="s">
        <v>69</v>
      </c>
      <c r="D3983">
        <v>34549</v>
      </c>
      <c r="E3983" t="s">
        <v>379</v>
      </c>
    </row>
    <row r="3984" spans="1:5" x14ac:dyDescent="0.25">
      <c r="A3984" s="279">
        <v>39108</v>
      </c>
      <c r="B3984" t="s">
        <v>338</v>
      </c>
      <c r="C3984" t="s">
        <v>70</v>
      </c>
      <c r="D3984">
        <v>0</v>
      </c>
      <c r="E3984" t="s">
        <v>379</v>
      </c>
    </row>
    <row r="3985" spans="1:5" x14ac:dyDescent="0.25">
      <c r="A3985" s="279">
        <v>39108</v>
      </c>
      <c r="B3985" t="s">
        <v>338</v>
      </c>
      <c r="C3985" t="s">
        <v>80</v>
      </c>
      <c r="D3985">
        <v>0</v>
      </c>
      <c r="E3985" t="s">
        <v>379</v>
      </c>
    </row>
    <row r="3986" spans="1:5" x14ac:dyDescent="0.25">
      <c r="A3986" s="279">
        <v>39108</v>
      </c>
      <c r="B3986" t="s">
        <v>339</v>
      </c>
      <c r="C3986" t="s">
        <v>71</v>
      </c>
      <c r="D3986">
        <v>0</v>
      </c>
      <c r="E3986" t="s">
        <v>378</v>
      </c>
    </row>
    <row r="3987" spans="1:5" x14ac:dyDescent="0.25">
      <c r="A3987" s="279">
        <v>39108</v>
      </c>
      <c r="B3987" t="s">
        <v>339</v>
      </c>
      <c r="C3987" t="s">
        <v>72</v>
      </c>
      <c r="D3987">
        <v>4845</v>
      </c>
      <c r="E3987" t="s">
        <v>380</v>
      </c>
    </row>
    <row r="3988" spans="1:5" x14ac:dyDescent="0.25">
      <c r="A3988" s="279">
        <v>39108</v>
      </c>
      <c r="B3988" t="s">
        <v>339</v>
      </c>
      <c r="C3988" t="s">
        <v>73</v>
      </c>
      <c r="D3988">
        <v>0</v>
      </c>
      <c r="E3988" t="s">
        <v>378</v>
      </c>
    </row>
    <row r="3989" spans="1:5" x14ac:dyDescent="0.25">
      <c r="A3989" s="279">
        <v>39108</v>
      </c>
      <c r="B3989" t="s">
        <v>339</v>
      </c>
      <c r="C3989" t="s">
        <v>74</v>
      </c>
      <c r="D3989">
        <v>52440</v>
      </c>
      <c r="E3989" t="s">
        <v>380</v>
      </c>
    </row>
    <row r="3990" spans="1:5" x14ac:dyDescent="0.25">
      <c r="A3990" s="279">
        <v>39108</v>
      </c>
      <c r="B3990" t="s">
        <v>339</v>
      </c>
      <c r="C3990" t="s">
        <v>75</v>
      </c>
      <c r="D3990">
        <v>15094</v>
      </c>
      <c r="E3990" t="s">
        <v>378</v>
      </c>
    </row>
    <row r="3991" spans="1:5" x14ac:dyDescent="0.25">
      <c r="A3991" s="279">
        <v>39108</v>
      </c>
      <c r="B3991" t="s">
        <v>339</v>
      </c>
      <c r="C3991" t="s">
        <v>76</v>
      </c>
      <c r="D3991">
        <v>33930</v>
      </c>
      <c r="E3991" t="s">
        <v>380</v>
      </c>
    </row>
    <row r="3992" spans="1:5" x14ac:dyDescent="0.25">
      <c r="A3992" s="279">
        <v>39108</v>
      </c>
      <c r="B3992" t="s">
        <v>339</v>
      </c>
      <c r="C3992" t="s">
        <v>77</v>
      </c>
      <c r="D3992">
        <v>7310</v>
      </c>
      <c r="E3992" t="s">
        <v>378</v>
      </c>
    </row>
    <row r="3993" spans="1:5" x14ac:dyDescent="0.25">
      <c r="A3993" s="279">
        <v>39108</v>
      </c>
      <c r="B3993" t="s">
        <v>339</v>
      </c>
      <c r="C3993" t="s">
        <v>78</v>
      </c>
      <c r="D3993">
        <v>22766</v>
      </c>
      <c r="E3993" t="s">
        <v>380</v>
      </c>
    </row>
    <row r="3994" spans="1:5" x14ac:dyDescent="0.25">
      <c r="A3994" s="279">
        <v>39108</v>
      </c>
      <c r="B3994" t="s">
        <v>339</v>
      </c>
      <c r="C3994" t="s">
        <v>79</v>
      </c>
      <c r="D3994">
        <v>107453</v>
      </c>
      <c r="E3994" t="s">
        <v>379</v>
      </c>
    </row>
    <row r="3995" spans="1:5" x14ac:dyDescent="0.25">
      <c r="A3995" s="279">
        <v>39108</v>
      </c>
      <c r="B3995" t="s">
        <v>339</v>
      </c>
      <c r="C3995" t="s">
        <v>70</v>
      </c>
      <c r="D3995">
        <v>0</v>
      </c>
      <c r="E3995" t="s">
        <v>379</v>
      </c>
    </row>
    <row r="3996" spans="1:5" x14ac:dyDescent="0.25">
      <c r="A3996" s="279">
        <v>39108</v>
      </c>
      <c r="B3996" t="s">
        <v>339</v>
      </c>
      <c r="C3996" t="s">
        <v>63</v>
      </c>
      <c r="D3996">
        <v>0</v>
      </c>
      <c r="E3996" t="s">
        <v>378</v>
      </c>
    </row>
    <row r="3997" spans="1:5" x14ac:dyDescent="0.25">
      <c r="A3997" s="279">
        <v>39108</v>
      </c>
      <c r="B3997" t="s">
        <v>339</v>
      </c>
      <c r="C3997" t="s">
        <v>80</v>
      </c>
      <c r="D3997">
        <v>134</v>
      </c>
      <c r="E3997" t="s">
        <v>379</v>
      </c>
    </row>
    <row r="3998" spans="1:5" x14ac:dyDescent="0.25">
      <c r="A3998" s="279">
        <v>39109</v>
      </c>
      <c r="B3998" t="s">
        <v>338</v>
      </c>
      <c r="C3998" t="s">
        <v>59</v>
      </c>
      <c r="D3998">
        <v>0</v>
      </c>
      <c r="E3998" t="s">
        <v>378</v>
      </c>
    </row>
    <row r="3999" spans="1:5" x14ac:dyDescent="0.25">
      <c r="A3999" s="279">
        <v>39109</v>
      </c>
      <c r="B3999" t="s">
        <v>338</v>
      </c>
      <c r="C3999" t="s">
        <v>60</v>
      </c>
      <c r="D3999">
        <v>4801</v>
      </c>
      <c r="E3999" t="s">
        <v>379</v>
      </c>
    </row>
    <row r="4000" spans="1:5" x14ac:dyDescent="0.25">
      <c r="A4000" s="279">
        <v>39109</v>
      </c>
      <c r="B4000" t="s">
        <v>338</v>
      </c>
      <c r="C4000" t="s">
        <v>61</v>
      </c>
      <c r="D4000">
        <v>0</v>
      </c>
      <c r="E4000" t="s">
        <v>378</v>
      </c>
    </row>
    <row r="4001" spans="1:5" x14ac:dyDescent="0.25">
      <c r="A4001" s="279">
        <v>39109</v>
      </c>
      <c r="B4001" t="s">
        <v>338</v>
      </c>
      <c r="C4001" t="s">
        <v>62</v>
      </c>
      <c r="D4001">
        <v>34023</v>
      </c>
      <c r="E4001" t="s">
        <v>380</v>
      </c>
    </row>
    <row r="4002" spans="1:5" x14ac:dyDescent="0.25">
      <c r="A4002" s="279">
        <v>39109</v>
      </c>
      <c r="B4002" t="s">
        <v>338</v>
      </c>
      <c r="C4002" t="s">
        <v>63</v>
      </c>
      <c r="D4002">
        <v>0</v>
      </c>
      <c r="E4002" t="s">
        <v>378</v>
      </c>
    </row>
    <row r="4003" spans="1:5" x14ac:dyDescent="0.25">
      <c r="A4003" s="279">
        <v>39109</v>
      </c>
      <c r="B4003" t="s">
        <v>338</v>
      </c>
      <c r="C4003" t="s">
        <v>64</v>
      </c>
      <c r="D4003">
        <v>24695</v>
      </c>
      <c r="E4003" t="s">
        <v>380</v>
      </c>
    </row>
    <row r="4004" spans="1:5" x14ac:dyDescent="0.25">
      <c r="A4004" s="279">
        <v>39109</v>
      </c>
      <c r="B4004" t="s">
        <v>338</v>
      </c>
      <c r="C4004" t="s">
        <v>65</v>
      </c>
      <c r="D4004">
        <v>0</v>
      </c>
      <c r="E4004" t="s">
        <v>378</v>
      </c>
    </row>
    <row r="4005" spans="1:5" x14ac:dyDescent="0.25">
      <c r="A4005" s="279">
        <v>39109</v>
      </c>
      <c r="B4005" t="s">
        <v>338</v>
      </c>
      <c r="C4005" t="s">
        <v>66</v>
      </c>
      <c r="D4005">
        <v>0</v>
      </c>
      <c r="E4005" t="s">
        <v>380</v>
      </c>
    </row>
    <row r="4006" spans="1:5" x14ac:dyDescent="0.25">
      <c r="A4006" s="279">
        <v>39109</v>
      </c>
      <c r="B4006" t="s">
        <v>338</v>
      </c>
      <c r="C4006" t="s">
        <v>120</v>
      </c>
      <c r="D4006">
        <v>0</v>
      </c>
      <c r="E4006" t="s">
        <v>378</v>
      </c>
    </row>
    <row r="4007" spans="1:5" x14ac:dyDescent="0.25">
      <c r="A4007" s="279">
        <v>39109</v>
      </c>
      <c r="B4007" t="s">
        <v>338</v>
      </c>
      <c r="C4007" t="s">
        <v>121</v>
      </c>
      <c r="D4007">
        <v>20026</v>
      </c>
      <c r="E4007" t="s">
        <v>380</v>
      </c>
    </row>
    <row r="4008" spans="1:5" x14ac:dyDescent="0.25">
      <c r="A4008" s="279">
        <v>39109</v>
      </c>
      <c r="B4008" t="s">
        <v>338</v>
      </c>
      <c r="C4008" t="s">
        <v>67</v>
      </c>
      <c r="D4008">
        <v>0</v>
      </c>
      <c r="E4008" t="s">
        <v>378</v>
      </c>
    </row>
    <row r="4009" spans="1:5" x14ac:dyDescent="0.25">
      <c r="A4009" s="279">
        <v>39109</v>
      </c>
      <c r="B4009" t="s">
        <v>338</v>
      </c>
      <c r="C4009" t="s">
        <v>68</v>
      </c>
      <c r="D4009">
        <v>0</v>
      </c>
      <c r="E4009" t="s">
        <v>380</v>
      </c>
    </row>
    <row r="4010" spans="1:5" x14ac:dyDescent="0.25">
      <c r="A4010" s="279">
        <v>39109</v>
      </c>
      <c r="B4010" t="s">
        <v>338</v>
      </c>
      <c r="C4010" t="s">
        <v>69</v>
      </c>
      <c r="D4010">
        <v>34582</v>
      </c>
      <c r="E4010" t="s">
        <v>379</v>
      </c>
    </row>
    <row r="4011" spans="1:5" x14ac:dyDescent="0.25">
      <c r="A4011" s="279">
        <v>39109</v>
      </c>
      <c r="B4011" t="s">
        <v>338</v>
      </c>
      <c r="C4011" t="s">
        <v>70</v>
      </c>
      <c r="D4011">
        <v>0</v>
      </c>
      <c r="E4011" t="s">
        <v>379</v>
      </c>
    </row>
    <row r="4012" spans="1:5" x14ac:dyDescent="0.25">
      <c r="A4012" s="279">
        <v>39109</v>
      </c>
      <c r="B4012" t="s">
        <v>338</v>
      </c>
      <c r="C4012" t="s">
        <v>80</v>
      </c>
      <c r="D4012">
        <v>0</v>
      </c>
      <c r="E4012" t="s">
        <v>379</v>
      </c>
    </row>
    <row r="4013" spans="1:5" x14ac:dyDescent="0.25">
      <c r="A4013" s="279">
        <v>39109</v>
      </c>
      <c r="B4013" t="s">
        <v>339</v>
      </c>
      <c r="C4013" t="s">
        <v>71</v>
      </c>
      <c r="D4013">
        <v>0</v>
      </c>
      <c r="E4013" t="s">
        <v>378</v>
      </c>
    </row>
    <row r="4014" spans="1:5" x14ac:dyDescent="0.25">
      <c r="A4014" s="279">
        <v>39109</v>
      </c>
      <c r="B4014" t="s">
        <v>339</v>
      </c>
      <c r="C4014" t="s">
        <v>72</v>
      </c>
      <c r="D4014">
        <v>4836</v>
      </c>
      <c r="E4014" t="s">
        <v>380</v>
      </c>
    </row>
    <row r="4015" spans="1:5" x14ac:dyDescent="0.25">
      <c r="A4015" s="279">
        <v>39109</v>
      </c>
      <c r="B4015" t="s">
        <v>339</v>
      </c>
      <c r="C4015" t="s">
        <v>73</v>
      </c>
      <c r="D4015">
        <v>0</v>
      </c>
      <c r="E4015" t="s">
        <v>378</v>
      </c>
    </row>
    <row r="4016" spans="1:5" x14ac:dyDescent="0.25">
      <c r="A4016" s="279">
        <v>39109</v>
      </c>
      <c r="B4016" t="s">
        <v>339</v>
      </c>
      <c r="C4016" t="s">
        <v>74</v>
      </c>
      <c r="D4016">
        <v>3120</v>
      </c>
      <c r="E4016" t="s">
        <v>380</v>
      </c>
    </row>
    <row r="4017" spans="1:5" x14ac:dyDescent="0.25">
      <c r="A4017" s="279">
        <v>39109</v>
      </c>
      <c r="B4017" t="s">
        <v>339</v>
      </c>
      <c r="C4017" t="s">
        <v>75</v>
      </c>
      <c r="D4017">
        <v>15065</v>
      </c>
      <c r="E4017" t="s">
        <v>378</v>
      </c>
    </row>
    <row r="4018" spans="1:5" x14ac:dyDescent="0.25">
      <c r="A4018" s="279">
        <v>39109</v>
      </c>
      <c r="B4018" t="s">
        <v>339</v>
      </c>
      <c r="C4018" t="s">
        <v>76</v>
      </c>
      <c r="D4018">
        <v>14522</v>
      </c>
      <c r="E4018" t="s">
        <v>380</v>
      </c>
    </row>
    <row r="4019" spans="1:5" x14ac:dyDescent="0.25">
      <c r="A4019" s="279">
        <v>39109</v>
      </c>
      <c r="B4019" t="s">
        <v>339</v>
      </c>
      <c r="C4019" t="s">
        <v>77</v>
      </c>
      <c r="D4019">
        <v>7296</v>
      </c>
      <c r="E4019" t="s">
        <v>378</v>
      </c>
    </row>
    <row r="4020" spans="1:5" x14ac:dyDescent="0.25">
      <c r="A4020" s="279">
        <v>39109</v>
      </c>
      <c r="B4020" t="s">
        <v>339</v>
      </c>
      <c r="C4020" t="s">
        <v>78</v>
      </c>
      <c r="D4020">
        <v>7029</v>
      </c>
      <c r="E4020" t="s">
        <v>380</v>
      </c>
    </row>
    <row r="4021" spans="1:5" x14ac:dyDescent="0.25">
      <c r="A4021" s="279">
        <v>39109</v>
      </c>
      <c r="B4021" t="s">
        <v>339</v>
      </c>
      <c r="C4021" t="s">
        <v>79</v>
      </c>
      <c r="D4021">
        <v>107425</v>
      </c>
      <c r="E4021" t="s">
        <v>379</v>
      </c>
    </row>
    <row r="4022" spans="1:5" x14ac:dyDescent="0.25">
      <c r="A4022" s="279">
        <v>39109</v>
      </c>
      <c r="B4022" t="s">
        <v>339</v>
      </c>
      <c r="C4022" t="s">
        <v>70</v>
      </c>
      <c r="D4022">
        <v>0</v>
      </c>
      <c r="E4022" t="s">
        <v>379</v>
      </c>
    </row>
    <row r="4023" spans="1:5" x14ac:dyDescent="0.25">
      <c r="A4023" s="279">
        <v>39109</v>
      </c>
      <c r="B4023" t="s">
        <v>339</v>
      </c>
      <c r="C4023" t="s">
        <v>63</v>
      </c>
      <c r="D4023">
        <v>0</v>
      </c>
      <c r="E4023" t="s">
        <v>378</v>
      </c>
    </row>
    <row r="4024" spans="1:5" x14ac:dyDescent="0.25">
      <c r="A4024" s="279">
        <v>39109</v>
      </c>
      <c r="B4024" t="s">
        <v>339</v>
      </c>
      <c r="C4024" t="s">
        <v>80</v>
      </c>
      <c r="D4024">
        <v>134</v>
      </c>
      <c r="E4024" t="s">
        <v>379</v>
      </c>
    </row>
    <row r="4025" spans="1:5" x14ac:dyDescent="0.25">
      <c r="A4025" s="279">
        <v>39110</v>
      </c>
      <c r="B4025" t="s">
        <v>338</v>
      </c>
      <c r="C4025" t="s">
        <v>59</v>
      </c>
      <c r="D4025">
        <v>0</v>
      </c>
      <c r="E4025" t="s">
        <v>378</v>
      </c>
    </row>
    <row r="4026" spans="1:5" x14ac:dyDescent="0.25">
      <c r="A4026" s="279">
        <v>39110</v>
      </c>
      <c r="B4026" t="s">
        <v>338</v>
      </c>
      <c r="C4026" t="s">
        <v>60</v>
      </c>
      <c r="D4026">
        <v>4801</v>
      </c>
      <c r="E4026" t="s">
        <v>379</v>
      </c>
    </row>
    <row r="4027" spans="1:5" x14ac:dyDescent="0.25">
      <c r="A4027" s="279">
        <v>39110</v>
      </c>
      <c r="B4027" t="s">
        <v>338</v>
      </c>
      <c r="C4027" t="s">
        <v>61</v>
      </c>
      <c r="D4027">
        <v>0</v>
      </c>
      <c r="E4027" t="s">
        <v>378</v>
      </c>
    </row>
    <row r="4028" spans="1:5" x14ac:dyDescent="0.25">
      <c r="A4028" s="279">
        <v>39110</v>
      </c>
      <c r="B4028" t="s">
        <v>338</v>
      </c>
      <c r="C4028" t="s">
        <v>62</v>
      </c>
      <c r="D4028">
        <v>34755</v>
      </c>
      <c r="E4028" t="s">
        <v>380</v>
      </c>
    </row>
    <row r="4029" spans="1:5" x14ac:dyDescent="0.25">
      <c r="A4029" s="279">
        <v>39110</v>
      </c>
      <c r="B4029" t="s">
        <v>338</v>
      </c>
      <c r="C4029" t="s">
        <v>63</v>
      </c>
      <c r="D4029">
        <v>0</v>
      </c>
      <c r="E4029" t="s">
        <v>378</v>
      </c>
    </row>
    <row r="4030" spans="1:5" x14ac:dyDescent="0.25">
      <c r="A4030" s="279">
        <v>39110</v>
      </c>
      <c r="B4030" t="s">
        <v>338</v>
      </c>
      <c r="C4030" t="s">
        <v>64</v>
      </c>
      <c r="D4030">
        <v>32177</v>
      </c>
      <c r="E4030" t="s">
        <v>380</v>
      </c>
    </row>
    <row r="4031" spans="1:5" x14ac:dyDescent="0.25">
      <c r="A4031" s="279">
        <v>39110</v>
      </c>
      <c r="B4031" t="s">
        <v>338</v>
      </c>
      <c r="C4031" t="s">
        <v>65</v>
      </c>
      <c r="D4031">
        <v>0</v>
      </c>
      <c r="E4031" t="s">
        <v>378</v>
      </c>
    </row>
    <row r="4032" spans="1:5" x14ac:dyDescent="0.25">
      <c r="A4032" s="279">
        <v>39110</v>
      </c>
      <c r="B4032" t="s">
        <v>338</v>
      </c>
      <c r="C4032" t="s">
        <v>66</v>
      </c>
      <c r="D4032">
        <v>0</v>
      </c>
      <c r="E4032" t="s">
        <v>380</v>
      </c>
    </row>
    <row r="4033" spans="1:5" x14ac:dyDescent="0.25">
      <c r="A4033" s="279">
        <v>39110</v>
      </c>
      <c r="B4033" t="s">
        <v>338</v>
      </c>
      <c r="C4033" t="s">
        <v>120</v>
      </c>
      <c r="D4033">
        <v>0</v>
      </c>
      <c r="E4033" t="s">
        <v>378</v>
      </c>
    </row>
    <row r="4034" spans="1:5" x14ac:dyDescent="0.25">
      <c r="A4034" s="279">
        <v>39110</v>
      </c>
      <c r="B4034" t="s">
        <v>338</v>
      </c>
      <c r="C4034" t="s">
        <v>121</v>
      </c>
      <c r="D4034">
        <v>20026</v>
      </c>
      <c r="E4034" t="s">
        <v>380</v>
      </c>
    </row>
    <row r="4035" spans="1:5" x14ac:dyDescent="0.25">
      <c r="A4035" s="279">
        <v>39110</v>
      </c>
      <c r="B4035" t="s">
        <v>338</v>
      </c>
      <c r="C4035" t="s">
        <v>67</v>
      </c>
      <c r="D4035">
        <v>0</v>
      </c>
      <c r="E4035" t="s">
        <v>378</v>
      </c>
    </row>
    <row r="4036" spans="1:5" x14ac:dyDescent="0.25">
      <c r="A4036" s="279">
        <v>39110</v>
      </c>
      <c r="B4036" t="s">
        <v>338</v>
      </c>
      <c r="C4036" t="s">
        <v>68</v>
      </c>
      <c r="D4036">
        <v>0</v>
      </c>
      <c r="E4036" t="s">
        <v>380</v>
      </c>
    </row>
    <row r="4037" spans="1:5" x14ac:dyDescent="0.25">
      <c r="A4037" s="279">
        <v>39110</v>
      </c>
      <c r="B4037" t="s">
        <v>338</v>
      </c>
      <c r="C4037" t="s">
        <v>69</v>
      </c>
      <c r="D4037">
        <v>34582</v>
      </c>
      <c r="E4037" t="s">
        <v>379</v>
      </c>
    </row>
    <row r="4038" spans="1:5" x14ac:dyDescent="0.25">
      <c r="A4038" s="279">
        <v>39110</v>
      </c>
      <c r="B4038" t="s">
        <v>338</v>
      </c>
      <c r="C4038" t="s">
        <v>70</v>
      </c>
      <c r="D4038">
        <v>0</v>
      </c>
      <c r="E4038" t="s">
        <v>379</v>
      </c>
    </row>
    <row r="4039" spans="1:5" x14ac:dyDescent="0.25">
      <c r="A4039" s="279">
        <v>39110</v>
      </c>
      <c r="B4039" t="s">
        <v>338</v>
      </c>
      <c r="C4039" t="s">
        <v>80</v>
      </c>
      <c r="D4039">
        <v>0</v>
      </c>
      <c r="E4039" t="s">
        <v>379</v>
      </c>
    </row>
    <row r="4040" spans="1:5" x14ac:dyDescent="0.25">
      <c r="A4040" s="279">
        <v>39110</v>
      </c>
      <c r="B4040" t="s">
        <v>339</v>
      </c>
      <c r="C4040" t="s">
        <v>71</v>
      </c>
      <c r="D4040">
        <v>0</v>
      </c>
      <c r="E4040" t="s">
        <v>378</v>
      </c>
    </row>
    <row r="4041" spans="1:5" x14ac:dyDescent="0.25">
      <c r="A4041" s="279">
        <v>39110</v>
      </c>
      <c r="B4041" t="s">
        <v>339</v>
      </c>
      <c r="C4041" t="s">
        <v>72</v>
      </c>
      <c r="D4041">
        <v>4822</v>
      </c>
      <c r="E4041" t="s">
        <v>380</v>
      </c>
    </row>
    <row r="4042" spans="1:5" x14ac:dyDescent="0.25">
      <c r="A4042" s="279">
        <v>39110</v>
      </c>
      <c r="B4042" t="s">
        <v>339</v>
      </c>
      <c r="C4042" t="s">
        <v>73</v>
      </c>
      <c r="D4042">
        <v>0</v>
      </c>
      <c r="E4042" t="s">
        <v>378</v>
      </c>
    </row>
    <row r="4043" spans="1:5" x14ac:dyDescent="0.25">
      <c r="A4043" s="279">
        <v>39110</v>
      </c>
      <c r="B4043" t="s">
        <v>339</v>
      </c>
      <c r="C4043" t="s">
        <v>74</v>
      </c>
      <c r="D4043">
        <v>16446</v>
      </c>
      <c r="E4043" t="s">
        <v>380</v>
      </c>
    </row>
    <row r="4044" spans="1:5" x14ac:dyDescent="0.25">
      <c r="A4044" s="279">
        <v>39110</v>
      </c>
      <c r="B4044" t="s">
        <v>339</v>
      </c>
      <c r="C4044" t="s">
        <v>75</v>
      </c>
      <c r="D4044">
        <v>15021</v>
      </c>
      <c r="E4044" t="s">
        <v>378</v>
      </c>
    </row>
    <row r="4045" spans="1:5" x14ac:dyDescent="0.25">
      <c r="A4045" s="279">
        <v>39110</v>
      </c>
      <c r="B4045" t="s">
        <v>339</v>
      </c>
      <c r="C4045" t="s">
        <v>76</v>
      </c>
      <c r="D4045">
        <v>14480</v>
      </c>
      <c r="E4045" t="s">
        <v>380</v>
      </c>
    </row>
    <row r="4046" spans="1:5" x14ac:dyDescent="0.25">
      <c r="A4046" s="279">
        <v>39110</v>
      </c>
      <c r="B4046" t="s">
        <v>339</v>
      </c>
      <c r="C4046" t="s">
        <v>77</v>
      </c>
      <c r="D4046">
        <v>7275</v>
      </c>
      <c r="E4046" t="s">
        <v>378</v>
      </c>
    </row>
    <row r="4047" spans="1:5" x14ac:dyDescent="0.25">
      <c r="A4047" s="279">
        <v>39110</v>
      </c>
      <c r="B4047" t="s">
        <v>339</v>
      </c>
      <c r="C4047" t="s">
        <v>78</v>
      </c>
      <c r="D4047">
        <v>7009</v>
      </c>
      <c r="E4047" t="s">
        <v>380</v>
      </c>
    </row>
    <row r="4048" spans="1:5" x14ac:dyDescent="0.25">
      <c r="A4048" s="279">
        <v>39110</v>
      </c>
      <c r="B4048" t="s">
        <v>339</v>
      </c>
      <c r="C4048" t="s">
        <v>79</v>
      </c>
      <c r="D4048">
        <v>107114</v>
      </c>
      <c r="E4048" t="s">
        <v>379</v>
      </c>
    </row>
    <row r="4049" spans="1:5" x14ac:dyDescent="0.25">
      <c r="A4049" s="279">
        <v>39110</v>
      </c>
      <c r="B4049" t="s">
        <v>339</v>
      </c>
      <c r="C4049" t="s">
        <v>70</v>
      </c>
      <c r="D4049">
        <v>0</v>
      </c>
      <c r="E4049" t="s">
        <v>379</v>
      </c>
    </row>
    <row r="4050" spans="1:5" x14ac:dyDescent="0.25">
      <c r="A4050" s="279">
        <v>39110</v>
      </c>
      <c r="B4050" t="s">
        <v>339</v>
      </c>
      <c r="C4050" t="s">
        <v>63</v>
      </c>
      <c r="D4050">
        <v>0</v>
      </c>
      <c r="E4050" t="s">
        <v>378</v>
      </c>
    </row>
    <row r="4051" spans="1:5" x14ac:dyDescent="0.25">
      <c r="A4051" s="279">
        <v>39110</v>
      </c>
      <c r="B4051" t="s">
        <v>339</v>
      </c>
      <c r="C4051" t="s">
        <v>80</v>
      </c>
      <c r="D4051">
        <v>133</v>
      </c>
      <c r="E4051" t="s">
        <v>379</v>
      </c>
    </row>
    <row r="4052" spans="1:5" x14ac:dyDescent="0.25">
      <c r="A4052" s="279">
        <v>39111</v>
      </c>
      <c r="B4052" t="s">
        <v>338</v>
      </c>
      <c r="C4052" t="s">
        <v>59</v>
      </c>
      <c r="D4052">
        <v>0</v>
      </c>
      <c r="E4052" t="s">
        <v>378</v>
      </c>
    </row>
    <row r="4053" spans="1:5" x14ac:dyDescent="0.25">
      <c r="A4053" s="279">
        <v>39111</v>
      </c>
      <c r="B4053" t="s">
        <v>338</v>
      </c>
      <c r="C4053" t="s">
        <v>60</v>
      </c>
      <c r="D4053">
        <v>4801</v>
      </c>
      <c r="E4053" t="s">
        <v>379</v>
      </c>
    </row>
    <row r="4054" spans="1:5" x14ac:dyDescent="0.25">
      <c r="A4054" s="279">
        <v>39111</v>
      </c>
      <c r="B4054" t="s">
        <v>338</v>
      </c>
      <c r="C4054" t="s">
        <v>61</v>
      </c>
      <c r="D4054">
        <v>0</v>
      </c>
      <c r="E4054" t="s">
        <v>378</v>
      </c>
    </row>
    <row r="4055" spans="1:5" x14ac:dyDescent="0.25">
      <c r="A4055" s="279">
        <v>39111</v>
      </c>
      <c r="B4055" t="s">
        <v>338</v>
      </c>
      <c r="C4055" t="s">
        <v>62</v>
      </c>
      <c r="D4055">
        <v>39878</v>
      </c>
      <c r="E4055" t="s">
        <v>380</v>
      </c>
    </row>
    <row r="4056" spans="1:5" x14ac:dyDescent="0.25">
      <c r="A4056" s="279">
        <v>39111</v>
      </c>
      <c r="B4056" t="s">
        <v>338</v>
      </c>
      <c r="C4056" t="s">
        <v>63</v>
      </c>
      <c r="D4056">
        <v>0</v>
      </c>
      <c r="E4056" t="s">
        <v>378</v>
      </c>
    </row>
    <row r="4057" spans="1:5" x14ac:dyDescent="0.25">
      <c r="A4057" s="279">
        <v>39111</v>
      </c>
      <c r="B4057" t="s">
        <v>338</v>
      </c>
      <c r="C4057" t="s">
        <v>64</v>
      </c>
      <c r="D4057">
        <v>32177</v>
      </c>
      <c r="E4057" t="s">
        <v>380</v>
      </c>
    </row>
    <row r="4058" spans="1:5" x14ac:dyDescent="0.25">
      <c r="A4058" s="279">
        <v>39111</v>
      </c>
      <c r="B4058" t="s">
        <v>338</v>
      </c>
      <c r="C4058" t="s">
        <v>65</v>
      </c>
      <c r="D4058">
        <v>0</v>
      </c>
      <c r="E4058" t="s">
        <v>378</v>
      </c>
    </row>
    <row r="4059" spans="1:5" x14ac:dyDescent="0.25">
      <c r="A4059" s="279">
        <v>39111</v>
      </c>
      <c r="B4059" t="s">
        <v>338</v>
      </c>
      <c r="C4059" t="s">
        <v>66</v>
      </c>
      <c r="D4059">
        <v>0</v>
      </c>
      <c r="E4059" t="s">
        <v>380</v>
      </c>
    </row>
    <row r="4060" spans="1:5" x14ac:dyDescent="0.25">
      <c r="A4060" s="279">
        <v>39111</v>
      </c>
      <c r="B4060" t="s">
        <v>338</v>
      </c>
      <c r="C4060" t="s">
        <v>120</v>
      </c>
      <c r="D4060">
        <v>0</v>
      </c>
      <c r="E4060" t="s">
        <v>378</v>
      </c>
    </row>
    <row r="4061" spans="1:5" x14ac:dyDescent="0.25">
      <c r="A4061" s="279">
        <v>39111</v>
      </c>
      <c r="B4061" t="s">
        <v>338</v>
      </c>
      <c r="C4061" t="s">
        <v>121</v>
      </c>
      <c r="D4061">
        <v>20026</v>
      </c>
      <c r="E4061" t="s">
        <v>380</v>
      </c>
    </row>
    <row r="4062" spans="1:5" x14ac:dyDescent="0.25">
      <c r="A4062" s="279">
        <v>39111</v>
      </c>
      <c r="B4062" t="s">
        <v>338</v>
      </c>
      <c r="C4062" t="s">
        <v>67</v>
      </c>
      <c r="D4062">
        <v>0</v>
      </c>
      <c r="E4062" t="s">
        <v>378</v>
      </c>
    </row>
    <row r="4063" spans="1:5" x14ac:dyDescent="0.25">
      <c r="A4063" s="279">
        <v>39111</v>
      </c>
      <c r="B4063" t="s">
        <v>338</v>
      </c>
      <c r="C4063" t="s">
        <v>68</v>
      </c>
      <c r="D4063">
        <v>0</v>
      </c>
      <c r="E4063" t="s">
        <v>380</v>
      </c>
    </row>
    <row r="4064" spans="1:5" x14ac:dyDescent="0.25">
      <c r="A4064" s="279">
        <v>39111</v>
      </c>
      <c r="B4064" t="s">
        <v>338</v>
      </c>
      <c r="C4064" t="s">
        <v>69</v>
      </c>
      <c r="D4064">
        <v>34582</v>
      </c>
      <c r="E4064" t="s">
        <v>379</v>
      </c>
    </row>
    <row r="4065" spans="1:5" x14ac:dyDescent="0.25">
      <c r="A4065" s="279">
        <v>39111</v>
      </c>
      <c r="B4065" t="s">
        <v>338</v>
      </c>
      <c r="C4065" t="s">
        <v>70</v>
      </c>
      <c r="D4065">
        <v>0</v>
      </c>
      <c r="E4065" t="s">
        <v>379</v>
      </c>
    </row>
    <row r="4066" spans="1:5" x14ac:dyDescent="0.25">
      <c r="A4066" s="279">
        <v>39111</v>
      </c>
      <c r="B4066" t="s">
        <v>338</v>
      </c>
      <c r="C4066" t="s">
        <v>80</v>
      </c>
      <c r="D4066">
        <v>0</v>
      </c>
      <c r="E4066" t="s">
        <v>379</v>
      </c>
    </row>
    <row r="4067" spans="1:5" x14ac:dyDescent="0.25">
      <c r="A4067" s="279">
        <v>39111</v>
      </c>
      <c r="B4067" t="s">
        <v>339</v>
      </c>
      <c r="C4067" t="s">
        <v>71</v>
      </c>
      <c r="D4067">
        <v>0</v>
      </c>
      <c r="E4067" t="s">
        <v>378</v>
      </c>
    </row>
    <row r="4068" spans="1:5" x14ac:dyDescent="0.25">
      <c r="A4068" s="279">
        <v>39111</v>
      </c>
      <c r="B4068" t="s">
        <v>339</v>
      </c>
      <c r="C4068" t="s">
        <v>72</v>
      </c>
      <c r="D4068">
        <v>4826</v>
      </c>
      <c r="E4068" t="s">
        <v>380</v>
      </c>
    </row>
    <row r="4069" spans="1:5" x14ac:dyDescent="0.25">
      <c r="A4069" s="279">
        <v>39111</v>
      </c>
      <c r="B4069" t="s">
        <v>339</v>
      </c>
      <c r="C4069" t="s">
        <v>73</v>
      </c>
      <c r="D4069">
        <v>0</v>
      </c>
      <c r="E4069" t="s">
        <v>378</v>
      </c>
    </row>
    <row r="4070" spans="1:5" x14ac:dyDescent="0.25">
      <c r="A4070" s="279">
        <v>39111</v>
      </c>
      <c r="B4070" t="s">
        <v>339</v>
      </c>
      <c r="C4070" t="s">
        <v>74</v>
      </c>
      <c r="D4070">
        <v>55017</v>
      </c>
      <c r="E4070" t="s">
        <v>380</v>
      </c>
    </row>
    <row r="4071" spans="1:5" x14ac:dyDescent="0.25">
      <c r="A4071" s="279">
        <v>39111</v>
      </c>
      <c r="B4071" t="s">
        <v>339</v>
      </c>
      <c r="C4071" t="s">
        <v>75</v>
      </c>
      <c r="D4071">
        <v>15035</v>
      </c>
      <c r="E4071" t="s">
        <v>378</v>
      </c>
    </row>
    <row r="4072" spans="1:5" x14ac:dyDescent="0.25">
      <c r="A4072" s="279">
        <v>39111</v>
      </c>
      <c r="B4072" t="s">
        <v>339</v>
      </c>
      <c r="C4072" t="s">
        <v>76</v>
      </c>
      <c r="D4072">
        <v>33799</v>
      </c>
      <c r="E4072" t="s">
        <v>380</v>
      </c>
    </row>
    <row r="4073" spans="1:5" x14ac:dyDescent="0.25">
      <c r="A4073" s="279">
        <v>39111</v>
      </c>
      <c r="B4073" t="s">
        <v>339</v>
      </c>
      <c r="C4073" t="s">
        <v>77</v>
      </c>
      <c r="D4073">
        <v>7282</v>
      </c>
      <c r="E4073" t="s">
        <v>378</v>
      </c>
    </row>
    <row r="4074" spans="1:5" x14ac:dyDescent="0.25">
      <c r="A4074" s="279">
        <v>39111</v>
      </c>
      <c r="B4074" t="s">
        <v>339</v>
      </c>
      <c r="C4074" t="s">
        <v>78</v>
      </c>
      <c r="D4074">
        <v>22678</v>
      </c>
      <c r="E4074" t="s">
        <v>380</v>
      </c>
    </row>
    <row r="4075" spans="1:5" x14ac:dyDescent="0.25">
      <c r="A4075" s="279">
        <v>39111</v>
      </c>
      <c r="B4075" t="s">
        <v>339</v>
      </c>
      <c r="C4075" t="s">
        <v>79</v>
      </c>
      <c r="D4075">
        <v>107217</v>
      </c>
      <c r="E4075" t="s">
        <v>379</v>
      </c>
    </row>
    <row r="4076" spans="1:5" x14ac:dyDescent="0.25">
      <c r="A4076" s="279">
        <v>39111</v>
      </c>
      <c r="B4076" t="s">
        <v>339</v>
      </c>
      <c r="C4076" t="s">
        <v>70</v>
      </c>
      <c r="D4076">
        <v>0</v>
      </c>
      <c r="E4076" t="s">
        <v>379</v>
      </c>
    </row>
    <row r="4077" spans="1:5" x14ac:dyDescent="0.25">
      <c r="A4077" s="279">
        <v>39111</v>
      </c>
      <c r="B4077" t="s">
        <v>339</v>
      </c>
      <c r="C4077" t="s">
        <v>63</v>
      </c>
      <c r="D4077">
        <v>0</v>
      </c>
      <c r="E4077" t="s">
        <v>378</v>
      </c>
    </row>
    <row r="4078" spans="1:5" x14ac:dyDescent="0.25">
      <c r="A4078" s="279">
        <v>39111</v>
      </c>
      <c r="B4078" t="s">
        <v>339</v>
      </c>
      <c r="C4078" t="s">
        <v>80</v>
      </c>
      <c r="D4078">
        <v>133</v>
      </c>
      <c r="E4078" t="s">
        <v>379</v>
      </c>
    </row>
    <row r="4079" spans="1:5" x14ac:dyDescent="0.25">
      <c r="A4079" s="279">
        <v>39112</v>
      </c>
      <c r="B4079" t="s">
        <v>338</v>
      </c>
      <c r="C4079" t="s">
        <v>59</v>
      </c>
      <c r="D4079">
        <v>0</v>
      </c>
      <c r="E4079" t="s">
        <v>378</v>
      </c>
    </row>
    <row r="4080" spans="1:5" x14ac:dyDescent="0.25">
      <c r="A4080" s="279">
        <v>39112</v>
      </c>
      <c r="B4080" t="s">
        <v>338</v>
      </c>
      <c r="C4080" t="s">
        <v>60</v>
      </c>
      <c r="D4080">
        <v>4801</v>
      </c>
      <c r="E4080" t="s">
        <v>379</v>
      </c>
    </row>
    <row r="4081" spans="1:5" x14ac:dyDescent="0.25">
      <c r="A4081" s="279">
        <v>39112</v>
      </c>
      <c r="B4081" t="s">
        <v>338</v>
      </c>
      <c r="C4081" t="s">
        <v>61</v>
      </c>
      <c r="D4081">
        <v>0</v>
      </c>
      <c r="E4081" t="s">
        <v>378</v>
      </c>
    </row>
    <row r="4082" spans="1:5" x14ac:dyDescent="0.25">
      <c r="A4082" s="279">
        <v>39112</v>
      </c>
      <c r="B4082" t="s">
        <v>338</v>
      </c>
      <c r="C4082" t="s">
        <v>62</v>
      </c>
      <c r="D4082">
        <v>35420</v>
      </c>
      <c r="E4082" t="s">
        <v>380</v>
      </c>
    </row>
    <row r="4083" spans="1:5" x14ac:dyDescent="0.25">
      <c r="A4083" s="279">
        <v>39112</v>
      </c>
      <c r="B4083" t="s">
        <v>338</v>
      </c>
      <c r="C4083" t="s">
        <v>63</v>
      </c>
      <c r="D4083">
        <v>0</v>
      </c>
      <c r="E4083" t="s">
        <v>378</v>
      </c>
    </row>
    <row r="4084" spans="1:5" x14ac:dyDescent="0.25">
      <c r="A4084" s="279">
        <v>39112</v>
      </c>
      <c r="B4084" t="s">
        <v>338</v>
      </c>
      <c r="C4084" t="s">
        <v>64</v>
      </c>
      <c r="D4084">
        <v>32177</v>
      </c>
      <c r="E4084" t="s">
        <v>380</v>
      </c>
    </row>
    <row r="4085" spans="1:5" x14ac:dyDescent="0.25">
      <c r="A4085" s="279">
        <v>39112</v>
      </c>
      <c r="B4085" t="s">
        <v>338</v>
      </c>
      <c r="C4085" t="s">
        <v>65</v>
      </c>
      <c r="D4085">
        <v>0</v>
      </c>
      <c r="E4085" t="s">
        <v>378</v>
      </c>
    </row>
    <row r="4086" spans="1:5" x14ac:dyDescent="0.25">
      <c r="A4086" s="279">
        <v>39112</v>
      </c>
      <c r="B4086" t="s">
        <v>338</v>
      </c>
      <c r="C4086" t="s">
        <v>66</v>
      </c>
      <c r="D4086">
        <v>0</v>
      </c>
      <c r="E4086" t="s">
        <v>380</v>
      </c>
    </row>
    <row r="4087" spans="1:5" x14ac:dyDescent="0.25">
      <c r="A4087" s="279">
        <v>39112</v>
      </c>
      <c r="B4087" t="s">
        <v>338</v>
      </c>
      <c r="C4087" t="s">
        <v>120</v>
      </c>
      <c r="D4087">
        <v>0</v>
      </c>
      <c r="E4087" t="s">
        <v>378</v>
      </c>
    </row>
    <row r="4088" spans="1:5" x14ac:dyDescent="0.25">
      <c r="A4088" s="279">
        <v>39112</v>
      </c>
      <c r="B4088" t="s">
        <v>338</v>
      </c>
      <c r="C4088" t="s">
        <v>121</v>
      </c>
      <c r="D4088">
        <v>20026</v>
      </c>
      <c r="E4088" t="s">
        <v>380</v>
      </c>
    </row>
    <row r="4089" spans="1:5" x14ac:dyDescent="0.25">
      <c r="A4089" s="279">
        <v>39112</v>
      </c>
      <c r="B4089" t="s">
        <v>338</v>
      </c>
      <c r="C4089" t="s">
        <v>67</v>
      </c>
      <c r="D4089">
        <v>0</v>
      </c>
      <c r="E4089" t="s">
        <v>378</v>
      </c>
    </row>
    <row r="4090" spans="1:5" x14ac:dyDescent="0.25">
      <c r="A4090" s="279">
        <v>39112</v>
      </c>
      <c r="B4090" t="s">
        <v>338</v>
      </c>
      <c r="C4090" t="s">
        <v>68</v>
      </c>
      <c r="D4090">
        <v>0</v>
      </c>
      <c r="E4090" t="s">
        <v>380</v>
      </c>
    </row>
    <row r="4091" spans="1:5" x14ac:dyDescent="0.25">
      <c r="A4091" s="279">
        <v>39112</v>
      </c>
      <c r="B4091" t="s">
        <v>338</v>
      </c>
      <c r="C4091" t="s">
        <v>69</v>
      </c>
      <c r="D4091">
        <v>34582</v>
      </c>
      <c r="E4091" t="s">
        <v>379</v>
      </c>
    </row>
    <row r="4092" spans="1:5" x14ac:dyDescent="0.25">
      <c r="A4092" s="279">
        <v>39112</v>
      </c>
      <c r="B4092" t="s">
        <v>338</v>
      </c>
      <c r="C4092" t="s">
        <v>70</v>
      </c>
      <c r="D4092">
        <v>0</v>
      </c>
      <c r="E4092" t="s">
        <v>379</v>
      </c>
    </row>
    <row r="4093" spans="1:5" x14ac:dyDescent="0.25">
      <c r="A4093" s="279">
        <v>39112</v>
      </c>
      <c r="B4093" t="s">
        <v>338</v>
      </c>
      <c r="C4093" t="s">
        <v>80</v>
      </c>
      <c r="D4093">
        <v>0</v>
      </c>
      <c r="E4093" t="s">
        <v>379</v>
      </c>
    </row>
    <row r="4094" spans="1:5" x14ac:dyDescent="0.25">
      <c r="A4094" s="279">
        <v>39112</v>
      </c>
      <c r="B4094" t="s">
        <v>339</v>
      </c>
      <c r="C4094" t="s">
        <v>71</v>
      </c>
      <c r="D4094">
        <v>0</v>
      </c>
      <c r="E4094" t="s">
        <v>378</v>
      </c>
    </row>
    <row r="4095" spans="1:5" x14ac:dyDescent="0.25">
      <c r="A4095" s="279">
        <v>39112</v>
      </c>
      <c r="B4095" t="s">
        <v>339</v>
      </c>
      <c r="C4095" t="s">
        <v>72</v>
      </c>
      <c r="D4095">
        <v>4826</v>
      </c>
      <c r="E4095" t="s">
        <v>380</v>
      </c>
    </row>
    <row r="4096" spans="1:5" x14ac:dyDescent="0.25">
      <c r="A4096" s="279">
        <v>39112</v>
      </c>
      <c r="B4096" t="s">
        <v>339</v>
      </c>
      <c r="C4096" t="s">
        <v>73</v>
      </c>
      <c r="D4096">
        <v>0</v>
      </c>
      <c r="E4096" t="s">
        <v>378</v>
      </c>
    </row>
    <row r="4097" spans="1:5" x14ac:dyDescent="0.25">
      <c r="A4097" s="279">
        <v>39112</v>
      </c>
      <c r="B4097" t="s">
        <v>339</v>
      </c>
      <c r="C4097" t="s">
        <v>74</v>
      </c>
      <c r="D4097">
        <v>48263</v>
      </c>
      <c r="E4097" t="s">
        <v>380</v>
      </c>
    </row>
    <row r="4098" spans="1:5" x14ac:dyDescent="0.25">
      <c r="A4098" s="279">
        <v>39112</v>
      </c>
      <c r="B4098" t="s">
        <v>339</v>
      </c>
      <c r="C4098" t="s">
        <v>75</v>
      </c>
      <c r="D4098">
        <v>15035</v>
      </c>
      <c r="E4098" t="s">
        <v>378</v>
      </c>
    </row>
    <row r="4099" spans="1:5" x14ac:dyDescent="0.25">
      <c r="A4099" s="279">
        <v>39112</v>
      </c>
      <c r="B4099" t="s">
        <v>339</v>
      </c>
      <c r="C4099" t="s">
        <v>76</v>
      </c>
      <c r="D4099">
        <v>28991</v>
      </c>
      <c r="E4099" t="s">
        <v>380</v>
      </c>
    </row>
    <row r="4100" spans="1:5" x14ac:dyDescent="0.25">
      <c r="A4100" s="279">
        <v>39112</v>
      </c>
      <c r="B4100" t="s">
        <v>339</v>
      </c>
      <c r="C4100" t="s">
        <v>77</v>
      </c>
      <c r="D4100">
        <v>7282</v>
      </c>
      <c r="E4100" t="s">
        <v>378</v>
      </c>
    </row>
    <row r="4101" spans="1:5" x14ac:dyDescent="0.25">
      <c r="A4101" s="279">
        <v>39112</v>
      </c>
      <c r="B4101" t="s">
        <v>339</v>
      </c>
      <c r="C4101" t="s">
        <v>78</v>
      </c>
      <c r="D4101">
        <v>7015</v>
      </c>
      <c r="E4101" t="s">
        <v>380</v>
      </c>
    </row>
    <row r="4102" spans="1:5" x14ac:dyDescent="0.25">
      <c r="A4102" s="279">
        <v>39112</v>
      </c>
      <c r="B4102" t="s">
        <v>339</v>
      </c>
      <c r="C4102" t="s">
        <v>79</v>
      </c>
      <c r="D4102">
        <v>106950</v>
      </c>
      <c r="E4102" t="s">
        <v>379</v>
      </c>
    </row>
    <row r="4103" spans="1:5" x14ac:dyDescent="0.25">
      <c r="A4103" s="279">
        <v>39112</v>
      </c>
      <c r="B4103" t="s">
        <v>339</v>
      </c>
      <c r="C4103" t="s">
        <v>70</v>
      </c>
      <c r="D4103">
        <v>0</v>
      </c>
      <c r="E4103" t="s">
        <v>379</v>
      </c>
    </row>
    <row r="4104" spans="1:5" x14ac:dyDescent="0.25">
      <c r="A4104" s="279">
        <v>39112</v>
      </c>
      <c r="B4104" t="s">
        <v>339</v>
      </c>
      <c r="C4104" t="s">
        <v>63</v>
      </c>
      <c r="D4104">
        <v>0</v>
      </c>
      <c r="E4104" t="s">
        <v>378</v>
      </c>
    </row>
    <row r="4105" spans="1:5" x14ac:dyDescent="0.25">
      <c r="A4105" s="279">
        <v>39112</v>
      </c>
      <c r="B4105" t="s">
        <v>339</v>
      </c>
      <c r="C4105" t="s">
        <v>80</v>
      </c>
      <c r="D4105">
        <v>133</v>
      </c>
      <c r="E4105" t="s">
        <v>379</v>
      </c>
    </row>
    <row r="4106" spans="1:5" x14ac:dyDescent="0.25">
      <c r="A4106" s="279">
        <v>39113</v>
      </c>
      <c r="B4106" t="s">
        <v>338</v>
      </c>
      <c r="C4106" t="s">
        <v>59</v>
      </c>
      <c r="D4106">
        <v>0</v>
      </c>
      <c r="E4106" t="s">
        <v>378</v>
      </c>
    </row>
    <row r="4107" spans="1:5" x14ac:dyDescent="0.25">
      <c r="A4107" s="279">
        <v>39113</v>
      </c>
      <c r="B4107" t="s">
        <v>338</v>
      </c>
      <c r="C4107" t="s">
        <v>60</v>
      </c>
      <c r="D4107">
        <v>4806</v>
      </c>
      <c r="E4107" t="s">
        <v>379</v>
      </c>
    </row>
    <row r="4108" spans="1:5" x14ac:dyDescent="0.25">
      <c r="A4108" s="279">
        <v>39113</v>
      </c>
      <c r="B4108" t="s">
        <v>338</v>
      </c>
      <c r="C4108" t="s">
        <v>61</v>
      </c>
      <c r="D4108">
        <v>0</v>
      </c>
      <c r="E4108" t="s">
        <v>378</v>
      </c>
    </row>
    <row r="4109" spans="1:5" x14ac:dyDescent="0.25">
      <c r="A4109" s="279">
        <v>39113</v>
      </c>
      <c r="B4109" t="s">
        <v>338</v>
      </c>
      <c r="C4109" t="s">
        <v>62</v>
      </c>
      <c r="D4109">
        <v>35500</v>
      </c>
      <c r="E4109" t="s">
        <v>380</v>
      </c>
    </row>
    <row r="4110" spans="1:5" x14ac:dyDescent="0.25">
      <c r="A4110" s="279">
        <v>39113</v>
      </c>
      <c r="B4110" t="s">
        <v>338</v>
      </c>
      <c r="C4110" t="s">
        <v>63</v>
      </c>
      <c r="D4110">
        <v>0</v>
      </c>
      <c r="E4110" t="s">
        <v>378</v>
      </c>
    </row>
    <row r="4111" spans="1:5" x14ac:dyDescent="0.25">
      <c r="A4111" s="279">
        <v>39113</v>
      </c>
      <c r="B4111" t="s">
        <v>338</v>
      </c>
      <c r="C4111" t="s">
        <v>64</v>
      </c>
      <c r="D4111">
        <v>32208</v>
      </c>
      <c r="E4111" t="s">
        <v>380</v>
      </c>
    </row>
    <row r="4112" spans="1:5" x14ac:dyDescent="0.25">
      <c r="A4112" s="279">
        <v>39113</v>
      </c>
      <c r="B4112" t="s">
        <v>338</v>
      </c>
      <c r="C4112" t="s">
        <v>65</v>
      </c>
      <c r="D4112">
        <v>0</v>
      </c>
      <c r="E4112" t="s">
        <v>378</v>
      </c>
    </row>
    <row r="4113" spans="1:5" x14ac:dyDescent="0.25">
      <c r="A4113" s="279">
        <v>39113</v>
      </c>
      <c r="B4113" t="s">
        <v>338</v>
      </c>
      <c r="C4113" t="s">
        <v>66</v>
      </c>
      <c r="D4113">
        <v>0</v>
      </c>
      <c r="E4113" t="s">
        <v>380</v>
      </c>
    </row>
    <row r="4114" spans="1:5" x14ac:dyDescent="0.25">
      <c r="A4114" s="279">
        <v>39113</v>
      </c>
      <c r="B4114" t="s">
        <v>338</v>
      </c>
      <c r="C4114" t="s">
        <v>120</v>
      </c>
      <c r="D4114">
        <v>0</v>
      </c>
      <c r="E4114" t="s">
        <v>378</v>
      </c>
    </row>
    <row r="4115" spans="1:5" x14ac:dyDescent="0.25">
      <c r="A4115" s="279">
        <v>39113</v>
      </c>
      <c r="B4115" t="s">
        <v>338</v>
      </c>
      <c r="C4115" t="s">
        <v>121</v>
      </c>
      <c r="D4115">
        <v>20045</v>
      </c>
      <c r="E4115" t="s">
        <v>380</v>
      </c>
    </row>
    <row r="4116" spans="1:5" x14ac:dyDescent="0.25">
      <c r="A4116" s="279">
        <v>39113</v>
      </c>
      <c r="B4116" t="s">
        <v>338</v>
      </c>
      <c r="C4116" t="s">
        <v>67</v>
      </c>
      <c r="D4116">
        <v>0</v>
      </c>
      <c r="E4116" t="s">
        <v>378</v>
      </c>
    </row>
    <row r="4117" spans="1:5" x14ac:dyDescent="0.25">
      <c r="A4117" s="279">
        <v>39113</v>
      </c>
      <c r="B4117" t="s">
        <v>338</v>
      </c>
      <c r="C4117" t="s">
        <v>68</v>
      </c>
      <c r="D4117">
        <v>0</v>
      </c>
      <c r="E4117" t="s">
        <v>380</v>
      </c>
    </row>
    <row r="4118" spans="1:5" x14ac:dyDescent="0.25">
      <c r="A4118" s="279">
        <v>39113</v>
      </c>
      <c r="B4118" t="s">
        <v>338</v>
      </c>
      <c r="C4118" t="s">
        <v>69</v>
      </c>
      <c r="D4118">
        <v>34615</v>
      </c>
      <c r="E4118" t="s">
        <v>379</v>
      </c>
    </row>
    <row r="4119" spans="1:5" x14ac:dyDescent="0.25">
      <c r="A4119" s="279">
        <v>39113</v>
      </c>
      <c r="B4119" t="s">
        <v>338</v>
      </c>
      <c r="C4119" t="s">
        <v>70</v>
      </c>
      <c r="D4119">
        <v>0</v>
      </c>
      <c r="E4119" t="s">
        <v>379</v>
      </c>
    </row>
    <row r="4120" spans="1:5" x14ac:dyDescent="0.25">
      <c r="A4120" s="279">
        <v>39113</v>
      </c>
      <c r="B4120" t="s">
        <v>338</v>
      </c>
      <c r="C4120" t="s">
        <v>80</v>
      </c>
      <c r="D4120">
        <v>0</v>
      </c>
      <c r="E4120" t="s">
        <v>379</v>
      </c>
    </row>
    <row r="4121" spans="1:5" x14ac:dyDescent="0.25">
      <c r="A4121" s="279">
        <v>39113</v>
      </c>
      <c r="B4121" t="s">
        <v>339</v>
      </c>
      <c r="C4121" t="s">
        <v>71</v>
      </c>
      <c r="D4121">
        <v>0</v>
      </c>
      <c r="E4121" t="s">
        <v>378</v>
      </c>
    </row>
    <row r="4122" spans="1:5" x14ac:dyDescent="0.25">
      <c r="A4122" s="279">
        <v>39113</v>
      </c>
      <c r="B4122" t="s">
        <v>339</v>
      </c>
      <c r="C4122" t="s">
        <v>72</v>
      </c>
      <c r="D4122">
        <v>4817</v>
      </c>
      <c r="E4122" t="s">
        <v>380</v>
      </c>
    </row>
    <row r="4123" spans="1:5" x14ac:dyDescent="0.25">
      <c r="A4123" s="279">
        <v>39113</v>
      </c>
      <c r="B4123" t="s">
        <v>339</v>
      </c>
      <c r="C4123" t="s">
        <v>73</v>
      </c>
      <c r="D4123">
        <v>0</v>
      </c>
      <c r="E4123" t="s">
        <v>378</v>
      </c>
    </row>
    <row r="4124" spans="1:5" x14ac:dyDescent="0.25">
      <c r="A4124" s="279">
        <v>39113</v>
      </c>
      <c r="B4124" t="s">
        <v>339</v>
      </c>
      <c r="C4124" t="s">
        <v>74</v>
      </c>
      <c r="D4124">
        <v>48592</v>
      </c>
      <c r="E4124" t="s">
        <v>380</v>
      </c>
    </row>
    <row r="4125" spans="1:5" x14ac:dyDescent="0.25">
      <c r="A4125" s="279">
        <v>39113</v>
      </c>
      <c r="B4125" t="s">
        <v>339</v>
      </c>
      <c r="C4125" t="s">
        <v>75</v>
      </c>
      <c r="D4125">
        <v>15006</v>
      </c>
      <c r="E4125" t="s">
        <v>378</v>
      </c>
    </row>
    <row r="4126" spans="1:5" x14ac:dyDescent="0.25">
      <c r="A4126" s="279">
        <v>39113</v>
      </c>
      <c r="B4126" t="s">
        <v>339</v>
      </c>
      <c r="C4126" t="s">
        <v>76</v>
      </c>
      <c r="D4126">
        <v>33734</v>
      </c>
      <c r="E4126" t="s">
        <v>380</v>
      </c>
    </row>
    <row r="4127" spans="1:5" x14ac:dyDescent="0.25">
      <c r="A4127" s="279">
        <v>39113</v>
      </c>
      <c r="B4127" t="s">
        <v>339</v>
      </c>
      <c r="C4127" t="s">
        <v>77</v>
      </c>
      <c r="D4127">
        <v>7268</v>
      </c>
      <c r="E4127" t="s">
        <v>378</v>
      </c>
    </row>
    <row r="4128" spans="1:5" x14ac:dyDescent="0.25">
      <c r="A4128" s="279">
        <v>39113</v>
      </c>
      <c r="B4128" t="s">
        <v>339</v>
      </c>
      <c r="C4128" t="s">
        <v>78</v>
      </c>
      <c r="D4128">
        <v>22634</v>
      </c>
      <c r="E4128" t="s">
        <v>380</v>
      </c>
    </row>
    <row r="4129" spans="1:5" x14ac:dyDescent="0.25">
      <c r="A4129" s="279">
        <v>39113</v>
      </c>
      <c r="B4129" t="s">
        <v>339</v>
      </c>
      <c r="C4129" t="s">
        <v>79</v>
      </c>
      <c r="D4129">
        <v>106638</v>
      </c>
      <c r="E4129" t="s">
        <v>379</v>
      </c>
    </row>
    <row r="4130" spans="1:5" x14ac:dyDescent="0.25">
      <c r="A4130" s="279">
        <v>39113</v>
      </c>
      <c r="B4130" t="s">
        <v>339</v>
      </c>
      <c r="C4130" t="s">
        <v>70</v>
      </c>
      <c r="D4130">
        <v>0</v>
      </c>
      <c r="E4130" t="s">
        <v>379</v>
      </c>
    </row>
    <row r="4131" spans="1:5" x14ac:dyDescent="0.25">
      <c r="A4131" s="279">
        <v>39113</v>
      </c>
      <c r="B4131" t="s">
        <v>339</v>
      </c>
      <c r="C4131" t="s">
        <v>63</v>
      </c>
      <c r="D4131">
        <v>0</v>
      </c>
      <c r="E4131" t="s">
        <v>378</v>
      </c>
    </row>
    <row r="4132" spans="1:5" x14ac:dyDescent="0.25">
      <c r="A4132" s="279">
        <v>39113</v>
      </c>
      <c r="B4132" t="s">
        <v>339</v>
      </c>
      <c r="C4132" t="s">
        <v>80</v>
      </c>
      <c r="D4132">
        <v>133</v>
      </c>
      <c r="E4132" t="s">
        <v>379</v>
      </c>
    </row>
    <row r="4133" spans="1:5" x14ac:dyDescent="0.25">
      <c r="A4133" s="279">
        <v>39114</v>
      </c>
      <c r="B4133" t="s">
        <v>338</v>
      </c>
      <c r="C4133" t="s">
        <v>59</v>
      </c>
      <c r="D4133">
        <v>0</v>
      </c>
      <c r="E4133" t="s">
        <v>378</v>
      </c>
    </row>
    <row r="4134" spans="1:5" x14ac:dyDescent="0.25">
      <c r="A4134" s="279">
        <v>39114</v>
      </c>
      <c r="B4134" t="s">
        <v>338</v>
      </c>
      <c r="C4134" t="s">
        <v>60</v>
      </c>
      <c r="D4134">
        <v>4797</v>
      </c>
      <c r="E4134" t="s">
        <v>379</v>
      </c>
    </row>
    <row r="4135" spans="1:5" x14ac:dyDescent="0.25">
      <c r="A4135" s="279">
        <v>39114</v>
      </c>
      <c r="B4135" t="s">
        <v>338</v>
      </c>
      <c r="C4135" t="s">
        <v>61</v>
      </c>
      <c r="D4135">
        <v>0</v>
      </c>
      <c r="E4135" t="s">
        <v>378</v>
      </c>
    </row>
    <row r="4136" spans="1:5" x14ac:dyDescent="0.25">
      <c r="A4136" s="279">
        <v>39114</v>
      </c>
      <c r="B4136" t="s">
        <v>338</v>
      </c>
      <c r="C4136" t="s">
        <v>62</v>
      </c>
      <c r="D4136">
        <v>16231</v>
      </c>
      <c r="E4136" t="s">
        <v>380</v>
      </c>
    </row>
    <row r="4137" spans="1:5" x14ac:dyDescent="0.25">
      <c r="A4137" s="279">
        <v>39114</v>
      </c>
      <c r="B4137" t="s">
        <v>338</v>
      </c>
      <c r="C4137" t="s">
        <v>63</v>
      </c>
      <c r="D4137">
        <v>0</v>
      </c>
      <c r="E4137" t="s">
        <v>378</v>
      </c>
    </row>
    <row r="4138" spans="1:5" x14ac:dyDescent="0.25">
      <c r="A4138" s="279">
        <v>39114</v>
      </c>
      <c r="B4138" t="s">
        <v>338</v>
      </c>
      <c r="C4138" t="s">
        <v>64</v>
      </c>
      <c r="D4138">
        <v>28143</v>
      </c>
      <c r="E4138" t="s">
        <v>380</v>
      </c>
    </row>
    <row r="4139" spans="1:5" x14ac:dyDescent="0.25">
      <c r="A4139" s="279">
        <v>39114</v>
      </c>
      <c r="B4139" t="s">
        <v>338</v>
      </c>
      <c r="C4139" t="s">
        <v>65</v>
      </c>
      <c r="D4139">
        <v>0</v>
      </c>
      <c r="E4139" t="s">
        <v>378</v>
      </c>
    </row>
    <row r="4140" spans="1:5" x14ac:dyDescent="0.25">
      <c r="A4140" s="279">
        <v>39114</v>
      </c>
      <c r="B4140" t="s">
        <v>338</v>
      </c>
      <c r="C4140" t="s">
        <v>66</v>
      </c>
      <c r="D4140">
        <v>0</v>
      </c>
      <c r="E4140" t="s">
        <v>380</v>
      </c>
    </row>
    <row r="4141" spans="1:5" x14ac:dyDescent="0.25">
      <c r="A4141" s="279">
        <v>39114</v>
      </c>
      <c r="B4141" t="s">
        <v>338</v>
      </c>
      <c r="C4141" t="s">
        <v>120</v>
      </c>
      <c r="D4141">
        <v>0</v>
      </c>
      <c r="E4141" t="s">
        <v>378</v>
      </c>
    </row>
    <row r="4142" spans="1:5" x14ac:dyDescent="0.25">
      <c r="A4142" s="279">
        <v>39114</v>
      </c>
      <c r="B4142" t="s">
        <v>338</v>
      </c>
      <c r="C4142" t="s">
        <v>121</v>
      </c>
      <c r="D4142">
        <v>20007</v>
      </c>
      <c r="E4142" t="s">
        <v>380</v>
      </c>
    </row>
    <row r="4143" spans="1:5" x14ac:dyDescent="0.25">
      <c r="A4143" s="279">
        <v>39114</v>
      </c>
      <c r="B4143" t="s">
        <v>338</v>
      </c>
      <c r="C4143" t="s">
        <v>67</v>
      </c>
      <c r="D4143">
        <v>0</v>
      </c>
      <c r="E4143" t="s">
        <v>378</v>
      </c>
    </row>
    <row r="4144" spans="1:5" x14ac:dyDescent="0.25">
      <c r="A4144" s="279">
        <v>39114</v>
      </c>
      <c r="B4144" t="s">
        <v>338</v>
      </c>
      <c r="C4144" t="s">
        <v>68</v>
      </c>
      <c r="D4144">
        <v>0</v>
      </c>
      <c r="E4144" t="s">
        <v>380</v>
      </c>
    </row>
    <row r="4145" spans="1:5" x14ac:dyDescent="0.25">
      <c r="A4145" s="279">
        <v>39114</v>
      </c>
      <c r="B4145" t="s">
        <v>338</v>
      </c>
      <c r="C4145" t="s">
        <v>69</v>
      </c>
      <c r="D4145">
        <v>34549</v>
      </c>
      <c r="E4145" t="s">
        <v>379</v>
      </c>
    </row>
    <row r="4146" spans="1:5" x14ac:dyDescent="0.25">
      <c r="A4146" s="279">
        <v>39114</v>
      </c>
      <c r="B4146" t="s">
        <v>338</v>
      </c>
      <c r="C4146" t="s">
        <v>70</v>
      </c>
      <c r="D4146">
        <v>0</v>
      </c>
      <c r="E4146" t="s">
        <v>379</v>
      </c>
    </row>
    <row r="4147" spans="1:5" x14ac:dyDescent="0.25">
      <c r="A4147" s="279">
        <v>39114</v>
      </c>
      <c r="B4147" t="s">
        <v>338</v>
      </c>
      <c r="C4147" t="s">
        <v>80</v>
      </c>
      <c r="D4147">
        <v>0</v>
      </c>
      <c r="E4147" t="s">
        <v>379</v>
      </c>
    </row>
    <row r="4148" spans="1:5" x14ac:dyDescent="0.25">
      <c r="A4148" s="279">
        <v>39114</v>
      </c>
      <c r="B4148" t="s">
        <v>339</v>
      </c>
      <c r="C4148" t="s">
        <v>71</v>
      </c>
      <c r="D4148">
        <v>0</v>
      </c>
      <c r="E4148" t="s">
        <v>378</v>
      </c>
    </row>
    <row r="4149" spans="1:5" x14ac:dyDescent="0.25">
      <c r="A4149" s="279">
        <v>39114</v>
      </c>
      <c r="B4149" t="s">
        <v>339</v>
      </c>
      <c r="C4149" t="s">
        <v>72</v>
      </c>
      <c r="D4149">
        <v>4808</v>
      </c>
      <c r="E4149" t="s">
        <v>380</v>
      </c>
    </row>
    <row r="4150" spans="1:5" x14ac:dyDescent="0.25">
      <c r="A4150" s="279">
        <v>39114</v>
      </c>
      <c r="B4150" t="s">
        <v>339</v>
      </c>
      <c r="C4150" t="s">
        <v>73</v>
      </c>
      <c r="D4150">
        <v>0</v>
      </c>
      <c r="E4150" t="s">
        <v>378</v>
      </c>
    </row>
    <row r="4151" spans="1:5" x14ac:dyDescent="0.25">
      <c r="A4151" s="279">
        <v>39114</v>
      </c>
      <c r="B4151" t="s">
        <v>339</v>
      </c>
      <c r="C4151" t="s">
        <v>74</v>
      </c>
      <c r="D4151">
        <v>43269</v>
      </c>
      <c r="E4151" t="s">
        <v>380</v>
      </c>
    </row>
    <row r="4152" spans="1:5" x14ac:dyDescent="0.25">
      <c r="A4152" s="279">
        <v>39114</v>
      </c>
      <c r="B4152" t="s">
        <v>339</v>
      </c>
      <c r="C4152" t="s">
        <v>75</v>
      </c>
      <c r="D4152">
        <v>14978</v>
      </c>
      <c r="E4152" t="s">
        <v>378</v>
      </c>
    </row>
    <row r="4153" spans="1:5" x14ac:dyDescent="0.25">
      <c r="A4153" s="279">
        <v>39114</v>
      </c>
      <c r="B4153" t="s">
        <v>339</v>
      </c>
      <c r="C4153" t="s">
        <v>76</v>
      </c>
      <c r="D4153">
        <v>33302</v>
      </c>
      <c r="E4153" t="s">
        <v>380</v>
      </c>
    </row>
    <row r="4154" spans="1:5" x14ac:dyDescent="0.25">
      <c r="A4154" s="279">
        <v>39114</v>
      </c>
      <c r="B4154" t="s">
        <v>339</v>
      </c>
      <c r="C4154" t="s">
        <v>77</v>
      </c>
      <c r="D4154">
        <v>7254</v>
      </c>
      <c r="E4154" t="s">
        <v>378</v>
      </c>
    </row>
    <row r="4155" spans="1:5" x14ac:dyDescent="0.25">
      <c r="A4155" s="279">
        <v>39114</v>
      </c>
      <c r="B4155" t="s">
        <v>339</v>
      </c>
      <c r="C4155" t="s">
        <v>78</v>
      </c>
      <c r="D4155">
        <v>6988</v>
      </c>
      <c r="E4155" t="s">
        <v>380</v>
      </c>
    </row>
    <row r="4156" spans="1:5" x14ac:dyDescent="0.25">
      <c r="A4156" s="279">
        <v>39114</v>
      </c>
      <c r="B4156" t="s">
        <v>339</v>
      </c>
      <c r="C4156" t="s">
        <v>79</v>
      </c>
      <c r="D4156">
        <v>114459</v>
      </c>
      <c r="E4156" t="s">
        <v>379</v>
      </c>
    </row>
    <row r="4157" spans="1:5" x14ac:dyDescent="0.25">
      <c r="A4157" s="279">
        <v>39114</v>
      </c>
      <c r="B4157" t="s">
        <v>339</v>
      </c>
      <c r="C4157" t="s">
        <v>70</v>
      </c>
      <c r="D4157">
        <v>0</v>
      </c>
      <c r="E4157" t="s">
        <v>379</v>
      </c>
    </row>
    <row r="4158" spans="1:5" x14ac:dyDescent="0.25">
      <c r="A4158" s="279">
        <v>39114</v>
      </c>
      <c r="B4158" t="s">
        <v>339</v>
      </c>
      <c r="C4158" t="s">
        <v>63</v>
      </c>
      <c r="D4158">
        <v>0</v>
      </c>
      <c r="E4158" t="s">
        <v>378</v>
      </c>
    </row>
    <row r="4159" spans="1:5" x14ac:dyDescent="0.25">
      <c r="A4159" s="279">
        <v>39114</v>
      </c>
      <c r="B4159" t="s">
        <v>339</v>
      </c>
      <c r="C4159" t="s">
        <v>80</v>
      </c>
      <c r="D4159">
        <v>133</v>
      </c>
      <c r="E4159" t="s">
        <v>379</v>
      </c>
    </row>
    <row r="4160" spans="1:5" x14ac:dyDescent="0.25">
      <c r="A4160" s="279">
        <v>39115</v>
      </c>
      <c r="B4160" t="s">
        <v>338</v>
      </c>
      <c r="C4160" t="s">
        <v>59</v>
      </c>
      <c r="D4160">
        <v>0</v>
      </c>
      <c r="E4160" t="s">
        <v>378</v>
      </c>
    </row>
    <row r="4161" spans="1:5" x14ac:dyDescent="0.25">
      <c r="A4161" s="279">
        <v>39115</v>
      </c>
      <c r="B4161" t="s">
        <v>338</v>
      </c>
      <c r="C4161" t="s">
        <v>60</v>
      </c>
      <c r="D4161">
        <v>4797</v>
      </c>
      <c r="E4161" t="s">
        <v>379</v>
      </c>
    </row>
    <row r="4162" spans="1:5" x14ac:dyDescent="0.25">
      <c r="A4162" s="279">
        <v>39115</v>
      </c>
      <c r="B4162" t="s">
        <v>338</v>
      </c>
      <c r="C4162" t="s">
        <v>61</v>
      </c>
      <c r="D4162">
        <v>0</v>
      </c>
      <c r="E4162" t="s">
        <v>378</v>
      </c>
    </row>
    <row r="4163" spans="1:5" x14ac:dyDescent="0.25">
      <c r="A4163" s="279">
        <v>39115</v>
      </c>
      <c r="B4163" t="s">
        <v>338</v>
      </c>
      <c r="C4163" t="s">
        <v>62</v>
      </c>
      <c r="D4163">
        <v>0</v>
      </c>
      <c r="E4163" t="s">
        <v>380</v>
      </c>
    </row>
    <row r="4164" spans="1:5" x14ac:dyDescent="0.25">
      <c r="A4164" s="279">
        <v>39115</v>
      </c>
      <c r="B4164" t="s">
        <v>338</v>
      </c>
      <c r="C4164" t="s">
        <v>63</v>
      </c>
      <c r="D4164">
        <v>0</v>
      </c>
      <c r="E4164" t="s">
        <v>378</v>
      </c>
    </row>
    <row r="4165" spans="1:5" x14ac:dyDescent="0.25">
      <c r="A4165" s="279">
        <v>39115</v>
      </c>
      <c r="B4165" t="s">
        <v>338</v>
      </c>
      <c r="C4165" t="s">
        <v>64</v>
      </c>
      <c r="D4165">
        <v>28143</v>
      </c>
      <c r="E4165" t="s">
        <v>380</v>
      </c>
    </row>
    <row r="4166" spans="1:5" x14ac:dyDescent="0.25">
      <c r="A4166" s="279">
        <v>39115</v>
      </c>
      <c r="B4166" t="s">
        <v>338</v>
      </c>
      <c r="C4166" t="s">
        <v>65</v>
      </c>
      <c r="D4166">
        <v>0</v>
      </c>
      <c r="E4166" t="s">
        <v>378</v>
      </c>
    </row>
    <row r="4167" spans="1:5" x14ac:dyDescent="0.25">
      <c r="A4167" s="279">
        <v>39115</v>
      </c>
      <c r="B4167" t="s">
        <v>338</v>
      </c>
      <c r="C4167" t="s">
        <v>66</v>
      </c>
      <c r="D4167">
        <v>0</v>
      </c>
      <c r="E4167" t="s">
        <v>380</v>
      </c>
    </row>
    <row r="4168" spans="1:5" x14ac:dyDescent="0.25">
      <c r="A4168" s="279">
        <v>39115</v>
      </c>
      <c r="B4168" t="s">
        <v>338</v>
      </c>
      <c r="C4168" t="s">
        <v>120</v>
      </c>
      <c r="D4168">
        <v>0</v>
      </c>
      <c r="E4168" t="s">
        <v>378</v>
      </c>
    </row>
    <row r="4169" spans="1:5" x14ac:dyDescent="0.25">
      <c r="A4169" s="279">
        <v>39115</v>
      </c>
      <c r="B4169" t="s">
        <v>338</v>
      </c>
      <c r="C4169" t="s">
        <v>121</v>
      </c>
      <c r="D4169">
        <v>8343</v>
      </c>
      <c r="E4169" t="s">
        <v>380</v>
      </c>
    </row>
    <row r="4170" spans="1:5" x14ac:dyDescent="0.25">
      <c r="A4170" s="279">
        <v>39115</v>
      </c>
      <c r="B4170" t="s">
        <v>338</v>
      </c>
      <c r="C4170" t="s">
        <v>67</v>
      </c>
      <c r="D4170">
        <v>0</v>
      </c>
      <c r="E4170" t="s">
        <v>378</v>
      </c>
    </row>
    <row r="4171" spans="1:5" x14ac:dyDescent="0.25">
      <c r="A4171" s="279">
        <v>39115</v>
      </c>
      <c r="B4171" t="s">
        <v>338</v>
      </c>
      <c r="C4171" t="s">
        <v>68</v>
      </c>
      <c r="D4171">
        <v>0</v>
      </c>
      <c r="E4171" t="s">
        <v>380</v>
      </c>
    </row>
    <row r="4172" spans="1:5" x14ac:dyDescent="0.25">
      <c r="A4172" s="279">
        <v>39115</v>
      </c>
      <c r="B4172" t="s">
        <v>338</v>
      </c>
      <c r="C4172" t="s">
        <v>69</v>
      </c>
      <c r="D4172">
        <v>34549</v>
      </c>
      <c r="E4172" t="s">
        <v>379</v>
      </c>
    </row>
    <row r="4173" spans="1:5" x14ac:dyDescent="0.25">
      <c r="A4173" s="279">
        <v>39115</v>
      </c>
      <c r="B4173" t="s">
        <v>338</v>
      </c>
      <c r="C4173" t="s">
        <v>70</v>
      </c>
      <c r="D4173">
        <v>0</v>
      </c>
      <c r="E4173" t="s">
        <v>379</v>
      </c>
    </row>
    <row r="4174" spans="1:5" x14ac:dyDescent="0.25">
      <c r="A4174" s="279">
        <v>39115</v>
      </c>
      <c r="B4174" t="s">
        <v>338</v>
      </c>
      <c r="C4174" t="s">
        <v>80</v>
      </c>
      <c r="D4174">
        <v>0</v>
      </c>
      <c r="E4174" t="s">
        <v>379</v>
      </c>
    </row>
    <row r="4175" spans="1:5" x14ac:dyDescent="0.25">
      <c r="A4175" s="279">
        <v>39115</v>
      </c>
      <c r="B4175" t="s">
        <v>339</v>
      </c>
      <c r="C4175" t="s">
        <v>71</v>
      </c>
      <c r="D4175">
        <v>0</v>
      </c>
      <c r="E4175" t="s">
        <v>378</v>
      </c>
    </row>
    <row r="4176" spans="1:5" x14ac:dyDescent="0.25">
      <c r="A4176" s="279">
        <v>39115</v>
      </c>
      <c r="B4176" t="s">
        <v>339</v>
      </c>
      <c r="C4176" t="s">
        <v>72</v>
      </c>
      <c r="D4176">
        <v>4822</v>
      </c>
      <c r="E4176" t="s">
        <v>380</v>
      </c>
    </row>
    <row r="4177" spans="1:5" x14ac:dyDescent="0.25">
      <c r="A4177" s="279">
        <v>39115</v>
      </c>
      <c r="B4177" t="s">
        <v>339</v>
      </c>
      <c r="C4177" t="s">
        <v>73</v>
      </c>
      <c r="D4177">
        <v>0</v>
      </c>
      <c r="E4177" t="s">
        <v>378</v>
      </c>
    </row>
    <row r="4178" spans="1:5" x14ac:dyDescent="0.25">
      <c r="A4178" s="279">
        <v>39115</v>
      </c>
      <c r="B4178" t="s">
        <v>339</v>
      </c>
      <c r="C4178" t="s">
        <v>74</v>
      </c>
      <c r="D4178">
        <v>43394</v>
      </c>
      <c r="E4178" t="s">
        <v>380</v>
      </c>
    </row>
    <row r="4179" spans="1:5" x14ac:dyDescent="0.25">
      <c r="A4179" s="279">
        <v>39115</v>
      </c>
      <c r="B4179" t="s">
        <v>339</v>
      </c>
      <c r="C4179" t="s">
        <v>75</v>
      </c>
      <c r="D4179">
        <v>15021</v>
      </c>
      <c r="E4179" t="s">
        <v>378</v>
      </c>
    </row>
    <row r="4180" spans="1:5" x14ac:dyDescent="0.25">
      <c r="A4180" s="279">
        <v>39115</v>
      </c>
      <c r="B4180" t="s">
        <v>339</v>
      </c>
      <c r="C4180" t="s">
        <v>76</v>
      </c>
      <c r="D4180">
        <v>33374</v>
      </c>
      <c r="E4180" t="s">
        <v>380</v>
      </c>
    </row>
    <row r="4181" spans="1:5" x14ac:dyDescent="0.25">
      <c r="A4181" s="279">
        <v>39115</v>
      </c>
      <c r="B4181" t="s">
        <v>339</v>
      </c>
      <c r="C4181" t="s">
        <v>77</v>
      </c>
      <c r="D4181">
        <v>7275</v>
      </c>
      <c r="E4181" t="s">
        <v>378</v>
      </c>
    </row>
    <row r="4182" spans="1:5" x14ac:dyDescent="0.25">
      <c r="A4182" s="279">
        <v>39115</v>
      </c>
      <c r="B4182" t="s">
        <v>339</v>
      </c>
      <c r="C4182" t="s">
        <v>78</v>
      </c>
      <c r="D4182">
        <v>7009</v>
      </c>
      <c r="E4182" t="s">
        <v>380</v>
      </c>
    </row>
    <row r="4183" spans="1:5" x14ac:dyDescent="0.25">
      <c r="A4183" s="279">
        <v>39115</v>
      </c>
      <c r="B4183" t="s">
        <v>339</v>
      </c>
      <c r="C4183" t="s">
        <v>79</v>
      </c>
      <c r="D4183">
        <v>115546</v>
      </c>
      <c r="E4183" t="s">
        <v>379</v>
      </c>
    </row>
    <row r="4184" spans="1:5" x14ac:dyDescent="0.25">
      <c r="A4184" s="279">
        <v>39115</v>
      </c>
      <c r="B4184" t="s">
        <v>339</v>
      </c>
      <c r="C4184" t="s">
        <v>70</v>
      </c>
      <c r="D4184">
        <v>0</v>
      </c>
      <c r="E4184" t="s">
        <v>379</v>
      </c>
    </row>
    <row r="4185" spans="1:5" x14ac:dyDescent="0.25">
      <c r="A4185" s="279">
        <v>39115</v>
      </c>
      <c r="B4185" t="s">
        <v>339</v>
      </c>
      <c r="C4185" t="s">
        <v>63</v>
      </c>
      <c r="D4185">
        <v>0</v>
      </c>
      <c r="E4185" t="s">
        <v>378</v>
      </c>
    </row>
    <row r="4186" spans="1:5" x14ac:dyDescent="0.25">
      <c r="A4186" s="279">
        <v>39115</v>
      </c>
      <c r="B4186" t="s">
        <v>339</v>
      </c>
      <c r="C4186" t="s">
        <v>80</v>
      </c>
      <c r="D4186">
        <v>133</v>
      </c>
      <c r="E4186" t="s">
        <v>379</v>
      </c>
    </row>
    <row r="4187" spans="1:5" x14ac:dyDescent="0.25">
      <c r="A4187" s="279">
        <v>39116</v>
      </c>
      <c r="B4187" t="s">
        <v>338</v>
      </c>
      <c r="C4187" t="s">
        <v>59</v>
      </c>
      <c r="D4187">
        <v>0</v>
      </c>
      <c r="E4187" t="s">
        <v>378</v>
      </c>
    </row>
    <row r="4188" spans="1:5" x14ac:dyDescent="0.25">
      <c r="A4188" s="279">
        <v>39116</v>
      </c>
      <c r="B4188" t="s">
        <v>338</v>
      </c>
      <c r="C4188" t="s">
        <v>60</v>
      </c>
      <c r="D4188">
        <v>4797</v>
      </c>
      <c r="E4188" t="s">
        <v>379</v>
      </c>
    </row>
    <row r="4189" spans="1:5" x14ac:dyDescent="0.25">
      <c r="A4189" s="279">
        <v>39116</v>
      </c>
      <c r="B4189" t="s">
        <v>338</v>
      </c>
      <c r="C4189" t="s">
        <v>61</v>
      </c>
      <c r="D4189">
        <v>0</v>
      </c>
      <c r="E4189" t="s">
        <v>378</v>
      </c>
    </row>
    <row r="4190" spans="1:5" x14ac:dyDescent="0.25">
      <c r="A4190" s="279">
        <v>39116</v>
      </c>
      <c r="B4190" t="s">
        <v>338</v>
      </c>
      <c r="C4190" t="s">
        <v>62</v>
      </c>
      <c r="D4190">
        <v>30660</v>
      </c>
      <c r="E4190" t="s">
        <v>380</v>
      </c>
    </row>
    <row r="4191" spans="1:5" x14ac:dyDescent="0.25">
      <c r="A4191" s="279">
        <v>39116</v>
      </c>
      <c r="B4191" t="s">
        <v>338</v>
      </c>
      <c r="C4191" t="s">
        <v>63</v>
      </c>
      <c r="D4191">
        <v>0</v>
      </c>
      <c r="E4191" t="s">
        <v>378</v>
      </c>
    </row>
    <row r="4192" spans="1:5" x14ac:dyDescent="0.25">
      <c r="A4192" s="279">
        <v>39116</v>
      </c>
      <c r="B4192" t="s">
        <v>338</v>
      </c>
      <c r="C4192" t="s">
        <v>64</v>
      </c>
      <c r="D4192">
        <v>32146</v>
      </c>
      <c r="E4192" t="s">
        <v>380</v>
      </c>
    </row>
    <row r="4193" spans="1:5" x14ac:dyDescent="0.25">
      <c r="A4193" s="279">
        <v>39116</v>
      </c>
      <c r="B4193" t="s">
        <v>338</v>
      </c>
      <c r="C4193" t="s">
        <v>65</v>
      </c>
      <c r="D4193">
        <v>0</v>
      </c>
      <c r="E4193" t="s">
        <v>378</v>
      </c>
    </row>
    <row r="4194" spans="1:5" x14ac:dyDescent="0.25">
      <c r="A4194" s="279">
        <v>39116</v>
      </c>
      <c r="B4194" t="s">
        <v>338</v>
      </c>
      <c r="C4194" t="s">
        <v>66</v>
      </c>
      <c r="D4194">
        <v>0</v>
      </c>
      <c r="E4194" t="s">
        <v>380</v>
      </c>
    </row>
    <row r="4195" spans="1:5" x14ac:dyDescent="0.25">
      <c r="A4195" s="279">
        <v>39116</v>
      </c>
      <c r="B4195" t="s">
        <v>338</v>
      </c>
      <c r="C4195" t="s">
        <v>120</v>
      </c>
      <c r="D4195">
        <v>0</v>
      </c>
      <c r="E4195" t="s">
        <v>378</v>
      </c>
    </row>
    <row r="4196" spans="1:5" x14ac:dyDescent="0.25">
      <c r="A4196" s="279">
        <v>39116</v>
      </c>
      <c r="B4196" t="s">
        <v>338</v>
      </c>
      <c r="C4196" t="s">
        <v>121</v>
      </c>
      <c r="D4196">
        <v>20007</v>
      </c>
      <c r="E4196" t="s">
        <v>380</v>
      </c>
    </row>
    <row r="4197" spans="1:5" x14ac:dyDescent="0.25">
      <c r="A4197" s="279">
        <v>39116</v>
      </c>
      <c r="B4197" t="s">
        <v>338</v>
      </c>
      <c r="C4197" t="s">
        <v>67</v>
      </c>
      <c r="D4197">
        <v>0</v>
      </c>
      <c r="E4197" t="s">
        <v>378</v>
      </c>
    </row>
    <row r="4198" spans="1:5" x14ac:dyDescent="0.25">
      <c r="A4198" s="279">
        <v>39116</v>
      </c>
      <c r="B4198" t="s">
        <v>338</v>
      </c>
      <c r="C4198" t="s">
        <v>68</v>
      </c>
      <c r="D4198">
        <v>0</v>
      </c>
      <c r="E4198" t="s">
        <v>380</v>
      </c>
    </row>
    <row r="4199" spans="1:5" x14ac:dyDescent="0.25">
      <c r="A4199" s="279">
        <v>39116</v>
      </c>
      <c r="B4199" t="s">
        <v>338</v>
      </c>
      <c r="C4199" t="s">
        <v>69</v>
      </c>
      <c r="D4199">
        <v>34549</v>
      </c>
      <c r="E4199" t="s">
        <v>379</v>
      </c>
    </row>
    <row r="4200" spans="1:5" x14ac:dyDescent="0.25">
      <c r="A4200" s="279">
        <v>39116</v>
      </c>
      <c r="B4200" t="s">
        <v>338</v>
      </c>
      <c r="C4200" t="s">
        <v>70</v>
      </c>
      <c r="D4200">
        <v>0</v>
      </c>
      <c r="E4200" t="s">
        <v>379</v>
      </c>
    </row>
    <row r="4201" spans="1:5" x14ac:dyDescent="0.25">
      <c r="A4201" s="279">
        <v>39116</v>
      </c>
      <c r="B4201" t="s">
        <v>338</v>
      </c>
      <c r="C4201" t="s">
        <v>80</v>
      </c>
      <c r="D4201">
        <v>0</v>
      </c>
      <c r="E4201" t="s">
        <v>379</v>
      </c>
    </row>
    <row r="4202" spans="1:5" x14ac:dyDescent="0.25">
      <c r="A4202" s="279">
        <v>39116</v>
      </c>
      <c r="B4202" t="s">
        <v>339</v>
      </c>
      <c r="C4202" t="s">
        <v>71</v>
      </c>
      <c r="D4202">
        <v>0</v>
      </c>
      <c r="E4202" t="s">
        <v>378</v>
      </c>
    </row>
    <row r="4203" spans="1:5" x14ac:dyDescent="0.25">
      <c r="A4203" s="279">
        <v>39116</v>
      </c>
      <c r="B4203" t="s">
        <v>339</v>
      </c>
      <c r="C4203" t="s">
        <v>72</v>
      </c>
      <c r="D4203">
        <v>4808</v>
      </c>
      <c r="E4203" t="s">
        <v>380</v>
      </c>
    </row>
    <row r="4204" spans="1:5" x14ac:dyDescent="0.25">
      <c r="A4204" s="279">
        <v>39116</v>
      </c>
      <c r="B4204" t="s">
        <v>339</v>
      </c>
      <c r="C4204" t="s">
        <v>73</v>
      </c>
      <c r="D4204">
        <v>0</v>
      </c>
      <c r="E4204" t="s">
        <v>378</v>
      </c>
    </row>
    <row r="4205" spans="1:5" x14ac:dyDescent="0.25">
      <c r="A4205" s="279">
        <v>39116</v>
      </c>
      <c r="B4205" t="s">
        <v>339</v>
      </c>
      <c r="C4205" t="s">
        <v>74</v>
      </c>
      <c r="D4205">
        <v>48532</v>
      </c>
      <c r="E4205" t="s">
        <v>380</v>
      </c>
    </row>
    <row r="4206" spans="1:5" x14ac:dyDescent="0.25">
      <c r="A4206" s="279">
        <v>39116</v>
      </c>
      <c r="B4206" t="s">
        <v>339</v>
      </c>
      <c r="C4206" t="s">
        <v>75</v>
      </c>
      <c r="D4206">
        <v>14978</v>
      </c>
      <c r="E4206" t="s">
        <v>378</v>
      </c>
    </row>
    <row r="4207" spans="1:5" x14ac:dyDescent="0.25">
      <c r="A4207" s="279">
        <v>39116</v>
      </c>
      <c r="B4207" t="s">
        <v>339</v>
      </c>
      <c r="C4207" t="s">
        <v>76</v>
      </c>
      <c r="D4207">
        <v>46963</v>
      </c>
      <c r="E4207" t="s">
        <v>380</v>
      </c>
    </row>
    <row r="4208" spans="1:5" x14ac:dyDescent="0.25">
      <c r="A4208" s="279">
        <v>39116</v>
      </c>
      <c r="B4208" t="s">
        <v>339</v>
      </c>
      <c r="C4208" t="s">
        <v>77</v>
      </c>
      <c r="D4208">
        <v>7254</v>
      </c>
      <c r="E4208" t="s">
        <v>378</v>
      </c>
    </row>
    <row r="4209" spans="1:5" x14ac:dyDescent="0.25">
      <c r="A4209" s="279">
        <v>39116</v>
      </c>
      <c r="B4209" t="s">
        <v>339</v>
      </c>
      <c r="C4209" t="s">
        <v>78</v>
      </c>
      <c r="D4209">
        <v>19138</v>
      </c>
      <c r="E4209" t="s">
        <v>380</v>
      </c>
    </row>
    <row r="4210" spans="1:5" x14ac:dyDescent="0.25">
      <c r="A4210" s="279">
        <v>39116</v>
      </c>
      <c r="B4210" t="s">
        <v>339</v>
      </c>
      <c r="C4210" t="s">
        <v>79</v>
      </c>
      <c r="D4210">
        <v>115619</v>
      </c>
      <c r="E4210" t="s">
        <v>379</v>
      </c>
    </row>
    <row r="4211" spans="1:5" x14ac:dyDescent="0.25">
      <c r="A4211" s="279">
        <v>39116</v>
      </c>
      <c r="B4211" t="s">
        <v>339</v>
      </c>
      <c r="C4211" t="s">
        <v>70</v>
      </c>
      <c r="D4211">
        <v>0</v>
      </c>
      <c r="E4211" t="s">
        <v>379</v>
      </c>
    </row>
    <row r="4212" spans="1:5" x14ac:dyDescent="0.25">
      <c r="A4212" s="279">
        <v>39116</v>
      </c>
      <c r="B4212" t="s">
        <v>339</v>
      </c>
      <c r="C4212" t="s">
        <v>63</v>
      </c>
      <c r="D4212">
        <v>0</v>
      </c>
      <c r="E4212" t="s">
        <v>378</v>
      </c>
    </row>
    <row r="4213" spans="1:5" x14ac:dyDescent="0.25">
      <c r="A4213" s="279">
        <v>39116</v>
      </c>
      <c r="B4213" t="s">
        <v>339</v>
      </c>
      <c r="C4213" t="s">
        <v>80</v>
      </c>
      <c r="D4213">
        <v>133</v>
      </c>
      <c r="E4213" t="s">
        <v>379</v>
      </c>
    </row>
    <row r="4214" spans="1:5" x14ac:dyDescent="0.25">
      <c r="A4214" s="279">
        <v>39117</v>
      </c>
      <c r="B4214" t="s">
        <v>338</v>
      </c>
      <c r="C4214" t="s">
        <v>59</v>
      </c>
      <c r="D4214">
        <v>0</v>
      </c>
      <c r="E4214" t="s">
        <v>378</v>
      </c>
    </row>
    <row r="4215" spans="1:5" x14ac:dyDescent="0.25">
      <c r="A4215" s="279">
        <v>39117</v>
      </c>
      <c r="B4215" t="s">
        <v>338</v>
      </c>
      <c r="C4215" t="s">
        <v>60</v>
      </c>
      <c r="D4215">
        <v>4801</v>
      </c>
      <c r="E4215" t="s">
        <v>379</v>
      </c>
    </row>
    <row r="4216" spans="1:5" x14ac:dyDescent="0.25">
      <c r="A4216" s="279">
        <v>39117</v>
      </c>
      <c r="B4216" t="s">
        <v>338</v>
      </c>
      <c r="C4216" t="s">
        <v>61</v>
      </c>
      <c r="D4216">
        <v>0</v>
      </c>
      <c r="E4216" t="s">
        <v>378</v>
      </c>
    </row>
    <row r="4217" spans="1:5" x14ac:dyDescent="0.25">
      <c r="A4217" s="279">
        <v>39117</v>
      </c>
      <c r="B4217" t="s">
        <v>338</v>
      </c>
      <c r="C4217" t="s">
        <v>62</v>
      </c>
      <c r="D4217">
        <v>33959</v>
      </c>
      <c r="E4217" t="s">
        <v>380</v>
      </c>
    </row>
    <row r="4218" spans="1:5" x14ac:dyDescent="0.25">
      <c r="A4218" s="279">
        <v>39117</v>
      </c>
      <c r="B4218" t="s">
        <v>338</v>
      </c>
      <c r="C4218" t="s">
        <v>63</v>
      </c>
      <c r="D4218">
        <v>0</v>
      </c>
      <c r="E4218" t="s">
        <v>378</v>
      </c>
    </row>
    <row r="4219" spans="1:5" x14ac:dyDescent="0.25">
      <c r="A4219" s="279">
        <v>39117</v>
      </c>
      <c r="B4219" t="s">
        <v>338</v>
      </c>
      <c r="C4219" t="s">
        <v>64</v>
      </c>
      <c r="D4219">
        <v>32177</v>
      </c>
      <c r="E4219" t="s">
        <v>380</v>
      </c>
    </row>
    <row r="4220" spans="1:5" x14ac:dyDescent="0.25">
      <c r="A4220" s="279">
        <v>39117</v>
      </c>
      <c r="B4220" t="s">
        <v>338</v>
      </c>
      <c r="C4220" t="s">
        <v>65</v>
      </c>
      <c r="D4220">
        <v>0</v>
      </c>
      <c r="E4220" t="s">
        <v>378</v>
      </c>
    </row>
    <row r="4221" spans="1:5" x14ac:dyDescent="0.25">
      <c r="A4221" s="279">
        <v>39117</v>
      </c>
      <c r="B4221" t="s">
        <v>338</v>
      </c>
      <c r="C4221" t="s">
        <v>66</v>
      </c>
      <c r="D4221">
        <v>0</v>
      </c>
      <c r="E4221" t="s">
        <v>380</v>
      </c>
    </row>
    <row r="4222" spans="1:5" x14ac:dyDescent="0.25">
      <c r="A4222" s="279">
        <v>39117</v>
      </c>
      <c r="B4222" t="s">
        <v>338</v>
      </c>
      <c r="C4222" t="s">
        <v>120</v>
      </c>
      <c r="D4222">
        <v>0</v>
      </c>
      <c r="E4222" t="s">
        <v>378</v>
      </c>
    </row>
    <row r="4223" spans="1:5" x14ac:dyDescent="0.25">
      <c r="A4223" s="279">
        <v>39117</v>
      </c>
      <c r="B4223" t="s">
        <v>338</v>
      </c>
      <c r="C4223" t="s">
        <v>121</v>
      </c>
      <c r="D4223">
        <v>20026</v>
      </c>
      <c r="E4223" t="s">
        <v>380</v>
      </c>
    </row>
    <row r="4224" spans="1:5" x14ac:dyDescent="0.25">
      <c r="A4224" s="279">
        <v>39117</v>
      </c>
      <c r="B4224" t="s">
        <v>338</v>
      </c>
      <c r="C4224" t="s">
        <v>67</v>
      </c>
      <c r="D4224">
        <v>0</v>
      </c>
      <c r="E4224" t="s">
        <v>378</v>
      </c>
    </row>
    <row r="4225" spans="1:5" x14ac:dyDescent="0.25">
      <c r="A4225" s="279">
        <v>39117</v>
      </c>
      <c r="B4225" t="s">
        <v>338</v>
      </c>
      <c r="C4225" t="s">
        <v>68</v>
      </c>
      <c r="D4225">
        <v>0</v>
      </c>
      <c r="E4225" t="s">
        <v>380</v>
      </c>
    </row>
    <row r="4226" spans="1:5" x14ac:dyDescent="0.25">
      <c r="A4226" s="279">
        <v>39117</v>
      </c>
      <c r="B4226" t="s">
        <v>338</v>
      </c>
      <c r="C4226" t="s">
        <v>69</v>
      </c>
      <c r="D4226">
        <v>34582</v>
      </c>
      <c r="E4226" t="s">
        <v>379</v>
      </c>
    </row>
    <row r="4227" spans="1:5" x14ac:dyDescent="0.25">
      <c r="A4227" s="279">
        <v>39117</v>
      </c>
      <c r="B4227" t="s">
        <v>338</v>
      </c>
      <c r="C4227" t="s">
        <v>70</v>
      </c>
      <c r="D4227">
        <v>0</v>
      </c>
      <c r="E4227" t="s">
        <v>379</v>
      </c>
    </row>
    <row r="4228" spans="1:5" x14ac:dyDescent="0.25">
      <c r="A4228" s="279">
        <v>39117</v>
      </c>
      <c r="B4228" t="s">
        <v>338</v>
      </c>
      <c r="C4228" t="s">
        <v>80</v>
      </c>
      <c r="D4228">
        <v>0</v>
      </c>
      <c r="E4228" t="s">
        <v>379</v>
      </c>
    </row>
    <row r="4229" spans="1:5" x14ac:dyDescent="0.25">
      <c r="A4229" s="279">
        <v>39117</v>
      </c>
      <c r="B4229" t="s">
        <v>339</v>
      </c>
      <c r="C4229" t="s">
        <v>71</v>
      </c>
      <c r="D4229">
        <v>0</v>
      </c>
      <c r="E4229" t="s">
        <v>378</v>
      </c>
    </row>
    <row r="4230" spans="1:5" x14ac:dyDescent="0.25">
      <c r="A4230" s="279">
        <v>39117</v>
      </c>
      <c r="B4230" t="s">
        <v>339</v>
      </c>
      <c r="C4230" t="s">
        <v>72</v>
      </c>
      <c r="D4230">
        <v>4822</v>
      </c>
      <c r="E4230" t="s">
        <v>380</v>
      </c>
    </row>
    <row r="4231" spans="1:5" x14ac:dyDescent="0.25">
      <c r="A4231" s="279">
        <v>39117</v>
      </c>
      <c r="B4231" t="s">
        <v>339</v>
      </c>
      <c r="C4231" t="s">
        <v>73</v>
      </c>
      <c r="D4231">
        <v>0</v>
      </c>
      <c r="E4231" t="s">
        <v>378</v>
      </c>
    </row>
    <row r="4232" spans="1:5" x14ac:dyDescent="0.25">
      <c r="A4232" s="279">
        <v>39117</v>
      </c>
      <c r="B4232" t="s">
        <v>339</v>
      </c>
      <c r="C4232" t="s">
        <v>74</v>
      </c>
      <c r="D4232">
        <v>53686</v>
      </c>
      <c r="E4232" t="s">
        <v>380</v>
      </c>
    </row>
    <row r="4233" spans="1:5" x14ac:dyDescent="0.25">
      <c r="A4233" s="279">
        <v>39117</v>
      </c>
      <c r="B4233" t="s">
        <v>339</v>
      </c>
      <c r="C4233" t="s">
        <v>75</v>
      </c>
      <c r="D4233">
        <v>15021</v>
      </c>
      <c r="E4233" t="s">
        <v>378</v>
      </c>
    </row>
    <row r="4234" spans="1:5" x14ac:dyDescent="0.25">
      <c r="A4234" s="279">
        <v>39117</v>
      </c>
      <c r="B4234" t="s">
        <v>339</v>
      </c>
      <c r="C4234" t="s">
        <v>76</v>
      </c>
      <c r="D4234">
        <v>47099</v>
      </c>
      <c r="E4234" t="s">
        <v>380</v>
      </c>
    </row>
    <row r="4235" spans="1:5" x14ac:dyDescent="0.25">
      <c r="A4235" s="279">
        <v>39117</v>
      </c>
      <c r="B4235" t="s">
        <v>339</v>
      </c>
      <c r="C4235" t="s">
        <v>77</v>
      </c>
      <c r="D4235">
        <v>7275</v>
      </c>
      <c r="E4235" t="s">
        <v>378</v>
      </c>
    </row>
    <row r="4236" spans="1:5" x14ac:dyDescent="0.25">
      <c r="A4236" s="279">
        <v>39117</v>
      </c>
      <c r="B4236" t="s">
        <v>339</v>
      </c>
      <c r="C4236" t="s">
        <v>78</v>
      </c>
      <c r="D4236">
        <v>19193</v>
      </c>
      <c r="E4236" t="s">
        <v>380</v>
      </c>
    </row>
    <row r="4237" spans="1:5" x14ac:dyDescent="0.25">
      <c r="A4237" s="279">
        <v>39117</v>
      </c>
      <c r="B4237" t="s">
        <v>339</v>
      </c>
      <c r="C4237" t="s">
        <v>79</v>
      </c>
      <c r="D4237">
        <v>116366</v>
      </c>
      <c r="E4237" t="s">
        <v>379</v>
      </c>
    </row>
    <row r="4238" spans="1:5" x14ac:dyDescent="0.25">
      <c r="A4238" s="279">
        <v>39117</v>
      </c>
      <c r="B4238" t="s">
        <v>339</v>
      </c>
      <c r="C4238" t="s">
        <v>70</v>
      </c>
      <c r="D4238">
        <v>0</v>
      </c>
      <c r="E4238" t="s">
        <v>379</v>
      </c>
    </row>
    <row r="4239" spans="1:5" x14ac:dyDescent="0.25">
      <c r="A4239" s="279">
        <v>39117</v>
      </c>
      <c r="B4239" t="s">
        <v>339</v>
      </c>
      <c r="C4239" t="s">
        <v>63</v>
      </c>
      <c r="D4239">
        <v>0</v>
      </c>
      <c r="E4239" t="s">
        <v>378</v>
      </c>
    </row>
    <row r="4240" spans="1:5" x14ac:dyDescent="0.25">
      <c r="A4240" s="279">
        <v>39117</v>
      </c>
      <c r="B4240" t="s">
        <v>339</v>
      </c>
      <c r="C4240" t="s">
        <v>80</v>
      </c>
      <c r="D4240">
        <v>133</v>
      </c>
      <c r="E4240" t="s">
        <v>379</v>
      </c>
    </row>
    <row r="4241" spans="1:5" x14ac:dyDescent="0.25">
      <c r="A4241" s="279">
        <v>39118</v>
      </c>
      <c r="B4241" t="s">
        <v>338</v>
      </c>
      <c r="C4241" t="s">
        <v>59</v>
      </c>
      <c r="D4241">
        <v>0</v>
      </c>
      <c r="E4241" t="s">
        <v>378</v>
      </c>
    </row>
    <row r="4242" spans="1:5" x14ac:dyDescent="0.25">
      <c r="A4242" s="279">
        <v>39118</v>
      </c>
      <c r="B4242" t="s">
        <v>338</v>
      </c>
      <c r="C4242" t="s">
        <v>60</v>
      </c>
      <c r="D4242">
        <v>4797</v>
      </c>
      <c r="E4242" t="s">
        <v>379</v>
      </c>
    </row>
    <row r="4243" spans="1:5" x14ac:dyDescent="0.25">
      <c r="A4243" s="279">
        <v>39118</v>
      </c>
      <c r="B4243" t="s">
        <v>338</v>
      </c>
      <c r="C4243" t="s">
        <v>61</v>
      </c>
      <c r="D4243">
        <v>0</v>
      </c>
      <c r="E4243" t="s">
        <v>378</v>
      </c>
    </row>
    <row r="4244" spans="1:5" x14ac:dyDescent="0.25">
      <c r="A4244" s="279">
        <v>39118</v>
      </c>
      <c r="B4244" t="s">
        <v>338</v>
      </c>
      <c r="C4244" t="s">
        <v>62</v>
      </c>
      <c r="D4244">
        <v>34205</v>
      </c>
      <c r="E4244" t="s">
        <v>380</v>
      </c>
    </row>
    <row r="4245" spans="1:5" x14ac:dyDescent="0.25">
      <c r="A4245" s="279">
        <v>39118</v>
      </c>
      <c r="B4245" t="s">
        <v>338</v>
      </c>
      <c r="C4245" t="s">
        <v>63</v>
      </c>
      <c r="D4245">
        <v>0</v>
      </c>
      <c r="E4245" t="s">
        <v>378</v>
      </c>
    </row>
    <row r="4246" spans="1:5" x14ac:dyDescent="0.25">
      <c r="A4246" s="279">
        <v>39118</v>
      </c>
      <c r="B4246" t="s">
        <v>338</v>
      </c>
      <c r="C4246" t="s">
        <v>64</v>
      </c>
      <c r="D4246">
        <v>32146</v>
      </c>
      <c r="E4246" t="s">
        <v>380</v>
      </c>
    </row>
    <row r="4247" spans="1:5" x14ac:dyDescent="0.25">
      <c r="A4247" s="279">
        <v>39118</v>
      </c>
      <c r="B4247" t="s">
        <v>338</v>
      </c>
      <c r="C4247" t="s">
        <v>65</v>
      </c>
      <c r="D4247">
        <v>0</v>
      </c>
      <c r="E4247" t="s">
        <v>378</v>
      </c>
    </row>
    <row r="4248" spans="1:5" x14ac:dyDescent="0.25">
      <c r="A4248" s="279">
        <v>39118</v>
      </c>
      <c r="B4248" t="s">
        <v>338</v>
      </c>
      <c r="C4248" t="s">
        <v>66</v>
      </c>
      <c r="D4248">
        <v>0</v>
      </c>
      <c r="E4248" t="s">
        <v>380</v>
      </c>
    </row>
    <row r="4249" spans="1:5" x14ac:dyDescent="0.25">
      <c r="A4249" s="279">
        <v>39118</v>
      </c>
      <c r="B4249" t="s">
        <v>338</v>
      </c>
      <c r="C4249" t="s">
        <v>120</v>
      </c>
      <c r="D4249">
        <v>0</v>
      </c>
      <c r="E4249" t="s">
        <v>378</v>
      </c>
    </row>
    <row r="4250" spans="1:5" x14ac:dyDescent="0.25">
      <c r="A4250" s="279">
        <v>39118</v>
      </c>
      <c r="B4250" t="s">
        <v>338</v>
      </c>
      <c r="C4250" t="s">
        <v>121</v>
      </c>
      <c r="D4250">
        <v>20007</v>
      </c>
      <c r="E4250" t="s">
        <v>380</v>
      </c>
    </row>
    <row r="4251" spans="1:5" x14ac:dyDescent="0.25">
      <c r="A4251" s="279">
        <v>39118</v>
      </c>
      <c r="B4251" t="s">
        <v>338</v>
      </c>
      <c r="C4251" t="s">
        <v>67</v>
      </c>
      <c r="D4251">
        <v>0</v>
      </c>
      <c r="E4251" t="s">
        <v>378</v>
      </c>
    </row>
    <row r="4252" spans="1:5" x14ac:dyDescent="0.25">
      <c r="A4252" s="279">
        <v>39118</v>
      </c>
      <c r="B4252" t="s">
        <v>338</v>
      </c>
      <c r="C4252" t="s">
        <v>68</v>
      </c>
      <c r="D4252">
        <v>0</v>
      </c>
      <c r="E4252" t="s">
        <v>380</v>
      </c>
    </row>
    <row r="4253" spans="1:5" x14ac:dyDescent="0.25">
      <c r="A4253" s="279">
        <v>39118</v>
      </c>
      <c r="B4253" t="s">
        <v>338</v>
      </c>
      <c r="C4253" t="s">
        <v>69</v>
      </c>
      <c r="D4253">
        <v>34549</v>
      </c>
      <c r="E4253" t="s">
        <v>379</v>
      </c>
    </row>
    <row r="4254" spans="1:5" x14ac:dyDescent="0.25">
      <c r="A4254" s="279">
        <v>39118</v>
      </c>
      <c r="B4254" t="s">
        <v>338</v>
      </c>
      <c r="C4254" t="s">
        <v>70</v>
      </c>
      <c r="D4254">
        <v>0</v>
      </c>
      <c r="E4254" t="s">
        <v>379</v>
      </c>
    </row>
    <row r="4255" spans="1:5" x14ac:dyDescent="0.25">
      <c r="A4255" s="279">
        <v>39118</v>
      </c>
      <c r="B4255" t="s">
        <v>338</v>
      </c>
      <c r="C4255" t="s">
        <v>80</v>
      </c>
      <c r="D4255">
        <v>0</v>
      </c>
      <c r="E4255" t="s">
        <v>379</v>
      </c>
    </row>
    <row r="4256" spans="1:5" x14ac:dyDescent="0.25">
      <c r="A4256" s="279">
        <v>39118</v>
      </c>
      <c r="B4256" t="s">
        <v>339</v>
      </c>
      <c r="C4256" t="s">
        <v>71</v>
      </c>
      <c r="D4256">
        <v>0</v>
      </c>
      <c r="E4256" t="s">
        <v>378</v>
      </c>
    </row>
    <row r="4257" spans="1:5" x14ac:dyDescent="0.25">
      <c r="A4257" s="279">
        <v>39118</v>
      </c>
      <c r="B4257" t="s">
        <v>339</v>
      </c>
      <c r="C4257" t="s">
        <v>72</v>
      </c>
      <c r="D4257">
        <v>4836</v>
      </c>
      <c r="E4257" t="s">
        <v>380</v>
      </c>
    </row>
    <row r="4258" spans="1:5" x14ac:dyDescent="0.25">
      <c r="A4258" s="279">
        <v>39118</v>
      </c>
      <c r="B4258" t="s">
        <v>339</v>
      </c>
      <c r="C4258" t="s">
        <v>73</v>
      </c>
      <c r="D4258">
        <v>0</v>
      </c>
      <c r="E4258" t="s">
        <v>378</v>
      </c>
    </row>
    <row r="4259" spans="1:5" x14ac:dyDescent="0.25">
      <c r="A4259" s="279">
        <v>39118</v>
      </c>
      <c r="B4259" t="s">
        <v>339</v>
      </c>
      <c r="C4259" t="s">
        <v>74</v>
      </c>
      <c r="D4259">
        <v>50909</v>
      </c>
      <c r="E4259" t="s">
        <v>380</v>
      </c>
    </row>
    <row r="4260" spans="1:5" x14ac:dyDescent="0.25">
      <c r="A4260" s="279">
        <v>39118</v>
      </c>
      <c r="B4260" t="s">
        <v>339</v>
      </c>
      <c r="C4260" t="s">
        <v>75</v>
      </c>
      <c r="D4260">
        <v>15065</v>
      </c>
      <c r="E4260" t="s">
        <v>378</v>
      </c>
    </row>
    <row r="4261" spans="1:5" x14ac:dyDescent="0.25">
      <c r="A4261" s="279">
        <v>39118</v>
      </c>
      <c r="B4261" t="s">
        <v>339</v>
      </c>
      <c r="C4261" t="s">
        <v>76</v>
      </c>
      <c r="D4261">
        <v>47236</v>
      </c>
      <c r="E4261" t="s">
        <v>380</v>
      </c>
    </row>
    <row r="4262" spans="1:5" x14ac:dyDescent="0.25">
      <c r="A4262" s="279">
        <v>39118</v>
      </c>
      <c r="B4262" t="s">
        <v>339</v>
      </c>
      <c r="C4262" t="s">
        <v>77</v>
      </c>
      <c r="D4262">
        <v>7296</v>
      </c>
      <c r="E4262" t="s">
        <v>378</v>
      </c>
    </row>
    <row r="4263" spans="1:5" x14ac:dyDescent="0.25">
      <c r="A4263" s="279">
        <v>39118</v>
      </c>
      <c r="B4263" t="s">
        <v>339</v>
      </c>
      <c r="C4263" t="s">
        <v>78</v>
      </c>
      <c r="D4263">
        <v>19249</v>
      </c>
      <c r="E4263" t="s">
        <v>380</v>
      </c>
    </row>
    <row r="4264" spans="1:5" x14ac:dyDescent="0.25">
      <c r="A4264" s="279">
        <v>39118</v>
      </c>
      <c r="B4264" t="s">
        <v>339</v>
      </c>
      <c r="C4264" t="s">
        <v>79</v>
      </c>
      <c r="D4264">
        <v>116704</v>
      </c>
      <c r="E4264" t="s">
        <v>379</v>
      </c>
    </row>
    <row r="4265" spans="1:5" x14ac:dyDescent="0.25">
      <c r="A4265" s="279">
        <v>39118</v>
      </c>
      <c r="B4265" t="s">
        <v>339</v>
      </c>
      <c r="C4265" t="s">
        <v>70</v>
      </c>
      <c r="D4265">
        <v>0</v>
      </c>
      <c r="E4265" t="s">
        <v>379</v>
      </c>
    </row>
    <row r="4266" spans="1:5" x14ac:dyDescent="0.25">
      <c r="A4266" s="279">
        <v>39118</v>
      </c>
      <c r="B4266" t="s">
        <v>339</v>
      </c>
      <c r="C4266" t="s">
        <v>63</v>
      </c>
      <c r="D4266">
        <v>0</v>
      </c>
      <c r="E4266" t="s">
        <v>378</v>
      </c>
    </row>
    <row r="4267" spans="1:5" x14ac:dyDescent="0.25">
      <c r="A4267" s="279">
        <v>39118</v>
      </c>
      <c r="B4267" t="s">
        <v>339</v>
      </c>
      <c r="C4267" t="s">
        <v>80</v>
      </c>
      <c r="D4267">
        <v>134</v>
      </c>
      <c r="E4267" t="s">
        <v>379</v>
      </c>
    </row>
    <row r="4268" spans="1:5" x14ac:dyDescent="0.25">
      <c r="A4268" s="279">
        <v>39119</v>
      </c>
      <c r="B4268" t="s">
        <v>338</v>
      </c>
      <c r="C4268" t="s">
        <v>59</v>
      </c>
      <c r="D4268">
        <v>0</v>
      </c>
      <c r="E4268" t="s">
        <v>378</v>
      </c>
    </row>
    <row r="4269" spans="1:5" x14ac:dyDescent="0.25">
      <c r="A4269" s="279">
        <v>39119</v>
      </c>
      <c r="B4269" t="s">
        <v>338</v>
      </c>
      <c r="C4269" t="s">
        <v>60</v>
      </c>
      <c r="D4269">
        <v>4797</v>
      </c>
      <c r="E4269" t="s">
        <v>379</v>
      </c>
    </row>
    <row r="4270" spans="1:5" x14ac:dyDescent="0.25">
      <c r="A4270" s="279">
        <v>39119</v>
      </c>
      <c r="B4270" t="s">
        <v>338</v>
      </c>
      <c r="C4270" t="s">
        <v>61</v>
      </c>
      <c r="D4270">
        <v>0</v>
      </c>
      <c r="E4270" t="s">
        <v>378</v>
      </c>
    </row>
    <row r="4271" spans="1:5" x14ac:dyDescent="0.25">
      <c r="A4271" s="279">
        <v>39119</v>
      </c>
      <c r="B4271" t="s">
        <v>338</v>
      </c>
      <c r="C4271" t="s">
        <v>62</v>
      </c>
      <c r="D4271">
        <v>33292</v>
      </c>
      <c r="E4271" t="s">
        <v>380</v>
      </c>
    </row>
    <row r="4272" spans="1:5" x14ac:dyDescent="0.25">
      <c r="A4272" s="279">
        <v>39119</v>
      </c>
      <c r="B4272" t="s">
        <v>338</v>
      </c>
      <c r="C4272" t="s">
        <v>63</v>
      </c>
      <c r="D4272">
        <v>0</v>
      </c>
      <c r="E4272" t="s">
        <v>378</v>
      </c>
    </row>
    <row r="4273" spans="1:5" x14ac:dyDescent="0.25">
      <c r="A4273" s="279">
        <v>39119</v>
      </c>
      <c r="B4273" t="s">
        <v>338</v>
      </c>
      <c r="C4273" t="s">
        <v>64</v>
      </c>
      <c r="D4273">
        <v>32146</v>
      </c>
      <c r="E4273" t="s">
        <v>380</v>
      </c>
    </row>
    <row r="4274" spans="1:5" x14ac:dyDescent="0.25">
      <c r="A4274" s="279">
        <v>39119</v>
      </c>
      <c r="B4274" t="s">
        <v>338</v>
      </c>
      <c r="C4274" t="s">
        <v>65</v>
      </c>
      <c r="D4274">
        <v>0</v>
      </c>
      <c r="E4274" t="s">
        <v>378</v>
      </c>
    </row>
    <row r="4275" spans="1:5" x14ac:dyDescent="0.25">
      <c r="A4275" s="279">
        <v>39119</v>
      </c>
      <c r="B4275" t="s">
        <v>338</v>
      </c>
      <c r="C4275" t="s">
        <v>66</v>
      </c>
      <c r="D4275">
        <v>0</v>
      </c>
      <c r="E4275" t="s">
        <v>380</v>
      </c>
    </row>
    <row r="4276" spans="1:5" x14ac:dyDescent="0.25">
      <c r="A4276" s="279">
        <v>39119</v>
      </c>
      <c r="B4276" t="s">
        <v>338</v>
      </c>
      <c r="C4276" t="s">
        <v>120</v>
      </c>
      <c r="D4276">
        <v>0</v>
      </c>
      <c r="E4276" t="s">
        <v>378</v>
      </c>
    </row>
    <row r="4277" spans="1:5" x14ac:dyDescent="0.25">
      <c r="A4277" s="279">
        <v>39119</v>
      </c>
      <c r="B4277" t="s">
        <v>338</v>
      </c>
      <c r="C4277" t="s">
        <v>121</v>
      </c>
      <c r="D4277">
        <v>20007</v>
      </c>
      <c r="E4277" t="s">
        <v>380</v>
      </c>
    </row>
    <row r="4278" spans="1:5" x14ac:dyDescent="0.25">
      <c r="A4278" s="279">
        <v>39119</v>
      </c>
      <c r="B4278" t="s">
        <v>338</v>
      </c>
      <c r="C4278" t="s">
        <v>67</v>
      </c>
      <c r="D4278">
        <v>0</v>
      </c>
      <c r="E4278" t="s">
        <v>378</v>
      </c>
    </row>
    <row r="4279" spans="1:5" x14ac:dyDescent="0.25">
      <c r="A4279" s="279">
        <v>39119</v>
      </c>
      <c r="B4279" t="s">
        <v>338</v>
      </c>
      <c r="C4279" t="s">
        <v>68</v>
      </c>
      <c r="D4279">
        <v>0</v>
      </c>
      <c r="E4279" t="s">
        <v>380</v>
      </c>
    </row>
    <row r="4280" spans="1:5" x14ac:dyDescent="0.25">
      <c r="A4280" s="279">
        <v>39119</v>
      </c>
      <c r="B4280" t="s">
        <v>338</v>
      </c>
      <c r="C4280" t="s">
        <v>69</v>
      </c>
      <c r="D4280">
        <v>34549</v>
      </c>
      <c r="E4280" t="s">
        <v>379</v>
      </c>
    </row>
    <row r="4281" spans="1:5" x14ac:dyDescent="0.25">
      <c r="A4281" s="279">
        <v>39119</v>
      </c>
      <c r="B4281" t="s">
        <v>338</v>
      </c>
      <c r="C4281" t="s">
        <v>70</v>
      </c>
      <c r="D4281">
        <v>0</v>
      </c>
      <c r="E4281" t="s">
        <v>379</v>
      </c>
    </row>
    <row r="4282" spans="1:5" x14ac:dyDescent="0.25">
      <c r="A4282" s="279">
        <v>39119</v>
      </c>
      <c r="B4282" t="s">
        <v>338</v>
      </c>
      <c r="C4282" t="s">
        <v>80</v>
      </c>
      <c r="D4282">
        <v>0</v>
      </c>
      <c r="E4282" t="s">
        <v>379</v>
      </c>
    </row>
    <row r="4283" spans="1:5" x14ac:dyDescent="0.25">
      <c r="A4283" s="279">
        <v>39119</v>
      </c>
      <c r="B4283" t="s">
        <v>339</v>
      </c>
      <c r="C4283" t="s">
        <v>71</v>
      </c>
      <c r="D4283">
        <v>0</v>
      </c>
      <c r="E4283" t="s">
        <v>378</v>
      </c>
    </row>
    <row r="4284" spans="1:5" x14ac:dyDescent="0.25">
      <c r="A4284" s="279">
        <v>39119</v>
      </c>
      <c r="B4284" t="s">
        <v>339</v>
      </c>
      <c r="C4284" t="s">
        <v>72</v>
      </c>
      <c r="D4284">
        <v>4836</v>
      </c>
      <c r="E4284" t="s">
        <v>380</v>
      </c>
    </row>
    <row r="4285" spans="1:5" x14ac:dyDescent="0.25">
      <c r="A4285" s="279">
        <v>39119</v>
      </c>
      <c r="B4285" t="s">
        <v>339</v>
      </c>
      <c r="C4285" t="s">
        <v>73</v>
      </c>
      <c r="D4285">
        <v>0</v>
      </c>
      <c r="E4285" t="s">
        <v>378</v>
      </c>
    </row>
    <row r="4286" spans="1:5" x14ac:dyDescent="0.25">
      <c r="A4286" s="279">
        <v>39119</v>
      </c>
      <c r="B4286" t="s">
        <v>339</v>
      </c>
      <c r="C4286" t="s">
        <v>74</v>
      </c>
      <c r="D4286">
        <v>49310</v>
      </c>
      <c r="E4286" t="s">
        <v>380</v>
      </c>
    </row>
    <row r="4287" spans="1:5" x14ac:dyDescent="0.25">
      <c r="A4287" s="279">
        <v>39119</v>
      </c>
      <c r="B4287" t="s">
        <v>339</v>
      </c>
      <c r="C4287" t="s">
        <v>75</v>
      </c>
      <c r="D4287">
        <v>15065</v>
      </c>
      <c r="E4287" t="s">
        <v>378</v>
      </c>
    </row>
    <row r="4288" spans="1:5" x14ac:dyDescent="0.25">
      <c r="A4288" s="279">
        <v>39119</v>
      </c>
      <c r="B4288" t="s">
        <v>339</v>
      </c>
      <c r="C4288" t="s">
        <v>76</v>
      </c>
      <c r="D4288">
        <v>47236</v>
      </c>
      <c r="E4288" t="s">
        <v>380</v>
      </c>
    </row>
    <row r="4289" spans="1:5" x14ac:dyDescent="0.25">
      <c r="A4289" s="279">
        <v>39119</v>
      </c>
      <c r="B4289" t="s">
        <v>339</v>
      </c>
      <c r="C4289" t="s">
        <v>77</v>
      </c>
      <c r="D4289">
        <v>7296</v>
      </c>
      <c r="E4289" t="s">
        <v>378</v>
      </c>
    </row>
    <row r="4290" spans="1:5" x14ac:dyDescent="0.25">
      <c r="A4290" s="279">
        <v>39119</v>
      </c>
      <c r="B4290" t="s">
        <v>339</v>
      </c>
      <c r="C4290" t="s">
        <v>78</v>
      </c>
      <c r="D4290">
        <v>19249</v>
      </c>
      <c r="E4290" t="s">
        <v>380</v>
      </c>
    </row>
    <row r="4291" spans="1:5" x14ac:dyDescent="0.25">
      <c r="A4291" s="279">
        <v>39119</v>
      </c>
      <c r="B4291" t="s">
        <v>339</v>
      </c>
      <c r="C4291" t="s">
        <v>79</v>
      </c>
      <c r="D4291">
        <v>116704</v>
      </c>
      <c r="E4291" t="s">
        <v>379</v>
      </c>
    </row>
    <row r="4292" spans="1:5" x14ac:dyDescent="0.25">
      <c r="A4292" s="279">
        <v>39119</v>
      </c>
      <c r="B4292" t="s">
        <v>339</v>
      </c>
      <c r="C4292" t="s">
        <v>70</v>
      </c>
      <c r="D4292">
        <v>0</v>
      </c>
      <c r="E4292" t="s">
        <v>379</v>
      </c>
    </row>
    <row r="4293" spans="1:5" x14ac:dyDescent="0.25">
      <c r="A4293" s="279">
        <v>39119</v>
      </c>
      <c r="B4293" t="s">
        <v>339</v>
      </c>
      <c r="C4293" t="s">
        <v>63</v>
      </c>
      <c r="D4293">
        <v>0</v>
      </c>
      <c r="E4293" t="s">
        <v>378</v>
      </c>
    </row>
    <row r="4294" spans="1:5" x14ac:dyDescent="0.25">
      <c r="A4294" s="279">
        <v>39119</v>
      </c>
      <c r="B4294" t="s">
        <v>339</v>
      </c>
      <c r="C4294" t="s">
        <v>80</v>
      </c>
      <c r="D4294">
        <v>134</v>
      </c>
      <c r="E4294" t="s">
        <v>379</v>
      </c>
    </row>
    <row r="4295" spans="1:5" x14ac:dyDescent="0.25">
      <c r="A4295" s="279">
        <v>39120</v>
      </c>
      <c r="B4295" t="s">
        <v>338</v>
      </c>
      <c r="C4295" t="s">
        <v>59</v>
      </c>
      <c r="D4295">
        <v>0</v>
      </c>
      <c r="E4295" t="s">
        <v>378</v>
      </c>
    </row>
    <row r="4296" spans="1:5" x14ac:dyDescent="0.25">
      <c r="A4296" s="279">
        <v>39120</v>
      </c>
      <c r="B4296" t="s">
        <v>338</v>
      </c>
      <c r="C4296" t="s">
        <v>60</v>
      </c>
      <c r="D4296">
        <v>4801</v>
      </c>
      <c r="E4296" t="s">
        <v>379</v>
      </c>
    </row>
    <row r="4297" spans="1:5" x14ac:dyDescent="0.25">
      <c r="A4297" s="279">
        <v>39120</v>
      </c>
      <c r="B4297" t="s">
        <v>338</v>
      </c>
      <c r="C4297" t="s">
        <v>61</v>
      </c>
      <c r="D4297">
        <v>0</v>
      </c>
      <c r="E4297" t="s">
        <v>378</v>
      </c>
    </row>
    <row r="4298" spans="1:5" x14ac:dyDescent="0.25">
      <c r="A4298" s="279">
        <v>39120</v>
      </c>
      <c r="B4298" t="s">
        <v>338</v>
      </c>
      <c r="C4298" t="s">
        <v>62</v>
      </c>
      <c r="D4298">
        <v>33992</v>
      </c>
      <c r="E4298" t="s">
        <v>380</v>
      </c>
    </row>
    <row r="4299" spans="1:5" x14ac:dyDescent="0.25">
      <c r="A4299" s="279">
        <v>39120</v>
      </c>
      <c r="B4299" t="s">
        <v>338</v>
      </c>
      <c r="C4299" t="s">
        <v>63</v>
      </c>
      <c r="D4299">
        <v>0</v>
      </c>
      <c r="E4299" t="s">
        <v>378</v>
      </c>
    </row>
    <row r="4300" spans="1:5" x14ac:dyDescent="0.25">
      <c r="A4300" s="279">
        <v>39120</v>
      </c>
      <c r="B4300" t="s">
        <v>338</v>
      </c>
      <c r="C4300" t="s">
        <v>64</v>
      </c>
      <c r="D4300">
        <v>32177</v>
      </c>
      <c r="E4300" t="s">
        <v>380</v>
      </c>
    </row>
    <row r="4301" spans="1:5" x14ac:dyDescent="0.25">
      <c r="A4301" s="279">
        <v>39120</v>
      </c>
      <c r="B4301" t="s">
        <v>338</v>
      </c>
      <c r="C4301" t="s">
        <v>65</v>
      </c>
      <c r="D4301">
        <v>0</v>
      </c>
      <c r="E4301" t="s">
        <v>378</v>
      </c>
    </row>
    <row r="4302" spans="1:5" x14ac:dyDescent="0.25">
      <c r="A4302" s="279">
        <v>39120</v>
      </c>
      <c r="B4302" t="s">
        <v>338</v>
      </c>
      <c r="C4302" t="s">
        <v>66</v>
      </c>
      <c r="D4302">
        <v>0</v>
      </c>
      <c r="E4302" t="s">
        <v>380</v>
      </c>
    </row>
    <row r="4303" spans="1:5" x14ac:dyDescent="0.25">
      <c r="A4303" s="279">
        <v>39120</v>
      </c>
      <c r="B4303" t="s">
        <v>338</v>
      </c>
      <c r="C4303" t="s">
        <v>120</v>
      </c>
      <c r="D4303">
        <v>0</v>
      </c>
      <c r="E4303" t="s">
        <v>378</v>
      </c>
    </row>
    <row r="4304" spans="1:5" x14ac:dyDescent="0.25">
      <c r="A4304" s="279">
        <v>39120</v>
      </c>
      <c r="B4304" t="s">
        <v>338</v>
      </c>
      <c r="C4304" t="s">
        <v>121</v>
      </c>
      <c r="D4304">
        <v>20026</v>
      </c>
      <c r="E4304" t="s">
        <v>380</v>
      </c>
    </row>
    <row r="4305" spans="1:5" x14ac:dyDescent="0.25">
      <c r="A4305" s="279">
        <v>39120</v>
      </c>
      <c r="B4305" t="s">
        <v>338</v>
      </c>
      <c r="C4305" t="s">
        <v>67</v>
      </c>
      <c r="D4305">
        <v>0</v>
      </c>
      <c r="E4305" t="s">
        <v>378</v>
      </c>
    </row>
    <row r="4306" spans="1:5" x14ac:dyDescent="0.25">
      <c r="A4306" s="279">
        <v>39120</v>
      </c>
      <c r="B4306" t="s">
        <v>338</v>
      </c>
      <c r="C4306" t="s">
        <v>68</v>
      </c>
      <c r="D4306">
        <v>0</v>
      </c>
      <c r="E4306" t="s">
        <v>380</v>
      </c>
    </row>
    <row r="4307" spans="1:5" x14ac:dyDescent="0.25">
      <c r="A4307" s="279">
        <v>39120</v>
      </c>
      <c r="B4307" t="s">
        <v>338</v>
      </c>
      <c r="C4307" t="s">
        <v>69</v>
      </c>
      <c r="D4307">
        <v>34582</v>
      </c>
      <c r="E4307" t="s">
        <v>379</v>
      </c>
    </row>
    <row r="4308" spans="1:5" x14ac:dyDescent="0.25">
      <c r="A4308" s="279">
        <v>39120</v>
      </c>
      <c r="B4308" t="s">
        <v>338</v>
      </c>
      <c r="C4308" t="s">
        <v>70</v>
      </c>
      <c r="D4308">
        <v>0</v>
      </c>
      <c r="E4308" t="s">
        <v>379</v>
      </c>
    </row>
    <row r="4309" spans="1:5" x14ac:dyDescent="0.25">
      <c r="A4309" s="279">
        <v>39120</v>
      </c>
      <c r="B4309" t="s">
        <v>338</v>
      </c>
      <c r="C4309" t="s">
        <v>80</v>
      </c>
      <c r="D4309">
        <v>0</v>
      </c>
      <c r="E4309" t="s">
        <v>379</v>
      </c>
    </row>
    <row r="4310" spans="1:5" x14ac:dyDescent="0.25">
      <c r="A4310" s="279">
        <v>39120</v>
      </c>
      <c r="B4310" t="s">
        <v>339</v>
      </c>
      <c r="C4310" t="s">
        <v>71</v>
      </c>
      <c r="D4310">
        <v>0</v>
      </c>
      <c r="E4310" t="s">
        <v>378</v>
      </c>
    </row>
    <row r="4311" spans="1:5" x14ac:dyDescent="0.25">
      <c r="A4311" s="279">
        <v>39120</v>
      </c>
      <c r="B4311" t="s">
        <v>339</v>
      </c>
      <c r="C4311" t="s">
        <v>72</v>
      </c>
      <c r="D4311">
        <v>4808</v>
      </c>
      <c r="E4311" t="s">
        <v>380</v>
      </c>
    </row>
    <row r="4312" spans="1:5" x14ac:dyDescent="0.25">
      <c r="A4312" s="279">
        <v>39120</v>
      </c>
      <c r="B4312" t="s">
        <v>339</v>
      </c>
      <c r="C4312" t="s">
        <v>73</v>
      </c>
      <c r="D4312">
        <v>0</v>
      </c>
      <c r="E4312" t="s">
        <v>378</v>
      </c>
    </row>
    <row r="4313" spans="1:5" x14ac:dyDescent="0.25">
      <c r="A4313" s="279">
        <v>39120</v>
      </c>
      <c r="B4313" t="s">
        <v>339</v>
      </c>
      <c r="C4313" t="s">
        <v>74</v>
      </c>
      <c r="D4313">
        <v>51497</v>
      </c>
      <c r="E4313" t="s">
        <v>380</v>
      </c>
    </row>
    <row r="4314" spans="1:5" x14ac:dyDescent="0.25">
      <c r="A4314" s="279">
        <v>39120</v>
      </c>
      <c r="B4314" t="s">
        <v>339</v>
      </c>
      <c r="C4314" t="s">
        <v>75</v>
      </c>
      <c r="D4314">
        <v>14978</v>
      </c>
      <c r="E4314" t="s">
        <v>378</v>
      </c>
    </row>
    <row r="4315" spans="1:5" x14ac:dyDescent="0.25">
      <c r="A4315" s="279">
        <v>39120</v>
      </c>
      <c r="B4315" t="s">
        <v>339</v>
      </c>
      <c r="C4315" t="s">
        <v>76</v>
      </c>
      <c r="D4315">
        <v>46963</v>
      </c>
      <c r="E4315" t="s">
        <v>380</v>
      </c>
    </row>
    <row r="4316" spans="1:5" x14ac:dyDescent="0.25">
      <c r="A4316" s="279">
        <v>39120</v>
      </c>
      <c r="B4316" t="s">
        <v>339</v>
      </c>
      <c r="C4316" t="s">
        <v>77</v>
      </c>
      <c r="D4316">
        <v>7254</v>
      </c>
      <c r="E4316" t="s">
        <v>378</v>
      </c>
    </row>
    <row r="4317" spans="1:5" x14ac:dyDescent="0.25">
      <c r="A4317" s="279">
        <v>39120</v>
      </c>
      <c r="B4317" t="s">
        <v>339</v>
      </c>
      <c r="C4317" t="s">
        <v>78</v>
      </c>
      <c r="D4317">
        <v>17499</v>
      </c>
      <c r="E4317" t="s">
        <v>380</v>
      </c>
    </row>
    <row r="4318" spans="1:5" x14ac:dyDescent="0.25">
      <c r="A4318" s="279">
        <v>39120</v>
      </c>
      <c r="B4318" t="s">
        <v>339</v>
      </c>
      <c r="C4318" t="s">
        <v>79</v>
      </c>
      <c r="D4318">
        <v>117428</v>
      </c>
      <c r="E4318" t="s">
        <v>379</v>
      </c>
    </row>
    <row r="4319" spans="1:5" x14ac:dyDescent="0.25">
      <c r="A4319" s="279">
        <v>39120</v>
      </c>
      <c r="B4319" t="s">
        <v>339</v>
      </c>
      <c r="C4319" t="s">
        <v>70</v>
      </c>
      <c r="D4319">
        <v>0</v>
      </c>
      <c r="E4319" t="s">
        <v>379</v>
      </c>
    </row>
    <row r="4320" spans="1:5" x14ac:dyDescent="0.25">
      <c r="A4320" s="279">
        <v>39120</v>
      </c>
      <c r="B4320" t="s">
        <v>339</v>
      </c>
      <c r="C4320" t="s">
        <v>63</v>
      </c>
      <c r="D4320">
        <v>0</v>
      </c>
      <c r="E4320" t="s">
        <v>378</v>
      </c>
    </row>
    <row r="4321" spans="1:5" x14ac:dyDescent="0.25">
      <c r="A4321" s="279">
        <v>39120</v>
      </c>
      <c r="B4321" t="s">
        <v>339</v>
      </c>
      <c r="C4321" t="s">
        <v>80</v>
      </c>
      <c r="D4321">
        <v>133</v>
      </c>
      <c r="E4321" t="s">
        <v>379</v>
      </c>
    </row>
    <row r="4322" spans="1:5" x14ac:dyDescent="0.25">
      <c r="A4322" s="279">
        <v>39121</v>
      </c>
      <c r="B4322" t="s">
        <v>338</v>
      </c>
      <c r="C4322" t="s">
        <v>59</v>
      </c>
      <c r="D4322">
        <v>0</v>
      </c>
      <c r="E4322" t="s">
        <v>378</v>
      </c>
    </row>
    <row r="4323" spans="1:5" x14ac:dyDescent="0.25">
      <c r="A4323" s="279">
        <v>39121</v>
      </c>
      <c r="B4323" t="s">
        <v>338</v>
      </c>
      <c r="C4323" t="s">
        <v>60</v>
      </c>
      <c r="D4323">
        <v>4801</v>
      </c>
      <c r="E4323" t="s">
        <v>379</v>
      </c>
    </row>
    <row r="4324" spans="1:5" x14ac:dyDescent="0.25">
      <c r="A4324" s="279">
        <v>39121</v>
      </c>
      <c r="B4324" t="s">
        <v>338</v>
      </c>
      <c r="C4324" t="s">
        <v>61</v>
      </c>
      <c r="D4324">
        <v>0</v>
      </c>
      <c r="E4324" t="s">
        <v>378</v>
      </c>
    </row>
    <row r="4325" spans="1:5" x14ac:dyDescent="0.25">
      <c r="A4325" s="279">
        <v>39121</v>
      </c>
      <c r="B4325" t="s">
        <v>338</v>
      </c>
      <c r="C4325" t="s">
        <v>62</v>
      </c>
      <c r="D4325">
        <v>32878</v>
      </c>
      <c r="E4325" t="s">
        <v>380</v>
      </c>
    </row>
    <row r="4326" spans="1:5" x14ac:dyDescent="0.25">
      <c r="A4326" s="279">
        <v>39121</v>
      </c>
      <c r="B4326" t="s">
        <v>338</v>
      </c>
      <c r="C4326" t="s">
        <v>63</v>
      </c>
      <c r="D4326">
        <v>0</v>
      </c>
      <c r="E4326" t="s">
        <v>378</v>
      </c>
    </row>
    <row r="4327" spans="1:5" x14ac:dyDescent="0.25">
      <c r="A4327" s="279">
        <v>39121</v>
      </c>
      <c r="B4327" t="s">
        <v>338</v>
      </c>
      <c r="C4327" t="s">
        <v>64</v>
      </c>
      <c r="D4327">
        <v>28170</v>
      </c>
      <c r="E4327" t="s">
        <v>380</v>
      </c>
    </row>
    <row r="4328" spans="1:5" x14ac:dyDescent="0.25">
      <c r="A4328" s="279">
        <v>39121</v>
      </c>
      <c r="B4328" t="s">
        <v>338</v>
      </c>
      <c r="C4328" t="s">
        <v>65</v>
      </c>
      <c r="D4328">
        <v>0</v>
      </c>
      <c r="E4328" t="s">
        <v>378</v>
      </c>
    </row>
    <row r="4329" spans="1:5" x14ac:dyDescent="0.25">
      <c r="A4329" s="279">
        <v>39121</v>
      </c>
      <c r="B4329" t="s">
        <v>338</v>
      </c>
      <c r="C4329" t="s">
        <v>66</v>
      </c>
      <c r="D4329">
        <v>0</v>
      </c>
      <c r="E4329" t="s">
        <v>380</v>
      </c>
    </row>
    <row r="4330" spans="1:5" x14ac:dyDescent="0.25">
      <c r="A4330" s="279">
        <v>39121</v>
      </c>
      <c r="B4330" t="s">
        <v>338</v>
      </c>
      <c r="C4330" t="s">
        <v>120</v>
      </c>
      <c r="D4330">
        <v>0</v>
      </c>
      <c r="E4330" t="s">
        <v>378</v>
      </c>
    </row>
    <row r="4331" spans="1:5" x14ac:dyDescent="0.25">
      <c r="A4331" s="279">
        <v>39121</v>
      </c>
      <c r="B4331" t="s">
        <v>338</v>
      </c>
      <c r="C4331" t="s">
        <v>121</v>
      </c>
      <c r="D4331">
        <v>20026</v>
      </c>
      <c r="E4331" t="s">
        <v>380</v>
      </c>
    </row>
    <row r="4332" spans="1:5" x14ac:dyDescent="0.25">
      <c r="A4332" s="279">
        <v>39121</v>
      </c>
      <c r="B4332" t="s">
        <v>338</v>
      </c>
      <c r="C4332" t="s">
        <v>67</v>
      </c>
      <c r="D4332">
        <v>0</v>
      </c>
      <c r="E4332" t="s">
        <v>378</v>
      </c>
    </row>
    <row r="4333" spans="1:5" x14ac:dyDescent="0.25">
      <c r="A4333" s="279">
        <v>39121</v>
      </c>
      <c r="B4333" t="s">
        <v>338</v>
      </c>
      <c r="C4333" t="s">
        <v>68</v>
      </c>
      <c r="D4333">
        <v>0</v>
      </c>
      <c r="E4333" t="s">
        <v>380</v>
      </c>
    </row>
    <row r="4334" spans="1:5" x14ac:dyDescent="0.25">
      <c r="A4334" s="279">
        <v>39121</v>
      </c>
      <c r="B4334" t="s">
        <v>338</v>
      </c>
      <c r="C4334" t="s">
        <v>69</v>
      </c>
      <c r="D4334">
        <v>57466</v>
      </c>
      <c r="E4334" t="s">
        <v>379</v>
      </c>
    </row>
    <row r="4335" spans="1:5" x14ac:dyDescent="0.25">
      <c r="A4335" s="279">
        <v>39121</v>
      </c>
      <c r="B4335" t="s">
        <v>338</v>
      </c>
      <c r="C4335" t="s">
        <v>70</v>
      </c>
      <c r="D4335">
        <v>0</v>
      </c>
      <c r="E4335" t="s">
        <v>379</v>
      </c>
    </row>
    <row r="4336" spans="1:5" x14ac:dyDescent="0.25">
      <c r="A4336" s="279">
        <v>39121</v>
      </c>
      <c r="B4336" t="s">
        <v>338</v>
      </c>
      <c r="C4336" t="s">
        <v>80</v>
      </c>
      <c r="D4336">
        <v>0</v>
      </c>
      <c r="E4336" t="s">
        <v>379</v>
      </c>
    </row>
    <row r="4337" spans="1:5" x14ac:dyDescent="0.25">
      <c r="A4337" s="279">
        <v>39121</v>
      </c>
      <c r="B4337" t="s">
        <v>339</v>
      </c>
      <c r="C4337" t="s">
        <v>71</v>
      </c>
      <c r="D4337">
        <v>0</v>
      </c>
      <c r="E4337" t="s">
        <v>378</v>
      </c>
    </row>
    <row r="4338" spans="1:5" x14ac:dyDescent="0.25">
      <c r="A4338" s="279">
        <v>39121</v>
      </c>
      <c r="B4338" t="s">
        <v>339</v>
      </c>
      <c r="C4338" t="s">
        <v>72</v>
      </c>
      <c r="D4338">
        <v>4826</v>
      </c>
      <c r="E4338" t="s">
        <v>380</v>
      </c>
    </row>
    <row r="4339" spans="1:5" x14ac:dyDescent="0.25">
      <c r="A4339" s="279">
        <v>39121</v>
      </c>
      <c r="B4339" t="s">
        <v>339</v>
      </c>
      <c r="C4339" t="s">
        <v>73</v>
      </c>
      <c r="D4339">
        <v>0</v>
      </c>
      <c r="E4339" t="s">
        <v>378</v>
      </c>
    </row>
    <row r="4340" spans="1:5" x14ac:dyDescent="0.25">
      <c r="A4340" s="279">
        <v>39121</v>
      </c>
      <c r="B4340" t="s">
        <v>339</v>
      </c>
      <c r="C4340" t="s">
        <v>74</v>
      </c>
      <c r="D4340">
        <v>51181</v>
      </c>
      <c r="E4340" t="s">
        <v>380</v>
      </c>
    </row>
    <row r="4341" spans="1:5" x14ac:dyDescent="0.25">
      <c r="A4341" s="279">
        <v>39121</v>
      </c>
      <c r="B4341" t="s">
        <v>339</v>
      </c>
      <c r="C4341" t="s">
        <v>75</v>
      </c>
      <c r="D4341">
        <v>15035</v>
      </c>
      <c r="E4341" t="s">
        <v>378</v>
      </c>
    </row>
    <row r="4342" spans="1:5" x14ac:dyDescent="0.25">
      <c r="A4342" s="279">
        <v>39121</v>
      </c>
      <c r="B4342" t="s">
        <v>339</v>
      </c>
      <c r="C4342" t="s">
        <v>76</v>
      </c>
      <c r="D4342">
        <v>47145</v>
      </c>
      <c r="E4342" t="s">
        <v>380</v>
      </c>
    </row>
    <row r="4343" spans="1:5" x14ac:dyDescent="0.25">
      <c r="A4343" s="279">
        <v>39121</v>
      </c>
      <c r="B4343" t="s">
        <v>339</v>
      </c>
      <c r="C4343" t="s">
        <v>77</v>
      </c>
      <c r="D4343">
        <v>7282</v>
      </c>
      <c r="E4343" t="s">
        <v>378</v>
      </c>
    </row>
    <row r="4344" spans="1:5" x14ac:dyDescent="0.25">
      <c r="A4344" s="279">
        <v>39121</v>
      </c>
      <c r="B4344" t="s">
        <v>339</v>
      </c>
      <c r="C4344" t="s">
        <v>78</v>
      </c>
      <c r="D4344">
        <v>19155</v>
      </c>
      <c r="E4344" t="s">
        <v>380</v>
      </c>
    </row>
    <row r="4345" spans="1:5" x14ac:dyDescent="0.25">
      <c r="A4345" s="279">
        <v>39121</v>
      </c>
      <c r="B4345" t="s">
        <v>339</v>
      </c>
      <c r="C4345" t="s">
        <v>79</v>
      </c>
      <c r="D4345">
        <v>116535</v>
      </c>
      <c r="E4345" t="s">
        <v>379</v>
      </c>
    </row>
    <row r="4346" spans="1:5" x14ac:dyDescent="0.25">
      <c r="A4346" s="279">
        <v>39121</v>
      </c>
      <c r="B4346" t="s">
        <v>339</v>
      </c>
      <c r="C4346" t="s">
        <v>70</v>
      </c>
      <c r="D4346">
        <v>0</v>
      </c>
      <c r="E4346" t="s">
        <v>379</v>
      </c>
    </row>
    <row r="4347" spans="1:5" x14ac:dyDescent="0.25">
      <c r="A4347" s="279">
        <v>39121</v>
      </c>
      <c r="B4347" t="s">
        <v>339</v>
      </c>
      <c r="C4347" t="s">
        <v>63</v>
      </c>
      <c r="D4347">
        <v>0</v>
      </c>
      <c r="E4347" t="s">
        <v>378</v>
      </c>
    </row>
    <row r="4348" spans="1:5" x14ac:dyDescent="0.25">
      <c r="A4348" s="279">
        <v>39121</v>
      </c>
      <c r="B4348" t="s">
        <v>339</v>
      </c>
      <c r="C4348" t="s">
        <v>80</v>
      </c>
      <c r="D4348">
        <v>133</v>
      </c>
      <c r="E4348" t="s">
        <v>379</v>
      </c>
    </row>
    <row r="4349" spans="1:5" x14ac:dyDescent="0.25">
      <c r="A4349" s="279">
        <v>39122</v>
      </c>
      <c r="B4349" t="s">
        <v>338</v>
      </c>
      <c r="C4349" t="s">
        <v>59</v>
      </c>
      <c r="D4349">
        <v>0</v>
      </c>
      <c r="E4349" t="s">
        <v>378</v>
      </c>
    </row>
    <row r="4350" spans="1:5" x14ac:dyDescent="0.25">
      <c r="A4350" s="279">
        <v>39122</v>
      </c>
      <c r="B4350" t="s">
        <v>338</v>
      </c>
      <c r="C4350" t="s">
        <v>60</v>
      </c>
      <c r="D4350">
        <v>4801</v>
      </c>
      <c r="E4350" t="s">
        <v>379</v>
      </c>
    </row>
    <row r="4351" spans="1:5" x14ac:dyDescent="0.25">
      <c r="A4351" s="279">
        <v>39122</v>
      </c>
      <c r="B4351" t="s">
        <v>338</v>
      </c>
      <c r="C4351" t="s">
        <v>61</v>
      </c>
      <c r="D4351">
        <v>0</v>
      </c>
      <c r="E4351" t="s">
        <v>378</v>
      </c>
    </row>
    <row r="4352" spans="1:5" x14ac:dyDescent="0.25">
      <c r="A4352" s="279">
        <v>39122</v>
      </c>
      <c r="B4352" t="s">
        <v>338</v>
      </c>
      <c r="C4352" t="s">
        <v>62</v>
      </c>
      <c r="D4352">
        <v>33331</v>
      </c>
      <c r="E4352" t="s">
        <v>380</v>
      </c>
    </row>
    <row r="4353" spans="1:5" x14ac:dyDescent="0.25">
      <c r="A4353" s="279">
        <v>39122</v>
      </c>
      <c r="B4353" t="s">
        <v>338</v>
      </c>
      <c r="C4353" t="s">
        <v>63</v>
      </c>
      <c r="D4353">
        <v>0</v>
      </c>
      <c r="E4353" t="s">
        <v>378</v>
      </c>
    </row>
    <row r="4354" spans="1:5" x14ac:dyDescent="0.25">
      <c r="A4354" s="279">
        <v>39122</v>
      </c>
      <c r="B4354" t="s">
        <v>338</v>
      </c>
      <c r="C4354" t="s">
        <v>64</v>
      </c>
      <c r="D4354">
        <v>28170</v>
      </c>
      <c r="E4354" t="s">
        <v>380</v>
      </c>
    </row>
    <row r="4355" spans="1:5" x14ac:dyDescent="0.25">
      <c r="A4355" s="279">
        <v>39122</v>
      </c>
      <c r="B4355" t="s">
        <v>338</v>
      </c>
      <c r="C4355" t="s">
        <v>65</v>
      </c>
      <c r="D4355">
        <v>0</v>
      </c>
      <c r="E4355" t="s">
        <v>378</v>
      </c>
    </row>
    <row r="4356" spans="1:5" x14ac:dyDescent="0.25">
      <c r="A4356" s="279">
        <v>39122</v>
      </c>
      <c r="B4356" t="s">
        <v>338</v>
      </c>
      <c r="C4356" t="s">
        <v>66</v>
      </c>
      <c r="D4356">
        <v>0</v>
      </c>
      <c r="E4356" t="s">
        <v>380</v>
      </c>
    </row>
    <row r="4357" spans="1:5" x14ac:dyDescent="0.25">
      <c r="A4357" s="279">
        <v>39122</v>
      </c>
      <c r="B4357" t="s">
        <v>338</v>
      </c>
      <c r="C4357" t="s">
        <v>120</v>
      </c>
      <c r="D4357">
        <v>0</v>
      </c>
      <c r="E4357" t="s">
        <v>378</v>
      </c>
    </row>
    <row r="4358" spans="1:5" x14ac:dyDescent="0.25">
      <c r="A4358" s="279">
        <v>39122</v>
      </c>
      <c r="B4358" t="s">
        <v>338</v>
      </c>
      <c r="C4358" t="s">
        <v>121</v>
      </c>
      <c r="D4358">
        <v>20026</v>
      </c>
      <c r="E4358" t="s">
        <v>380</v>
      </c>
    </row>
    <row r="4359" spans="1:5" x14ac:dyDescent="0.25">
      <c r="A4359" s="279">
        <v>39122</v>
      </c>
      <c r="B4359" t="s">
        <v>338</v>
      </c>
      <c r="C4359" t="s">
        <v>67</v>
      </c>
      <c r="D4359">
        <v>0</v>
      </c>
      <c r="E4359" t="s">
        <v>378</v>
      </c>
    </row>
    <row r="4360" spans="1:5" x14ac:dyDescent="0.25">
      <c r="A4360" s="279">
        <v>39122</v>
      </c>
      <c r="B4360" t="s">
        <v>338</v>
      </c>
      <c r="C4360" t="s">
        <v>68</v>
      </c>
      <c r="D4360">
        <v>0</v>
      </c>
      <c r="E4360" t="s">
        <v>380</v>
      </c>
    </row>
    <row r="4361" spans="1:5" x14ac:dyDescent="0.25">
      <c r="A4361" s="279">
        <v>39122</v>
      </c>
      <c r="B4361" t="s">
        <v>338</v>
      </c>
      <c r="C4361" t="s">
        <v>69</v>
      </c>
      <c r="D4361">
        <v>57466</v>
      </c>
      <c r="E4361" t="s">
        <v>379</v>
      </c>
    </row>
    <row r="4362" spans="1:5" x14ac:dyDescent="0.25">
      <c r="A4362" s="279">
        <v>39122</v>
      </c>
      <c r="B4362" t="s">
        <v>338</v>
      </c>
      <c r="C4362" t="s">
        <v>70</v>
      </c>
      <c r="D4362">
        <v>0</v>
      </c>
      <c r="E4362" t="s">
        <v>379</v>
      </c>
    </row>
    <row r="4363" spans="1:5" x14ac:dyDescent="0.25">
      <c r="A4363" s="279">
        <v>39122</v>
      </c>
      <c r="B4363" t="s">
        <v>338</v>
      </c>
      <c r="C4363" t="s">
        <v>80</v>
      </c>
      <c r="D4363">
        <v>0</v>
      </c>
      <c r="E4363" t="s">
        <v>379</v>
      </c>
    </row>
    <row r="4364" spans="1:5" x14ac:dyDescent="0.25">
      <c r="A4364" s="279">
        <v>39122</v>
      </c>
      <c r="B4364" t="s">
        <v>339</v>
      </c>
      <c r="C4364" t="s">
        <v>71</v>
      </c>
      <c r="D4364">
        <v>0</v>
      </c>
      <c r="E4364" t="s">
        <v>378</v>
      </c>
    </row>
    <row r="4365" spans="1:5" x14ac:dyDescent="0.25">
      <c r="A4365" s="279">
        <v>39122</v>
      </c>
      <c r="B4365" t="s">
        <v>339</v>
      </c>
      <c r="C4365" t="s">
        <v>72</v>
      </c>
      <c r="D4365">
        <v>4817</v>
      </c>
      <c r="E4365" t="s">
        <v>380</v>
      </c>
    </row>
    <row r="4366" spans="1:5" x14ac:dyDescent="0.25">
      <c r="A4366" s="279">
        <v>39122</v>
      </c>
      <c r="B4366" t="s">
        <v>339</v>
      </c>
      <c r="C4366" t="s">
        <v>73</v>
      </c>
      <c r="D4366">
        <v>0</v>
      </c>
      <c r="E4366" t="s">
        <v>378</v>
      </c>
    </row>
    <row r="4367" spans="1:5" x14ac:dyDescent="0.25">
      <c r="A4367" s="279">
        <v>39122</v>
      </c>
      <c r="B4367" t="s">
        <v>339</v>
      </c>
      <c r="C4367" t="s">
        <v>74</v>
      </c>
      <c r="D4367">
        <v>50949</v>
      </c>
      <c r="E4367" t="s">
        <v>380</v>
      </c>
    </row>
    <row r="4368" spans="1:5" x14ac:dyDescent="0.25">
      <c r="A4368" s="279">
        <v>39122</v>
      </c>
      <c r="B4368" t="s">
        <v>339</v>
      </c>
      <c r="C4368" t="s">
        <v>75</v>
      </c>
      <c r="D4368">
        <v>15006</v>
      </c>
      <c r="E4368" t="s">
        <v>378</v>
      </c>
    </row>
    <row r="4369" spans="1:5" x14ac:dyDescent="0.25">
      <c r="A4369" s="279">
        <v>39122</v>
      </c>
      <c r="B4369" t="s">
        <v>339</v>
      </c>
      <c r="C4369" t="s">
        <v>76</v>
      </c>
      <c r="D4369">
        <v>47054</v>
      </c>
      <c r="E4369" t="s">
        <v>380</v>
      </c>
    </row>
    <row r="4370" spans="1:5" x14ac:dyDescent="0.25">
      <c r="A4370" s="279">
        <v>39122</v>
      </c>
      <c r="B4370" t="s">
        <v>339</v>
      </c>
      <c r="C4370" t="s">
        <v>77</v>
      </c>
      <c r="D4370">
        <v>7268</v>
      </c>
      <c r="E4370" t="s">
        <v>378</v>
      </c>
    </row>
    <row r="4371" spans="1:5" x14ac:dyDescent="0.25">
      <c r="A4371" s="279">
        <v>39122</v>
      </c>
      <c r="B4371" t="s">
        <v>339</v>
      </c>
      <c r="C4371" t="s">
        <v>78</v>
      </c>
      <c r="D4371">
        <v>19118</v>
      </c>
      <c r="E4371" t="s">
        <v>380</v>
      </c>
    </row>
    <row r="4372" spans="1:5" x14ac:dyDescent="0.25">
      <c r="A4372" s="279">
        <v>39122</v>
      </c>
      <c r="B4372" t="s">
        <v>339</v>
      </c>
      <c r="C4372" t="s">
        <v>79</v>
      </c>
      <c r="D4372">
        <v>115745</v>
      </c>
      <c r="E4372" t="s">
        <v>379</v>
      </c>
    </row>
    <row r="4373" spans="1:5" x14ac:dyDescent="0.25">
      <c r="A4373" s="279">
        <v>39122</v>
      </c>
      <c r="B4373" t="s">
        <v>339</v>
      </c>
      <c r="C4373" t="s">
        <v>70</v>
      </c>
      <c r="D4373">
        <v>0</v>
      </c>
      <c r="E4373" t="s">
        <v>379</v>
      </c>
    </row>
    <row r="4374" spans="1:5" x14ac:dyDescent="0.25">
      <c r="A4374" s="279">
        <v>39122</v>
      </c>
      <c r="B4374" t="s">
        <v>339</v>
      </c>
      <c r="C4374" t="s">
        <v>63</v>
      </c>
      <c r="D4374">
        <v>0</v>
      </c>
      <c r="E4374" t="s">
        <v>378</v>
      </c>
    </row>
    <row r="4375" spans="1:5" x14ac:dyDescent="0.25">
      <c r="A4375" s="279">
        <v>39122</v>
      </c>
      <c r="B4375" t="s">
        <v>339</v>
      </c>
      <c r="C4375" t="s">
        <v>80</v>
      </c>
      <c r="D4375">
        <v>133</v>
      </c>
      <c r="E4375" t="s">
        <v>379</v>
      </c>
    </row>
    <row r="4376" spans="1:5" x14ac:dyDescent="0.25">
      <c r="A4376" s="279">
        <v>39123</v>
      </c>
      <c r="B4376" t="s">
        <v>338</v>
      </c>
      <c r="C4376" t="s">
        <v>59</v>
      </c>
      <c r="D4376">
        <v>0</v>
      </c>
      <c r="E4376" t="s">
        <v>378</v>
      </c>
    </row>
    <row r="4377" spans="1:5" x14ac:dyDescent="0.25">
      <c r="A4377" s="279">
        <v>39123</v>
      </c>
      <c r="B4377" t="s">
        <v>338</v>
      </c>
      <c r="C4377" t="s">
        <v>60</v>
      </c>
      <c r="D4377">
        <v>4801</v>
      </c>
      <c r="E4377" t="s">
        <v>379</v>
      </c>
    </row>
    <row r="4378" spans="1:5" x14ac:dyDescent="0.25">
      <c r="A4378" s="279">
        <v>39123</v>
      </c>
      <c r="B4378" t="s">
        <v>338</v>
      </c>
      <c r="C4378" t="s">
        <v>61</v>
      </c>
      <c r="D4378">
        <v>0</v>
      </c>
      <c r="E4378" t="s">
        <v>378</v>
      </c>
    </row>
    <row r="4379" spans="1:5" x14ac:dyDescent="0.25">
      <c r="A4379" s="279">
        <v>39123</v>
      </c>
      <c r="B4379" t="s">
        <v>338</v>
      </c>
      <c r="C4379" t="s">
        <v>62</v>
      </c>
      <c r="D4379">
        <v>34830</v>
      </c>
      <c r="E4379" t="s">
        <v>380</v>
      </c>
    </row>
    <row r="4380" spans="1:5" x14ac:dyDescent="0.25">
      <c r="A4380" s="279">
        <v>39123</v>
      </c>
      <c r="B4380" t="s">
        <v>338</v>
      </c>
      <c r="C4380" t="s">
        <v>63</v>
      </c>
      <c r="D4380">
        <v>0</v>
      </c>
      <c r="E4380" t="s">
        <v>378</v>
      </c>
    </row>
    <row r="4381" spans="1:5" x14ac:dyDescent="0.25">
      <c r="A4381" s="279">
        <v>39123</v>
      </c>
      <c r="B4381" t="s">
        <v>338</v>
      </c>
      <c r="C4381" t="s">
        <v>64</v>
      </c>
      <c r="D4381">
        <v>28170</v>
      </c>
      <c r="E4381" t="s">
        <v>380</v>
      </c>
    </row>
    <row r="4382" spans="1:5" x14ac:dyDescent="0.25">
      <c r="A4382" s="279">
        <v>39123</v>
      </c>
      <c r="B4382" t="s">
        <v>338</v>
      </c>
      <c r="C4382" t="s">
        <v>65</v>
      </c>
      <c r="D4382">
        <v>0</v>
      </c>
      <c r="E4382" t="s">
        <v>378</v>
      </c>
    </row>
    <row r="4383" spans="1:5" x14ac:dyDescent="0.25">
      <c r="A4383" s="279">
        <v>39123</v>
      </c>
      <c r="B4383" t="s">
        <v>338</v>
      </c>
      <c r="C4383" t="s">
        <v>66</v>
      </c>
      <c r="D4383">
        <v>0</v>
      </c>
      <c r="E4383" t="s">
        <v>380</v>
      </c>
    </row>
    <row r="4384" spans="1:5" x14ac:dyDescent="0.25">
      <c r="A4384" s="279">
        <v>39123</v>
      </c>
      <c r="B4384" t="s">
        <v>338</v>
      </c>
      <c r="C4384" t="s">
        <v>120</v>
      </c>
      <c r="D4384">
        <v>0</v>
      </c>
      <c r="E4384" t="s">
        <v>378</v>
      </c>
    </row>
    <row r="4385" spans="1:5" x14ac:dyDescent="0.25">
      <c r="A4385" s="279">
        <v>39123</v>
      </c>
      <c r="B4385" t="s">
        <v>338</v>
      </c>
      <c r="C4385" t="s">
        <v>121</v>
      </c>
      <c r="D4385">
        <v>20026</v>
      </c>
      <c r="E4385" t="s">
        <v>380</v>
      </c>
    </row>
    <row r="4386" spans="1:5" x14ac:dyDescent="0.25">
      <c r="A4386" s="279">
        <v>39123</v>
      </c>
      <c r="B4386" t="s">
        <v>338</v>
      </c>
      <c r="C4386" t="s">
        <v>67</v>
      </c>
      <c r="D4386">
        <v>0</v>
      </c>
      <c r="E4386" t="s">
        <v>378</v>
      </c>
    </row>
    <row r="4387" spans="1:5" x14ac:dyDescent="0.25">
      <c r="A4387" s="279">
        <v>39123</v>
      </c>
      <c r="B4387" t="s">
        <v>338</v>
      </c>
      <c r="C4387" t="s">
        <v>68</v>
      </c>
      <c r="D4387">
        <v>0</v>
      </c>
      <c r="E4387" t="s">
        <v>380</v>
      </c>
    </row>
    <row r="4388" spans="1:5" x14ac:dyDescent="0.25">
      <c r="A4388" s="279">
        <v>39123</v>
      </c>
      <c r="B4388" t="s">
        <v>338</v>
      </c>
      <c r="C4388" t="s">
        <v>69</v>
      </c>
      <c r="D4388">
        <v>57466</v>
      </c>
      <c r="E4388" t="s">
        <v>379</v>
      </c>
    </row>
    <row r="4389" spans="1:5" x14ac:dyDescent="0.25">
      <c r="A4389" s="279">
        <v>39123</v>
      </c>
      <c r="B4389" t="s">
        <v>338</v>
      </c>
      <c r="C4389" t="s">
        <v>70</v>
      </c>
      <c r="D4389">
        <v>0</v>
      </c>
      <c r="E4389" t="s">
        <v>379</v>
      </c>
    </row>
    <row r="4390" spans="1:5" x14ac:dyDescent="0.25">
      <c r="A4390" s="279">
        <v>39123</v>
      </c>
      <c r="B4390" t="s">
        <v>338</v>
      </c>
      <c r="C4390" t="s">
        <v>80</v>
      </c>
      <c r="D4390">
        <v>0</v>
      </c>
      <c r="E4390" t="s">
        <v>379</v>
      </c>
    </row>
    <row r="4391" spans="1:5" x14ac:dyDescent="0.25">
      <c r="A4391" s="279">
        <v>39123</v>
      </c>
      <c r="B4391" t="s">
        <v>339</v>
      </c>
      <c r="C4391" t="s">
        <v>71</v>
      </c>
      <c r="D4391">
        <v>0</v>
      </c>
      <c r="E4391" t="s">
        <v>378</v>
      </c>
    </row>
    <row r="4392" spans="1:5" x14ac:dyDescent="0.25">
      <c r="A4392" s="279">
        <v>39123</v>
      </c>
      <c r="B4392" t="s">
        <v>339</v>
      </c>
      <c r="C4392" t="s">
        <v>72</v>
      </c>
      <c r="D4392">
        <v>4817</v>
      </c>
      <c r="E4392" t="s">
        <v>380</v>
      </c>
    </row>
    <row r="4393" spans="1:5" x14ac:dyDescent="0.25">
      <c r="A4393" s="279">
        <v>39123</v>
      </c>
      <c r="B4393" t="s">
        <v>339</v>
      </c>
      <c r="C4393" t="s">
        <v>73</v>
      </c>
      <c r="D4393">
        <v>0</v>
      </c>
      <c r="E4393" t="s">
        <v>378</v>
      </c>
    </row>
    <row r="4394" spans="1:5" x14ac:dyDescent="0.25">
      <c r="A4394" s="279">
        <v>39123</v>
      </c>
      <c r="B4394" t="s">
        <v>339</v>
      </c>
      <c r="C4394" t="s">
        <v>74</v>
      </c>
      <c r="D4394">
        <v>54181</v>
      </c>
      <c r="E4394" t="s">
        <v>380</v>
      </c>
    </row>
    <row r="4395" spans="1:5" x14ac:dyDescent="0.25">
      <c r="A4395" s="279">
        <v>39123</v>
      </c>
      <c r="B4395" t="s">
        <v>339</v>
      </c>
      <c r="C4395" t="s">
        <v>75</v>
      </c>
      <c r="D4395">
        <v>15006</v>
      </c>
      <c r="E4395" t="s">
        <v>378</v>
      </c>
    </row>
    <row r="4396" spans="1:5" x14ac:dyDescent="0.25">
      <c r="A4396" s="279">
        <v>39123</v>
      </c>
      <c r="B4396" t="s">
        <v>339</v>
      </c>
      <c r="C4396" t="s">
        <v>76</v>
      </c>
      <c r="D4396">
        <v>47054</v>
      </c>
      <c r="E4396" t="s">
        <v>380</v>
      </c>
    </row>
    <row r="4397" spans="1:5" x14ac:dyDescent="0.25">
      <c r="A4397" s="279">
        <v>39123</v>
      </c>
      <c r="B4397" t="s">
        <v>339</v>
      </c>
      <c r="C4397" t="s">
        <v>77</v>
      </c>
      <c r="D4397">
        <v>7268</v>
      </c>
      <c r="E4397" t="s">
        <v>378</v>
      </c>
    </row>
    <row r="4398" spans="1:5" x14ac:dyDescent="0.25">
      <c r="A4398" s="279">
        <v>39123</v>
      </c>
      <c r="B4398" t="s">
        <v>339</v>
      </c>
      <c r="C4398" t="s">
        <v>78</v>
      </c>
      <c r="D4398">
        <v>19118</v>
      </c>
      <c r="E4398" t="s">
        <v>380</v>
      </c>
    </row>
    <row r="4399" spans="1:5" x14ac:dyDescent="0.25">
      <c r="A4399" s="279">
        <v>39123</v>
      </c>
      <c r="B4399" t="s">
        <v>339</v>
      </c>
      <c r="C4399" t="s">
        <v>79</v>
      </c>
      <c r="D4399">
        <v>116310</v>
      </c>
      <c r="E4399" t="s">
        <v>379</v>
      </c>
    </row>
    <row r="4400" spans="1:5" x14ac:dyDescent="0.25">
      <c r="A4400" s="279">
        <v>39123</v>
      </c>
      <c r="B4400" t="s">
        <v>339</v>
      </c>
      <c r="C4400" t="s">
        <v>70</v>
      </c>
      <c r="D4400">
        <v>0</v>
      </c>
      <c r="E4400" t="s">
        <v>379</v>
      </c>
    </row>
    <row r="4401" spans="1:5" x14ac:dyDescent="0.25">
      <c r="A4401" s="279">
        <v>39123</v>
      </c>
      <c r="B4401" t="s">
        <v>339</v>
      </c>
      <c r="C4401" t="s">
        <v>63</v>
      </c>
      <c r="D4401">
        <v>0</v>
      </c>
      <c r="E4401" t="s">
        <v>378</v>
      </c>
    </row>
    <row r="4402" spans="1:5" x14ac:dyDescent="0.25">
      <c r="A4402" s="279">
        <v>39123</v>
      </c>
      <c r="B4402" t="s">
        <v>339</v>
      </c>
      <c r="C4402" t="s">
        <v>80</v>
      </c>
      <c r="D4402">
        <v>133</v>
      </c>
      <c r="E4402" t="s">
        <v>379</v>
      </c>
    </row>
    <row r="4403" spans="1:5" x14ac:dyDescent="0.25">
      <c r="A4403" s="279">
        <v>39124</v>
      </c>
      <c r="B4403" t="s">
        <v>338</v>
      </c>
      <c r="C4403" t="s">
        <v>59</v>
      </c>
      <c r="D4403">
        <v>0</v>
      </c>
      <c r="E4403" t="s">
        <v>378</v>
      </c>
    </row>
    <row r="4404" spans="1:5" x14ac:dyDescent="0.25">
      <c r="A4404" s="279">
        <v>39124</v>
      </c>
      <c r="B4404" t="s">
        <v>338</v>
      </c>
      <c r="C4404" t="s">
        <v>60</v>
      </c>
      <c r="D4404">
        <v>4801</v>
      </c>
      <c r="E4404" t="s">
        <v>379</v>
      </c>
    </row>
    <row r="4405" spans="1:5" x14ac:dyDescent="0.25">
      <c r="A4405" s="279">
        <v>39124</v>
      </c>
      <c r="B4405" t="s">
        <v>338</v>
      </c>
      <c r="C4405" t="s">
        <v>61</v>
      </c>
      <c r="D4405">
        <v>0</v>
      </c>
      <c r="E4405" t="s">
        <v>378</v>
      </c>
    </row>
    <row r="4406" spans="1:5" x14ac:dyDescent="0.25">
      <c r="A4406" s="279">
        <v>39124</v>
      </c>
      <c r="B4406" t="s">
        <v>338</v>
      </c>
      <c r="C4406" t="s">
        <v>62</v>
      </c>
      <c r="D4406">
        <v>14075</v>
      </c>
      <c r="E4406" t="s">
        <v>380</v>
      </c>
    </row>
    <row r="4407" spans="1:5" x14ac:dyDescent="0.25">
      <c r="A4407" s="279">
        <v>39124</v>
      </c>
      <c r="B4407" t="s">
        <v>338</v>
      </c>
      <c r="C4407" t="s">
        <v>63</v>
      </c>
      <c r="D4407">
        <v>0</v>
      </c>
      <c r="E4407" t="s">
        <v>378</v>
      </c>
    </row>
    <row r="4408" spans="1:5" x14ac:dyDescent="0.25">
      <c r="A4408" s="279">
        <v>39124</v>
      </c>
      <c r="B4408" t="s">
        <v>338</v>
      </c>
      <c r="C4408" t="s">
        <v>64</v>
      </c>
      <c r="D4408">
        <v>28170</v>
      </c>
      <c r="E4408" t="s">
        <v>380</v>
      </c>
    </row>
    <row r="4409" spans="1:5" x14ac:dyDescent="0.25">
      <c r="A4409" s="279">
        <v>39124</v>
      </c>
      <c r="B4409" t="s">
        <v>338</v>
      </c>
      <c r="C4409" t="s">
        <v>65</v>
      </c>
      <c r="D4409">
        <v>0</v>
      </c>
      <c r="E4409" t="s">
        <v>378</v>
      </c>
    </row>
    <row r="4410" spans="1:5" x14ac:dyDescent="0.25">
      <c r="A4410" s="279">
        <v>39124</v>
      </c>
      <c r="B4410" t="s">
        <v>338</v>
      </c>
      <c r="C4410" t="s">
        <v>66</v>
      </c>
      <c r="D4410">
        <v>0</v>
      </c>
      <c r="E4410" t="s">
        <v>380</v>
      </c>
    </row>
    <row r="4411" spans="1:5" x14ac:dyDescent="0.25">
      <c r="A4411" s="279">
        <v>39124</v>
      </c>
      <c r="B4411" t="s">
        <v>338</v>
      </c>
      <c r="C4411" t="s">
        <v>120</v>
      </c>
      <c r="D4411">
        <v>0</v>
      </c>
      <c r="E4411" t="s">
        <v>378</v>
      </c>
    </row>
    <row r="4412" spans="1:5" x14ac:dyDescent="0.25">
      <c r="A4412" s="279">
        <v>39124</v>
      </c>
      <c r="B4412" t="s">
        <v>338</v>
      </c>
      <c r="C4412" t="s">
        <v>121</v>
      </c>
      <c r="D4412">
        <v>20026</v>
      </c>
      <c r="E4412" t="s">
        <v>380</v>
      </c>
    </row>
    <row r="4413" spans="1:5" x14ac:dyDescent="0.25">
      <c r="A4413" s="279">
        <v>39124</v>
      </c>
      <c r="B4413" t="s">
        <v>338</v>
      </c>
      <c r="C4413" t="s">
        <v>67</v>
      </c>
      <c r="D4413">
        <v>0</v>
      </c>
      <c r="E4413" t="s">
        <v>378</v>
      </c>
    </row>
    <row r="4414" spans="1:5" x14ac:dyDescent="0.25">
      <c r="A4414" s="279">
        <v>39124</v>
      </c>
      <c r="B4414" t="s">
        <v>338</v>
      </c>
      <c r="C4414" t="s">
        <v>68</v>
      </c>
      <c r="D4414">
        <v>0</v>
      </c>
      <c r="E4414" t="s">
        <v>380</v>
      </c>
    </row>
    <row r="4415" spans="1:5" x14ac:dyDescent="0.25">
      <c r="A4415" s="279">
        <v>39124</v>
      </c>
      <c r="B4415" t="s">
        <v>338</v>
      </c>
      <c r="C4415" t="s">
        <v>69</v>
      </c>
      <c r="D4415">
        <v>57466</v>
      </c>
      <c r="E4415" t="s">
        <v>379</v>
      </c>
    </row>
    <row r="4416" spans="1:5" x14ac:dyDescent="0.25">
      <c r="A4416" s="279">
        <v>39124</v>
      </c>
      <c r="B4416" t="s">
        <v>338</v>
      </c>
      <c r="C4416" t="s">
        <v>70</v>
      </c>
      <c r="D4416">
        <v>0</v>
      </c>
      <c r="E4416" t="s">
        <v>379</v>
      </c>
    </row>
    <row r="4417" spans="1:5" x14ac:dyDescent="0.25">
      <c r="A4417" s="279">
        <v>39124</v>
      </c>
      <c r="B4417" t="s">
        <v>338</v>
      </c>
      <c r="C4417" t="s">
        <v>80</v>
      </c>
      <c r="D4417">
        <v>0</v>
      </c>
      <c r="E4417" t="s">
        <v>379</v>
      </c>
    </row>
    <row r="4418" spans="1:5" x14ac:dyDescent="0.25">
      <c r="A4418" s="279">
        <v>39124</v>
      </c>
      <c r="B4418" t="s">
        <v>339</v>
      </c>
      <c r="C4418" t="s">
        <v>71</v>
      </c>
      <c r="D4418">
        <v>0</v>
      </c>
      <c r="E4418" t="s">
        <v>378</v>
      </c>
    </row>
    <row r="4419" spans="1:5" x14ac:dyDescent="0.25">
      <c r="A4419" s="279">
        <v>39124</v>
      </c>
      <c r="B4419" t="s">
        <v>339</v>
      </c>
      <c r="C4419" t="s">
        <v>72</v>
      </c>
      <c r="D4419">
        <v>4826</v>
      </c>
      <c r="E4419" t="s">
        <v>380</v>
      </c>
    </row>
    <row r="4420" spans="1:5" x14ac:dyDescent="0.25">
      <c r="A4420" s="279">
        <v>39124</v>
      </c>
      <c r="B4420" t="s">
        <v>339</v>
      </c>
      <c r="C4420" t="s">
        <v>73</v>
      </c>
      <c r="D4420">
        <v>0</v>
      </c>
      <c r="E4420" t="s">
        <v>378</v>
      </c>
    </row>
    <row r="4421" spans="1:5" x14ac:dyDescent="0.25">
      <c r="A4421" s="279">
        <v>39124</v>
      </c>
      <c r="B4421" t="s">
        <v>339</v>
      </c>
      <c r="C4421" t="s">
        <v>74</v>
      </c>
      <c r="D4421">
        <v>42778</v>
      </c>
      <c r="E4421" t="s">
        <v>380</v>
      </c>
    </row>
    <row r="4422" spans="1:5" x14ac:dyDescent="0.25">
      <c r="A4422" s="279">
        <v>39124</v>
      </c>
      <c r="B4422" t="s">
        <v>339</v>
      </c>
      <c r="C4422" t="s">
        <v>75</v>
      </c>
      <c r="D4422">
        <v>15035</v>
      </c>
      <c r="E4422" t="s">
        <v>378</v>
      </c>
    </row>
    <row r="4423" spans="1:5" x14ac:dyDescent="0.25">
      <c r="A4423" s="279">
        <v>39124</v>
      </c>
      <c r="B4423" t="s">
        <v>339</v>
      </c>
      <c r="C4423" t="s">
        <v>76</v>
      </c>
      <c r="D4423">
        <v>47145</v>
      </c>
      <c r="E4423" t="s">
        <v>380</v>
      </c>
    </row>
    <row r="4424" spans="1:5" x14ac:dyDescent="0.25">
      <c r="A4424" s="279">
        <v>39124</v>
      </c>
      <c r="B4424" t="s">
        <v>339</v>
      </c>
      <c r="C4424" t="s">
        <v>77</v>
      </c>
      <c r="D4424">
        <v>7282</v>
      </c>
      <c r="E4424" t="s">
        <v>378</v>
      </c>
    </row>
    <row r="4425" spans="1:5" x14ac:dyDescent="0.25">
      <c r="A4425" s="279">
        <v>39124</v>
      </c>
      <c r="B4425" t="s">
        <v>339</v>
      </c>
      <c r="C4425" t="s">
        <v>78</v>
      </c>
      <c r="D4425">
        <v>19155</v>
      </c>
      <c r="E4425" t="s">
        <v>380</v>
      </c>
    </row>
    <row r="4426" spans="1:5" x14ac:dyDescent="0.25">
      <c r="A4426" s="279">
        <v>39124</v>
      </c>
      <c r="B4426" t="s">
        <v>339</v>
      </c>
      <c r="C4426" t="s">
        <v>79</v>
      </c>
      <c r="D4426">
        <v>116535</v>
      </c>
      <c r="E4426" t="s">
        <v>379</v>
      </c>
    </row>
    <row r="4427" spans="1:5" x14ac:dyDescent="0.25">
      <c r="A4427" s="279">
        <v>39124</v>
      </c>
      <c r="B4427" t="s">
        <v>339</v>
      </c>
      <c r="C4427" t="s">
        <v>70</v>
      </c>
      <c r="D4427">
        <v>0</v>
      </c>
      <c r="E4427" t="s">
        <v>379</v>
      </c>
    </row>
    <row r="4428" spans="1:5" x14ac:dyDescent="0.25">
      <c r="A4428" s="279">
        <v>39124</v>
      </c>
      <c r="B4428" t="s">
        <v>339</v>
      </c>
      <c r="C4428" t="s">
        <v>63</v>
      </c>
      <c r="D4428">
        <v>0</v>
      </c>
      <c r="E4428" t="s">
        <v>378</v>
      </c>
    </row>
    <row r="4429" spans="1:5" x14ac:dyDescent="0.25">
      <c r="A4429" s="279">
        <v>39124</v>
      </c>
      <c r="B4429" t="s">
        <v>339</v>
      </c>
      <c r="C4429" t="s">
        <v>80</v>
      </c>
      <c r="D4429">
        <v>133</v>
      </c>
      <c r="E4429" t="s">
        <v>379</v>
      </c>
    </row>
    <row r="4430" spans="1:5" x14ac:dyDescent="0.25">
      <c r="A4430" s="279">
        <v>39125</v>
      </c>
      <c r="B4430" t="s">
        <v>338</v>
      </c>
      <c r="C4430" t="s">
        <v>59</v>
      </c>
      <c r="D4430">
        <v>0</v>
      </c>
      <c r="E4430" t="s">
        <v>378</v>
      </c>
    </row>
    <row r="4431" spans="1:5" x14ac:dyDescent="0.25">
      <c r="A4431" s="279">
        <v>39125</v>
      </c>
      <c r="B4431" t="s">
        <v>338</v>
      </c>
      <c r="C4431" t="s">
        <v>60</v>
      </c>
      <c r="D4431">
        <v>4801</v>
      </c>
      <c r="E4431" t="s">
        <v>379</v>
      </c>
    </row>
    <row r="4432" spans="1:5" x14ac:dyDescent="0.25">
      <c r="A4432" s="279">
        <v>39125</v>
      </c>
      <c r="B4432" t="s">
        <v>338</v>
      </c>
      <c r="C4432" t="s">
        <v>61</v>
      </c>
      <c r="D4432">
        <v>0</v>
      </c>
      <c r="E4432" t="s">
        <v>378</v>
      </c>
    </row>
    <row r="4433" spans="1:5" x14ac:dyDescent="0.25">
      <c r="A4433" s="279">
        <v>39125</v>
      </c>
      <c r="B4433" t="s">
        <v>338</v>
      </c>
      <c r="C4433" t="s">
        <v>62</v>
      </c>
      <c r="D4433">
        <v>913</v>
      </c>
      <c r="E4433" t="s">
        <v>380</v>
      </c>
    </row>
    <row r="4434" spans="1:5" x14ac:dyDescent="0.25">
      <c r="A4434" s="279">
        <v>39125</v>
      </c>
      <c r="B4434" t="s">
        <v>338</v>
      </c>
      <c r="C4434" t="s">
        <v>63</v>
      </c>
      <c r="D4434">
        <v>0</v>
      </c>
      <c r="E4434" t="s">
        <v>378</v>
      </c>
    </row>
    <row r="4435" spans="1:5" x14ac:dyDescent="0.25">
      <c r="A4435" s="279">
        <v>39125</v>
      </c>
      <c r="B4435" t="s">
        <v>338</v>
      </c>
      <c r="C4435" t="s">
        <v>64</v>
      </c>
      <c r="D4435">
        <v>24695</v>
      </c>
      <c r="E4435" t="s">
        <v>380</v>
      </c>
    </row>
    <row r="4436" spans="1:5" x14ac:dyDescent="0.25">
      <c r="A4436" s="279">
        <v>39125</v>
      </c>
      <c r="B4436" t="s">
        <v>338</v>
      </c>
      <c r="C4436" t="s">
        <v>65</v>
      </c>
      <c r="D4436">
        <v>0</v>
      </c>
      <c r="E4436" t="s">
        <v>378</v>
      </c>
    </row>
    <row r="4437" spans="1:5" x14ac:dyDescent="0.25">
      <c r="A4437" s="279">
        <v>39125</v>
      </c>
      <c r="B4437" t="s">
        <v>338</v>
      </c>
      <c r="C4437" t="s">
        <v>66</v>
      </c>
      <c r="D4437">
        <v>0</v>
      </c>
      <c r="E4437" t="s">
        <v>380</v>
      </c>
    </row>
    <row r="4438" spans="1:5" x14ac:dyDescent="0.25">
      <c r="A4438" s="279">
        <v>39125</v>
      </c>
      <c r="B4438" t="s">
        <v>338</v>
      </c>
      <c r="C4438" t="s">
        <v>120</v>
      </c>
      <c r="D4438">
        <v>0</v>
      </c>
      <c r="E4438" t="s">
        <v>378</v>
      </c>
    </row>
    <row r="4439" spans="1:5" x14ac:dyDescent="0.25">
      <c r="A4439" s="279">
        <v>39125</v>
      </c>
      <c r="B4439" t="s">
        <v>338</v>
      </c>
      <c r="C4439" t="s">
        <v>121</v>
      </c>
      <c r="D4439">
        <v>10567</v>
      </c>
      <c r="E4439" t="s">
        <v>380</v>
      </c>
    </row>
    <row r="4440" spans="1:5" x14ac:dyDescent="0.25">
      <c r="A4440" s="279">
        <v>39125</v>
      </c>
      <c r="B4440" t="s">
        <v>338</v>
      </c>
      <c r="C4440" t="s">
        <v>67</v>
      </c>
      <c r="D4440">
        <v>0</v>
      </c>
      <c r="E4440" t="s">
        <v>378</v>
      </c>
    </row>
    <row r="4441" spans="1:5" x14ac:dyDescent="0.25">
      <c r="A4441" s="279">
        <v>39125</v>
      </c>
      <c r="B4441" t="s">
        <v>338</v>
      </c>
      <c r="C4441" t="s">
        <v>68</v>
      </c>
      <c r="D4441">
        <v>0</v>
      </c>
      <c r="E4441" t="s">
        <v>380</v>
      </c>
    </row>
    <row r="4442" spans="1:5" x14ac:dyDescent="0.25">
      <c r="A4442" s="279">
        <v>39125</v>
      </c>
      <c r="B4442" t="s">
        <v>338</v>
      </c>
      <c r="C4442" t="s">
        <v>69</v>
      </c>
      <c r="D4442">
        <v>57466</v>
      </c>
      <c r="E4442" t="s">
        <v>379</v>
      </c>
    </row>
    <row r="4443" spans="1:5" x14ac:dyDescent="0.25">
      <c r="A4443" s="279">
        <v>39125</v>
      </c>
      <c r="B4443" t="s">
        <v>338</v>
      </c>
      <c r="C4443" t="s">
        <v>70</v>
      </c>
      <c r="D4443">
        <v>0</v>
      </c>
      <c r="E4443" t="s">
        <v>379</v>
      </c>
    </row>
    <row r="4444" spans="1:5" x14ac:dyDescent="0.25">
      <c r="A4444" s="279">
        <v>39125</v>
      </c>
      <c r="B4444" t="s">
        <v>338</v>
      </c>
      <c r="C4444" t="s">
        <v>80</v>
      </c>
      <c r="D4444">
        <v>0</v>
      </c>
      <c r="E4444" t="s">
        <v>379</v>
      </c>
    </row>
    <row r="4445" spans="1:5" x14ac:dyDescent="0.25">
      <c r="A4445" s="279">
        <v>39125</v>
      </c>
      <c r="B4445" t="s">
        <v>339</v>
      </c>
      <c r="C4445" t="s">
        <v>71</v>
      </c>
      <c r="D4445">
        <v>0</v>
      </c>
      <c r="E4445" t="s">
        <v>378</v>
      </c>
    </row>
    <row r="4446" spans="1:5" x14ac:dyDescent="0.25">
      <c r="A4446" s="279">
        <v>39125</v>
      </c>
      <c r="B4446" t="s">
        <v>339</v>
      </c>
      <c r="C4446" t="s">
        <v>72</v>
      </c>
      <c r="D4446">
        <v>4836</v>
      </c>
      <c r="E4446" t="s">
        <v>380</v>
      </c>
    </row>
    <row r="4447" spans="1:5" x14ac:dyDescent="0.25">
      <c r="A4447" s="279">
        <v>39125</v>
      </c>
      <c r="B4447" t="s">
        <v>339</v>
      </c>
      <c r="C4447" t="s">
        <v>73</v>
      </c>
      <c r="D4447">
        <v>0</v>
      </c>
      <c r="E4447" t="s">
        <v>378</v>
      </c>
    </row>
    <row r="4448" spans="1:5" x14ac:dyDescent="0.25">
      <c r="A4448" s="279">
        <v>39125</v>
      </c>
      <c r="B4448" t="s">
        <v>339</v>
      </c>
      <c r="C4448" t="s">
        <v>74</v>
      </c>
      <c r="D4448">
        <v>41923</v>
      </c>
      <c r="E4448" t="s">
        <v>380</v>
      </c>
    </row>
    <row r="4449" spans="1:5" x14ac:dyDescent="0.25">
      <c r="A4449" s="279">
        <v>39125</v>
      </c>
      <c r="B4449" t="s">
        <v>339</v>
      </c>
      <c r="C4449" t="s">
        <v>75</v>
      </c>
      <c r="D4449">
        <v>15065</v>
      </c>
      <c r="E4449" t="s">
        <v>378</v>
      </c>
    </row>
    <row r="4450" spans="1:5" x14ac:dyDescent="0.25">
      <c r="A4450" s="279">
        <v>39125</v>
      </c>
      <c r="B4450" t="s">
        <v>339</v>
      </c>
      <c r="C4450" t="s">
        <v>76</v>
      </c>
      <c r="D4450">
        <v>14522</v>
      </c>
      <c r="E4450" t="s">
        <v>380</v>
      </c>
    </row>
    <row r="4451" spans="1:5" x14ac:dyDescent="0.25">
      <c r="A4451" s="279">
        <v>39125</v>
      </c>
      <c r="B4451" t="s">
        <v>339</v>
      </c>
      <c r="C4451" t="s">
        <v>77</v>
      </c>
      <c r="D4451">
        <v>7296</v>
      </c>
      <c r="E4451" t="s">
        <v>378</v>
      </c>
    </row>
    <row r="4452" spans="1:5" x14ac:dyDescent="0.25">
      <c r="A4452" s="279">
        <v>39125</v>
      </c>
      <c r="B4452" t="s">
        <v>339</v>
      </c>
      <c r="C4452" t="s">
        <v>78</v>
      </c>
      <c r="D4452">
        <v>7029</v>
      </c>
      <c r="E4452" t="s">
        <v>380</v>
      </c>
    </row>
    <row r="4453" spans="1:5" x14ac:dyDescent="0.25">
      <c r="A4453" s="279">
        <v>39125</v>
      </c>
      <c r="B4453" t="s">
        <v>339</v>
      </c>
      <c r="C4453" t="s">
        <v>79</v>
      </c>
      <c r="D4453">
        <v>116760</v>
      </c>
      <c r="E4453" t="s">
        <v>379</v>
      </c>
    </row>
    <row r="4454" spans="1:5" x14ac:dyDescent="0.25">
      <c r="A4454" s="279">
        <v>39125</v>
      </c>
      <c r="B4454" t="s">
        <v>339</v>
      </c>
      <c r="C4454" t="s">
        <v>70</v>
      </c>
      <c r="D4454">
        <v>0</v>
      </c>
      <c r="E4454" t="s">
        <v>379</v>
      </c>
    </row>
    <row r="4455" spans="1:5" x14ac:dyDescent="0.25">
      <c r="A4455" s="279">
        <v>39125</v>
      </c>
      <c r="B4455" t="s">
        <v>339</v>
      </c>
      <c r="C4455" t="s">
        <v>63</v>
      </c>
      <c r="D4455">
        <v>0</v>
      </c>
      <c r="E4455" t="s">
        <v>378</v>
      </c>
    </row>
    <row r="4456" spans="1:5" x14ac:dyDescent="0.25">
      <c r="A4456" s="279">
        <v>39125</v>
      </c>
      <c r="B4456" t="s">
        <v>339</v>
      </c>
      <c r="C4456" t="s">
        <v>80</v>
      </c>
      <c r="D4456">
        <v>134</v>
      </c>
      <c r="E4456" t="s">
        <v>379</v>
      </c>
    </row>
    <row r="4457" spans="1:5" x14ac:dyDescent="0.25">
      <c r="A4457" s="279">
        <v>39126</v>
      </c>
      <c r="B4457" t="s">
        <v>338</v>
      </c>
      <c r="C4457" t="s">
        <v>59</v>
      </c>
      <c r="D4457">
        <v>0</v>
      </c>
      <c r="E4457" t="s">
        <v>378</v>
      </c>
    </row>
    <row r="4458" spans="1:5" x14ac:dyDescent="0.25">
      <c r="A4458" s="279">
        <v>39126</v>
      </c>
      <c r="B4458" t="s">
        <v>338</v>
      </c>
      <c r="C4458" t="s">
        <v>60</v>
      </c>
      <c r="D4458">
        <v>4801</v>
      </c>
      <c r="E4458" t="s">
        <v>379</v>
      </c>
    </row>
    <row r="4459" spans="1:5" x14ac:dyDescent="0.25">
      <c r="A4459" s="279">
        <v>39126</v>
      </c>
      <c r="B4459" t="s">
        <v>338</v>
      </c>
      <c r="C4459" t="s">
        <v>61</v>
      </c>
      <c r="D4459">
        <v>0</v>
      </c>
      <c r="E4459" t="s">
        <v>378</v>
      </c>
    </row>
    <row r="4460" spans="1:5" x14ac:dyDescent="0.25">
      <c r="A4460" s="279">
        <v>39126</v>
      </c>
      <c r="B4460" t="s">
        <v>338</v>
      </c>
      <c r="C4460" t="s">
        <v>62</v>
      </c>
      <c r="D4460">
        <v>29671</v>
      </c>
      <c r="E4460" t="s">
        <v>380</v>
      </c>
    </row>
    <row r="4461" spans="1:5" x14ac:dyDescent="0.25">
      <c r="A4461" s="279">
        <v>39126</v>
      </c>
      <c r="B4461" t="s">
        <v>338</v>
      </c>
      <c r="C4461" t="s">
        <v>63</v>
      </c>
      <c r="D4461">
        <v>0</v>
      </c>
      <c r="E4461" t="s">
        <v>378</v>
      </c>
    </row>
    <row r="4462" spans="1:5" x14ac:dyDescent="0.25">
      <c r="A4462" s="279">
        <v>39126</v>
      </c>
      <c r="B4462" t="s">
        <v>338</v>
      </c>
      <c r="C4462" t="s">
        <v>64</v>
      </c>
      <c r="D4462">
        <v>24695</v>
      </c>
      <c r="E4462" t="s">
        <v>380</v>
      </c>
    </row>
    <row r="4463" spans="1:5" x14ac:dyDescent="0.25">
      <c r="A4463" s="279">
        <v>39126</v>
      </c>
      <c r="B4463" t="s">
        <v>338</v>
      </c>
      <c r="C4463" t="s">
        <v>65</v>
      </c>
      <c r="D4463">
        <v>0</v>
      </c>
      <c r="E4463" t="s">
        <v>378</v>
      </c>
    </row>
    <row r="4464" spans="1:5" x14ac:dyDescent="0.25">
      <c r="A4464" s="279">
        <v>39126</v>
      </c>
      <c r="B4464" t="s">
        <v>338</v>
      </c>
      <c r="C4464" t="s">
        <v>66</v>
      </c>
      <c r="D4464">
        <v>0</v>
      </c>
      <c r="E4464" t="s">
        <v>380</v>
      </c>
    </row>
    <row r="4465" spans="1:5" x14ac:dyDescent="0.25">
      <c r="A4465" s="279">
        <v>39126</v>
      </c>
      <c r="B4465" t="s">
        <v>338</v>
      </c>
      <c r="C4465" t="s">
        <v>120</v>
      </c>
      <c r="D4465">
        <v>0</v>
      </c>
      <c r="E4465" t="s">
        <v>378</v>
      </c>
    </row>
    <row r="4466" spans="1:5" x14ac:dyDescent="0.25">
      <c r="A4466" s="279">
        <v>39126</v>
      </c>
      <c r="B4466" t="s">
        <v>338</v>
      </c>
      <c r="C4466" t="s">
        <v>121</v>
      </c>
      <c r="D4466">
        <v>20026</v>
      </c>
      <c r="E4466" t="s">
        <v>380</v>
      </c>
    </row>
    <row r="4467" spans="1:5" x14ac:dyDescent="0.25">
      <c r="A4467" s="279">
        <v>39126</v>
      </c>
      <c r="B4467" t="s">
        <v>338</v>
      </c>
      <c r="C4467" t="s">
        <v>67</v>
      </c>
      <c r="D4467">
        <v>0</v>
      </c>
      <c r="E4467" t="s">
        <v>378</v>
      </c>
    </row>
    <row r="4468" spans="1:5" x14ac:dyDescent="0.25">
      <c r="A4468" s="279">
        <v>39126</v>
      </c>
      <c r="B4468" t="s">
        <v>338</v>
      </c>
      <c r="C4468" t="s">
        <v>68</v>
      </c>
      <c r="D4468">
        <v>0</v>
      </c>
      <c r="E4468" t="s">
        <v>380</v>
      </c>
    </row>
    <row r="4469" spans="1:5" x14ac:dyDescent="0.25">
      <c r="A4469" s="279">
        <v>39126</v>
      </c>
      <c r="B4469" t="s">
        <v>338</v>
      </c>
      <c r="C4469" t="s">
        <v>69</v>
      </c>
      <c r="D4469">
        <v>57466</v>
      </c>
      <c r="E4469" t="s">
        <v>379</v>
      </c>
    </row>
    <row r="4470" spans="1:5" x14ac:dyDescent="0.25">
      <c r="A4470" s="279">
        <v>39126</v>
      </c>
      <c r="B4470" t="s">
        <v>338</v>
      </c>
      <c r="C4470" t="s">
        <v>70</v>
      </c>
      <c r="D4470">
        <v>0</v>
      </c>
      <c r="E4470" t="s">
        <v>379</v>
      </c>
    </row>
    <row r="4471" spans="1:5" x14ac:dyDescent="0.25">
      <c r="A4471" s="279">
        <v>39126</v>
      </c>
      <c r="B4471" t="s">
        <v>338</v>
      </c>
      <c r="C4471" t="s">
        <v>80</v>
      </c>
      <c r="D4471">
        <v>0</v>
      </c>
      <c r="E4471" t="s">
        <v>379</v>
      </c>
    </row>
    <row r="4472" spans="1:5" x14ac:dyDescent="0.25">
      <c r="A4472" s="279">
        <v>39126</v>
      </c>
      <c r="B4472" t="s">
        <v>339</v>
      </c>
      <c r="C4472" t="s">
        <v>71</v>
      </c>
      <c r="D4472">
        <v>0</v>
      </c>
      <c r="E4472" t="s">
        <v>378</v>
      </c>
    </row>
    <row r="4473" spans="1:5" x14ac:dyDescent="0.25">
      <c r="A4473" s="279">
        <v>39126</v>
      </c>
      <c r="B4473" t="s">
        <v>339</v>
      </c>
      <c r="C4473" t="s">
        <v>72</v>
      </c>
      <c r="D4473">
        <v>4845</v>
      </c>
      <c r="E4473" t="s">
        <v>380</v>
      </c>
    </row>
    <row r="4474" spans="1:5" x14ac:dyDescent="0.25">
      <c r="A4474" s="279">
        <v>39126</v>
      </c>
      <c r="B4474" t="s">
        <v>339</v>
      </c>
      <c r="C4474" t="s">
        <v>73</v>
      </c>
      <c r="D4474">
        <v>0</v>
      </c>
      <c r="E4474" t="s">
        <v>378</v>
      </c>
    </row>
    <row r="4475" spans="1:5" x14ac:dyDescent="0.25">
      <c r="A4475" s="279">
        <v>39126</v>
      </c>
      <c r="B4475" t="s">
        <v>339</v>
      </c>
      <c r="C4475" t="s">
        <v>74</v>
      </c>
      <c r="D4475">
        <v>53042</v>
      </c>
      <c r="E4475" t="s">
        <v>380</v>
      </c>
    </row>
    <row r="4476" spans="1:5" x14ac:dyDescent="0.25">
      <c r="A4476" s="279">
        <v>39126</v>
      </c>
      <c r="B4476" t="s">
        <v>339</v>
      </c>
      <c r="C4476" t="s">
        <v>75</v>
      </c>
      <c r="D4476">
        <v>15094</v>
      </c>
      <c r="E4476" t="s">
        <v>378</v>
      </c>
    </row>
    <row r="4477" spans="1:5" x14ac:dyDescent="0.25">
      <c r="A4477" s="279">
        <v>39126</v>
      </c>
      <c r="B4477" t="s">
        <v>339</v>
      </c>
      <c r="C4477" t="s">
        <v>76</v>
      </c>
      <c r="D4477">
        <v>47328</v>
      </c>
      <c r="E4477" t="s">
        <v>380</v>
      </c>
    </row>
    <row r="4478" spans="1:5" x14ac:dyDescent="0.25">
      <c r="A4478" s="279">
        <v>39126</v>
      </c>
      <c r="B4478" t="s">
        <v>339</v>
      </c>
      <c r="C4478" t="s">
        <v>77</v>
      </c>
      <c r="D4478">
        <v>7310</v>
      </c>
      <c r="E4478" t="s">
        <v>378</v>
      </c>
    </row>
    <row r="4479" spans="1:5" x14ac:dyDescent="0.25">
      <c r="A4479" s="279">
        <v>39126</v>
      </c>
      <c r="B4479" t="s">
        <v>339</v>
      </c>
      <c r="C4479" t="s">
        <v>78</v>
      </c>
      <c r="D4479">
        <v>19230</v>
      </c>
      <c r="E4479" t="s">
        <v>380</v>
      </c>
    </row>
    <row r="4480" spans="1:5" x14ac:dyDescent="0.25">
      <c r="A4480" s="279">
        <v>39126</v>
      </c>
      <c r="B4480" t="s">
        <v>339</v>
      </c>
      <c r="C4480" t="s">
        <v>79</v>
      </c>
      <c r="D4480">
        <v>116522</v>
      </c>
      <c r="E4480" t="s">
        <v>379</v>
      </c>
    </row>
    <row r="4481" spans="1:5" x14ac:dyDescent="0.25">
      <c r="A4481" s="279">
        <v>39126</v>
      </c>
      <c r="B4481" t="s">
        <v>339</v>
      </c>
      <c r="C4481" t="s">
        <v>70</v>
      </c>
      <c r="D4481">
        <v>0</v>
      </c>
      <c r="E4481" t="s">
        <v>379</v>
      </c>
    </row>
    <row r="4482" spans="1:5" x14ac:dyDescent="0.25">
      <c r="A4482" s="279">
        <v>39126</v>
      </c>
      <c r="B4482" t="s">
        <v>339</v>
      </c>
      <c r="C4482" t="s">
        <v>63</v>
      </c>
      <c r="D4482">
        <v>0</v>
      </c>
      <c r="E4482" t="s">
        <v>378</v>
      </c>
    </row>
    <row r="4483" spans="1:5" x14ac:dyDescent="0.25">
      <c r="A4483" s="279">
        <v>39126</v>
      </c>
      <c r="B4483" t="s">
        <v>339</v>
      </c>
      <c r="C4483" t="s">
        <v>80</v>
      </c>
      <c r="D4483">
        <v>134</v>
      </c>
      <c r="E4483" t="s">
        <v>379</v>
      </c>
    </row>
    <row r="4484" spans="1:5" x14ac:dyDescent="0.25">
      <c r="A4484" s="279">
        <v>39127</v>
      </c>
      <c r="B4484" t="s">
        <v>338</v>
      </c>
      <c r="C4484" t="s">
        <v>59</v>
      </c>
      <c r="D4484">
        <v>0</v>
      </c>
      <c r="E4484" t="s">
        <v>378</v>
      </c>
    </row>
    <row r="4485" spans="1:5" x14ac:dyDescent="0.25">
      <c r="A4485" s="279">
        <v>39127</v>
      </c>
      <c r="B4485" t="s">
        <v>338</v>
      </c>
      <c r="C4485" t="s">
        <v>60</v>
      </c>
      <c r="D4485">
        <v>4806</v>
      </c>
      <c r="E4485" t="s">
        <v>379</v>
      </c>
    </row>
    <row r="4486" spans="1:5" x14ac:dyDescent="0.25">
      <c r="A4486" s="279">
        <v>39127</v>
      </c>
      <c r="B4486" t="s">
        <v>338</v>
      </c>
      <c r="C4486" t="s">
        <v>61</v>
      </c>
      <c r="D4486">
        <v>0</v>
      </c>
      <c r="E4486" t="s">
        <v>378</v>
      </c>
    </row>
    <row r="4487" spans="1:5" x14ac:dyDescent="0.25">
      <c r="A4487" s="279">
        <v>39127</v>
      </c>
      <c r="B4487" t="s">
        <v>338</v>
      </c>
      <c r="C4487" t="s">
        <v>62</v>
      </c>
      <c r="D4487">
        <v>29585</v>
      </c>
      <c r="E4487" t="s">
        <v>380</v>
      </c>
    </row>
    <row r="4488" spans="1:5" x14ac:dyDescent="0.25">
      <c r="A4488" s="279">
        <v>39127</v>
      </c>
      <c r="B4488" t="s">
        <v>338</v>
      </c>
      <c r="C4488" t="s">
        <v>63</v>
      </c>
      <c r="D4488">
        <v>0</v>
      </c>
      <c r="E4488" t="s">
        <v>378</v>
      </c>
    </row>
    <row r="4489" spans="1:5" x14ac:dyDescent="0.25">
      <c r="A4489" s="279">
        <v>39127</v>
      </c>
      <c r="B4489" t="s">
        <v>338</v>
      </c>
      <c r="C4489" t="s">
        <v>64</v>
      </c>
      <c r="D4489">
        <v>28197</v>
      </c>
      <c r="E4489" t="s">
        <v>380</v>
      </c>
    </row>
    <row r="4490" spans="1:5" x14ac:dyDescent="0.25">
      <c r="A4490" s="279">
        <v>39127</v>
      </c>
      <c r="B4490" t="s">
        <v>338</v>
      </c>
      <c r="C4490" t="s">
        <v>65</v>
      </c>
      <c r="D4490">
        <v>0</v>
      </c>
      <c r="E4490" t="s">
        <v>378</v>
      </c>
    </row>
    <row r="4491" spans="1:5" x14ac:dyDescent="0.25">
      <c r="A4491" s="279">
        <v>39127</v>
      </c>
      <c r="B4491" t="s">
        <v>338</v>
      </c>
      <c r="C4491" t="s">
        <v>66</v>
      </c>
      <c r="D4491">
        <v>0</v>
      </c>
      <c r="E4491" t="s">
        <v>380</v>
      </c>
    </row>
    <row r="4492" spans="1:5" x14ac:dyDescent="0.25">
      <c r="A4492" s="279">
        <v>39127</v>
      </c>
      <c r="B4492" t="s">
        <v>338</v>
      </c>
      <c r="C4492" t="s">
        <v>120</v>
      </c>
      <c r="D4492">
        <v>0</v>
      </c>
      <c r="E4492" t="s">
        <v>378</v>
      </c>
    </row>
    <row r="4493" spans="1:5" x14ac:dyDescent="0.25">
      <c r="A4493" s="279">
        <v>39127</v>
      </c>
      <c r="B4493" t="s">
        <v>338</v>
      </c>
      <c r="C4493" t="s">
        <v>121</v>
      </c>
      <c r="D4493">
        <v>20045</v>
      </c>
      <c r="E4493" t="s">
        <v>380</v>
      </c>
    </row>
    <row r="4494" spans="1:5" x14ac:dyDescent="0.25">
      <c r="A4494" s="279">
        <v>39127</v>
      </c>
      <c r="B4494" t="s">
        <v>338</v>
      </c>
      <c r="C4494" t="s">
        <v>67</v>
      </c>
      <c r="D4494">
        <v>0</v>
      </c>
      <c r="E4494" t="s">
        <v>378</v>
      </c>
    </row>
    <row r="4495" spans="1:5" x14ac:dyDescent="0.25">
      <c r="A4495" s="279">
        <v>39127</v>
      </c>
      <c r="B4495" t="s">
        <v>338</v>
      </c>
      <c r="C4495" t="s">
        <v>68</v>
      </c>
      <c r="D4495">
        <v>0</v>
      </c>
      <c r="E4495" t="s">
        <v>380</v>
      </c>
    </row>
    <row r="4496" spans="1:5" x14ac:dyDescent="0.25">
      <c r="A4496" s="279">
        <v>39127</v>
      </c>
      <c r="B4496" t="s">
        <v>338</v>
      </c>
      <c r="C4496" t="s">
        <v>69</v>
      </c>
      <c r="D4496">
        <v>57521</v>
      </c>
      <c r="E4496" t="s">
        <v>379</v>
      </c>
    </row>
    <row r="4497" spans="1:5" x14ac:dyDescent="0.25">
      <c r="A4497" s="279">
        <v>39127</v>
      </c>
      <c r="B4497" t="s">
        <v>338</v>
      </c>
      <c r="C4497" t="s">
        <v>70</v>
      </c>
      <c r="D4497">
        <v>0</v>
      </c>
      <c r="E4497" t="s">
        <v>379</v>
      </c>
    </row>
    <row r="4498" spans="1:5" x14ac:dyDescent="0.25">
      <c r="A4498" s="279">
        <v>39127</v>
      </c>
      <c r="B4498" t="s">
        <v>338</v>
      </c>
      <c r="C4498" t="s">
        <v>80</v>
      </c>
      <c r="D4498">
        <v>0</v>
      </c>
      <c r="E4498" t="s">
        <v>379</v>
      </c>
    </row>
    <row r="4499" spans="1:5" x14ac:dyDescent="0.25">
      <c r="A4499" s="279">
        <v>39127</v>
      </c>
      <c r="B4499" t="s">
        <v>339</v>
      </c>
      <c r="C4499" t="s">
        <v>71</v>
      </c>
      <c r="D4499">
        <v>0</v>
      </c>
      <c r="E4499" t="s">
        <v>378</v>
      </c>
    </row>
    <row r="4500" spans="1:5" x14ac:dyDescent="0.25">
      <c r="A4500" s="279">
        <v>39127</v>
      </c>
      <c r="B4500" t="s">
        <v>339</v>
      </c>
      <c r="C4500" t="s">
        <v>72</v>
      </c>
      <c r="D4500">
        <v>4845</v>
      </c>
      <c r="E4500" t="s">
        <v>380</v>
      </c>
    </row>
    <row r="4501" spans="1:5" x14ac:dyDescent="0.25">
      <c r="A4501" s="279">
        <v>39127</v>
      </c>
      <c r="B4501" t="s">
        <v>339</v>
      </c>
      <c r="C4501" t="s">
        <v>73</v>
      </c>
      <c r="D4501">
        <v>0</v>
      </c>
      <c r="E4501" t="s">
        <v>378</v>
      </c>
    </row>
    <row r="4502" spans="1:5" x14ac:dyDescent="0.25">
      <c r="A4502" s="279">
        <v>39127</v>
      </c>
      <c r="B4502" t="s">
        <v>339</v>
      </c>
      <c r="C4502" t="s">
        <v>74</v>
      </c>
      <c r="D4502">
        <v>53866</v>
      </c>
      <c r="E4502" t="s">
        <v>380</v>
      </c>
    </row>
    <row r="4503" spans="1:5" x14ac:dyDescent="0.25">
      <c r="A4503" s="279">
        <v>39127</v>
      </c>
      <c r="B4503" t="s">
        <v>339</v>
      </c>
      <c r="C4503" t="s">
        <v>75</v>
      </c>
      <c r="D4503">
        <v>15094</v>
      </c>
      <c r="E4503" t="s">
        <v>378</v>
      </c>
    </row>
    <row r="4504" spans="1:5" x14ac:dyDescent="0.25">
      <c r="A4504" s="279">
        <v>39127</v>
      </c>
      <c r="B4504" t="s">
        <v>339</v>
      </c>
      <c r="C4504" t="s">
        <v>76</v>
      </c>
      <c r="D4504">
        <v>47328</v>
      </c>
      <c r="E4504" t="s">
        <v>380</v>
      </c>
    </row>
    <row r="4505" spans="1:5" x14ac:dyDescent="0.25">
      <c r="A4505" s="279">
        <v>39127</v>
      </c>
      <c r="B4505" t="s">
        <v>339</v>
      </c>
      <c r="C4505" t="s">
        <v>77</v>
      </c>
      <c r="D4505">
        <v>7310</v>
      </c>
      <c r="E4505" t="s">
        <v>378</v>
      </c>
    </row>
    <row r="4506" spans="1:5" x14ac:dyDescent="0.25">
      <c r="A4506" s="279">
        <v>39127</v>
      </c>
      <c r="B4506" t="s">
        <v>339</v>
      </c>
      <c r="C4506" t="s">
        <v>78</v>
      </c>
      <c r="D4506">
        <v>19286</v>
      </c>
      <c r="E4506" t="s">
        <v>380</v>
      </c>
    </row>
    <row r="4507" spans="1:5" x14ac:dyDescent="0.25">
      <c r="A4507" s="279">
        <v>39127</v>
      </c>
      <c r="B4507" t="s">
        <v>339</v>
      </c>
      <c r="C4507" t="s">
        <v>79</v>
      </c>
      <c r="D4507">
        <v>116386</v>
      </c>
      <c r="E4507" t="s">
        <v>379</v>
      </c>
    </row>
    <row r="4508" spans="1:5" x14ac:dyDescent="0.25">
      <c r="A4508" s="279">
        <v>39127</v>
      </c>
      <c r="B4508" t="s">
        <v>339</v>
      </c>
      <c r="C4508" t="s">
        <v>70</v>
      </c>
      <c r="D4508">
        <v>0</v>
      </c>
      <c r="E4508" t="s">
        <v>379</v>
      </c>
    </row>
    <row r="4509" spans="1:5" x14ac:dyDescent="0.25">
      <c r="A4509" s="279">
        <v>39127</v>
      </c>
      <c r="B4509" t="s">
        <v>339</v>
      </c>
      <c r="C4509" t="s">
        <v>63</v>
      </c>
      <c r="D4509">
        <v>0</v>
      </c>
      <c r="E4509" t="s">
        <v>378</v>
      </c>
    </row>
    <row r="4510" spans="1:5" x14ac:dyDescent="0.25">
      <c r="A4510" s="279">
        <v>39127</v>
      </c>
      <c r="B4510" t="s">
        <v>339</v>
      </c>
      <c r="C4510" t="s">
        <v>80</v>
      </c>
      <c r="D4510">
        <v>134</v>
      </c>
      <c r="E4510" t="s">
        <v>379</v>
      </c>
    </row>
    <row r="4511" spans="1:5" x14ac:dyDescent="0.25">
      <c r="A4511" s="279">
        <v>39128</v>
      </c>
      <c r="B4511" t="s">
        <v>338</v>
      </c>
      <c r="C4511" t="s">
        <v>59</v>
      </c>
      <c r="D4511">
        <v>0</v>
      </c>
      <c r="E4511" t="s">
        <v>378</v>
      </c>
    </row>
    <row r="4512" spans="1:5" x14ac:dyDescent="0.25">
      <c r="A4512" s="279">
        <v>39128</v>
      </c>
      <c r="B4512" t="s">
        <v>338</v>
      </c>
      <c r="C4512" t="s">
        <v>60</v>
      </c>
      <c r="D4512">
        <v>4806</v>
      </c>
      <c r="E4512" t="s">
        <v>379</v>
      </c>
    </row>
    <row r="4513" spans="1:5" x14ac:dyDescent="0.25">
      <c r="A4513" s="279">
        <v>39128</v>
      </c>
      <c r="B4513" t="s">
        <v>338</v>
      </c>
      <c r="C4513" t="s">
        <v>61</v>
      </c>
      <c r="D4513">
        <v>0</v>
      </c>
      <c r="E4513" t="s">
        <v>378</v>
      </c>
    </row>
    <row r="4514" spans="1:5" x14ac:dyDescent="0.25">
      <c r="A4514" s="279">
        <v>39128</v>
      </c>
      <c r="B4514" t="s">
        <v>338</v>
      </c>
      <c r="C4514" t="s">
        <v>62</v>
      </c>
      <c r="D4514">
        <v>33971</v>
      </c>
      <c r="E4514" t="s">
        <v>380</v>
      </c>
    </row>
    <row r="4515" spans="1:5" x14ac:dyDescent="0.25">
      <c r="A4515" s="279">
        <v>39128</v>
      </c>
      <c r="B4515" t="s">
        <v>338</v>
      </c>
      <c r="C4515" t="s">
        <v>63</v>
      </c>
      <c r="D4515">
        <v>0</v>
      </c>
      <c r="E4515" t="s">
        <v>378</v>
      </c>
    </row>
    <row r="4516" spans="1:5" x14ac:dyDescent="0.25">
      <c r="A4516" s="279">
        <v>39128</v>
      </c>
      <c r="B4516" t="s">
        <v>338</v>
      </c>
      <c r="C4516" t="s">
        <v>64</v>
      </c>
      <c r="D4516">
        <v>28197</v>
      </c>
      <c r="E4516" t="s">
        <v>380</v>
      </c>
    </row>
    <row r="4517" spans="1:5" x14ac:dyDescent="0.25">
      <c r="A4517" s="279">
        <v>39128</v>
      </c>
      <c r="B4517" t="s">
        <v>338</v>
      </c>
      <c r="C4517" t="s">
        <v>65</v>
      </c>
      <c r="D4517">
        <v>0</v>
      </c>
      <c r="E4517" t="s">
        <v>378</v>
      </c>
    </row>
    <row r="4518" spans="1:5" x14ac:dyDescent="0.25">
      <c r="A4518" s="279">
        <v>39128</v>
      </c>
      <c r="B4518" t="s">
        <v>338</v>
      </c>
      <c r="C4518" t="s">
        <v>66</v>
      </c>
      <c r="D4518">
        <v>0</v>
      </c>
      <c r="E4518" t="s">
        <v>380</v>
      </c>
    </row>
    <row r="4519" spans="1:5" x14ac:dyDescent="0.25">
      <c r="A4519" s="279">
        <v>39128</v>
      </c>
      <c r="B4519" t="s">
        <v>338</v>
      </c>
      <c r="C4519" t="s">
        <v>120</v>
      </c>
      <c r="D4519">
        <v>0</v>
      </c>
      <c r="E4519" t="s">
        <v>378</v>
      </c>
    </row>
    <row r="4520" spans="1:5" x14ac:dyDescent="0.25">
      <c r="A4520" s="279">
        <v>39128</v>
      </c>
      <c r="B4520" t="s">
        <v>338</v>
      </c>
      <c r="C4520" t="s">
        <v>121</v>
      </c>
      <c r="D4520">
        <v>20045</v>
      </c>
      <c r="E4520" t="s">
        <v>380</v>
      </c>
    </row>
    <row r="4521" spans="1:5" x14ac:dyDescent="0.25">
      <c r="A4521" s="279">
        <v>39128</v>
      </c>
      <c r="B4521" t="s">
        <v>338</v>
      </c>
      <c r="C4521" t="s">
        <v>67</v>
      </c>
      <c r="D4521">
        <v>0</v>
      </c>
      <c r="E4521" t="s">
        <v>378</v>
      </c>
    </row>
    <row r="4522" spans="1:5" x14ac:dyDescent="0.25">
      <c r="A4522" s="279">
        <v>39128</v>
      </c>
      <c r="B4522" t="s">
        <v>338</v>
      </c>
      <c r="C4522" t="s">
        <v>68</v>
      </c>
      <c r="D4522">
        <v>0</v>
      </c>
      <c r="E4522" t="s">
        <v>380</v>
      </c>
    </row>
    <row r="4523" spans="1:5" x14ac:dyDescent="0.25">
      <c r="A4523" s="279">
        <v>39128</v>
      </c>
      <c r="B4523" t="s">
        <v>338</v>
      </c>
      <c r="C4523" t="s">
        <v>69</v>
      </c>
      <c r="D4523">
        <v>57521</v>
      </c>
      <c r="E4523" t="s">
        <v>379</v>
      </c>
    </row>
    <row r="4524" spans="1:5" x14ac:dyDescent="0.25">
      <c r="A4524" s="279">
        <v>39128</v>
      </c>
      <c r="B4524" t="s">
        <v>338</v>
      </c>
      <c r="C4524" t="s">
        <v>70</v>
      </c>
      <c r="D4524">
        <v>0</v>
      </c>
      <c r="E4524" t="s">
        <v>379</v>
      </c>
    </row>
    <row r="4525" spans="1:5" x14ac:dyDescent="0.25">
      <c r="A4525" s="279">
        <v>39128</v>
      </c>
      <c r="B4525" t="s">
        <v>338</v>
      </c>
      <c r="C4525" t="s">
        <v>80</v>
      </c>
      <c r="D4525">
        <v>0</v>
      </c>
      <c r="E4525" t="s">
        <v>379</v>
      </c>
    </row>
    <row r="4526" spans="1:5" x14ac:dyDescent="0.25">
      <c r="A4526" s="279">
        <v>39128</v>
      </c>
      <c r="B4526" t="s">
        <v>339</v>
      </c>
      <c r="C4526" t="s">
        <v>71</v>
      </c>
      <c r="D4526">
        <v>0</v>
      </c>
      <c r="E4526" t="s">
        <v>378</v>
      </c>
    </row>
    <row r="4527" spans="1:5" x14ac:dyDescent="0.25">
      <c r="A4527" s="279">
        <v>39128</v>
      </c>
      <c r="B4527" t="s">
        <v>339</v>
      </c>
      <c r="C4527" t="s">
        <v>72</v>
      </c>
      <c r="D4527">
        <v>4836</v>
      </c>
      <c r="E4527" t="s">
        <v>380</v>
      </c>
    </row>
    <row r="4528" spans="1:5" x14ac:dyDescent="0.25">
      <c r="A4528" s="279">
        <v>39128</v>
      </c>
      <c r="B4528" t="s">
        <v>339</v>
      </c>
      <c r="C4528" t="s">
        <v>73</v>
      </c>
      <c r="D4528">
        <v>0</v>
      </c>
      <c r="E4528" t="s">
        <v>378</v>
      </c>
    </row>
    <row r="4529" spans="1:5" x14ac:dyDescent="0.25">
      <c r="A4529" s="279">
        <v>39128</v>
      </c>
      <c r="B4529" t="s">
        <v>339</v>
      </c>
      <c r="C4529" t="s">
        <v>74</v>
      </c>
      <c r="D4529">
        <v>55514</v>
      </c>
      <c r="E4529" t="s">
        <v>380</v>
      </c>
    </row>
    <row r="4530" spans="1:5" x14ac:dyDescent="0.25">
      <c r="A4530" s="279">
        <v>39128</v>
      </c>
      <c r="B4530" t="s">
        <v>339</v>
      </c>
      <c r="C4530" t="s">
        <v>75</v>
      </c>
      <c r="D4530">
        <v>15065</v>
      </c>
      <c r="E4530" t="s">
        <v>378</v>
      </c>
    </row>
    <row r="4531" spans="1:5" x14ac:dyDescent="0.25">
      <c r="A4531" s="279">
        <v>39128</v>
      </c>
      <c r="B4531" t="s">
        <v>339</v>
      </c>
      <c r="C4531" t="s">
        <v>76</v>
      </c>
      <c r="D4531">
        <v>47236</v>
      </c>
      <c r="E4531" t="s">
        <v>380</v>
      </c>
    </row>
    <row r="4532" spans="1:5" x14ac:dyDescent="0.25">
      <c r="A4532" s="279">
        <v>39128</v>
      </c>
      <c r="B4532" t="s">
        <v>339</v>
      </c>
      <c r="C4532" t="s">
        <v>77</v>
      </c>
      <c r="D4532">
        <v>7296</v>
      </c>
      <c r="E4532" t="s">
        <v>378</v>
      </c>
    </row>
    <row r="4533" spans="1:5" x14ac:dyDescent="0.25">
      <c r="A4533" s="279">
        <v>39128</v>
      </c>
      <c r="B4533" t="s">
        <v>339</v>
      </c>
      <c r="C4533" t="s">
        <v>78</v>
      </c>
      <c r="D4533">
        <v>19249</v>
      </c>
      <c r="E4533" t="s">
        <v>380</v>
      </c>
    </row>
    <row r="4534" spans="1:5" x14ac:dyDescent="0.25">
      <c r="A4534" s="279">
        <v>39128</v>
      </c>
      <c r="B4534" t="s">
        <v>339</v>
      </c>
      <c r="C4534" t="s">
        <v>79</v>
      </c>
      <c r="D4534">
        <v>116704</v>
      </c>
      <c r="E4534" t="s">
        <v>379</v>
      </c>
    </row>
    <row r="4535" spans="1:5" x14ac:dyDescent="0.25">
      <c r="A4535" s="279">
        <v>39128</v>
      </c>
      <c r="B4535" t="s">
        <v>339</v>
      </c>
      <c r="C4535" t="s">
        <v>70</v>
      </c>
      <c r="D4535">
        <v>0</v>
      </c>
      <c r="E4535" t="s">
        <v>379</v>
      </c>
    </row>
    <row r="4536" spans="1:5" x14ac:dyDescent="0.25">
      <c r="A4536" s="279">
        <v>39128</v>
      </c>
      <c r="B4536" t="s">
        <v>339</v>
      </c>
      <c r="C4536" t="s">
        <v>63</v>
      </c>
      <c r="D4536">
        <v>0</v>
      </c>
      <c r="E4536" t="s">
        <v>378</v>
      </c>
    </row>
    <row r="4537" spans="1:5" x14ac:dyDescent="0.25">
      <c r="A4537" s="279">
        <v>39128</v>
      </c>
      <c r="B4537" t="s">
        <v>339</v>
      </c>
      <c r="C4537" t="s">
        <v>80</v>
      </c>
      <c r="D4537">
        <v>134</v>
      </c>
      <c r="E4537" t="s">
        <v>379</v>
      </c>
    </row>
    <row r="4538" spans="1:5" x14ac:dyDescent="0.25">
      <c r="A4538" s="279">
        <v>39129</v>
      </c>
      <c r="B4538" t="s">
        <v>338</v>
      </c>
      <c r="C4538" t="s">
        <v>59</v>
      </c>
      <c r="D4538">
        <v>0</v>
      </c>
      <c r="E4538" t="s">
        <v>378</v>
      </c>
    </row>
    <row r="4539" spans="1:5" x14ac:dyDescent="0.25">
      <c r="A4539" s="279">
        <v>39129</v>
      </c>
      <c r="B4539" t="s">
        <v>338</v>
      </c>
      <c r="C4539" t="s">
        <v>60</v>
      </c>
      <c r="D4539">
        <v>4806</v>
      </c>
      <c r="E4539" t="s">
        <v>379</v>
      </c>
    </row>
    <row r="4540" spans="1:5" x14ac:dyDescent="0.25">
      <c r="A4540" s="279">
        <v>39129</v>
      </c>
      <c r="B4540" t="s">
        <v>338</v>
      </c>
      <c r="C4540" t="s">
        <v>61</v>
      </c>
      <c r="D4540">
        <v>0</v>
      </c>
      <c r="E4540" t="s">
        <v>378</v>
      </c>
    </row>
    <row r="4541" spans="1:5" x14ac:dyDescent="0.25">
      <c r="A4541" s="279">
        <v>39129</v>
      </c>
      <c r="B4541" t="s">
        <v>338</v>
      </c>
      <c r="C4541" t="s">
        <v>62</v>
      </c>
      <c r="D4541">
        <v>33027</v>
      </c>
      <c r="E4541" t="s">
        <v>380</v>
      </c>
    </row>
    <row r="4542" spans="1:5" x14ac:dyDescent="0.25">
      <c r="A4542" s="279">
        <v>39129</v>
      </c>
      <c r="B4542" t="s">
        <v>338</v>
      </c>
      <c r="C4542" t="s">
        <v>63</v>
      </c>
      <c r="D4542">
        <v>0</v>
      </c>
      <c r="E4542" t="s">
        <v>378</v>
      </c>
    </row>
    <row r="4543" spans="1:5" x14ac:dyDescent="0.25">
      <c r="A4543" s="279">
        <v>39129</v>
      </c>
      <c r="B4543" t="s">
        <v>338</v>
      </c>
      <c r="C4543" t="s">
        <v>64</v>
      </c>
      <c r="D4543">
        <v>28197</v>
      </c>
      <c r="E4543" t="s">
        <v>380</v>
      </c>
    </row>
    <row r="4544" spans="1:5" x14ac:dyDescent="0.25">
      <c r="A4544" s="279">
        <v>39129</v>
      </c>
      <c r="B4544" t="s">
        <v>338</v>
      </c>
      <c r="C4544" t="s">
        <v>65</v>
      </c>
      <c r="D4544">
        <v>0</v>
      </c>
      <c r="E4544" t="s">
        <v>378</v>
      </c>
    </row>
    <row r="4545" spans="1:5" x14ac:dyDescent="0.25">
      <c r="A4545" s="279">
        <v>39129</v>
      </c>
      <c r="B4545" t="s">
        <v>338</v>
      </c>
      <c r="C4545" t="s">
        <v>66</v>
      </c>
      <c r="D4545">
        <v>0</v>
      </c>
      <c r="E4545" t="s">
        <v>380</v>
      </c>
    </row>
    <row r="4546" spans="1:5" x14ac:dyDescent="0.25">
      <c r="A4546" s="279">
        <v>39129</v>
      </c>
      <c r="B4546" t="s">
        <v>338</v>
      </c>
      <c r="C4546" t="s">
        <v>120</v>
      </c>
      <c r="D4546">
        <v>0</v>
      </c>
      <c r="E4546" t="s">
        <v>378</v>
      </c>
    </row>
    <row r="4547" spans="1:5" x14ac:dyDescent="0.25">
      <c r="A4547" s="279">
        <v>39129</v>
      </c>
      <c r="B4547" t="s">
        <v>338</v>
      </c>
      <c r="C4547" t="s">
        <v>121</v>
      </c>
      <c r="D4547">
        <v>20045</v>
      </c>
      <c r="E4547" t="s">
        <v>380</v>
      </c>
    </row>
    <row r="4548" spans="1:5" x14ac:dyDescent="0.25">
      <c r="A4548" s="279">
        <v>39129</v>
      </c>
      <c r="B4548" t="s">
        <v>338</v>
      </c>
      <c r="C4548" t="s">
        <v>67</v>
      </c>
      <c r="D4548">
        <v>0</v>
      </c>
      <c r="E4548" t="s">
        <v>378</v>
      </c>
    </row>
    <row r="4549" spans="1:5" x14ac:dyDescent="0.25">
      <c r="A4549" s="279">
        <v>39129</v>
      </c>
      <c r="B4549" t="s">
        <v>338</v>
      </c>
      <c r="C4549" t="s">
        <v>68</v>
      </c>
      <c r="D4549">
        <v>0</v>
      </c>
      <c r="E4549" t="s">
        <v>380</v>
      </c>
    </row>
    <row r="4550" spans="1:5" x14ac:dyDescent="0.25">
      <c r="A4550" s="279">
        <v>39129</v>
      </c>
      <c r="B4550" t="s">
        <v>338</v>
      </c>
      <c r="C4550" t="s">
        <v>69</v>
      </c>
      <c r="D4550">
        <v>57521</v>
      </c>
      <c r="E4550" t="s">
        <v>379</v>
      </c>
    </row>
    <row r="4551" spans="1:5" x14ac:dyDescent="0.25">
      <c r="A4551" s="279">
        <v>39129</v>
      </c>
      <c r="B4551" t="s">
        <v>338</v>
      </c>
      <c r="C4551" t="s">
        <v>70</v>
      </c>
      <c r="D4551">
        <v>0</v>
      </c>
      <c r="E4551" t="s">
        <v>379</v>
      </c>
    </row>
    <row r="4552" spans="1:5" x14ac:dyDescent="0.25">
      <c r="A4552" s="279">
        <v>39129</v>
      </c>
      <c r="B4552" t="s">
        <v>338</v>
      </c>
      <c r="C4552" t="s">
        <v>80</v>
      </c>
      <c r="D4552">
        <v>0</v>
      </c>
      <c r="E4552" t="s">
        <v>379</v>
      </c>
    </row>
    <row r="4553" spans="1:5" x14ac:dyDescent="0.25">
      <c r="A4553" s="279">
        <v>39129</v>
      </c>
      <c r="B4553" t="s">
        <v>339</v>
      </c>
      <c r="C4553" t="s">
        <v>71</v>
      </c>
      <c r="D4553">
        <v>0</v>
      </c>
      <c r="E4553" t="s">
        <v>378</v>
      </c>
    </row>
    <row r="4554" spans="1:5" x14ac:dyDescent="0.25">
      <c r="A4554" s="279">
        <v>39129</v>
      </c>
      <c r="B4554" t="s">
        <v>339</v>
      </c>
      <c r="C4554" t="s">
        <v>72</v>
      </c>
      <c r="D4554">
        <v>4836</v>
      </c>
      <c r="E4554" t="s">
        <v>380</v>
      </c>
    </row>
    <row r="4555" spans="1:5" x14ac:dyDescent="0.25">
      <c r="A4555" s="279">
        <v>39129</v>
      </c>
      <c r="B4555" t="s">
        <v>339</v>
      </c>
      <c r="C4555" t="s">
        <v>73</v>
      </c>
      <c r="D4555">
        <v>0</v>
      </c>
      <c r="E4555" t="s">
        <v>378</v>
      </c>
    </row>
    <row r="4556" spans="1:5" x14ac:dyDescent="0.25">
      <c r="A4556" s="279">
        <v>39129</v>
      </c>
      <c r="B4556" t="s">
        <v>339</v>
      </c>
      <c r="C4556" t="s">
        <v>74</v>
      </c>
      <c r="D4556">
        <v>54094</v>
      </c>
      <c r="E4556" t="s">
        <v>380</v>
      </c>
    </row>
    <row r="4557" spans="1:5" x14ac:dyDescent="0.25">
      <c r="A4557" s="279">
        <v>39129</v>
      </c>
      <c r="B4557" t="s">
        <v>339</v>
      </c>
      <c r="C4557" t="s">
        <v>75</v>
      </c>
      <c r="D4557">
        <v>15065</v>
      </c>
      <c r="E4557" t="s">
        <v>378</v>
      </c>
    </row>
    <row r="4558" spans="1:5" x14ac:dyDescent="0.25">
      <c r="A4558" s="279">
        <v>39129</v>
      </c>
      <c r="B4558" t="s">
        <v>339</v>
      </c>
      <c r="C4558" t="s">
        <v>76</v>
      </c>
      <c r="D4558">
        <v>47236</v>
      </c>
      <c r="E4558" t="s">
        <v>380</v>
      </c>
    </row>
    <row r="4559" spans="1:5" x14ac:dyDescent="0.25">
      <c r="A4559" s="279">
        <v>39129</v>
      </c>
      <c r="B4559" t="s">
        <v>339</v>
      </c>
      <c r="C4559" t="s">
        <v>77</v>
      </c>
      <c r="D4559">
        <v>7296</v>
      </c>
      <c r="E4559" t="s">
        <v>378</v>
      </c>
    </row>
    <row r="4560" spans="1:5" x14ac:dyDescent="0.25">
      <c r="A4560" s="279">
        <v>39129</v>
      </c>
      <c r="B4560" t="s">
        <v>339</v>
      </c>
      <c r="C4560" t="s">
        <v>78</v>
      </c>
      <c r="D4560">
        <v>19249</v>
      </c>
      <c r="E4560" t="s">
        <v>380</v>
      </c>
    </row>
    <row r="4561" spans="1:5" x14ac:dyDescent="0.25">
      <c r="A4561" s="279">
        <v>39129</v>
      </c>
      <c r="B4561" t="s">
        <v>339</v>
      </c>
      <c r="C4561" t="s">
        <v>79</v>
      </c>
      <c r="D4561">
        <v>115305</v>
      </c>
      <c r="E4561" t="s">
        <v>379</v>
      </c>
    </row>
    <row r="4562" spans="1:5" x14ac:dyDescent="0.25">
      <c r="A4562" s="279">
        <v>39129</v>
      </c>
      <c r="B4562" t="s">
        <v>339</v>
      </c>
      <c r="C4562" t="s">
        <v>70</v>
      </c>
      <c r="D4562">
        <v>0</v>
      </c>
      <c r="E4562" t="s">
        <v>379</v>
      </c>
    </row>
    <row r="4563" spans="1:5" x14ac:dyDescent="0.25">
      <c r="A4563" s="279">
        <v>39129</v>
      </c>
      <c r="B4563" t="s">
        <v>339</v>
      </c>
      <c r="C4563" t="s">
        <v>63</v>
      </c>
      <c r="D4563">
        <v>0</v>
      </c>
      <c r="E4563" t="s">
        <v>378</v>
      </c>
    </row>
    <row r="4564" spans="1:5" x14ac:dyDescent="0.25">
      <c r="A4564" s="279">
        <v>39129</v>
      </c>
      <c r="B4564" t="s">
        <v>339</v>
      </c>
      <c r="C4564" t="s">
        <v>80</v>
      </c>
      <c r="D4564">
        <v>134</v>
      </c>
      <c r="E4564" t="s">
        <v>379</v>
      </c>
    </row>
    <row r="4565" spans="1:5" x14ac:dyDescent="0.25">
      <c r="A4565" s="279">
        <v>39130</v>
      </c>
      <c r="B4565" t="s">
        <v>338</v>
      </c>
      <c r="C4565" t="s">
        <v>59</v>
      </c>
      <c r="D4565">
        <v>0</v>
      </c>
      <c r="E4565" t="s">
        <v>378</v>
      </c>
    </row>
    <row r="4566" spans="1:5" x14ac:dyDescent="0.25">
      <c r="A4566" s="279">
        <v>39130</v>
      </c>
      <c r="B4566" t="s">
        <v>338</v>
      </c>
      <c r="C4566" t="s">
        <v>60</v>
      </c>
      <c r="D4566">
        <v>4806</v>
      </c>
      <c r="E4566" t="s">
        <v>379</v>
      </c>
    </row>
    <row r="4567" spans="1:5" x14ac:dyDescent="0.25">
      <c r="A4567" s="279">
        <v>39130</v>
      </c>
      <c r="B4567" t="s">
        <v>338</v>
      </c>
      <c r="C4567" t="s">
        <v>61</v>
      </c>
      <c r="D4567">
        <v>0</v>
      </c>
      <c r="E4567" t="s">
        <v>378</v>
      </c>
    </row>
    <row r="4568" spans="1:5" x14ac:dyDescent="0.25">
      <c r="A4568" s="279">
        <v>39130</v>
      </c>
      <c r="B4568" t="s">
        <v>338</v>
      </c>
      <c r="C4568" t="s">
        <v>62</v>
      </c>
      <c r="D4568">
        <v>150</v>
      </c>
      <c r="E4568" t="s">
        <v>380</v>
      </c>
    </row>
    <row r="4569" spans="1:5" x14ac:dyDescent="0.25">
      <c r="A4569" s="279">
        <v>39130</v>
      </c>
      <c r="B4569" t="s">
        <v>338</v>
      </c>
      <c r="C4569" t="s">
        <v>63</v>
      </c>
      <c r="D4569">
        <v>0</v>
      </c>
      <c r="E4569" t="s">
        <v>378</v>
      </c>
    </row>
    <row r="4570" spans="1:5" x14ac:dyDescent="0.25">
      <c r="A4570" s="279">
        <v>39130</v>
      </c>
      <c r="B4570" t="s">
        <v>338</v>
      </c>
      <c r="C4570" t="s">
        <v>64</v>
      </c>
      <c r="D4570">
        <v>28197</v>
      </c>
      <c r="E4570" t="s">
        <v>380</v>
      </c>
    </row>
    <row r="4571" spans="1:5" x14ac:dyDescent="0.25">
      <c r="A4571" s="279">
        <v>39130</v>
      </c>
      <c r="B4571" t="s">
        <v>338</v>
      </c>
      <c r="C4571" t="s">
        <v>65</v>
      </c>
      <c r="D4571">
        <v>0</v>
      </c>
      <c r="E4571" t="s">
        <v>378</v>
      </c>
    </row>
    <row r="4572" spans="1:5" x14ac:dyDescent="0.25">
      <c r="A4572" s="279">
        <v>39130</v>
      </c>
      <c r="B4572" t="s">
        <v>338</v>
      </c>
      <c r="C4572" t="s">
        <v>66</v>
      </c>
      <c r="D4572">
        <v>0</v>
      </c>
      <c r="E4572" t="s">
        <v>380</v>
      </c>
    </row>
    <row r="4573" spans="1:5" x14ac:dyDescent="0.25">
      <c r="A4573" s="279">
        <v>39130</v>
      </c>
      <c r="B4573" t="s">
        <v>338</v>
      </c>
      <c r="C4573" t="s">
        <v>120</v>
      </c>
      <c r="D4573">
        <v>0</v>
      </c>
      <c r="E4573" t="s">
        <v>378</v>
      </c>
    </row>
    <row r="4574" spans="1:5" x14ac:dyDescent="0.25">
      <c r="A4574" s="279">
        <v>39130</v>
      </c>
      <c r="B4574" t="s">
        <v>338</v>
      </c>
      <c r="C4574" t="s">
        <v>121</v>
      </c>
      <c r="D4574">
        <v>20045</v>
      </c>
      <c r="E4574" t="s">
        <v>380</v>
      </c>
    </row>
    <row r="4575" spans="1:5" x14ac:dyDescent="0.25">
      <c r="A4575" s="279">
        <v>39130</v>
      </c>
      <c r="B4575" t="s">
        <v>338</v>
      </c>
      <c r="C4575" t="s">
        <v>67</v>
      </c>
      <c r="D4575">
        <v>0</v>
      </c>
      <c r="E4575" t="s">
        <v>378</v>
      </c>
    </row>
    <row r="4576" spans="1:5" x14ac:dyDescent="0.25">
      <c r="A4576" s="279">
        <v>39130</v>
      </c>
      <c r="B4576" t="s">
        <v>338</v>
      </c>
      <c r="C4576" t="s">
        <v>68</v>
      </c>
      <c r="D4576">
        <v>0</v>
      </c>
      <c r="E4576" t="s">
        <v>380</v>
      </c>
    </row>
    <row r="4577" spans="1:5" x14ac:dyDescent="0.25">
      <c r="A4577" s="279">
        <v>39130</v>
      </c>
      <c r="B4577" t="s">
        <v>338</v>
      </c>
      <c r="C4577" t="s">
        <v>69</v>
      </c>
      <c r="D4577">
        <v>57521</v>
      </c>
      <c r="E4577" t="s">
        <v>379</v>
      </c>
    </row>
    <row r="4578" spans="1:5" x14ac:dyDescent="0.25">
      <c r="A4578" s="279">
        <v>39130</v>
      </c>
      <c r="B4578" t="s">
        <v>338</v>
      </c>
      <c r="C4578" t="s">
        <v>70</v>
      </c>
      <c r="D4578">
        <v>0</v>
      </c>
      <c r="E4578" t="s">
        <v>379</v>
      </c>
    </row>
    <row r="4579" spans="1:5" x14ac:dyDescent="0.25">
      <c r="A4579" s="279">
        <v>39130</v>
      </c>
      <c r="B4579" t="s">
        <v>338</v>
      </c>
      <c r="C4579" t="s">
        <v>80</v>
      </c>
      <c r="D4579">
        <v>0</v>
      </c>
      <c r="E4579" t="s">
        <v>379</v>
      </c>
    </row>
    <row r="4580" spans="1:5" x14ac:dyDescent="0.25">
      <c r="A4580" s="279">
        <v>39130</v>
      </c>
      <c r="B4580" t="s">
        <v>339</v>
      </c>
      <c r="C4580" t="s">
        <v>71</v>
      </c>
      <c r="D4580">
        <v>0</v>
      </c>
      <c r="E4580" t="s">
        <v>378</v>
      </c>
    </row>
    <row r="4581" spans="1:5" x14ac:dyDescent="0.25">
      <c r="A4581" s="279">
        <v>39130</v>
      </c>
      <c r="B4581" t="s">
        <v>339</v>
      </c>
      <c r="C4581" t="s">
        <v>72</v>
      </c>
      <c r="D4581">
        <v>4615</v>
      </c>
      <c r="E4581" t="s">
        <v>380</v>
      </c>
    </row>
    <row r="4582" spans="1:5" x14ac:dyDescent="0.25">
      <c r="A4582" s="279">
        <v>39130</v>
      </c>
      <c r="B4582" t="s">
        <v>339</v>
      </c>
      <c r="C4582" t="s">
        <v>73</v>
      </c>
      <c r="D4582">
        <v>0</v>
      </c>
      <c r="E4582" t="s">
        <v>378</v>
      </c>
    </row>
    <row r="4583" spans="1:5" x14ac:dyDescent="0.25">
      <c r="A4583" s="279">
        <v>39130</v>
      </c>
      <c r="B4583" t="s">
        <v>339</v>
      </c>
      <c r="C4583" t="s">
        <v>74</v>
      </c>
      <c r="D4583">
        <v>48077</v>
      </c>
      <c r="E4583" t="s">
        <v>380</v>
      </c>
    </row>
    <row r="4584" spans="1:5" x14ac:dyDescent="0.25">
      <c r="A4584" s="279">
        <v>39130</v>
      </c>
      <c r="B4584" t="s">
        <v>339</v>
      </c>
      <c r="C4584" t="s">
        <v>75</v>
      </c>
      <c r="D4584">
        <v>14978</v>
      </c>
      <c r="E4584" t="s">
        <v>378</v>
      </c>
    </row>
    <row r="4585" spans="1:5" x14ac:dyDescent="0.25">
      <c r="A4585" s="279">
        <v>39130</v>
      </c>
      <c r="B4585" t="s">
        <v>339</v>
      </c>
      <c r="C4585" t="s">
        <v>76</v>
      </c>
      <c r="D4585">
        <v>34820</v>
      </c>
      <c r="E4585" t="s">
        <v>380</v>
      </c>
    </row>
    <row r="4586" spans="1:5" x14ac:dyDescent="0.25">
      <c r="A4586" s="279">
        <v>39130</v>
      </c>
      <c r="B4586" t="s">
        <v>339</v>
      </c>
      <c r="C4586" t="s">
        <v>77</v>
      </c>
      <c r="D4586">
        <v>7254</v>
      </c>
      <c r="E4586" t="s">
        <v>378</v>
      </c>
    </row>
    <row r="4587" spans="1:5" x14ac:dyDescent="0.25">
      <c r="A4587" s="279">
        <v>39130</v>
      </c>
      <c r="B4587" t="s">
        <v>339</v>
      </c>
      <c r="C4587" t="s">
        <v>78</v>
      </c>
      <c r="D4587">
        <v>6988</v>
      </c>
      <c r="E4587" t="s">
        <v>380</v>
      </c>
    </row>
    <row r="4588" spans="1:5" x14ac:dyDescent="0.25">
      <c r="A4588" s="279">
        <v>39130</v>
      </c>
      <c r="B4588" t="s">
        <v>339</v>
      </c>
      <c r="C4588" t="s">
        <v>79</v>
      </c>
      <c r="D4588">
        <v>116031</v>
      </c>
      <c r="E4588" t="s">
        <v>379</v>
      </c>
    </row>
    <row r="4589" spans="1:5" x14ac:dyDescent="0.25">
      <c r="A4589" s="279">
        <v>39130</v>
      </c>
      <c r="B4589" t="s">
        <v>339</v>
      </c>
      <c r="C4589" t="s">
        <v>70</v>
      </c>
      <c r="D4589">
        <v>0</v>
      </c>
      <c r="E4589" t="s">
        <v>379</v>
      </c>
    </row>
    <row r="4590" spans="1:5" x14ac:dyDescent="0.25">
      <c r="A4590" s="279">
        <v>39130</v>
      </c>
      <c r="B4590" t="s">
        <v>339</v>
      </c>
      <c r="C4590" t="s">
        <v>63</v>
      </c>
      <c r="D4590">
        <v>0</v>
      </c>
      <c r="E4590" t="s">
        <v>378</v>
      </c>
    </row>
    <row r="4591" spans="1:5" x14ac:dyDescent="0.25">
      <c r="A4591" s="279">
        <v>39130</v>
      </c>
      <c r="B4591" t="s">
        <v>339</v>
      </c>
      <c r="C4591" t="s">
        <v>80</v>
      </c>
      <c r="D4591">
        <v>133</v>
      </c>
      <c r="E4591" t="s">
        <v>379</v>
      </c>
    </row>
    <row r="4592" spans="1:5" x14ac:dyDescent="0.25">
      <c r="A4592" s="279">
        <v>39131</v>
      </c>
      <c r="B4592" t="s">
        <v>338</v>
      </c>
      <c r="C4592" t="s">
        <v>59</v>
      </c>
      <c r="D4592">
        <v>0</v>
      </c>
      <c r="E4592" t="s">
        <v>378</v>
      </c>
    </row>
    <row r="4593" spans="1:5" x14ac:dyDescent="0.25">
      <c r="A4593" s="279">
        <v>39131</v>
      </c>
      <c r="B4593" t="s">
        <v>338</v>
      </c>
      <c r="C4593" t="s">
        <v>60</v>
      </c>
      <c r="D4593">
        <v>4806</v>
      </c>
      <c r="E4593" t="s">
        <v>379</v>
      </c>
    </row>
    <row r="4594" spans="1:5" x14ac:dyDescent="0.25">
      <c r="A4594" s="279">
        <v>39131</v>
      </c>
      <c r="B4594" t="s">
        <v>338</v>
      </c>
      <c r="C4594" t="s">
        <v>61</v>
      </c>
      <c r="D4594">
        <v>0</v>
      </c>
      <c r="E4594" t="s">
        <v>378</v>
      </c>
    </row>
    <row r="4595" spans="1:5" x14ac:dyDescent="0.25">
      <c r="A4595" s="279">
        <v>39131</v>
      </c>
      <c r="B4595" t="s">
        <v>338</v>
      </c>
      <c r="C4595" t="s">
        <v>62</v>
      </c>
      <c r="D4595">
        <v>28846</v>
      </c>
      <c r="E4595" t="s">
        <v>380</v>
      </c>
    </row>
    <row r="4596" spans="1:5" x14ac:dyDescent="0.25">
      <c r="A4596" s="279">
        <v>39131</v>
      </c>
      <c r="B4596" t="s">
        <v>338</v>
      </c>
      <c r="C4596" t="s">
        <v>63</v>
      </c>
      <c r="D4596">
        <v>0</v>
      </c>
      <c r="E4596" t="s">
        <v>378</v>
      </c>
    </row>
    <row r="4597" spans="1:5" x14ac:dyDescent="0.25">
      <c r="A4597" s="279">
        <v>39131</v>
      </c>
      <c r="B4597" t="s">
        <v>338</v>
      </c>
      <c r="C4597" t="s">
        <v>64</v>
      </c>
      <c r="D4597">
        <v>28197</v>
      </c>
      <c r="E4597" t="s">
        <v>380</v>
      </c>
    </row>
    <row r="4598" spans="1:5" x14ac:dyDescent="0.25">
      <c r="A4598" s="279">
        <v>39131</v>
      </c>
      <c r="B4598" t="s">
        <v>338</v>
      </c>
      <c r="C4598" t="s">
        <v>65</v>
      </c>
      <c r="D4598">
        <v>0</v>
      </c>
      <c r="E4598" t="s">
        <v>378</v>
      </c>
    </row>
    <row r="4599" spans="1:5" x14ac:dyDescent="0.25">
      <c r="A4599" s="279">
        <v>39131</v>
      </c>
      <c r="B4599" t="s">
        <v>338</v>
      </c>
      <c r="C4599" t="s">
        <v>66</v>
      </c>
      <c r="D4599">
        <v>0</v>
      </c>
      <c r="E4599" t="s">
        <v>380</v>
      </c>
    </row>
    <row r="4600" spans="1:5" x14ac:dyDescent="0.25">
      <c r="A4600" s="279">
        <v>39131</v>
      </c>
      <c r="B4600" t="s">
        <v>338</v>
      </c>
      <c r="C4600" t="s">
        <v>120</v>
      </c>
      <c r="D4600">
        <v>0</v>
      </c>
      <c r="E4600" t="s">
        <v>378</v>
      </c>
    </row>
    <row r="4601" spans="1:5" x14ac:dyDescent="0.25">
      <c r="A4601" s="279">
        <v>39131</v>
      </c>
      <c r="B4601" t="s">
        <v>338</v>
      </c>
      <c r="C4601" t="s">
        <v>121</v>
      </c>
      <c r="D4601">
        <v>20045</v>
      </c>
      <c r="E4601" t="s">
        <v>380</v>
      </c>
    </row>
    <row r="4602" spans="1:5" x14ac:dyDescent="0.25">
      <c r="A4602" s="279">
        <v>39131</v>
      </c>
      <c r="B4602" t="s">
        <v>338</v>
      </c>
      <c r="C4602" t="s">
        <v>67</v>
      </c>
      <c r="D4602">
        <v>0</v>
      </c>
      <c r="E4602" t="s">
        <v>378</v>
      </c>
    </row>
    <row r="4603" spans="1:5" x14ac:dyDescent="0.25">
      <c r="A4603" s="279">
        <v>39131</v>
      </c>
      <c r="B4603" t="s">
        <v>338</v>
      </c>
      <c r="C4603" t="s">
        <v>68</v>
      </c>
      <c r="D4603">
        <v>0</v>
      </c>
      <c r="E4603" t="s">
        <v>380</v>
      </c>
    </row>
    <row r="4604" spans="1:5" x14ac:dyDescent="0.25">
      <c r="A4604" s="279">
        <v>39131</v>
      </c>
      <c r="B4604" t="s">
        <v>338</v>
      </c>
      <c r="C4604" t="s">
        <v>69</v>
      </c>
      <c r="D4604">
        <v>57521</v>
      </c>
      <c r="E4604" t="s">
        <v>379</v>
      </c>
    </row>
    <row r="4605" spans="1:5" x14ac:dyDescent="0.25">
      <c r="A4605" s="279">
        <v>39131</v>
      </c>
      <c r="B4605" t="s">
        <v>338</v>
      </c>
      <c r="C4605" t="s">
        <v>70</v>
      </c>
      <c r="D4605">
        <v>0</v>
      </c>
      <c r="E4605" t="s">
        <v>379</v>
      </c>
    </row>
    <row r="4606" spans="1:5" x14ac:dyDescent="0.25">
      <c r="A4606" s="279">
        <v>39131</v>
      </c>
      <c r="B4606" t="s">
        <v>338</v>
      </c>
      <c r="C4606" t="s">
        <v>80</v>
      </c>
      <c r="D4606">
        <v>0</v>
      </c>
      <c r="E4606" t="s">
        <v>379</v>
      </c>
    </row>
    <row r="4607" spans="1:5" x14ac:dyDescent="0.25">
      <c r="A4607" s="279">
        <v>39131</v>
      </c>
      <c r="B4607" t="s">
        <v>339</v>
      </c>
      <c r="C4607" t="s">
        <v>71</v>
      </c>
      <c r="D4607">
        <v>0</v>
      </c>
      <c r="E4607" t="s">
        <v>378</v>
      </c>
    </row>
    <row r="4608" spans="1:5" x14ac:dyDescent="0.25">
      <c r="A4608" s="279">
        <v>39131</v>
      </c>
      <c r="B4608" t="s">
        <v>339</v>
      </c>
      <c r="C4608" t="s">
        <v>72</v>
      </c>
      <c r="D4608">
        <v>4624</v>
      </c>
      <c r="E4608" t="s">
        <v>380</v>
      </c>
    </row>
    <row r="4609" spans="1:5" x14ac:dyDescent="0.25">
      <c r="A4609" s="279">
        <v>39131</v>
      </c>
      <c r="B4609" t="s">
        <v>339</v>
      </c>
      <c r="C4609" t="s">
        <v>73</v>
      </c>
      <c r="D4609">
        <v>0</v>
      </c>
      <c r="E4609" t="s">
        <v>378</v>
      </c>
    </row>
    <row r="4610" spans="1:5" x14ac:dyDescent="0.25">
      <c r="A4610" s="279">
        <v>39131</v>
      </c>
      <c r="B4610" t="s">
        <v>339</v>
      </c>
      <c r="C4610" t="s">
        <v>74</v>
      </c>
      <c r="D4610">
        <v>54913</v>
      </c>
      <c r="E4610" t="s">
        <v>380</v>
      </c>
    </row>
    <row r="4611" spans="1:5" x14ac:dyDescent="0.25">
      <c r="A4611" s="279">
        <v>39131</v>
      </c>
      <c r="B4611" t="s">
        <v>339</v>
      </c>
      <c r="C4611" t="s">
        <v>75</v>
      </c>
      <c r="D4611">
        <v>15006</v>
      </c>
      <c r="E4611" t="s">
        <v>378</v>
      </c>
    </row>
    <row r="4612" spans="1:5" x14ac:dyDescent="0.25">
      <c r="A4612" s="279">
        <v>39131</v>
      </c>
      <c r="B4612" t="s">
        <v>339</v>
      </c>
      <c r="C4612" t="s">
        <v>76</v>
      </c>
      <c r="D4612">
        <v>47054</v>
      </c>
      <c r="E4612" t="s">
        <v>380</v>
      </c>
    </row>
    <row r="4613" spans="1:5" x14ac:dyDescent="0.25">
      <c r="A4613" s="279">
        <v>39131</v>
      </c>
      <c r="B4613" t="s">
        <v>339</v>
      </c>
      <c r="C4613" t="s">
        <v>77</v>
      </c>
      <c r="D4613">
        <v>7268</v>
      </c>
      <c r="E4613" t="s">
        <v>378</v>
      </c>
    </row>
    <row r="4614" spans="1:5" x14ac:dyDescent="0.25">
      <c r="A4614" s="279">
        <v>39131</v>
      </c>
      <c r="B4614" t="s">
        <v>339</v>
      </c>
      <c r="C4614" t="s">
        <v>78</v>
      </c>
      <c r="D4614">
        <v>19174</v>
      </c>
      <c r="E4614" t="s">
        <v>380</v>
      </c>
    </row>
    <row r="4615" spans="1:5" x14ac:dyDescent="0.25">
      <c r="A4615" s="279">
        <v>39131</v>
      </c>
      <c r="B4615" t="s">
        <v>339</v>
      </c>
      <c r="C4615" t="s">
        <v>79</v>
      </c>
      <c r="D4615">
        <v>116254</v>
      </c>
      <c r="E4615" t="s">
        <v>379</v>
      </c>
    </row>
    <row r="4616" spans="1:5" x14ac:dyDescent="0.25">
      <c r="A4616" s="279">
        <v>39131</v>
      </c>
      <c r="B4616" t="s">
        <v>339</v>
      </c>
      <c r="C4616" t="s">
        <v>70</v>
      </c>
      <c r="D4616">
        <v>0</v>
      </c>
      <c r="E4616" t="s">
        <v>379</v>
      </c>
    </row>
    <row r="4617" spans="1:5" x14ac:dyDescent="0.25">
      <c r="A4617" s="279">
        <v>39131</v>
      </c>
      <c r="B4617" t="s">
        <v>339</v>
      </c>
      <c r="C4617" t="s">
        <v>63</v>
      </c>
      <c r="D4617">
        <v>0</v>
      </c>
      <c r="E4617" t="s">
        <v>378</v>
      </c>
    </row>
    <row r="4618" spans="1:5" x14ac:dyDescent="0.25">
      <c r="A4618" s="279">
        <v>39131</v>
      </c>
      <c r="B4618" t="s">
        <v>339</v>
      </c>
      <c r="C4618" t="s">
        <v>80</v>
      </c>
      <c r="D4618">
        <v>133</v>
      </c>
      <c r="E4618" t="s">
        <v>379</v>
      </c>
    </row>
    <row r="4619" spans="1:5" x14ac:dyDescent="0.25">
      <c r="A4619" s="279">
        <v>39132</v>
      </c>
      <c r="B4619" t="s">
        <v>338</v>
      </c>
      <c r="C4619" t="s">
        <v>59</v>
      </c>
      <c r="D4619">
        <v>0</v>
      </c>
      <c r="E4619" t="s">
        <v>378</v>
      </c>
    </row>
    <row r="4620" spans="1:5" x14ac:dyDescent="0.25">
      <c r="A4620" s="279">
        <v>39132</v>
      </c>
      <c r="B4620" t="s">
        <v>338</v>
      </c>
      <c r="C4620" t="s">
        <v>60</v>
      </c>
      <c r="D4620">
        <v>4810</v>
      </c>
      <c r="E4620" t="s">
        <v>379</v>
      </c>
    </row>
    <row r="4621" spans="1:5" x14ac:dyDescent="0.25">
      <c r="A4621" s="279">
        <v>39132</v>
      </c>
      <c r="B4621" t="s">
        <v>338</v>
      </c>
      <c r="C4621" t="s">
        <v>61</v>
      </c>
      <c r="D4621">
        <v>0</v>
      </c>
      <c r="E4621" t="s">
        <v>378</v>
      </c>
    </row>
    <row r="4622" spans="1:5" x14ac:dyDescent="0.25">
      <c r="A4622" s="279">
        <v>39132</v>
      </c>
      <c r="B4622" t="s">
        <v>338</v>
      </c>
      <c r="C4622" t="s">
        <v>62</v>
      </c>
      <c r="D4622">
        <v>13899</v>
      </c>
      <c r="E4622" t="s">
        <v>380</v>
      </c>
    </row>
    <row r="4623" spans="1:5" x14ac:dyDescent="0.25">
      <c r="A4623" s="279">
        <v>39132</v>
      </c>
      <c r="B4623" t="s">
        <v>338</v>
      </c>
      <c r="C4623" t="s">
        <v>63</v>
      </c>
      <c r="D4623">
        <v>0</v>
      </c>
      <c r="E4623" t="s">
        <v>378</v>
      </c>
    </row>
    <row r="4624" spans="1:5" x14ac:dyDescent="0.25">
      <c r="A4624" s="279">
        <v>39132</v>
      </c>
      <c r="B4624" t="s">
        <v>338</v>
      </c>
      <c r="C4624" t="s">
        <v>64</v>
      </c>
      <c r="D4624">
        <v>28224</v>
      </c>
      <c r="E4624" t="s">
        <v>380</v>
      </c>
    </row>
    <row r="4625" spans="1:5" x14ac:dyDescent="0.25">
      <c r="A4625" s="279">
        <v>39132</v>
      </c>
      <c r="B4625" t="s">
        <v>338</v>
      </c>
      <c r="C4625" t="s">
        <v>65</v>
      </c>
      <c r="D4625">
        <v>0</v>
      </c>
      <c r="E4625" t="s">
        <v>378</v>
      </c>
    </row>
    <row r="4626" spans="1:5" x14ac:dyDescent="0.25">
      <c r="A4626" s="279">
        <v>39132</v>
      </c>
      <c r="B4626" t="s">
        <v>338</v>
      </c>
      <c r="C4626" t="s">
        <v>66</v>
      </c>
      <c r="D4626">
        <v>0</v>
      </c>
      <c r="E4626" t="s">
        <v>380</v>
      </c>
    </row>
    <row r="4627" spans="1:5" x14ac:dyDescent="0.25">
      <c r="A4627" s="279">
        <v>39132</v>
      </c>
      <c r="B4627" t="s">
        <v>338</v>
      </c>
      <c r="C4627" t="s">
        <v>120</v>
      </c>
      <c r="D4627">
        <v>0</v>
      </c>
      <c r="E4627" t="s">
        <v>378</v>
      </c>
    </row>
    <row r="4628" spans="1:5" x14ac:dyDescent="0.25">
      <c r="A4628" s="279">
        <v>39132</v>
      </c>
      <c r="B4628" t="s">
        <v>338</v>
      </c>
      <c r="C4628" t="s">
        <v>121</v>
      </c>
      <c r="D4628">
        <v>20064</v>
      </c>
      <c r="E4628" t="s">
        <v>380</v>
      </c>
    </row>
    <row r="4629" spans="1:5" x14ac:dyDescent="0.25">
      <c r="A4629" s="279">
        <v>39132</v>
      </c>
      <c r="B4629" t="s">
        <v>338</v>
      </c>
      <c r="C4629" t="s">
        <v>67</v>
      </c>
      <c r="D4629">
        <v>0</v>
      </c>
      <c r="E4629" t="s">
        <v>378</v>
      </c>
    </row>
    <row r="4630" spans="1:5" x14ac:dyDescent="0.25">
      <c r="A4630" s="279">
        <v>39132</v>
      </c>
      <c r="B4630" t="s">
        <v>338</v>
      </c>
      <c r="C4630" t="s">
        <v>68</v>
      </c>
      <c r="D4630">
        <v>0</v>
      </c>
      <c r="E4630" t="s">
        <v>380</v>
      </c>
    </row>
    <row r="4631" spans="1:5" x14ac:dyDescent="0.25">
      <c r="A4631" s="279">
        <v>39132</v>
      </c>
      <c r="B4631" t="s">
        <v>338</v>
      </c>
      <c r="C4631" t="s">
        <v>69</v>
      </c>
      <c r="D4631">
        <v>57577</v>
      </c>
      <c r="E4631" t="s">
        <v>379</v>
      </c>
    </row>
    <row r="4632" spans="1:5" x14ac:dyDescent="0.25">
      <c r="A4632" s="279">
        <v>39132</v>
      </c>
      <c r="B4632" t="s">
        <v>338</v>
      </c>
      <c r="C4632" t="s">
        <v>70</v>
      </c>
      <c r="D4632">
        <v>0</v>
      </c>
      <c r="E4632" t="s">
        <v>379</v>
      </c>
    </row>
    <row r="4633" spans="1:5" x14ac:dyDescent="0.25">
      <c r="A4633" s="279">
        <v>39132</v>
      </c>
      <c r="B4633" t="s">
        <v>338</v>
      </c>
      <c r="C4633" t="s">
        <v>80</v>
      </c>
      <c r="D4633">
        <v>0</v>
      </c>
      <c r="E4633" t="s">
        <v>379</v>
      </c>
    </row>
    <row r="4634" spans="1:5" x14ac:dyDescent="0.25">
      <c r="A4634" s="279">
        <v>39132</v>
      </c>
      <c r="B4634" t="s">
        <v>339</v>
      </c>
      <c r="C4634" t="s">
        <v>71</v>
      </c>
      <c r="D4634">
        <v>0</v>
      </c>
      <c r="E4634" t="s">
        <v>378</v>
      </c>
    </row>
    <row r="4635" spans="1:5" x14ac:dyDescent="0.25">
      <c r="A4635" s="279">
        <v>39132</v>
      </c>
      <c r="B4635" t="s">
        <v>339</v>
      </c>
      <c r="C4635" t="s">
        <v>72</v>
      </c>
      <c r="D4635">
        <v>4620</v>
      </c>
      <c r="E4635" t="s">
        <v>380</v>
      </c>
    </row>
    <row r="4636" spans="1:5" x14ac:dyDescent="0.25">
      <c r="A4636" s="279">
        <v>39132</v>
      </c>
      <c r="B4636" t="s">
        <v>339</v>
      </c>
      <c r="C4636" t="s">
        <v>73</v>
      </c>
      <c r="D4636">
        <v>0</v>
      </c>
      <c r="E4636" t="s">
        <v>378</v>
      </c>
    </row>
    <row r="4637" spans="1:5" x14ac:dyDescent="0.25">
      <c r="A4637" s="279">
        <v>39132</v>
      </c>
      <c r="B4637" t="s">
        <v>339</v>
      </c>
      <c r="C4637" t="s">
        <v>74</v>
      </c>
      <c r="D4637">
        <v>48123</v>
      </c>
      <c r="E4637" t="s">
        <v>380</v>
      </c>
    </row>
    <row r="4638" spans="1:5" x14ac:dyDescent="0.25">
      <c r="A4638" s="279">
        <v>39132</v>
      </c>
      <c r="B4638" t="s">
        <v>339</v>
      </c>
      <c r="C4638" t="s">
        <v>75</v>
      </c>
      <c r="D4638">
        <v>14992</v>
      </c>
      <c r="E4638" t="s">
        <v>378</v>
      </c>
    </row>
    <row r="4639" spans="1:5" x14ac:dyDescent="0.25">
      <c r="A4639" s="279">
        <v>39132</v>
      </c>
      <c r="B4639" t="s">
        <v>339</v>
      </c>
      <c r="C4639" t="s">
        <v>76</v>
      </c>
      <c r="D4639">
        <v>47009</v>
      </c>
      <c r="E4639" t="s">
        <v>380</v>
      </c>
    </row>
    <row r="4640" spans="1:5" x14ac:dyDescent="0.25">
      <c r="A4640" s="279">
        <v>39132</v>
      </c>
      <c r="B4640" t="s">
        <v>339</v>
      </c>
      <c r="C4640" t="s">
        <v>77</v>
      </c>
      <c r="D4640">
        <v>7261</v>
      </c>
      <c r="E4640" t="s">
        <v>378</v>
      </c>
    </row>
    <row r="4641" spans="1:5" x14ac:dyDescent="0.25">
      <c r="A4641" s="279">
        <v>39132</v>
      </c>
      <c r="B4641" t="s">
        <v>339</v>
      </c>
      <c r="C4641" t="s">
        <v>78</v>
      </c>
      <c r="D4641">
        <v>18135</v>
      </c>
      <c r="E4641" t="s">
        <v>380</v>
      </c>
    </row>
    <row r="4642" spans="1:5" x14ac:dyDescent="0.25">
      <c r="A4642" s="279">
        <v>39132</v>
      </c>
      <c r="B4642" t="s">
        <v>339</v>
      </c>
      <c r="C4642" t="s">
        <v>79</v>
      </c>
      <c r="D4642">
        <v>116142</v>
      </c>
      <c r="E4642" t="s">
        <v>379</v>
      </c>
    </row>
    <row r="4643" spans="1:5" x14ac:dyDescent="0.25">
      <c r="A4643" s="279">
        <v>39132</v>
      </c>
      <c r="B4643" t="s">
        <v>339</v>
      </c>
      <c r="C4643" t="s">
        <v>70</v>
      </c>
      <c r="D4643">
        <v>0</v>
      </c>
      <c r="E4643" t="s">
        <v>379</v>
      </c>
    </row>
    <row r="4644" spans="1:5" x14ac:dyDescent="0.25">
      <c r="A4644" s="279">
        <v>39132</v>
      </c>
      <c r="B4644" t="s">
        <v>339</v>
      </c>
      <c r="C4644" t="s">
        <v>63</v>
      </c>
      <c r="D4644">
        <v>0</v>
      </c>
      <c r="E4644" t="s">
        <v>378</v>
      </c>
    </row>
    <row r="4645" spans="1:5" x14ac:dyDescent="0.25">
      <c r="A4645" s="279">
        <v>39132</v>
      </c>
      <c r="B4645" t="s">
        <v>339</v>
      </c>
      <c r="C4645" t="s">
        <v>80</v>
      </c>
      <c r="D4645">
        <v>133</v>
      </c>
      <c r="E4645" t="s">
        <v>379</v>
      </c>
    </row>
    <row r="4646" spans="1:5" x14ac:dyDescent="0.25">
      <c r="A4646" s="279">
        <v>39133</v>
      </c>
      <c r="B4646" t="s">
        <v>338</v>
      </c>
      <c r="C4646" t="s">
        <v>59</v>
      </c>
      <c r="D4646">
        <v>0</v>
      </c>
      <c r="E4646" t="s">
        <v>378</v>
      </c>
    </row>
    <row r="4647" spans="1:5" x14ac:dyDescent="0.25">
      <c r="A4647" s="279">
        <v>39133</v>
      </c>
      <c r="B4647" t="s">
        <v>338</v>
      </c>
      <c r="C4647" t="s">
        <v>60</v>
      </c>
      <c r="D4647">
        <v>4806</v>
      </c>
      <c r="E4647" t="s">
        <v>379</v>
      </c>
    </row>
    <row r="4648" spans="1:5" x14ac:dyDescent="0.25">
      <c r="A4648" s="279">
        <v>39133</v>
      </c>
      <c r="B4648" t="s">
        <v>338</v>
      </c>
      <c r="C4648" t="s">
        <v>61</v>
      </c>
      <c r="D4648">
        <v>0</v>
      </c>
      <c r="E4648" t="s">
        <v>378</v>
      </c>
    </row>
    <row r="4649" spans="1:5" x14ac:dyDescent="0.25">
      <c r="A4649" s="279">
        <v>39133</v>
      </c>
      <c r="B4649" t="s">
        <v>338</v>
      </c>
      <c r="C4649" t="s">
        <v>62</v>
      </c>
      <c r="D4649">
        <v>283</v>
      </c>
      <c r="E4649" t="s">
        <v>380</v>
      </c>
    </row>
    <row r="4650" spans="1:5" x14ac:dyDescent="0.25">
      <c r="A4650" s="279">
        <v>39133</v>
      </c>
      <c r="B4650" t="s">
        <v>338</v>
      </c>
      <c r="C4650" t="s">
        <v>63</v>
      </c>
      <c r="D4650">
        <v>0</v>
      </c>
      <c r="E4650" t="s">
        <v>378</v>
      </c>
    </row>
    <row r="4651" spans="1:5" x14ac:dyDescent="0.25">
      <c r="A4651" s="279">
        <v>39133</v>
      </c>
      <c r="B4651" t="s">
        <v>338</v>
      </c>
      <c r="C4651" t="s">
        <v>64</v>
      </c>
      <c r="D4651">
        <v>28197</v>
      </c>
      <c r="E4651" t="s">
        <v>380</v>
      </c>
    </row>
    <row r="4652" spans="1:5" x14ac:dyDescent="0.25">
      <c r="A4652" s="279">
        <v>39133</v>
      </c>
      <c r="B4652" t="s">
        <v>338</v>
      </c>
      <c r="C4652" t="s">
        <v>65</v>
      </c>
      <c r="D4652">
        <v>0</v>
      </c>
      <c r="E4652" t="s">
        <v>378</v>
      </c>
    </row>
    <row r="4653" spans="1:5" x14ac:dyDescent="0.25">
      <c r="A4653" s="279">
        <v>39133</v>
      </c>
      <c r="B4653" t="s">
        <v>338</v>
      </c>
      <c r="C4653" t="s">
        <v>66</v>
      </c>
      <c r="D4653">
        <v>0</v>
      </c>
      <c r="E4653" t="s">
        <v>380</v>
      </c>
    </row>
    <row r="4654" spans="1:5" x14ac:dyDescent="0.25">
      <c r="A4654" s="279">
        <v>39133</v>
      </c>
      <c r="B4654" t="s">
        <v>338</v>
      </c>
      <c r="C4654" t="s">
        <v>120</v>
      </c>
      <c r="D4654">
        <v>0</v>
      </c>
      <c r="E4654" t="s">
        <v>378</v>
      </c>
    </row>
    <row r="4655" spans="1:5" x14ac:dyDescent="0.25">
      <c r="A4655" s="279">
        <v>39133</v>
      </c>
      <c r="B4655" t="s">
        <v>338</v>
      </c>
      <c r="C4655" t="s">
        <v>121</v>
      </c>
      <c r="D4655">
        <v>20045</v>
      </c>
      <c r="E4655" t="s">
        <v>380</v>
      </c>
    </row>
    <row r="4656" spans="1:5" x14ac:dyDescent="0.25">
      <c r="A4656" s="279">
        <v>39133</v>
      </c>
      <c r="B4656" t="s">
        <v>338</v>
      </c>
      <c r="C4656" t="s">
        <v>67</v>
      </c>
      <c r="D4656">
        <v>0</v>
      </c>
      <c r="E4656" t="s">
        <v>378</v>
      </c>
    </row>
    <row r="4657" spans="1:5" x14ac:dyDescent="0.25">
      <c r="A4657" s="279">
        <v>39133</v>
      </c>
      <c r="B4657" t="s">
        <v>338</v>
      </c>
      <c r="C4657" t="s">
        <v>68</v>
      </c>
      <c r="D4657">
        <v>0</v>
      </c>
      <c r="E4657" t="s">
        <v>380</v>
      </c>
    </row>
    <row r="4658" spans="1:5" x14ac:dyDescent="0.25">
      <c r="A4658" s="279">
        <v>39133</v>
      </c>
      <c r="B4658" t="s">
        <v>338</v>
      </c>
      <c r="C4658" t="s">
        <v>69</v>
      </c>
      <c r="D4658">
        <v>57521</v>
      </c>
      <c r="E4658" t="s">
        <v>379</v>
      </c>
    </row>
    <row r="4659" spans="1:5" x14ac:dyDescent="0.25">
      <c r="A4659" s="279">
        <v>39133</v>
      </c>
      <c r="B4659" t="s">
        <v>338</v>
      </c>
      <c r="C4659" t="s">
        <v>70</v>
      </c>
      <c r="D4659">
        <v>0</v>
      </c>
      <c r="E4659" t="s">
        <v>379</v>
      </c>
    </row>
    <row r="4660" spans="1:5" x14ac:dyDescent="0.25">
      <c r="A4660" s="279">
        <v>39133</v>
      </c>
      <c r="B4660" t="s">
        <v>338</v>
      </c>
      <c r="C4660" t="s">
        <v>80</v>
      </c>
      <c r="D4660">
        <v>0</v>
      </c>
      <c r="E4660" t="s">
        <v>379</v>
      </c>
    </row>
    <row r="4661" spans="1:5" x14ac:dyDescent="0.25">
      <c r="A4661" s="279">
        <v>39133</v>
      </c>
      <c r="B4661" t="s">
        <v>339</v>
      </c>
      <c r="C4661" t="s">
        <v>71</v>
      </c>
      <c r="D4661">
        <v>0</v>
      </c>
      <c r="E4661" t="s">
        <v>378</v>
      </c>
    </row>
    <row r="4662" spans="1:5" x14ac:dyDescent="0.25">
      <c r="A4662" s="279">
        <v>39133</v>
      </c>
      <c r="B4662" t="s">
        <v>339</v>
      </c>
      <c r="C4662" t="s">
        <v>72</v>
      </c>
      <c r="D4662">
        <v>0</v>
      </c>
      <c r="E4662" t="s">
        <v>380</v>
      </c>
    </row>
    <row r="4663" spans="1:5" x14ac:dyDescent="0.25">
      <c r="A4663" s="279">
        <v>39133</v>
      </c>
      <c r="B4663" t="s">
        <v>339</v>
      </c>
      <c r="C4663" t="s">
        <v>73</v>
      </c>
      <c r="D4663">
        <v>0</v>
      </c>
      <c r="E4663" t="s">
        <v>378</v>
      </c>
    </row>
    <row r="4664" spans="1:5" x14ac:dyDescent="0.25">
      <c r="A4664" s="279">
        <v>39133</v>
      </c>
      <c r="B4664" t="s">
        <v>339</v>
      </c>
      <c r="C4664" t="s">
        <v>74</v>
      </c>
      <c r="D4664">
        <v>0</v>
      </c>
      <c r="E4664" t="s">
        <v>380</v>
      </c>
    </row>
    <row r="4665" spans="1:5" x14ac:dyDescent="0.25">
      <c r="A4665" s="279">
        <v>39133</v>
      </c>
      <c r="B4665" t="s">
        <v>339</v>
      </c>
      <c r="C4665" t="s">
        <v>75</v>
      </c>
      <c r="D4665">
        <v>15021</v>
      </c>
      <c r="E4665" t="s">
        <v>378</v>
      </c>
    </row>
    <row r="4666" spans="1:5" x14ac:dyDescent="0.25">
      <c r="A4666" s="279">
        <v>39133</v>
      </c>
      <c r="B4666" t="s">
        <v>339</v>
      </c>
      <c r="C4666" t="s">
        <v>76</v>
      </c>
      <c r="D4666">
        <v>0</v>
      </c>
      <c r="E4666" t="s">
        <v>380</v>
      </c>
    </row>
    <row r="4667" spans="1:5" x14ac:dyDescent="0.25">
      <c r="A4667" s="279">
        <v>39133</v>
      </c>
      <c r="B4667" t="s">
        <v>339</v>
      </c>
      <c r="C4667" t="s">
        <v>77</v>
      </c>
      <c r="D4667">
        <v>7275</v>
      </c>
      <c r="E4667" t="s">
        <v>378</v>
      </c>
    </row>
    <row r="4668" spans="1:5" x14ac:dyDescent="0.25">
      <c r="A4668" s="279">
        <v>39133</v>
      </c>
      <c r="B4668" t="s">
        <v>339</v>
      </c>
      <c r="C4668" t="s">
        <v>78</v>
      </c>
      <c r="D4668">
        <v>2119</v>
      </c>
      <c r="E4668" t="s">
        <v>380</v>
      </c>
    </row>
    <row r="4669" spans="1:5" x14ac:dyDescent="0.25">
      <c r="A4669" s="279">
        <v>39133</v>
      </c>
      <c r="B4669" t="s">
        <v>339</v>
      </c>
      <c r="C4669" t="s">
        <v>79</v>
      </c>
      <c r="D4669">
        <v>116366</v>
      </c>
      <c r="E4669" t="s">
        <v>379</v>
      </c>
    </row>
    <row r="4670" spans="1:5" x14ac:dyDescent="0.25">
      <c r="A4670" s="279">
        <v>39133</v>
      </c>
      <c r="B4670" t="s">
        <v>339</v>
      </c>
      <c r="C4670" t="s">
        <v>70</v>
      </c>
      <c r="D4670">
        <v>0</v>
      </c>
      <c r="E4670" t="s">
        <v>379</v>
      </c>
    </row>
    <row r="4671" spans="1:5" x14ac:dyDescent="0.25">
      <c r="A4671" s="279">
        <v>39133</v>
      </c>
      <c r="B4671" t="s">
        <v>339</v>
      </c>
      <c r="C4671" t="s">
        <v>63</v>
      </c>
      <c r="D4671">
        <v>0</v>
      </c>
      <c r="E4671" t="s">
        <v>378</v>
      </c>
    </row>
    <row r="4672" spans="1:5" x14ac:dyDescent="0.25">
      <c r="A4672" s="279">
        <v>39133</v>
      </c>
      <c r="B4672" t="s">
        <v>339</v>
      </c>
      <c r="C4672" t="s">
        <v>80</v>
      </c>
      <c r="D4672">
        <v>133</v>
      </c>
      <c r="E4672" t="s">
        <v>379</v>
      </c>
    </row>
    <row r="4673" spans="1:5" x14ac:dyDescent="0.25">
      <c r="A4673" s="279">
        <v>39134</v>
      </c>
      <c r="B4673" t="s">
        <v>338</v>
      </c>
      <c r="C4673" t="s">
        <v>59</v>
      </c>
      <c r="D4673">
        <v>0</v>
      </c>
      <c r="E4673" t="s">
        <v>378</v>
      </c>
    </row>
    <row r="4674" spans="1:5" x14ac:dyDescent="0.25">
      <c r="A4674" s="279">
        <v>39134</v>
      </c>
      <c r="B4674" t="s">
        <v>338</v>
      </c>
      <c r="C4674" t="s">
        <v>60</v>
      </c>
      <c r="D4674">
        <v>4810</v>
      </c>
      <c r="E4674" t="s">
        <v>379</v>
      </c>
    </row>
    <row r="4675" spans="1:5" x14ac:dyDescent="0.25">
      <c r="A4675" s="279">
        <v>39134</v>
      </c>
      <c r="B4675" t="s">
        <v>338</v>
      </c>
      <c r="C4675" t="s">
        <v>61</v>
      </c>
      <c r="D4675">
        <v>0</v>
      </c>
      <c r="E4675" t="s">
        <v>378</v>
      </c>
    </row>
    <row r="4676" spans="1:5" x14ac:dyDescent="0.25">
      <c r="A4676" s="279">
        <v>39134</v>
      </c>
      <c r="B4676" t="s">
        <v>338</v>
      </c>
      <c r="C4676" t="s">
        <v>62</v>
      </c>
      <c r="D4676">
        <v>76</v>
      </c>
      <c r="E4676" t="s">
        <v>380</v>
      </c>
    </row>
    <row r="4677" spans="1:5" x14ac:dyDescent="0.25">
      <c r="A4677" s="279">
        <v>39134</v>
      </c>
      <c r="B4677" t="s">
        <v>338</v>
      </c>
      <c r="C4677" t="s">
        <v>63</v>
      </c>
      <c r="D4677">
        <v>0</v>
      </c>
      <c r="E4677" t="s">
        <v>378</v>
      </c>
    </row>
    <row r="4678" spans="1:5" x14ac:dyDescent="0.25">
      <c r="A4678" s="279">
        <v>39134</v>
      </c>
      <c r="B4678" t="s">
        <v>338</v>
      </c>
      <c r="C4678" t="s">
        <v>64</v>
      </c>
      <c r="D4678">
        <v>28224</v>
      </c>
      <c r="E4678" t="s">
        <v>380</v>
      </c>
    </row>
    <row r="4679" spans="1:5" x14ac:dyDescent="0.25">
      <c r="A4679" s="279">
        <v>39134</v>
      </c>
      <c r="B4679" t="s">
        <v>338</v>
      </c>
      <c r="C4679" t="s">
        <v>65</v>
      </c>
      <c r="D4679">
        <v>0</v>
      </c>
      <c r="E4679" t="s">
        <v>378</v>
      </c>
    </row>
    <row r="4680" spans="1:5" x14ac:dyDescent="0.25">
      <c r="A4680" s="279">
        <v>39134</v>
      </c>
      <c r="B4680" t="s">
        <v>338</v>
      </c>
      <c r="C4680" t="s">
        <v>66</v>
      </c>
      <c r="D4680">
        <v>0</v>
      </c>
      <c r="E4680" t="s">
        <v>380</v>
      </c>
    </row>
    <row r="4681" spans="1:5" x14ac:dyDescent="0.25">
      <c r="A4681" s="279">
        <v>39134</v>
      </c>
      <c r="B4681" t="s">
        <v>338</v>
      </c>
      <c r="C4681" t="s">
        <v>120</v>
      </c>
      <c r="D4681">
        <v>0</v>
      </c>
      <c r="E4681" t="s">
        <v>378</v>
      </c>
    </row>
    <row r="4682" spans="1:5" x14ac:dyDescent="0.25">
      <c r="A4682" s="279">
        <v>39134</v>
      </c>
      <c r="B4682" t="s">
        <v>338</v>
      </c>
      <c r="C4682" t="s">
        <v>121</v>
      </c>
      <c r="D4682">
        <v>20064</v>
      </c>
      <c r="E4682" t="s">
        <v>380</v>
      </c>
    </row>
    <row r="4683" spans="1:5" x14ac:dyDescent="0.25">
      <c r="A4683" s="279">
        <v>39134</v>
      </c>
      <c r="B4683" t="s">
        <v>338</v>
      </c>
      <c r="C4683" t="s">
        <v>67</v>
      </c>
      <c r="D4683">
        <v>0</v>
      </c>
      <c r="E4683" t="s">
        <v>378</v>
      </c>
    </row>
    <row r="4684" spans="1:5" x14ac:dyDescent="0.25">
      <c r="A4684" s="279">
        <v>39134</v>
      </c>
      <c r="B4684" t="s">
        <v>338</v>
      </c>
      <c r="C4684" t="s">
        <v>68</v>
      </c>
      <c r="D4684">
        <v>0</v>
      </c>
      <c r="E4684" t="s">
        <v>380</v>
      </c>
    </row>
    <row r="4685" spans="1:5" x14ac:dyDescent="0.25">
      <c r="A4685" s="279">
        <v>39134</v>
      </c>
      <c r="B4685" t="s">
        <v>338</v>
      </c>
      <c r="C4685" t="s">
        <v>69</v>
      </c>
      <c r="D4685">
        <v>34649</v>
      </c>
      <c r="E4685" t="s">
        <v>379</v>
      </c>
    </row>
    <row r="4686" spans="1:5" x14ac:dyDescent="0.25">
      <c r="A4686" s="279">
        <v>39134</v>
      </c>
      <c r="B4686" t="s">
        <v>338</v>
      </c>
      <c r="C4686" t="s">
        <v>70</v>
      </c>
      <c r="D4686">
        <v>0</v>
      </c>
      <c r="E4686" t="s">
        <v>379</v>
      </c>
    </row>
    <row r="4687" spans="1:5" x14ac:dyDescent="0.25">
      <c r="A4687" s="279">
        <v>39134</v>
      </c>
      <c r="B4687" t="s">
        <v>338</v>
      </c>
      <c r="C4687" t="s">
        <v>80</v>
      </c>
      <c r="D4687">
        <v>0</v>
      </c>
      <c r="E4687" t="s">
        <v>379</v>
      </c>
    </row>
    <row r="4688" spans="1:5" x14ac:dyDescent="0.25">
      <c r="A4688" s="279">
        <v>39134</v>
      </c>
      <c r="B4688" t="s">
        <v>339</v>
      </c>
      <c r="C4688" t="s">
        <v>71</v>
      </c>
      <c r="D4688">
        <v>0</v>
      </c>
      <c r="E4688" t="s">
        <v>378</v>
      </c>
    </row>
    <row r="4689" spans="1:5" x14ac:dyDescent="0.25">
      <c r="A4689" s="279">
        <v>39134</v>
      </c>
      <c r="B4689" t="s">
        <v>339</v>
      </c>
      <c r="C4689" t="s">
        <v>72</v>
      </c>
      <c r="D4689">
        <v>4339</v>
      </c>
      <c r="E4689" t="s">
        <v>380</v>
      </c>
    </row>
    <row r="4690" spans="1:5" x14ac:dyDescent="0.25">
      <c r="A4690" s="279">
        <v>39134</v>
      </c>
      <c r="B4690" t="s">
        <v>339</v>
      </c>
      <c r="C4690" t="s">
        <v>73</v>
      </c>
      <c r="D4690">
        <v>0</v>
      </c>
      <c r="E4690" t="s">
        <v>378</v>
      </c>
    </row>
    <row r="4691" spans="1:5" x14ac:dyDescent="0.25">
      <c r="A4691" s="279">
        <v>39134</v>
      </c>
      <c r="B4691" t="s">
        <v>339</v>
      </c>
      <c r="C4691" t="s">
        <v>74</v>
      </c>
      <c r="D4691">
        <v>434</v>
      </c>
      <c r="E4691" t="s">
        <v>380</v>
      </c>
    </row>
    <row r="4692" spans="1:5" x14ac:dyDescent="0.25">
      <c r="A4692" s="279">
        <v>39134</v>
      </c>
      <c r="B4692" t="s">
        <v>339</v>
      </c>
      <c r="C4692" t="s">
        <v>75</v>
      </c>
      <c r="D4692">
        <v>15021</v>
      </c>
      <c r="E4692" t="s">
        <v>378</v>
      </c>
    </row>
    <row r="4693" spans="1:5" x14ac:dyDescent="0.25">
      <c r="A4693" s="279">
        <v>39134</v>
      </c>
      <c r="B4693" t="s">
        <v>339</v>
      </c>
      <c r="C4693" t="s">
        <v>76</v>
      </c>
      <c r="D4693">
        <v>14480</v>
      </c>
      <c r="E4693" t="s">
        <v>380</v>
      </c>
    </row>
    <row r="4694" spans="1:5" x14ac:dyDescent="0.25">
      <c r="A4694" s="279">
        <v>39134</v>
      </c>
      <c r="B4694" t="s">
        <v>339</v>
      </c>
      <c r="C4694" t="s">
        <v>77</v>
      </c>
      <c r="D4694">
        <v>7275</v>
      </c>
      <c r="E4694" t="s">
        <v>378</v>
      </c>
    </row>
    <row r="4695" spans="1:5" x14ac:dyDescent="0.25">
      <c r="A4695" s="279">
        <v>39134</v>
      </c>
      <c r="B4695" t="s">
        <v>339</v>
      </c>
      <c r="C4695" t="s">
        <v>78</v>
      </c>
      <c r="D4695">
        <v>7009</v>
      </c>
      <c r="E4695" t="s">
        <v>380</v>
      </c>
    </row>
    <row r="4696" spans="1:5" x14ac:dyDescent="0.25">
      <c r="A4696" s="279">
        <v>39134</v>
      </c>
      <c r="B4696" t="s">
        <v>339</v>
      </c>
      <c r="C4696" t="s">
        <v>79</v>
      </c>
      <c r="D4696">
        <v>116366</v>
      </c>
      <c r="E4696" t="s">
        <v>379</v>
      </c>
    </row>
    <row r="4697" spans="1:5" x14ac:dyDescent="0.25">
      <c r="A4697" s="279">
        <v>39134</v>
      </c>
      <c r="B4697" t="s">
        <v>339</v>
      </c>
      <c r="C4697" t="s">
        <v>70</v>
      </c>
      <c r="D4697">
        <v>0</v>
      </c>
      <c r="E4697" t="s">
        <v>379</v>
      </c>
    </row>
    <row r="4698" spans="1:5" x14ac:dyDescent="0.25">
      <c r="A4698" s="279">
        <v>39134</v>
      </c>
      <c r="B4698" t="s">
        <v>339</v>
      </c>
      <c r="C4698" t="s">
        <v>63</v>
      </c>
      <c r="D4698">
        <v>0</v>
      </c>
      <c r="E4698" t="s">
        <v>378</v>
      </c>
    </row>
    <row r="4699" spans="1:5" x14ac:dyDescent="0.25">
      <c r="A4699" s="279">
        <v>39134</v>
      </c>
      <c r="B4699" t="s">
        <v>339</v>
      </c>
      <c r="C4699" t="s">
        <v>80</v>
      </c>
      <c r="D4699">
        <v>133</v>
      </c>
      <c r="E4699" t="s">
        <v>379</v>
      </c>
    </row>
    <row r="4700" spans="1:5" x14ac:dyDescent="0.25">
      <c r="A4700" s="279">
        <v>39135</v>
      </c>
      <c r="B4700" t="s">
        <v>338</v>
      </c>
      <c r="C4700" t="s">
        <v>59</v>
      </c>
      <c r="D4700">
        <v>0</v>
      </c>
      <c r="E4700" t="s">
        <v>378</v>
      </c>
    </row>
    <row r="4701" spans="1:5" x14ac:dyDescent="0.25">
      <c r="A4701" s="279">
        <v>39135</v>
      </c>
      <c r="B4701" t="s">
        <v>338</v>
      </c>
      <c r="C4701" t="s">
        <v>60</v>
      </c>
      <c r="D4701">
        <v>4801</v>
      </c>
      <c r="E4701" t="s">
        <v>379</v>
      </c>
    </row>
    <row r="4702" spans="1:5" x14ac:dyDescent="0.25">
      <c r="A4702" s="279">
        <v>39135</v>
      </c>
      <c r="B4702" t="s">
        <v>338</v>
      </c>
      <c r="C4702" t="s">
        <v>61</v>
      </c>
      <c r="D4702">
        <v>0</v>
      </c>
      <c r="E4702" t="s">
        <v>378</v>
      </c>
    </row>
    <row r="4703" spans="1:5" x14ac:dyDescent="0.25">
      <c r="A4703" s="279">
        <v>39135</v>
      </c>
      <c r="B4703" t="s">
        <v>338</v>
      </c>
      <c r="C4703" t="s">
        <v>62</v>
      </c>
      <c r="D4703">
        <v>10111</v>
      </c>
      <c r="E4703" t="s">
        <v>380</v>
      </c>
    </row>
    <row r="4704" spans="1:5" x14ac:dyDescent="0.25">
      <c r="A4704" s="279">
        <v>39135</v>
      </c>
      <c r="B4704" t="s">
        <v>338</v>
      </c>
      <c r="C4704" t="s">
        <v>63</v>
      </c>
      <c r="D4704">
        <v>0</v>
      </c>
      <c r="E4704" t="s">
        <v>378</v>
      </c>
    </row>
    <row r="4705" spans="1:5" x14ac:dyDescent="0.25">
      <c r="A4705" s="279">
        <v>39135</v>
      </c>
      <c r="B4705" t="s">
        <v>338</v>
      </c>
      <c r="C4705" t="s">
        <v>64</v>
      </c>
      <c r="D4705">
        <v>28170</v>
      </c>
      <c r="E4705" t="s">
        <v>380</v>
      </c>
    </row>
    <row r="4706" spans="1:5" x14ac:dyDescent="0.25">
      <c r="A4706" s="279">
        <v>39135</v>
      </c>
      <c r="B4706" t="s">
        <v>338</v>
      </c>
      <c r="C4706" t="s">
        <v>65</v>
      </c>
      <c r="D4706">
        <v>0</v>
      </c>
      <c r="E4706" t="s">
        <v>378</v>
      </c>
    </row>
    <row r="4707" spans="1:5" x14ac:dyDescent="0.25">
      <c r="A4707" s="279">
        <v>39135</v>
      </c>
      <c r="B4707" t="s">
        <v>338</v>
      </c>
      <c r="C4707" t="s">
        <v>66</v>
      </c>
      <c r="D4707">
        <v>0</v>
      </c>
      <c r="E4707" t="s">
        <v>380</v>
      </c>
    </row>
    <row r="4708" spans="1:5" x14ac:dyDescent="0.25">
      <c r="A4708" s="279">
        <v>39135</v>
      </c>
      <c r="B4708" t="s">
        <v>338</v>
      </c>
      <c r="C4708" t="s">
        <v>120</v>
      </c>
      <c r="D4708">
        <v>0</v>
      </c>
      <c r="E4708" t="s">
        <v>378</v>
      </c>
    </row>
    <row r="4709" spans="1:5" x14ac:dyDescent="0.25">
      <c r="A4709" s="279">
        <v>39135</v>
      </c>
      <c r="B4709" t="s">
        <v>338</v>
      </c>
      <c r="C4709" t="s">
        <v>121</v>
      </c>
      <c r="D4709">
        <v>20026</v>
      </c>
      <c r="E4709" t="s">
        <v>380</v>
      </c>
    </row>
    <row r="4710" spans="1:5" x14ac:dyDescent="0.25">
      <c r="A4710" s="279">
        <v>39135</v>
      </c>
      <c r="B4710" t="s">
        <v>338</v>
      </c>
      <c r="C4710" t="s">
        <v>67</v>
      </c>
      <c r="D4710">
        <v>0</v>
      </c>
      <c r="E4710" t="s">
        <v>378</v>
      </c>
    </row>
    <row r="4711" spans="1:5" x14ac:dyDescent="0.25">
      <c r="A4711" s="279">
        <v>39135</v>
      </c>
      <c r="B4711" t="s">
        <v>338</v>
      </c>
      <c r="C4711" t="s">
        <v>68</v>
      </c>
      <c r="D4711">
        <v>0</v>
      </c>
      <c r="E4711" t="s">
        <v>380</v>
      </c>
    </row>
    <row r="4712" spans="1:5" x14ac:dyDescent="0.25">
      <c r="A4712" s="279">
        <v>39135</v>
      </c>
      <c r="B4712" t="s">
        <v>338</v>
      </c>
      <c r="C4712" t="s">
        <v>69</v>
      </c>
      <c r="D4712">
        <v>34582</v>
      </c>
      <c r="E4712" t="s">
        <v>379</v>
      </c>
    </row>
    <row r="4713" spans="1:5" x14ac:dyDescent="0.25">
      <c r="A4713" s="279">
        <v>39135</v>
      </c>
      <c r="B4713" t="s">
        <v>338</v>
      </c>
      <c r="C4713" t="s">
        <v>70</v>
      </c>
      <c r="D4713">
        <v>0</v>
      </c>
      <c r="E4713" t="s">
        <v>379</v>
      </c>
    </row>
    <row r="4714" spans="1:5" x14ac:dyDescent="0.25">
      <c r="A4714" s="279">
        <v>39135</v>
      </c>
      <c r="B4714" t="s">
        <v>338</v>
      </c>
      <c r="C4714" t="s">
        <v>80</v>
      </c>
      <c r="D4714">
        <v>0</v>
      </c>
      <c r="E4714" t="s">
        <v>379</v>
      </c>
    </row>
    <row r="4715" spans="1:5" x14ac:dyDescent="0.25">
      <c r="A4715" s="279">
        <v>39135</v>
      </c>
      <c r="B4715" t="s">
        <v>339</v>
      </c>
      <c r="C4715" t="s">
        <v>71</v>
      </c>
      <c r="D4715">
        <v>0</v>
      </c>
      <c r="E4715" t="s">
        <v>378</v>
      </c>
    </row>
    <row r="4716" spans="1:5" x14ac:dyDescent="0.25">
      <c r="A4716" s="279">
        <v>39135</v>
      </c>
      <c r="B4716" t="s">
        <v>339</v>
      </c>
      <c r="C4716" t="s">
        <v>72</v>
      </c>
      <c r="D4716">
        <v>4335</v>
      </c>
      <c r="E4716" t="s">
        <v>380</v>
      </c>
    </row>
    <row r="4717" spans="1:5" x14ac:dyDescent="0.25">
      <c r="A4717" s="279">
        <v>39135</v>
      </c>
      <c r="B4717" t="s">
        <v>339</v>
      </c>
      <c r="C4717" t="s">
        <v>73</v>
      </c>
      <c r="D4717">
        <v>0</v>
      </c>
      <c r="E4717" t="s">
        <v>378</v>
      </c>
    </row>
    <row r="4718" spans="1:5" x14ac:dyDescent="0.25">
      <c r="A4718" s="279">
        <v>39135</v>
      </c>
      <c r="B4718" t="s">
        <v>339</v>
      </c>
      <c r="C4718" t="s">
        <v>74</v>
      </c>
      <c r="D4718">
        <v>48170</v>
      </c>
      <c r="E4718" t="s">
        <v>380</v>
      </c>
    </row>
    <row r="4719" spans="1:5" x14ac:dyDescent="0.25">
      <c r="A4719" s="279">
        <v>39135</v>
      </c>
      <c r="B4719" t="s">
        <v>339</v>
      </c>
      <c r="C4719" t="s">
        <v>75</v>
      </c>
      <c r="D4719">
        <v>15006</v>
      </c>
      <c r="E4719" t="s">
        <v>378</v>
      </c>
    </row>
    <row r="4720" spans="1:5" x14ac:dyDescent="0.25">
      <c r="A4720" s="279">
        <v>39135</v>
      </c>
      <c r="B4720" t="s">
        <v>339</v>
      </c>
      <c r="C4720" t="s">
        <v>76</v>
      </c>
      <c r="D4720">
        <v>14699</v>
      </c>
      <c r="E4720" t="s">
        <v>380</v>
      </c>
    </row>
    <row r="4721" spans="1:5" x14ac:dyDescent="0.25">
      <c r="A4721" s="279">
        <v>39135</v>
      </c>
      <c r="B4721" t="s">
        <v>339</v>
      </c>
      <c r="C4721" t="s">
        <v>77</v>
      </c>
      <c r="D4721">
        <v>7268</v>
      </c>
      <c r="E4721" t="s">
        <v>378</v>
      </c>
    </row>
    <row r="4722" spans="1:5" x14ac:dyDescent="0.25">
      <c r="A4722" s="279">
        <v>39135</v>
      </c>
      <c r="B4722" t="s">
        <v>339</v>
      </c>
      <c r="C4722" t="s">
        <v>78</v>
      </c>
      <c r="D4722">
        <v>7002</v>
      </c>
      <c r="E4722" t="s">
        <v>380</v>
      </c>
    </row>
    <row r="4723" spans="1:5" x14ac:dyDescent="0.25">
      <c r="A4723" s="279">
        <v>39135</v>
      </c>
      <c r="B4723" t="s">
        <v>339</v>
      </c>
      <c r="C4723" t="s">
        <v>79</v>
      </c>
      <c r="D4723">
        <v>117648</v>
      </c>
      <c r="E4723" t="s">
        <v>379</v>
      </c>
    </row>
    <row r="4724" spans="1:5" x14ac:dyDescent="0.25">
      <c r="A4724" s="279">
        <v>39135</v>
      </c>
      <c r="B4724" t="s">
        <v>339</v>
      </c>
      <c r="C4724" t="s">
        <v>70</v>
      </c>
      <c r="D4724">
        <v>0</v>
      </c>
      <c r="E4724" t="s">
        <v>379</v>
      </c>
    </row>
    <row r="4725" spans="1:5" x14ac:dyDescent="0.25">
      <c r="A4725" s="279">
        <v>39135</v>
      </c>
      <c r="B4725" t="s">
        <v>339</v>
      </c>
      <c r="C4725" t="s">
        <v>63</v>
      </c>
      <c r="D4725">
        <v>0</v>
      </c>
      <c r="E4725" t="s">
        <v>378</v>
      </c>
    </row>
    <row r="4726" spans="1:5" x14ac:dyDescent="0.25">
      <c r="A4726" s="279">
        <v>39135</v>
      </c>
      <c r="B4726" t="s">
        <v>339</v>
      </c>
      <c r="C4726" t="s">
        <v>80</v>
      </c>
      <c r="D4726">
        <v>133</v>
      </c>
      <c r="E4726" t="s">
        <v>379</v>
      </c>
    </row>
    <row r="4727" spans="1:5" x14ac:dyDescent="0.25">
      <c r="A4727" s="279">
        <v>39136</v>
      </c>
      <c r="B4727" t="s">
        <v>338</v>
      </c>
      <c r="C4727" t="s">
        <v>59</v>
      </c>
      <c r="D4727">
        <v>0</v>
      </c>
      <c r="E4727" t="s">
        <v>378</v>
      </c>
    </row>
    <row r="4728" spans="1:5" x14ac:dyDescent="0.25">
      <c r="A4728" s="279">
        <v>39136</v>
      </c>
      <c r="B4728" t="s">
        <v>338</v>
      </c>
      <c r="C4728" t="s">
        <v>60</v>
      </c>
      <c r="D4728">
        <v>4806</v>
      </c>
      <c r="E4728" t="s">
        <v>379</v>
      </c>
    </row>
    <row r="4729" spans="1:5" x14ac:dyDescent="0.25">
      <c r="A4729" s="279">
        <v>39136</v>
      </c>
      <c r="B4729" t="s">
        <v>338</v>
      </c>
      <c r="C4729" t="s">
        <v>61</v>
      </c>
      <c r="D4729">
        <v>0</v>
      </c>
      <c r="E4729" t="s">
        <v>378</v>
      </c>
    </row>
    <row r="4730" spans="1:5" x14ac:dyDescent="0.25">
      <c r="A4730" s="279">
        <v>39136</v>
      </c>
      <c r="B4730" t="s">
        <v>338</v>
      </c>
      <c r="C4730" t="s">
        <v>62</v>
      </c>
      <c r="D4730">
        <v>34441</v>
      </c>
      <c r="E4730" t="s">
        <v>380</v>
      </c>
    </row>
    <row r="4731" spans="1:5" x14ac:dyDescent="0.25">
      <c r="A4731" s="279">
        <v>39136</v>
      </c>
      <c r="B4731" t="s">
        <v>338</v>
      </c>
      <c r="C4731" t="s">
        <v>63</v>
      </c>
      <c r="D4731">
        <v>0</v>
      </c>
      <c r="E4731" t="s">
        <v>378</v>
      </c>
    </row>
    <row r="4732" spans="1:5" x14ac:dyDescent="0.25">
      <c r="A4732" s="279">
        <v>39136</v>
      </c>
      <c r="B4732" t="s">
        <v>338</v>
      </c>
      <c r="C4732" t="s">
        <v>64</v>
      </c>
      <c r="D4732">
        <v>28197</v>
      </c>
      <c r="E4732" t="s">
        <v>380</v>
      </c>
    </row>
    <row r="4733" spans="1:5" x14ac:dyDescent="0.25">
      <c r="A4733" s="279">
        <v>39136</v>
      </c>
      <c r="B4733" t="s">
        <v>338</v>
      </c>
      <c r="C4733" t="s">
        <v>65</v>
      </c>
      <c r="D4733">
        <v>0</v>
      </c>
      <c r="E4733" t="s">
        <v>378</v>
      </c>
    </row>
    <row r="4734" spans="1:5" x14ac:dyDescent="0.25">
      <c r="A4734" s="279">
        <v>39136</v>
      </c>
      <c r="B4734" t="s">
        <v>338</v>
      </c>
      <c r="C4734" t="s">
        <v>66</v>
      </c>
      <c r="D4734">
        <v>0</v>
      </c>
      <c r="E4734" t="s">
        <v>380</v>
      </c>
    </row>
    <row r="4735" spans="1:5" x14ac:dyDescent="0.25">
      <c r="A4735" s="279">
        <v>39136</v>
      </c>
      <c r="B4735" t="s">
        <v>338</v>
      </c>
      <c r="C4735" t="s">
        <v>120</v>
      </c>
      <c r="D4735">
        <v>0</v>
      </c>
      <c r="E4735" t="s">
        <v>378</v>
      </c>
    </row>
    <row r="4736" spans="1:5" x14ac:dyDescent="0.25">
      <c r="A4736" s="279">
        <v>39136</v>
      </c>
      <c r="B4736" t="s">
        <v>338</v>
      </c>
      <c r="C4736" t="s">
        <v>121</v>
      </c>
      <c r="D4736">
        <v>20045</v>
      </c>
      <c r="E4736" t="s">
        <v>380</v>
      </c>
    </row>
    <row r="4737" spans="1:5" x14ac:dyDescent="0.25">
      <c r="A4737" s="279">
        <v>39136</v>
      </c>
      <c r="B4737" t="s">
        <v>338</v>
      </c>
      <c r="C4737" t="s">
        <v>67</v>
      </c>
      <c r="D4737">
        <v>0</v>
      </c>
      <c r="E4737" t="s">
        <v>378</v>
      </c>
    </row>
    <row r="4738" spans="1:5" x14ac:dyDescent="0.25">
      <c r="A4738" s="279">
        <v>39136</v>
      </c>
      <c r="B4738" t="s">
        <v>338</v>
      </c>
      <c r="C4738" t="s">
        <v>68</v>
      </c>
      <c r="D4738">
        <v>0</v>
      </c>
      <c r="E4738" t="s">
        <v>380</v>
      </c>
    </row>
    <row r="4739" spans="1:5" x14ac:dyDescent="0.25">
      <c r="A4739" s="279">
        <v>39136</v>
      </c>
      <c r="B4739" t="s">
        <v>338</v>
      </c>
      <c r="C4739" t="s">
        <v>69</v>
      </c>
      <c r="D4739">
        <v>34615</v>
      </c>
      <c r="E4739" t="s">
        <v>379</v>
      </c>
    </row>
    <row r="4740" spans="1:5" x14ac:dyDescent="0.25">
      <c r="A4740" s="279">
        <v>39136</v>
      </c>
      <c r="B4740" t="s">
        <v>338</v>
      </c>
      <c r="C4740" t="s">
        <v>70</v>
      </c>
      <c r="D4740">
        <v>0</v>
      </c>
      <c r="E4740" t="s">
        <v>379</v>
      </c>
    </row>
    <row r="4741" spans="1:5" x14ac:dyDescent="0.25">
      <c r="A4741" s="279">
        <v>39136</v>
      </c>
      <c r="B4741" t="s">
        <v>338</v>
      </c>
      <c r="C4741" t="s">
        <v>80</v>
      </c>
      <c r="D4741">
        <v>0</v>
      </c>
      <c r="E4741" t="s">
        <v>379</v>
      </c>
    </row>
    <row r="4742" spans="1:5" x14ac:dyDescent="0.25">
      <c r="A4742" s="279">
        <v>39136</v>
      </c>
      <c r="B4742" t="s">
        <v>339</v>
      </c>
      <c r="C4742" t="s">
        <v>71</v>
      </c>
      <c r="D4742">
        <v>0</v>
      </c>
      <c r="E4742" t="s">
        <v>378</v>
      </c>
    </row>
    <row r="4743" spans="1:5" x14ac:dyDescent="0.25">
      <c r="A4743" s="279">
        <v>39136</v>
      </c>
      <c r="B4743" t="s">
        <v>339</v>
      </c>
      <c r="C4743" t="s">
        <v>72</v>
      </c>
      <c r="D4743">
        <v>4335</v>
      </c>
      <c r="E4743" t="s">
        <v>380</v>
      </c>
    </row>
    <row r="4744" spans="1:5" x14ac:dyDescent="0.25">
      <c r="A4744" s="279">
        <v>39136</v>
      </c>
      <c r="B4744" t="s">
        <v>339</v>
      </c>
      <c r="C4744" t="s">
        <v>73</v>
      </c>
      <c r="D4744">
        <v>0</v>
      </c>
      <c r="E4744" t="s">
        <v>378</v>
      </c>
    </row>
    <row r="4745" spans="1:5" x14ac:dyDescent="0.25">
      <c r="A4745" s="279">
        <v>39136</v>
      </c>
      <c r="B4745" t="s">
        <v>339</v>
      </c>
      <c r="C4745" t="s">
        <v>74</v>
      </c>
      <c r="D4745">
        <v>55538</v>
      </c>
      <c r="E4745" t="s">
        <v>380</v>
      </c>
    </row>
    <row r="4746" spans="1:5" x14ac:dyDescent="0.25">
      <c r="A4746" s="279">
        <v>39136</v>
      </c>
      <c r="B4746" t="s">
        <v>339</v>
      </c>
      <c r="C4746" t="s">
        <v>75</v>
      </c>
      <c r="D4746">
        <v>15006</v>
      </c>
      <c r="E4746" t="s">
        <v>378</v>
      </c>
    </row>
    <row r="4747" spans="1:5" x14ac:dyDescent="0.25">
      <c r="A4747" s="279">
        <v>39136</v>
      </c>
      <c r="B4747" t="s">
        <v>339</v>
      </c>
      <c r="C4747" t="s">
        <v>76</v>
      </c>
      <c r="D4747">
        <v>43951</v>
      </c>
      <c r="E4747" t="s">
        <v>380</v>
      </c>
    </row>
    <row r="4748" spans="1:5" x14ac:dyDescent="0.25">
      <c r="A4748" s="279">
        <v>39136</v>
      </c>
      <c r="B4748" t="s">
        <v>339</v>
      </c>
      <c r="C4748" t="s">
        <v>77</v>
      </c>
      <c r="D4748">
        <v>7268</v>
      </c>
      <c r="E4748" t="s">
        <v>378</v>
      </c>
    </row>
    <row r="4749" spans="1:5" x14ac:dyDescent="0.25">
      <c r="A4749" s="279">
        <v>39136</v>
      </c>
      <c r="B4749" t="s">
        <v>339</v>
      </c>
      <c r="C4749" t="s">
        <v>78</v>
      </c>
      <c r="D4749">
        <v>22277</v>
      </c>
      <c r="E4749" t="s">
        <v>380</v>
      </c>
    </row>
    <row r="4750" spans="1:5" x14ac:dyDescent="0.25">
      <c r="A4750" s="279">
        <v>39136</v>
      </c>
      <c r="B4750" t="s">
        <v>339</v>
      </c>
      <c r="C4750" t="s">
        <v>79</v>
      </c>
      <c r="D4750">
        <v>116254</v>
      </c>
      <c r="E4750" t="s">
        <v>379</v>
      </c>
    </row>
    <row r="4751" spans="1:5" x14ac:dyDescent="0.25">
      <c r="A4751" s="279">
        <v>39136</v>
      </c>
      <c r="B4751" t="s">
        <v>339</v>
      </c>
      <c r="C4751" t="s">
        <v>70</v>
      </c>
      <c r="D4751">
        <v>0</v>
      </c>
      <c r="E4751" t="s">
        <v>379</v>
      </c>
    </row>
    <row r="4752" spans="1:5" x14ac:dyDescent="0.25">
      <c r="A4752" s="279">
        <v>39136</v>
      </c>
      <c r="B4752" t="s">
        <v>339</v>
      </c>
      <c r="C4752" t="s">
        <v>63</v>
      </c>
      <c r="D4752">
        <v>0</v>
      </c>
      <c r="E4752" t="s">
        <v>378</v>
      </c>
    </row>
    <row r="4753" spans="1:5" x14ac:dyDescent="0.25">
      <c r="A4753" s="279">
        <v>39136</v>
      </c>
      <c r="B4753" t="s">
        <v>339</v>
      </c>
      <c r="C4753" t="s">
        <v>80</v>
      </c>
      <c r="D4753">
        <v>133</v>
      </c>
      <c r="E4753" t="s">
        <v>379</v>
      </c>
    </row>
    <row r="4754" spans="1:5" x14ac:dyDescent="0.25">
      <c r="A4754" s="279">
        <v>39137</v>
      </c>
      <c r="B4754" t="s">
        <v>338</v>
      </c>
      <c r="C4754" t="s">
        <v>59</v>
      </c>
      <c r="D4754">
        <v>0</v>
      </c>
      <c r="E4754" t="s">
        <v>378</v>
      </c>
    </row>
    <row r="4755" spans="1:5" x14ac:dyDescent="0.25">
      <c r="A4755" s="279">
        <v>39137</v>
      </c>
      <c r="B4755" t="s">
        <v>338</v>
      </c>
      <c r="C4755" t="s">
        <v>60</v>
      </c>
      <c r="D4755">
        <v>4824</v>
      </c>
      <c r="E4755" t="s">
        <v>379</v>
      </c>
    </row>
    <row r="4756" spans="1:5" x14ac:dyDescent="0.25">
      <c r="A4756" s="279">
        <v>39137</v>
      </c>
      <c r="B4756" t="s">
        <v>338</v>
      </c>
      <c r="C4756" t="s">
        <v>61</v>
      </c>
      <c r="D4756">
        <v>0</v>
      </c>
      <c r="E4756" t="s">
        <v>378</v>
      </c>
    </row>
    <row r="4757" spans="1:5" x14ac:dyDescent="0.25">
      <c r="A4757" s="279">
        <v>39137</v>
      </c>
      <c r="B4757" t="s">
        <v>338</v>
      </c>
      <c r="C4757" t="s">
        <v>62</v>
      </c>
      <c r="D4757">
        <v>28888</v>
      </c>
      <c r="E4757" t="s">
        <v>380</v>
      </c>
    </row>
    <row r="4758" spans="1:5" x14ac:dyDescent="0.25">
      <c r="A4758" s="279">
        <v>39137</v>
      </c>
      <c r="B4758" t="s">
        <v>338</v>
      </c>
      <c r="C4758" t="s">
        <v>63</v>
      </c>
      <c r="D4758">
        <v>0</v>
      </c>
      <c r="E4758" t="s">
        <v>378</v>
      </c>
    </row>
    <row r="4759" spans="1:5" x14ac:dyDescent="0.25">
      <c r="A4759" s="279">
        <v>39137</v>
      </c>
      <c r="B4759" t="s">
        <v>338</v>
      </c>
      <c r="C4759" t="s">
        <v>64</v>
      </c>
      <c r="D4759">
        <v>28306</v>
      </c>
      <c r="E4759" t="s">
        <v>380</v>
      </c>
    </row>
    <row r="4760" spans="1:5" x14ac:dyDescent="0.25">
      <c r="A4760" s="279">
        <v>39137</v>
      </c>
      <c r="B4760" t="s">
        <v>338</v>
      </c>
      <c r="C4760" t="s">
        <v>65</v>
      </c>
      <c r="D4760">
        <v>0</v>
      </c>
      <c r="E4760" t="s">
        <v>378</v>
      </c>
    </row>
    <row r="4761" spans="1:5" x14ac:dyDescent="0.25">
      <c r="A4761" s="279">
        <v>39137</v>
      </c>
      <c r="B4761" t="s">
        <v>338</v>
      </c>
      <c r="C4761" t="s">
        <v>66</v>
      </c>
      <c r="D4761">
        <v>0</v>
      </c>
      <c r="E4761" t="s">
        <v>380</v>
      </c>
    </row>
    <row r="4762" spans="1:5" x14ac:dyDescent="0.25">
      <c r="A4762" s="279">
        <v>39137</v>
      </c>
      <c r="B4762" t="s">
        <v>338</v>
      </c>
      <c r="C4762" t="s">
        <v>120</v>
      </c>
      <c r="D4762">
        <v>0</v>
      </c>
      <c r="E4762" t="s">
        <v>378</v>
      </c>
    </row>
    <row r="4763" spans="1:5" x14ac:dyDescent="0.25">
      <c r="A4763" s="279">
        <v>39137</v>
      </c>
      <c r="B4763" t="s">
        <v>338</v>
      </c>
      <c r="C4763" t="s">
        <v>121</v>
      </c>
      <c r="D4763">
        <v>20123</v>
      </c>
      <c r="E4763" t="s">
        <v>380</v>
      </c>
    </row>
    <row r="4764" spans="1:5" x14ac:dyDescent="0.25">
      <c r="A4764" s="279">
        <v>39137</v>
      </c>
      <c r="B4764" t="s">
        <v>338</v>
      </c>
      <c r="C4764" t="s">
        <v>67</v>
      </c>
      <c r="D4764">
        <v>0</v>
      </c>
      <c r="E4764" t="s">
        <v>378</v>
      </c>
    </row>
    <row r="4765" spans="1:5" x14ac:dyDescent="0.25">
      <c r="A4765" s="279">
        <v>39137</v>
      </c>
      <c r="B4765" t="s">
        <v>338</v>
      </c>
      <c r="C4765" t="s">
        <v>68</v>
      </c>
      <c r="D4765">
        <v>0</v>
      </c>
      <c r="E4765" t="s">
        <v>380</v>
      </c>
    </row>
    <row r="4766" spans="1:5" x14ac:dyDescent="0.25">
      <c r="A4766" s="279">
        <v>39137</v>
      </c>
      <c r="B4766" t="s">
        <v>338</v>
      </c>
      <c r="C4766" t="s">
        <v>69</v>
      </c>
      <c r="D4766">
        <v>34749</v>
      </c>
      <c r="E4766" t="s">
        <v>379</v>
      </c>
    </row>
    <row r="4767" spans="1:5" x14ac:dyDescent="0.25">
      <c r="A4767" s="279">
        <v>39137</v>
      </c>
      <c r="B4767" t="s">
        <v>338</v>
      </c>
      <c r="C4767" t="s">
        <v>70</v>
      </c>
      <c r="D4767">
        <v>0</v>
      </c>
      <c r="E4767" t="s">
        <v>379</v>
      </c>
    </row>
    <row r="4768" spans="1:5" x14ac:dyDescent="0.25">
      <c r="A4768" s="279">
        <v>39137</v>
      </c>
      <c r="B4768" t="s">
        <v>338</v>
      </c>
      <c r="C4768" t="s">
        <v>80</v>
      </c>
      <c r="D4768">
        <v>0</v>
      </c>
      <c r="E4768" t="s">
        <v>379</v>
      </c>
    </row>
    <row r="4769" spans="1:5" x14ac:dyDescent="0.25">
      <c r="A4769" s="279">
        <v>39137</v>
      </c>
      <c r="B4769" t="s">
        <v>339</v>
      </c>
      <c r="C4769" t="s">
        <v>71</v>
      </c>
      <c r="D4769">
        <v>0</v>
      </c>
      <c r="E4769" t="s">
        <v>378</v>
      </c>
    </row>
    <row r="4770" spans="1:5" x14ac:dyDescent="0.25">
      <c r="A4770" s="279">
        <v>39137</v>
      </c>
      <c r="B4770" t="s">
        <v>339</v>
      </c>
      <c r="C4770" t="s">
        <v>72</v>
      </c>
      <c r="D4770">
        <v>3906</v>
      </c>
      <c r="E4770" t="s">
        <v>380</v>
      </c>
    </row>
    <row r="4771" spans="1:5" x14ac:dyDescent="0.25">
      <c r="A4771" s="279">
        <v>39137</v>
      </c>
      <c r="B4771" t="s">
        <v>339</v>
      </c>
      <c r="C4771" t="s">
        <v>73</v>
      </c>
      <c r="D4771">
        <v>0</v>
      </c>
      <c r="E4771" t="s">
        <v>378</v>
      </c>
    </row>
    <row r="4772" spans="1:5" x14ac:dyDescent="0.25">
      <c r="A4772" s="279">
        <v>39137</v>
      </c>
      <c r="B4772" t="s">
        <v>339</v>
      </c>
      <c r="C4772" t="s">
        <v>74</v>
      </c>
      <c r="D4772">
        <v>43391</v>
      </c>
      <c r="E4772" t="s">
        <v>380</v>
      </c>
    </row>
    <row r="4773" spans="1:5" x14ac:dyDescent="0.25">
      <c r="A4773" s="279">
        <v>39137</v>
      </c>
      <c r="B4773" t="s">
        <v>339</v>
      </c>
      <c r="C4773" t="s">
        <v>75</v>
      </c>
      <c r="D4773">
        <v>15212</v>
      </c>
      <c r="E4773" t="s">
        <v>378</v>
      </c>
    </row>
    <row r="4774" spans="1:5" x14ac:dyDescent="0.25">
      <c r="A4774" s="279">
        <v>39137</v>
      </c>
      <c r="B4774" t="s">
        <v>339</v>
      </c>
      <c r="C4774" t="s">
        <v>76</v>
      </c>
      <c r="D4774">
        <v>34195</v>
      </c>
      <c r="E4774" t="s">
        <v>380</v>
      </c>
    </row>
    <row r="4775" spans="1:5" x14ac:dyDescent="0.25">
      <c r="A4775" s="279">
        <v>39137</v>
      </c>
      <c r="B4775" t="s">
        <v>339</v>
      </c>
      <c r="C4775" t="s">
        <v>77</v>
      </c>
      <c r="D4775">
        <v>7367</v>
      </c>
      <c r="E4775" t="s">
        <v>378</v>
      </c>
    </row>
    <row r="4776" spans="1:5" x14ac:dyDescent="0.25">
      <c r="A4776" s="279">
        <v>39137</v>
      </c>
      <c r="B4776" t="s">
        <v>339</v>
      </c>
      <c r="C4776" t="s">
        <v>78</v>
      </c>
      <c r="D4776">
        <v>13407</v>
      </c>
      <c r="E4776" t="s">
        <v>380</v>
      </c>
    </row>
    <row r="4777" spans="1:5" x14ac:dyDescent="0.25">
      <c r="A4777" s="279">
        <v>39137</v>
      </c>
      <c r="B4777" t="s">
        <v>339</v>
      </c>
      <c r="C4777" t="s">
        <v>79</v>
      </c>
      <c r="D4777">
        <v>117844</v>
      </c>
      <c r="E4777" t="s">
        <v>379</v>
      </c>
    </row>
    <row r="4778" spans="1:5" x14ac:dyDescent="0.25">
      <c r="A4778" s="279">
        <v>39137</v>
      </c>
      <c r="B4778" t="s">
        <v>339</v>
      </c>
      <c r="C4778" t="s">
        <v>70</v>
      </c>
      <c r="D4778">
        <v>0</v>
      </c>
      <c r="E4778" t="s">
        <v>379</v>
      </c>
    </row>
    <row r="4779" spans="1:5" x14ac:dyDescent="0.25">
      <c r="A4779" s="279">
        <v>39137</v>
      </c>
      <c r="B4779" t="s">
        <v>339</v>
      </c>
      <c r="C4779" t="s">
        <v>63</v>
      </c>
      <c r="D4779">
        <v>0</v>
      </c>
      <c r="E4779" t="s">
        <v>378</v>
      </c>
    </row>
    <row r="4780" spans="1:5" x14ac:dyDescent="0.25">
      <c r="A4780" s="279">
        <v>39137</v>
      </c>
      <c r="B4780" t="s">
        <v>339</v>
      </c>
      <c r="C4780" t="s">
        <v>80</v>
      </c>
      <c r="D4780">
        <v>135</v>
      </c>
      <c r="E4780" t="s">
        <v>379</v>
      </c>
    </row>
    <row r="4781" spans="1:5" x14ac:dyDescent="0.25">
      <c r="A4781" s="279">
        <v>39138</v>
      </c>
      <c r="B4781" t="s">
        <v>338</v>
      </c>
      <c r="C4781" t="s">
        <v>59</v>
      </c>
      <c r="D4781">
        <v>0</v>
      </c>
      <c r="E4781" t="s">
        <v>378</v>
      </c>
    </row>
    <row r="4782" spans="1:5" x14ac:dyDescent="0.25">
      <c r="A4782" s="279">
        <v>39138</v>
      </c>
      <c r="B4782" t="s">
        <v>338</v>
      </c>
      <c r="C4782" t="s">
        <v>60</v>
      </c>
      <c r="D4782">
        <v>4824</v>
      </c>
      <c r="E4782" t="s">
        <v>379</v>
      </c>
    </row>
    <row r="4783" spans="1:5" x14ac:dyDescent="0.25">
      <c r="A4783" s="279">
        <v>39138</v>
      </c>
      <c r="B4783" t="s">
        <v>338</v>
      </c>
      <c r="C4783" t="s">
        <v>61</v>
      </c>
      <c r="D4783">
        <v>0</v>
      </c>
      <c r="E4783" t="s">
        <v>378</v>
      </c>
    </row>
    <row r="4784" spans="1:5" x14ac:dyDescent="0.25">
      <c r="A4784" s="279">
        <v>39138</v>
      </c>
      <c r="B4784" t="s">
        <v>338</v>
      </c>
      <c r="C4784" t="s">
        <v>62</v>
      </c>
      <c r="D4784">
        <v>31623</v>
      </c>
      <c r="E4784" t="s">
        <v>380</v>
      </c>
    </row>
    <row r="4785" spans="1:5" x14ac:dyDescent="0.25">
      <c r="A4785" s="279">
        <v>39138</v>
      </c>
      <c r="B4785" t="s">
        <v>338</v>
      </c>
      <c r="C4785" t="s">
        <v>63</v>
      </c>
      <c r="D4785">
        <v>0</v>
      </c>
      <c r="E4785" t="s">
        <v>378</v>
      </c>
    </row>
    <row r="4786" spans="1:5" x14ac:dyDescent="0.25">
      <c r="A4786" s="279">
        <v>39138</v>
      </c>
      <c r="B4786" t="s">
        <v>338</v>
      </c>
      <c r="C4786" t="s">
        <v>64</v>
      </c>
      <c r="D4786">
        <v>24815</v>
      </c>
      <c r="E4786" t="s">
        <v>380</v>
      </c>
    </row>
    <row r="4787" spans="1:5" x14ac:dyDescent="0.25">
      <c r="A4787" s="279">
        <v>39138</v>
      </c>
      <c r="B4787" t="s">
        <v>338</v>
      </c>
      <c r="C4787" t="s">
        <v>65</v>
      </c>
      <c r="D4787">
        <v>0</v>
      </c>
      <c r="E4787" t="s">
        <v>378</v>
      </c>
    </row>
    <row r="4788" spans="1:5" x14ac:dyDescent="0.25">
      <c r="A4788" s="279">
        <v>39138</v>
      </c>
      <c r="B4788" t="s">
        <v>338</v>
      </c>
      <c r="C4788" t="s">
        <v>66</v>
      </c>
      <c r="D4788">
        <v>0</v>
      </c>
      <c r="E4788" t="s">
        <v>380</v>
      </c>
    </row>
    <row r="4789" spans="1:5" x14ac:dyDescent="0.25">
      <c r="A4789" s="279">
        <v>39138</v>
      </c>
      <c r="B4789" t="s">
        <v>338</v>
      </c>
      <c r="C4789" t="s">
        <v>120</v>
      </c>
      <c r="D4789">
        <v>0</v>
      </c>
      <c r="E4789" t="s">
        <v>378</v>
      </c>
    </row>
    <row r="4790" spans="1:5" x14ac:dyDescent="0.25">
      <c r="A4790" s="279">
        <v>39138</v>
      </c>
      <c r="B4790" t="s">
        <v>338</v>
      </c>
      <c r="C4790" t="s">
        <v>121</v>
      </c>
      <c r="D4790">
        <v>20123</v>
      </c>
      <c r="E4790" t="s">
        <v>380</v>
      </c>
    </row>
    <row r="4791" spans="1:5" x14ac:dyDescent="0.25">
      <c r="A4791" s="279">
        <v>39138</v>
      </c>
      <c r="B4791" t="s">
        <v>338</v>
      </c>
      <c r="C4791" t="s">
        <v>67</v>
      </c>
      <c r="D4791">
        <v>0</v>
      </c>
      <c r="E4791" t="s">
        <v>378</v>
      </c>
    </row>
    <row r="4792" spans="1:5" x14ac:dyDescent="0.25">
      <c r="A4792" s="279">
        <v>39138</v>
      </c>
      <c r="B4792" t="s">
        <v>338</v>
      </c>
      <c r="C4792" t="s">
        <v>68</v>
      </c>
      <c r="D4792">
        <v>0</v>
      </c>
      <c r="E4792" t="s">
        <v>380</v>
      </c>
    </row>
    <row r="4793" spans="1:5" x14ac:dyDescent="0.25">
      <c r="A4793" s="279">
        <v>39138</v>
      </c>
      <c r="B4793" t="s">
        <v>338</v>
      </c>
      <c r="C4793" t="s">
        <v>69</v>
      </c>
      <c r="D4793">
        <v>34749</v>
      </c>
      <c r="E4793" t="s">
        <v>379</v>
      </c>
    </row>
    <row r="4794" spans="1:5" x14ac:dyDescent="0.25">
      <c r="A4794" s="279">
        <v>39138</v>
      </c>
      <c r="B4794" t="s">
        <v>338</v>
      </c>
      <c r="C4794" t="s">
        <v>70</v>
      </c>
      <c r="D4794">
        <v>0</v>
      </c>
      <c r="E4794" t="s">
        <v>379</v>
      </c>
    </row>
    <row r="4795" spans="1:5" x14ac:dyDescent="0.25">
      <c r="A4795" s="279">
        <v>39138</v>
      </c>
      <c r="B4795" t="s">
        <v>338</v>
      </c>
      <c r="C4795" t="s">
        <v>80</v>
      </c>
      <c r="D4795">
        <v>0</v>
      </c>
      <c r="E4795" t="s">
        <v>379</v>
      </c>
    </row>
    <row r="4796" spans="1:5" x14ac:dyDescent="0.25">
      <c r="A4796" s="279">
        <v>39138</v>
      </c>
      <c r="B4796" t="s">
        <v>339</v>
      </c>
      <c r="C4796" t="s">
        <v>71</v>
      </c>
      <c r="D4796">
        <v>0</v>
      </c>
      <c r="E4796" t="s">
        <v>378</v>
      </c>
    </row>
    <row r="4797" spans="1:5" x14ac:dyDescent="0.25">
      <c r="A4797" s="279">
        <v>39138</v>
      </c>
      <c r="B4797" t="s">
        <v>339</v>
      </c>
      <c r="C4797" t="s">
        <v>72</v>
      </c>
      <c r="D4797">
        <v>3906</v>
      </c>
      <c r="E4797" t="s">
        <v>380</v>
      </c>
    </row>
    <row r="4798" spans="1:5" x14ac:dyDescent="0.25">
      <c r="A4798" s="279">
        <v>39138</v>
      </c>
      <c r="B4798" t="s">
        <v>339</v>
      </c>
      <c r="C4798" t="s">
        <v>73</v>
      </c>
      <c r="D4798">
        <v>0</v>
      </c>
      <c r="E4798" t="s">
        <v>378</v>
      </c>
    </row>
    <row r="4799" spans="1:5" x14ac:dyDescent="0.25">
      <c r="A4799" s="279">
        <v>39138</v>
      </c>
      <c r="B4799" t="s">
        <v>339</v>
      </c>
      <c r="C4799" t="s">
        <v>74</v>
      </c>
      <c r="D4799">
        <v>54375</v>
      </c>
      <c r="E4799" t="s">
        <v>380</v>
      </c>
    </row>
    <row r="4800" spans="1:5" x14ac:dyDescent="0.25">
      <c r="A4800" s="279">
        <v>39138</v>
      </c>
      <c r="B4800" t="s">
        <v>339</v>
      </c>
      <c r="C4800" t="s">
        <v>75</v>
      </c>
      <c r="D4800">
        <v>15212</v>
      </c>
      <c r="E4800" t="s">
        <v>378</v>
      </c>
    </row>
    <row r="4801" spans="1:5" x14ac:dyDescent="0.25">
      <c r="A4801" s="279">
        <v>39138</v>
      </c>
      <c r="B4801" t="s">
        <v>339</v>
      </c>
      <c r="C4801" t="s">
        <v>76</v>
      </c>
      <c r="D4801">
        <v>34195</v>
      </c>
      <c r="E4801" t="s">
        <v>380</v>
      </c>
    </row>
    <row r="4802" spans="1:5" x14ac:dyDescent="0.25">
      <c r="A4802" s="279">
        <v>39138</v>
      </c>
      <c r="B4802" t="s">
        <v>339</v>
      </c>
      <c r="C4802" t="s">
        <v>77</v>
      </c>
      <c r="D4802">
        <v>7367</v>
      </c>
      <c r="E4802" t="s">
        <v>378</v>
      </c>
    </row>
    <row r="4803" spans="1:5" x14ac:dyDescent="0.25">
      <c r="A4803" s="279">
        <v>39138</v>
      </c>
      <c r="B4803" t="s">
        <v>339</v>
      </c>
      <c r="C4803" t="s">
        <v>78</v>
      </c>
      <c r="D4803">
        <v>13407</v>
      </c>
      <c r="E4803" t="s">
        <v>380</v>
      </c>
    </row>
    <row r="4804" spans="1:5" x14ac:dyDescent="0.25">
      <c r="A4804" s="279">
        <v>39138</v>
      </c>
      <c r="B4804" t="s">
        <v>339</v>
      </c>
      <c r="C4804" t="s">
        <v>79</v>
      </c>
      <c r="D4804">
        <v>117844</v>
      </c>
      <c r="E4804" t="s">
        <v>379</v>
      </c>
    </row>
    <row r="4805" spans="1:5" x14ac:dyDescent="0.25">
      <c r="A4805" s="279">
        <v>39138</v>
      </c>
      <c r="B4805" t="s">
        <v>339</v>
      </c>
      <c r="C4805" t="s">
        <v>70</v>
      </c>
      <c r="D4805">
        <v>0</v>
      </c>
      <c r="E4805" t="s">
        <v>379</v>
      </c>
    </row>
    <row r="4806" spans="1:5" x14ac:dyDescent="0.25">
      <c r="A4806" s="279">
        <v>39138</v>
      </c>
      <c r="B4806" t="s">
        <v>339</v>
      </c>
      <c r="C4806" t="s">
        <v>63</v>
      </c>
      <c r="D4806">
        <v>0</v>
      </c>
      <c r="E4806" t="s">
        <v>378</v>
      </c>
    </row>
    <row r="4807" spans="1:5" x14ac:dyDescent="0.25">
      <c r="A4807" s="279">
        <v>39138</v>
      </c>
      <c r="B4807" t="s">
        <v>339</v>
      </c>
      <c r="C4807" t="s">
        <v>80</v>
      </c>
      <c r="D4807">
        <v>135</v>
      </c>
      <c r="E4807" t="s">
        <v>379</v>
      </c>
    </row>
    <row r="4808" spans="1:5" x14ac:dyDescent="0.25">
      <c r="A4808" s="279">
        <v>39139</v>
      </c>
      <c r="B4808" t="s">
        <v>338</v>
      </c>
      <c r="C4808" t="s">
        <v>59</v>
      </c>
      <c r="D4808">
        <v>0</v>
      </c>
      <c r="E4808" t="s">
        <v>378</v>
      </c>
    </row>
    <row r="4809" spans="1:5" x14ac:dyDescent="0.25">
      <c r="A4809" s="279">
        <v>39139</v>
      </c>
      <c r="B4809" t="s">
        <v>338</v>
      </c>
      <c r="C4809" t="s">
        <v>60</v>
      </c>
      <c r="D4809">
        <v>4806</v>
      </c>
      <c r="E4809" t="s">
        <v>379</v>
      </c>
    </row>
    <row r="4810" spans="1:5" x14ac:dyDescent="0.25">
      <c r="A4810" s="279">
        <v>39139</v>
      </c>
      <c r="B4810" t="s">
        <v>338</v>
      </c>
      <c r="C4810" t="s">
        <v>61</v>
      </c>
      <c r="D4810">
        <v>0</v>
      </c>
      <c r="E4810" t="s">
        <v>378</v>
      </c>
    </row>
    <row r="4811" spans="1:5" x14ac:dyDescent="0.25">
      <c r="A4811" s="279">
        <v>39139</v>
      </c>
      <c r="B4811" t="s">
        <v>338</v>
      </c>
      <c r="C4811" t="s">
        <v>62</v>
      </c>
      <c r="D4811">
        <v>28696</v>
      </c>
      <c r="E4811" t="s">
        <v>380</v>
      </c>
    </row>
    <row r="4812" spans="1:5" x14ac:dyDescent="0.25">
      <c r="A4812" s="279">
        <v>39139</v>
      </c>
      <c r="B4812" t="s">
        <v>338</v>
      </c>
      <c r="C4812" t="s">
        <v>63</v>
      </c>
      <c r="D4812">
        <v>0</v>
      </c>
      <c r="E4812" t="s">
        <v>378</v>
      </c>
    </row>
    <row r="4813" spans="1:5" x14ac:dyDescent="0.25">
      <c r="A4813" s="279">
        <v>39139</v>
      </c>
      <c r="B4813" t="s">
        <v>338</v>
      </c>
      <c r="C4813" t="s">
        <v>64</v>
      </c>
      <c r="D4813">
        <v>24719</v>
      </c>
      <c r="E4813" t="s">
        <v>380</v>
      </c>
    </row>
    <row r="4814" spans="1:5" x14ac:dyDescent="0.25">
      <c r="A4814" s="279">
        <v>39139</v>
      </c>
      <c r="B4814" t="s">
        <v>338</v>
      </c>
      <c r="C4814" t="s">
        <v>65</v>
      </c>
      <c r="D4814">
        <v>0</v>
      </c>
      <c r="E4814" t="s">
        <v>378</v>
      </c>
    </row>
    <row r="4815" spans="1:5" x14ac:dyDescent="0.25">
      <c r="A4815" s="279">
        <v>39139</v>
      </c>
      <c r="B4815" t="s">
        <v>338</v>
      </c>
      <c r="C4815" t="s">
        <v>66</v>
      </c>
      <c r="D4815">
        <v>0</v>
      </c>
      <c r="E4815" t="s">
        <v>380</v>
      </c>
    </row>
    <row r="4816" spans="1:5" x14ac:dyDescent="0.25">
      <c r="A4816" s="279">
        <v>39139</v>
      </c>
      <c r="B4816" t="s">
        <v>338</v>
      </c>
      <c r="C4816" t="s">
        <v>120</v>
      </c>
      <c r="D4816">
        <v>0</v>
      </c>
      <c r="E4816" t="s">
        <v>378</v>
      </c>
    </row>
    <row r="4817" spans="1:5" x14ac:dyDescent="0.25">
      <c r="A4817" s="279">
        <v>39139</v>
      </c>
      <c r="B4817" t="s">
        <v>338</v>
      </c>
      <c r="C4817" t="s">
        <v>121</v>
      </c>
      <c r="D4817">
        <v>20045</v>
      </c>
      <c r="E4817" t="s">
        <v>380</v>
      </c>
    </row>
    <row r="4818" spans="1:5" x14ac:dyDescent="0.25">
      <c r="A4818" s="279">
        <v>39139</v>
      </c>
      <c r="B4818" t="s">
        <v>338</v>
      </c>
      <c r="C4818" t="s">
        <v>67</v>
      </c>
      <c r="D4818">
        <v>0</v>
      </c>
      <c r="E4818" t="s">
        <v>378</v>
      </c>
    </row>
    <row r="4819" spans="1:5" x14ac:dyDescent="0.25">
      <c r="A4819" s="279">
        <v>39139</v>
      </c>
      <c r="B4819" t="s">
        <v>338</v>
      </c>
      <c r="C4819" t="s">
        <v>68</v>
      </c>
      <c r="D4819">
        <v>0</v>
      </c>
      <c r="E4819" t="s">
        <v>380</v>
      </c>
    </row>
    <row r="4820" spans="1:5" x14ac:dyDescent="0.25">
      <c r="A4820" s="279">
        <v>39139</v>
      </c>
      <c r="B4820" t="s">
        <v>338</v>
      </c>
      <c r="C4820" t="s">
        <v>69</v>
      </c>
      <c r="D4820">
        <v>34615</v>
      </c>
      <c r="E4820" t="s">
        <v>379</v>
      </c>
    </row>
    <row r="4821" spans="1:5" x14ac:dyDescent="0.25">
      <c r="A4821" s="279">
        <v>39139</v>
      </c>
      <c r="B4821" t="s">
        <v>338</v>
      </c>
      <c r="C4821" t="s">
        <v>70</v>
      </c>
      <c r="D4821">
        <v>0</v>
      </c>
      <c r="E4821" t="s">
        <v>379</v>
      </c>
    </row>
    <row r="4822" spans="1:5" x14ac:dyDescent="0.25">
      <c r="A4822" s="279">
        <v>39139</v>
      </c>
      <c r="B4822" t="s">
        <v>338</v>
      </c>
      <c r="C4822" t="s">
        <v>80</v>
      </c>
      <c r="D4822">
        <v>0</v>
      </c>
      <c r="E4822" t="s">
        <v>379</v>
      </c>
    </row>
    <row r="4823" spans="1:5" x14ac:dyDescent="0.25">
      <c r="A4823" s="279">
        <v>39139</v>
      </c>
      <c r="B4823" t="s">
        <v>339</v>
      </c>
      <c r="C4823" t="s">
        <v>71</v>
      </c>
      <c r="D4823">
        <v>0</v>
      </c>
      <c r="E4823" t="s">
        <v>378</v>
      </c>
    </row>
    <row r="4824" spans="1:5" x14ac:dyDescent="0.25">
      <c r="A4824" s="279">
        <v>39139</v>
      </c>
      <c r="B4824" t="s">
        <v>339</v>
      </c>
      <c r="C4824" t="s">
        <v>72</v>
      </c>
      <c r="D4824">
        <v>3876</v>
      </c>
      <c r="E4824" t="s">
        <v>380</v>
      </c>
    </row>
    <row r="4825" spans="1:5" x14ac:dyDescent="0.25">
      <c r="A4825" s="279">
        <v>39139</v>
      </c>
      <c r="B4825" t="s">
        <v>339</v>
      </c>
      <c r="C4825" t="s">
        <v>73</v>
      </c>
      <c r="D4825">
        <v>0</v>
      </c>
      <c r="E4825" t="s">
        <v>378</v>
      </c>
    </row>
    <row r="4826" spans="1:5" x14ac:dyDescent="0.25">
      <c r="A4826" s="279">
        <v>39139</v>
      </c>
      <c r="B4826" t="s">
        <v>339</v>
      </c>
      <c r="C4826" t="s">
        <v>74</v>
      </c>
      <c r="D4826">
        <v>33807</v>
      </c>
      <c r="E4826" t="s">
        <v>380</v>
      </c>
    </row>
    <row r="4827" spans="1:5" x14ac:dyDescent="0.25">
      <c r="A4827" s="279">
        <v>39139</v>
      </c>
      <c r="B4827" t="s">
        <v>339</v>
      </c>
      <c r="C4827" t="s">
        <v>75</v>
      </c>
      <c r="D4827">
        <v>15094</v>
      </c>
      <c r="E4827" t="s">
        <v>378</v>
      </c>
    </row>
    <row r="4828" spans="1:5" x14ac:dyDescent="0.25">
      <c r="A4828" s="279">
        <v>39139</v>
      </c>
      <c r="B4828" t="s">
        <v>339</v>
      </c>
      <c r="C4828" t="s">
        <v>76</v>
      </c>
      <c r="D4828">
        <v>33930</v>
      </c>
      <c r="E4828" t="s">
        <v>380</v>
      </c>
    </row>
    <row r="4829" spans="1:5" x14ac:dyDescent="0.25">
      <c r="A4829" s="279">
        <v>39139</v>
      </c>
      <c r="B4829" t="s">
        <v>339</v>
      </c>
      <c r="C4829" t="s">
        <v>77</v>
      </c>
      <c r="D4829">
        <v>7310</v>
      </c>
      <c r="E4829" t="s">
        <v>378</v>
      </c>
    </row>
    <row r="4830" spans="1:5" x14ac:dyDescent="0.25">
      <c r="A4830" s="279">
        <v>39139</v>
      </c>
      <c r="B4830" t="s">
        <v>339</v>
      </c>
      <c r="C4830" t="s">
        <v>78</v>
      </c>
      <c r="D4830">
        <v>7043</v>
      </c>
      <c r="E4830" t="s">
        <v>380</v>
      </c>
    </row>
    <row r="4831" spans="1:5" x14ac:dyDescent="0.25">
      <c r="A4831" s="279">
        <v>39139</v>
      </c>
      <c r="B4831" t="s">
        <v>339</v>
      </c>
      <c r="C4831" t="s">
        <v>79</v>
      </c>
      <c r="D4831">
        <v>116930</v>
      </c>
      <c r="E4831" t="s">
        <v>379</v>
      </c>
    </row>
    <row r="4832" spans="1:5" x14ac:dyDescent="0.25">
      <c r="A4832" s="279">
        <v>39139</v>
      </c>
      <c r="B4832" t="s">
        <v>339</v>
      </c>
      <c r="C4832" t="s">
        <v>70</v>
      </c>
      <c r="D4832">
        <v>0</v>
      </c>
      <c r="E4832" t="s">
        <v>379</v>
      </c>
    </row>
    <row r="4833" spans="1:5" x14ac:dyDescent="0.25">
      <c r="A4833" s="279">
        <v>39139</v>
      </c>
      <c r="B4833" t="s">
        <v>339</v>
      </c>
      <c r="C4833" t="s">
        <v>63</v>
      </c>
      <c r="D4833">
        <v>0</v>
      </c>
      <c r="E4833" t="s">
        <v>378</v>
      </c>
    </row>
    <row r="4834" spans="1:5" x14ac:dyDescent="0.25">
      <c r="A4834" s="279">
        <v>39139</v>
      </c>
      <c r="B4834" t="s">
        <v>339</v>
      </c>
      <c r="C4834" t="s">
        <v>80</v>
      </c>
      <c r="D4834">
        <v>134</v>
      </c>
      <c r="E4834" t="s">
        <v>379</v>
      </c>
    </row>
    <row r="4835" spans="1:5" x14ac:dyDescent="0.25">
      <c r="A4835" s="279">
        <v>39140</v>
      </c>
      <c r="B4835" t="s">
        <v>338</v>
      </c>
      <c r="C4835" t="s">
        <v>59</v>
      </c>
      <c r="D4835">
        <v>0</v>
      </c>
      <c r="E4835" t="s">
        <v>378</v>
      </c>
    </row>
    <row r="4836" spans="1:5" x14ac:dyDescent="0.25">
      <c r="A4836" s="279">
        <v>39140</v>
      </c>
      <c r="B4836" t="s">
        <v>338</v>
      </c>
      <c r="C4836" t="s">
        <v>60</v>
      </c>
      <c r="D4836">
        <v>4810</v>
      </c>
      <c r="E4836" t="s">
        <v>379</v>
      </c>
    </row>
    <row r="4837" spans="1:5" x14ac:dyDescent="0.25">
      <c r="A4837" s="279">
        <v>39140</v>
      </c>
      <c r="B4837" t="s">
        <v>338</v>
      </c>
      <c r="C4837" t="s">
        <v>61</v>
      </c>
      <c r="D4837">
        <v>0</v>
      </c>
      <c r="E4837" t="s">
        <v>378</v>
      </c>
    </row>
    <row r="4838" spans="1:5" x14ac:dyDescent="0.25">
      <c r="A4838" s="279">
        <v>39140</v>
      </c>
      <c r="B4838" t="s">
        <v>338</v>
      </c>
      <c r="C4838" t="s">
        <v>62</v>
      </c>
      <c r="D4838">
        <v>21606</v>
      </c>
      <c r="E4838" t="s">
        <v>380</v>
      </c>
    </row>
    <row r="4839" spans="1:5" x14ac:dyDescent="0.25">
      <c r="A4839" s="279">
        <v>39140</v>
      </c>
      <c r="B4839" t="s">
        <v>338</v>
      </c>
      <c r="C4839" t="s">
        <v>63</v>
      </c>
      <c r="D4839">
        <v>0</v>
      </c>
      <c r="E4839" t="s">
        <v>378</v>
      </c>
    </row>
    <row r="4840" spans="1:5" x14ac:dyDescent="0.25">
      <c r="A4840" s="279">
        <v>39140</v>
      </c>
      <c r="B4840" t="s">
        <v>338</v>
      </c>
      <c r="C4840" t="s">
        <v>64</v>
      </c>
      <c r="D4840">
        <v>24743</v>
      </c>
      <c r="E4840" t="s">
        <v>380</v>
      </c>
    </row>
    <row r="4841" spans="1:5" x14ac:dyDescent="0.25">
      <c r="A4841" s="279">
        <v>39140</v>
      </c>
      <c r="B4841" t="s">
        <v>338</v>
      </c>
      <c r="C4841" t="s">
        <v>65</v>
      </c>
      <c r="D4841">
        <v>0</v>
      </c>
      <c r="E4841" t="s">
        <v>378</v>
      </c>
    </row>
    <row r="4842" spans="1:5" x14ac:dyDescent="0.25">
      <c r="A4842" s="279">
        <v>39140</v>
      </c>
      <c r="B4842" t="s">
        <v>338</v>
      </c>
      <c r="C4842" t="s">
        <v>66</v>
      </c>
      <c r="D4842">
        <v>0</v>
      </c>
      <c r="E4842" t="s">
        <v>380</v>
      </c>
    </row>
    <row r="4843" spans="1:5" x14ac:dyDescent="0.25">
      <c r="A4843" s="279">
        <v>39140</v>
      </c>
      <c r="B4843" t="s">
        <v>338</v>
      </c>
      <c r="C4843" t="s">
        <v>120</v>
      </c>
      <c r="D4843">
        <v>0</v>
      </c>
      <c r="E4843" t="s">
        <v>378</v>
      </c>
    </row>
    <row r="4844" spans="1:5" x14ac:dyDescent="0.25">
      <c r="A4844" s="279">
        <v>39140</v>
      </c>
      <c r="B4844" t="s">
        <v>338</v>
      </c>
      <c r="C4844" t="s">
        <v>121</v>
      </c>
      <c r="D4844">
        <v>20064</v>
      </c>
      <c r="E4844" t="s">
        <v>380</v>
      </c>
    </row>
    <row r="4845" spans="1:5" x14ac:dyDescent="0.25">
      <c r="A4845" s="279">
        <v>39140</v>
      </c>
      <c r="B4845" t="s">
        <v>338</v>
      </c>
      <c r="C4845" t="s">
        <v>67</v>
      </c>
      <c r="D4845">
        <v>0</v>
      </c>
      <c r="E4845" t="s">
        <v>378</v>
      </c>
    </row>
    <row r="4846" spans="1:5" x14ac:dyDescent="0.25">
      <c r="A4846" s="279">
        <v>39140</v>
      </c>
      <c r="B4846" t="s">
        <v>338</v>
      </c>
      <c r="C4846" t="s">
        <v>68</v>
      </c>
      <c r="D4846">
        <v>0</v>
      </c>
      <c r="E4846" t="s">
        <v>380</v>
      </c>
    </row>
    <row r="4847" spans="1:5" x14ac:dyDescent="0.25">
      <c r="A4847" s="279">
        <v>39140</v>
      </c>
      <c r="B4847" t="s">
        <v>338</v>
      </c>
      <c r="C4847" t="s">
        <v>69</v>
      </c>
      <c r="D4847">
        <v>34649</v>
      </c>
      <c r="E4847" t="s">
        <v>379</v>
      </c>
    </row>
    <row r="4848" spans="1:5" x14ac:dyDescent="0.25">
      <c r="A4848" s="279">
        <v>39140</v>
      </c>
      <c r="B4848" t="s">
        <v>338</v>
      </c>
      <c r="C4848" t="s">
        <v>70</v>
      </c>
      <c r="D4848">
        <v>0</v>
      </c>
      <c r="E4848" t="s">
        <v>379</v>
      </c>
    </row>
    <row r="4849" spans="1:5" x14ac:dyDescent="0.25">
      <c r="A4849" s="279">
        <v>39140</v>
      </c>
      <c r="B4849" t="s">
        <v>338</v>
      </c>
      <c r="C4849" t="s">
        <v>80</v>
      </c>
      <c r="D4849">
        <v>0</v>
      </c>
      <c r="E4849" t="s">
        <v>379</v>
      </c>
    </row>
    <row r="4850" spans="1:5" x14ac:dyDescent="0.25">
      <c r="A4850" s="279">
        <v>39140</v>
      </c>
      <c r="B4850" t="s">
        <v>339</v>
      </c>
      <c r="C4850" t="s">
        <v>71</v>
      </c>
      <c r="D4850">
        <v>0</v>
      </c>
      <c r="E4850" t="s">
        <v>378</v>
      </c>
    </row>
    <row r="4851" spans="1:5" x14ac:dyDescent="0.25">
      <c r="A4851" s="279">
        <v>39140</v>
      </c>
      <c r="B4851" t="s">
        <v>339</v>
      </c>
      <c r="C4851" t="s">
        <v>72</v>
      </c>
      <c r="D4851">
        <v>47</v>
      </c>
      <c r="E4851" t="s">
        <v>380</v>
      </c>
    </row>
    <row r="4852" spans="1:5" x14ac:dyDescent="0.25">
      <c r="A4852" s="279">
        <v>39140</v>
      </c>
      <c r="B4852" t="s">
        <v>339</v>
      </c>
      <c r="C4852" t="s">
        <v>73</v>
      </c>
      <c r="D4852">
        <v>0</v>
      </c>
      <c r="E4852" t="s">
        <v>378</v>
      </c>
    </row>
    <row r="4853" spans="1:5" x14ac:dyDescent="0.25">
      <c r="A4853" s="279">
        <v>39140</v>
      </c>
      <c r="B4853" t="s">
        <v>339</v>
      </c>
      <c r="C4853" t="s">
        <v>74</v>
      </c>
      <c r="D4853">
        <v>0</v>
      </c>
      <c r="E4853" t="s">
        <v>380</v>
      </c>
    </row>
    <row r="4854" spans="1:5" x14ac:dyDescent="0.25">
      <c r="A4854" s="279">
        <v>39140</v>
      </c>
      <c r="B4854" t="s">
        <v>339</v>
      </c>
      <c r="C4854" t="s">
        <v>75</v>
      </c>
      <c r="D4854">
        <v>15094</v>
      </c>
      <c r="E4854" t="s">
        <v>378</v>
      </c>
    </row>
    <row r="4855" spans="1:5" x14ac:dyDescent="0.25">
      <c r="A4855" s="279">
        <v>39140</v>
      </c>
      <c r="B4855" t="s">
        <v>339</v>
      </c>
      <c r="C4855" t="s">
        <v>76</v>
      </c>
      <c r="D4855">
        <v>14550</v>
      </c>
      <c r="E4855" t="s">
        <v>380</v>
      </c>
    </row>
    <row r="4856" spans="1:5" x14ac:dyDescent="0.25">
      <c r="A4856" s="279">
        <v>39140</v>
      </c>
      <c r="B4856" t="s">
        <v>339</v>
      </c>
      <c r="C4856" t="s">
        <v>77</v>
      </c>
      <c r="D4856">
        <v>7310</v>
      </c>
      <c r="E4856" t="s">
        <v>378</v>
      </c>
    </row>
    <row r="4857" spans="1:5" x14ac:dyDescent="0.25">
      <c r="A4857" s="279">
        <v>39140</v>
      </c>
      <c r="B4857" t="s">
        <v>339</v>
      </c>
      <c r="C4857" t="s">
        <v>78</v>
      </c>
      <c r="D4857">
        <v>7043</v>
      </c>
      <c r="E4857" t="s">
        <v>380</v>
      </c>
    </row>
    <row r="4858" spans="1:5" x14ac:dyDescent="0.25">
      <c r="A4858" s="279">
        <v>39140</v>
      </c>
      <c r="B4858" t="s">
        <v>339</v>
      </c>
      <c r="C4858" t="s">
        <v>79</v>
      </c>
      <c r="D4858">
        <v>119142</v>
      </c>
      <c r="E4858" t="s">
        <v>379</v>
      </c>
    </row>
    <row r="4859" spans="1:5" x14ac:dyDescent="0.25">
      <c r="A4859" s="279">
        <v>39140</v>
      </c>
      <c r="B4859" t="s">
        <v>339</v>
      </c>
      <c r="C4859" t="s">
        <v>70</v>
      </c>
      <c r="D4859">
        <v>0</v>
      </c>
      <c r="E4859" t="s">
        <v>379</v>
      </c>
    </row>
    <row r="4860" spans="1:5" x14ac:dyDescent="0.25">
      <c r="A4860" s="279">
        <v>39140</v>
      </c>
      <c r="B4860" t="s">
        <v>339</v>
      </c>
      <c r="C4860" t="s">
        <v>63</v>
      </c>
      <c r="D4860">
        <v>0</v>
      </c>
      <c r="E4860" t="s">
        <v>378</v>
      </c>
    </row>
    <row r="4861" spans="1:5" x14ac:dyDescent="0.25">
      <c r="A4861" s="279">
        <v>39140</v>
      </c>
      <c r="B4861" t="s">
        <v>339</v>
      </c>
      <c r="C4861" t="s">
        <v>80</v>
      </c>
      <c r="D4861">
        <v>134</v>
      </c>
      <c r="E4861" t="s">
        <v>379</v>
      </c>
    </row>
    <row r="4862" spans="1:5" x14ac:dyDescent="0.25">
      <c r="A4862" s="279">
        <v>39141</v>
      </c>
      <c r="B4862" t="s">
        <v>338</v>
      </c>
      <c r="C4862" t="s">
        <v>59</v>
      </c>
      <c r="D4862">
        <v>0</v>
      </c>
      <c r="E4862" t="s">
        <v>378</v>
      </c>
    </row>
    <row r="4863" spans="1:5" x14ac:dyDescent="0.25">
      <c r="A4863" s="279">
        <v>39141</v>
      </c>
      <c r="B4863" t="s">
        <v>338</v>
      </c>
      <c r="C4863" t="s">
        <v>60</v>
      </c>
      <c r="D4863">
        <v>4820</v>
      </c>
      <c r="E4863" t="s">
        <v>379</v>
      </c>
    </row>
    <row r="4864" spans="1:5" x14ac:dyDescent="0.25">
      <c r="A4864" s="279">
        <v>39141</v>
      </c>
      <c r="B4864" t="s">
        <v>338</v>
      </c>
      <c r="C4864" t="s">
        <v>61</v>
      </c>
      <c r="D4864">
        <v>0</v>
      </c>
      <c r="E4864" t="s">
        <v>378</v>
      </c>
    </row>
    <row r="4865" spans="1:5" x14ac:dyDescent="0.25">
      <c r="A4865" s="279">
        <v>39141</v>
      </c>
      <c r="B4865" t="s">
        <v>338</v>
      </c>
      <c r="C4865" t="s">
        <v>62</v>
      </c>
      <c r="D4865">
        <v>28937</v>
      </c>
      <c r="E4865" t="s">
        <v>380</v>
      </c>
    </row>
    <row r="4866" spans="1:5" x14ac:dyDescent="0.25">
      <c r="A4866" s="279">
        <v>39141</v>
      </c>
      <c r="B4866" t="s">
        <v>338</v>
      </c>
      <c r="C4866" t="s">
        <v>63</v>
      </c>
      <c r="D4866">
        <v>0</v>
      </c>
      <c r="E4866" t="s">
        <v>378</v>
      </c>
    </row>
    <row r="4867" spans="1:5" x14ac:dyDescent="0.25">
      <c r="A4867" s="279">
        <v>39141</v>
      </c>
      <c r="B4867" t="s">
        <v>338</v>
      </c>
      <c r="C4867" t="s">
        <v>64</v>
      </c>
      <c r="D4867">
        <v>24791</v>
      </c>
      <c r="E4867" t="s">
        <v>380</v>
      </c>
    </row>
    <row r="4868" spans="1:5" x14ac:dyDescent="0.25">
      <c r="A4868" s="279">
        <v>39141</v>
      </c>
      <c r="B4868" t="s">
        <v>338</v>
      </c>
      <c r="C4868" t="s">
        <v>65</v>
      </c>
      <c r="D4868">
        <v>0</v>
      </c>
      <c r="E4868" t="s">
        <v>378</v>
      </c>
    </row>
    <row r="4869" spans="1:5" x14ac:dyDescent="0.25">
      <c r="A4869" s="279">
        <v>39141</v>
      </c>
      <c r="B4869" t="s">
        <v>338</v>
      </c>
      <c r="C4869" t="s">
        <v>66</v>
      </c>
      <c r="D4869">
        <v>0</v>
      </c>
      <c r="E4869" t="s">
        <v>380</v>
      </c>
    </row>
    <row r="4870" spans="1:5" x14ac:dyDescent="0.25">
      <c r="A4870" s="279">
        <v>39141</v>
      </c>
      <c r="B4870" t="s">
        <v>338</v>
      </c>
      <c r="C4870" t="s">
        <v>120</v>
      </c>
      <c r="D4870">
        <v>0</v>
      </c>
      <c r="E4870" t="s">
        <v>378</v>
      </c>
    </row>
    <row r="4871" spans="1:5" x14ac:dyDescent="0.25">
      <c r="A4871" s="279">
        <v>39141</v>
      </c>
      <c r="B4871" t="s">
        <v>338</v>
      </c>
      <c r="C4871" t="s">
        <v>121</v>
      </c>
      <c r="D4871">
        <v>20103</v>
      </c>
      <c r="E4871" t="s">
        <v>380</v>
      </c>
    </row>
    <row r="4872" spans="1:5" x14ac:dyDescent="0.25">
      <c r="A4872" s="279">
        <v>39141</v>
      </c>
      <c r="B4872" t="s">
        <v>338</v>
      </c>
      <c r="C4872" t="s">
        <v>67</v>
      </c>
      <c r="D4872">
        <v>0</v>
      </c>
      <c r="E4872" t="s">
        <v>378</v>
      </c>
    </row>
    <row r="4873" spans="1:5" x14ac:dyDescent="0.25">
      <c r="A4873" s="279">
        <v>39141</v>
      </c>
      <c r="B4873" t="s">
        <v>338</v>
      </c>
      <c r="C4873" t="s">
        <v>68</v>
      </c>
      <c r="D4873">
        <v>0</v>
      </c>
      <c r="E4873" t="s">
        <v>380</v>
      </c>
    </row>
    <row r="4874" spans="1:5" x14ac:dyDescent="0.25">
      <c r="A4874" s="279">
        <v>39141</v>
      </c>
      <c r="B4874" t="s">
        <v>338</v>
      </c>
      <c r="C4874" t="s">
        <v>69</v>
      </c>
      <c r="D4874">
        <v>34716</v>
      </c>
      <c r="E4874" t="s">
        <v>379</v>
      </c>
    </row>
    <row r="4875" spans="1:5" x14ac:dyDescent="0.25">
      <c r="A4875" s="279">
        <v>39141</v>
      </c>
      <c r="B4875" t="s">
        <v>338</v>
      </c>
      <c r="C4875" t="s">
        <v>70</v>
      </c>
      <c r="D4875">
        <v>0</v>
      </c>
      <c r="E4875" t="s">
        <v>379</v>
      </c>
    </row>
    <row r="4876" spans="1:5" x14ac:dyDescent="0.25">
      <c r="A4876" s="279">
        <v>39141</v>
      </c>
      <c r="B4876" t="s">
        <v>338</v>
      </c>
      <c r="C4876" t="s">
        <v>80</v>
      </c>
      <c r="D4876">
        <v>0</v>
      </c>
      <c r="E4876" t="s">
        <v>379</v>
      </c>
    </row>
    <row r="4877" spans="1:5" x14ac:dyDescent="0.25">
      <c r="A4877" s="279">
        <v>39141</v>
      </c>
      <c r="B4877" t="s">
        <v>339</v>
      </c>
      <c r="C4877" t="s">
        <v>71</v>
      </c>
      <c r="D4877">
        <v>0</v>
      </c>
      <c r="E4877" t="s">
        <v>378</v>
      </c>
    </row>
    <row r="4878" spans="1:5" x14ac:dyDescent="0.25">
      <c r="A4878" s="279">
        <v>39141</v>
      </c>
      <c r="B4878" t="s">
        <v>339</v>
      </c>
      <c r="C4878" t="s">
        <v>72</v>
      </c>
      <c r="D4878">
        <v>3872</v>
      </c>
      <c r="E4878" t="s">
        <v>380</v>
      </c>
    </row>
    <row r="4879" spans="1:5" x14ac:dyDescent="0.25">
      <c r="A4879" s="279">
        <v>39141</v>
      </c>
      <c r="B4879" t="s">
        <v>339</v>
      </c>
      <c r="C4879" t="s">
        <v>73</v>
      </c>
      <c r="D4879">
        <v>0</v>
      </c>
      <c r="E4879" t="s">
        <v>378</v>
      </c>
    </row>
    <row r="4880" spans="1:5" x14ac:dyDescent="0.25">
      <c r="A4880" s="279">
        <v>39141</v>
      </c>
      <c r="B4880" t="s">
        <v>339</v>
      </c>
      <c r="C4880" t="s">
        <v>74</v>
      </c>
      <c r="D4880">
        <v>8976</v>
      </c>
      <c r="E4880" t="s">
        <v>380</v>
      </c>
    </row>
    <row r="4881" spans="1:5" x14ac:dyDescent="0.25">
      <c r="A4881" s="279">
        <v>39141</v>
      </c>
      <c r="B4881" t="s">
        <v>339</v>
      </c>
      <c r="C4881" t="s">
        <v>75</v>
      </c>
      <c r="D4881">
        <v>15079</v>
      </c>
      <c r="E4881" t="s">
        <v>378</v>
      </c>
    </row>
    <row r="4882" spans="1:5" x14ac:dyDescent="0.25">
      <c r="A4882" s="279">
        <v>39141</v>
      </c>
      <c r="B4882" t="s">
        <v>339</v>
      </c>
      <c r="C4882" t="s">
        <v>76</v>
      </c>
      <c r="D4882">
        <v>14536</v>
      </c>
      <c r="E4882" t="s">
        <v>380</v>
      </c>
    </row>
    <row r="4883" spans="1:5" x14ac:dyDescent="0.25">
      <c r="A4883" s="279">
        <v>39141</v>
      </c>
      <c r="B4883" t="s">
        <v>339</v>
      </c>
      <c r="C4883" t="s">
        <v>77</v>
      </c>
      <c r="D4883">
        <v>7303</v>
      </c>
      <c r="E4883" t="s">
        <v>378</v>
      </c>
    </row>
    <row r="4884" spans="1:5" x14ac:dyDescent="0.25">
      <c r="A4884" s="279">
        <v>39141</v>
      </c>
      <c r="B4884" t="s">
        <v>339</v>
      </c>
      <c r="C4884" t="s">
        <v>78</v>
      </c>
      <c r="D4884">
        <v>7036</v>
      </c>
      <c r="E4884" t="s">
        <v>380</v>
      </c>
    </row>
    <row r="4885" spans="1:5" x14ac:dyDescent="0.25">
      <c r="A4885" s="279">
        <v>39141</v>
      </c>
      <c r="B4885" t="s">
        <v>339</v>
      </c>
      <c r="C4885" t="s">
        <v>79</v>
      </c>
      <c r="D4885">
        <v>116817</v>
      </c>
      <c r="E4885" t="s">
        <v>379</v>
      </c>
    </row>
    <row r="4886" spans="1:5" x14ac:dyDescent="0.25">
      <c r="A4886" s="279">
        <v>39141</v>
      </c>
      <c r="B4886" t="s">
        <v>339</v>
      </c>
      <c r="C4886" t="s">
        <v>70</v>
      </c>
      <c r="D4886">
        <v>0</v>
      </c>
      <c r="E4886" t="s">
        <v>379</v>
      </c>
    </row>
    <row r="4887" spans="1:5" x14ac:dyDescent="0.25">
      <c r="A4887" s="279">
        <v>39141</v>
      </c>
      <c r="B4887" t="s">
        <v>339</v>
      </c>
      <c r="C4887" t="s">
        <v>63</v>
      </c>
      <c r="D4887">
        <v>0</v>
      </c>
      <c r="E4887" t="s">
        <v>378</v>
      </c>
    </row>
    <row r="4888" spans="1:5" x14ac:dyDescent="0.25">
      <c r="A4888" s="279">
        <v>39141</v>
      </c>
      <c r="B4888" t="s">
        <v>339</v>
      </c>
      <c r="C4888" t="s">
        <v>80</v>
      </c>
      <c r="D4888">
        <v>134</v>
      </c>
      <c r="E4888" t="s">
        <v>379</v>
      </c>
    </row>
    <row r="4889" spans="1:5" x14ac:dyDescent="0.25">
      <c r="A4889" s="279">
        <v>39142</v>
      </c>
      <c r="B4889" t="s">
        <v>338</v>
      </c>
      <c r="C4889" t="s">
        <v>59</v>
      </c>
      <c r="D4889">
        <v>0</v>
      </c>
      <c r="E4889" t="s">
        <v>378</v>
      </c>
    </row>
    <row r="4890" spans="1:5" x14ac:dyDescent="0.25">
      <c r="A4890" s="279">
        <v>39142</v>
      </c>
      <c r="B4890" t="s">
        <v>338</v>
      </c>
      <c r="C4890" t="s">
        <v>60</v>
      </c>
      <c r="D4890">
        <v>4815</v>
      </c>
      <c r="E4890" t="s">
        <v>379</v>
      </c>
    </row>
    <row r="4891" spans="1:5" x14ac:dyDescent="0.25">
      <c r="A4891" s="279">
        <v>39142</v>
      </c>
      <c r="B4891" t="s">
        <v>338</v>
      </c>
      <c r="C4891" t="s">
        <v>61</v>
      </c>
      <c r="D4891">
        <v>0</v>
      </c>
      <c r="E4891" t="s">
        <v>378</v>
      </c>
    </row>
    <row r="4892" spans="1:5" x14ac:dyDescent="0.25">
      <c r="A4892" s="279">
        <v>39142</v>
      </c>
      <c r="B4892" t="s">
        <v>338</v>
      </c>
      <c r="C4892" t="s">
        <v>62</v>
      </c>
      <c r="D4892">
        <v>0</v>
      </c>
      <c r="E4892" t="s">
        <v>380</v>
      </c>
    </row>
    <row r="4893" spans="1:5" x14ac:dyDescent="0.25">
      <c r="A4893" s="279">
        <v>39142</v>
      </c>
      <c r="B4893" t="s">
        <v>338</v>
      </c>
      <c r="C4893" t="s">
        <v>63</v>
      </c>
      <c r="D4893">
        <v>0</v>
      </c>
      <c r="E4893" t="s">
        <v>378</v>
      </c>
    </row>
    <row r="4894" spans="1:5" x14ac:dyDescent="0.25">
      <c r="A4894" s="279">
        <v>39142</v>
      </c>
      <c r="B4894" t="s">
        <v>338</v>
      </c>
      <c r="C4894" t="s">
        <v>64</v>
      </c>
      <c r="D4894">
        <v>28251</v>
      </c>
      <c r="E4894" t="s">
        <v>380</v>
      </c>
    </row>
    <row r="4895" spans="1:5" x14ac:dyDescent="0.25">
      <c r="A4895" s="279">
        <v>39142</v>
      </c>
      <c r="B4895" t="s">
        <v>338</v>
      </c>
      <c r="C4895" t="s">
        <v>65</v>
      </c>
      <c r="D4895">
        <v>0</v>
      </c>
      <c r="E4895" t="s">
        <v>378</v>
      </c>
    </row>
    <row r="4896" spans="1:5" x14ac:dyDescent="0.25">
      <c r="A4896" s="279">
        <v>39142</v>
      </c>
      <c r="B4896" t="s">
        <v>338</v>
      </c>
      <c r="C4896" t="s">
        <v>66</v>
      </c>
      <c r="D4896">
        <v>0</v>
      </c>
      <c r="E4896" t="s">
        <v>380</v>
      </c>
    </row>
    <row r="4897" spans="1:5" x14ac:dyDescent="0.25">
      <c r="A4897" s="279">
        <v>39142</v>
      </c>
      <c r="B4897" t="s">
        <v>338</v>
      </c>
      <c r="C4897" t="s">
        <v>120</v>
      </c>
      <c r="D4897">
        <v>0</v>
      </c>
      <c r="E4897" t="s">
        <v>378</v>
      </c>
    </row>
    <row r="4898" spans="1:5" x14ac:dyDescent="0.25">
      <c r="A4898" s="279">
        <v>39142</v>
      </c>
      <c r="B4898" t="s">
        <v>338</v>
      </c>
      <c r="C4898" t="s">
        <v>121</v>
      </c>
      <c r="D4898">
        <v>365</v>
      </c>
      <c r="E4898" t="s">
        <v>380</v>
      </c>
    </row>
    <row r="4899" spans="1:5" x14ac:dyDescent="0.25">
      <c r="A4899" s="279">
        <v>39142</v>
      </c>
      <c r="B4899" t="s">
        <v>338</v>
      </c>
      <c r="C4899" t="s">
        <v>67</v>
      </c>
      <c r="D4899">
        <v>0</v>
      </c>
      <c r="E4899" t="s">
        <v>378</v>
      </c>
    </row>
    <row r="4900" spans="1:5" x14ac:dyDescent="0.25">
      <c r="A4900" s="279">
        <v>39142</v>
      </c>
      <c r="B4900" t="s">
        <v>338</v>
      </c>
      <c r="C4900" t="s">
        <v>68</v>
      </c>
      <c r="D4900">
        <v>0</v>
      </c>
      <c r="E4900" t="s">
        <v>380</v>
      </c>
    </row>
    <row r="4901" spans="1:5" x14ac:dyDescent="0.25">
      <c r="A4901" s="279">
        <v>39142</v>
      </c>
      <c r="B4901" t="s">
        <v>338</v>
      </c>
      <c r="C4901" t="s">
        <v>69</v>
      </c>
      <c r="D4901">
        <v>34682</v>
      </c>
      <c r="E4901" t="s">
        <v>379</v>
      </c>
    </row>
    <row r="4902" spans="1:5" x14ac:dyDescent="0.25">
      <c r="A4902" s="279">
        <v>39142</v>
      </c>
      <c r="B4902" t="s">
        <v>338</v>
      </c>
      <c r="C4902" t="s">
        <v>70</v>
      </c>
      <c r="D4902">
        <v>0</v>
      </c>
      <c r="E4902" t="s">
        <v>379</v>
      </c>
    </row>
    <row r="4903" spans="1:5" x14ac:dyDescent="0.25">
      <c r="A4903" s="279">
        <v>39142</v>
      </c>
      <c r="B4903" t="s">
        <v>338</v>
      </c>
      <c r="C4903" t="s">
        <v>80</v>
      </c>
      <c r="D4903">
        <v>0</v>
      </c>
      <c r="E4903" t="s">
        <v>379</v>
      </c>
    </row>
    <row r="4904" spans="1:5" x14ac:dyDescent="0.25">
      <c r="A4904" s="279">
        <v>39142</v>
      </c>
      <c r="B4904" t="s">
        <v>339</v>
      </c>
      <c r="C4904" t="s">
        <v>71</v>
      </c>
      <c r="D4904">
        <v>0</v>
      </c>
      <c r="E4904" t="s">
        <v>378</v>
      </c>
    </row>
    <row r="4905" spans="1:5" x14ac:dyDescent="0.25">
      <c r="A4905" s="279">
        <v>39142</v>
      </c>
      <c r="B4905" t="s">
        <v>339</v>
      </c>
      <c r="C4905" t="s">
        <v>72</v>
      </c>
      <c r="D4905">
        <v>2907</v>
      </c>
      <c r="E4905" t="s">
        <v>380</v>
      </c>
    </row>
    <row r="4906" spans="1:5" x14ac:dyDescent="0.25">
      <c r="A4906" s="279">
        <v>39142</v>
      </c>
      <c r="B4906" t="s">
        <v>339</v>
      </c>
      <c r="C4906" t="s">
        <v>73</v>
      </c>
      <c r="D4906">
        <v>0</v>
      </c>
      <c r="E4906" t="s">
        <v>378</v>
      </c>
    </row>
    <row r="4907" spans="1:5" x14ac:dyDescent="0.25">
      <c r="A4907" s="279">
        <v>39142</v>
      </c>
      <c r="B4907" t="s">
        <v>339</v>
      </c>
      <c r="C4907" t="s">
        <v>74</v>
      </c>
      <c r="D4907">
        <v>0</v>
      </c>
      <c r="E4907" t="s">
        <v>380</v>
      </c>
    </row>
    <row r="4908" spans="1:5" x14ac:dyDescent="0.25">
      <c r="A4908" s="279">
        <v>39142</v>
      </c>
      <c r="B4908" t="s">
        <v>339</v>
      </c>
      <c r="C4908" t="s">
        <v>75</v>
      </c>
      <c r="D4908">
        <v>15094</v>
      </c>
      <c r="E4908" t="s">
        <v>378</v>
      </c>
    </row>
    <row r="4909" spans="1:5" x14ac:dyDescent="0.25">
      <c r="A4909" s="279">
        <v>39142</v>
      </c>
      <c r="B4909" t="s">
        <v>339</v>
      </c>
      <c r="C4909" t="s">
        <v>76</v>
      </c>
      <c r="D4909">
        <v>17658</v>
      </c>
      <c r="E4909" t="s">
        <v>380</v>
      </c>
    </row>
    <row r="4910" spans="1:5" x14ac:dyDescent="0.25">
      <c r="A4910" s="279">
        <v>39142</v>
      </c>
      <c r="B4910" t="s">
        <v>339</v>
      </c>
      <c r="C4910" t="s">
        <v>77</v>
      </c>
      <c r="D4910">
        <v>7310</v>
      </c>
      <c r="E4910" t="s">
        <v>378</v>
      </c>
    </row>
    <row r="4911" spans="1:5" x14ac:dyDescent="0.25">
      <c r="A4911" s="279">
        <v>39142</v>
      </c>
      <c r="B4911" t="s">
        <v>339</v>
      </c>
      <c r="C4911" t="s">
        <v>78</v>
      </c>
      <c r="D4911">
        <v>7043</v>
      </c>
      <c r="E4911" t="s">
        <v>380</v>
      </c>
    </row>
    <row r="4912" spans="1:5" x14ac:dyDescent="0.25">
      <c r="A4912" s="279">
        <v>39142</v>
      </c>
      <c r="B4912" t="s">
        <v>339</v>
      </c>
      <c r="C4912" t="s">
        <v>79</v>
      </c>
      <c r="D4912">
        <v>104179</v>
      </c>
      <c r="E4912" t="s">
        <v>379</v>
      </c>
    </row>
    <row r="4913" spans="1:5" x14ac:dyDescent="0.25">
      <c r="A4913" s="279">
        <v>39142</v>
      </c>
      <c r="B4913" t="s">
        <v>339</v>
      </c>
      <c r="C4913" t="s">
        <v>70</v>
      </c>
      <c r="D4913">
        <v>0</v>
      </c>
      <c r="E4913" t="s">
        <v>379</v>
      </c>
    </row>
    <row r="4914" spans="1:5" x14ac:dyDescent="0.25">
      <c r="A4914" s="279">
        <v>39142</v>
      </c>
      <c r="B4914" t="s">
        <v>339</v>
      </c>
      <c r="C4914" t="s">
        <v>63</v>
      </c>
      <c r="D4914">
        <v>0</v>
      </c>
      <c r="E4914" t="s">
        <v>378</v>
      </c>
    </row>
    <row r="4915" spans="1:5" x14ac:dyDescent="0.25">
      <c r="A4915" s="279">
        <v>39142</v>
      </c>
      <c r="B4915" t="s">
        <v>339</v>
      </c>
      <c r="C4915" t="s">
        <v>80</v>
      </c>
      <c r="D4915">
        <v>134</v>
      </c>
      <c r="E4915" t="s">
        <v>379</v>
      </c>
    </row>
    <row r="4916" spans="1:5" x14ac:dyDescent="0.25">
      <c r="A4916" s="279">
        <v>39143</v>
      </c>
      <c r="B4916" t="s">
        <v>338</v>
      </c>
      <c r="C4916" t="s">
        <v>59</v>
      </c>
      <c r="D4916">
        <v>0</v>
      </c>
      <c r="E4916" t="s">
        <v>378</v>
      </c>
    </row>
    <row r="4917" spans="1:5" x14ac:dyDescent="0.25">
      <c r="A4917" s="279">
        <v>39143</v>
      </c>
      <c r="B4917" t="s">
        <v>338</v>
      </c>
      <c r="C4917" t="s">
        <v>60</v>
      </c>
      <c r="D4917">
        <v>4810</v>
      </c>
      <c r="E4917" t="s">
        <v>379</v>
      </c>
    </row>
    <row r="4918" spans="1:5" x14ac:dyDescent="0.25">
      <c r="A4918" s="279">
        <v>39143</v>
      </c>
      <c r="B4918" t="s">
        <v>338</v>
      </c>
      <c r="C4918" t="s">
        <v>61</v>
      </c>
      <c r="D4918">
        <v>0</v>
      </c>
      <c r="E4918" t="s">
        <v>378</v>
      </c>
    </row>
    <row r="4919" spans="1:5" x14ac:dyDescent="0.25">
      <c r="A4919" s="279">
        <v>39143</v>
      </c>
      <c r="B4919" t="s">
        <v>338</v>
      </c>
      <c r="C4919" t="s">
        <v>62</v>
      </c>
      <c r="D4919">
        <v>0</v>
      </c>
      <c r="E4919" t="s">
        <v>380</v>
      </c>
    </row>
    <row r="4920" spans="1:5" x14ac:dyDescent="0.25">
      <c r="A4920" s="279">
        <v>39143</v>
      </c>
      <c r="B4920" t="s">
        <v>338</v>
      </c>
      <c r="C4920" t="s">
        <v>63</v>
      </c>
      <c r="D4920">
        <v>0</v>
      </c>
      <c r="E4920" t="s">
        <v>378</v>
      </c>
    </row>
    <row r="4921" spans="1:5" x14ac:dyDescent="0.25">
      <c r="A4921" s="279">
        <v>39143</v>
      </c>
      <c r="B4921" t="s">
        <v>338</v>
      </c>
      <c r="C4921" t="s">
        <v>64</v>
      </c>
      <c r="D4921">
        <v>28224</v>
      </c>
      <c r="E4921" t="s">
        <v>380</v>
      </c>
    </row>
    <row r="4922" spans="1:5" x14ac:dyDescent="0.25">
      <c r="A4922" s="279">
        <v>39143</v>
      </c>
      <c r="B4922" t="s">
        <v>338</v>
      </c>
      <c r="C4922" t="s">
        <v>65</v>
      </c>
      <c r="D4922">
        <v>0</v>
      </c>
      <c r="E4922" t="s">
        <v>378</v>
      </c>
    </row>
    <row r="4923" spans="1:5" x14ac:dyDescent="0.25">
      <c r="A4923" s="279">
        <v>39143</v>
      </c>
      <c r="B4923" t="s">
        <v>338</v>
      </c>
      <c r="C4923" t="s">
        <v>66</v>
      </c>
      <c r="D4923">
        <v>0</v>
      </c>
      <c r="E4923" t="s">
        <v>380</v>
      </c>
    </row>
    <row r="4924" spans="1:5" x14ac:dyDescent="0.25">
      <c r="A4924" s="279">
        <v>39143</v>
      </c>
      <c r="B4924" t="s">
        <v>338</v>
      </c>
      <c r="C4924" t="s">
        <v>120</v>
      </c>
      <c r="D4924">
        <v>1505</v>
      </c>
      <c r="E4924" t="s">
        <v>378</v>
      </c>
    </row>
    <row r="4925" spans="1:5" x14ac:dyDescent="0.25">
      <c r="A4925" s="279">
        <v>39143</v>
      </c>
      <c r="B4925" t="s">
        <v>338</v>
      </c>
      <c r="C4925" t="s">
        <v>121</v>
      </c>
      <c r="D4925">
        <v>0</v>
      </c>
      <c r="E4925" t="s">
        <v>380</v>
      </c>
    </row>
    <row r="4926" spans="1:5" x14ac:dyDescent="0.25">
      <c r="A4926" s="279">
        <v>39143</v>
      </c>
      <c r="B4926" t="s">
        <v>338</v>
      </c>
      <c r="C4926" t="s">
        <v>67</v>
      </c>
      <c r="D4926">
        <v>0</v>
      </c>
      <c r="E4926" t="s">
        <v>378</v>
      </c>
    </row>
    <row r="4927" spans="1:5" x14ac:dyDescent="0.25">
      <c r="A4927" s="279">
        <v>39143</v>
      </c>
      <c r="B4927" t="s">
        <v>338</v>
      </c>
      <c r="C4927" t="s">
        <v>68</v>
      </c>
      <c r="D4927">
        <v>0</v>
      </c>
      <c r="E4927" t="s">
        <v>380</v>
      </c>
    </row>
    <row r="4928" spans="1:5" x14ac:dyDescent="0.25">
      <c r="A4928" s="279">
        <v>39143</v>
      </c>
      <c r="B4928" t="s">
        <v>338</v>
      </c>
      <c r="C4928" t="s">
        <v>69</v>
      </c>
      <c r="D4928">
        <v>34649</v>
      </c>
      <c r="E4928" t="s">
        <v>379</v>
      </c>
    </row>
    <row r="4929" spans="1:5" x14ac:dyDescent="0.25">
      <c r="A4929" s="279">
        <v>39143</v>
      </c>
      <c r="B4929" t="s">
        <v>338</v>
      </c>
      <c r="C4929" t="s">
        <v>70</v>
      </c>
      <c r="D4929">
        <v>0</v>
      </c>
      <c r="E4929" t="s">
        <v>379</v>
      </c>
    </row>
    <row r="4930" spans="1:5" x14ac:dyDescent="0.25">
      <c r="A4930" s="279">
        <v>39143</v>
      </c>
      <c r="B4930" t="s">
        <v>338</v>
      </c>
      <c r="C4930" t="s">
        <v>80</v>
      </c>
      <c r="D4930">
        <v>13</v>
      </c>
      <c r="E4930" t="s">
        <v>379</v>
      </c>
    </row>
    <row r="4931" spans="1:5" x14ac:dyDescent="0.25">
      <c r="A4931" s="279">
        <v>39143</v>
      </c>
      <c r="B4931" t="s">
        <v>339</v>
      </c>
      <c r="C4931" t="s">
        <v>71</v>
      </c>
      <c r="D4931">
        <v>0</v>
      </c>
      <c r="E4931" t="s">
        <v>378</v>
      </c>
    </row>
    <row r="4932" spans="1:5" x14ac:dyDescent="0.25">
      <c r="A4932" s="279">
        <v>39143</v>
      </c>
      <c r="B4932" t="s">
        <v>339</v>
      </c>
      <c r="C4932" t="s">
        <v>72</v>
      </c>
      <c r="D4932">
        <v>0</v>
      </c>
      <c r="E4932" t="s">
        <v>380</v>
      </c>
    </row>
    <row r="4933" spans="1:5" x14ac:dyDescent="0.25">
      <c r="A4933" s="279">
        <v>39143</v>
      </c>
      <c r="B4933" t="s">
        <v>339</v>
      </c>
      <c r="C4933" t="s">
        <v>73</v>
      </c>
      <c r="D4933">
        <v>6417</v>
      </c>
      <c r="E4933" t="s">
        <v>378</v>
      </c>
    </row>
    <row r="4934" spans="1:5" x14ac:dyDescent="0.25">
      <c r="A4934" s="279">
        <v>39143</v>
      </c>
      <c r="B4934" t="s">
        <v>339</v>
      </c>
      <c r="C4934" t="s">
        <v>74</v>
      </c>
      <c r="D4934">
        <v>0</v>
      </c>
      <c r="E4934" t="s">
        <v>380</v>
      </c>
    </row>
    <row r="4935" spans="1:5" x14ac:dyDescent="0.25">
      <c r="A4935" s="279">
        <v>39143</v>
      </c>
      <c r="B4935" t="s">
        <v>339</v>
      </c>
      <c r="C4935" t="s">
        <v>75</v>
      </c>
      <c r="D4935">
        <v>15079</v>
      </c>
      <c r="E4935" t="s">
        <v>378</v>
      </c>
    </row>
    <row r="4936" spans="1:5" x14ac:dyDescent="0.25">
      <c r="A4936" s="279">
        <v>39143</v>
      </c>
      <c r="B4936" t="s">
        <v>339</v>
      </c>
      <c r="C4936" t="s">
        <v>76</v>
      </c>
      <c r="D4936">
        <v>0</v>
      </c>
      <c r="E4936" t="s">
        <v>380</v>
      </c>
    </row>
    <row r="4937" spans="1:5" x14ac:dyDescent="0.25">
      <c r="A4937" s="279">
        <v>39143</v>
      </c>
      <c r="B4937" t="s">
        <v>339</v>
      </c>
      <c r="C4937" t="s">
        <v>77</v>
      </c>
      <c r="D4937">
        <v>7303</v>
      </c>
      <c r="E4937" t="s">
        <v>378</v>
      </c>
    </row>
    <row r="4938" spans="1:5" x14ac:dyDescent="0.25">
      <c r="A4938" s="279">
        <v>39143</v>
      </c>
      <c r="B4938" t="s">
        <v>339</v>
      </c>
      <c r="C4938" t="s">
        <v>78</v>
      </c>
      <c r="D4938">
        <v>0</v>
      </c>
      <c r="E4938" t="s">
        <v>380</v>
      </c>
    </row>
    <row r="4939" spans="1:5" x14ac:dyDescent="0.25">
      <c r="A4939" s="279">
        <v>39143</v>
      </c>
      <c r="B4939" t="s">
        <v>339</v>
      </c>
      <c r="C4939" t="s">
        <v>79</v>
      </c>
      <c r="D4939">
        <v>104060</v>
      </c>
      <c r="E4939" t="s">
        <v>379</v>
      </c>
    </row>
    <row r="4940" spans="1:5" x14ac:dyDescent="0.25">
      <c r="A4940" s="279">
        <v>39143</v>
      </c>
      <c r="B4940" t="s">
        <v>339</v>
      </c>
      <c r="C4940" t="s">
        <v>70</v>
      </c>
      <c r="D4940">
        <v>0</v>
      </c>
      <c r="E4940" t="s">
        <v>379</v>
      </c>
    </row>
    <row r="4941" spans="1:5" x14ac:dyDescent="0.25">
      <c r="A4941" s="279">
        <v>39143</v>
      </c>
      <c r="B4941" t="s">
        <v>339</v>
      </c>
      <c r="C4941" t="s">
        <v>63</v>
      </c>
      <c r="D4941">
        <v>0</v>
      </c>
      <c r="E4941" t="s">
        <v>378</v>
      </c>
    </row>
    <row r="4942" spans="1:5" x14ac:dyDescent="0.25">
      <c r="A4942" s="279">
        <v>39143</v>
      </c>
      <c r="B4942" t="s">
        <v>339</v>
      </c>
      <c r="C4942" t="s">
        <v>80</v>
      </c>
      <c r="D4942">
        <v>378</v>
      </c>
      <c r="E4942" t="s">
        <v>379</v>
      </c>
    </row>
    <row r="4943" spans="1:5" x14ac:dyDescent="0.25">
      <c r="A4943" s="279">
        <v>39144</v>
      </c>
      <c r="B4943" t="s">
        <v>338</v>
      </c>
      <c r="C4943" t="s">
        <v>59</v>
      </c>
      <c r="D4943">
        <v>0</v>
      </c>
      <c r="E4943" t="s">
        <v>378</v>
      </c>
    </row>
    <row r="4944" spans="1:5" x14ac:dyDescent="0.25">
      <c r="A4944" s="279">
        <v>39144</v>
      </c>
      <c r="B4944" t="s">
        <v>338</v>
      </c>
      <c r="C4944" t="s">
        <v>60</v>
      </c>
      <c r="D4944">
        <v>4382</v>
      </c>
      <c r="E4944" t="s">
        <v>379</v>
      </c>
    </row>
    <row r="4945" spans="1:5" x14ac:dyDescent="0.25">
      <c r="A4945" s="279">
        <v>39144</v>
      </c>
      <c r="B4945" t="s">
        <v>338</v>
      </c>
      <c r="C4945" t="s">
        <v>61</v>
      </c>
      <c r="D4945">
        <v>0</v>
      </c>
      <c r="E4945" t="s">
        <v>378</v>
      </c>
    </row>
    <row r="4946" spans="1:5" x14ac:dyDescent="0.25">
      <c r="A4946" s="279">
        <v>39144</v>
      </c>
      <c r="B4946" t="s">
        <v>338</v>
      </c>
      <c r="C4946" t="s">
        <v>62</v>
      </c>
      <c r="D4946">
        <v>0</v>
      </c>
      <c r="E4946" t="s">
        <v>380</v>
      </c>
    </row>
    <row r="4947" spans="1:5" x14ac:dyDescent="0.25">
      <c r="A4947" s="279">
        <v>39144</v>
      </c>
      <c r="B4947" t="s">
        <v>338</v>
      </c>
      <c r="C4947" t="s">
        <v>63</v>
      </c>
      <c r="D4947">
        <v>0</v>
      </c>
      <c r="E4947" t="s">
        <v>378</v>
      </c>
    </row>
    <row r="4948" spans="1:5" x14ac:dyDescent="0.25">
      <c r="A4948" s="279">
        <v>39144</v>
      </c>
      <c r="B4948" t="s">
        <v>338</v>
      </c>
      <c r="C4948" t="s">
        <v>64</v>
      </c>
      <c r="D4948">
        <v>28279</v>
      </c>
      <c r="E4948" t="s">
        <v>380</v>
      </c>
    </row>
    <row r="4949" spans="1:5" x14ac:dyDescent="0.25">
      <c r="A4949" s="279">
        <v>39144</v>
      </c>
      <c r="B4949" t="s">
        <v>338</v>
      </c>
      <c r="C4949" t="s">
        <v>65</v>
      </c>
      <c r="D4949">
        <v>0</v>
      </c>
      <c r="E4949" t="s">
        <v>378</v>
      </c>
    </row>
    <row r="4950" spans="1:5" x14ac:dyDescent="0.25">
      <c r="A4950" s="279">
        <v>39144</v>
      </c>
      <c r="B4950" t="s">
        <v>338</v>
      </c>
      <c r="C4950" t="s">
        <v>66</v>
      </c>
      <c r="D4950">
        <v>0</v>
      </c>
      <c r="E4950" t="s">
        <v>380</v>
      </c>
    </row>
    <row r="4951" spans="1:5" x14ac:dyDescent="0.25">
      <c r="A4951" s="279">
        <v>39144</v>
      </c>
      <c r="B4951" t="s">
        <v>338</v>
      </c>
      <c r="C4951" t="s">
        <v>120</v>
      </c>
      <c r="D4951">
        <v>156</v>
      </c>
      <c r="E4951" t="s">
        <v>378</v>
      </c>
    </row>
    <row r="4952" spans="1:5" x14ac:dyDescent="0.25">
      <c r="A4952" s="279">
        <v>39144</v>
      </c>
      <c r="B4952" t="s">
        <v>338</v>
      </c>
      <c r="C4952" t="s">
        <v>121</v>
      </c>
      <c r="D4952">
        <v>0</v>
      </c>
      <c r="E4952" t="s">
        <v>380</v>
      </c>
    </row>
    <row r="4953" spans="1:5" x14ac:dyDescent="0.25">
      <c r="A4953" s="279">
        <v>39144</v>
      </c>
      <c r="B4953" t="s">
        <v>338</v>
      </c>
      <c r="C4953" t="s">
        <v>67</v>
      </c>
      <c r="D4953">
        <v>0</v>
      </c>
      <c r="E4953" t="s">
        <v>378</v>
      </c>
    </row>
    <row r="4954" spans="1:5" x14ac:dyDescent="0.25">
      <c r="A4954" s="279">
        <v>39144</v>
      </c>
      <c r="B4954" t="s">
        <v>338</v>
      </c>
      <c r="C4954" t="s">
        <v>68</v>
      </c>
      <c r="D4954">
        <v>0</v>
      </c>
      <c r="E4954" t="s">
        <v>380</v>
      </c>
    </row>
    <row r="4955" spans="1:5" x14ac:dyDescent="0.25">
      <c r="A4955" s="279">
        <v>39144</v>
      </c>
      <c r="B4955" t="s">
        <v>338</v>
      </c>
      <c r="C4955" t="s">
        <v>69</v>
      </c>
      <c r="D4955">
        <v>34716</v>
      </c>
      <c r="E4955" t="s">
        <v>379</v>
      </c>
    </row>
    <row r="4956" spans="1:5" x14ac:dyDescent="0.25">
      <c r="A4956" s="279">
        <v>39144</v>
      </c>
      <c r="B4956" t="s">
        <v>338</v>
      </c>
      <c r="C4956" t="s">
        <v>70</v>
      </c>
      <c r="D4956">
        <v>0</v>
      </c>
      <c r="E4956" t="s">
        <v>379</v>
      </c>
    </row>
    <row r="4957" spans="1:5" x14ac:dyDescent="0.25">
      <c r="A4957" s="279">
        <v>39144</v>
      </c>
      <c r="B4957" t="s">
        <v>338</v>
      </c>
      <c r="C4957" t="s">
        <v>80</v>
      </c>
      <c r="D4957">
        <v>0</v>
      </c>
      <c r="E4957" t="s">
        <v>379</v>
      </c>
    </row>
    <row r="4958" spans="1:5" x14ac:dyDescent="0.25">
      <c r="A4958" s="279">
        <v>39144</v>
      </c>
      <c r="B4958" t="s">
        <v>339</v>
      </c>
      <c r="C4958" t="s">
        <v>71</v>
      </c>
      <c r="D4958">
        <v>0</v>
      </c>
      <c r="E4958" t="s">
        <v>378</v>
      </c>
    </row>
    <row r="4959" spans="1:5" x14ac:dyDescent="0.25">
      <c r="A4959" s="279">
        <v>39144</v>
      </c>
      <c r="B4959" t="s">
        <v>339</v>
      </c>
      <c r="C4959" t="s">
        <v>72</v>
      </c>
      <c r="D4959">
        <v>0</v>
      </c>
      <c r="E4959" t="s">
        <v>380</v>
      </c>
    </row>
    <row r="4960" spans="1:5" x14ac:dyDescent="0.25">
      <c r="A4960" s="279">
        <v>39144</v>
      </c>
      <c r="B4960" t="s">
        <v>339</v>
      </c>
      <c r="C4960" t="s">
        <v>73</v>
      </c>
      <c r="D4960">
        <v>0</v>
      </c>
      <c r="E4960" t="s">
        <v>378</v>
      </c>
    </row>
    <row r="4961" spans="1:5" x14ac:dyDescent="0.25">
      <c r="A4961" s="279">
        <v>39144</v>
      </c>
      <c r="B4961" t="s">
        <v>339</v>
      </c>
      <c r="C4961" t="s">
        <v>74</v>
      </c>
      <c r="D4961">
        <v>0</v>
      </c>
      <c r="E4961" t="s">
        <v>380</v>
      </c>
    </row>
    <row r="4962" spans="1:5" x14ac:dyDescent="0.25">
      <c r="A4962" s="279">
        <v>39144</v>
      </c>
      <c r="B4962" t="s">
        <v>339</v>
      </c>
      <c r="C4962" t="s">
        <v>75</v>
      </c>
      <c r="D4962">
        <v>15079</v>
      </c>
      <c r="E4962" t="s">
        <v>378</v>
      </c>
    </row>
    <row r="4963" spans="1:5" x14ac:dyDescent="0.25">
      <c r="A4963" s="279">
        <v>39144</v>
      </c>
      <c r="B4963" t="s">
        <v>339</v>
      </c>
      <c r="C4963" t="s">
        <v>76</v>
      </c>
      <c r="D4963">
        <v>7510</v>
      </c>
      <c r="E4963" t="s">
        <v>380</v>
      </c>
    </row>
    <row r="4964" spans="1:5" x14ac:dyDescent="0.25">
      <c r="A4964" s="279">
        <v>39144</v>
      </c>
      <c r="B4964" t="s">
        <v>339</v>
      </c>
      <c r="C4964" t="s">
        <v>77</v>
      </c>
      <c r="D4964">
        <v>7303</v>
      </c>
      <c r="E4964" t="s">
        <v>378</v>
      </c>
    </row>
    <row r="4965" spans="1:5" x14ac:dyDescent="0.25">
      <c r="A4965" s="279">
        <v>39144</v>
      </c>
      <c r="B4965" t="s">
        <v>339</v>
      </c>
      <c r="C4965" t="s">
        <v>78</v>
      </c>
      <c r="D4965">
        <v>7036</v>
      </c>
      <c r="E4965" t="s">
        <v>380</v>
      </c>
    </row>
    <row r="4966" spans="1:5" x14ac:dyDescent="0.25">
      <c r="A4966" s="279">
        <v>39144</v>
      </c>
      <c r="B4966" t="s">
        <v>339</v>
      </c>
      <c r="C4966" t="s">
        <v>79</v>
      </c>
      <c r="D4966">
        <v>114062</v>
      </c>
      <c r="E4966" t="s">
        <v>379</v>
      </c>
    </row>
    <row r="4967" spans="1:5" x14ac:dyDescent="0.25">
      <c r="A4967" s="279">
        <v>39144</v>
      </c>
      <c r="B4967" t="s">
        <v>339</v>
      </c>
      <c r="C4967" t="s">
        <v>70</v>
      </c>
      <c r="D4967">
        <v>0</v>
      </c>
      <c r="E4967" t="s">
        <v>379</v>
      </c>
    </row>
    <row r="4968" spans="1:5" x14ac:dyDescent="0.25">
      <c r="A4968" s="279">
        <v>39144</v>
      </c>
      <c r="B4968" t="s">
        <v>339</v>
      </c>
      <c r="C4968" t="s">
        <v>63</v>
      </c>
      <c r="D4968">
        <v>0</v>
      </c>
      <c r="E4968" t="s">
        <v>378</v>
      </c>
    </row>
    <row r="4969" spans="1:5" x14ac:dyDescent="0.25">
      <c r="A4969" s="279">
        <v>39144</v>
      </c>
      <c r="B4969" t="s">
        <v>339</v>
      </c>
      <c r="C4969" t="s">
        <v>80</v>
      </c>
      <c r="D4969">
        <v>134</v>
      </c>
      <c r="E4969" t="s">
        <v>379</v>
      </c>
    </row>
    <row r="4970" spans="1:5" x14ac:dyDescent="0.25">
      <c r="A4970" s="279">
        <v>39145</v>
      </c>
      <c r="B4970" t="s">
        <v>338</v>
      </c>
      <c r="C4970" t="s">
        <v>59</v>
      </c>
      <c r="D4970">
        <v>0</v>
      </c>
      <c r="E4970" t="s">
        <v>378</v>
      </c>
    </row>
    <row r="4971" spans="1:5" x14ac:dyDescent="0.25">
      <c r="A4971" s="279">
        <v>39145</v>
      </c>
      <c r="B4971" t="s">
        <v>338</v>
      </c>
      <c r="C4971" t="s">
        <v>60</v>
      </c>
      <c r="D4971">
        <v>4382</v>
      </c>
      <c r="E4971" t="s">
        <v>379</v>
      </c>
    </row>
    <row r="4972" spans="1:5" x14ac:dyDescent="0.25">
      <c r="A4972" s="279">
        <v>39145</v>
      </c>
      <c r="B4972" t="s">
        <v>338</v>
      </c>
      <c r="C4972" t="s">
        <v>61</v>
      </c>
      <c r="D4972">
        <v>0</v>
      </c>
      <c r="E4972" t="s">
        <v>378</v>
      </c>
    </row>
    <row r="4973" spans="1:5" x14ac:dyDescent="0.25">
      <c r="A4973" s="279">
        <v>39145</v>
      </c>
      <c r="B4973" t="s">
        <v>338</v>
      </c>
      <c r="C4973" t="s">
        <v>62</v>
      </c>
      <c r="D4973">
        <v>11350</v>
      </c>
      <c r="E4973" t="s">
        <v>380</v>
      </c>
    </row>
    <row r="4974" spans="1:5" x14ac:dyDescent="0.25">
      <c r="A4974" s="279">
        <v>39145</v>
      </c>
      <c r="B4974" t="s">
        <v>338</v>
      </c>
      <c r="C4974" t="s">
        <v>63</v>
      </c>
      <c r="D4974">
        <v>0</v>
      </c>
      <c r="E4974" t="s">
        <v>378</v>
      </c>
    </row>
    <row r="4975" spans="1:5" x14ac:dyDescent="0.25">
      <c r="A4975" s="279">
        <v>39145</v>
      </c>
      <c r="B4975" t="s">
        <v>338</v>
      </c>
      <c r="C4975" t="s">
        <v>64</v>
      </c>
      <c r="D4975">
        <v>28279</v>
      </c>
      <c r="E4975" t="s">
        <v>380</v>
      </c>
    </row>
    <row r="4976" spans="1:5" x14ac:dyDescent="0.25">
      <c r="A4976" s="279">
        <v>39145</v>
      </c>
      <c r="B4976" t="s">
        <v>338</v>
      </c>
      <c r="C4976" t="s">
        <v>65</v>
      </c>
      <c r="D4976">
        <v>0</v>
      </c>
      <c r="E4976" t="s">
        <v>378</v>
      </c>
    </row>
    <row r="4977" spans="1:5" x14ac:dyDescent="0.25">
      <c r="A4977" s="279">
        <v>39145</v>
      </c>
      <c r="B4977" t="s">
        <v>338</v>
      </c>
      <c r="C4977" t="s">
        <v>66</v>
      </c>
      <c r="D4977">
        <v>0</v>
      </c>
      <c r="E4977" t="s">
        <v>380</v>
      </c>
    </row>
    <row r="4978" spans="1:5" x14ac:dyDescent="0.25">
      <c r="A4978" s="279">
        <v>39145</v>
      </c>
      <c r="B4978" t="s">
        <v>338</v>
      </c>
      <c r="C4978" t="s">
        <v>120</v>
      </c>
      <c r="D4978">
        <v>0</v>
      </c>
      <c r="E4978" t="s">
        <v>378</v>
      </c>
    </row>
    <row r="4979" spans="1:5" x14ac:dyDescent="0.25">
      <c r="A4979" s="279">
        <v>39145</v>
      </c>
      <c r="B4979" t="s">
        <v>338</v>
      </c>
      <c r="C4979" t="s">
        <v>121</v>
      </c>
      <c r="D4979">
        <v>20103</v>
      </c>
      <c r="E4979" t="s">
        <v>380</v>
      </c>
    </row>
    <row r="4980" spans="1:5" x14ac:dyDescent="0.25">
      <c r="A4980" s="279">
        <v>39145</v>
      </c>
      <c r="B4980" t="s">
        <v>338</v>
      </c>
      <c r="C4980" t="s">
        <v>67</v>
      </c>
      <c r="D4980">
        <v>0</v>
      </c>
      <c r="E4980" t="s">
        <v>378</v>
      </c>
    </row>
    <row r="4981" spans="1:5" x14ac:dyDescent="0.25">
      <c r="A4981" s="279">
        <v>39145</v>
      </c>
      <c r="B4981" t="s">
        <v>338</v>
      </c>
      <c r="C4981" t="s">
        <v>68</v>
      </c>
      <c r="D4981">
        <v>0</v>
      </c>
      <c r="E4981" t="s">
        <v>380</v>
      </c>
    </row>
    <row r="4982" spans="1:5" x14ac:dyDescent="0.25">
      <c r="A4982" s="279">
        <v>39145</v>
      </c>
      <c r="B4982" t="s">
        <v>338</v>
      </c>
      <c r="C4982" t="s">
        <v>69</v>
      </c>
      <c r="D4982">
        <v>34716</v>
      </c>
      <c r="E4982" t="s">
        <v>379</v>
      </c>
    </row>
    <row r="4983" spans="1:5" x14ac:dyDescent="0.25">
      <c r="A4983" s="279">
        <v>39145</v>
      </c>
      <c r="B4983" t="s">
        <v>338</v>
      </c>
      <c r="C4983" t="s">
        <v>70</v>
      </c>
      <c r="D4983">
        <v>0</v>
      </c>
      <c r="E4983" t="s">
        <v>379</v>
      </c>
    </row>
    <row r="4984" spans="1:5" x14ac:dyDescent="0.25">
      <c r="A4984" s="279">
        <v>39145</v>
      </c>
      <c r="B4984" t="s">
        <v>338</v>
      </c>
      <c r="C4984" t="s">
        <v>80</v>
      </c>
      <c r="D4984">
        <v>0</v>
      </c>
      <c r="E4984" t="s">
        <v>379</v>
      </c>
    </row>
    <row r="4985" spans="1:5" x14ac:dyDescent="0.25">
      <c r="A4985" s="279">
        <v>39145</v>
      </c>
      <c r="B4985" t="s">
        <v>339</v>
      </c>
      <c r="C4985" t="s">
        <v>71</v>
      </c>
      <c r="D4985">
        <v>0</v>
      </c>
      <c r="E4985" t="s">
        <v>378</v>
      </c>
    </row>
    <row r="4986" spans="1:5" x14ac:dyDescent="0.25">
      <c r="A4986" s="279">
        <v>39145</v>
      </c>
      <c r="B4986" t="s">
        <v>339</v>
      </c>
      <c r="C4986" t="s">
        <v>72</v>
      </c>
      <c r="D4986">
        <v>2901</v>
      </c>
      <c r="E4986" t="s">
        <v>380</v>
      </c>
    </row>
    <row r="4987" spans="1:5" x14ac:dyDescent="0.25">
      <c r="A4987" s="279">
        <v>39145</v>
      </c>
      <c r="B4987" t="s">
        <v>339</v>
      </c>
      <c r="C4987" t="s">
        <v>73</v>
      </c>
      <c r="D4987">
        <v>0</v>
      </c>
      <c r="E4987" t="s">
        <v>378</v>
      </c>
    </row>
    <row r="4988" spans="1:5" x14ac:dyDescent="0.25">
      <c r="A4988" s="279">
        <v>39145</v>
      </c>
      <c r="B4988" t="s">
        <v>339</v>
      </c>
      <c r="C4988" t="s">
        <v>74</v>
      </c>
      <c r="D4988">
        <v>38685</v>
      </c>
      <c r="E4988" t="s">
        <v>380</v>
      </c>
    </row>
    <row r="4989" spans="1:5" x14ac:dyDescent="0.25">
      <c r="A4989" s="279">
        <v>39145</v>
      </c>
      <c r="B4989" t="s">
        <v>339</v>
      </c>
      <c r="C4989" t="s">
        <v>75</v>
      </c>
      <c r="D4989">
        <v>15065</v>
      </c>
      <c r="E4989" t="s">
        <v>378</v>
      </c>
    </row>
    <row r="4990" spans="1:5" x14ac:dyDescent="0.25">
      <c r="A4990" s="279">
        <v>39145</v>
      </c>
      <c r="B4990" t="s">
        <v>339</v>
      </c>
      <c r="C4990" t="s">
        <v>76</v>
      </c>
      <c r="D4990">
        <v>33865</v>
      </c>
      <c r="E4990" t="s">
        <v>380</v>
      </c>
    </row>
    <row r="4991" spans="1:5" x14ac:dyDescent="0.25">
      <c r="A4991" s="279">
        <v>39145</v>
      </c>
      <c r="B4991" t="s">
        <v>339</v>
      </c>
      <c r="C4991" t="s">
        <v>77</v>
      </c>
      <c r="D4991">
        <v>7296</v>
      </c>
      <c r="E4991" t="s">
        <v>378</v>
      </c>
    </row>
    <row r="4992" spans="1:5" x14ac:dyDescent="0.25">
      <c r="A4992" s="279">
        <v>39145</v>
      </c>
      <c r="B4992" t="s">
        <v>339</v>
      </c>
      <c r="C4992" t="s">
        <v>78</v>
      </c>
      <c r="D4992">
        <v>13797</v>
      </c>
      <c r="E4992" t="s">
        <v>380</v>
      </c>
    </row>
    <row r="4993" spans="1:5" x14ac:dyDescent="0.25">
      <c r="A4993" s="279">
        <v>39145</v>
      </c>
      <c r="B4993" t="s">
        <v>339</v>
      </c>
      <c r="C4993" t="s">
        <v>79</v>
      </c>
      <c r="D4993">
        <v>113952</v>
      </c>
      <c r="E4993" t="s">
        <v>379</v>
      </c>
    </row>
    <row r="4994" spans="1:5" x14ac:dyDescent="0.25">
      <c r="A4994" s="279">
        <v>39145</v>
      </c>
      <c r="B4994" t="s">
        <v>339</v>
      </c>
      <c r="C4994" t="s">
        <v>70</v>
      </c>
      <c r="D4994">
        <v>0</v>
      </c>
      <c r="E4994" t="s">
        <v>379</v>
      </c>
    </row>
    <row r="4995" spans="1:5" x14ac:dyDescent="0.25">
      <c r="A4995" s="279">
        <v>39145</v>
      </c>
      <c r="B4995" t="s">
        <v>339</v>
      </c>
      <c r="C4995" t="s">
        <v>63</v>
      </c>
      <c r="D4995">
        <v>0</v>
      </c>
      <c r="E4995" t="s">
        <v>378</v>
      </c>
    </row>
    <row r="4996" spans="1:5" x14ac:dyDescent="0.25">
      <c r="A4996" s="279">
        <v>39145</v>
      </c>
      <c r="B4996" t="s">
        <v>339</v>
      </c>
      <c r="C4996" t="s">
        <v>80</v>
      </c>
      <c r="D4996">
        <v>134</v>
      </c>
      <c r="E4996" t="s">
        <v>379</v>
      </c>
    </row>
    <row r="4997" spans="1:5" x14ac:dyDescent="0.25">
      <c r="A4997" s="279">
        <v>39146</v>
      </c>
      <c r="B4997" t="s">
        <v>338</v>
      </c>
      <c r="C4997" t="s">
        <v>59</v>
      </c>
      <c r="D4997">
        <v>0</v>
      </c>
      <c r="E4997" t="s">
        <v>378</v>
      </c>
    </row>
    <row r="4998" spans="1:5" x14ac:dyDescent="0.25">
      <c r="A4998" s="279">
        <v>39146</v>
      </c>
      <c r="B4998" t="s">
        <v>338</v>
      </c>
      <c r="C4998" t="s">
        <v>60</v>
      </c>
      <c r="D4998">
        <v>4369</v>
      </c>
      <c r="E4998" t="s">
        <v>379</v>
      </c>
    </row>
    <row r="4999" spans="1:5" x14ac:dyDescent="0.25">
      <c r="A4999" s="279">
        <v>39146</v>
      </c>
      <c r="B4999" t="s">
        <v>338</v>
      </c>
      <c r="C4999" t="s">
        <v>61</v>
      </c>
      <c r="D4999">
        <v>0</v>
      </c>
      <c r="E4999" t="s">
        <v>378</v>
      </c>
    </row>
    <row r="5000" spans="1:5" x14ac:dyDescent="0.25">
      <c r="A5000" s="279">
        <v>39146</v>
      </c>
      <c r="B5000" t="s">
        <v>338</v>
      </c>
      <c r="C5000" t="s">
        <v>62</v>
      </c>
      <c r="D5000">
        <v>37990</v>
      </c>
      <c r="E5000" t="s">
        <v>380</v>
      </c>
    </row>
    <row r="5001" spans="1:5" x14ac:dyDescent="0.25">
      <c r="A5001" s="279">
        <v>39146</v>
      </c>
      <c r="B5001" t="s">
        <v>338</v>
      </c>
      <c r="C5001" t="s">
        <v>63</v>
      </c>
      <c r="D5001">
        <v>0</v>
      </c>
      <c r="E5001" t="s">
        <v>378</v>
      </c>
    </row>
    <row r="5002" spans="1:5" x14ac:dyDescent="0.25">
      <c r="A5002" s="279">
        <v>39146</v>
      </c>
      <c r="B5002" t="s">
        <v>338</v>
      </c>
      <c r="C5002" t="s">
        <v>64</v>
      </c>
      <c r="D5002">
        <v>28197</v>
      </c>
      <c r="E5002" t="s">
        <v>380</v>
      </c>
    </row>
    <row r="5003" spans="1:5" x14ac:dyDescent="0.25">
      <c r="A5003" s="279">
        <v>39146</v>
      </c>
      <c r="B5003" t="s">
        <v>338</v>
      </c>
      <c r="C5003" t="s">
        <v>65</v>
      </c>
      <c r="D5003">
        <v>0</v>
      </c>
      <c r="E5003" t="s">
        <v>378</v>
      </c>
    </row>
    <row r="5004" spans="1:5" x14ac:dyDescent="0.25">
      <c r="A5004" s="279">
        <v>39146</v>
      </c>
      <c r="B5004" t="s">
        <v>338</v>
      </c>
      <c r="C5004" t="s">
        <v>66</v>
      </c>
      <c r="D5004">
        <v>0</v>
      </c>
      <c r="E5004" t="s">
        <v>380</v>
      </c>
    </row>
    <row r="5005" spans="1:5" x14ac:dyDescent="0.25">
      <c r="A5005" s="279">
        <v>39146</v>
      </c>
      <c r="B5005" t="s">
        <v>338</v>
      </c>
      <c r="C5005" t="s">
        <v>120</v>
      </c>
      <c r="D5005">
        <v>0</v>
      </c>
      <c r="E5005" t="s">
        <v>378</v>
      </c>
    </row>
    <row r="5006" spans="1:5" x14ac:dyDescent="0.25">
      <c r="A5006" s="279">
        <v>39146</v>
      </c>
      <c r="B5006" t="s">
        <v>338</v>
      </c>
      <c r="C5006" t="s">
        <v>121</v>
      </c>
      <c r="D5006">
        <v>20045</v>
      </c>
      <c r="E5006" t="s">
        <v>380</v>
      </c>
    </row>
    <row r="5007" spans="1:5" x14ac:dyDescent="0.25">
      <c r="A5007" s="279">
        <v>39146</v>
      </c>
      <c r="B5007" t="s">
        <v>338</v>
      </c>
      <c r="C5007" t="s">
        <v>67</v>
      </c>
      <c r="D5007">
        <v>0</v>
      </c>
      <c r="E5007" t="s">
        <v>378</v>
      </c>
    </row>
    <row r="5008" spans="1:5" x14ac:dyDescent="0.25">
      <c r="A5008" s="279">
        <v>39146</v>
      </c>
      <c r="B5008" t="s">
        <v>338</v>
      </c>
      <c r="C5008" t="s">
        <v>68</v>
      </c>
      <c r="D5008">
        <v>0</v>
      </c>
      <c r="E5008" t="s">
        <v>380</v>
      </c>
    </row>
    <row r="5009" spans="1:5" x14ac:dyDescent="0.25">
      <c r="A5009" s="279">
        <v>39146</v>
      </c>
      <c r="B5009" t="s">
        <v>338</v>
      </c>
      <c r="C5009" t="s">
        <v>69</v>
      </c>
      <c r="D5009">
        <v>34615</v>
      </c>
      <c r="E5009" t="s">
        <v>379</v>
      </c>
    </row>
    <row r="5010" spans="1:5" x14ac:dyDescent="0.25">
      <c r="A5010" s="279">
        <v>39146</v>
      </c>
      <c r="B5010" t="s">
        <v>338</v>
      </c>
      <c r="C5010" t="s">
        <v>70</v>
      </c>
      <c r="D5010">
        <v>0</v>
      </c>
      <c r="E5010" t="s">
        <v>379</v>
      </c>
    </row>
    <row r="5011" spans="1:5" x14ac:dyDescent="0.25">
      <c r="A5011" s="279">
        <v>39146</v>
      </c>
      <c r="B5011" t="s">
        <v>338</v>
      </c>
      <c r="C5011" t="s">
        <v>80</v>
      </c>
      <c r="D5011">
        <v>0</v>
      </c>
      <c r="E5011" t="s">
        <v>379</v>
      </c>
    </row>
    <row r="5012" spans="1:5" x14ac:dyDescent="0.25">
      <c r="A5012" s="279">
        <v>39146</v>
      </c>
      <c r="B5012" t="s">
        <v>339</v>
      </c>
      <c r="C5012" t="s">
        <v>71</v>
      </c>
      <c r="D5012">
        <v>0</v>
      </c>
      <c r="E5012" t="s">
        <v>378</v>
      </c>
    </row>
    <row r="5013" spans="1:5" x14ac:dyDescent="0.25">
      <c r="A5013" s="279">
        <v>39146</v>
      </c>
      <c r="B5013" t="s">
        <v>339</v>
      </c>
      <c r="C5013" t="s">
        <v>72</v>
      </c>
      <c r="D5013">
        <v>2890</v>
      </c>
      <c r="E5013" t="s">
        <v>380</v>
      </c>
    </row>
    <row r="5014" spans="1:5" x14ac:dyDescent="0.25">
      <c r="A5014" s="279">
        <v>39146</v>
      </c>
      <c r="B5014" t="s">
        <v>339</v>
      </c>
      <c r="C5014" t="s">
        <v>73</v>
      </c>
      <c r="D5014">
        <v>0</v>
      </c>
      <c r="E5014" t="s">
        <v>378</v>
      </c>
    </row>
    <row r="5015" spans="1:5" x14ac:dyDescent="0.25">
      <c r="A5015" s="279">
        <v>39146</v>
      </c>
      <c r="B5015" t="s">
        <v>339</v>
      </c>
      <c r="C5015" t="s">
        <v>74</v>
      </c>
      <c r="D5015">
        <v>53946</v>
      </c>
      <c r="E5015" t="s">
        <v>380</v>
      </c>
    </row>
    <row r="5016" spans="1:5" x14ac:dyDescent="0.25">
      <c r="A5016" s="279">
        <v>39146</v>
      </c>
      <c r="B5016" t="s">
        <v>339</v>
      </c>
      <c r="C5016" t="s">
        <v>75</v>
      </c>
      <c r="D5016">
        <v>15006</v>
      </c>
      <c r="E5016" t="s">
        <v>378</v>
      </c>
    </row>
    <row r="5017" spans="1:5" x14ac:dyDescent="0.25">
      <c r="A5017" s="279">
        <v>39146</v>
      </c>
      <c r="B5017" t="s">
        <v>339</v>
      </c>
      <c r="C5017" t="s">
        <v>76</v>
      </c>
      <c r="D5017">
        <v>33734</v>
      </c>
      <c r="E5017" t="s">
        <v>380</v>
      </c>
    </row>
    <row r="5018" spans="1:5" x14ac:dyDescent="0.25">
      <c r="A5018" s="279">
        <v>39146</v>
      </c>
      <c r="B5018" t="s">
        <v>339</v>
      </c>
      <c r="C5018" t="s">
        <v>77</v>
      </c>
      <c r="D5018">
        <v>7268</v>
      </c>
      <c r="E5018" t="s">
        <v>378</v>
      </c>
    </row>
    <row r="5019" spans="1:5" x14ac:dyDescent="0.25">
      <c r="A5019" s="279">
        <v>39146</v>
      </c>
      <c r="B5019" t="s">
        <v>339</v>
      </c>
      <c r="C5019" t="s">
        <v>78</v>
      </c>
      <c r="D5019">
        <v>14033</v>
      </c>
      <c r="E5019" t="s">
        <v>380</v>
      </c>
    </row>
    <row r="5020" spans="1:5" x14ac:dyDescent="0.25">
      <c r="A5020" s="279">
        <v>39146</v>
      </c>
      <c r="B5020" t="s">
        <v>339</v>
      </c>
      <c r="C5020" t="s">
        <v>79</v>
      </c>
      <c r="D5020">
        <v>113513</v>
      </c>
      <c r="E5020" t="s">
        <v>379</v>
      </c>
    </row>
    <row r="5021" spans="1:5" x14ac:dyDescent="0.25">
      <c r="A5021" s="279">
        <v>39146</v>
      </c>
      <c r="B5021" t="s">
        <v>339</v>
      </c>
      <c r="C5021" t="s">
        <v>70</v>
      </c>
      <c r="D5021">
        <v>0</v>
      </c>
      <c r="E5021" t="s">
        <v>379</v>
      </c>
    </row>
    <row r="5022" spans="1:5" x14ac:dyDescent="0.25">
      <c r="A5022" s="279">
        <v>39146</v>
      </c>
      <c r="B5022" t="s">
        <v>339</v>
      </c>
      <c r="C5022" t="s">
        <v>63</v>
      </c>
      <c r="D5022">
        <v>0</v>
      </c>
      <c r="E5022" t="s">
        <v>378</v>
      </c>
    </row>
    <row r="5023" spans="1:5" x14ac:dyDescent="0.25">
      <c r="A5023" s="279">
        <v>39146</v>
      </c>
      <c r="B5023" t="s">
        <v>339</v>
      </c>
      <c r="C5023" t="s">
        <v>80</v>
      </c>
      <c r="D5023">
        <v>133</v>
      </c>
      <c r="E5023" t="s">
        <v>379</v>
      </c>
    </row>
    <row r="5024" spans="1:5" x14ac:dyDescent="0.25">
      <c r="A5024" s="279">
        <v>39147</v>
      </c>
      <c r="B5024" t="s">
        <v>338</v>
      </c>
      <c r="C5024" t="s">
        <v>59</v>
      </c>
      <c r="D5024">
        <v>0</v>
      </c>
      <c r="E5024" t="s">
        <v>378</v>
      </c>
    </row>
    <row r="5025" spans="1:5" x14ac:dyDescent="0.25">
      <c r="A5025" s="279">
        <v>39147</v>
      </c>
      <c r="B5025" t="s">
        <v>338</v>
      </c>
      <c r="C5025" t="s">
        <v>60</v>
      </c>
      <c r="D5025">
        <v>4365</v>
      </c>
      <c r="E5025" t="s">
        <v>379</v>
      </c>
    </row>
    <row r="5026" spans="1:5" x14ac:dyDescent="0.25">
      <c r="A5026" s="279">
        <v>39147</v>
      </c>
      <c r="B5026" t="s">
        <v>338</v>
      </c>
      <c r="C5026" t="s">
        <v>61</v>
      </c>
      <c r="D5026">
        <v>0</v>
      </c>
      <c r="E5026" t="s">
        <v>378</v>
      </c>
    </row>
    <row r="5027" spans="1:5" x14ac:dyDescent="0.25">
      <c r="A5027" s="279">
        <v>39147</v>
      </c>
      <c r="B5027" t="s">
        <v>338</v>
      </c>
      <c r="C5027" t="s">
        <v>62</v>
      </c>
      <c r="D5027">
        <v>41069</v>
      </c>
      <c r="E5027" t="s">
        <v>380</v>
      </c>
    </row>
    <row r="5028" spans="1:5" x14ac:dyDescent="0.25">
      <c r="A5028" s="279">
        <v>39147</v>
      </c>
      <c r="B5028" t="s">
        <v>338</v>
      </c>
      <c r="C5028" t="s">
        <v>63</v>
      </c>
      <c r="D5028">
        <v>0</v>
      </c>
      <c r="E5028" t="s">
        <v>378</v>
      </c>
    </row>
    <row r="5029" spans="1:5" x14ac:dyDescent="0.25">
      <c r="A5029" s="279">
        <v>39147</v>
      </c>
      <c r="B5029" t="s">
        <v>338</v>
      </c>
      <c r="C5029" t="s">
        <v>64</v>
      </c>
      <c r="D5029">
        <v>28170</v>
      </c>
      <c r="E5029" t="s">
        <v>380</v>
      </c>
    </row>
    <row r="5030" spans="1:5" x14ac:dyDescent="0.25">
      <c r="A5030" s="279">
        <v>39147</v>
      </c>
      <c r="B5030" t="s">
        <v>338</v>
      </c>
      <c r="C5030" t="s">
        <v>65</v>
      </c>
      <c r="D5030">
        <v>0</v>
      </c>
      <c r="E5030" t="s">
        <v>378</v>
      </c>
    </row>
    <row r="5031" spans="1:5" x14ac:dyDescent="0.25">
      <c r="A5031" s="279">
        <v>39147</v>
      </c>
      <c r="B5031" t="s">
        <v>338</v>
      </c>
      <c r="C5031" t="s">
        <v>66</v>
      </c>
      <c r="D5031">
        <v>0</v>
      </c>
      <c r="E5031" t="s">
        <v>380</v>
      </c>
    </row>
    <row r="5032" spans="1:5" x14ac:dyDescent="0.25">
      <c r="A5032" s="279">
        <v>39147</v>
      </c>
      <c r="B5032" t="s">
        <v>338</v>
      </c>
      <c r="C5032" t="s">
        <v>120</v>
      </c>
      <c r="D5032">
        <v>0</v>
      </c>
      <c r="E5032" t="s">
        <v>378</v>
      </c>
    </row>
    <row r="5033" spans="1:5" x14ac:dyDescent="0.25">
      <c r="A5033" s="279">
        <v>39147</v>
      </c>
      <c r="B5033" t="s">
        <v>338</v>
      </c>
      <c r="C5033" t="s">
        <v>121</v>
      </c>
      <c r="D5033">
        <v>20026</v>
      </c>
      <c r="E5033" t="s">
        <v>380</v>
      </c>
    </row>
    <row r="5034" spans="1:5" x14ac:dyDescent="0.25">
      <c r="A5034" s="279">
        <v>39147</v>
      </c>
      <c r="B5034" t="s">
        <v>338</v>
      </c>
      <c r="C5034" t="s">
        <v>67</v>
      </c>
      <c r="D5034">
        <v>0</v>
      </c>
      <c r="E5034" t="s">
        <v>378</v>
      </c>
    </row>
    <row r="5035" spans="1:5" x14ac:dyDescent="0.25">
      <c r="A5035" s="279">
        <v>39147</v>
      </c>
      <c r="B5035" t="s">
        <v>338</v>
      </c>
      <c r="C5035" t="s">
        <v>68</v>
      </c>
      <c r="D5035">
        <v>0</v>
      </c>
      <c r="E5035" t="s">
        <v>380</v>
      </c>
    </row>
    <row r="5036" spans="1:5" x14ac:dyDescent="0.25">
      <c r="A5036" s="279">
        <v>39147</v>
      </c>
      <c r="B5036" t="s">
        <v>338</v>
      </c>
      <c r="C5036" t="s">
        <v>69</v>
      </c>
      <c r="D5036">
        <v>34582</v>
      </c>
      <c r="E5036" t="s">
        <v>379</v>
      </c>
    </row>
    <row r="5037" spans="1:5" x14ac:dyDescent="0.25">
      <c r="A5037" s="279">
        <v>39147</v>
      </c>
      <c r="B5037" t="s">
        <v>338</v>
      </c>
      <c r="C5037" t="s">
        <v>70</v>
      </c>
      <c r="D5037">
        <v>0</v>
      </c>
      <c r="E5037" t="s">
        <v>379</v>
      </c>
    </row>
    <row r="5038" spans="1:5" x14ac:dyDescent="0.25">
      <c r="A5038" s="279">
        <v>39147</v>
      </c>
      <c r="B5038" t="s">
        <v>338</v>
      </c>
      <c r="C5038" t="s">
        <v>80</v>
      </c>
      <c r="D5038">
        <v>0</v>
      </c>
      <c r="E5038" t="s">
        <v>379</v>
      </c>
    </row>
    <row r="5039" spans="1:5" x14ac:dyDescent="0.25">
      <c r="A5039" s="279">
        <v>39147</v>
      </c>
      <c r="B5039" t="s">
        <v>339</v>
      </c>
      <c r="C5039" t="s">
        <v>71</v>
      </c>
      <c r="D5039">
        <v>0</v>
      </c>
      <c r="E5039" t="s">
        <v>378</v>
      </c>
    </row>
    <row r="5040" spans="1:5" x14ac:dyDescent="0.25">
      <c r="A5040" s="279">
        <v>39147</v>
      </c>
      <c r="B5040" t="s">
        <v>339</v>
      </c>
      <c r="C5040" t="s">
        <v>72</v>
      </c>
      <c r="D5040">
        <v>2879</v>
      </c>
      <c r="E5040" t="s">
        <v>380</v>
      </c>
    </row>
    <row r="5041" spans="1:5" x14ac:dyDescent="0.25">
      <c r="A5041" s="279">
        <v>39147</v>
      </c>
      <c r="B5041" t="s">
        <v>339</v>
      </c>
      <c r="C5041" t="s">
        <v>73</v>
      </c>
      <c r="D5041">
        <v>0</v>
      </c>
      <c r="E5041" t="s">
        <v>378</v>
      </c>
    </row>
    <row r="5042" spans="1:5" x14ac:dyDescent="0.25">
      <c r="A5042" s="279">
        <v>39147</v>
      </c>
      <c r="B5042" t="s">
        <v>339</v>
      </c>
      <c r="C5042" t="s">
        <v>74</v>
      </c>
      <c r="D5042">
        <v>52849</v>
      </c>
      <c r="E5042" t="s">
        <v>380</v>
      </c>
    </row>
    <row r="5043" spans="1:5" x14ac:dyDescent="0.25">
      <c r="A5043" s="279">
        <v>39147</v>
      </c>
      <c r="B5043" t="s">
        <v>339</v>
      </c>
      <c r="C5043" t="s">
        <v>75</v>
      </c>
      <c r="D5043">
        <v>14949</v>
      </c>
      <c r="E5043" t="s">
        <v>378</v>
      </c>
    </row>
    <row r="5044" spans="1:5" x14ac:dyDescent="0.25">
      <c r="A5044" s="279">
        <v>39147</v>
      </c>
      <c r="B5044" t="s">
        <v>339</v>
      </c>
      <c r="C5044" t="s">
        <v>76</v>
      </c>
      <c r="D5044">
        <v>33605</v>
      </c>
      <c r="E5044" t="s">
        <v>380</v>
      </c>
    </row>
    <row r="5045" spans="1:5" x14ac:dyDescent="0.25">
      <c r="A5045" s="279">
        <v>39147</v>
      </c>
      <c r="B5045" t="s">
        <v>339</v>
      </c>
      <c r="C5045" t="s">
        <v>77</v>
      </c>
      <c r="D5045">
        <v>7240</v>
      </c>
      <c r="E5045" t="s">
        <v>378</v>
      </c>
    </row>
    <row r="5046" spans="1:5" x14ac:dyDescent="0.25">
      <c r="A5046" s="279">
        <v>39147</v>
      </c>
      <c r="B5046" t="s">
        <v>339</v>
      </c>
      <c r="C5046" t="s">
        <v>78</v>
      </c>
      <c r="D5046">
        <v>14000</v>
      </c>
      <c r="E5046" t="s">
        <v>380</v>
      </c>
    </row>
    <row r="5047" spans="1:5" x14ac:dyDescent="0.25">
      <c r="A5047" s="279">
        <v>39147</v>
      </c>
      <c r="B5047" t="s">
        <v>339</v>
      </c>
      <c r="C5047" t="s">
        <v>79</v>
      </c>
      <c r="D5047">
        <v>113045</v>
      </c>
      <c r="E5047" t="s">
        <v>379</v>
      </c>
    </row>
    <row r="5048" spans="1:5" x14ac:dyDescent="0.25">
      <c r="A5048" s="279">
        <v>39147</v>
      </c>
      <c r="B5048" t="s">
        <v>339</v>
      </c>
      <c r="C5048" t="s">
        <v>70</v>
      </c>
      <c r="D5048">
        <v>0</v>
      </c>
      <c r="E5048" t="s">
        <v>379</v>
      </c>
    </row>
    <row r="5049" spans="1:5" x14ac:dyDescent="0.25">
      <c r="A5049" s="279">
        <v>39147</v>
      </c>
      <c r="B5049" t="s">
        <v>339</v>
      </c>
      <c r="C5049" t="s">
        <v>63</v>
      </c>
      <c r="D5049">
        <v>0</v>
      </c>
      <c r="E5049" t="s">
        <v>378</v>
      </c>
    </row>
    <row r="5050" spans="1:5" x14ac:dyDescent="0.25">
      <c r="A5050" s="279">
        <v>39147</v>
      </c>
      <c r="B5050" t="s">
        <v>339</v>
      </c>
      <c r="C5050" t="s">
        <v>80</v>
      </c>
      <c r="D5050">
        <v>133</v>
      </c>
      <c r="E5050" t="s">
        <v>379</v>
      </c>
    </row>
    <row r="5051" spans="1:5" x14ac:dyDescent="0.25">
      <c r="A5051" s="279">
        <v>39148</v>
      </c>
      <c r="B5051" t="s">
        <v>338</v>
      </c>
      <c r="C5051" t="s">
        <v>59</v>
      </c>
      <c r="D5051">
        <v>0</v>
      </c>
      <c r="E5051" t="s">
        <v>378</v>
      </c>
    </row>
    <row r="5052" spans="1:5" x14ac:dyDescent="0.25">
      <c r="A5052" s="279">
        <v>39148</v>
      </c>
      <c r="B5052" t="s">
        <v>338</v>
      </c>
      <c r="C5052" t="s">
        <v>60</v>
      </c>
      <c r="D5052">
        <v>4373</v>
      </c>
      <c r="E5052" t="s">
        <v>379</v>
      </c>
    </row>
    <row r="5053" spans="1:5" x14ac:dyDescent="0.25">
      <c r="A5053" s="279">
        <v>39148</v>
      </c>
      <c r="B5053" t="s">
        <v>338</v>
      </c>
      <c r="C5053" t="s">
        <v>61</v>
      </c>
      <c r="D5053">
        <v>0</v>
      </c>
      <c r="E5053" t="s">
        <v>378</v>
      </c>
    </row>
    <row r="5054" spans="1:5" x14ac:dyDescent="0.25">
      <c r="A5054" s="279">
        <v>39148</v>
      </c>
      <c r="B5054" t="s">
        <v>338</v>
      </c>
      <c r="C5054" t="s">
        <v>62</v>
      </c>
      <c r="D5054">
        <v>38908</v>
      </c>
      <c r="E5054" t="s">
        <v>380</v>
      </c>
    </row>
    <row r="5055" spans="1:5" x14ac:dyDescent="0.25">
      <c r="A5055" s="279">
        <v>39148</v>
      </c>
      <c r="B5055" t="s">
        <v>338</v>
      </c>
      <c r="C5055" t="s">
        <v>63</v>
      </c>
      <c r="D5055">
        <v>0</v>
      </c>
      <c r="E5055" t="s">
        <v>378</v>
      </c>
    </row>
    <row r="5056" spans="1:5" x14ac:dyDescent="0.25">
      <c r="A5056" s="279">
        <v>39148</v>
      </c>
      <c r="B5056" t="s">
        <v>338</v>
      </c>
      <c r="C5056" t="s">
        <v>64</v>
      </c>
      <c r="D5056">
        <v>28224</v>
      </c>
      <c r="E5056" t="s">
        <v>380</v>
      </c>
    </row>
    <row r="5057" spans="1:5" x14ac:dyDescent="0.25">
      <c r="A5057" s="279">
        <v>39148</v>
      </c>
      <c r="B5057" t="s">
        <v>338</v>
      </c>
      <c r="C5057" t="s">
        <v>65</v>
      </c>
      <c r="D5057">
        <v>0</v>
      </c>
      <c r="E5057" t="s">
        <v>378</v>
      </c>
    </row>
    <row r="5058" spans="1:5" x14ac:dyDescent="0.25">
      <c r="A5058" s="279">
        <v>39148</v>
      </c>
      <c r="B5058" t="s">
        <v>338</v>
      </c>
      <c r="C5058" t="s">
        <v>66</v>
      </c>
      <c r="D5058">
        <v>0</v>
      </c>
      <c r="E5058" t="s">
        <v>380</v>
      </c>
    </row>
    <row r="5059" spans="1:5" x14ac:dyDescent="0.25">
      <c r="A5059" s="279">
        <v>39148</v>
      </c>
      <c r="B5059" t="s">
        <v>338</v>
      </c>
      <c r="C5059" t="s">
        <v>120</v>
      </c>
      <c r="D5059">
        <v>0</v>
      </c>
      <c r="E5059" t="s">
        <v>378</v>
      </c>
    </row>
    <row r="5060" spans="1:5" x14ac:dyDescent="0.25">
      <c r="A5060" s="279">
        <v>39148</v>
      </c>
      <c r="B5060" t="s">
        <v>338</v>
      </c>
      <c r="C5060" t="s">
        <v>121</v>
      </c>
      <c r="D5060">
        <v>20064</v>
      </c>
      <c r="E5060" t="s">
        <v>380</v>
      </c>
    </row>
    <row r="5061" spans="1:5" x14ac:dyDescent="0.25">
      <c r="A5061" s="279">
        <v>39148</v>
      </c>
      <c r="B5061" t="s">
        <v>338</v>
      </c>
      <c r="C5061" t="s">
        <v>67</v>
      </c>
      <c r="D5061">
        <v>0</v>
      </c>
      <c r="E5061" t="s">
        <v>378</v>
      </c>
    </row>
    <row r="5062" spans="1:5" x14ac:dyDescent="0.25">
      <c r="A5062" s="279">
        <v>39148</v>
      </c>
      <c r="B5062" t="s">
        <v>338</v>
      </c>
      <c r="C5062" t="s">
        <v>68</v>
      </c>
      <c r="D5062">
        <v>0</v>
      </c>
      <c r="E5062" t="s">
        <v>380</v>
      </c>
    </row>
    <row r="5063" spans="1:5" x14ac:dyDescent="0.25">
      <c r="A5063" s="279">
        <v>39148</v>
      </c>
      <c r="B5063" t="s">
        <v>338</v>
      </c>
      <c r="C5063" t="s">
        <v>69</v>
      </c>
      <c r="D5063">
        <v>34649</v>
      </c>
      <c r="E5063" t="s">
        <v>379</v>
      </c>
    </row>
    <row r="5064" spans="1:5" x14ac:dyDescent="0.25">
      <c r="A5064" s="279">
        <v>39148</v>
      </c>
      <c r="B5064" t="s">
        <v>338</v>
      </c>
      <c r="C5064" t="s">
        <v>70</v>
      </c>
      <c r="D5064">
        <v>0</v>
      </c>
      <c r="E5064" t="s">
        <v>379</v>
      </c>
    </row>
    <row r="5065" spans="1:5" x14ac:dyDescent="0.25">
      <c r="A5065" s="279">
        <v>39148</v>
      </c>
      <c r="B5065" t="s">
        <v>338</v>
      </c>
      <c r="C5065" t="s">
        <v>80</v>
      </c>
      <c r="D5065">
        <v>0</v>
      </c>
      <c r="E5065" t="s">
        <v>379</v>
      </c>
    </row>
    <row r="5066" spans="1:5" x14ac:dyDescent="0.25">
      <c r="A5066" s="279">
        <v>39148</v>
      </c>
      <c r="B5066" t="s">
        <v>339</v>
      </c>
      <c r="C5066" t="s">
        <v>71</v>
      </c>
      <c r="D5066">
        <v>0</v>
      </c>
      <c r="E5066" t="s">
        <v>378</v>
      </c>
    </row>
    <row r="5067" spans="1:5" x14ac:dyDescent="0.25">
      <c r="A5067" s="279">
        <v>39148</v>
      </c>
      <c r="B5067" t="s">
        <v>339</v>
      </c>
      <c r="C5067" t="s">
        <v>72</v>
      </c>
      <c r="D5067">
        <v>2887</v>
      </c>
      <c r="E5067" t="s">
        <v>380</v>
      </c>
    </row>
    <row r="5068" spans="1:5" x14ac:dyDescent="0.25">
      <c r="A5068" s="279">
        <v>39148</v>
      </c>
      <c r="B5068" t="s">
        <v>339</v>
      </c>
      <c r="C5068" t="s">
        <v>73</v>
      </c>
      <c r="D5068">
        <v>0</v>
      </c>
      <c r="E5068" t="s">
        <v>378</v>
      </c>
    </row>
    <row r="5069" spans="1:5" x14ac:dyDescent="0.25">
      <c r="A5069" s="279">
        <v>39148</v>
      </c>
      <c r="B5069" t="s">
        <v>339</v>
      </c>
      <c r="C5069" t="s">
        <v>74</v>
      </c>
      <c r="D5069">
        <v>50369</v>
      </c>
      <c r="E5069" t="s">
        <v>380</v>
      </c>
    </row>
    <row r="5070" spans="1:5" x14ac:dyDescent="0.25">
      <c r="A5070" s="279">
        <v>39148</v>
      </c>
      <c r="B5070" t="s">
        <v>339</v>
      </c>
      <c r="C5070" t="s">
        <v>75</v>
      </c>
      <c r="D5070">
        <v>14992</v>
      </c>
      <c r="E5070" t="s">
        <v>378</v>
      </c>
    </row>
    <row r="5071" spans="1:5" x14ac:dyDescent="0.25">
      <c r="A5071" s="279">
        <v>39148</v>
      </c>
      <c r="B5071" t="s">
        <v>339</v>
      </c>
      <c r="C5071" t="s">
        <v>76</v>
      </c>
      <c r="D5071">
        <v>33702</v>
      </c>
      <c r="E5071" t="s">
        <v>380</v>
      </c>
    </row>
    <row r="5072" spans="1:5" x14ac:dyDescent="0.25">
      <c r="A5072" s="279">
        <v>39148</v>
      </c>
      <c r="B5072" t="s">
        <v>339</v>
      </c>
      <c r="C5072" t="s">
        <v>77</v>
      </c>
      <c r="D5072">
        <v>7261</v>
      </c>
      <c r="E5072" t="s">
        <v>378</v>
      </c>
    </row>
    <row r="5073" spans="1:5" x14ac:dyDescent="0.25">
      <c r="A5073" s="279">
        <v>39148</v>
      </c>
      <c r="B5073" t="s">
        <v>339</v>
      </c>
      <c r="C5073" t="s">
        <v>78</v>
      </c>
      <c r="D5073">
        <v>10845</v>
      </c>
      <c r="E5073" t="s">
        <v>380</v>
      </c>
    </row>
    <row r="5074" spans="1:5" x14ac:dyDescent="0.25">
      <c r="A5074" s="279">
        <v>39148</v>
      </c>
      <c r="B5074" t="s">
        <v>339</v>
      </c>
      <c r="C5074" t="s">
        <v>79</v>
      </c>
      <c r="D5074">
        <v>116577</v>
      </c>
      <c r="E5074" t="s">
        <v>379</v>
      </c>
    </row>
    <row r="5075" spans="1:5" x14ac:dyDescent="0.25">
      <c r="A5075" s="279">
        <v>39148</v>
      </c>
      <c r="B5075" t="s">
        <v>339</v>
      </c>
      <c r="C5075" t="s">
        <v>70</v>
      </c>
      <c r="D5075">
        <v>0</v>
      </c>
      <c r="E5075" t="s">
        <v>379</v>
      </c>
    </row>
    <row r="5076" spans="1:5" x14ac:dyDescent="0.25">
      <c r="A5076" s="279">
        <v>39148</v>
      </c>
      <c r="B5076" t="s">
        <v>339</v>
      </c>
      <c r="C5076" t="s">
        <v>63</v>
      </c>
      <c r="D5076">
        <v>0</v>
      </c>
      <c r="E5076" t="s">
        <v>378</v>
      </c>
    </row>
    <row r="5077" spans="1:5" x14ac:dyDescent="0.25">
      <c r="A5077" s="279">
        <v>39148</v>
      </c>
      <c r="B5077" t="s">
        <v>339</v>
      </c>
      <c r="C5077" t="s">
        <v>80</v>
      </c>
      <c r="D5077">
        <v>133</v>
      </c>
      <c r="E5077" t="s">
        <v>379</v>
      </c>
    </row>
    <row r="5078" spans="1:5" x14ac:dyDescent="0.25">
      <c r="A5078" s="279">
        <v>39149</v>
      </c>
      <c r="B5078" t="s">
        <v>338</v>
      </c>
      <c r="C5078" t="s">
        <v>59</v>
      </c>
      <c r="D5078">
        <v>0</v>
      </c>
      <c r="E5078" t="s">
        <v>378</v>
      </c>
    </row>
    <row r="5079" spans="1:5" x14ac:dyDescent="0.25">
      <c r="A5079" s="279">
        <v>39149</v>
      </c>
      <c r="B5079" t="s">
        <v>338</v>
      </c>
      <c r="C5079" t="s">
        <v>60</v>
      </c>
      <c r="D5079">
        <v>4369</v>
      </c>
      <c r="E5079" t="s">
        <v>379</v>
      </c>
    </row>
    <row r="5080" spans="1:5" x14ac:dyDescent="0.25">
      <c r="A5080" s="279">
        <v>39149</v>
      </c>
      <c r="B5080" t="s">
        <v>338</v>
      </c>
      <c r="C5080" t="s">
        <v>61</v>
      </c>
      <c r="D5080">
        <v>0</v>
      </c>
      <c r="E5080" t="s">
        <v>378</v>
      </c>
    </row>
    <row r="5081" spans="1:5" x14ac:dyDescent="0.25">
      <c r="A5081" s="279">
        <v>39149</v>
      </c>
      <c r="B5081" t="s">
        <v>338</v>
      </c>
      <c r="C5081" t="s">
        <v>62</v>
      </c>
      <c r="D5081">
        <v>38660</v>
      </c>
      <c r="E5081" t="s">
        <v>380</v>
      </c>
    </row>
    <row r="5082" spans="1:5" x14ac:dyDescent="0.25">
      <c r="A5082" s="279">
        <v>39149</v>
      </c>
      <c r="B5082" t="s">
        <v>338</v>
      </c>
      <c r="C5082" t="s">
        <v>63</v>
      </c>
      <c r="D5082">
        <v>0</v>
      </c>
      <c r="E5082" t="s">
        <v>378</v>
      </c>
    </row>
    <row r="5083" spans="1:5" x14ac:dyDescent="0.25">
      <c r="A5083" s="279">
        <v>39149</v>
      </c>
      <c r="B5083" t="s">
        <v>338</v>
      </c>
      <c r="C5083" t="s">
        <v>64</v>
      </c>
      <c r="D5083">
        <v>28197</v>
      </c>
      <c r="E5083" t="s">
        <v>380</v>
      </c>
    </row>
    <row r="5084" spans="1:5" x14ac:dyDescent="0.25">
      <c r="A5084" s="279">
        <v>39149</v>
      </c>
      <c r="B5084" t="s">
        <v>338</v>
      </c>
      <c r="C5084" t="s">
        <v>65</v>
      </c>
      <c r="D5084">
        <v>0</v>
      </c>
      <c r="E5084" t="s">
        <v>378</v>
      </c>
    </row>
    <row r="5085" spans="1:5" x14ac:dyDescent="0.25">
      <c r="A5085" s="279">
        <v>39149</v>
      </c>
      <c r="B5085" t="s">
        <v>338</v>
      </c>
      <c r="C5085" t="s">
        <v>66</v>
      </c>
      <c r="D5085">
        <v>0</v>
      </c>
      <c r="E5085" t="s">
        <v>380</v>
      </c>
    </row>
    <row r="5086" spans="1:5" x14ac:dyDescent="0.25">
      <c r="A5086" s="279">
        <v>39149</v>
      </c>
      <c r="B5086" t="s">
        <v>338</v>
      </c>
      <c r="C5086" t="s">
        <v>120</v>
      </c>
      <c r="D5086">
        <v>0</v>
      </c>
      <c r="E5086" t="s">
        <v>378</v>
      </c>
    </row>
    <row r="5087" spans="1:5" x14ac:dyDescent="0.25">
      <c r="A5087" s="279">
        <v>39149</v>
      </c>
      <c r="B5087" t="s">
        <v>338</v>
      </c>
      <c r="C5087" t="s">
        <v>121</v>
      </c>
      <c r="D5087">
        <v>20045</v>
      </c>
      <c r="E5087" t="s">
        <v>380</v>
      </c>
    </row>
    <row r="5088" spans="1:5" x14ac:dyDescent="0.25">
      <c r="A5088" s="279">
        <v>39149</v>
      </c>
      <c r="B5088" t="s">
        <v>338</v>
      </c>
      <c r="C5088" t="s">
        <v>67</v>
      </c>
      <c r="D5088">
        <v>0</v>
      </c>
      <c r="E5088" t="s">
        <v>378</v>
      </c>
    </row>
    <row r="5089" spans="1:5" x14ac:dyDescent="0.25">
      <c r="A5089" s="279">
        <v>39149</v>
      </c>
      <c r="B5089" t="s">
        <v>338</v>
      </c>
      <c r="C5089" t="s">
        <v>68</v>
      </c>
      <c r="D5089">
        <v>0</v>
      </c>
      <c r="E5089" t="s">
        <v>380</v>
      </c>
    </row>
    <row r="5090" spans="1:5" x14ac:dyDescent="0.25">
      <c r="A5090" s="279">
        <v>39149</v>
      </c>
      <c r="B5090" t="s">
        <v>338</v>
      </c>
      <c r="C5090" t="s">
        <v>69</v>
      </c>
      <c r="D5090">
        <v>34615</v>
      </c>
      <c r="E5090" t="s">
        <v>379</v>
      </c>
    </row>
    <row r="5091" spans="1:5" x14ac:dyDescent="0.25">
      <c r="A5091" s="279">
        <v>39149</v>
      </c>
      <c r="B5091" t="s">
        <v>338</v>
      </c>
      <c r="C5091" t="s">
        <v>70</v>
      </c>
      <c r="D5091">
        <v>0</v>
      </c>
      <c r="E5091" t="s">
        <v>379</v>
      </c>
    </row>
    <row r="5092" spans="1:5" x14ac:dyDescent="0.25">
      <c r="A5092" s="279">
        <v>39149</v>
      </c>
      <c r="B5092" t="s">
        <v>338</v>
      </c>
      <c r="C5092" t="s">
        <v>80</v>
      </c>
      <c r="D5092">
        <v>0</v>
      </c>
      <c r="E5092" t="s">
        <v>379</v>
      </c>
    </row>
    <row r="5093" spans="1:5" x14ac:dyDescent="0.25">
      <c r="A5093" s="279">
        <v>39149</v>
      </c>
      <c r="B5093" t="s">
        <v>339</v>
      </c>
      <c r="C5093" t="s">
        <v>71</v>
      </c>
      <c r="D5093">
        <v>0</v>
      </c>
      <c r="E5093" t="s">
        <v>378</v>
      </c>
    </row>
    <row r="5094" spans="1:5" x14ac:dyDescent="0.25">
      <c r="A5094" s="279">
        <v>39149</v>
      </c>
      <c r="B5094" t="s">
        <v>339</v>
      </c>
      <c r="C5094" t="s">
        <v>72</v>
      </c>
      <c r="D5094">
        <v>2882</v>
      </c>
      <c r="E5094" t="s">
        <v>380</v>
      </c>
    </row>
    <row r="5095" spans="1:5" x14ac:dyDescent="0.25">
      <c r="A5095" s="279">
        <v>39149</v>
      </c>
      <c r="B5095" t="s">
        <v>339</v>
      </c>
      <c r="C5095" t="s">
        <v>73</v>
      </c>
      <c r="D5095">
        <v>0</v>
      </c>
      <c r="E5095" t="s">
        <v>378</v>
      </c>
    </row>
    <row r="5096" spans="1:5" x14ac:dyDescent="0.25">
      <c r="A5096" s="279">
        <v>39149</v>
      </c>
      <c r="B5096" t="s">
        <v>339</v>
      </c>
      <c r="C5096" t="s">
        <v>74</v>
      </c>
      <c r="D5096">
        <v>54166</v>
      </c>
      <c r="E5096" t="s">
        <v>380</v>
      </c>
    </row>
    <row r="5097" spans="1:5" x14ac:dyDescent="0.25">
      <c r="A5097" s="279">
        <v>39149</v>
      </c>
      <c r="B5097" t="s">
        <v>339</v>
      </c>
      <c r="C5097" t="s">
        <v>75</v>
      </c>
      <c r="D5097">
        <v>14963</v>
      </c>
      <c r="E5097" t="s">
        <v>378</v>
      </c>
    </row>
    <row r="5098" spans="1:5" x14ac:dyDescent="0.25">
      <c r="A5098" s="279">
        <v>39149</v>
      </c>
      <c r="B5098" t="s">
        <v>339</v>
      </c>
      <c r="C5098" t="s">
        <v>76</v>
      </c>
      <c r="D5098">
        <v>33637</v>
      </c>
      <c r="E5098" t="s">
        <v>380</v>
      </c>
    </row>
    <row r="5099" spans="1:5" x14ac:dyDescent="0.25">
      <c r="A5099" s="279">
        <v>39149</v>
      </c>
      <c r="B5099" t="s">
        <v>339</v>
      </c>
      <c r="C5099" t="s">
        <v>77</v>
      </c>
      <c r="D5099">
        <v>7247</v>
      </c>
      <c r="E5099" t="s">
        <v>378</v>
      </c>
    </row>
    <row r="5100" spans="1:5" x14ac:dyDescent="0.25">
      <c r="A5100" s="279">
        <v>39149</v>
      </c>
      <c r="B5100" t="s">
        <v>339</v>
      </c>
      <c r="C5100" t="s">
        <v>78</v>
      </c>
      <c r="D5100">
        <v>10824</v>
      </c>
      <c r="E5100" t="s">
        <v>380</v>
      </c>
    </row>
    <row r="5101" spans="1:5" x14ac:dyDescent="0.25">
      <c r="A5101" s="279">
        <v>39149</v>
      </c>
      <c r="B5101" t="s">
        <v>339</v>
      </c>
      <c r="C5101" t="s">
        <v>79</v>
      </c>
      <c r="D5101">
        <v>116338</v>
      </c>
      <c r="E5101" t="s">
        <v>379</v>
      </c>
    </row>
    <row r="5102" spans="1:5" x14ac:dyDescent="0.25">
      <c r="A5102" s="279">
        <v>39149</v>
      </c>
      <c r="B5102" t="s">
        <v>339</v>
      </c>
      <c r="C5102" t="s">
        <v>70</v>
      </c>
      <c r="D5102">
        <v>0</v>
      </c>
      <c r="E5102" t="s">
        <v>379</v>
      </c>
    </row>
    <row r="5103" spans="1:5" x14ac:dyDescent="0.25">
      <c r="A5103" s="279">
        <v>39149</v>
      </c>
      <c r="B5103" t="s">
        <v>339</v>
      </c>
      <c r="C5103" t="s">
        <v>63</v>
      </c>
      <c r="D5103">
        <v>0</v>
      </c>
      <c r="E5103" t="s">
        <v>378</v>
      </c>
    </row>
    <row r="5104" spans="1:5" x14ac:dyDescent="0.25">
      <c r="A5104" s="279">
        <v>39149</v>
      </c>
      <c r="B5104" t="s">
        <v>339</v>
      </c>
      <c r="C5104" t="s">
        <v>80</v>
      </c>
      <c r="D5104">
        <v>133</v>
      </c>
      <c r="E5104" t="s">
        <v>379</v>
      </c>
    </row>
    <row r="5105" spans="1:5" x14ac:dyDescent="0.25">
      <c r="A5105" s="279">
        <v>39150</v>
      </c>
      <c r="B5105" t="s">
        <v>338</v>
      </c>
      <c r="C5105" t="s">
        <v>59</v>
      </c>
      <c r="D5105">
        <v>0</v>
      </c>
      <c r="E5105" t="s">
        <v>378</v>
      </c>
    </row>
    <row r="5106" spans="1:5" x14ac:dyDescent="0.25">
      <c r="A5106" s="279">
        <v>39150</v>
      </c>
      <c r="B5106" t="s">
        <v>338</v>
      </c>
      <c r="C5106" t="s">
        <v>60</v>
      </c>
      <c r="D5106">
        <v>4373</v>
      </c>
      <c r="E5106" t="s">
        <v>379</v>
      </c>
    </row>
    <row r="5107" spans="1:5" x14ac:dyDescent="0.25">
      <c r="A5107" s="279">
        <v>39150</v>
      </c>
      <c r="B5107" t="s">
        <v>338</v>
      </c>
      <c r="C5107" t="s">
        <v>61</v>
      </c>
      <c r="D5107">
        <v>0</v>
      </c>
      <c r="E5107" t="s">
        <v>378</v>
      </c>
    </row>
    <row r="5108" spans="1:5" x14ac:dyDescent="0.25">
      <c r="A5108" s="279">
        <v>39150</v>
      </c>
      <c r="B5108" t="s">
        <v>338</v>
      </c>
      <c r="C5108" t="s">
        <v>62</v>
      </c>
      <c r="D5108">
        <v>0</v>
      </c>
      <c r="E5108" t="s">
        <v>380</v>
      </c>
    </row>
    <row r="5109" spans="1:5" x14ac:dyDescent="0.25">
      <c r="A5109" s="279">
        <v>39150</v>
      </c>
      <c r="B5109" t="s">
        <v>338</v>
      </c>
      <c r="C5109" t="s">
        <v>63</v>
      </c>
      <c r="D5109">
        <v>0</v>
      </c>
      <c r="E5109" t="s">
        <v>378</v>
      </c>
    </row>
    <row r="5110" spans="1:5" x14ac:dyDescent="0.25">
      <c r="A5110" s="279">
        <v>39150</v>
      </c>
      <c r="B5110" t="s">
        <v>338</v>
      </c>
      <c r="C5110" t="s">
        <v>64</v>
      </c>
      <c r="D5110">
        <v>28224</v>
      </c>
      <c r="E5110" t="s">
        <v>380</v>
      </c>
    </row>
    <row r="5111" spans="1:5" x14ac:dyDescent="0.25">
      <c r="A5111" s="279">
        <v>39150</v>
      </c>
      <c r="B5111" t="s">
        <v>338</v>
      </c>
      <c r="C5111" t="s">
        <v>65</v>
      </c>
      <c r="D5111">
        <v>0</v>
      </c>
      <c r="E5111" t="s">
        <v>378</v>
      </c>
    </row>
    <row r="5112" spans="1:5" x14ac:dyDescent="0.25">
      <c r="A5112" s="279">
        <v>39150</v>
      </c>
      <c r="B5112" t="s">
        <v>338</v>
      </c>
      <c r="C5112" t="s">
        <v>66</v>
      </c>
      <c r="D5112">
        <v>0</v>
      </c>
      <c r="E5112" t="s">
        <v>380</v>
      </c>
    </row>
    <row r="5113" spans="1:5" x14ac:dyDescent="0.25">
      <c r="A5113" s="279">
        <v>39150</v>
      </c>
      <c r="B5113" t="s">
        <v>338</v>
      </c>
      <c r="C5113" t="s">
        <v>120</v>
      </c>
      <c r="D5113">
        <v>0</v>
      </c>
      <c r="E5113" t="s">
        <v>378</v>
      </c>
    </row>
    <row r="5114" spans="1:5" x14ac:dyDescent="0.25">
      <c r="A5114" s="279">
        <v>39150</v>
      </c>
      <c r="B5114" t="s">
        <v>338</v>
      </c>
      <c r="C5114" t="s">
        <v>121</v>
      </c>
      <c r="D5114">
        <v>7270</v>
      </c>
      <c r="E5114" t="s">
        <v>380</v>
      </c>
    </row>
    <row r="5115" spans="1:5" x14ac:dyDescent="0.25">
      <c r="A5115" s="279">
        <v>39150</v>
      </c>
      <c r="B5115" t="s">
        <v>338</v>
      </c>
      <c r="C5115" t="s">
        <v>67</v>
      </c>
      <c r="D5115">
        <v>0</v>
      </c>
      <c r="E5115" t="s">
        <v>378</v>
      </c>
    </row>
    <row r="5116" spans="1:5" x14ac:dyDescent="0.25">
      <c r="A5116" s="279">
        <v>39150</v>
      </c>
      <c r="B5116" t="s">
        <v>338</v>
      </c>
      <c r="C5116" t="s">
        <v>68</v>
      </c>
      <c r="D5116">
        <v>0</v>
      </c>
      <c r="E5116" t="s">
        <v>380</v>
      </c>
    </row>
    <row r="5117" spans="1:5" x14ac:dyDescent="0.25">
      <c r="A5117" s="279">
        <v>39150</v>
      </c>
      <c r="B5117" t="s">
        <v>338</v>
      </c>
      <c r="C5117" t="s">
        <v>69</v>
      </c>
      <c r="D5117">
        <v>34649</v>
      </c>
      <c r="E5117" t="s">
        <v>379</v>
      </c>
    </row>
    <row r="5118" spans="1:5" x14ac:dyDescent="0.25">
      <c r="A5118" s="279">
        <v>39150</v>
      </c>
      <c r="B5118" t="s">
        <v>338</v>
      </c>
      <c r="C5118" t="s">
        <v>70</v>
      </c>
      <c r="D5118">
        <v>0</v>
      </c>
      <c r="E5118" t="s">
        <v>379</v>
      </c>
    </row>
    <row r="5119" spans="1:5" x14ac:dyDescent="0.25">
      <c r="A5119" s="279">
        <v>39150</v>
      </c>
      <c r="B5119" t="s">
        <v>338</v>
      </c>
      <c r="C5119" t="s">
        <v>80</v>
      </c>
      <c r="D5119">
        <v>0</v>
      </c>
      <c r="E5119" t="s">
        <v>379</v>
      </c>
    </row>
    <row r="5120" spans="1:5" x14ac:dyDescent="0.25">
      <c r="A5120" s="279">
        <v>39150</v>
      </c>
      <c r="B5120" t="s">
        <v>339</v>
      </c>
      <c r="C5120" t="s">
        <v>71</v>
      </c>
      <c r="D5120">
        <v>0</v>
      </c>
      <c r="E5120" t="s">
        <v>378</v>
      </c>
    </row>
    <row r="5121" spans="1:5" x14ac:dyDescent="0.25">
      <c r="A5121" s="279">
        <v>39150</v>
      </c>
      <c r="B5121" t="s">
        <v>339</v>
      </c>
      <c r="C5121" t="s">
        <v>72</v>
      </c>
      <c r="D5121">
        <v>2896</v>
      </c>
      <c r="E5121" t="s">
        <v>380</v>
      </c>
    </row>
    <row r="5122" spans="1:5" x14ac:dyDescent="0.25">
      <c r="A5122" s="279">
        <v>39150</v>
      </c>
      <c r="B5122" t="s">
        <v>339</v>
      </c>
      <c r="C5122" t="s">
        <v>73</v>
      </c>
      <c r="D5122">
        <v>0</v>
      </c>
      <c r="E5122" t="s">
        <v>378</v>
      </c>
    </row>
    <row r="5123" spans="1:5" x14ac:dyDescent="0.25">
      <c r="A5123" s="279">
        <v>39150</v>
      </c>
      <c r="B5123" t="s">
        <v>339</v>
      </c>
      <c r="C5123" t="s">
        <v>74</v>
      </c>
      <c r="D5123">
        <v>43436</v>
      </c>
      <c r="E5123" t="s">
        <v>380</v>
      </c>
    </row>
    <row r="5124" spans="1:5" x14ac:dyDescent="0.25">
      <c r="A5124" s="279">
        <v>39150</v>
      </c>
      <c r="B5124" t="s">
        <v>339</v>
      </c>
      <c r="C5124" t="s">
        <v>75</v>
      </c>
      <c r="D5124">
        <v>15035</v>
      </c>
      <c r="E5124" t="s">
        <v>378</v>
      </c>
    </row>
    <row r="5125" spans="1:5" x14ac:dyDescent="0.25">
      <c r="A5125" s="279">
        <v>39150</v>
      </c>
      <c r="B5125" t="s">
        <v>339</v>
      </c>
      <c r="C5125" t="s">
        <v>76</v>
      </c>
      <c r="D5125">
        <v>33799</v>
      </c>
      <c r="E5125" t="s">
        <v>380</v>
      </c>
    </row>
    <row r="5126" spans="1:5" x14ac:dyDescent="0.25">
      <c r="A5126" s="279">
        <v>39150</v>
      </c>
      <c r="B5126" t="s">
        <v>339</v>
      </c>
      <c r="C5126" t="s">
        <v>77</v>
      </c>
      <c r="D5126">
        <v>7282</v>
      </c>
      <c r="E5126" t="s">
        <v>378</v>
      </c>
    </row>
    <row r="5127" spans="1:5" x14ac:dyDescent="0.25">
      <c r="A5127" s="279">
        <v>39150</v>
      </c>
      <c r="B5127" t="s">
        <v>339</v>
      </c>
      <c r="C5127" t="s">
        <v>78</v>
      </c>
      <c r="D5127">
        <v>10599</v>
      </c>
      <c r="E5127" t="s">
        <v>380</v>
      </c>
    </row>
    <row r="5128" spans="1:5" x14ac:dyDescent="0.25">
      <c r="A5128" s="279">
        <v>39150</v>
      </c>
      <c r="B5128" t="s">
        <v>339</v>
      </c>
      <c r="C5128" t="s">
        <v>79</v>
      </c>
      <c r="D5128">
        <v>116915</v>
      </c>
      <c r="E5128" t="s">
        <v>379</v>
      </c>
    </row>
    <row r="5129" spans="1:5" x14ac:dyDescent="0.25">
      <c r="A5129" s="279">
        <v>39150</v>
      </c>
      <c r="B5129" t="s">
        <v>339</v>
      </c>
      <c r="C5129" t="s">
        <v>70</v>
      </c>
      <c r="D5129">
        <v>0</v>
      </c>
      <c r="E5129" t="s">
        <v>379</v>
      </c>
    </row>
    <row r="5130" spans="1:5" x14ac:dyDescent="0.25">
      <c r="A5130" s="279">
        <v>39150</v>
      </c>
      <c r="B5130" t="s">
        <v>339</v>
      </c>
      <c r="C5130" t="s">
        <v>63</v>
      </c>
      <c r="D5130">
        <v>0</v>
      </c>
      <c r="E5130" t="s">
        <v>378</v>
      </c>
    </row>
    <row r="5131" spans="1:5" x14ac:dyDescent="0.25">
      <c r="A5131" s="279">
        <v>39150</v>
      </c>
      <c r="B5131" t="s">
        <v>339</v>
      </c>
      <c r="C5131" t="s">
        <v>80</v>
      </c>
      <c r="D5131">
        <v>133</v>
      </c>
      <c r="E5131" t="s">
        <v>379</v>
      </c>
    </row>
    <row r="5132" spans="1:5" x14ac:dyDescent="0.25">
      <c r="A5132" s="279">
        <v>39151</v>
      </c>
      <c r="B5132" t="s">
        <v>338</v>
      </c>
      <c r="C5132" t="s">
        <v>59</v>
      </c>
      <c r="D5132">
        <v>0</v>
      </c>
      <c r="E5132" t="s">
        <v>378</v>
      </c>
    </row>
    <row r="5133" spans="1:5" x14ac:dyDescent="0.25">
      <c r="A5133" s="279">
        <v>39151</v>
      </c>
      <c r="B5133" t="s">
        <v>338</v>
      </c>
      <c r="C5133" t="s">
        <v>60</v>
      </c>
      <c r="D5133">
        <v>4373</v>
      </c>
      <c r="E5133" t="s">
        <v>379</v>
      </c>
    </row>
    <row r="5134" spans="1:5" x14ac:dyDescent="0.25">
      <c r="A5134" s="279">
        <v>39151</v>
      </c>
      <c r="B5134" t="s">
        <v>338</v>
      </c>
      <c r="C5134" t="s">
        <v>61</v>
      </c>
      <c r="D5134">
        <v>0</v>
      </c>
      <c r="E5134" t="s">
        <v>378</v>
      </c>
    </row>
    <row r="5135" spans="1:5" x14ac:dyDescent="0.25">
      <c r="A5135" s="279">
        <v>39151</v>
      </c>
      <c r="B5135" t="s">
        <v>338</v>
      </c>
      <c r="C5135" t="s">
        <v>62</v>
      </c>
      <c r="D5135">
        <v>0</v>
      </c>
      <c r="E5135" t="s">
        <v>380</v>
      </c>
    </row>
    <row r="5136" spans="1:5" x14ac:dyDescent="0.25">
      <c r="A5136" s="279">
        <v>39151</v>
      </c>
      <c r="B5136" t="s">
        <v>338</v>
      </c>
      <c r="C5136" t="s">
        <v>63</v>
      </c>
      <c r="D5136">
        <v>0</v>
      </c>
      <c r="E5136" t="s">
        <v>378</v>
      </c>
    </row>
    <row r="5137" spans="1:5" x14ac:dyDescent="0.25">
      <c r="A5137" s="279">
        <v>39151</v>
      </c>
      <c r="B5137" t="s">
        <v>338</v>
      </c>
      <c r="C5137" t="s">
        <v>64</v>
      </c>
      <c r="D5137">
        <v>28224</v>
      </c>
      <c r="E5137" t="s">
        <v>380</v>
      </c>
    </row>
    <row r="5138" spans="1:5" x14ac:dyDescent="0.25">
      <c r="A5138" s="279">
        <v>39151</v>
      </c>
      <c r="B5138" t="s">
        <v>338</v>
      </c>
      <c r="C5138" t="s">
        <v>65</v>
      </c>
      <c r="D5138">
        <v>0</v>
      </c>
      <c r="E5138" t="s">
        <v>378</v>
      </c>
    </row>
    <row r="5139" spans="1:5" x14ac:dyDescent="0.25">
      <c r="A5139" s="279">
        <v>39151</v>
      </c>
      <c r="B5139" t="s">
        <v>338</v>
      </c>
      <c r="C5139" t="s">
        <v>66</v>
      </c>
      <c r="D5139">
        <v>0</v>
      </c>
      <c r="E5139" t="s">
        <v>380</v>
      </c>
    </row>
    <row r="5140" spans="1:5" x14ac:dyDescent="0.25">
      <c r="A5140" s="279">
        <v>39151</v>
      </c>
      <c r="B5140" t="s">
        <v>338</v>
      </c>
      <c r="C5140" t="s">
        <v>120</v>
      </c>
      <c r="D5140">
        <v>0</v>
      </c>
      <c r="E5140" t="s">
        <v>378</v>
      </c>
    </row>
    <row r="5141" spans="1:5" x14ac:dyDescent="0.25">
      <c r="A5141" s="279">
        <v>39151</v>
      </c>
      <c r="B5141" t="s">
        <v>338</v>
      </c>
      <c r="C5141" t="s">
        <v>121</v>
      </c>
      <c r="D5141">
        <v>159</v>
      </c>
      <c r="E5141" t="s">
        <v>380</v>
      </c>
    </row>
    <row r="5142" spans="1:5" x14ac:dyDescent="0.25">
      <c r="A5142" s="279">
        <v>39151</v>
      </c>
      <c r="B5142" t="s">
        <v>338</v>
      </c>
      <c r="C5142" t="s">
        <v>67</v>
      </c>
      <c r="D5142">
        <v>0</v>
      </c>
      <c r="E5142" t="s">
        <v>378</v>
      </c>
    </row>
    <row r="5143" spans="1:5" x14ac:dyDescent="0.25">
      <c r="A5143" s="279">
        <v>39151</v>
      </c>
      <c r="B5143" t="s">
        <v>338</v>
      </c>
      <c r="C5143" t="s">
        <v>68</v>
      </c>
      <c r="D5143">
        <v>0</v>
      </c>
      <c r="E5143" t="s">
        <v>380</v>
      </c>
    </row>
    <row r="5144" spans="1:5" x14ac:dyDescent="0.25">
      <c r="A5144" s="279">
        <v>39151</v>
      </c>
      <c r="B5144" t="s">
        <v>338</v>
      </c>
      <c r="C5144" t="s">
        <v>69</v>
      </c>
      <c r="D5144">
        <v>34649</v>
      </c>
      <c r="E5144" t="s">
        <v>379</v>
      </c>
    </row>
    <row r="5145" spans="1:5" x14ac:dyDescent="0.25">
      <c r="A5145" s="279">
        <v>39151</v>
      </c>
      <c r="B5145" t="s">
        <v>338</v>
      </c>
      <c r="C5145" t="s">
        <v>70</v>
      </c>
      <c r="D5145">
        <v>0</v>
      </c>
      <c r="E5145" t="s">
        <v>379</v>
      </c>
    </row>
    <row r="5146" spans="1:5" x14ac:dyDescent="0.25">
      <c r="A5146" s="279">
        <v>39151</v>
      </c>
      <c r="B5146" t="s">
        <v>338</v>
      </c>
      <c r="C5146" t="s">
        <v>80</v>
      </c>
      <c r="D5146">
        <v>0</v>
      </c>
      <c r="E5146" t="s">
        <v>379</v>
      </c>
    </row>
    <row r="5147" spans="1:5" x14ac:dyDescent="0.25">
      <c r="A5147" s="279">
        <v>39151</v>
      </c>
      <c r="B5147" t="s">
        <v>339</v>
      </c>
      <c r="C5147" t="s">
        <v>71</v>
      </c>
      <c r="D5147">
        <v>0</v>
      </c>
      <c r="E5147" t="s">
        <v>378</v>
      </c>
    </row>
    <row r="5148" spans="1:5" x14ac:dyDescent="0.25">
      <c r="A5148" s="279">
        <v>39151</v>
      </c>
      <c r="B5148" t="s">
        <v>339</v>
      </c>
      <c r="C5148" t="s">
        <v>72</v>
      </c>
      <c r="D5148">
        <v>0</v>
      </c>
      <c r="E5148" t="s">
        <v>380</v>
      </c>
    </row>
    <row r="5149" spans="1:5" x14ac:dyDescent="0.25">
      <c r="A5149" s="279">
        <v>39151</v>
      </c>
      <c r="B5149" t="s">
        <v>339</v>
      </c>
      <c r="C5149" t="s">
        <v>73</v>
      </c>
      <c r="D5149">
        <v>9053</v>
      </c>
      <c r="E5149" t="s">
        <v>378</v>
      </c>
    </row>
    <row r="5150" spans="1:5" x14ac:dyDescent="0.25">
      <c r="A5150" s="279">
        <v>39151</v>
      </c>
      <c r="B5150" t="s">
        <v>339</v>
      </c>
      <c r="C5150" t="s">
        <v>74</v>
      </c>
      <c r="D5150">
        <v>0</v>
      </c>
      <c r="E5150" t="s">
        <v>380</v>
      </c>
    </row>
    <row r="5151" spans="1:5" x14ac:dyDescent="0.25">
      <c r="A5151" s="279">
        <v>39151</v>
      </c>
      <c r="B5151" t="s">
        <v>339</v>
      </c>
      <c r="C5151" t="s">
        <v>75</v>
      </c>
      <c r="D5151">
        <v>15006</v>
      </c>
      <c r="E5151" t="s">
        <v>378</v>
      </c>
    </row>
    <row r="5152" spans="1:5" x14ac:dyDescent="0.25">
      <c r="A5152" s="279">
        <v>39151</v>
      </c>
      <c r="B5152" t="s">
        <v>339</v>
      </c>
      <c r="C5152" t="s">
        <v>76</v>
      </c>
      <c r="D5152">
        <v>0</v>
      </c>
      <c r="E5152" t="s">
        <v>380</v>
      </c>
    </row>
    <row r="5153" spans="1:5" x14ac:dyDescent="0.25">
      <c r="A5153" s="279">
        <v>39151</v>
      </c>
      <c r="B5153" t="s">
        <v>339</v>
      </c>
      <c r="C5153" t="s">
        <v>77</v>
      </c>
      <c r="D5153">
        <v>7268</v>
      </c>
      <c r="E5153" t="s">
        <v>378</v>
      </c>
    </row>
    <row r="5154" spans="1:5" x14ac:dyDescent="0.25">
      <c r="A5154" s="279">
        <v>39151</v>
      </c>
      <c r="B5154" t="s">
        <v>339</v>
      </c>
      <c r="C5154" t="s">
        <v>78</v>
      </c>
      <c r="D5154">
        <v>0</v>
      </c>
      <c r="E5154" t="s">
        <v>380</v>
      </c>
    </row>
    <row r="5155" spans="1:5" x14ac:dyDescent="0.25">
      <c r="A5155" s="279">
        <v>39151</v>
      </c>
      <c r="B5155" t="s">
        <v>339</v>
      </c>
      <c r="C5155" t="s">
        <v>79</v>
      </c>
      <c r="D5155">
        <v>103744</v>
      </c>
      <c r="E5155" t="s">
        <v>379</v>
      </c>
    </row>
    <row r="5156" spans="1:5" x14ac:dyDescent="0.25">
      <c r="A5156" s="279">
        <v>39151</v>
      </c>
      <c r="B5156" t="s">
        <v>339</v>
      </c>
      <c r="C5156" t="s">
        <v>70</v>
      </c>
      <c r="D5156">
        <v>0</v>
      </c>
      <c r="E5156" t="s">
        <v>379</v>
      </c>
    </row>
    <row r="5157" spans="1:5" x14ac:dyDescent="0.25">
      <c r="A5157" s="279">
        <v>39151</v>
      </c>
      <c r="B5157" t="s">
        <v>339</v>
      </c>
      <c r="C5157" t="s">
        <v>63</v>
      </c>
      <c r="D5157">
        <v>0</v>
      </c>
      <c r="E5157" t="s">
        <v>378</v>
      </c>
    </row>
    <row r="5158" spans="1:5" x14ac:dyDescent="0.25">
      <c r="A5158" s="279">
        <v>39151</v>
      </c>
      <c r="B5158" t="s">
        <v>339</v>
      </c>
      <c r="C5158" t="s">
        <v>80</v>
      </c>
      <c r="D5158">
        <v>478</v>
      </c>
      <c r="E5158" t="s">
        <v>379</v>
      </c>
    </row>
    <row r="5159" spans="1:5" x14ac:dyDescent="0.25">
      <c r="A5159" s="279">
        <v>39152</v>
      </c>
      <c r="B5159" t="s">
        <v>338</v>
      </c>
      <c r="C5159" t="s">
        <v>59</v>
      </c>
      <c r="D5159">
        <v>0</v>
      </c>
      <c r="E5159" t="s">
        <v>378</v>
      </c>
    </row>
    <row r="5160" spans="1:5" x14ac:dyDescent="0.25">
      <c r="A5160" s="279">
        <v>39152</v>
      </c>
      <c r="B5160" t="s">
        <v>338</v>
      </c>
      <c r="C5160" t="s">
        <v>60</v>
      </c>
      <c r="D5160">
        <v>4373</v>
      </c>
      <c r="E5160" t="s">
        <v>379</v>
      </c>
    </row>
    <row r="5161" spans="1:5" x14ac:dyDescent="0.25">
      <c r="A5161" s="279">
        <v>39152</v>
      </c>
      <c r="B5161" t="s">
        <v>338</v>
      </c>
      <c r="C5161" t="s">
        <v>61</v>
      </c>
      <c r="D5161">
        <v>0</v>
      </c>
      <c r="E5161" t="s">
        <v>378</v>
      </c>
    </row>
    <row r="5162" spans="1:5" x14ac:dyDescent="0.25">
      <c r="A5162" s="279">
        <v>39152</v>
      </c>
      <c r="B5162" t="s">
        <v>338</v>
      </c>
      <c r="C5162" t="s">
        <v>62</v>
      </c>
      <c r="D5162">
        <v>0</v>
      </c>
      <c r="E5162" t="s">
        <v>380</v>
      </c>
    </row>
    <row r="5163" spans="1:5" x14ac:dyDescent="0.25">
      <c r="A5163" s="279">
        <v>39152</v>
      </c>
      <c r="B5163" t="s">
        <v>338</v>
      </c>
      <c r="C5163" t="s">
        <v>63</v>
      </c>
      <c r="D5163">
        <v>0</v>
      </c>
      <c r="E5163" t="s">
        <v>378</v>
      </c>
    </row>
    <row r="5164" spans="1:5" x14ac:dyDescent="0.25">
      <c r="A5164" s="279">
        <v>39152</v>
      </c>
      <c r="B5164" t="s">
        <v>338</v>
      </c>
      <c r="C5164" t="s">
        <v>64</v>
      </c>
      <c r="D5164">
        <v>28224</v>
      </c>
      <c r="E5164" t="s">
        <v>380</v>
      </c>
    </row>
    <row r="5165" spans="1:5" x14ac:dyDescent="0.25">
      <c r="A5165" s="279">
        <v>39152</v>
      </c>
      <c r="B5165" t="s">
        <v>338</v>
      </c>
      <c r="C5165" t="s">
        <v>65</v>
      </c>
      <c r="D5165">
        <v>0</v>
      </c>
      <c r="E5165" t="s">
        <v>378</v>
      </c>
    </row>
    <row r="5166" spans="1:5" x14ac:dyDescent="0.25">
      <c r="A5166" s="279">
        <v>39152</v>
      </c>
      <c r="B5166" t="s">
        <v>338</v>
      </c>
      <c r="C5166" t="s">
        <v>66</v>
      </c>
      <c r="D5166">
        <v>0</v>
      </c>
      <c r="E5166" t="s">
        <v>380</v>
      </c>
    </row>
    <row r="5167" spans="1:5" x14ac:dyDescent="0.25">
      <c r="A5167" s="279">
        <v>39152</v>
      </c>
      <c r="B5167" t="s">
        <v>338</v>
      </c>
      <c r="C5167" t="s">
        <v>120</v>
      </c>
      <c r="D5167">
        <v>0</v>
      </c>
      <c r="E5167" t="s">
        <v>378</v>
      </c>
    </row>
    <row r="5168" spans="1:5" x14ac:dyDescent="0.25">
      <c r="A5168" s="279">
        <v>39152</v>
      </c>
      <c r="B5168" t="s">
        <v>338</v>
      </c>
      <c r="C5168" t="s">
        <v>121</v>
      </c>
      <c r="D5168">
        <v>1691</v>
      </c>
      <c r="E5168" t="s">
        <v>380</v>
      </c>
    </row>
    <row r="5169" spans="1:5" x14ac:dyDescent="0.25">
      <c r="A5169" s="279">
        <v>39152</v>
      </c>
      <c r="B5169" t="s">
        <v>338</v>
      </c>
      <c r="C5169" t="s">
        <v>67</v>
      </c>
      <c r="D5169">
        <v>0</v>
      </c>
      <c r="E5169" t="s">
        <v>378</v>
      </c>
    </row>
    <row r="5170" spans="1:5" x14ac:dyDescent="0.25">
      <c r="A5170" s="279">
        <v>39152</v>
      </c>
      <c r="B5170" t="s">
        <v>338</v>
      </c>
      <c r="C5170" t="s">
        <v>68</v>
      </c>
      <c r="D5170">
        <v>0</v>
      </c>
      <c r="E5170" t="s">
        <v>380</v>
      </c>
    </row>
    <row r="5171" spans="1:5" x14ac:dyDescent="0.25">
      <c r="A5171" s="279">
        <v>39152</v>
      </c>
      <c r="B5171" t="s">
        <v>338</v>
      </c>
      <c r="C5171" t="s">
        <v>69</v>
      </c>
      <c r="D5171">
        <v>34649</v>
      </c>
      <c r="E5171" t="s">
        <v>379</v>
      </c>
    </row>
    <row r="5172" spans="1:5" x14ac:dyDescent="0.25">
      <c r="A5172" s="279">
        <v>39152</v>
      </c>
      <c r="B5172" t="s">
        <v>338</v>
      </c>
      <c r="C5172" t="s">
        <v>70</v>
      </c>
      <c r="D5172">
        <v>0</v>
      </c>
      <c r="E5172" t="s">
        <v>379</v>
      </c>
    </row>
    <row r="5173" spans="1:5" x14ac:dyDescent="0.25">
      <c r="A5173" s="279">
        <v>39152</v>
      </c>
      <c r="B5173" t="s">
        <v>338</v>
      </c>
      <c r="C5173" t="s">
        <v>80</v>
      </c>
      <c r="D5173">
        <v>0</v>
      </c>
      <c r="E5173" t="s">
        <v>379</v>
      </c>
    </row>
    <row r="5174" spans="1:5" x14ac:dyDescent="0.25">
      <c r="A5174" s="279">
        <v>39152</v>
      </c>
      <c r="B5174" t="s">
        <v>339</v>
      </c>
      <c r="C5174" t="s">
        <v>71</v>
      </c>
      <c r="D5174">
        <v>0</v>
      </c>
      <c r="E5174" t="s">
        <v>378</v>
      </c>
    </row>
    <row r="5175" spans="1:5" x14ac:dyDescent="0.25">
      <c r="A5175" s="279">
        <v>39152</v>
      </c>
      <c r="B5175" t="s">
        <v>339</v>
      </c>
      <c r="C5175" t="s">
        <v>72</v>
      </c>
      <c r="D5175">
        <v>2896</v>
      </c>
      <c r="E5175" t="s">
        <v>380</v>
      </c>
    </row>
    <row r="5176" spans="1:5" x14ac:dyDescent="0.25">
      <c r="A5176" s="279">
        <v>39152</v>
      </c>
      <c r="B5176" t="s">
        <v>339</v>
      </c>
      <c r="C5176" t="s">
        <v>73</v>
      </c>
      <c r="D5176">
        <v>0</v>
      </c>
      <c r="E5176" t="s">
        <v>378</v>
      </c>
    </row>
    <row r="5177" spans="1:5" x14ac:dyDescent="0.25">
      <c r="A5177" s="279">
        <v>39152</v>
      </c>
      <c r="B5177" t="s">
        <v>339</v>
      </c>
      <c r="C5177" t="s">
        <v>74</v>
      </c>
      <c r="D5177">
        <v>0</v>
      </c>
      <c r="E5177" t="s">
        <v>380</v>
      </c>
    </row>
    <row r="5178" spans="1:5" x14ac:dyDescent="0.25">
      <c r="A5178" s="279">
        <v>39152</v>
      </c>
      <c r="B5178" t="s">
        <v>339</v>
      </c>
      <c r="C5178" t="s">
        <v>75</v>
      </c>
      <c r="D5178">
        <v>15035</v>
      </c>
      <c r="E5178" t="s">
        <v>378</v>
      </c>
    </row>
    <row r="5179" spans="1:5" x14ac:dyDescent="0.25">
      <c r="A5179" s="279">
        <v>39152</v>
      </c>
      <c r="B5179" t="s">
        <v>339</v>
      </c>
      <c r="C5179" t="s">
        <v>76</v>
      </c>
      <c r="D5179">
        <v>28804</v>
      </c>
      <c r="E5179" t="s">
        <v>380</v>
      </c>
    </row>
    <row r="5180" spans="1:5" x14ac:dyDescent="0.25">
      <c r="A5180" s="279">
        <v>39152</v>
      </c>
      <c r="B5180" t="s">
        <v>339</v>
      </c>
      <c r="C5180" t="s">
        <v>77</v>
      </c>
      <c r="D5180">
        <v>7282</v>
      </c>
      <c r="E5180" t="s">
        <v>378</v>
      </c>
    </row>
    <row r="5181" spans="1:5" x14ac:dyDescent="0.25">
      <c r="A5181" s="279">
        <v>39152</v>
      </c>
      <c r="B5181" t="s">
        <v>339</v>
      </c>
      <c r="C5181" t="s">
        <v>78</v>
      </c>
      <c r="D5181">
        <v>7015</v>
      </c>
      <c r="E5181" t="s">
        <v>380</v>
      </c>
    </row>
    <row r="5182" spans="1:5" x14ac:dyDescent="0.25">
      <c r="A5182" s="279">
        <v>39152</v>
      </c>
      <c r="B5182" t="s">
        <v>339</v>
      </c>
      <c r="C5182" t="s">
        <v>79</v>
      </c>
      <c r="D5182">
        <v>103944</v>
      </c>
      <c r="E5182" t="s">
        <v>379</v>
      </c>
    </row>
    <row r="5183" spans="1:5" x14ac:dyDescent="0.25">
      <c r="A5183" s="279">
        <v>39152</v>
      </c>
      <c r="B5183" t="s">
        <v>339</v>
      </c>
      <c r="C5183" t="s">
        <v>70</v>
      </c>
      <c r="D5183">
        <v>0</v>
      </c>
      <c r="E5183" t="s">
        <v>379</v>
      </c>
    </row>
    <row r="5184" spans="1:5" x14ac:dyDescent="0.25">
      <c r="A5184" s="279">
        <v>39152</v>
      </c>
      <c r="B5184" t="s">
        <v>339</v>
      </c>
      <c r="C5184" t="s">
        <v>63</v>
      </c>
      <c r="D5184">
        <v>0</v>
      </c>
      <c r="E5184" t="s">
        <v>378</v>
      </c>
    </row>
    <row r="5185" spans="1:5" x14ac:dyDescent="0.25">
      <c r="A5185" s="279">
        <v>39152</v>
      </c>
      <c r="B5185" t="s">
        <v>339</v>
      </c>
      <c r="C5185" t="s">
        <v>80</v>
      </c>
      <c r="D5185">
        <v>133</v>
      </c>
      <c r="E5185" t="s">
        <v>379</v>
      </c>
    </row>
    <row r="5186" spans="1:5" x14ac:dyDescent="0.25">
      <c r="A5186" s="279">
        <v>39153</v>
      </c>
      <c r="B5186" t="s">
        <v>338</v>
      </c>
      <c r="C5186" t="s">
        <v>59</v>
      </c>
      <c r="D5186">
        <v>0</v>
      </c>
      <c r="E5186" t="s">
        <v>378</v>
      </c>
    </row>
    <row r="5187" spans="1:5" x14ac:dyDescent="0.25">
      <c r="A5187" s="279">
        <v>39153</v>
      </c>
      <c r="B5187" t="s">
        <v>338</v>
      </c>
      <c r="C5187" t="s">
        <v>60</v>
      </c>
      <c r="D5187">
        <v>4390</v>
      </c>
      <c r="E5187" t="s">
        <v>379</v>
      </c>
    </row>
    <row r="5188" spans="1:5" x14ac:dyDescent="0.25">
      <c r="A5188" s="279">
        <v>39153</v>
      </c>
      <c r="B5188" t="s">
        <v>338</v>
      </c>
      <c r="C5188" t="s">
        <v>61</v>
      </c>
      <c r="D5188">
        <v>0</v>
      </c>
      <c r="E5188" t="s">
        <v>378</v>
      </c>
    </row>
    <row r="5189" spans="1:5" x14ac:dyDescent="0.25">
      <c r="A5189" s="279">
        <v>39153</v>
      </c>
      <c r="B5189" t="s">
        <v>338</v>
      </c>
      <c r="C5189" t="s">
        <v>62</v>
      </c>
      <c r="D5189">
        <v>0</v>
      </c>
      <c r="E5189" t="s">
        <v>380</v>
      </c>
    </row>
    <row r="5190" spans="1:5" x14ac:dyDescent="0.25">
      <c r="A5190" s="279">
        <v>39153</v>
      </c>
      <c r="B5190" t="s">
        <v>338</v>
      </c>
      <c r="C5190" t="s">
        <v>63</v>
      </c>
      <c r="D5190">
        <v>0</v>
      </c>
      <c r="E5190" t="s">
        <v>378</v>
      </c>
    </row>
    <row r="5191" spans="1:5" x14ac:dyDescent="0.25">
      <c r="A5191" s="279">
        <v>39153</v>
      </c>
      <c r="B5191" t="s">
        <v>338</v>
      </c>
      <c r="C5191" t="s">
        <v>64</v>
      </c>
      <c r="D5191">
        <v>28333</v>
      </c>
      <c r="E5191" t="s">
        <v>380</v>
      </c>
    </row>
    <row r="5192" spans="1:5" x14ac:dyDescent="0.25">
      <c r="A5192" s="279">
        <v>39153</v>
      </c>
      <c r="B5192" t="s">
        <v>338</v>
      </c>
      <c r="C5192" t="s">
        <v>65</v>
      </c>
      <c r="D5192">
        <v>0</v>
      </c>
      <c r="E5192" t="s">
        <v>378</v>
      </c>
    </row>
    <row r="5193" spans="1:5" x14ac:dyDescent="0.25">
      <c r="A5193" s="279">
        <v>39153</v>
      </c>
      <c r="B5193" t="s">
        <v>338</v>
      </c>
      <c r="C5193" t="s">
        <v>66</v>
      </c>
      <c r="D5193">
        <v>0</v>
      </c>
      <c r="E5193" t="s">
        <v>380</v>
      </c>
    </row>
    <row r="5194" spans="1:5" x14ac:dyDescent="0.25">
      <c r="A5194" s="279">
        <v>39153</v>
      </c>
      <c r="B5194" t="s">
        <v>338</v>
      </c>
      <c r="C5194" t="s">
        <v>120</v>
      </c>
      <c r="D5194">
        <v>870</v>
      </c>
      <c r="E5194" t="s">
        <v>378</v>
      </c>
    </row>
    <row r="5195" spans="1:5" x14ac:dyDescent="0.25">
      <c r="A5195" s="279">
        <v>39153</v>
      </c>
      <c r="B5195" t="s">
        <v>338</v>
      </c>
      <c r="C5195" t="s">
        <v>121</v>
      </c>
      <c r="D5195">
        <v>0</v>
      </c>
      <c r="E5195" t="s">
        <v>380</v>
      </c>
    </row>
    <row r="5196" spans="1:5" x14ac:dyDescent="0.25">
      <c r="A5196" s="279">
        <v>39153</v>
      </c>
      <c r="B5196" t="s">
        <v>338</v>
      </c>
      <c r="C5196" t="s">
        <v>67</v>
      </c>
      <c r="D5196">
        <v>0</v>
      </c>
      <c r="E5196" t="s">
        <v>378</v>
      </c>
    </row>
    <row r="5197" spans="1:5" x14ac:dyDescent="0.25">
      <c r="A5197" s="279">
        <v>39153</v>
      </c>
      <c r="B5197" t="s">
        <v>338</v>
      </c>
      <c r="C5197" t="s">
        <v>68</v>
      </c>
      <c r="D5197">
        <v>0</v>
      </c>
      <c r="E5197" t="s">
        <v>380</v>
      </c>
    </row>
    <row r="5198" spans="1:5" x14ac:dyDescent="0.25">
      <c r="A5198" s="279">
        <v>39153</v>
      </c>
      <c r="B5198" t="s">
        <v>338</v>
      </c>
      <c r="C5198" t="s">
        <v>69</v>
      </c>
      <c r="D5198">
        <v>34783</v>
      </c>
      <c r="E5198" t="s">
        <v>379</v>
      </c>
    </row>
    <row r="5199" spans="1:5" x14ac:dyDescent="0.25">
      <c r="A5199" s="279">
        <v>39153</v>
      </c>
      <c r="B5199" t="s">
        <v>338</v>
      </c>
      <c r="C5199" t="s">
        <v>70</v>
      </c>
      <c r="D5199">
        <v>0</v>
      </c>
      <c r="E5199" t="s">
        <v>379</v>
      </c>
    </row>
    <row r="5200" spans="1:5" x14ac:dyDescent="0.25">
      <c r="A5200" s="279">
        <v>39153</v>
      </c>
      <c r="B5200" t="s">
        <v>338</v>
      </c>
      <c r="C5200" t="s">
        <v>80</v>
      </c>
      <c r="D5200">
        <v>8</v>
      </c>
      <c r="E5200" t="s">
        <v>379</v>
      </c>
    </row>
    <row r="5201" spans="1:5" x14ac:dyDescent="0.25">
      <c r="A5201" s="279">
        <v>39153</v>
      </c>
      <c r="B5201" t="s">
        <v>339</v>
      </c>
      <c r="C5201" t="s">
        <v>71</v>
      </c>
      <c r="D5201">
        <v>0</v>
      </c>
      <c r="E5201" t="s">
        <v>378</v>
      </c>
    </row>
    <row r="5202" spans="1:5" x14ac:dyDescent="0.25">
      <c r="A5202" s="279">
        <v>39153</v>
      </c>
      <c r="B5202" t="s">
        <v>339</v>
      </c>
      <c r="C5202" t="s">
        <v>72</v>
      </c>
      <c r="D5202">
        <v>0</v>
      </c>
      <c r="E5202" t="s">
        <v>380</v>
      </c>
    </row>
    <row r="5203" spans="1:5" x14ac:dyDescent="0.25">
      <c r="A5203" s="279">
        <v>39153</v>
      </c>
      <c r="B5203" t="s">
        <v>339</v>
      </c>
      <c r="C5203" t="s">
        <v>73</v>
      </c>
      <c r="D5203">
        <v>1253</v>
      </c>
      <c r="E5203" t="s">
        <v>378</v>
      </c>
    </row>
    <row r="5204" spans="1:5" x14ac:dyDescent="0.25">
      <c r="A5204" s="279">
        <v>39153</v>
      </c>
      <c r="B5204" t="s">
        <v>339</v>
      </c>
      <c r="C5204" t="s">
        <v>74</v>
      </c>
      <c r="D5204">
        <v>0</v>
      </c>
      <c r="E5204" t="s">
        <v>380</v>
      </c>
    </row>
    <row r="5205" spans="1:5" x14ac:dyDescent="0.25">
      <c r="A5205" s="279">
        <v>39153</v>
      </c>
      <c r="B5205" t="s">
        <v>339</v>
      </c>
      <c r="C5205" t="s">
        <v>75</v>
      </c>
      <c r="D5205">
        <v>15065</v>
      </c>
      <c r="E5205" t="s">
        <v>378</v>
      </c>
    </row>
    <row r="5206" spans="1:5" x14ac:dyDescent="0.25">
      <c r="A5206" s="279">
        <v>39153</v>
      </c>
      <c r="B5206" t="s">
        <v>339</v>
      </c>
      <c r="C5206" t="s">
        <v>76</v>
      </c>
      <c r="D5206">
        <v>0</v>
      </c>
      <c r="E5206" t="s">
        <v>380</v>
      </c>
    </row>
    <row r="5207" spans="1:5" x14ac:dyDescent="0.25">
      <c r="A5207" s="279">
        <v>39153</v>
      </c>
      <c r="B5207" t="s">
        <v>339</v>
      </c>
      <c r="C5207" t="s">
        <v>77</v>
      </c>
      <c r="D5207">
        <v>7296</v>
      </c>
      <c r="E5207" t="s">
        <v>378</v>
      </c>
    </row>
    <row r="5208" spans="1:5" x14ac:dyDescent="0.25">
      <c r="A5208" s="279">
        <v>39153</v>
      </c>
      <c r="B5208" t="s">
        <v>339</v>
      </c>
      <c r="C5208" t="s">
        <v>78</v>
      </c>
      <c r="D5208">
        <v>0</v>
      </c>
      <c r="E5208" t="s">
        <v>380</v>
      </c>
    </row>
    <row r="5209" spans="1:5" x14ac:dyDescent="0.25">
      <c r="A5209" s="279">
        <v>39153</v>
      </c>
      <c r="B5209" t="s">
        <v>339</v>
      </c>
      <c r="C5209" t="s">
        <v>79</v>
      </c>
      <c r="D5209">
        <v>104145</v>
      </c>
      <c r="E5209" t="s">
        <v>379</v>
      </c>
    </row>
    <row r="5210" spans="1:5" x14ac:dyDescent="0.25">
      <c r="A5210" s="279">
        <v>39153</v>
      </c>
      <c r="B5210" t="s">
        <v>339</v>
      </c>
      <c r="C5210" t="s">
        <v>70</v>
      </c>
      <c r="D5210">
        <v>0</v>
      </c>
      <c r="E5210" t="s">
        <v>379</v>
      </c>
    </row>
    <row r="5211" spans="1:5" x14ac:dyDescent="0.25">
      <c r="A5211" s="279">
        <v>39153</v>
      </c>
      <c r="B5211" t="s">
        <v>339</v>
      </c>
      <c r="C5211" t="s">
        <v>63</v>
      </c>
      <c r="D5211">
        <v>0</v>
      </c>
      <c r="E5211" t="s">
        <v>378</v>
      </c>
    </row>
    <row r="5212" spans="1:5" x14ac:dyDescent="0.25">
      <c r="A5212" s="279">
        <v>39153</v>
      </c>
      <c r="B5212" t="s">
        <v>339</v>
      </c>
      <c r="C5212" t="s">
        <v>80</v>
      </c>
      <c r="D5212">
        <v>182</v>
      </c>
      <c r="E5212" t="s">
        <v>379</v>
      </c>
    </row>
    <row r="5213" spans="1:5" x14ac:dyDescent="0.25">
      <c r="A5213" s="279">
        <v>39154</v>
      </c>
      <c r="B5213" t="s">
        <v>338</v>
      </c>
      <c r="C5213" t="s">
        <v>59</v>
      </c>
      <c r="D5213">
        <v>0</v>
      </c>
      <c r="E5213" t="s">
        <v>378</v>
      </c>
    </row>
    <row r="5214" spans="1:5" x14ac:dyDescent="0.25">
      <c r="A5214" s="279">
        <v>39154</v>
      </c>
      <c r="B5214" t="s">
        <v>338</v>
      </c>
      <c r="C5214" t="s">
        <v>60</v>
      </c>
      <c r="D5214">
        <v>0</v>
      </c>
      <c r="E5214" t="s">
        <v>379</v>
      </c>
    </row>
    <row r="5215" spans="1:5" x14ac:dyDescent="0.25">
      <c r="A5215" s="279">
        <v>39154</v>
      </c>
      <c r="B5215" t="s">
        <v>338</v>
      </c>
      <c r="C5215" t="s">
        <v>61</v>
      </c>
      <c r="D5215">
        <v>0</v>
      </c>
      <c r="E5215" t="s">
        <v>378</v>
      </c>
    </row>
    <row r="5216" spans="1:5" x14ac:dyDescent="0.25">
      <c r="A5216" s="279">
        <v>39154</v>
      </c>
      <c r="B5216" t="s">
        <v>338</v>
      </c>
      <c r="C5216" t="s">
        <v>62</v>
      </c>
      <c r="D5216">
        <v>0</v>
      </c>
      <c r="E5216" t="s">
        <v>380</v>
      </c>
    </row>
    <row r="5217" spans="1:5" x14ac:dyDescent="0.25">
      <c r="A5217" s="279">
        <v>39154</v>
      </c>
      <c r="B5217" t="s">
        <v>338</v>
      </c>
      <c r="C5217" t="s">
        <v>63</v>
      </c>
      <c r="D5217">
        <v>0</v>
      </c>
      <c r="E5217" t="s">
        <v>378</v>
      </c>
    </row>
    <row r="5218" spans="1:5" x14ac:dyDescent="0.25">
      <c r="A5218" s="279">
        <v>39154</v>
      </c>
      <c r="B5218" t="s">
        <v>338</v>
      </c>
      <c r="C5218" t="s">
        <v>64</v>
      </c>
      <c r="D5218">
        <v>0</v>
      </c>
      <c r="E5218" t="s">
        <v>380</v>
      </c>
    </row>
    <row r="5219" spans="1:5" x14ac:dyDescent="0.25">
      <c r="A5219" s="279">
        <v>39154</v>
      </c>
      <c r="B5219" t="s">
        <v>338</v>
      </c>
      <c r="C5219" t="s">
        <v>65</v>
      </c>
      <c r="D5219">
        <v>0</v>
      </c>
      <c r="E5219" t="s">
        <v>378</v>
      </c>
    </row>
    <row r="5220" spans="1:5" x14ac:dyDescent="0.25">
      <c r="A5220" s="279">
        <v>39154</v>
      </c>
      <c r="B5220" t="s">
        <v>338</v>
      </c>
      <c r="C5220" t="s">
        <v>66</v>
      </c>
      <c r="D5220">
        <v>0</v>
      </c>
      <c r="E5220" t="s">
        <v>380</v>
      </c>
    </row>
    <row r="5221" spans="1:5" x14ac:dyDescent="0.25">
      <c r="A5221" s="279">
        <v>39154</v>
      </c>
      <c r="B5221" t="s">
        <v>338</v>
      </c>
      <c r="C5221" t="s">
        <v>120</v>
      </c>
      <c r="D5221">
        <v>0</v>
      </c>
      <c r="E5221" t="s">
        <v>378</v>
      </c>
    </row>
    <row r="5222" spans="1:5" x14ac:dyDescent="0.25">
      <c r="A5222" s="279">
        <v>39154</v>
      </c>
      <c r="B5222" t="s">
        <v>338</v>
      </c>
      <c r="C5222" t="s">
        <v>121</v>
      </c>
      <c r="D5222">
        <v>1011</v>
      </c>
      <c r="E5222" t="s">
        <v>380</v>
      </c>
    </row>
    <row r="5223" spans="1:5" x14ac:dyDescent="0.25">
      <c r="A5223" s="279">
        <v>39154</v>
      </c>
      <c r="B5223" t="s">
        <v>338</v>
      </c>
      <c r="C5223" t="s">
        <v>67</v>
      </c>
      <c r="D5223">
        <v>0</v>
      </c>
      <c r="E5223" t="s">
        <v>378</v>
      </c>
    </row>
    <row r="5224" spans="1:5" x14ac:dyDescent="0.25">
      <c r="A5224" s="279">
        <v>39154</v>
      </c>
      <c r="B5224" t="s">
        <v>338</v>
      </c>
      <c r="C5224" t="s">
        <v>68</v>
      </c>
      <c r="D5224">
        <v>0</v>
      </c>
      <c r="E5224" t="s">
        <v>380</v>
      </c>
    </row>
    <row r="5225" spans="1:5" x14ac:dyDescent="0.25">
      <c r="A5225" s="279">
        <v>39154</v>
      </c>
      <c r="B5225" t="s">
        <v>338</v>
      </c>
      <c r="C5225" t="s">
        <v>69</v>
      </c>
      <c r="D5225">
        <v>34850</v>
      </c>
      <c r="E5225" t="s">
        <v>379</v>
      </c>
    </row>
    <row r="5226" spans="1:5" x14ac:dyDescent="0.25">
      <c r="A5226" s="279">
        <v>39154</v>
      </c>
      <c r="B5226" t="s">
        <v>338</v>
      </c>
      <c r="C5226" t="s">
        <v>70</v>
      </c>
      <c r="D5226">
        <v>0</v>
      </c>
      <c r="E5226" t="s">
        <v>379</v>
      </c>
    </row>
    <row r="5227" spans="1:5" x14ac:dyDescent="0.25">
      <c r="A5227" s="279">
        <v>39154</v>
      </c>
      <c r="B5227" t="s">
        <v>338</v>
      </c>
      <c r="C5227" t="s">
        <v>80</v>
      </c>
      <c r="D5227">
        <v>0</v>
      </c>
      <c r="E5227" t="s">
        <v>379</v>
      </c>
    </row>
    <row r="5228" spans="1:5" x14ac:dyDescent="0.25">
      <c r="A5228" s="279">
        <v>39154</v>
      </c>
      <c r="B5228" t="s">
        <v>339</v>
      </c>
      <c r="C5228" t="s">
        <v>71</v>
      </c>
      <c r="D5228">
        <v>0</v>
      </c>
      <c r="E5228" t="s">
        <v>378</v>
      </c>
    </row>
    <row r="5229" spans="1:5" x14ac:dyDescent="0.25">
      <c r="A5229" s="279">
        <v>39154</v>
      </c>
      <c r="B5229" t="s">
        <v>339</v>
      </c>
      <c r="C5229" t="s">
        <v>72</v>
      </c>
      <c r="D5229">
        <v>0</v>
      </c>
      <c r="E5229" t="s">
        <v>380</v>
      </c>
    </row>
    <row r="5230" spans="1:5" x14ac:dyDescent="0.25">
      <c r="A5230" s="279">
        <v>39154</v>
      </c>
      <c r="B5230" t="s">
        <v>339</v>
      </c>
      <c r="C5230" t="s">
        <v>73</v>
      </c>
      <c r="D5230">
        <v>0</v>
      </c>
      <c r="E5230" t="s">
        <v>378</v>
      </c>
    </row>
    <row r="5231" spans="1:5" x14ac:dyDescent="0.25">
      <c r="A5231" s="279">
        <v>39154</v>
      </c>
      <c r="B5231" t="s">
        <v>339</v>
      </c>
      <c r="C5231" t="s">
        <v>74</v>
      </c>
      <c r="D5231">
        <v>0</v>
      </c>
      <c r="E5231" t="s">
        <v>380</v>
      </c>
    </row>
    <row r="5232" spans="1:5" x14ac:dyDescent="0.25">
      <c r="A5232" s="279">
        <v>39154</v>
      </c>
      <c r="B5232" t="s">
        <v>339</v>
      </c>
      <c r="C5232" t="s">
        <v>75</v>
      </c>
      <c r="D5232">
        <v>15065</v>
      </c>
      <c r="E5232" t="s">
        <v>378</v>
      </c>
    </row>
    <row r="5233" spans="1:5" x14ac:dyDescent="0.25">
      <c r="A5233" s="279">
        <v>39154</v>
      </c>
      <c r="B5233" t="s">
        <v>339</v>
      </c>
      <c r="C5233" t="s">
        <v>76</v>
      </c>
      <c r="D5233">
        <v>0</v>
      </c>
      <c r="E5233" t="s">
        <v>380</v>
      </c>
    </row>
    <row r="5234" spans="1:5" x14ac:dyDescent="0.25">
      <c r="A5234" s="279">
        <v>39154</v>
      </c>
      <c r="B5234" t="s">
        <v>339</v>
      </c>
      <c r="C5234" t="s">
        <v>77</v>
      </c>
      <c r="D5234">
        <v>7296</v>
      </c>
      <c r="E5234" t="s">
        <v>378</v>
      </c>
    </row>
    <row r="5235" spans="1:5" x14ac:dyDescent="0.25">
      <c r="A5235" s="279">
        <v>39154</v>
      </c>
      <c r="B5235" t="s">
        <v>339</v>
      </c>
      <c r="C5235" t="s">
        <v>78</v>
      </c>
      <c r="D5235">
        <v>602</v>
      </c>
      <c r="E5235" t="s">
        <v>380</v>
      </c>
    </row>
    <row r="5236" spans="1:5" x14ac:dyDescent="0.25">
      <c r="A5236" s="279">
        <v>39154</v>
      </c>
      <c r="B5236" t="s">
        <v>339</v>
      </c>
      <c r="C5236" t="s">
        <v>79</v>
      </c>
      <c r="D5236">
        <v>74946</v>
      </c>
      <c r="E5236" t="s">
        <v>379</v>
      </c>
    </row>
    <row r="5237" spans="1:5" x14ac:dyDescent="0.25">
      <c r="A5237" s="279">
        <v>39154</v>
      </c>
      <c r="B5237" t="s">
        <v>339</v>
      </c>
      <c r="C5237" t="s">
        <v>70</v>
      </c>
      <c r="D5237">
        <v>0</v>
      </c>
      <c r="E5237" t="s">
        <v>379</v>
      </c>
    </row>
    <row r="5238" spans="1:5" x14ac:dyDescent="0.25">
      <c r="A5238" s="279">
        <v>39154</v>
      </c>
      <c r="B5238" t="s">
        <v>339</v>
      </c>
      <c r="C5238" t="s">
        <v>63</v>
      </c>
      <c r="D5238">
        <v>0</v>
      </c>
      <c r="E5238" t="s">
        <v>378</v>
      </c>
    </row>
    <row r="5239" spans="1:5" x14ac:dyDescent="0.25">
      <c r="A5239" s="279">
        <v>39154</v>
      </c>
      <c r="B5239" t="s">
        <v>339</v>
      </c>
      <c r="C5239" t="s">
        <v>80</v>
      </c>
      <c r="D5239">
        <v>134</v>
      </c>
      <c r="E5239" t="s">
        <v>379</v>
      </c>
    </row>
    <row r="5240" spans="1:5" x14ac:dyDescent="0.25">
      <c r="A5240" s="279">
        <v>39155</v>
      </c>
      <c r="B5240" t="s">
        <v>338</v>
      </c>
      <c r="C5240" t="s">
        <v>59</v>
      </c>
      <c r="D5240">
        <v>0</v>
      </c>
      <c r="E5240" t="s">
        <v>378</v>
      </c>
    </row>
    <row r="5241" spans="1:5" x14ac:dyDescent="0.25">
      <c r="A5241" s="279">
        <v>39155</v>
      </c>
      <c r="B5241" t="s">
        <v>338</v>
      </c>
      <c r="C5241" t="s">
        <v>60</v>
      </c>
      <c r="D5241">
        <v>0</v>
      </c>
      <c r="E5241" t="s">
        <v>379</v>
      </c>
    </row>
    <row r="5242" spans="1:5" x14ac:dyDescent="0.25">
      <c r="A5242" s="279">
        <v>39155</v>
      </c>
      <c r="B5242" t="s">
        <v>338</v>
      </c>
      <c r="C5242" t="s">
        <v>61</v>
      </c>
      <c r="D5242">
        <v>13838</v>
      </c>
      <c r="E5242" t="s">
        <v>378</v>
      </c>
    </row>
    <row r="5243" spans="1:5" x14ac:dyDescent="0.25">
      <c r="A5243" s="279">
        <v>39155</v>
      </c>
      <c r="B5243" t="s">
        <v>338</v>
      </c>
      <c r="C5243" t="s">
        <v>62</v>
      </c>
      <c r="D5243">
        <v>0</v>
      </c>
      <c r="E5243" t="s">
        <v>380</v>
      </c>
    </row>
    <row r="5244" spans="1:5" x14ac:dyDescent="0.25">
      <c r="A5244" s="279">
        <v>39155</v>
      </c>
      <c r="B5244" t="s">
        <v>338</v>
      </c>
      <c r="C5244" t="s">
        <v>63</v>
      </c>
      <c r="D5244">
        <v>0</v>
      </c>
      <c r="E5244" t="s">
        <v>378</v>
      </c>
    </row>
    <row r="5245" spans="1:5" x14ac:dyDescent="0.25">
      <c r="A5245" s="279">
        <v>39155</v>
      </c>
      <c r="B5245" t="s">
        <v>338</v>
      </c>
      <c r="C5245" t="s">
        <v>64</v>
      </c>
      <c r="D5245">
        <v>0</v>
      </c>
      <c r="E5245" t="s">
        <v>380</v>
      </c>
    </row>
    <row r="5246" spans="1:5" x14ac:dyDescent="0.25">
      <c r="A5246" s="279">
        <v>39155</v>
      </c>
      <c r="B5246" t="s">
        <v>338</v>
      </c>
      <c r="C5246" t="s">
        <v>65</v>
      </c>
      <c r="D5246">
        <v>7604</v>
      </c>
      <c r="E5246" t="s">
        <v>378</v>
      </c>
    </row>
    <row r="5247" spans="1:5" x14ac:dyDescent="0.25">
      <c r="A5247" s="279">
        <v>39155</v>
      </c>
      <c r="B5247" t="s">
        <v>338</v>
      </c>
      <c r="C5247" t="s">
        <v>66</v>
      </c>
      <c r="D5247">
        <v>0</v>
      </c>
      <c r="E5247" t="s">
        <v>380</v>
      </c>
    </row>
    <row r="5248" spans="1:5" x14ac:dyDescent="0.25">
      <c r="A5248" s="279">
        <v>39155</v>
      </c>
      <c r="B5248" t="s">
        <v>338</v>
      </c>
      <c r="C5248" t="s">
        <v>120</v>
      </c>
      <c r="D5248">
        <v>12244</v>
      </c>
      <c r="E5248" t="s">
        <v>378</v>
      </c>
    </row>
    <row r="5249" spans="1:5" x14ac:dyDescent="0.25">
      <c r="A5249" s="279">
        <v>39155</v>
      </c>
      <c r="B5249" t="s">
        <v>338</v>
      </c>
      <c r="C5249" t="s">
        <v>121</v>
      </c>
      <c r="D5249">
        <v>0</v>
      </c>
      <c r="E5249" t="s">
        <v>380</v>
      </c>
    </row>
    <row r="5250" spans="1:5" x14ac:dyDescent="0.25">
      <c r="A5250" s="279">
        <v>39155</v>
      </c>
      <c r="B5250" t="s">
        <v>338</v>
      </c>
      <c r="C5250" t="s">
        <v>67</v>
      </c>
      <c r="D5250">
        <v>0</v>
      </c>
      <c r="E5250" t="s">
        <v>378</v>
      </c>
    </row>
    <row r="5251" spans="1:5" x14ac:dyDescent="0.25">
      <c r="A5251" s="279">
        <v>39155</v>
      </c>
      <c r="B5251" t="s">
        <v>338</v>
      </c>
      <c r="C5251" t="s">
        <v>68</v>
      </c>
      <c r="D5251">
        <v>0</v>
      </c>
      <c r="E5251" t="s">
        <v>380</v>
      </c>
    </row>
    <row r="5252" spans="1:5" x14ac:dyDescent="0.25">
      <c r="A5252" s="279">
        <v>39155</v>
      </c>
      <c r="B5252" t="s">
        <v>338</v>
      </c>
      <c r="C5252" t="s">
        <v>69</v>
      </c>
      <c r="D5252">
        <v>34816</v>
      </c>
      <c r="E5252" t="s">
        <v>379</v>
      </c>
    </row>
    <row r="5253" spans="1:5" x14ac:dyDescent="0.25">
      <c r="A5253" s="279">
        <v>39155</v>
      </c>
      <c r="B5253" t="s">
        <v>338</v>
      </c>
      <c r="C5253" t="s">
        <v>70</v>
      </c>
      <c r="D5253">
        <v>0</v>
      </c>
      <c r="E5253" t="s">
        <v>379</v>
      </c>
    </row>
    <row r="5254" spans="1:5" x14ac:dyDescent="0.25">
      <c r="A5254" s="279">
        <v>39155</v>
      </c>
      <c r="B5254" t="s">
        <v>338</v>
      </c>
      <c r="C5254" t="s">
        <v>80</v>
      </c>
      <c r="D5254">
        <v>226</v>
      </c>
      <c r="E5254" t="s">
        <v>379</v>
      </c>
    </row>
    <row r="5255" spans="1:5" x14ac:dyDescent="0.25">
      <c r="A5255" s="279">
        <v>39155</v>
      </c>
      <c r="B5255" t="s">
        <v>339</v>
      </c>
      <c r="C5255" t="s">
        <v>71</v>
      </c>
      <c r="D5255">
        <v>0</v>
      </c>
      <c r="E5255" t="s">
        <v>378</v>
      </c>
    </row>
    <row r="5256" spans="1:5" x14ac:dyDescent="0.25">
      <c r="A5256" s="279">
        <v>39155</v>
      </c>
      <c r="B5256" t="s">
        <v>339</v>
      </c>
      <c r="C5256" t="s">
        <v>72</v>
      </c>
      <c r="D5256">
        <v>0</v>
      </c>
      <c r="E5256" t="s">
        <v>380</v>
      </c>
    </row>
    <row r="5257" spans="1:5" x14ac:dyDescent="0.25">
      <c r="A5257" s="279">
        <v>39155</v>
      </c>
      <c r="B5257" t="s">
        <v>339</v>
      </c>
      <c r="C5257" t="s">
        <v>73</v>
      </c>
      <c r="D5257">
        <v>9381</v>
      </c>
      <c r="E5257" t="s">
        <v>378</v>
      </c>
    </row>
    <row r="5258" spans="1:5" x14ac:dyDescent="0.25">
      <c r="A5258" s="279">
        <v>39155</v>
      </c>
      <c r="B5258" t="s">
        <v>339</v>
      </c>
      <c r="C5258" t="s">
        <v>74</v>
      </c>
      <c r="D5258">
        <v>0</v>
      </c>
      <c r="E5258" t="s">
        <v>380</v>
      </c>
    </row>
    <row r="5259" spans="1:5" x14ac:dyDescent="0.25">
      <c r="A5259" s="279">
        <v>39155</v>
      </c>
      <c r="B5259" t="s">
        <v>339</v>
      </c>
      <c r="C5259" t="s">
        <v>75</v>
      </c>
      <c r="D5259">
        <v>15035</v>
      </c>
      <c r="E5259" t="s">
        <v>378</v>
      </c>
    </row>
    <row r="5260" spans="1:5" x14ac:dyDescent="0.25">
      <c r="A5260" s="279">
        <v>39155</v>
      </c>
      <c r="B5260" t="s">
        <v>339</v>
      </c>
      <c r="C5260" t="s">
        <v>76</v>
      </c>
      <c r="D5260">
        <v>0</v>
      </c>
      <c r="E5260" t="s">
        <v>380</v>
      </c>
    </row>
    <row r="5261" spans="1:5" x14ac:dyDescent="0.25">
      <c r="A5261" s="279">
        <v>39155</v>
      </c>
      <c r="B5261" t="s">
        <v>339</v>
      </c>
      <c r="C5261" t="s">
        <v>77</v>
      </c>
      <c r="D5261">
        <v>7282</v>
      </c>
      <c r="E5261" t="s">
        <v>378</v>
      </c>
    </row>
    <row r="5262" spans="1:5" x14ac:dyDescent="0.25">
      <c r="A5262" s="279">
        <v>39155</v>
      </c>
      <c r="B5262" t="s">
        <v>339</v>
      </c>
      <c r="C5262" t="s">
        <v>78</v>
      </c>
      <c r="D5262">
        <v>0</v>
      </c>
      <c r="E5262" t="s">
        <v>380</v>
      </c>
    </row>
    <row r="5263" spans="1:5" x14ac:dyDescent="0.25">
      <c r="A5263" s="279">
        <v>39155</v>
      </c>
      <c r="B5263" t="s">
        <v>339</v>
      </c>
      <c r="C5263" t="s">
        <v>79</v>
      </c>
      <c r="D5263">
        <v>74801</v>
      </c>
      <c r="E5263" t="s">
        <v>379</v>
      </c>
    </row>
    <row r="5264" spans="1:5" x14ac:dyDescent="0.25">
      <c r="A5264" s="279">
        <v>39155</v>
      </c>
      <c r="B5264" t="s">
        <v>339</v>
      </c>
      <c r="C5264" t="s">
        <v>70</v>
      </c>
      <c r="D5264">
        <v>0</v>
      </c>
      <c r="E5264" t="s">
        <v>379</v>
      </c>
    </row>
    <row r="5265" spans="1:5" x14ac:dyDescent="0.25">
      <c r="A5265" s="279">
        <v>39155</v>
      </c>
      <c r="B5265" t="s">
        <v>339</v>
      </c>
      <c r="C5265" t="s">
        <v>63</v>
      </c>
      <c r="D5265">
        <v>0</v>
      </c>
      <c r="E5265" t="s">
        <v>378</v>
      </c>
    </row>
    <row r="5266" spans="1:5" x14ac:dyDescent="0.25">
      <c r="A5266" s="279">
        <v>39155</v>
      </c>
      <c r="B5266" t="s">
        <v>339</v>
      </c>
      <c r="C5266" t="s">
        <v>80</v>
      </c>
      <c r="D5266">
        <v>491</v>
      </c>
      <c r="E5266" t="s">
        <v>379</v>
      </c>
    </row>
    <row r="5267" spans="1:5" x14ac:dyDescent="0.25">
      <c r="A5267" s="279">
        <v>39156</v>
      </c>
      <c r="B5267" t="s">
        <v>338</v>
      </c>
      <c r="C5267" t="s">
        <v>59</v>
      </c>
      <c r="D5267">
        <v>0</v>
      </c>
      <c r="E5267" t="s">
        <v>378</v>
      </c>
    </row>
    <row r="5268" spans="1:5" x14ac:dyDescent="0.25">
      <c r="A5268" s="279">
        <v>39156</v>
      </c>
      <c r="B5268" t="s">
        <v>338</v>
      </c>
      <c r="C5268" t="s">
        <v>60</v>
      </c>
      <c r="D5268">
        <v>0</v>
      </c>
      <c r="E5268" t="s">
        <v>379</v>
      </c>
    </row>
    <row r="5269" spans="1:5" x14ac:dyDescent="0.25">
      <c r="A5269" s="279">
        <v>39156</v>
      </c>
      <c r="B5269" t="s">
        <v>338</v>
      </c>
      <c r="C5269" t="s">
        <v>61</v>
      </c>
      <c r="D5269">
        <v>0</v>
      </c>
      <c r="E5269" t="s">
        <v>378</v>
      </c>
    </row>
    <row r="5270" spans="1:5" x14ac:dyDescent="0.25">
      <c r="A5270" s="279">
        <v>39156</v>
      </c>
      <c r="B5270" t="s">
        <v>338</v>
      </c>
      <c r="C5270" t="s">
        <v>62</v>
      </c>
      <c r="D5270">
        <v>0</v>
      </c>
      <c r="E5270" t="s">
        <v>380</v>
      </c>
    </row>
    <row r="5271" spans="1:5" x14ac:dyDescent="0.25">
      <c r="A5271" s="279">
        <v>39156</v>
      </c>
      <c r="B5271" t="s">
        <v>338</v>
      </c>
      <c r="C5271" t="s">
        <v>63</v>
      </c>
      <c r="D5271">
        <v>0</v>
      </c>
      <c r="E5271" t="s">
        <v>378</v>
      </c>
    </row>
    <row r="5272" spans="1:5" x14ac:dyDescent="0.25">
      <c r="A5272" s="279">
        <v>39156</v>
      </c>
      <c r="B5272" t="s">
        <v>338</v>
      </c>
      <c r="C5272" t="s">
        <v>64</v>
      </c>
      <c r="D5272">
        <v>0</v>
      </c>
      <c r="E5272" t="s">
        <v>380</v>
      </c>
    </row>
    <row r="5273" spans="1:5" x14ac:dyDescent="0.25">
      <c r="A5273" s="279">
        <v>39156</v>
      </c>
      <c r="B5273" t="s">
        <v>338</v>
      </c>
      <c r="C5273" t="s">
        <v>65</v>
      </c>
      <c r="D5273">
        <v>0</v>
      </c>
      <c r="E5273" t="s">
        <v>378</v>
      </c>
    </row>
    <row r="5274" spans="1:5" x14ac:dyDescent="0.25">
      <c r="A5274" s="279">
        <v>39156</v>
      </c>
      <c r="B5274" t="s">
        <v>338</v>
      </c>
      <c r="C5274" t="s">
        <v>66</v>
      </c>
      <c r="D5274">
        <v>0</v>
      </c>
      <c r="E5274" t="s">
        <v>380</v>
      </c>
    </row>
    <row r="5275" spans="1:5" x14ac:dyDescent="0.25">
      <c r="A5275" s="279">
        <v>39156</v>
      </c>
      <c r="B5275" t="s">
        <v>338</v>
      </c>
      <c r="C5275" t="s">
        <v>120</v>
      </c>
      <c r="D5275">
        <v>0</v>
      </c>
      <c r="E5275" t="s">
        <v>378</v>
      </c>
    </row>
    <row r="5276" spans="1:5" x14ac:dyDescent="0.25">
      <c r="A5276" s="279">
        <v>39156</v>
      </c>
      <c r="B5276" t="s">
        <v>338</v>
      </c>
      <c r="C5276" t="s">
        <v>121</v>
      </c>
      <c r="D5276">
        <v>974</v>
      </c>
      <c r="E5276" t="s">
        <v>380</v>
      </c>
    </row>
    <row r="5277" spans="1:5" x14ac:dyDescent="0.25">
      <c r="A5277" s="279">
        <v>39156</v>
      </c>
      <c r="B5277" t="s">
        <v>338</v>
      </c>
      <c r="C5277" t="s">
        <v>67</v>
      </c>
      <c r="D5277">
        <v>0</v>
      </c>
      <c r="E5277" t="s">
        <v>378</v>
      </c>
    </row>
    <row r="5278" spans="1:5" x14ac:dyDescent="0.25">
      <c r="A5278" s="279">
        <v>39156</v>
      </c>
      <c r="B5278" t="s">
        <v>338</v>
      </c>
      <c r="C5278" t="s">
        <v>68</v>
      </c>
      <c r="D5278">
        <v>0</v>
      </c>
      <c r="E5278" t="s">
        <v>380</v>
      </c>
    </row>
    <row r="5279" spans="1:5" x14ac:dyDescent="0.25">
      <c r="A5279" s="279">
        <v>39156</v>
      </c>
      <c r="B5279" t="s">
        <v>338</v>
      </c>
      <c r="C5279" t="s">
        <v>69</v>
      </c>
      <c r="D5279">
        <v>34783</v>
      </c>
      <c r="E5279" t="s">
        <v>379</v>
      </c>
    </row>
    <row r="5280" spans="1:5" x14ac:dyDescent="0.25">
      <c r="A5280" s="279">
        <v>39156</v>
      </c>
      <c r="B5280" t="s">
        <v>338</v>
      </c>
      <c r="C5280" t="s">
        <v>70</v>
      </c>
      <c r="D5280">
        <v>0</v>
      </c>
      <c r="E5280" t="s">
        <v>379</v>
      </c>
    </row>
    <row r="5281" spans="1:5" x14ac:dyDescent="0.25">
      <c r="A5281" s="279">
        <v>39156</v>
      </c>
      <c r="B5281" t="s">
        <v>338</v>
      </c>
      <c r="C5281" t="s">
        <v>80</v>
      </c>
      <c r="D5281">
        <v>0</v>
      </c>
      <c r="E5281" t="s">
        <v>379</v>
      </c>
    </row>
    <row r="5282" spans="1:5" x14ac:dyDescent="0.25">
      <c r="A5282" s="279">
        <v>39156</v>
      </c>
      <c r="B5282" t="s">
        <v>339</v>
      </c>
      <c r="C5282" t="s">
        <v>71</v>
      </c>
      <c r="D5282">
        <v>0</v>
      </c>
      <c r="E5282" t="s">
        <v>378</v>
      </c>
    </row>
    <row r="5283" spans="1:5" x14ac:dyDescent="0.25">
      <c r="A5283" s="279">
        <v>39156</v>
      </c>
      <c r="B5283" t="s">
        <v>339</v>
      </c>
      <c r="C5283" t="s">
        <v>72</v>
      </c>
      <c r="D5283">
        <v>2609</v>
      </c>
      <c r="E5283" t="s">
        <v>380</v>
      </c>
    </row>
    <row r="5284" spans="1:5" x14ac:dyDescent="0.25">
      <c r="A5284" s="279">
        <v>39156</v>
      </c>
      <c r="B5284" t="s">
        <v>339</v>
      </c>
      <c r="C5284" t="s">
        <v>73</v>
      </c>
      <c r="D5284">
        <v>0</v>
      </c>
      <c r="E5284" t="s">
        <v>378</v>
      </c>
    </row>
    <row r="5285" spans="1:5" x14ac:dyDescent="0.25">
      <c r="A5285" s="279">
        <v>39156</v>
      </c>
      <c r="B5285" t="s">
        <v>339</v>
      </c>
      <c r="C5285" t="s">
        <v>74</v>
      </c>
      <c r="D5285">
        <v>3043</v>
      </c>
      <c r="E5285" t="s">
        <v>380</v>
      </c>
    </row>
    <row r="5286" spans="1:5" x14ac:dyDescent="0.25">
      <c r="A5286" s="279">
        <v>39156</v>
      </c>
      <c r="B5286" t="s">
        <v>339</v>
      </c>
      <c r="C5286" t="s">
        <v>75</v>
      </c>
      <c r="D5286">
        <v>15050</v>
      </c>
      <c r="E5286" t="s">
        <v>378</v>
      </c>
    </row>
    <row r="5287" spans="1:5" x14ac:dyDescent="0.25">
      <c r="A5287" s="279">
        <v>39156</v>
      </c>
      <c r="B5287" t="s">
        <v>339</v>
      </c>
      <c r="C5287" t="s">
        <v>76</v>
      </c>
      <c r="D5287">
        <v>33832</v>
      </c>
      <c r="E5287" t="s">
        <v>380</v>
      </c>
    </row>
    <row r="5288" spans="1:5" x14ac:dyDescent="0.25">
      <c r="A5288" s="279">
        <v>39156</v>
      </c>
      <c r="B5288" t="s">
        <v>339</v>
      </c>
      <c r="C5288" t="s">
        <v>77</v>
      </c>
      <c r="D5288">
        <v>7289</v>
      </c>
      <c r="E5288" t="s">
        <v>378</v>
      </c>
    </row>
    <row r="5289" spans="1:5" x14ac:dyDescent="0.25">
      <c r="A5289" s="279">
        <v>39156</v>
      </c>
      <c r="B5289" t="s">
        <v>339</v>
      </c>
      <c r="C5289" t="s">
        <v>78</v>
      </c>
      <c r="D5289">
        <v>7022</v>
      </c>
      <c r="E5289" t="s">
        <v>380</v>
      </c>
    </row>
    <row r="5290" spans="1:5" x14ac:dyDescent="0.25">
      <c r="A5290" s="279">
        <v>39156</v>
      </c>
      <c r="B5290" t="s">
        <v>339</v>
      </c>
      <c r="C5290" t="s">
        <v>79</v>
      </c>
      <c r="D5290">
        <v>74873</v>
      </c>
      <c r="E5290" t="s">
        <v>379</v>
      </c>
    </row>
    <row r="5291" spans="1:5" x14ac:dyDescent="0.25">
      <c r="A5291" s="279">
        <v>39156</v>
      </c>
      <c r="B5291" t="s">
        <v>339</v>
      </c>
      <c r="C5291" t="s">
        <v>70</v>
      </c>
      <c r="D5291">
        <v>0</v>
      </c>
      <c r="E5291" t="s">
        <v>379</v>
      </c>
    </row>
    <row r="5292" spans="1:5" x14ac:dyDescent="0.25">
      <c r="A5292" s="279">
        <v>39156</v>
      </c>
      <c r="B5292" t="s">
        <v>339</v>
      </c>
      <c r="C5292" t="s">
        <v>63</v>
      </c>
      <c r="D5292">
        <v>0</v>
      </c>
      <c r="E5292" t="s">
        <v>378</v>
      </c>
    </row>
    <row r="5293" spans="1:5" x14ac:dyDescent="0.25">
      <c r="A5293" s="279">
        <v>39156</v>
      </c>
      <c r="B5293" t="s">
        <v>339</v>
      </c>
      <c r="C5293" t="s">
        <v>80</v>
      </c>
      <c r="D5293">
        <v>134</v>
      </c>
      <c r="E5293" t="s">
        <v>379</v>
      </c>
    </row>
    <row r="5294" spans="1:5" x14ac:dyDescent="0.25">
      <c r="A5294" s="279">
        <v>39157</v>
      </c>
      <c r="B5294" t="s">
        <v>338</v>
      </c>
      <c r="C5294" t="s">
        <v>59</v>
      </c>
      <c r="D5294">
        <v>0</v>
      </c>
      <c r="E5294" t="s">
        <v>378</v>
      </c>
    </row>
    <row r="5295" spans="1:5" x14ac:dyDescent="0.25">
      <c r="A5295" s="279">
        <v>39157</v>
      </c>
      <c r="B5295" t="s">
        <v>338</v>
      </c>
      <c r="C5295" t="s">
        <v>60</v>
      </c>
      <c r="D5295">
        <v>4390</v>
      </c>
      <c r="E5295" t="s">
        <v>379</v>
      </c>
    </row>
    <row r="5296" spans="1:5" x14ac:dyDescent="0.25">
      <c r="A5296" s="279">
        <v>39157</v>
      </c>
      <c r="B5296" t="s">
        <v>338</v>
      </c>
      <c r="C5296" t="s">
        <v>61</v>
      </c>
      <c r="D5296">
        <v>0</v>
      </c>
      <c r="E5296" t="s">
        <v>378</v>
      </c>
    </row>
    <row r="5297" spans="1:5" x14ac:dyDescent="0.25">
      <c r="A5297" s="279">
        <v>39157</v>
      </c>
      <c r="B5297" t="s">
        <v>338</v>
      </c>
      <c r="C5297" t="s">
        <v>62</v>
      </c>
      <c r="D5297">
        <v>33846</v>
      </c>
      <c r="E5297" t="s">
        <v>380</v>
      </c>
    </row>
    <row r="5298" spans="1:5" x14ac:dyDescent="0.25">
      <c r="A5298" s="279">
        <v>39157</v>
      </c>
      <c r="B5298" t="s">
        <v>338</v>
      </c>
      <c r="C5298" t="s">
        <v>63</v>
      </c>
      <c r="D5298">
        <v>0</v>
      </c>
      <c r="E5298" t="s">
        <v>378</v>
      </c>
    </row>
    <row r="5299" spans="1:5" x14ac:dyDescent="0.25">
      <c r="A5299" s="279">
        <v>39157</v>
      </c>
      <c r="B5299" t="s">
        <v>338</v>
      </c>
      <c r="C5299" t="s">
        <v>64</v>
      </c>
      <c r="D5299">
        <v>28333</v>
      </c>
      <c r="E5299" t="s">
        <v>380</v>
      </c>
    </row>
    <row r="5300" spans="1:5" x14ac:dyDescent="0.25">
      <c r="A5300" s="279">
        <v>39157</v>
      </c>
      <c r="B5300" t="s">
        <v>338</v>
      </c>
      <c r="C5300" t="s">
        <v>65</v>
      </c>
      <c r="D5300">
        <v>0</v>
      </c>
      <c r="E5300" t="s">
        <v>378</v>
      </c>
    </row>
    <row r="5301" spans="1:5" x14ac:dyDescent="0.25">
      <c r="A5301" s="279">
        <v>39157</v>
      </c>
      <c r="B5301" t="s">
        <v>338</v>
      </c>
      <c r="C5301" t="s">
        <v>66</v>
      </c>
      <c r="D5301">
        <v>7353</v>
      </c>
      <c r="E5301" t="s">
        <v>380</v>
      </c>
    </row>
    <row r="5302" spans="1:5" x14ac:dyDescent="0.25">
      <c r="A5302" s="279">
        <v>39157</v>
      </c>
      <c r="B5302" t="s">
        <v>338</v>
      </c>
      <c r="C5302" t="s">
        <v>120</v>
      </c>
      <c r="D5302">
        <v>0</v>
      </c>
      <c r="E5302" t="s">
        <v>378</v>
      </c>
    </row>
    <row r="5303" spans="1:5" x14ac:dyDescent="0.25">
      <c r="A5303" s="279">
        <v>39157</v>
      </c>
      <c r="B5303" t="s">
        <v>338</v>
      </c>
      <c r="C5303" t="s">
        <v>121</v>
      </c>
      <c r="D5303">
        <v>20142</v>
      </c>
      <c r="E5303" t="s">
        <v>380</v>
      </c>
    </row>
    <row r="5304" spans="1:5" x14ac:dyDescent="0.25">
      <c r="A5304" s="279">
        <v>39157</v>
      </c>
      <c r="B5304" t="s">
        <v>338</v>
      </c>
      <c r="C5304" t="s">
        <v>67</v>
      </c>
      <c r="D5304">
        <v>0</v>
      </c>
      <c r="E5304" t="s">
        <v>378</v>
      </c>
    </row>
    <row r="5305" spans="1:5" x14ac:dyDescent="0.25">
      <c r="A5305" s="279">
        <v>39157</v>
      </c>
      <c r="B5305" t="s">
        <v>338</v>
      </c>
      <c r="C5305" t="s">
        <v>68</v>
      </c>
      <c r="D5305">
        <v>0</v>
      </c>
      <c r="E5305" t="s">
        <v>380</v>
      </c>
    </row>
    <row r="5306" spans="1:5" x14ac:dyDescent="0.25">
      <c r="A5306" s="279">
        <v>39157</v>
      </c>
      <c r="B5306" t="s">
        <v>338</v>
      </c>
      <c r="C5306" t="s">
        <v>69</v>
      </c>
      <c r="D5306">
        <v>34783</v>
      </c>
      <c r="E5306" t="s">
        <v>379</v>
      </c>
    </row>
    <row r="5307" spans="1:5" x14ac:dyDescent="0.25">
      <c r="A5307" s="279">
        <v>39157</v>
      </c>
      <c r="B5307" t="s">
        <v>338</v>
      </c>
      <c r="C5307" t="s">
        <v>70</v>
      </c>
      <c r="D5307">
        <v>0</v>
      </c>
      <c r="E5307" t="s">
        <v>379</v>
      </c>
    </row>
    <row r="5308" spans="1:5" x14ac:dyDescent="0.25">
      <c r="A5308" s="279">
        <v>39157</v>
      </c>
      <c r="B5308" t="s">
        <v>338</v>
      </c>
      <c r="C5308" t="s">
        <v>80</v>
      </c>
      <c r="D5308">
        <v>0</v>
      </c>
      <c r="E5308" t="s">
        <v>379</v>
      </c>
    </row>
    <row r="5309" spans="1:5" x14ac:dyDescent="0.25">
      <c r="A5309" s="279">
        <v>39157</v>
      </c>
      <c r="B5309" t="s">
        <v>339</v>
      </c>
      <c r="C5309" t="s">
        <v>71</v>
      </c>
      <c r="D5309">
        <v>0</v>
      </c>
      <c r="E5309" t="s">
        <v>378</v>
      </c>
    </row>
    <row r="5310" spans="1:5" x14ac:dyDescent="0.25">
      <c r="A5310" s="279">
        <v>39157</v>
      </c>
      <c r="B5310" t="s">
        <v>339</v>
      </c>
      <c r="C5310" t="s">
        <v>72</v>
      </c>
      <c r="D5310">
        <v>2611</v>
      </c>
      <c r="E5310" t="s">
        <v>380</v>
      </c>
    </row>
    <row r="5311" spans="1:5" x14ac:dyDescent="0.25">
      <c r="A5311" s="279">
        <v>39157</v>
      </c>
      <c r="B5311" t="s">
        <v>339</v>
      </c>
      <c r="C5311" t="s">
        <v>73</v>
      </c>
      <c r="D5311">
        <v>0</v>
      </c>
      <c r="E5311" t="s">
        <v>378</v>
      </c>
    </row>
    <row r="5312" spans="1:5" x14ac:dyDescent="0.25">
      <c r="A5312" s="279">
        <v>39157</v>
      </c>
      <c r="B5312" t="s">
        <v>339</v>
      </c>
      <c r="C5312" t="s">
        <v>74</v>
      </c>
      <c r="D5312">
        <v>48884</v>
      </c>
      <c r="E5312" t="s">
        <v>380</v>
      </c>
    </row>
    <row r="5313" spans="1:5" x14ac:dyDescent="0.25">
      <c r="A5313" s="279">
        <v>39157</v>
      </c>
      <c r="B5313" t="s">
        <v>339</v>
      </c>
      <c r="C5313" t="s">
        <v>75</v>
      </c>
      <c r="D5313">
        <v>15065</v>
      </c>
      <c r="E5313" t="s">
        <v>378</v>
      </c>
    </row>
    <row r="5314" spans="1:5" x14ac:dyDescent="0.25">
      <c r="A5314" s="279">
        <v>39157</v>
      </c>
      <c r="B5314" t="s">
        <v>339</v>
      </c>
      <c r="C5314" t="s">
        <v>76</v>
      </c>
      <c r="D5314">
        <v>33865</v>
      </c>
      <c r="E5314" t="s">
        <v>380</v>
      </c>
    </row>
    <row r="5315" spans="1:5" x14ac:dyDescent="0.25">
      <c r="A5315" s="279">
        <v>39157</v>
      </c>
      <c r="B5315" t="s">
        <v>339</v>
      </c>
      <c r="C5315" t="s">
        <v>77</v>
      </c>
      <c r="D5315">
        <v>7296</v>
      </c>
      <c r="E5315" t="s">
        <v>378</v>
      </c>
    </row>
    <row r="5316" spans="1:5" x14ac:dyDescent="0.25">
      <c r="A5316" s="279">
        <v>39157</v>
      </c>
      <c r="B5316" t="s">
        <v>339</v>
      </c>
      <c r="C5316" t="s">
        <v>78</v>
      </c>
      <c r="D5316">
        <v>43776</v>
      </c>
      <c r="E5316" t="s">
        <v>380</v>
      </c>
    </row>
    <row r="5317" spans="1:5" x14ac:dyDescent="0.25">
      <c r="A5317" s="279">
        <v>39157</v>
      </c>
      <c r="B5317" t="s">
        <v>339</v>
      </c>
      <c r="C5317" t="s">
        <v>79</v>
      </c>
      <c r="D5317">
        <v>84262</v>
      </c>
      <c r="E5317" t="s">
        <v>379</v>
      </c>
    </row>
    <row r="5318" spans="1:5" x14ac:dyDescent="0.25">
      <c r="A5318" s="279">
        <v>39157</v>
      </c>
      <c r="B5318" t="s">
        <v>339</v>
      </c>
      <c r="C5318" t="s">
        <v>70</v>
      </c>
      <c r="D5318">
        <v>0</v>
      </c>
      <c r="E5318" t="s">
        <v>379</v>
      </c>
    </row>
    <row r="5319" spans="1:5" x14ac:dyDescent="0.25">
      <c r="A5319" s="279">
        <v>39157</v>
      </c>
      <c r="B5319" t="s">
        <v>339</v>
      </c>
      <c r="C5319" t="s">
        <v>63</v>
      </c>
      <c r="D5319">
        <v>0</v>
      </c>
      <c r="E5319" t="s">
        <v>378</v>
      </c>
    </row>
    <row r="5320" spans="1:5" x14ac:dyDescent="0.25">
      <c r="A5320" s="279">
        <v>39157</v>
      </c>
      <c r="B5320" t="s">
        <v>339</v>
      </c>
      <c r="C5320" t="s">
        <v>80</v>
      </c>
      <c r="D5320">
        <v>134</v>
      </c>
      <c r="E5320" t="s">
        <v>379</v>
      </c>
    </row>
    <row r="5321" spans="1:5" x14ac:dyDescent="0.25">
      <c r="A5321" s="279">
        <v>39158</v>
      </c>
      <c r="B5321" t="s">
        <v>338</v>
      </c>
      <c r="C5321" t="s">
        <v>59</v>
      </c>
      <c r="D5321">
        <v>0</v>
      </c>
      <c r="E5321" t="s">
        <v>378</v>
      </c>
    </row>
    <row r="5322" spans="1:5" x14ac:dyDescent="0.25">
      <c r="A5322" s="279">
        <v>39158</v>
      </c>
      <c r="B5322" t="s">
        <v>338</v>
      </c>
      <c r="C5322" t="s">
        <v>60</v>
      </c>
      <c r="D5322">
        <v>4395</v>
      </c>
      <c r="E5322" t="s">
        <v>379</v>
      </c>
    </row>
    <row r="5323" spans="1:5" x14ac:dyDescent="0.25">
      <c r="A5323" s="279">
        <v>39158</v>
      </c>
      <c r="B5323" t="s">
        <v>338</v>
      </c>
      <c r="C5323" t="s">
        <v>61</v>
      </c>
      <c r="D5323">
        <v>0</v>
      </c>
      <c r="E5323" t="s">
        <v>378</v>
      </c>
    </row>
    <row r="5324" spans="1:5" x14ac:dyDescent="0.25">
      <c r="A5324" s="279">
        <v>39158</v>
      </c>
      <c r="B5324" t="s">
        <v>338</v>
      </c>
      <c r="C5324" t="s">
        <v>62</v>
      </c>
      <c r="D5324">
        <v>33974</v>
      </c>
      <c r="E5324" t="s">
        <v>380</v>
      </c>
    </row>
    <row r="5325" spans="1:5" x14ac:dyDescent="0.25">
      <c r="A5325" s="279">
        <v>39158</v>
      </c>
      <c r="B5325" t="s">
        <v>338</v>
      </c>
      <c r="C5325" t="s">
        <v>63</v>
      </c>
      <c r="D5325">
        <v>0</v>
      </c>
      <c r="E5325" t="s">
        <v>378</v>
      </c>
    </row>
    <row r="5326" spans="1:5" x14ac:dyDescent="0.25">
      <c r="A5326" s="279">
        <v>39158</v>
      </c>
      <c r="B5326" t="s">
        <v>338</v>
      </c>
      <c r="C5326" t="s">
        <v>64</v>
      </c>
      <c r="D5326">
        <v>28361</v>
      </c>
      <c r="E5326" t="s">
        <v>380</v>
      </c>
    </row>
    <row r="5327" spans="1:5" x14ac:dyDescent="0.25">
      <c r="A5327" s="279">
        <v>39158</v>
      </c>
      <c r="B5327" t="s">
        <v>338</v>
      </c>
      <c r="C5327" t="s">
        <v>65</v>
      </c>
      <c r="D5327">
        <v>0</v>
      </c>
      <c r="E5327" t="s">
        <v>378</v>
      </c>
    </row>
    <row r="5328" spans="1:5" x14ac:dyDescent="0.25">
      <c r="A5328" s="279">
        <v>39158</v>
      </c>
      <c r="B5328" t="s">
        <v>338</v>
      </c>
      <c r="C5328" t="s">
        <v>66</v>
      </c>
      <c r="D5328">
        <v>0</v>
      </c>
      <c r="E5328" t="s">
        <v>380</v>
      </c>
    </row>
    <row r="5329" spans="1:5" x14ac:dyDescent="0.25">
      <c r="A5329" s="279">
        <v>39158</v>
      </c>
      <c r="B5329" t="s">
        <v>338</v>
      </c>
      <c r="C5329" t="s">
        <v>120</v>
      </c>
      <c r="D5329">
        <v>0</v>
      </c>
      <c r="E5329" t="s">
        <v>378</v>
      </c>
    </row>
    <row r="5330" spans="1:5" x14ac:dyDescent="0.25">
      <c r="A5330" s="279">
        <v>39158</v>
      </c>
      <c r="B5330" t="s">
        <v>338</v>
      </c>
      <c r="C5330" t="s">
        <v>121</v>
      </c>
      <c r="D5330">
        <v>20162</v>
      </c>
      <c r="E5330" t="s">
        <v>380</v>
      </c>
    </row>
    <row r="5331" spans="1:5" x14ac:dyDescent="0.25">
      <c r="A5331" s="279">
        <v>39158</v>
      </c>
      <c r="B5331" t="s">
        <v>338</v>
      </c>
      <c r="C5331" t="s">
        <v>67</v>
      </c>
      <c r="D5331">
        <v>0</v>
      </c>
      <c r="E5331" t="s">
        <v>378</v>
      </c>
    </row>
    <row r="5332" spans="1:5" x14ac:dyDescent="0.25">
      <c r="A5332" s="279">
        <v>39158</v>
      </c>
      <c r="B5332" t="s">
        <v>338</v>
      </c>
      <c r="C5332" t="s">
        <v>68</v>
      </c>
      <c r="D5332">
        <v>0</v>
      </c>
      <c r="E5332" t="s">
        <v>380</v>
      </c>
    </row>
    <row r="5333" spans="1:5" x14ac:dyDescent="0.25">
      <c r="A5333" s="279">
        <v>39158</v>
      </c>
      <c r="B5333" t="s">
        <v>338</v>
      </c>
      <c r="C5333" t="s">
        <v>69</v>
      </c>
      <c r="D5333">
        <v>34816</v>
      </c>
      <c r="E5333" t="s">
        <v>379</v>
      </c>
    </row>
    <row r="5334" spans="1:5" x14ac:dyDescent="0.25">
      <c r="A5334" s="279">
        <v>39158</v>
      </c>
      <c r="B5334" t="s">
        <v>338</v>
      </c>
      <c r="C5334" t="s">
        <v>70</v>
      </c>
      <c r="D5334">
        <v>0</v>
      </c>
      <c r="E5334" t="s">
        <v>379</v>
      </c>
    </row>
    <row r="5335" spans="1:5" x14ac:dyDescent="0.25">
      <c r="A5335" s="279">
        <v>39158</v>
      </c>
      <c r="B5335" t="s">
        <v>338</v>
      </c>
      <c r="C5335" t="s">
        <v>80</v>
      </c>
      <c r="D5335">
        <v>0</v>
      </c>
      <c r="E5335" t="s">
        <v>379</v>
      </c>
    </row>
    <row r="5336" spans="1:5" x14ac:dyDescent="0.25">
      <c r="A5336" s="279">
        <v>39158</v>
      </c>
      <c r="B5336" t="s">
        <v>339</v>
      </c>
      <c r="C5336" t="s">
        <v>71</v>
      </c>
      <c r="D5336">
        <v>0</v>
      </c>
      <c r="E5336" t="s">
        <v>378</v>
      </c>
    </row>
    <row r="5337" spans="1:5" x14ac:dyDescent="0.25">
      <c r="A5337" s="279">
        <v>39158</v>
      </c>
      <c r="B5337" t="s">
        <v>339</v>
      </c>
      <c r="C5337" t="s">
        <v>72</v>
      </c>
      <c r="D5337">
        <v>2218</v>
      </c>
      <c r="E5337" t="s">
        <v>380</v>
      </c>
    </row>
    <row r="5338" spans="1:5" x14ac:dyDescent="0.25">
      <c r="A5338" s="279">
        <v>39158</v>
      </c>
      <c r="B5338" t="s">
        <v>339</v>
      </c>
      <c r="C5338" t="s">
        <v>73</v>
      </c>
      <c r="D5338">
        <v>0</v>
      </c>
      <c r="E5338" t="s">
        <v>378</v>
      </c>
    </row>
    <row r="5339" spans="1:5" x14ac:dyDescent="0.25">
      <c r="A5339" s="279">
        <v>39158</v>
      </c>
      <c r="B5339" t="s">
        <v>339</v>
      </c>
      <c r="C5339" t="s">
        <v>74</v>
      </c>
      <c r="D5339">
        <v>44954</v>
      </c>
      <c r="E5339" t="s">
        <v>380</v>
      </c>
    </row>
    <row r="5340" spans="1:5" x14ac:dyDescent="0.25">
      <c r="A5340" s="279">
        <v>39158</v>
      </c>
      <c r="B5340" t="s">
        <v>339</v>
      </c>
      <c r="C5340" t="s">
        <v>75</v>
      </c>
      <c r="D5340">
        <v>15021</v>
      </c>
      <c r="E5340" t="s">
        <v>378</v>
      </c>
    </row>
    <row r="5341" spans="1:5" x14ac:dyDescent="0.25">
      <c r="A5341" s="279">
        <v>39158</v>
      </c>
      <c r="B5341" t="s">
        <v>339</v>
      </c>
      <c r="C5341" t="s">
        <v>76</v>
      </c>
      <c r="D5341">
        <v>33767</v>
      </c>
      <c r="E5341" t="s">
        <v>380</v>
      </c>
    </row>
    <row r="5342" spans="1:5" x14ac:dyDescent="0.25">
      <c r="A5342" s="279">
        <v>39158</v>
      </c>
      <c r="B5342" t="s">
        <v>339</v>
      </c>
      <c r="C5342" t="s">
        <v>77</v>
      </c>
      <c r="D5342">
        <v>7275</v>
      </c>
      <c r="E5342" t="s">
        <v>378</v>
      </c>
    </row>
    <row r="5343" spans="1:5" x14ac:dyDescent="0.25">
      <c r="A5343" s="279">
        <v>39158</v>
      </c>
      <c r="B5343" t="s">
        <v>339</v>
      </c>
      <c r="C5343" t="s">
        <v>78</v>
      </c>
      <c r="D5343">
        <v>24003</v>
      </c>
      <c r="E5343" t="s">
        <v>380</v>
      </c>
    </row>
    <row r="5344" spans="1:5" x14ac:dyDescent="0.25">
      <c r="A5344" s="279">
        <v>39158</v>
      </c>
      <c r="B5344" t="s">
        <v>339</v>
      </c>
      <c r="C5344" t="s">
        <v>79</v>
      </c>
      <c r="D5344">
        <v>103665</v>
      </c>
      <c r="E5344" t="s">
        <v>379</v>
      </c>
    </row>
    <row r="5345" spans="1:5" x14ac:dyDescent="0.25">
      <c r="A5345" s="279">
        <v>39158</v>
      </c>
      <c r="B5345" t="s">
        <v>339</v>
      </c>
      <c r="C5345" t="s">
        <v>70</v>
      </c>
      <c r="D5345">
        <v>0</v>
      </c>
      <c r="E5345" t="s">
        <v>379</v>
      </c>
    </row>
    <row r="5346" spans="1:5" x14ac:dyDescent="0.25">
      <c r="A5346" s="279">
        <v>39158</v>
      </c>
      <c r="B5346" t="s">
        <v>339</v>
      </c>
      <c r="C5346" t="s">
        <v>63</v>
      </c>
      <c r="D5346">
        <v>0</v>
      </c>
      <c r="E5346" t="s">
        <v>378</v>
      </c>
    </row>
    <row r="5347" spans="1:5" x14ac:dyDescent="0.25">
      <c r="A5347" s="279">
        <v>39158</v>
      </c>
      <c r="B5347" t="s">
        <v>339</v>
      </c>
      <c r="C5347" t="s">
        <v>80</v>
      </c>
      <c r="D5347">
        <v>133</v>
      </c>
      <c r="E5347" t="s">
        <v>379</v>
      </c>
    </row>
    <row r="5348" spans="1:5" x14ac:dyDescent="0.25">
      <c r="A5348" s="279">
        <v>39159</v>
      </c>
      <c r="B5348" t="s">
        <v>338</v>
      </c>
      <c r="C5348" t="s">
        <v>59</v>
      </c>
      <c r="D5348">
        <v>0</v>
      </c>
      <c r="E5348" t="s">
        <v>378</v>
      </c>
    </row>
    <row r="5349" spans="1:5" x14ac:dyDescent="0.25">
      <c r="A5349" s="279">
        <v>39159</v>
      </c>
      <c r="B5349" t="s">
        <v>338</v>
      </c>
      <c r="C5349" t="s">
        <v>60</v>
      </c>
      <c r="D5349">
        <v>4395</v>
      </c>
      <c r="E5349" t="s">
        <v>379</v>
      </c>
    </row>
    <row r="5350" spans="1:5" x14ac:dyDescent="0.25">
      <c r="A5350" s="279">
        <v>39159</v>
      </c>
      <c r="B5350" t="s">
        <v>338</v>
      </c>
      <c r="C5350" t="s">
        <v>61</v>
      </c>
      <c r="D5350">
        <v>0</v>
      </c>
      <c r="E5350" t="s">
        <v>378</v>
      </c>
    </row>
    <row r="5351" spans="1:5" x14ac:dyDescent="0.25">
      <c r="A5351" s="279">
        <v>39159</v>
      </c>
      <c r="B5351" t="s">
        <v>338</v>
      </c>
      <c r="C5351" t="s">
        <v>62</v>
      </c>
      <c r="D5351">
        <v>33338</v>
      </c>
      <c r="E5351" t="s">
        <v>380</v>
      </c>
    </row>
    <row r="5352" spans="1:5" x14ac:dyDescent="0.25">
      <c r="A5352" s="279">
        <v>39159</v>
      </c>
      <c r="B5352" t="s">
        <v>338</v>
      </c>
      <c r="C5352" t="s">
        <v>63</v>
      </c>
      <c r="D5352">
        <v>0</v>
      </c>
      <c r="E5352" t="s">
        <v>378</v>
      </c>
    </row>
    <row r="5353" spans="1:5" x14ac:dyDescent="0.25">
      <c r="A5353" s="279">
        <v>39159</v>
      </c>
      <c r="B5353" t="s">
        <v>338</v>
      </c>
      <c r="C5353" t="s">
        <v>64</v>
      </c>
      <c r="D5353">
        <v>28361</v>
      </c>
      <c r="E5353" t="s">
        <v>380</v>
      </c>
    </row>
    <row r="5354" spans="1:5" x14ac:dyDescent="0.25">
      <c r="A5354" s="279">
        <v>39159</v>
      </c>
      <c r="B5354" t="s">
        <v>338</v>
      </c>
      <c r="C5354" t="s">
        <v>65</v>
      </c>
      <c r="D5354">
        <v>0</v>
      </c>
      <c r="E5354" t="s">
        <v>378</v>
      </c>
    </row>
    <row r="5355" spans="1:5" x14ac:dyDescent="0.25">
      <c r="A5355" s="279">
        <v>39159</v>
      </c>
      <c r="B5355" t="s">
        <v>338</v>
      </c>
      <c r="C5355" t="s">
        <v>66</v>
      </c>
      <c r="D5355">
        <v>0</v>
      </c>
      <c r="E5355" t="s">
        <v>380</v>
      </c>
    </row>
    <row r="5356" spans="1:5" x14ac:dyDescent="0.25">
      <c r="A5356" s="279">
        <v>39159</v>
      </c>
      <c r="B5356" t="s">
        <v>338</v>
      </c>
      <c r="C5356" t="s">
        <v>120</v>
      </c>
      <c r="D5356">
        <v>0</v>
      </c>
      <c r="E5356" t="s">
        <v>378</v>
      </c>
    </row>
    <row r="5357" spans="1:5" x14ac:dyDescent="0.25">
      <c r="A5357" s="279">
        <v>39159</v>
      </c>
      <c r="B5357" t="s">
        <v>338</v>
      </c>
      <c r="C5357" t="s">
        <v>121</v>
      </c>
      <c r="D5357">
        <v>20162</v>
      </c>
      <c r="E5357" t="s">
        <v>380</v>
      </c>
    </row>
    <row r="5358" spans="1:5" x14ac:dyDescent="0.25">
      <c r="A5358" s="279">
        <v>39159</v>
      </c>
      <c r="B5358" t="s">
        <v>338</v>
      </c>
      <c r="C5358" t="s">
        <v>67</v>
      </c>
      <c r="D5358">
        <v>0</v>
      </c>
      <c r="E5358" t="s">
        <v>378</v>
      </c>
    </row>
    <row r="5359" spans="1:5" x14ac:dyDescent="0.25">
      <c r="A5359" s="279">
        <v>39159</v>
      </c>
      <c r="B5359" t="s">
        <v>338</v>
      </c>
      <c r="C5359" t="s">
        <v>68</v>
      </c>
      <c r="D5359">
        <v>0</v>
      </c>
      <c r="E5359" t="s">
        <v>380</v>
      </c>
    </row>
    <row r="5360" spans="1:5" x14ac:dyDescent="0.25">
      <c r="A5360" s="279">
        <v>39159</v>
      </c>
      <c r="B5360" t="s">
        <v>338</v>
      </c>
      <c r="C5360" t="s">
        <v>69</v>
      </c>
      <c r="D5360">
        <v>34816</v>
      </c>
      <c r="E5360" t="s">
        <v>379</v>
      </c>
    </row>
    <row r="5361" spans="1:5" x14ac:dyDescent="0.25">
      <c r="A5361" s="279">
        <v>39159</v>
      </c>
      <c r="B5361" t="s">
        <v>338</v>
      </c>
      <c r="C5361" t="s">
        <v>70</v>
      </c>
      <c r="D5361">
        <v>0</v>
      </c>
      <c r="E5361" t="s">
        <v>379</v>
      </c>
    </row>
    <row r="5362" spans="1:5" x14ac:dyDescent="0.25">
      <c r="A5362" s="279">
        <v>39159</v>
      </c>
      <c r="B5362" t="s">
        <v>338</v>
      </c>
      <c r="C5362" t="s">
        <v>80</v>
      </c>
      <c r="D5362">
        <v>0</v>
      </c>
      <c r="E5362" t="s">
        <v>379</v>
      </c>
    </row>
    <row r="5363" spans="1:5" x14ac:dyDescent="0.25">
      <c r="A5363" s="279">
        <v>39159</v>
      </c>
      <c r="B5363" t="s">
        <v>339</v>
      </c>
      <c r="C5363" t="s">
        <v>71</v>
      </c>
      <c r="D5363">
        <v>0</v>
      </c>
      <c r="E5363" t="s">
        <v>378</v>
      </c>
    </row>
    <row r="5364" spans="1:5" x14ac:dyDescent="0.25">
      <c r="A5364" s="279">
        <v>39159</v>
      </c>
      <c r="B5364" t="s">
        <v>339</v>
      </c>
      <c r="C5364" t="s">
        <v>72</v>
      </c>
      <c r="D5364">
        <v>2216</v>
      </c>
      <c r="E5364" t="s">
        <v>380</v>
      </c>
    </row>
    <row r="5365" spans="1:5" x14ac:dyDescent="0.25">
      <c r="A5365" s="279">
        <v>39159</v>
      </c>
      <c r="B5365" t="s">
        <v>339</v>
      </c>
      <c r="C5365" t="s">
        <v>73</v>
      </c>
      <c r="D5365">
        <v>0</v>
      </c>
      <c r="E5365" t="s">
        <v>378</v>
      </c>
    </row>
    <row r="5366" spans="1:5" x14ac:dyDescent="0.25">
      <c r="A5366" s="279">
        <v>39159</v>
      </c>
      <c r="B5366" t="s">
        <v>339</v>
      </c>
      <c r="C5366" t="s">
        <v>74</v>
      </c>
      <c r="D5366">
        <v>43353</v>
      </c>
      <c r="E5366" t="s">
        <v>380</v>
      </c>
    </row>
    <row r="5367" spans="1:5" x14ac:dyDescent="0.25">
      <c r="A5367" s="279">
        <v>39159</v>
      </c>
      <c r="B5367" t="s">
        <v>339</v>
      </c>
      <c r="C5367" t="s">
        <v>75</v>
      </c>
      <c r="D5367">
        <v>15006</v>
      </c>
      <c r="E5367" t="s">
        <v>378</v>
      </c>
    </row>
    <row r="5368" spans="1:5" x14ac:dyDescent="0.25">
      <c r="A5368" s="279">
        <v>39159</v>
      </c>
      <c r="B5368" t="s">
        <v>339</v>
      </c>
      <c r="C5368" t="s">
        <v>76</v>
      </c>
      <c r="D5368">
        <v>33734</v>
      </c>
      <c r="E5368" t="s">
        <v>380</v>
      </c>
    </row>
    <row r="5369" spans="1:5" x14ac:dyDescent="0.25">
      <c r="A5369" s="279">
        <v>39159</v>
      </c>
      <c r="B5369" t="s">
        <v>339</v>
      </c>
      <c r="C5369" t="s">
        <v>77</v>
      </c>
      <c r="D5369">
        <v>7268</v>
      </c>
      <c r="E5369" t="s">
        <v>378</v>
      </c>
    </row>
    <row r="5370" spans="1:5" x14ac:dyDescent="0.25">
      <c r="A5370" s="279">
        <v>39159</v>
      </c>
      <c r="B5370" t="s">
        <v>339</v>
      </c>
      <c r="C5370" t="s">
        <v>78</v>
      </c>
      <c r="D5370">
        <v>14451</v>
      </c>
      <c r="E5370" t="s">
        <v>380</v>
      </c>
    </row>
    <row r="5371" spans="1:5" x14ac:dyDescent="0.25">
      <c r="A5371" s="279">
        <v>39159</v>
      </c>
      <c r="B5371" t="s">
        <v>339</v>
      </c>
      <c r="C5371" t="s">
        <v>79</v>
      </c>
      <c r="D5371">
        <v>98176</v>
      </c>
      <c r="E5371" t="s">
        <v>379</v>
      </c>
    </row>
    <row r="5372" spans="1:5" x14ac:dyDescent="0.25">
      <c r="A5372" s="279">
        <v>39159</v>
      </c>
      <c r="B5372" t="s">
        <v>339</v>
      </c>
      <c r="C5372" t="s">
        <v>70</v>
      </c>
      <c r="D5372">
        <v>0</v>
      </c>
      <c r="E5372" t="s">
        <v>379</v>
      </c>
    </row>
    <row r="5373" spans="1:5" x14ac:dyDescent="0.25">
      <c r="A5373" s="279">
        <v>39159</v>
      </c>
      <c r="B5373" t="s">
        <v>339</v>
      </c>
      <c r="C5373" t="s">
        <v>63</v>
      </c>
      <c r="D5373">
        <v>0</v>
      </c>
      <c r="E5373" t="s">
        <v>378</v>
      </c>
    </row>
    <row r="5374" spans="1:5" x14ac:dyDescent="0.25">
      <c r="A5374" s="279">
        <v>39159</v>
      </c>
      <c r="B5374" t="s">
        <v>339</v>
      </c>
      <c r="C5374" t="s">
        <v>80</v>
      </c>
      <c r="D5374">
        <v>133</v>
      </c>
      <c r="E5374" t="s">
        <v>379</v>
      </c>
    </row>
    <row r="5375" spans="1:5" x14ac:dyDescent="0.25">
      <c r="A5375" s="279">
        <v>39160</v>
      </c>
      <c r="B5375" t="s">
        <v>338</v>
      </c>
      <c r="C5375" t="s">
        <v>59</v>
      </c>
      <c r="D5375">
        <v>0</v>
      </c>
      <c r="E5375" t="s">
        <v>378</v>
      </c>
    </row>
    <row r="5376" spans="1:5" x14ac:dyDescent="0.25">
      <c r="A5376" s="279">
        <v>39160</v>
      </c>
      <c r="B5376" t="s">
        <v>338</v>
      </c>
      <c r="C5376" t="s">
        <v>60</v>
      </c>
      <c r="D5376">
        <v>4395</v>
      </c>
      <c r="E5376" t="s">
        <v>379</v>
      </c>
    </row>
    <row r="5377" spans="1:5" x14ac:dyDescent="0.25">
      <c r="A5377" s="279">
        <v>39160</v>
      </c>
      <c r="B5377" t="s">
        <v>338</v>
      </c>
      <c r="C5377" t="s">
        <v>61</v>
      </c>
      <c r="D5377">
        <v>0</v>
      </c>
      <c r="E5377" t="s">
        <v>378</v>
      </c>
    </row>
    <row r="5378" spans="1:5" x14ac:dyDescent="0.25">
      <c r="A5378" s="279">
        <v>39160</v>
      </c>
      <c r="B5378" t="s">
        <v>338</v>
      </c>
      <c r="C5378" t="s">
        <v>62</v>
      </c>
      <c r="D5378">
        <v>0</v>
      </c>
      <c r="E5378" t="s">
        <v>380</v>
      </c>
    </row>
    <row r="5379" spans="1:5" x14ac:dyDescent="0.25">
      <c r="A5379" s="279">
        <v>39160</v>
      </c>
      <c r="B5379" t="s">
        <v>338</v>
      </c>
      <c r="C5379" t="s">
        <v>63</v>
      </c>
      <c r="D5379">
        <v>0</v>
      </c>
      <c r="E5379" t="s">
        <v>378</v>
      </c>
    </row>
    <row r="5380" spans="1:5" x14ac:dyDescent="0.25">
      <c r="A5380" s="279">
        <v>39160</v>
      </c>
      <c r="B5380" t="s">
        <v>338</v>
      </c>
      <c r="C5380" t="s">
        <v>64</v>
      </c>
      <c r="D5380">
        <v>28361</v>
      </c>
      <c r="E5380" t="s">
        <v>380</v>
      </c>
    </row>
    <row r="5381" spans="1:5" x14ac:dyDescent="0.25">
      <c r="A5381" s="279">
        <v>39160</v>
      </c>
      <c r="B5381" t="s">
        <v>338</v>
      </c>
      <c r="C5381" t="s">
        <v>65</v>
      </c>
      <c r="D5381">
        <v>0</v>
      </c>
      <c r="E5381" t="s">
        <v>378</v>
      </c>
    </row>
    <row r="5382" spans="1:5" x14ac:dyDescent="0.25">
      <c r="A5382" s="279">
        <v>39160</v>
      </c>
      <c r="B5382" t="s">
        <v>338</v>
      </c>
      <c r="C5382" t="s">
        <v>66</v>
      </c>
      <c r="D5382">
        <v>0</v>
      </c>
      <c r="E5382" t="s">
        <v>380</v>
      </c>
    </row>
    <row r="5383" spans="1:5" x14ac:dyDescent="0.25">
      <c r="A5383" s="279">
        <v>39160</v>
      </c>
      <c r="B5383" t="s">
        <v>338</v>
      </c>
      <c r="C5383" t="s">
        <v>120</v>
      </c>
      <c r="D5383">
        <v>0</v>
      </c>
      <c r="E5383" t="s">
        <v>378</v>
      </c>
    </row>
    <row r="5384" spans="1:5" x14ac:dyDescent="0.25">
      <c r="A5384" s="279">
        <v>39160</v>
      </c>
      <c r="B5384" t="s">
        <v>338</v>
      </c>
      <c r="C5384" t="s">
        <v>121</v>
      </c>
      <c r="D5384">
        <v>17805</v>
      </c>
      <c r="E5384" t="s">
        <v>380</v>
      </c>
    </row>
    <row r="5385" spans="1:5" x14ac:dyDescent="0.25">
      <c r="A5385" s="279">
        <v>39160</v>
      </c>
      <c r="B5385" t="s">
        <v>338</v>
      </c>
      <c r="C5385" t="s">
        <v>67</v>
      </c>
      <c r="D5385">
        <v>0</v>
      </c>
      <c r="E5385" t="s">
        <v>378</v>
      </c>
    </row>
    <row r="5386" spans="1:5" x14ac:dyDescent="0.25">
      <c r="A5386" s="279">
        <v>39160</v>
      </c>
      <c r="B5386" t="s">
        <v>338</v>
      </c>
      <c r="C5386" t="s">
        <v>68</v>
      </c>
      <c r="D5386">
        <v>0</v>
      </c>
      <c r="E5386" t="s">
        <v>380</v>
      </c>
    </row>
    <row r="5387" spans="1:5" x14ac:dyDescent="0.25">
      <c r="A5387" s="279">
        <v>39160</v>
      </c>
      <c r="B5387" t="s">
        <v>338</v>
      </c>
      <c r="C5387" t="s">
        <v>69</v>
      </c>
      <c r="D5387">
        <v>34816</v>
      </c>
      <c r="E5387" t="s">
        <v>379</v>
      </c>
    </row>
    <row r="5388" spans="1:5" x14ac:dyDescent="0.25">
      <c r="A5388" s="279">
        <v>39160</v>
      </c>
      <c r="B5388" t="s">
        <v>338</v>
      </c>
      <c r="C5388" t="s">
        <v>70</v>
      </c>
      <c r="D5388">
        <v>0</v>
      </c>
      <c r="E5388" t="s">
        <v>379</v>
      </c>
    </row>
    <row r="5389" spans="1:5" x14ac:dyDescent="0.25">
      <c r="A5389" s="279">
        <v>39160</v>
      </c>
      <c r="B5389" t="s">
        <v>338</v>
      </c>
      <c r="C5389" t="s">
        <v>80</v>
      </c>
      <c r="D5389">
        <v>0</v>
      </c>
      <c r="E5389" t="s">
        <v>379</v>
      </c>
    </row>
    <row r="5390" spans="1:5" x14ac:dyDescent="0.25">
      <c r="A5390" s="279">
        <v>39160</v>
      </c>
      <c r="B5390" t="s">
        <v>339</v>
      </c>
      <c r="C5390" t="s">
        <v>71</v>
      </c>
      <c r="D5390">
        <v>0</v>
      </c>
      <c r="E5390" t="s">
        <v>378</v>
      </c>
    </row>
    <row r="5391" spans="1:5" x14ac:dyDescent="0.25">
      <c r="A5391" s="279">
        <v>39160</v>
      </c>
      <c r="B5391" t="s">
        <v>339</v>
      </c>
      <c r="C5391" t="s">
        <v>72</v>
      </c>
      <c r="D5391">
        <v>2214</v>
      </c>
      <c r="E5391" t="s">
        <v>380</v>
      </c>
    </row>
    <row r="5392" spans="1:5" x14ac:dyDescent="0.25">
      <c r="A5392" s="279">
        <v>39160</v>
      </c>
      <c r="B5392" t="s">
        <v>339</v>
      </c>
      <c r="C5392" t="s">
        <v>73</v>
      </c>
      <c r="D5392">
        <v>0</v>
      </c>
      <c r="E5392" t="s">
        <v>378</v>
      </c>
    </row>
    <row r="5393" spans="1:5" x14ac:dyDescent="0.25">
      <c r="A5393" s="279">
        <v>39160</v>
      </c>
      <c r="B5393" t="s">
        <v>339</v>
      </c>
      <c r="C5393" t="s">
        <v>74</v>
      </c>
      <c r="D5393">
        <v>0</v>
      </c>
      <c r="E5393" t="s">
        <v>380</v>
      </c>
    </row>
    <row r="5394" spans="1:5" x14ac:dyDescent="0.25">
      <c r="A5394" s="279">
        <v>39160</v>
      </c>
      <c r="B5394" t="s">
        <v>339</v>
      </c>
      <c r="C5394" t="s">
        <v>75</v>
      </c>
      <c r="D5394">
        <v>14992</v>
      </c>
      <c r="E5394" t="s">
        <v>378</v>
      </c>
    </row>
    <row r="5395" spans="1:5" x14ac:dyDescent="0.25">
      <c r="A5395" s="279">
        <v>39160</v>
      </c>
      <c r="B5395" t="s">
        <v>339</v>
      </c>
      <c r="C5395" t="s">
        <v>76</v>
      </c>
      <c r="D5395">
        <v>33070</v>
      </c>
      <c r="E5395" t="s">
        <v>380</v>
      </c>
    </row>
    <row r="5396" spans="1:5" x14ac:dyDescent="0.25">
      <c r="A5396" s="279">
        <v>39160</v>
      </c>
      <c r="B5396" t="s">
        <v>339</v>
      </c>
      <c r="C5396" t="s">
        <v>77</v>
      </c>
      <c r="D5396">
        <v>7261</v>
      </c>
      <c r="E5396" t="s">
        <v>378</v>
      </c>
    </row>
    <row r="5397" spans="1:5" x14ac:dyDescent="0.25">
      <c r="A5397" s="279">
        <v>39160</v>
      </c>
      <c r="B5397" t="s">
        <v>339</v>
      </c>
      <c r="C5397" t="s">
        <v>78</v>
      </c>
      <c r="D5397">
        <v>6995</v>
      </c>
      <c r="E5397" t="s">
        <v>380</v>
      </c>
    </row>
    <row r="5398" spans="1:5" x14ac:dyDescent="0.25">
      <c r="A5398" s="279">
        <v>39160</v>
      </c>
      <c r="B5398" t="s">
        <v>339</v>
      </c>
      <c r="C5398" t="s">
        <v>79</v>
      </c>
      <c r="D5398">
        <v>103466</v>
      </c>
      <c r="E5398" t="s">
        <v>379</v>
      </c>
    </row>
    <row r="5399" spans="1:5" x14ac:dyDescent="0.25">
      <c r="A5399" s="279">
        <v>39160</v>
      </c>
      <c r="B5399" t="s">
        <v>339</v>
      </c>
      <c r="C5399" t="s">
        <v>70</v>
      </c>
      <c r="D5399">
        <v>0</v>
      </c>
      <c r="E5399" t="s">
        <v>379</v>
      </c>
    </row>
    <row r="5400" spans="1:5" x14ac:dyDescent="0.25">
      <c r="A5400" s="279">
        <v>39160</v>
      </c>
      <c r="B5400" t="s">
        <v>339</v>
      </c>
      <c r="C5400" t="s">
        <v>63</v>
      </c>
      <c r="D5400">
        <v>0</v>
      </c>
      <c r="E5400" t="s">
        <v>378</v>
      </c>
    </row>
    <row r="5401" spans="1:5" x14ac:dyDescent="0.25">
      <c r="A5401" s="279">
        <v>39160</v>
      </c>
      <c r="B5401" t="s">
        <v>339</v>
      </c>
      <c r="C5401" t="s">
        <v>80</v>
      </c>
      <c r="D5401">
        <v>133</v>
      </c>
      <c r="E5401" t="s">
        <v>379</v>
      </c>
    </row>
    <row r="5402" spans="1:5" x14ac:dyDescent="0.25">
      <c r="A5402" s="279">
        <v>39161</v>
      </c>
      <c r="B5402" t="s">
        <v>338</v>
      </c>
      <c r="C5402" t="s">
        <v>59</v>
      </c>
      <c r="D5402">
        <v>0</v>
      </c>
      <c r="E5402" t="s">
        <v>378</v>
      </c>
    </row>
    <row r="5403" spans="1:5" x14ac:dyDescent="0.25">
      <c r="A5403" s="279">
        <v>39161</v>
      </c>
      <c r="B5403" t="s">
        <v>338</v>
      </c>
      <c r="C5403" t="s">
        <v>60</v>
      </c>
      <c r="D5403">
        <v>4390</v>
      </c>
      <c r="E5403" t="s">
        <v>379</v>
      </c>
    </row>
    <row r="5404" spans="1:5" x14ac:dyDescent="0.25">
      <c r="A5404" s="279">
        <v>39161</v>
      </c>
      <c r="B5404" t="s">
        <v>338</v>
      </c>
      <c r="C5404" t="s">
        <v>61</v>
      </c>
      <c r="D5404">
        <v>0</v>
      </c>
      <c r="E5404" t="s">
        <v>378</v>
      </c>
    </row>
    <row r="5405" spans="1:5" x14ac:dyDescent="0.25">
      <c r="A5405" s="279">
        <v>39161</v>
      </c>
      <c r="B5405" t="s">
        <v>338</v>
      </c>
      <c r="C5405" t="s">
        <v>62</v>
      </c>
      <c r="D5405">
        <v>3366</v>
      </c>
      <c r="E5405" t="s">
        <v>380</v>
      </c>
    </row>
    <row r="5406" spans="1:5" x14ac:dyDescent="0.25">
      <c r="A5406" s="279">
        <v>39161</v>
      </c>
      <c r="B5406" t="s">
        <v>338</v>
      </c>
      <c r="C5406" t="s">
        <v>63</v>
      </c>
      <c r="D5406">
        <v>0</v>
      </c>
      <c r="E5406" t="s">
        <v>378</v>
      </c>
    </row>
    <row r="5407" spans="1:5" x14ac:dyDescent="0.25">
      <c r="A5407" s="279">
        <v>39161</v>
      </c>
      <c r="B5407" t="s">
        <v>338</v>
      </c>
      <c r="C5407" t="s">
        <v>64</v>
      </c>
      <c r="D5407">
        <v>28333</v>
      </c>
      <c r="E5407" t="s">
        <v>380</v>
      </c>
    </row>
    <row r="5408" spans="1:5" x14ac:dyDescent="0.25">
      <c r="A5408" s="279">
        <v>39161</v>
      </c>
      <c r="B5408" t="s">
        <v>338</v>
      </c>
      <c r="C5408" t="s">
        <v>65</v>
      </c>
      <c r="D5408">
        <v>0</v>
      </c>
      <c r="E5408" t="s">
        <v>378</v>
      </c>
    </row>
    <row r="5409" spans="1:5" x14ac:dyDescent="0.25">
      <c r="A5409" s="279">
        <v>39161</v>
      </c>
      <c r="B5409" t="s">
        <v>338</v>
      </c>
      <c r="C5409" t="s">
        <v>66</v>
      </c>
      <c r="D5409">
        <v>0</v>
      </c>
      <c r="E5409" t="s">
        <v>380</v>
      </c>
    </row>
    <row r="5410" spans="1:5" x14ac:dyDescent="0.25">
      <c r="A5410" s="279">
        <v>39161</v>
      </c>
      <c r="B5410" t="s">
        <v>338</v>
      </c>
      <c r="C5410" t="s">
        <v>120</v>
      </c>
      <c r="D5410">
        <v>0</v>
      </c>
      <c r="E5410" t="s">
        <v>378</v>
      </c>
    </row>
    <row r="5411" spans="1:5" x14ac:dyDescent="0.25">
      <c r="A5411" s="279">
        <v>39161</v>
      </c>
      <c r="B5411" t="s">
        <v>338</v>
      </c>
      <c r="C5411" t="s">
        <v>121</v>
      </c>
      <c r="D5411">
        <v>20142</v>
      </c>
      <c r="E5411" t="s">
        <v>380</v>
      </c>
    </row>
    <row r="5412" spans="1:5" x14ac:dyDescent="0.25">
      <c r="A5412" s="279">
        <v>39161</v>
      </c>
      <c r="B5412" t="s">
        <v>338</v>
      </c>
      <c r="C5412" t="s">
        <v>67</v>
      </c>
      <c r="D5412">
        <v>0</v>
      </c>
      <c r="E5412" t="s">
        <v>378</v>
      </c>
    </row>
    <row r="5413" spans="1:5" x14ac:dyDescent="0.25">
      <c r="A5413" s="279">
        <v>39161</v>
      </c>
      <c r="B5413" t="s">
        <v>338</v>
      </c>
      <c r="C5413" t="s">
        <v>68</v>
      </c>
      <c r="D5413">
        <v>0</v>
      </c>
      <c r="E5413" t="s">
        <v>380</v>
      </c>
    </row>
    <row r="5414" spans="1:5" x14ac:dyDescent="0.25">
      <c r="A5414" s="279">
        <v>39161</v>
      </c>
      <c r="B5414" t="s">
        <v>338</v>
      </c>
      <c r="C5414" t="s">
        <v>69</v>
      </c>
      <c r="D5414">
        <v>34783</v>
      </c>
      <c r="E5414" t="s">
        <v>379</v>
      </c>
    </row>
    <row r="5415" spans="1:5" x14ac:dyDescent="0.25">
      <c r="A5415" s="279">
        <v>39161</v>
      </c>
      <c r="B5415" t="s">
        <v>338</v>
      </c>
      <c r="C5415" t="s">
        <v>70</v>
      </c>
      <c r="D5415">
        <v>0</v>
      </c>
      <c r="E5415" t="s">
        <v>379</v>
      </c>
    </row>
    <row r="5416" spans="1:5" x14ac:dyDescent="0.25">
      <c r="A5416" s="279">
        <v>39161</v>
      </c>
      <c r="B5416" t="s">
        <v>338</v>
      </c>
      <c r="C5416" t="s">
        <v>80</v>
      </c>
      <c r="D5416">
        <v>0</v>
      </c>
      <c r="E5416" t="s">
        <v>379</v>
      </c>
    </row>
    <row r="5417" spans="1:5" x14ac:dyDescent="0.25">
      <c r="A5417" s="279">
        <v>39161</v>
      </c>
      <c r="B5417" t="s">
        <v>339</v>
      </c>
      <c r="C5417" t="s">
        <v>71</v>
      </c>
      <c r="D5417">
        <v>0</v>
      </c>
      <c r="E5417" t="s">
        <v>378</v>
      </c>
    </row>
    <row r="5418" spans="1:5" x14ac:dyDescent="0.25">
      <c r="A5418" s="279">
        <v>39161</v>
      </c>
      <c r="B5418" t="s">
        <v>339</v>
      </c>
      <c r="C5418" t="s">
        <v>72</v>
      </c>
      <c r="D5418">
        <v>1927</v>
      </c>
      <c r="E5418" t="s">
        <v>380</v>
      </c>
    </row>
    <row r="5419" spans="1:5" x14ac:dyDescent="0.25">
      <c r="A5419" s="279">
        <v>39161</v>
      </c>
      <c r="B5419" t="s">
        <v>339</v>
      </c>
      <c r="C5419" t="s">
        <v>73</v>
      </c>
      <c r="D5419">
        <v>0</v>
      </c>
      <c r="E5419" t="s">
        <v>378</v>
      </c>
    </row>
    <row r="5420" spans="1:5" x14ac:dyDescent="0.25">
      <c r="A5420" s="279">
        <v>39161</v>
      </c>
      <c r="B5420" t="s">
        <v>339</v>
      </c>
      <c r="C5420" t="s">
        <v>74</v>
      </c>
      <c r="D5420">
        <v>846</v>
      </c>
      <c r="E5420" t="s">
        <v>380</v>
      </c>
    </row>
    <row r="5421" spans="1:5" x14ac:dyDescent="0.25">
      <c r="A5421" s="279">
        <v>39161</v>
      </c>
      <c r="B5421" t="s">
        <v>339</v>
      </c>
      <c r="C5421" t="s">
        <v>75</v>
      </c>
      <c r="D5421">
        <v>15006</v>
      </c>
      <c r="E5421" t="s">
        <v>378</v>
      </c>
    </row>
    <row r="5422" spans="1:5" x14ac:dyDescent="0.25">
      <c r="A5422" s="279">
        <v>39161</v>
      </c>
      <c r="B5422" t="s">
        <v>339</v>
      </c>
      <c r="C5422" t="s">
        <v>76</v>
      </c>
      <c r="D5422">
        <v>33734</v>
      </c>
      <c r="E5422" t="s">
        <v>380</v>
      </c>
    </row>
    <row r="5423" spans="1:5" x14ac:dyDescent="0.25">
      <c r="A5423" s="279">
        <v>39161</v>
      </c>
      <c r="B5423" t="s">
        <v>339</v>
      </c>
      <c r="C5423" t="s">
        <v>77</v>
      </c>
      <c r="D5423">
        <v>7268</v>
      </c>
      <c r="E5423" t="s">
        <v>378</v>
      </c>
    </row>
    <row r="5424" spans="1:5" x14ac:dyDescent="0.25">
      <c r="A5424" s="279">
        <v>39161</v>
      </c>
      <c r="B5424" t="s">
        <v>339</v>
      </c>
      <c r="C5424" t="s">
        <v>78</v>
      </c>
      <c r="D5424">
        <v>7002</v>
      </c>
      <c r="E5424" t="s">
        <v>380</v>
      </c>
    </row>
    <row r="5425" spans="1:5" x14ac:dyDescent="0.25">
      <c r="A5425" s="279">
        <v>39161</v>
      </c>
      <c r="B5425" t="s">
        <v>339</v>
      </c>
      <c r="C5425" t="s">
        <v>79</v>
      </c>
      <c r="D5425">
        <v>103556</v>
      </c>
      <c r="E5425" t="s">
        <v>379</v>
      </c>
    </row>
    <row r="5426" spans="1:5" x14ac:dyDescent="0.25">
      <c r="A5426" s="279">
        <v>39161</v>
      </c>
      <c r="B5426" t="s">
        <v>339</v>
      </c>
      <c r="C5426" t="s">
        <v>70</v>
      </c>
      <c r="D5426">
        <v>0</v>
      </c>
      <c r="E5426" t="s">
        <v>379</v>
      </c>
    </row>
    <row r="5427" spans="1:5" x14ac:dyDescent="0.25">
      <c r="A5427" s="279">
        <v>39161</v>
      </c>
      <c r="B5427" t="s">
        <v>339</v>
      </c>
      <c r="C5427" t="s">
        <v>63</v>
      </c>
      <c r="D5427">
        <v>0</v>
      </c>
      <c r="E5427" t="s">
        <v>378</v>
      </c>
    </row>
    <row r="5428" spans="1:5" x14ac:dyDescent="0.25">
      <c r="A5428" s="279">
        <v>39161</v>
      </c>
      <c r="B5428" t="s">
        <v>339</v>
      </c>
      <c r="C5428" t="s">
        <v>80</v>
      </c>
      <c r="D5428">
        <v>133</v>
      </c>
      <c r="E5428" t="s">
        <v>379</v>
      </c>
    </row>
    <row r="5429" spans="1:5" x14ac:dyDescent="0.25">
      <c r="A5429" s="279">
        <v>39162</v>
      </c>
      <c r="B5429" t="s">
        <v>338</v>
      </c>
      <c r="C5429" t="s">
        <v>59</v>
      </c>
      <c r="D5429">
        <v>0</v>
      </c>
      <c r="E5429" t="s">
        <v>378</v>
      </c>
    </row>
    <row r="5430" spans="1:5" x14ac:dyDescent="0.25">
      <c r="A5430" s="279">
        <v>39162</v>
      </c>
      <c r="B5430" t="s">
        <v>338</v>
      </c>
      <c r="C5430" t="s">
        <v>60</v>
      </c>
      <c r="D5430">
        <v>4390</v>
      </c>
      <c r="E5430" t="s">
        <v>379</v>
      </c>
    </row>
    <row r="5431" spans="1:5" x14ac:dyDescent="0.25">
      <c r="A5431" s="279">
        <v>39162</v>
      </c>
      <c r="B5431" t="s">
        <v>338</v>
      </c>
      <c r="C5431" t="s">
        <v>61</v>
      </c>
      <c r="D5431">
        <v>0</v>
      </c>
      <c r="E5431" t="s">
        <v>378</v>
      </c>
    </row>
    <row r="5432" spans="1:5" x14ac:dyDescent="0.25">
      <c r="A5432" s="279">
        <v>39162</v>
      </c>
      <c r="B5432" t="s">
        <v>338</v>
      </c>
      <c r="C5432" t="s">
        <v>62</v>
      </c>
      <c r="D5432">
        <v>3368</v>
      </c>
      <c r="E5432" t="s">
        <v>380</v>
      </c>
    </row>
    <row r="5433" spans="1:5" x14ac:dyDescent="0.25">
      <c r="A5433" s="279">
        <v>39162</v>
      </c>
      <c r="B5433" t="s">
        <v>338</v>
      </c>
      <c r="C5433" t="s">
        <v>63</v>
      </c>
      <c r="D5433">
        <v>0</v>
      </c>
      <c r="E5433" t="s">
        <v>378</v>
      </c>
    </row>
    <row r="5434" spans="1:5" x14ac:dyDescent="0.25">
      <c r="A5434" s="279">
        <v>39162</v>
      </c>
      <c r="B5434" t="s">
        <v>338</v>
      </c>
      <c r="C5434" t="s">
        <v>64</v>
      </c>
      <c r="D5434">
        <v>28333</v>
      </c>
      <c r="E5434" t="s">
        <v>380</v>
      </c>
    </row>
    <row r="5435" spans="1:5" x14ac:dyDescent="0.25">
      <c r="A5435" s="279">
        <v>39162</v>
      </c>
      <c r="B5435" t="s">
        <v>338</v>
      </c>
      <c r="C5435" t="s">
        <v>65</v>
      </c>
      <c r="D5435">
        <v>0</v>
      </c>
      <c r="E5435" t="s">
        <v>378</v>
      </c>
    </row>
    <row r="5436" spans="1:5" x14ac:dyDescent="0.25">
      <c r="A5436" s="279">
        <v>39162</v>
      </c>
      <c r="B5436" t="s">
        <v>338</v>
      </c>
      <c r="C5436" t="s">
        <v>66</v>
      </c>
      <c r="D5436">
        <v>0</v>
      </c>
      <c r="E5436" t="s">
        <v>380</v>
      </c>
    </row>
    <row r="5437" spans="1:5" x14ac:dyDescent="0.25">
      <c r="A5437" s="279">
        <v>39162</v>
      </c>
      <c r="B5437" t="s">
        <v>338</v>
      </c>
      <c r="C5437" t="s">
        <v>120</v>
      </c>
      <c r="D5437">
        <v>0</v>
      </c>
      <c r="E5437" t="s">
        <v>378</v>
      </c>
    </row>
    <row r="5438" spans="1:5" x14ac:dyDescent="0.25">
      <c r="A5438" s="279">
        <v>39162</v>
      </c>
      <c r="B5438" t="s">
        <v>338</v>
      </c>
      <c r="C5438" t="s">
        <v>121</v>
      </c>
      <c r="D5438">
        <v>20142</v>
      </c>
      <c r="E5438" t="s">
        <v>380</v>
      </c>
    </row>
    <row r="5439" spans="1:5" x14ac:dyDescent="0.25">
      <c r="A5439" s="279">
        <v>39162</v>
      </c>
      <c r="B5439" t="s">
        <v>338</v>
      </c>
      <c r="C5439" t="s">
        <v>67</v>
      </c>
      <c r="D5439">
        <v>0</v>
      </c>
      <c r="E5439" t="s">
        <v>378</v>
      </c>
    </row>
    <row r="5440" spans="1:5" x14ac:dyDescent="0.25">
      <c r="A5440" s="279">
        <v>39162</v>
      </c>
      <c r="B5440" t="s">
        <v>338</v>
      </c>
      <c r="C5440" t="s">
        <v>68</v>
      </c>
      <c r="D5440">
        <v>0</v>
      </c>
      <c r="E5440" t="s">
        <v>380</v>
      </c>
    </row>
    <row r="5441" spans="1:5" x14ac:dyDescent="0.25">
      <c r="A5441" s="279">
        <v>39162</v>
      </c>
      <c r="B5441" t="s">
        <v>338</v>
      </c>
      <c r="C5441" t="s">
        <v>69</v>
      </c>
      <c r="D5441">
        <v>34783</v>
      </c>
      <c r="E5441" t="s">
        <v>379</v>
      </c>
    </row>
    <row r="5442" spans="1:5" x14ac:dyDescent="0.25">
      <c r="A5442" s="279">
        <v>39162</v>
      </c>
      <c r="B5442" t="s">
        <v>338</v>
      </c>
      <c r="C5442" t="s">
        <v>70</v>
      </c>
      <c r="D5442">
        <v>0</v>
      </c>
      <c r="E5442" t="s">
        <v>379</v>
      </c>
    </row>
    <row r="5443" spans="1:5" x14ac:dyDescent="0.25">
      <c r="A5443" s="279">
        <v>39162</v>
      </c>
      <c r="B5443" t="s">
        <v>338</v>
      </c>
      <c r="C5443" t="s">
        <v>80</v>
      </c>
      <c r="D5443">
        <v>0</v>
      </c>
      <c r="E5443" t="s">
        <v>379</v>
      </c>
    </row>
    <row r="5444" spans="1:5" x14ac:dyDescent="0.25">
      <c r="A5444" s="279">
        <v>39162</v>
      </c>
      <c r="B5444" t="s">
        <v>339</v>
      </c>
      <c r="C5444" t="s">
        <v>71</v>
      </c>
      <c r="D5444">
        <v>0</v>
      </c>
      <c r="E5444" t="s">
        <v>378</v>
      </c>
    </row>
    <row r="5445" spans="1:5" x14ac:dyDescent="0.25">
      <c r="A5445" s="279">
        <v>39162</v>
      </c>
      <c r="B5445" t="s">
        <v>339</v>
      </c>
      <c r="C5445" t="s">
        <v>72</v>
      </c>
      <c r="D5445">
        <v>1934</v>
      </c>
      <c r="E5445" t="s">
        <v>380</v>
      </c>
    </row>
    <row r="5446" spans="1:5" x14ac:dyDescent="0.25">
      <c r="A5446" s="279">
        <v>39162</v>
      </c>
      <c r="B5446" t="s">
        <v>339</v>
      </c>
      <c r="C5446" t="s">
        <v>73</v>
      </c>
      <c r="D5446">
        <v>0</v>
      </c>
      <c r="E5446" t="s">
        <v>378</v>
      </c>
    </row>
    <row r="5447" spans="1:5" x14ac:dyDescent="0.25">
      <c r="A5447" s="279">
        <v>39162</v>
      </c>
      <c r="B5447" t="s">
        <v>339</v>
      </c>
      <c r="C5447" t="s">
        <v>74</v>
      </c>
      <c r="D5447">
        <v>341</v>
      </c>
      <c r="E5447" t="s">
        <v>380</v>
      </c>
    </row>
    <row r="5448" spans="1:5" x14ac:dyDescent="0.25">
      <c r="A5448" s="279">
        <v>39162</v>
      </c>
      <c r="B5448" t="s">
        <v>339</v>
      </c>
      <c r="C5448" t="s">
        <v>75</v>
      </c>
      <c r="D5448">
        <v>15065</v>
      </c>
      <c r="E5448" t="s">
        <v>378</v>
      </c>
    </row>
    <row r="5449" spans="1:5" x14ac:dyDescent="0.25">
      <c r="A5449" s="279">
        <v>39162</v>
      </c>
      <c r="B5449" t="s">
        <v>339</v>
      </c>
      <c r="C5449" t="s">
        <v>76</v>
      </c>
      <c r="D5449">
        <v>33865</v>
      </c>
      <c r="E5449" t="s">
        <v>380</v>
      </c>
    </row>
    <row r="5450" spans="1:5" x14ac:dyDescent="0.25">
      <c r="A5450" s="279">
        <v>39162</v>
      </c>
      <c r="B5450" t="s">
        <v>339</v>
      </c>
      <c r="C5450" t="s">
        <v>77</v>
      </c>
      <c r="D5450">
        <v>7296</v>
      </c>
      <c r="E5450" t="s">
        <v>378</v>
      </c>
    </row>
    <row r="5451" spans="1:5" x14ac:dyDescent="0.25">
      <c r="A5451" s="279">
        <v>39162</v>
      </c>
      <c r="B5451" t="s">
        <v>339</v>
      </c>
      <c r="C5451" t="s">
        <v>78</v>
      </c>
      <c r="D5451">
        <v>7029</v>
      </c>
      <c r="E5451" t="s">
        <v>380</v>
      </c>
    </row>
    <row r="5452" spans="1:5" x14ac:dyDescent="0.25">
      <c r="A5452" s="279">
        <v>39162</v>
      </c>
      <c r="B5452" t="s">
        <v>339</v>
      </c>
      <c r="C5452" t="s">
        <v>79</v>
      </c>
      <c r="D5452">
        <v>89991</v>
      </c>
      <c r="E5452" t="s">
        <v>379</v>
      </c>
    </row>
    <row r="5453" spans="1:5" x14ac:dyDescent="0.25">
      <c r="A5453" s="279">
        <v>39162</v>
      </c>
      <c r="B5453" t="s">
        <v>339</v>
      </c>
      <c r="C5453" t="s">
        <v>70</v>
      </c>
      <c r="D5453">
        <v>0</v>
      </c>
      <c r="E5453" t="s">
        <v>379</v>
      </c>
    </row>
    <row r="5454" spans="1:5" x14ac:dyDescent="0.25">
      <c r="A5454" s="279">
        <v>39162</v>
      </c>
      <c r="B5454" t="s">
        <v>339</v>
      </c>
      <c r="C5454" t="s">
        <v>63</v>
      </c>
      <c r="D5454">
        <v>0</v>
      </c>
      <c r="E5454" t="s">
        <v>378</v>
      </c>
    </row>
    <row r="5455" spans="1:5" x14ac:dyDescent="0.25">
      <c r="A5455" s="279">
        <v>39162</v>
      </c>
      <c r="B5455" t="s">
        <v>339</v>
      </c>
      <c r="C5455" t="s">
        <v>80</v>
      </c>
      <c r="D5455">
        <v>134</v>
      </c>
      <c r="E5455" t="s">
        <v>379</v>
      </c>
    </row>
    <row r="5456" spans="1:5" x14ac:dyDescent="0.25">
      <c r="A5456" s="279">
        <v>39163</v>
      </c>
      <c r="B5456" t="s">
        <v>338</v>
      </c>
      <c r="C5456" t="s">
        <v>59</v>
      </c>
      <c r="D5456">
        <v>0</v>
      </c>
      <c r="E5456" t="s">
        <v>378</v>
      </c>
    </row>
    <row r="5457" spans="1:5" x14ac:dyDescent="0.25">
      <c r="A5457" s="279">
        <v>39163</v>
      </c>
      <c r="B5457" t="s">
        <v>338</v>
      </c>
      <c r="C5457" t="s">
        <v>60</v>
      </c>
      <c r="D5457">
        <v>0</v>
      </c>
      <c r="E5457" t="s">
        <v>379</v>
      </c>
    </row>
    <row r="5458" spans="1:5" x14ac:dyDescent="0.25">
      <c r="A5458" s="279">
        <v>39163</v>
      </c>
      <c r="B5458" t="s">
        <v>338</v>
      </c>
      <c r="C5458" t="s">
        <v>61</v>
      </c>
      <c r="D5458">
        <v>0</v>
      </c>
      <c r="E5458" t="s">
        <v>378</v>
      </c>
    </row>
    <row r="5459" spans="1:5" x14ac:dyDescent="0.25">
      <c r="A5459" s="279">
        <v>39163</v>
      </c>
      <c r="B5459" t="s">
        <v>338</v>
      </c>
      <c r="C5459" t="s">
        <v>62</v>
      </c>
      <c r="D5459">
        <v>0</v>
      </c>
      <c r="E5459" t="s">
        <v>380</v>
      </c>
    </row>
    <row r="5460" spans="1:5" x14ac:dyDescent="0.25">
      <c r="A5460" s="279">
        <v>39163</v>
      </c>
      <c r="B5460" t="s">
        <v>338</v>
      </c>
      <c r="C5460" t="s">
        <v>63</v>
      </c>
      <c r="D5460">
        <v>0</v>
      </c>
      <c r="E5460" t="s">
        <v>378</v>
      </c>
    </row>
    <row r="5461" spans="1:5" x14ac:dyDescent="0.25">
      <c r="A5461" s="279">
        <v>39163</v>
      </c>
      <c r="B5461" t="s">
        <v>338</v>
      </c>
      <c r="C5461" t="s">
        <v>64</v>
      </c>
      <c r="D5461">
        <v>0</v>
      </c>
      <c r="E5461" t="s">
        <v>380</v>
      </c>
    </row>
    <row r="5462" spans="1:5" x14ac:dyDescent="0.25">
      <c r="A5462" s="279">
        <v>39163</v>
      </c>
      <c r="B5462" t="s">
        <v>338</v>
      </c>
      <c r="C5462" t="s">
        <v>65</v>
      </c>
      <c r="D5462">
        <v>0</v>
      </c>
      <c r="E5462" t="s">
        <v>378</v>
      </c>
    </row>
    <row r="5463" spans="1:5" x14ac:dyDescent="0.25">
      <c r="A5463" s="279">
        <v>39163</v>
      </c>
      <c r="B5463" t="s">
        <v>338</v>
      </c>
      <c r="C5463" t="s">
        <v>66</v>
      </c>
      <c r="D5463">
        <v>0</v>
      </c>
      <c r="E5463" t="s">
        <v>380</v>
      </c>
    </row>
    <row r="5464" spans="1:5" x14ac:dyDescent="0.25">
      <c r="A5464" s="279">
        <v>39163</v>
      </c>
      <c r="B5464" t="s">
        <v>338</v>
      </c>
      <c r="C5464" t="s">
        <v>120</v>
      </c>
      <c r="D5464">
        <v>2222</v>
      </c>
      <c r="E5464" t="s">
        <v>378</v>
      </c>
    </row>
    <row r="5465" spans="1:5" x14ac:dyDescent="0.25">
      <c r="A5465" s="279">
        <v>39163</v>
      </c>
      <c r="B5465" t="s">
        <v>338</v>
      </c>
      <c r="C5465" t="s">
        <v>121</v>
      </c>
      <c r="D5465">
        <v>0</v>
      </c>
      <c r="E5465" t="s">
        <v>380</v>
      </c>
    </row>
    <row r="5466" spans="1:5" x14ac:dyDescent="0.25">
      <c r="A5466" s="279">
        <v>39163</v>
      </c>
      <c r="B5466" t="s">
        <v>338</v>
      </c>
      <c r="C5466" t="s">
        <v>67</v>
      </c>
      <c r="D5466">
        <v>0</v>
      </c>
      <c r="E5466" t="s">
        <v>378</v>
      </c>
    </row>
    <row r="5467" spans="1:5" x14ac:dyDescent="0.25">
      <c r="A5467" s="279">
        <v>39163</v>
      </c>
      <c r="B5467" t="s">
        <v>338</v>
      </c>
      <c r="C5467" t="s">
        <v>68</v>
      </c>
      <c r="D5467">
        <v>0</v>
      </c>
      <c r="E5467" t="s">
        <v>380</v>
      </c>
    </row>
    <row r="5468" spans="1:5" x14ac:dyDescent="0.25">
      <c r="A5468" s="279">
        <v>39163</v>
      </c>
      <c r="B5468" t="s">
        <v>338</v>
      </c>
      <c r="C5468" t="s">
        <v>69</v>
      </c>
      <c r="D5468">
        <v>34749</v>
      </c>
      <c r="E5468" t="s">
        <v>379</v>
      </c>
    </row>
    <row r="5469" spans="1:5" x14ac:dyDescent="0.25">
      <c r="A5469" s="279">
        <v>39163</v>
      </c>
      <c r="B5469" t="s">
        <v>338</v>
      </c>
      <c r="C5469" t="s">
        <v>70</v>
      </c>
      <c r="D5469">
        <v>0</v>
      </c>
      <c r="E5469" t="s">
        <v>379</v>
      </c>
    </row>
    <row r="5470" spans="1:5" x14ac:dyDescent="0.25">
      <c r="A5470" s="279">
        <v>39163</v>
      </c>
      <c r="B5470" t="s">
        <v>338</v>
      </c>
      <c r="C5470" t="s">
        <v>80</v>
      </c>
      <c r="D5470">
        <v>19</v>
      </c>
      <c r="E5470" t="s">
        <v>379</v>
      </c>
    </row>
    <row r="5471" spans="1:5" x14ac:dyDescent="0.25">
      <c r="A5471" s="279">
        <v>39163</v>
      </c>
      <c r="B5471" t="s">
        <v>339</v>
      </c>
      <c r="C5471" t="s">
        <v>71</v>
      </c>
      <c r="D5471">
        <v>0</v>
      </c>
      <c r="E5471" t="s">
        <v>378</v>
      </c>
    </row>
    <row r="5472" spans="1:5" x14ac:dyDescent="0.25">
      <c r="A5472" s="279">
        <v>39163</v>
      </c>
      <c r="B5472" t="s">
        <v>339</v>
      </c>
      <c r="C5472" t="s">
        <v>72</v>
      </c>
      <c r="D5472">
        <v>0</v>
      </c>
      <c r="E5472" t="s">
        <v>380</v>
      </c>
    </row>
    <row r="5473" spans="1:5" x14ac:dyDescent="0.25">
      <c r="A5473" s="279">
        <v>39163</v>
      </c>
      <c r="B5473" t="s">
        <v>339</v>
      </c>
      <c r="C5473" t="s">
        <v>73</v>
      </c>
      <c r="D5473">
        <v>9559</v>
      </c>
      <c r="E5473" t="s">
        <v>378</v>
      </c>
    </row>
    <row r="5474" spans="1:5" x14ac:dyDescent="0.25">
      <c r="A5474" s="279">
        <v>39163</v>
      </c>
      <c r="B5474" t="s">
        <v>339</v>
      </c>
      <c r="C5474" t="s">
        <v>74</v>
      </c>
      <c r="D5474">
        <v>0</v>
      </c>
      <c r="E5474" t="s">
        <v>380</v>
      </c>
    </row>
    <row r="5475" spans="1:5" x14ac:dyDescent="0.25">
      <c r="A5475" s="279">
        <v>39163</v>
      </c>
      <c r="B5475" t="s">
        <v>339</v>
      </c>
      <c r="C5475" t="s">
        <v>75</v>
      </c>
      <c r="D5475">
        <v>15065</v>
      </c>
      <c r="E5475" t="s">
        <v>378</v>
      </c>
    </row>
    <row r="5476" spans="1:5" x14ac:dyDescent="0.25">
      <c r="A5476" s="279">
        <v>39163</v>
      </c>
      <c r="B5476" t="s">
        <v>339</v>
      </c>
      <c r="C5476" t="s">
        <v>76</v>
      </c>
      <c r="D5476">
        <v>0</v>
      </c>
      <c r="E5476" t="s">
        <v>380</v>
      </c>
    </row>
    <row r="5477" spans="1:5" x14ac:dyDescent="0.25">
      <c r="A5477" s="279">
        <v>39163</v>
      </c>
      <c r="B5477" t="s">
        <v>339</v>
      </c>
      <c r="C5477" t="s">
        <v>77</v>
      </c>
      <c r="D5477">
        <v>7296</v>
      </c>
      <c r="E5477" t="s">
        <v>378</v>
      </c>
    </row>
    <row r="5478" spans="1:5" x14ac:dyDescent="0.25">
      <c r="A5478" s="279">
        <v>39163</v>
      </c>
      <c r="B5478" t="s">
        <v>339</v>
      </c>
      <c r="C5478" t="s">
        <v>78</v>
      </c>
      <c r="D5478">
        <v>0</v>
      </c>
      <c r="E5478" t="s">
        <v>380</v>
      </c>
    </row>
    <row r="5479" spans="1:5" x14ac:dyDescent="0.25">
      <c r="A5479" s="279">
        <v>39163</v>
      </c>
      <c r="B5479" t="s">
        <v>339</v>
      </c>
      <c r="C5479" t="s">
        <v>79</v>
      </c>
      <c r="D5479">
        <v>74946</v>
      </c>
      <c r="E5479" t="s">
        <v>379</v>
      </c>
    </row>
    <row r="5480" spans="1:5" x14ac:dyDescent="0.25">
      <c r="A5480" s="279">
        <v>39163</v>
      </c>
      <c r="B5480" t="s">
        <v>339</v>
      </c>
      <c r="C5480" t="s">
        <v>70</v>
      </c>
      <c r="D5480">
        <v>0</v>
      </c>
      <c r="E5480" t="s">
        <v>379</v>
      </c>
    </row>
    <row r="5481" spans="1:5" x14ac:dyDescent="0.25">
      <c r="A5481" s="279">
        <v>39163</v>
      </c>
      <c r="B5481" t="s">
        <v>339</v>
      </c>
      <c r="C5481" t="s">
        <v>63</v>
      </c>
      <c r="D5481">
        <v>0</v>
      </c>
      <c r="E5481" t="s">
        <v>378</v>
      </c>
    </row>
    <row r="5482" spans="1:5" x14ac:dyDescent="0.25">
      <c r="A5482" s="279">
        <v>39163</v>
      </c>
      <c r="B5482" t="s">
        <v>339</v>
      </c>
      <c r="C5482" t="s">
        <v>80</v>
      </c>
      <c r="D5482">
        <v>498</v>
      </c>
      <c r="E5482" t="s">
        <v>379</v>
      </c>
    </row>
    <row r="5483" spans="1:5" x14ac:dyDescent="0.25">
      <c r="A5483" s="279">
        <v>39164</v>
      </c>
      <c r="B5483" t="s">
        <v>338</v>
      </c>
      <c r="C5483" t="s">
        <v>59</v>
      </c>
      <c r="D5483">
        <v>0</v>
      </c>
      <c r="E5483" t="s">
        <v>378</v>
      </c>
    </row>
    <row r="5484" spans="1:5" x14ac:dyDescent="0.25">
      <c r="A5484" s="279">
        <v>39164</v>
      </c>
      <c r="B5484" t="s">
        <v>338</v>
      </c>
      <c r="C5484" t="s">
        <v>60</v>
      </c>
      <c r="D5484">
        <v>0</v>
      </c>
      <c r="E5484" t="s">
        <v>379</v>
      </c>
    </row>
    <row r="5485" spans="1:5" x14ac:dyDescent="0.25">
      <c r="A5485" s="279">
        <v>39164</v>
      </c>
      <c r="B5485" t="s">
        <v>338</v>
      </c>
      <c r="C5485" t="s">
        <v>61</v>
      </c>
      <c r="D5485">
        <v>0</v>
      </c>
      <c r="E5485" t="s">
        <v>378</v>
      </c>
    </row>
    <row r="5486" spans="1:5" x14ac:dyDescent="0.25">
      <c r="A5486" s="279">
        <v>39164</v>
      </c>
      <c r="B5486" t="s">
        <v>338</v>
      </c>
      <c r="C5486" t="s">
        <v>62</v>
      </c>
      <c r="D5486">
        <v>0</v>
      </c>
      <c r="E5486" t="s">
        <v>380</v>
      </c>
    </row>
    <row r="5487" spans="1:5" x14ac:dyDescent="0.25">
      <c r="A5487" s="279">
        <v>39164</v>
      </c>
      <c r="B5487" t="s">
        <v>338</v>
      </c>
      <c r="C5487" t="s">
        <v>63</v>
      </c>
      <c r="D5487">
        <v>0</v>
      </c>
      <c r="E5487" t="s">
        <v>378</v>
      </c>
    </row>
    <row r="5488" spans="1:5" x14ac:dyDescent="0.25">
      <c r="A5488" s="279">
        <v>39164</v>
      </c>
      <c r="B5488" t="s">
        <v>338</v>
      </c>
      <c r="C5488" t="s">
        <v>64</v>
      </c>
      <c r="D5488">
        <v>0</v>
      </c>
      <c r="E5488" t="s">
        <v>380</v>
      </c>
    </row>
    <row r="5489" spans="1:5" x14ac:dyDescent="0.25">
      <c r="A5489" s="279">
        <v>39164</v>
      </c>
      <c r="B5489" t="s">
        <v>338</v>
      </c>
      <c r="C5489" t="s">
        <v>65</v>
      </c>
      <c r="D5489">
        <v>0</v>
      </c>
      <c r="E5489" t="s">
        <v>378</v>
      </c>
    </row>
    <row r="5490" spans="1:5" x14ac:dyDescent="0.25">
      <c r="A5490" s="279">
        <v>39164</v>
      </c>
      <c r="B5490" t="s">
        <v>338</v>
      </c>
      <c r="C5490" t="s">
        <v>66</v>
      </c>
      <c r="D5490">
        <v>0</v>
      </c>
      <c r="E5490" t="s">
        <v>380</v>
      </c>
    </row>
    <row r="5491" spans="1:5" x14ac:dyDescent="0.25">
      <c r="A5491" s="279">
        <v>39164</v>
      </c>
      <c r="B5491" t="s">
        <v>338</v>
      </c>
      <c r="C5491" t="s">
        <v>120</v>
      </c>
      <c r="D5491">
        <v>788</v>
      </c>
      <c r="E5491" t="s">
        <v>378</v>
      </c>
    </row>
    <row r="5492" spans="1:5" x14ac:dyDescent="0.25">
      <c r="A5492" s="279">
        <v>39164</v>
      </c>
      <c r="B5492" t="s">
        <v>338</v>
      </c>
      <c r="C5492" t="s">
        <v>121</v>
      </c>
      <c r="D5492">
        <v>0</v>
      </c>
      <c r="E5492" t="s">
        <v>380</v>
      </c>
    </row>
    <row r="5493" spans="1:5" x14ac:dyDescent="0.25">
      <c r="A5493" s="279">
        <v>39164</v>
      </c>
      <c r="B5493" t="s">
        <v>338</v>
      </c>
      <c r="C5493" t="s">
        <v>67</v>
      </c>
      <c r="D5493">
        <v>0</v>
      </c>
      <c r="E5493" t="s">
        <v>378</v>
      </c>
    </row>
    <row r="5494" spans="1:5" x14ac:dyDescent="0.25">
      <c r="A5494" s="279">
        <v>39164</v>
      </c>
      <c r="B5494" t="s">
        <v>338</v>
      </c>
      <c r="C5494" t="s">
        <v>68</v>
      </c>
      <c r="D5494">
        <v>0</v>
      </c>
      <c r="E5494" t="s">
        <v>380</v>
      </c>
    </row>
    <row r="5495" spans="1:5" x14ac:dyDescent="0.25">
      <c r="A5495" s="279">
        <v>39164</v>
      </c>
      <c r="B5495" t="s">
        <v>338</v>
      </c>
      <c r="C5495" t="s">
        <v>69</v>
      </c>
      <c r="D5495">
        <v>34749</v>
      </c>
      <c r="E5495" t="s">
        <v>379</v>
      </c>
    </row>
    <row r="5496" spans="1:5" x14ac:dyDescent="0.25">
      <c r="A5496" s="279">
        <v>39164</v>
      </c>
      <c r="B5496" t="s">
        <v>338</v>
      </c>
      <c r="C5496" t="s">
        <v>70</v>
      </c>
      <c r="D5496">
        <v>0</v>
      </c>
      <c r="E5496" t="s">
        <v>379</v>
      </c>
    </row>
    <row r="5497" spans="1:5" x14ac:dyDescent="0.25">
      <c r="A5497" s="279">
        <v>39164</v>
      </c>
      <c r="B5497" t="s">
        <v>338</v>
      </c>
      <c r="C5497" t="s">
        <v>80</v>
      </c>
      <c r="D5497">
        <v>7</v>
      </c>
      <c r="E5497" t="s">
        <v>379</v>
      </c>
    </row>
    <row r="5498" spans="1:5" x14ac:dyDescent="0.25">
      <c r="A5498" s="279">
        <v>39164</v>
      </c>
      <c r="B5498" t="s">
        <v>339</v>
      </c>
      <c r="C5498" t="s">
        <v>71</v>
      </c>
      <c r="D5498">
        <v>0</v>
      </c>
      <c r="E5498" t="s">
        <v>378</v>
      </c>
    </row>
    <row r="5499" spans="1:5" x14ac:dyDescent="0.25">
      <c r="A5499" s="279">
        <v>39164</v>
      </c>
      <c r="B5499" t="s">
        <v>339</v>
      </c>
      <c r="C5499" t="s">
        <v>72</v>
      </c>
      <c r="D5499">
        <v>0</v>
      </c>
      <c r="E5499" t="s">
        <v>380</v>
      </c>
    </row>
    <row r="5500" spans="1:5" x14ac:dyDescent="0.25">
      <c r="A5500" s="279">
        <v>39164</v>
      </c>
      <c r="B5500" t="s">
        <v>339</v>
      </c>
      <c r="C5500" t="s">
        <v>73</v>
      </c>
      <c r="D5500">
        <v>9283</v>
      </c>
      <c r="E5500" t="s">
        <v>378</v>
      </c>
    </row>
    <row r="5501" spans="1:5" x14ac:dyDescent="0.25">
      <c r="A5501" s="279">
        <v>39164</v>
      </c>
      <c r="B5501" t="s">
        <v>339</v>
      </c>
      <c r="C5501" t="s">
        <v>74</v>
      </c>
      <c r="D5501">
        <v>0</v>
      </c>
      <c r="E5501" t="s">
        <v>380</v>
      </c>
    </row>
    <row r="5502" spans="1:5" x14ac:dyDescent="0.25">
      <c r="A5502" s="279">
        <v>39164</v>
      </c>
      <c r="B5502" t="s">
        <v>339</v>
      </c>
      <c r="C5502" t="s">
        <v>75</v>
      </c>
      <c r="D5502">
        <v>15079</v>
      </c>
      <c r="E5502" t="s">
        <v>378</v>
      </c>
    </row>
    <row r="5503" spans="1:5" x14ac:dyDescent="0.25">
      <c r="A5503" s="279">
        <v>39164</v>
      </c>
      <c r="B5503" t="s">
        <v>339</v>
      </c>
      <c r="C5503" t="s">
        <v>76</v>
      </c>
      <c r="D5503">
        <v>0</v>
      </c>
      <c r="E5503" t="s">
        <v>380</v>
      </c>
    </row>
    <row r="5504" spans="1:5" x14ac:dyDescent="0.25">
      <c r="A5504" s="279">
        <v>39164</v>
      </c>
      <c r="B5504" t="s">
        <v>339</v>
      </c>
      <c r="C5504" t="s">
        <v>77</v>
      </c>
      <c r="D5504">
        <v>7303</v>
      </c>
      <c r="E5504" t="s">
        <v>378</v>
      </c>
    </row>
    <row r="5505" spans="1:5" x14ac:dyDescent="0.25">
      <c r="A5505" s="279">
        <v>39164</v>
      </c>
      <c r="B5505" t="s">
        <v>339</v>
      </c>
      <c r="C5505" t="s">
        <v>78</v>
      </c>
      <c r="D5505">
        <v>0</v>
      </c>
      <c r="E5505" t="s">
        <v>380</v>
      </c>
    </row>
    <row r="5506" spans="1:5" x14ac:dyDescent="0.25">
      <c r="A5506" s="279">
        <v>39164</v>
      </c>
      <c r="B5506" t="s">
        <v>339</v>
      </c>
      <c r="C5506" t="s">
        <v>79</v>
      </c>
      <c r="D5506">
        <v>75018</v>
      </c>
      <c r="E5506" t="s">
        <v>379</v>
      </c>
    </row>
    <row r="5507" spans="1:5" x14ac:dyDescent="0.25">
      <c r="A5507" s="279">
        <v>39164</v>
      </c>
      <c r="B5507" t="s">
        <v>339</v>
      </c>
      <c r="C5507" t="s">
        <v>70</v>
      </c>
      <c r="D5507">
        <v>0</v>
      </c>
      <c r="E5507" t="s">
        <v>379</v>
      </c>
    </row>
    <row r="5508" spans="1:5" x14ac:dyDescent="0.25">
      <c r="A5508" s="279">
        <v>39164</v>
      </c>
      <c r="B5508" t="s">
        <v>339</v>
      </c>
      <c r="C5508" t="s">
        <v>63</v>
      </c>
      <c r="D5508">
        <v>0</v>
      </c>
      <c r="E5508" t="s">
        <v>378</v>
      </c>
    </row>
    <row r="5509" spans="1:5" x14ac:dyDescent="0.25">
      <c r="A5509" s="279">
        <v>39164</v>
      </c>
      <c r="B5509" t="s">
        <v>339</v>
      </c>
      <c r="C5509" t="s">
        <v>80</v>
      </c>
      <c r="D5509">
        <v>488</v>
      </c>
      <c r="E5509" t="s">
        <v>379</v>
      </c>
    </row>
    <row r="5510" spans="1:5" x14ac:dyDescent="0.25">
      <c r="A5510" s="279">
        <v>39165</v>
      </c>
      <c r="B5510" t="s">
        <v>338</v>
      </c>
      <c r="C5510" t="s">
        <v>59</v>
      </c>
      <c r="D5510">
        <v>0</v>
      </c>
      <c r="E5510" t="s">
        <v>378</v>
      </c>
    </row>
    <row r="5511" spans="1:5" x14ac:dyDescent="0.25">
      <c r="A5511" s="279">
        <v>39165</v>
      </c>
      <c r="B5511" t="s">
        <v>338</v>
      </c>
      <c r="C5511" t="s">
        <v>60</v>
      </c>
      <c r="D5511">
        <v>0</v>
      </c>
      <c r="E5511" t="s">
        <v>379</v>
      </c>
    </row>
    <row r="5512" spans="1:5" x14ac:dyDescent="0.25">
      <c r="A5512" s="279">
        <v>39165</v>
      </c>
      <c r="B5512" t="s">
        <v>338</v>
      </c>
      <c r="C5512" t="s">
        <v>61</v>
      </c>
      <c r="D5512">
        <v>0</v>
      </c>
      <c r="E5512" t="s">
        <v>378</v>
      </c>
    </row>
    <row r="5513" spans="1:5" x14ac:dyDescent="0.25">
      <c r="A5513" s="279">
        <v>39165</v>
      </c>
      <c r="B5513" t="s">
        <v>338</v>
      </c>
      <c r="C5513" t="s">
        <v>62</v>
      </c>
      <c r="D5513">
        <v>0</v>
      </c>
      <c r="E5513" t="s">
        <v>380</v>
      </c>
    </row>
    <row r="5514" spans="1:5" x14ac:dyDescent="0.25">
      <c r="A5514" s="279">
        <v>39165</v>
      </c>
      <c r="B5514" t="s">
        <v>338</v>
      </c>
      <c r="C5514" t="s">
        <v>63</v>
      </c>
      <c r="D5514">
        <v>0</v>
      </c>
      <c r="E5514" t="s">
        <v>378</v>
      </c>
    </row>
    <row r="5515" spans="1:5" x14ac:dyDescent="0.25">
      <c r="A5515" s="279">
        <v>39165</v>
      </c>
      <c r="B5515" t="s">
        <v>338</v>
      </c>
      <c r="C5515" t="s">
        <v>64</v>
      </c>
      <c r="D5515">
        <v>0</v>
      </c>
      <c r="E5515" t="s">
        <v>380</v>
      </c>
    </row>
    <row r="5516" spans="1:5" x14ac:dyDescent="0.25">
      <c r="A5516" s="279">
        <v>39165</v>
      </c>
      <c r="B5516" t="s">
        <v>338</v>
      </c>
      <c r="C5516" t="s">
        <v>65</v>
      </c>
      <c r="D5516">
        <v>0</v>
      </c>
      <c r="E5516" t="s">
        <v>378</v>
      </c>
    </row>
    <row r="5517" spans="1:5" x14ac:dyDescent="0.25">
      <c r="A5517" s="279">
        <v>39165</v>
      </c>
      <c r="B5517" t="s">
        <v>338</v>
      </c>
      <c r="C5517" t="s">
        <v>66</v>
      </c>
      <c r="D5517">
        <v>0</v>
      </c>
      <c r="E5517" t="s">
        <v>380</v>
      </c>
    </row>
    <row r="5518" spans="1:5" x14ac:dyDescent="0.25">
      <c r="A5518" s="279">
        <v>39165</v>
      </c>
      <c r="B5518" t="s">
        <v>338</v>
      </c>
      <c r="C5518" t="s">
        <v>120</v>
      </c>
      <c r="D5518">
        <v>0</v>
      </c>
      <c r="E5518" t="s">
        <v>378</v>
      </c>
    </row>
    <row r="5519" spans="1:5" x14ac:dyDescent="0.25">
      <c r="A5519" s="279">
        <v>39165</v>
      </c>
      <c r="B5519" t="s">
        <v>338</v>
      </c>
      <c r="C5519" t="s">
        <v>121</v>
      </c>
      <c r="D5519">
        <v>737</v>
      </c>
      <c r="E5519" t="s">
        <v>380</v>
      </c>
    </row>
    <row r="5520" spans="1:5" x14ac:dyDescent="0.25">
      <c r="A5520" s="279">
        <v>39165</v>
      </c>
      <c r="B5520" t="s">
        <v>338</v>
      </c>
      <c r="C5520" t="s">
        <v>67</v>
      </c>
      <c r="D5520">
        <v>0</v>
      </c>
      <c r="E5520" t="s">
        <v>378</v>
      </c>
    </row>
    <row r="5521" spans="1:5" x14ac:dyDescent="0.25">
      <c r="A5521" s="279">
        <v>39165</v>
      </c>
      <c r="B5521" t="s">
        <v>338</v>
      </c>
      <c r="C5521" t="s">
        <v>68</v>
      </c>
      <c r="D5521">
        <v>0</v>
      </c>
      <c r="E5521" t="s">
        <v>380</v>
      </c>
    </row>
    <row r="5522" spans="1:5" x14ac:dyDescent="0.25">
      <c r="A5522" s="279">
        <v>39165</v>
      </c>
      <c r="B5522" t="s">
        <v>338</v>
      </c>
      <c r="C5522" t="s">
        <v>69</v>
      </c>
      <c r="D5522">
        <v>34716</v>
      </c>
      <c r="E5522" t="s">
        <v>379</v>
      </c>
    </row>
    <row r="5523" spans="1:5" x14ac:dyDescent="0.25">
      <c r="A5523" s="279">
        <v>39165</v>
      </c>
      <c r="B5523" t="s">
        <v>338</v>
      </c>
      <c r="C5523" t="s">
        <v>70</v>
      </c>
      <c r="D5523">
        <v>0</v>
      </c>
      <c r="E5523" t="s">
        <v>379</v>
      </c>
    </row>
    <row r="5524" spans="1:5" x14ac:dyDescent="0.25">
      <c r="A5524" s="279">
        <v>39165</v>
      </c>
      <c r="B5524" t="s">
        <v>338</v>
      </c>
      <c r="C5524" t="s">
        <v>80</v>
      </c>
      <c r="D5524">
        <v>0</v>
      </c>
      <c r="E5524" t="s">
        <v>379</v>
      </c>
    </row>
    <row r="5525" spans="1:5" x14ac:dyDescent="0.25">
      <c r="A5525" s="279">
        <v>39165</v>
      </c>
      <c r="B5525" t="s">
        <v>339</v>
      </c>
      <c r="C5525" t="s">
        <v>71</v>
      </c>
      <c r="D5525">
        <v>0</v>
      </c>
      <c r="E5525" t="s">
        <v>378</v>
      </c>
    </row>
    <row r="5526" spans="1:5" x14ac:dyDescent="0.25">
      <c r="A5526" s="279">
        <v>39165</v>
      </c>
      <c r="B5526" t="s">
        <v>339</v>
      </c>
      <c r="C5526" t="s">
        <v>72</v>
      </c>
      <c r="D5526">
        <v>522</v>
      </c>
      <c r="E5526" t="s">
        <v>380</v>
      </c>
    </row>
    <row r="5527" spans="1:5" x14ac:dyDescent="0.25">
      <c r="A5527" s="279">
        <v>39165</v>
      </c>
      <c r="B5527" t="s">
        <v>339</v>
      </c>
      <c r="C5527" t="s">
        <v>73</v>
      </c>
      <c r="D5527">
        <v>0</v>
      </c>
      <c r="E5527" t="s">
        <v>378</v>
      </c>
    </row>
    <row r="5528" spans="1:5" x14ac:dyDescent="0.25">
      <c r="A5528" s="279">
        <v>39165</v>
      </c>
      <c r="B5528" t="s">
        <v>339</v>
      </c>
      <c r="C5528" t="s">
        <v>74</v>
      </c>
      <c r="D5528">
        <v>0</v>
      </c>
      <c r="E5528" t="s">
        <v>380</v>
      </c>
    </row>
    <row r="5529" spans="1:5" x14ac:dyDescent="0.25">
      <c r="A5529" s="279">
        <v>39165</v>
      </c>
      <c r="B5529" t="s">
        <v>339</v>
      </c>
      <c r="C5529" t="s">
        <v>75</v>
      </c>
      <c r="D5529">
        <v>15021</v>
      </c>
      <c r="E5529" t="s">
        <v>378</v>
      </c>
    </row>
    <row r="5530" spans="1:5" x14ac:dyDescent="0.25">
      <c r="A5530" s="279">
        <v>39165</v>
      </c>
      <c r="B5530" t="s">
        <v>339</v>
      </c>
      <c r="C5530" t="s">
        <v>76</v>
      </c>
      <c r="D5530">
        <v>14480</v>
      </c>
      <c r="E5530" t="s">
        <v>380</v>
      </c>
    </row>
    <row r="5531" spans="1:5" x14ac:dyDescent="0.25">
      <c r="A5531" s="279">
        <v>39165</v>
      </c>
      <c r="B5531" t="s">
        <v>339</v>
      </c>
      <c r="C5531" t="s">
        <v>77</v>
      </c>
      <c r="D5531">
        <v>7275</v>
      </c>
      <c r="E5531" t="s">
        <v>378</v>
      </c>
    </row>
    <row r="5532" spans="1:5" x14ac:dyDescent="0.25">
      <c r="A5532" s="279">
        <v>39165</v>
      </c>
      <c r="B5532" t="s">
        <v>339</v>
      </c>
      <c r="C5532" t="s">
        <v>78</v>
      </c>
      <c r="D5532">
        <v>7009</v>
      </c>
      <c r="E5532" t="s">
        <v>380</v>
      </c>
    </row>
    <row r="5533" spans="1:5" x14ac:dyDescent="0.25">
      <c r="A5533" s="279">
        <v>39165</v>
      </c>
      <c r="B5533" t="s">
        <v>339</v>
      </c>
      <c r="C5533" t="s">
        <v>79</v>
      </c>
      <c r="D5533">
        <v>74729</v>
      </c>
      <c r="E5533" t="s">
        <v>379</v>
      </c>
    </row>
    <row r="5534" spans="1:5" x14ac:dyDescent="0.25">
      <c r="A5534" s="279">
        <v>39165</v>
      </c>
      <c r="B5534" t="s">
        <v>339</v>
      </c>
      <c r="C5534" t="s">
        <v>70</v>
      </c>
      <c r="D5534">
        <v>0</v>
      </c>
      <c r="E5534" t="s">
        <v>379</v>
      </c>
    </row>
    <row r="5535" spans="1:5" x14ac:dyDescent="0.25">
      <c r="A5535" s="279">
        <v>39165</v>
      </c>
      <c r="B5535" t="s">
        <v>339</v>
      </c>
      <c r="C5535" t="s">
        <v>63</v>
      </c>
      <c r="D5535">
        <v>0</v>
      </c>
      <c r="E5535" t="s">
        <v>378</v>
      </c>
    </row>
    <row r="5536" spans="1:5" x14ac:dyDescent="0.25">
      <c r="A5536" s="279">
        <v>39165</v>
      </c>
      <c r="B5536" t="s">
        <v>339</v>
      </c>
      <c r="C5536" t="s">
        <v>80</v>
      </c>
      <c r="D5536">
        <v>133</v>
      </c>
      <c r="E5536" t="s">
        <v>379</v>
      </c>
    </row>
    <row r="5537" spans="1:5" x14ac:dyDescent="0.25">
      <c r="A5537" s="279">
        <v>39166</v>
      </c>
      <c r="B5537" t="s">
        <v>338</v>
      </c>
      <c r="C5537" t="s">
        <v>59</v>
      </c>
      <c r="D5537">
        <v>0</v>
      </c>
      <c r="E5537" t="s">
        <v>378</v>
      </c>
    </row>
    <row r="5538" spans="1:5" x14ac:dyDescent="0.25">
      <c r="A5538" s="279">
        <v>39166</v>
      </c>
      <c r="B5538" t="s">
        <v>338</v>
      </c>
      <c r="C5538" t="s">
        <v>60</v>
      </c>
      <c r="D5538">
        <v>0</v>
      </c>
      <c r="E5538" t="s">
        <v>379</v>
      </c>
    </row>
    <row r="5539" spans="1:5" x14ac:dyDescent="0.25">
      <c r="A5539" s="279">
        <v>39166</v>
      </c>
      <c r="B5539" t="s">
        <v>338</v>
      </c>
      <c r="C5539" t="s">
        <v>61</v>
      </c>
      <c r="D5539">
        <v>0</v>
      </c>
      <c r="E5539" t="s">
        <v>378</v>
      </c>
    </row>
    <row r="5540" spans="1:5" x14ac:dyDescent="0.25">
      <c r="A5540" s="279">
        <v>39166</v>
      </c>
      <c r="B5540" t="s">
        <v>338</v>
      </c>
      <c r="C5540" t="s">
        <v>62</v>
      </c>
      <c r="D5540">
        <v>0</v>
      </c>
      <c r="E5540" t="s">
        <v>380</v>
      </c>
    </row>
    <row r="5541" spans="1:5" x14ac:dyDescent="0.25">
      <c r="A5541" s="279">
        <v>39166</v>
      </c>
      <c r="B5541" t="s">
        <v>338</v>
      </c>
      <c r="C5541" t="s">
        <v>63</v>
      </c>
      <c r="D5541">
        <v>0</v>
      </c>
      <c r="E5541" t="s">
        <v>378</v>
      </c>
    </row>
    <row r="5542" spans="1:5" x14ac:dyDescent="0.25">
      <c r="A5542" s="279">
        <v>39166</v>
      </c>
      <c r="B5542" t="s">
        <v>338</v>
      </c>
      <c r="C5542" t="s">
        <v>64</v>
      </c>
      <c r="D5542">
        <v>0</v>
      </c>
      <c r="E5542" t="s">
        <v>380</v>
      </c>
    </row>
    <row r="5543" spans="1:5" x14ac:dyDescent="0.25">
      <c r="A5543" s="279">
        <v>39166</v>
      </c>
      <c r="B5543" t="s">
        <v>338</v>
      </c>
      <c r="C5543" t="s">
        <v>65</v>
      </c>
      <c r="D5543">
        <v>0</v>
      </c>
      <c r="E5543" t="s">
        <v>378</v>
      </c>
    </row>
    <row r="5544" spans="1:5" x14ac:dyDescent="0.25">
      <c r="A5544" s="279">
        <v>39166</v>
      </c>
      <c r="B5544" t="s">
        <v>338</v>
      </c>
      <c r="C5544" t="s">
        <v>66</v>
      </c>
      <c r="D5544">
        <v>0</v>
      </c>
      <c r="E5544" t="s">
        <v>380</v>
      </c>
    </row>
    <row r="5545" spans="1:5" x14ac:dyDescent="0.25">
      <c r="A5545" s="279">
        <v>39166</v>
      </c>
      <c r="B5545" t="s">
        <v>338</v>
      </c>
      <c r="C5545" t="s">
        <v>120</v>
      </c>
      <c r="D5545">
        <v>0</v>
      </c>
      <c r="E5545" t="s">
        <v>378</v>
      </c>
    </row>
    <row r="5546" spans="1:5" x14ac:dyDescent="0.25">
      <c r="A5546" s="279">
        <v>39166</v>
      </c>
      <c r="B5546" t="s">
        <v>338</v>
      </c>
      <c r="C5546" t="s">
        <v>121</v>
      </c>
      <c r="D5546">
        <v>102</v>
      </c>
      <c r="E5546" t="s">
        <v>380</v>
      </c>
    </row>
    <row r="5547" spans="1:5" x14ac:dyDescent="0.25">
      <c r="A5547" s="279">
        <v>39166</v>
      </c>
      <c r="B5547" t="s">
        <v>338</v>
      </c>
      <c r="C5547" t="s">
        <v>67</v>
      </c>
      <c r="D5547">
        <v>0</v>
      </c>
      <c r="E5547" t="s">
        <v>378</v>
      </c>
    </row>
    <row r="5548" spans="1:5" x14ac:dyDescent="0.25">
      <c r="A5548" s="279">
        <v>39166</v>
      </c>
      <c r="B5548" t="s">
        <v>338</v>
      </c>
      <c r="C5548" t="s">
        <v>68</v>
      </c>
      <c r="D5548">
        <v>0</v>
      </c>
      <c r="E5548" t="s">
        <v>380</v>
      </c>
    </row>
    <row r="5549" spans="1:5" x14ac:dyDescent="0.25">
      <c r="A5549" s="279">
        <v>39166</v>
      </c>
      <c r="B5549" t="s">
        <v>338</v>
      </c>
      <c r="C5549" t="s">
        <v>69</v>
      </c>
      <c r="D5549">
        <v>34749</v>
      </c>
      <c r="E5549" t="s">
        <v>379</v>
      </c>
    </row>
    <row r="5550" spans="1:5" x14ac:dyDescent="0.25">
      <c r="A5550" s="279">
        <v>39166</v>
      </c>
      <c r="B5550" t="s">
        <v>338</v>
      </c>
      <c r="C5550" t="s">
        <v>70</v>
      </c>
      <c r="D5550">
        <v>0</v>
      </c>
      <c r="E5550" t="s">
        <v>379</v>
      </c>
    </row>
    <row r="5551" spans="1:5" x14ac:dyDescent="0.25">
      <c r="A5551" s="279">
        <v>39166</v>
      </c>
      <c r="B5551" t="s">
        <v>338</v>
      </c>
      <c r="C5551" t="s">
        <v>80</v>
      </c>
      <c r="D5551">
        <v>0</v>
      </c>
      <c r="E5551" t="s">
        <v>379</v>
      </c>
    </row>
    <row r="5552" spans="1:5" x14ac:dyDescent="0.25">
      <c r="A5552" s="279">
        <v>39166</v>
      </c>
      <c r="B5552" t="s">
        <v>339</v>
      </c>
      <c r="C5552" t="s">
        <v>71</v>
      </c>
      <c r="D5552">
        <v>0</v>
      </c>
      <c r="E5552" t="s">
        <v>378</v>
      </c>
    </row>
    <row r="5553" spans="1:5" x14ac:dyDescent="0.25">
      <c r="A5553" s="279">
        <v>39166</v>
      </c>
      <c r="B5553" t="s">
        <v>339</v>
      </c>
      <c r="C5553" t="s">
        <v>72</v>
      </c>
      <c r="D5553">
        <v>1449</v>
      </c>
      <c r="E5553" t="s">
        <v>380</v>
      </c>
    </row>
    <row r="5554" spans="1:5" x14ac:dyDescent="0.25">
      <c r="A5554" s="279">
        <v>39166</v>
      </c>
      <c r="B5554" t="s">
        <v>339</v>
      </c>
      <c r="C5554" t="s">
        <v>73</v>
      </c>
      <c r="D5554">
        <v>0</v>
      </c>
      <c r="E5554" t="s">
        <v>378</v>
      </c>
    </row>
    <row r="5555" spans="1:5" x14ac:dyDescent="0.25">
      <c r="A5555" s="279">
        <v>39166</v>
      </c>
      <c r="B5555" t="s">
        <v>339</v>
      </c>
      <c r="C5555" t="s">
        <v>74</v>
      </c>
      <c r="D5555">
        <v>0</v>
      </c>
      <c r="E5555" t="s">
        <v>380</v>
      </c>
    </row>
    <row r="5556" spans="1:5" x14ac:dyDescent="0.25">
      <c r="A5556" s="279">
        <v>39166</v>
      </c>
      <c r="B5556" t="s">
        <v>339</v>
      </c>
      <c r="C5556" t="s">
        <v>75</v>
      </c>
      <c r="D5556">
        <v>15050</v>
      </c>
      <c r="E5556" t="s">
        <v>378</v>
      </c>
    </row>
    <row r="5557" spans="1:5" x14ac:dyDescent="0.25">
      <c r="A5557" s="279">
        <v>39166</v>
      </c>
      <c r="B5557" t="s">
        <v>339</v>
      </c>
      <c r="C5557" t="s">
        <v>76</v>
      </c>
      <c r="D5557">
        <v>33157</v>
      </c>
      <c r="E5557" t="s">
        <v>380</v>
      </c>
    </row>
    <row r="5558" spans="1:5" x14ac:dyDescent="0.25">
      <c r="A5558" s="279">
        <v>39166</v>
      </c>
      <c r="B5558" t="s">
        <v>339</v>
      </c>
      <c r="C5558" t="s">
        <v>77</v>
      </c>
      <c r="D5558">
        <v>7289</v>
      </c>
      <c r="E5558" t="s">
        <v>378</v>
      </c>
    </row>
    <row r="5559" spans="1:5" x14ac:dyDescent="0.25">
      <c r="A5559" s="279">
        <v>39166</v>
      </c>
      <c r="B5559" t="s">
        <v>339</v>
      </c>
      <c r="C5559" t="s">
        <v>78</v>
      </c>
      <c r="D5559">
        <v>7022</v>
      </c>
      <c r="E5559" t="s">
        <v>380</v>
      </c>
    </row>
    <row r="5560" spans="1:5" x14ac:dyDescent="0.25">
      <c r="A5560" s="279">
        <v>39166</v>
      </c>
      <c r="B5560" t="s">
        <v>339</v>
      </c>
      <c r="C5560" t="s">
        <v>79</v>
      </c>
      <c r="D5560">
        <v>74873</v>
      </c>
      <c r="E5560" t="s">
        <v>379</v>
      </c>
    </row>
    <row r="5561" spans="1:5" x14ac:dyDescent="0.25">
      <c r="A5561" s="279">
        <v>39166</v>
      </c>
      <c r="B5561" t="s">
        <v>339</v>
      </c>
      <c r="C5561" t="s">
        <v>70</v>
      </c>
      <c r="D5561">
        <v>0</v>
      </c>
      <c r="E5561" t="s">
        <v>379</v>
      </c>
    </row>
    <row r="5562" spans="1:5" x14ac:dyDescent="0.25">
      <c r="A5562" s="279">
        <v>39166</v>
      </c>
      <c r="B5562" t="s">
        <v>339</v>
      </c>
      <c r="C5562" t="s">
        <v>63</v>
      </c>
      <c r="D5562">
        <v>0</v>
      </c>
      <c r="E5562" t="s">
        <v>378</v>
      </c>
    </row>
    <row r="5563" spans="1:5" x14ac:dyDescent="0.25">
      <c r="A5563" s="279">
        <v>39166</v>
      </c>
      <c r="B5563" t="s">
        <v>339</v>
      </c>
      <c r="C5563" t="s">
        <v>80</v>
      </c>
      <c r="D5563">
        <v>134</v>
      </c>
      <c r="E5563" t="s">
        <v>379</v>
      </c>
    </row>
    <row r="5564" spans="1:5" x14ac:dyDescent="0.25">
      <c r="A5564" s="279">
        <v>39167</v>
      </c>
      <c r="B5564" t="s">
        <v>338</v>
      </c>
      <c r="C5564" t="s">
        <v>59</v>
      </c>
      <c r="D5564">
        <v>0</v>
      </c>
      <c r="E5564" t="s">
        <v>378</v>
      </c>
    </row>
    <row r="5565" spans="1:5" x14ac:dyDescent="0.25">
      <c r="A5565" s="279">
        <v>39167</v>
      </c>
      <c r="B5565" t="s">
        <v>338</v>
      </c>
      <c r="C5565" t="s">
        <v>60</v>
      </c>
      <c r="D5565">
        <v>0</v>
      </c>
      <c r="E5565" t="s">
        <v>379</v>
      </c>
    </row>
    <row r="5566" spans="1:5" x14ac:dyDescent="0.25">
      <c r="A5566" s="279">
        <v>39167</v>
      </c>
      <c r="B5566" t="s">
        <v>338</v>
      </c>
      <c r="C5566" t="s">
        <v>61</v>
      </c>
      <c r="D5566">
        <v>0</v>
      </c>
      <c r="E5566" t="s">
        <v>378</v>
      </c>
    </row>
    <row r="5567" spans="1:5" x14ac:dyDescent="0.25">
      <c r="A5567" s="279">
        <v>39167</v>
      </c>
      <c r="B5567" t="s">
        <v>338</v>
      </c>
      <c r="C5567" t="s">
        <v>62</v>
      </c>
      <c r="D5567">
        <v>0</v>
      </c>
      <c r="E5567" t="s">
        <v>380</v>
      </c>
    </row>
    <row r="5568" spans="1:5" x14ac:dyDescent="0.25">
      <c r="A5568" s="279">
        <v>39167</v>
      </c>
      <c r="B5568" t="s">
        <v>338</v>
      </c>
      <c r="C5568" t="s">
        <v>63</v>
      </c>
      <c r="D5568">
        <v>0</v>
      </c>
      <c r="E5568" t="s">
        <v>378</v>
      </c>
    </row>
    <row r="5569" spans="1:5" x14ac:dyDescent="0.25">
      <c r="A5569" s="279">
        <v>39167</v>
      </c>
      <c r="B5569" t="s">
        <v>338</v>
      </c>
      <c r="C5569" t="s">
        <v>64</v>
      </c>
      <c r="D5569">
        <v>0</v>
      </c>
      <c r="E5569" t="s">
        <v>380</v>
      </c>
    </row>
    <row r="5570" spans="1:5" x14ac:dyDescent="0.25">
      <c r="A5570" s="279">
        <v>39167</v>
      </c>
      <c r="B5570" t="s">
        <v>338</v>
      </c>
      <c r="C5570" t="s">
        <v>65</v>
      </c>
      <c r="D5570">
        <v>0</v>
      </c>
      <c r="E5570" t="s">
        <v>378</v>
      </c>
    </row>
    <row r="5571" spans="1:5" x14ac:dyDescent="0.25">
      <c r="A5571" s="279">
        <v>39167</v>
      </c>
      <c r="B5571" t="s">
        <v>338</v>
      </c>
      <c r="C5571" t="s">
        <v>66</v>
      </c>
      <c r="D5571">
        <v>0</v>
      </c>
      <c r="E5571" t="s">
        <v>380</v>
      </c>
    </row>
    <row r="5572" spans="1:5" x14ac:dyDescent="0.25">
      <c r="A5572" s="279">
        <v>39167</v>
      </c>
      <c r="B5572" t="s">
        <v>338</v>
      </c>
      <c r="C5572" t="s">
        <v>120</v>
      </c>
      <c r="D5572">
        <v>0</v>
      </c>
      <c r="E5572" t="s">
        <v>378</v>
      </c>
    </row>
    <row r="5573" spans="1:5" x14ac:dyDescent="0.25">
      <c r="A5573" s="279">
        <v>39167</v>
      </c>
      <c r="B5573" t="s">
        <v>338</v>
      </c>
      <c r="C5573" t="s">
        <v>121</v>
      </c>
      <c r="D5573">
        <v>52</v>
      </c>
      <c r="E5573" t="s">
        <v>380</v>
      </c>
    </row>
    <row r="5574" spans="1:5" x14ac:dyDescent="0.25">
      <c r="A5574" s="279">
        <v>39167</v>
      </c>
      <c r="B5574" t="s">
        <v>338</v>
      </c>
      <c r="C5574" t="s">
        <v>67</v>
      </c>
      <c r="D5574">
        <v>0</v>
      </c>
      <c r="E5574" t="s">
        <v>378</v>
      </c>
    </row>
    <row r="5575" spans="1:5" x14ac:dyDescent="0.25">
      <c r="A5575" s="279">
        <v>39167</v>
      </c>
      <c r="B5575" t="s">
        <v>338</v>
      </c>
      <c r="C5575" t="s">
        <v>68</v>
      </c>
      <c r="D5575">
        <v>0</v>
      </c>
      <c r="E5575" t="s">
        <v>380</v>
      </c>
    </row>
    <row r="5576" spans="1:5" x14ac:dyDescent="0.25">
      <c r="A5576" s="279">
        <v>39167</v>
      </c>
      <c r="B5576" t="s">
        <v>338</v>
      </c>
      <c r="C5576" t="s">
        <v>69</v>
      </c>
      <c r="D5576">
        <v>34716</v>
      </c>
      <c r="E5576" t="s">
        <v>379</v>
      </c>
    </row>
    <row r="5577" spans="1:5" x14ac:dyDescent="0.25">
      <c r="A5577" s="279">
        <v>39167</v>
      </c>
      <c r="B5577" t="s">
        <v>338</v>
      </c>
      <c r="C5577" t="s">
        <v>70</v>
      </c>
      <c r="D5577">
        <v>0</v>
      </c>
      <c r="E5577" t="s">
        <v>379</v>
      </c>
    </row>
    <row r="5578" spans="1:5" x14ac:dyDescent="0.25">
      <c r="A5578" s="279">
        <v>39167</v>
      </c>
      <c r="B5578" t="s">
        <v>338</v>
      </c>
      <c r="C5578" t="s">
        <v>80</v>
      </c>
      <c r="D5578">
        <v>0</v>
      </c>
      <c r="E5578" t="s">
        <v>379</v>
      </c>
    </row>
    <row r="5579" spans="1:5" x14ac:dyDescent="0.25">
      <c r="A5579" s="279">
        <v>39167</v>
      </c>
      <c r="B5579" t="s">
        <v>339</v>
      </c>
      <c r="C5579" t="s">
        <v>71</v>
      </c>
      <c r="D5579">
        <v>0</v>
      </c>
      <c r="E5579" t="s">
        <v>378</v>
      </c>
    </row>
    <row r="5580" spans="1:5" x14ac:dyDescent="0.25">
      <c r="A5580" s="279">
        <v>39167</v>
      </c>
      <c r="B5580" t="s">
        <v>339</v>
      </c>
      <c r="C5580" t="s">
        <v>72</v>
      </c>
      <c r="D5580">
        <v>0</v>
      </c>
      <c r="E5580" t="s">
        <v>380</v>
      </c>
    </row>
    <row r="5581" spans="1:5" x14ac:dyDescent="0.25">
      <c r="A5581" s="279">
        <v>39167</v>
      </c>
      <c r="B5581" t="s">
        <v>339</v>
      </c>
      <c r="C5581" t="s">
        <v>73</v>
      </c>
      <c r="D5581">
        <v>0</v>
      </c>
      <c r="E5581" t="s">
        <v>378</v>
      </c>
    </row>
    <row r="5582" spans="1:5" x14ac:dyDescent="0.25">
      <c r="A5582" s="279">
        <v>39167</v>
      </c>
      <c r="B5582" t="s">
        <v>339</v>
      </c>
      <c r="C5582" t="s">
        <v>74</v>
      </c>
      <c r="D5582">
        <v>0</v>
      </c>
      <c r="E5582" t="s">
        <v>380</v>
      </c>
    </row>
    <row r="5583" spans="1:5" x14ac:dyDescent="0.25">
      <c r="A5583" s="279">
        <v>39167</v>
      </c>
      <c r="B5583" t="s">
        <v>339</v>
      </c>
      <c r="C5583" t="s">
        <v>75</v>
      </c>
      <c r="D5583">
        <v>15050</v>
      </c>
      <c r="E5583" t="s">
        <v>378</v>
      </c>
    </row>
    <row r="5584" spans="1:5" x14ac:dyDescent="0.25">
      <c r="A5584" s="279">
        <v>39167</v>
      </c>
      <c r="B5584" t="s">
        <v>339</v>
      </c>
      <c r="C5584" t="s">
        <v>76</v>
      </c>
      <c r="D5584">
        <v>9779</v>
      </c>
      <c r="E5584" t="s">
        <v>380</v>
      </c>
    </row>
    <row r="5585" spans="1:5" x14ac:dyDescent="0.25">
      <c r="A5585" s="279">
        <v>39167</v>
      </c>
      <c r="B5585" t="s">
        <v>339</v>
      </c>
      <c r="C5585" t="s">
        <v>77</v>
      </c>
      <c r="D5585">
        <v>7289</v>
      </c>
      <c r="E5585" t="s">
        <v>378</v>
      </c>
    </row>
    <row r="5586" spans="1:5" x14ac:dyDescent="0.25">
      <c r="A5586" s="279">
        <v>39167</v>
      </c>
      <c r="B5586" t="s">
        <v>339</v>
      </c>
      <c r="C5586" t="s">
        <v>78</v>
      </c>
      <c r="D5586">
        <v>7022</v>
      </c>
      <c r="E5586" t="s">
        <v>380</v>
      </c>
    </row>
    <row r="5587" spans="1:5" x14ac:dyDescent="0.25">
      <c r="A5587" s="279">
        <v>39167</v>
      </c>
      <c r="B5587" t="s">
        <v>339</v>
      </c>
      <c r="C5587" t="s">
        <v>79</v>
      </c>
      <c r="D5587">
        <v>74873</v>
      </c>
      <c r="E5587" t="s">
        <v>379</v>
      </c>
    </row>
    <row r="5588" spans="1:5" x14ac:dyDescent="0.25">
      <c r="A5588" s="279">
        <v>39167</v>
      </c>
      <c r="B5588" t="s">
        <v>339</v>
      </c>
      <c r="C5588" t="s">
        <v>70</v>
      </c>
      <c r="D5588">
        <v>0</v>
      </c>
      <c r="E5588" t="s">
        <v>379</v>
      </c>
    </row>
    <row r="5589" spans="1:5" x14ac:dyDescent="0.25">
      <c r="A5589" s="279">
        <v>39167</v>
      </c>
      <c r="B5589" t="s">
        <v>339</v>
      </c>
      <c r="C5589" t="s">
        <v>63</v>
      </c>
      <c r="D5589">
        <v>0</v>
      </c>
      <c r="E5589" t="s">
        <v>378</v>
      </c>
    </row>
    <row r="5590" spans="1:5" x14ac:dyDescent="0.25">
      <c r="A5590" s="279">
        <v>39167</v>
      </c>
      <c r="B5590" t="s">
        <v>339</v>
      </c>
      <c r="C5590" t="s">
        <v>80</v>
      </c>
      <c r="D5590">
        <v>134</v>
      </c>
      <c r="E5590" t="s">
        <v>379</v>
      </c>
    </row>
    <row r="5591" spans="1:5" x14ac:dyDescent="0.25">
      <c r="A5591" s="279">
        <v>39168</v>
      </c>
      <c r="B5591" t="s">
        <v>338</v>
      </c>
      <c r="C5591" t="s">
        <v>59</v>
      </c>
      <c r="D5591">
        <v>0</v>
      </c>
      <c r="E5591" t="s">
        <v>378</v>
      </c>
    </row>
    <row r="5592" spans="1:5" x14ac:dyDescent="0.25">
      <c r="A5592" s="279">
        <v>39168</v>
      </c>
      <c r="B5592" t="s">
        <v>338</v>
      </c>
      <c r="C5592" t="s">
        <v>60</v>
      </c>
      <c r="D5592">
        <v>0</v>
      </c>
      <c r="E5592" t="s">
        <v>379</v>
      </c>
    </row>
    <row r="5593" spans="1:5" x14ac:dyDescent="0.25">
      <c r="A5593" s="279">
        <v>39168</v>
      </c>
      <c r="B5593" t="s">
        <v>338</v>
      </c>
      <c r="C5593" t="s">
        <v>61</v>
      </c>
      <c r="D5593">
        <v>16177</v>
      </c>
      <c r="E5593" t="s">
        <v>378</v>
      </c>
    </row>
    <row r="5594" spans="1:5" x14ac:dyDescent="0.25">
      <c r="A5594" s="279">
        <v>39168</v>
      </c>
      <c r="B5594" t="s">
        <v>338</v>
      </c>
      <c r="C5594" t="s">
        <v>62</v>
      </c>
      <c r="D5594">
        <v>0</v>
      </c>
      <c r="E5594" t="s">
        <v>380</v>
      </c>
    </row>
    <row r="5595" spans="1:5" x14ac:dyDescent="0.25">
      <c r="A5595" s="279">
        <v>39168</v>
      </c>
      <c r="B5595" t="s">
        <v>338</v>
      </c>
      <c r="C5595" t="s">
        <v>63</v>
      </c>
      <c r="D5595">
        <v>7296</v>
      </c>
      <c r="E5595" t="s">
        <v>378</v>
      </c>
    </row>
    <row r="5596" spans="1:5" x14ac:dyDescent="0.25">
      <c r="A5596" s="279">
        <v>39168</v>
      </c>
      <c r="B5596" t="s">
        <v>338</v>
      </c>
      <c r="C5596" t="s">
        <v>64</v>
      </c>
      <c r="D5596">
        <v>0</v>
      </c>
      <c r="E5596" t="s">
        <v>380</v>
      </c>
    </row>
    <row r="5597" spans="1:5" x14ac:dyDescent="0.25">
      <c r="A5597" s="279">
        <v>39168</v>
      </c>
      <c r="B5597" t="s">
        <v>338</v>
      </c>
      <c r="C5597" t="s">
        <v>65</v>
      </c>
      <c r="D5597">
        <v>0</v>
      </c>
      <c r="E5597" t="s">
        <v>378</v>
      </c>
    </row>
    <row r="5598" spans="1:5" x14ac:dyDescent="0.25">
      <c r="A5598" s="279">
        <v>39168</v>
      </c>
      <c r="B5598" t="s">
        <v>338</v>
      </c>
      <c r="C5598" t="s">
        <v>66</v>
      </c>
      <c r="D5598">
        <v>0</v>
      </c>
      <c r="E5598" t="s">
        <v>380</v>
      </c>
    </row>
    <row r="5599" spans="1:5" x14ac:dyDescent="0.25">
      <c r="A5599" s="279">
        <v>39168</v>
      </c>
      <c r="B5599" t="s">
        <v>338</v>
      </c>
      <c r="C5599" t="s">
        <v>120</v>
      </c>
      <c r="D5599">
        <v>12197</v>
      </c>
      <c r="E5599" t="s">
        <v>378</v>
      </c>
    </row>
    <row r="5600" spans="1:5" x14ac:dyDescent="0.25">
      <c r="A5600" s="279">
        <v>39168</v>
      </c>
      <c r="B5600" t="s">
        <v>338</v>
      </c>
      <c r="C5600" t="s">
        <v>121</v>
      </c>
      <c r="D5600">
        <v>0</v>
      </c>
      <c r="E5600" t="s">
        <v>380</v>
      </c>
    </row>
    <row r="5601" spans="1:5" x14ac:dyDescent="0.25">
      <c r="A5601" s="279">
        <v>39168</v>
      </c>
      <c r="B5601" t="s">
        <v>338</v>
      </c>
      <c r="C5601" t="s">
        <v>67</v>
      </c>
      <c r="D5601">
        <v>0</v>
      </c>
      <c r="E5601" t="s">
        <v>378</v>
      </c>
    </row>
    <row r="5602" spans="1:5" x14ac:dyDescent="0.25">
      <c r="A5602" s="279">
        <v>39168</v>
      </c>
      <c r="B5602" t="s">
        <v>338</v>
      </c>
      <c r="C5602" t="s">
        <v>68</v>
      </c>
      <c r="D5602">
        <v>0</v>
      </c>
      <c r="E5602" t="s">
        <v>380</v>
      </c>
    </row>
    <row r="5603" spans="1:5" x14ac:dyDescent="0.25">
      <c r="A5603" s="279">
        <v>39168</v>
      </c>
      <c r="B5603" t="s">
        <v>338</v>
      </c>
      <c r="C5603" t="s">
        <v>69</v>
      </c>
      <c r="D5603">
        <v>34682</v>
      </c>
      <c r="E5603" t="s">
        <v>379</v>
      </c>
    </row>
    <row r="5604" spans="1:5" x14ac:dyDescent="0.25">
      <c r="A5604" s="279">
        <v>39168</v>
      </c>
      <c r="B5604" t="s">
        <v>338</v>
      </c>
      <c r="C5604" t="s">
        <v>70</v>
      </c>
      <c r="D5604">
        <v>0</v>
      </c>
      <c r="E5604" t="s">
        <v>379</v>
      </c>
    </row>
    <row r="5605" spans="1:5" x14ac:dyDescent="0.25">
      <c r="A5605" s="279">
        <v>39168</v>
      </c>
      <c r="B5605" t="s">
        <v>338</v>
      </c>
      <c r="C5605" t="s">
        <v>80</v>
      </c>
      <c r="D5605">
        <v>487</v>
      </c>
      <c r="E5605" t="s">
        <v>379</v>
      </c>
    </row>
    <row r="5606" spans="1:5" x14ac:dyDescent="0.25">
      <c r="A5606" s="279">
        <v>39168</v>
      </c>
      <c r="B5606" t="s">
        <v>339</v>
      </c>
      <c r="C5606" t="s">
        <v>71</v>
      </c>
      <c r="D5606">
        <v>0</v>
      </c>
      <c r="E5606" t="s">
        <v>378</v>
      </c>
    </row>
    <row r="5607" spans="1:5" x14ac:dyDescent="0.25">
      <c r="A5607" s="279">
        <v>39168</v>
      </c>
      <c r="B5607" t="s">
        <v>339</v>
      </c>
      <c r="C5607" t="s">
        <v>72</v>
      </c>
      <c r="D5607">
        <v>0</v>
      </c>
      <c r="E5607" t="s">
        <v>380</v>
      </c>
    </row>
    <row r="5608" spans="1:5" x14ac:dyDescent="0.25">
      <c r="A5608" s="279">
        <v>39168</v>
      </c>
      <c r="B5608" t="s">
        <v>339</v>
      </c>
      <c r="C5608" t="s">
        <v>73</v>
      </c>
      <c r="D5608">
        <v>15080</v>
      </c>
      <c r="E5608" t="s">
        <v>378</v>
      </c>
    </row>
    <row r="5609" spans="1:5" x14ac:dyDescent="0.25">
      <c r="A5609" s="279">
        <v>39168</v>
      </c>
      <c r="B5609" t="s">
        <v>339</v>
      </c>
      <c r="C5609" t="s">
        <v>74</v>
      </c>
      <c r="D5609">
        <v>0</v>
      </c>
      <c r="E5609" t="s">
        <v>380</v>
      </c>
    </row>
    <row r="5610" spans="1:5" x14ac:dyDescent="0.25">
      <c r="A5610" s="279">
        <v>39168</v>
      </c>
      <c r="B5610" t="s">
        <v>339</v>
      </c>
      <c r="C5610" t="s">
        <v>75</v>
      </c>
      <c r="D5610">
        <v>15065</v>
      </c>
      <c r="E5610" t="s">
        <v>378</v>
      </c>
    </row>
    <row r="5611" spans="1:5" x14ac:dyDescent="0.25">
      <c r="A5611" s="279">
        <v>39168</v>
      </c>
      <c r="B5611" t="s">
        <v>339</v>
      </c>
      <c r="C5611" t="s">
        <v>76</v>
      </c>
      <c r="D5611">
        <v>0</v>
      </c>
      <c r="E5611" t="s">
        <v>380</v>
      </c>
    </row>
    <row r="5612" spans="1:5" x14ac:dyDescent="0.25">
      <c r="A5612" s="279">
        <v>39168</v>
      </c>
      <c r="B5612" t="s">
        <v>339</v>
      </c>
      <c r="C5612" t="s">
        <v>77</v>
      </c>
      <c r="D5612">
        <v>7296</v>
      </c>
      <c r="E5612" t="s">
        <v>378</v>
      </c>
    </row>
    <row r="5613" spans="1:5" x14ac:dyDescent="0.25">
      <c r="A5613" s="279">
        <v>39168</v>
      </c>
      <c r="B5613" t="s">
        <v>339</v>
      </c>
      <c r="C5613" t="s">
        <v>78</v>
      </c>
      <c r="D5613">
        <v>0</v>
      </c>
      <c r="E5613" t="s">
        <v>380</v>
      </c>
    </row>
    <row r="5614" spans="1:5" x14ac:dyDescent="0.25">
      <c r="A5614" s="279">
        <v>39168</v>
      </c>
      <c r="B5614" t="s">
        <v>339</v>
      </c>
      <c r="C5614" t="s">
        <v>79</v>
      </c>
      <c r="D5614">
        <v>74946</v>
      </c>
      <c r="E5614" t="s">
        <v>379</v>
      </c>
    </row>
    <row r="5615" spans="1:5" x14ac:dyDescent="0.25">
      <c r="A5615" s="279">
        <v>39168</v>
      </c>
      <c r="B5615" t="s">
        <v>339</v>
      </c>
      <c r="C5615" t="s">
        <v>70</v>
      </c>
      <c r="D5615">
        <v>0</v>
      </c>
      <c r="E5615" t="s">
        <v>379</v>
      </c>
    </row>
    <row r="5616" spans="1:5" x14ac:dyDescent="0.25">
      <c r="A5616" s="279">
        <v>39168</v>
      </c>
      <c r="B5616" t="s">
        <v>339</v>
      </c>
      <c r="C5616" t="s">
        <v>63</v>
      </c>
      <c r="D5616">
        <v>0</v>
      </c>
      <c r="E5616" t="s">
        <v>378</v>
      </c>
    </row>
    <row r="5617" spans="1:5" x14ac:dyDescent="0.25">
      <c r="A5617" s="279">
        <v>39168</v>
      </c>
      <c r="B5617" t="s">
        <v>339</v>
      </c>
      <c r="C5617" t="s">
        <v>80</v>
      </c>
      <c r="D5617">
        <v>709</v>
      </c>
      <c r="E5617" t="s">
        <v>379</v>
      </c>
    </row>
    <row r="5618" spans="1:5" x14ac:dyDescent="0.25">
      <c r="A5618" s="279">
        <v>39169</v>
      </c>
      <c r="B5618" t="s">
        <v>338</v>
      </c>
      <c r="C5618" t="s">
        <v>59</v>
      </c>
      <c r="D5618">
        <v>0</v>
      </c>
      <c r="E5618" t="s">
        <v>378</v>
      </c>
    </row>
    <row r="5619" spans="1:5" x14ac:dyDescent="0.25">
      <c r="A5619" s="279">
        <v>39169</v>
      </c>
      <c r="B5619" t="s">
        <v>338</v>
      </c>
      <c r="C5619" t="s">
        <v>60</v>
      </c>
      <c r="D5619">
        <v>0</v>
      </c>
      <c r="E5619" t="s">
        <v>379</v>
      </c>
    </row>
    <row r="5620" spans="1:5" x14ac:dyDescent="0.25">
      <c r="A5620" s="279">
        <v>39169</v>
      </c>
      <c r="B5620" t="s">
        <v>338</v>
      </c>
      <c r="C5620" t="s">
        <v>61</v>
      </c>
      <c r="D5620">
        <v>0</v>
      </c>
      <c r="E5620" t="s">
        <v>378</v>
      </c>
    </row>
    <row r="5621" spans="1:5" x14ac:dyDescent="0.25">
      <c r="A5621" s="279">
        <v>39169</v>
      </c>
      <c r="B5621" t="s">
        <v>338</v>
      </c>
      <c r="C5621" t="s">
        <v>62</v>
      </c>
      <c r="D5621">
        <v>0</v>
      </c>
      <c r="E5621" t="s">
        <v>380</v>
      </c>
    </row>
    <row r="5622" spans="1:5" x14ac:dyDescent="0.25">
      <c r="A5622" s="279">
        <v>39169</v>
      </c>
      <c r="B5622" t="s">
        <v>338</v>
      </c>
      <c r="C5622" t="s">
        <v>63</v>
      </c>
      <c r="D5622">
        <v>0</v>
      </c>
      <c r="E5622" t="s">
        <v>378</v>
      </c>
    </row>
    <row r="5623" spans="1:5" x14ac:dyDescent="0.25">
      <c r="A5623" s="279">
        <v>39169</v>
      </c>
      <c r="B5623" t="s">
        <v>338</v>
      </c>
      <c r="C5623" t="s">
        <v>64</v>
      </c>
      <c r="D5623">
        <v>0</v>
      </c>
      <c r="E5623" t="s">
        <v>380</v>
      </c>
    </row>
    <row r="5624" spans="1:5" x14ac:dyDescent="0.25">
      <c r="A5624" s="279">
        <v>39169</v>
      </c>
      <c r="B5624" t="s">
        <v>338</v>
      </c>
      <c r="C5624" t="s">
        <v>65</v>
      </c>
      <c r="D5624">
        <v>0</v>
      </c>
      <c r="E5624" t="s">
        <v>378</v>
      </c>
    </row>
    <row r="5625" spans="1:5" x14ac:dyDescent="0.25">
      <c r="A5625" s="279">
        <v>39169</v>
      </c>
      <c r="B5625" t="s">
        <v>338</v>
      </c>
      <c r="C5625" t="s">
        <v>66</v>
      </c>
      <c r="D5625">
        <v>0</v>
      </c>
      <c r="E5625" t="s">
        <v>380</v>
      </c>
    </row>
    <row r="5626" spans="1:5" x14ac:dyDescent="0.25">
      <c r="A5626" s="279">
        <v>39169</v>
      </c>
      <c r="B5626" t="s">
        <v>338</v>
      </c>
      <c r="C5626" t="s">
        <v>120</v>
      </c>
      <c r="D5626">
        <v>0</v>
      </c>
      <c r="E5626" t="s">
        <v>378</v>
      </c>
    </row>
    <row r="5627" spans="1:5" x14ac:dyDescent="0.25">
      <c r="A5627" s="279">
        <v>39169</v>
      </c>
      <c r="B5627" t="s">
        <v>338</v>
      </c>
      <c r="C5627" t="s">
        <v>121</v>
      </c>
      <c r="D5627">
        <v>370</v>
      </c>
      <c r="E5627" t="s">
        <v>380</v>
      </c>
    </row>
    <row r="5628" spans="1:5" x14ac:dyDescent="0.25">
      <c r="A5628" s="279">
        <v>39169</v>
      </c>
      <c r="B5628" t="s">
        <v>338</v>
      </c>
      <c r="C5628" t="s">
        <v>67</v>
      </c>
      <c r="D5628">
        <v>0</v>
      </c>
      <c r="E5628" t="s">
        <v>378</v>
      </c>
    </row>
    <row r="5629" spans="1:5" x14ac:dyDescent="0.25">
      <c r="A5629" s="279">
        <v>39169</v>
      </c>
      <c r="B5629" t="s">
        <v>338</v>
      </c>
      <c r="C5629" t="s">
        <v>68</v>
      </c>
      <c r="D5629">
        <v>0</v>
      </c>
      <c r="E5629" t="s">
        <v>380</v>
      </c>
    </row>
    <row r="5630" spans="1:5" x14ac:dyDescent="0.25">
      <c r="A5630" s="279">
        <v>39169</v>
      </c>
      <c r="B5630" t="s">
        <v>338</v>
      </c>
      <c r="C5630" t="s">
        <v>69</v>
      </c>
      <c r="D5630">
        <v>34749</v>
      </c>
      <c r="E5630" t="s">
        <v>379</v>
      </c>
    </row>
    <row r="5631" spans="1:5" x14ac:dyDescent="0.25">
      <c r="A5631" s="279">
        <v>39169</v>
      </c>
      <c r="B5631" t="s">
        <v>338</v>
      </c>
      <c r="C5631" t="s">
        <v>70</v>
      </c>
      <c r="D5631">
        <v>0</v>
      </c>
      <c r="E5631" t="s">
        <v>379</v>
      </c>
    </row>
    <row r="5632" spans="1:5" x14ac:dyDescent="0.25">
      <c r="A5632" s="279">
        <v>39169</v>
      </c>
      <c r="B5632" t="s">
        <v>338</v>
      </c>
      <c r="C5632" t="s">
        <v>80</v>
      </c>
      <c r="D5632">
        <v>0</v>
      </c>
      <c r="E5632" t="s">
        <v>379</v>
      </c>
    </row>
    <row r="5633" spans="1:5" x14ac:dyDescent="0.25">
      <c r="A5633" s="279">
        <v>39169</v>
      </c>
      <c r="B5633" t="s">
        <v>339</v>
      </c>
      <c r="C5633" t="s">
        <v>71</v>
      </c>
      <c r="D5633">
        <v>0</v>
      </c>
      <c r="E5633" t="s">
        <v>378</v>
      </c>
    </row>
    <row r="5634" spans="1:5" x14ac:dyDescent="0.25">
      <c r="A5634" s="279">
        <v>39169</v>
      </c>
      <c r="B5634" t="s">
        <v>339</v>
      </c>
      <c r="C5634" t="s">
        <v>72</v>
      </c>
      <c r="D5634">
        <v>0</v>
      </c>
      <c r="E5634" t="s">
        <v>380</v>
      </c>
    </row>
    <row r="5635" spans="1:5" x14ac:dyDescent="0.25">
      <c r="A5635" s="279">
        <v>39169</v>
      </c>
      <c r="B5635" t="s">
        <v>339</v>
      </c>
      <c r="C5635" t="s">
        <v>73</v>
      </c>
      <c r="D5635">
        <v>4085</v>
      </c>
      <c r="E5635" t="s">
        <v>378</v>
      </c>
    </row>
    <row r="5636" spans="1:5" x14ac:dyDescent="0.25">
      <c r="A5636" s="279">
        <v>39169</v>
      </c>
      <c r="B5636" t="s">
        <v>339</v>
      </c>
      <c r="C5636" t="s">
        <v>74</v>
      </c>
      <c r="D5636">
        <v>0</v>
      </c>
      <c r="E5636" t="s">
        <v>380</v>
      </c>
    </row>
    <row r="5637" spans="1:5" x14ac:dyDescent="0.25">
      <c r="A5637" s="279">
        <v>39169</v>
      </c>
      <c r="B5637" t="s">
        <v>339</v>
      </c>
      <c r="C5637" t="s">
        <v>75</v>
      </c>
      <c r="D5637">
        <v>15065</v>
      </c>
      <c r="E5637" t="s">
        <v>378</v>
      </c>
    </row>
    <row r="5638" spans="1:5" x14ac:dyDescent="0.25">
      <c r="A5638" s="279">
        <v>39169</v>
      </c>
      <c r="B5638" t="s">
        <v>339</v>
      </c>
      <c r="C5638" t="s">
        <v>76</v>
      </c>
      <c r="D5638">
        <v>0</v>
      </c>
      <c r="E5638" t="s">
        <v>380</v>
      </c>
    </row>
    <row r="5639" spans="1:5" x14ac:dyDescent="0.25">
      <c r="A5639" s="279">
        <v>39169</v>
      </c>
      <c r="B5639" t="s">
        <v>339</v>
      </c>
      <c r="C5639" t="s">
        <v>77</v>
      </c>
      <c r="D5639">
        <v>7296</v>
      </c>
      <c r="E5639" t="s">
        <v>378</v>
      </c>
    </row>
    <row r="5640" spans="1:5" x14ac:dyDescent="0.25">
      <c r="A5640" s="279">
        <v>39169</v>
      </c>
      <c r="B5640" t="s">
        <v>339</v>
      </c>
      <c r="C5640" t="s">
        <v>78</v>
      </c>
      <c r="D5640">
        <v>0</v>
      </c>
      <c r="E5640" t="s">
        <v>380</v>
      </c>
    </row>
    <row r="5641" spans="1:5" x14ac:dyDescent="0.25">
      <c r="A5641" s="279">
        <v>39169</v>
      </c>
      <c r="B5641" t="s">
        <v>339</v>
      </c>
      <c r="C5641" t="s">
        <v>79</v>
      </c>
      <c r="D5641">
        <v>74946</v>
      </c>
      <c r="E5641" t="s">
        <v>379</v>
      </c>
    </row>
    <row r="5642" spans="1:5" x14ac:dyDescent="0.25">
      <c r="A5642" s="279">
        <v>39169</v>
      </c>
      <c r="B5642" t="s">
        <v>339</v>
      </c>
      <c r="C5642" t="s">
        <v>70</v>
      </c>
      <c r="D5642">
        <v>0</v>
      </c>
      <c r="E5642" t="s">
        <v>379</v>
      </c>
    </row>
    <row r="5643" spans="1:5" x14ac:dyDescent="0.25">
      <c r="A5643" s="279">
        <v>39169</v>
      </c>
      <c r="B5643" t="s">
        <v>339</v>
      </c>
      <c r="C5643" t="s">
        <v>63</v>
      </c>
      <c r="D5643">
        <v>0</v>
      </c>
      <c r="E5643" t="s">
        <v>378</v>
      </c>
    </row>
    <row r="5644" spans="1:5" x14ac:dyDescent="0.25">
      <c r="A5644" s="279">
        <v>39169</v>
      </c>
      <c r="B5644" t="s">
        <v>339</v>
      </c>
      <c r="C5644" t="s">
        <v>80</v>
      </c>
      <c r="D5644">
        <v>290</v>
      </c>
      <c r="E5644" t="s">
        <v>379</v>
      </c>
    </row>
    <row r="5645" spans="1:5" x14ac:dyDescent="0.25">
      <c r="A5645" s="279">
        <v>39170</v>
      </c>
      <c r="B5645" t="s">
        <v>338</v>
      </c>
      <c r="C5645" t="s">
        <v>59</v>
      </c>
      <c r="D5645">
        <v>0</v>
      </c>
      <c r="E5645" t="s">
        <v>378</v>
      </c>
    </row>
    <row r="5646" spans="1:5" x14ac:dyDescent="0.25">
      <c r="A5646" s="279">
        <v>39170</v>
      </c>
      <c r="B5646" t="s">
        <v>338</v>
      </c>
      <c r="C5646" t="s">
        <v>60</v>
      </c>
      <c r="D5646">
        <v>0</v>
      </c>
      <c r="E5646" t="s">
        <v>379</v>
      </c>
    </row>
    <row r="5647" spans="1:5" x14ac:dyDescent="0.25">
      <c r="A5647" s="279">
        <v>39170</v>
      </c>
      <c r="B5647" t="s">
        <v>338</v>
      </c>
      <c r="C5647" t="s">
        <v>61</v>
      </c>
      <c r="D5647">
        <v>0</v>
      </c>
      <c r="E5647" t="s">
        <v>378</v>
      </c>
    </row>
    <row r="5648" spans="1:5" x14ac:dyDescent="0.25">
      <c r="A5648" s="279">
        <v>39170</v>
      </c>
      <c r="B5648" t="s">
        <v>338</v>
      </c>
      <c r="C5648" t="s">
        <v>62</v>
      </c>
      <c r="D5648">
        <v>0</v>
      </c>
      <c r="E5648" t="s">
        <v>380</v>
      </c>
    </row>
    <row r="5649" spans="1:5" x14ac:dyDescent="0.25">
      <c r="A5649" s="279">
        <v>39170</v>
      </c>
      <c r="B5649" t="s">
        <v>338</v>
      </c>
      <c r="C5649" t="s">
        <v>63</v>
      </c>
      <c r="D5649">
        <v>0</v>
      </c>
      <c r="E5649" t="s">
        <v>378</v>
      </c>
    </row>
    <row r="5650" spans="1:5" x14ac:dyDescent="0.25">
      <c r="A5650" s="279">
        <v>39170</v>
      </c>
      <c r="B5650" t="s">
        <v>338</v>
      </c>
      <c r="C5650" t="s">
        <v>64</v>
      </c>
      <c r="D5650">
        <v>0</v>
      </c>
      <c r="E5650" t="s">
        <v>380</v>
      </c>
    </row>
    <row r="5651" spans="1:5" x14ac:dyDescent="0.25">
      <c r="A5651" s="279">
        <v>39170</v>
      </c>
      <c r="B5651" t="s">
        <v>338</v>
      </c>
      <c r="C5651" t="s">
        <v>65</v>
      </c>
      <c r="D5651">
        <v>0</v>
      </c>
      <c r="E5651" t="s">
        <v>378</v>
      </c>
    </row>
    <row r="5652" spans="1:5" x14ac:dyDescent="0.25">
      <c r="A5652" s="279">
        <v>39170</v>
      </c>
      <c r="B5652" t="s">
        <v>338</v>
      </c>
      <c r="C5652" t="s">
        <v>66</v>
      </c>
      <c r="D5652">
        <v>0</v>
      </c>
      <c r="E5652" t="s">
        <v>380</v>
      </c>
    </row>
    <row r="5653" spans="1:5" x14ac:dyDescent="0.25">
      <c r="A5653" s="279">
        <v>39170</v>
      </c>
      <c r="B5653" t="s">
        <v>338</v>
      </c>
      <c r="C5653" t="s">
        <v>120</v>
      </c>
      <c r="D5653">
        <v>0</v>
      </c>
      <c r="E5653" t="s">
        <v>378</v>
      </c>
    </row>
    <row r="5654" spans="1:5" x14ac:dyDescent="0.25">
      <c r="A5654" s="279">
        <v>39170</v>
      </c>
      <c r="B5654" t="s">
        <v>338</v>
      </c>
      <c r="C5654" t="s">
        <v>121</v>
      </c>
      <c r="D5654">
        <v>459</v>
      </c>
      <c r="E5654" t="s">
        <v>380</v>
      </c>
    </row>
    <row r="5655" spans="1:5" x14ac:dyDescent="0.25">
      <c r="A5655" s="279">
        <v>39170</v>
      </c>
      <c r="B5655" t="s">
        <v>338</v>
      </c>
      <c r="C5655" t="s">
        <v>67</v>
      </c>
      <c r="D5655">
        <v>0</v>
      </c>
      <c r="E5655" t="s">
        <v>378</v>
      </c>
    </row>
    <row r="5656" spans="1:5" x14ac:dyDescent="0.25">
      <c r="A5656" s="279">
        <v>39170</v>
      </c>
      <c r="B5656" t="s">
        <v>338</v>
      </c>
      <c r="C5656" t="s">
        <v>68</v>
      </c>
      <c r="D5656">
        <v>0</v>
      </c>
      <c r="E5656" t="s">
        <v>380</v>
      </c>
    </row>
    <row r="5657" spans="1:5" x14ac:dyDescent="0.25">
      <c r="A5657" s="279">
        <v>39170</v>
      </c>
      <c r="B5657" t="s">
        <v>338</v>
      </c>
      <c r="C5657" t="s">
        <v>69</v>
      </c>
      <c r="D5657">
        <v>34749</v>
      </c>
      <c r="E5657" t="s">
        <v>379</v>
      </c>
    </row>
    <row r="5658" spans="1:5" x14ac:dyDescent="0.25">
      <c r="A5658" s="279">
        <v>39170</v>
      </c>
      <c r="B5658" t="s">
        <v>338</v>
      </c>
      <c r="C5658" t="s">
        <v>70</v>
      </c>
      <c r="D5658">
        <v>0</v>
      </c>
      <c r="E5658" t="s">
        <v>379</v>
      </c>
    </row>
    <row r="5659" spans="1:5" x14ac:dyDescent="0.25">
      <c r="A5659" s="279">
        <v>39170</v>
      </c>
      <c r="B5659" t="s">
        <v>338</v>
      </c>
      <c r="C5659" t="s">
        <v>80</v>
      </c>
      <c r="D5659">
        <v>0</v>
      </c>
      <c r="E5659" t="s">
        <v>379</v>
      </c>
    </row>
    <row r="5660" spans="1:5" x14ac:dyDescent="0.25">
      <c r="A5660" s="279">
        <v>39170</v>
      </c>
      <c r="B5660" t="s">
        <v>339</v>
      </c>
      <c r="C5660" t="s">
        <v>71</v>
      </c>
      <c r="D5660">
        <v>0</v>
      </c>
      <c r="E5660" t="s">
        <v>378</v>
      </c>
    </row>
    <row r="5661" spans="1:5" x14ac:dyDescent="0.25">
      <c r="A5661" s="279">
        <v>39170</v>
      </c>
      <c r="B5661" t="s">
        <v>339</v>
      </c>
      <c r="C5661" t="s">
        <v>72</v>
      </c>
      <c r="D5661">
        <v>967</v>
      </c>
      <c r="E5661" t="s">
        <v>380</v>
      </c>
    </row>
    <row r="5662" spans="1:5" x14ac:dyDescent="0.25">
      <c r="A5662" s="279">
        <v>39170</v>
      </c>
      <c r="B5662" t="s">
        <v>339</v>
      </c>
      <c r="C5662" t="s">
        <v>73</v>
      </c>
      <c r="D5662">
        <v>0</v>
      </c>
      <c r="E5662" t="s">
        <v>378</v>
      </c>
    </row>
    <row r="5663" spans="1:5" x14ac:dyDescent="0.25">
      <c r="A5663" s="279">
        <v>39170</v>
      </c>
      <c r="B5663" t="s">
        <v>339</v>
      </c>
      <c r="C5663" t="s">
        <v>74</v>
      </c>
      <c r="D5663">
        <v>0</v>
      </c>
      <c r="E5663" t="s">
        <v>380</v>
      </c>
    </row>
    <row r="5664" spans="1:5" x14ac:dyDescent="0.25">
      <c r="A5664" s="279">
        <v>39170</v>
      </c>
      <c r="B5664" t="s">
        <v>339</v>
      </c>
      <c r="C5664" t="s">
        <v>75</v>
      </c>
      <c r="D5664">
        <v>15065</v>
      </c>
      <c r="E5664" t="s">
        <v>378</v>
      </c>
    </row>
    <row r="5665" spans="1:5" x14ac:dyDescent="0.25">
      <c r="A5665" s="279">
        <v>39170</v>
      </c>
      <c r="B5665" t="s">
        <v>339</v>
      </c>
      <c r="C5665" t="s">
        <v>76</v>
      </c>
      <c r="D5665">
        <v>28065</v>
      </c>
      <c r="E5665" t="s">
        <v>380</v>
      </c>
    </row>
    <row r="5666" spans="1:5" x14ac:dyDescent="0.25">
      <c r="A5666" s="279">
        <v>39170</v>
      </c>
      <c r="B5666" t="s">
        <v>339</v>
      </c>
      <c r="C5666" t="s">
        <v>77</v>
      </c>
      <c r="D5666">
        <v>7296</v>
      </c>
      <c r="E5666" t="s">
        <v>378</v>
      </c>
    </row>
    <row r="5667" spans="1:5" x14ac:dyDescent="0.25">
      <c r="A5667" s="279">
        <v>39170</v>
      </c>
      <c r="B5667" t="s">
        <v>339</v>
      </c>
      <c r="C5667" t="s">
        <v>78</v>
      </c>
      <c r="D5667">
        <v>7029</v>
      </c>
      <c r="E5667" t="s">
        <v>380</v>
      </c>
    </row>
    <row r="5668" spans="1:5" x14ac:dyDescent="0.25">
      <c r="A5668" s="279">
        <v>39170</v>
      </c>
      <c r="B5668" t="s">
        <v>339</v>
      </c>
      <c r="C5668" t="s">
        <v>79</v>
      </c>
      <c r="D5668">
        <v>74946</v>
      </c>
      <c r="E5668" t="s">
        <v>379</v>
      </c>
    </row>
    <row r="5669" spans="1:5" x14ac:dyDescent="0.25">
      <c r="A5669" s="279">
        <v>39170</v>
      </c>
      <c r="B5669" t="s">
        <v>339</v>
      </c>
      <c r="C5669" t="s">
        <v>70</v>
      </c>
      <c r="D5669">
        <v>0</v>
      </c>
      <c r="E5669" t="s">
        <v>379</v>
      </c>
    </row>
    <row r="5670" spans="1:5" x14ac:dyDescent="0.25">
      <c r="A5670" s="279">
        <v>39170</v>
      </c>
      <c r="B5670" t="s">
        <v>339</v>
      </c>
      <c r="C5670" t="s">
        <v>63</v>
      </c>
      <c r="D5670">
        <v>0</v>
      </c>
      <c r="E5670" t="s">
        <v>378</v>
      </c>
    </row>
    <row r="5671" spans="1:5" x14ac:dyDescent="0.25">
      <c r="A5671" s="279">
        <v>39170</v>
      </c>
      <c r="B5671" t="s">
        <v>339</v>
      </c>
      <c r="C5671" t="s">
        <v>80</v>
      </c>
      <c r="D5671">
        <v>134</v>
      </c>
      <c r="E5671" t="s">
        <v>379</v>
      </c>
    </row>
    <row r="5672" spans="1:5" x14ac:dyDescent="0.25">
      <c r="A5672" s="279">
        <v>39171</v>
      </c>
      <c r="B5672" t="s">
        <v>338</v>
      </c>
      <c r="C5672" t="s">
        <v>59</v>
      </c>
      <c r="D5672">
        <v>0</v>
      </c>
      <c r="E5672" t="s">
        <v>378</v>
      </c>
    </row>
    <row r="5673" spans="1:5" x14ac:dyDescent="0.25">
      <c r="A5673" s="279">
        <v>39171</v>
      </c>
      <c r="B5673" t="s">
        <v>338</v>
      </c>
      <c r="C5673" t="s">
        <v>60</v>
      </c>
      <c r="D5673">
        <v>0</v>
      </c>
      <c r="E5673" t="s">
        <v>379</v>
      </c>
    </row>
    <row r="5674" spans="1:5" x14ac:dyDescent="0.25">
      <c r="A5674" s="279">
        <v>39171</v>
      </c>
      <c r="B5674" t="s">
        <v>338</v>
      </c>
      <c r="C5674" t="s">
        <v>61</v>
      </c>
      <c r="D5674">
        <v>0</v>
      </c>
      <c r="E5674" t="s">
        <v>378</v>
      </c>
    </row>
    <row r="5675" spans="1:5" x14ac:dyDescent="0.25">
      <c r="A5675" s="279">
        <v>39171</v>
      </c>
      <c r="B5675" t="s">
        <v>338</v>
      </c>
      <c r="C5675" t="s">
        <v>62</v>
      </c>
      <c r="D5675">
        <v>0</v>
      </c>
      <c r="E5675" t="s">
        <v>380</v>
      </c>
    </row>
    <row r="5676" spans="1:5" x14ac:dyDescent="0.25">
      <c r="A5676" s="279">
        <v>39171</v>
      </c>
      <c r="B5676" t="s">
        <v>338</v>
      </c>
      <c r="C5676" t="s">
        <v>63</v>
      </c>
      <c r="D5676">
        <v>0</v>
      </c>
      <c r="E5676" t="s">
        <v>378</v>
      </c>
    </row>
    <row r="5677" spans="1:5" x14ac:dyDescent="0.25">
      <c r="A5677" s="279">
        <v>39171</v>
      </c>
      <c r="B5677" t="s">
        <v>338</v>
      </c>
      <c r="C5677" t="s">
        <v>64</v>
      </c>
      <c r="D5677">
        <v>0</v>
      </c>
      <c r="E5677" t="s">
        <v>380</v>
      </c>
    </row>
    <row r="5678" spans="1:5" x14ac:dyDescent="0.25">
      <c r="A5678" s="279">
        <v>39171</v>
      </c>
      <c r="B5678" t="s">
        <v>338</v>
      </c>
      <c r="C5678" t="s">
        <v>65</v>
      </c>
      <c r="D5678">
        <v>0</v>
      </c>
      <c r="E5678" t="s">
        <v>378</v>
      </c>
    </row>
    <row r="5679" spans="1:5" x14ac:dyDescent="0.25">
      <c r="A5679" s="279">
        <v>39171</v>
      </c>
      <c r="B5679" t="s">
        <v>338</v>
      </c>
      <c r="C5679" t="s">
        <v>66</v>
      </c>
      <c r="D5679">
        <v>0</v>
      </c>
      <c r="E5679" t="s">
        <v>380</v>
      </c>
    </row>
    <row r="5680" spans="1:5" x14ac:dyDescent="0.25">
      <c r="A5680" s="279">
        <v>39171</v>
      </c>
      <c r="B5680" t="s">
        <v>338</v>
      </c>
      <c r="C5680" t="s">
        <v>120</v>
      </c>
      <c r="D5680">
        <v>70</v>
      </c>
      <c r="E5680" t="s">
        <v>378</v>
      </c>
    </row>
    <row r="5681" spans="1:5" x14ac:dyDescent="0.25">
      <c r="A5681" s="279">
        <v>39171</v>
      </c>
      <c r="B5681" t="s">
        <v>338</v>
      </c>
      <c r="C5681" t="s">
        <v>121</v>
      </c>
      <c r="D5681">
        <v>0</v>
      </c>
      <c r="E5681" t="s">
        <v>380</v>
      </c>
    </row>
    <row r="5682" spans="1:5" x14ac:dyDescent="0.25">
      <c r="A5682" s="279">
        <v>39171</v>
      </c>
      <c r="B5682" t="s">
        <v>338</v>
      </c>
      <c r="C5682" t="s">
        <v>67</v>
      </c>
      <c r="D5682">
        <v>0</v>
      </c>
      <c r="E5682" t="s">
        <v>378</v>
      </c>
    </row>
    <row r="5683" spans="1:5" x14ac:dyDescent="0.25">
      <c r="A5683" s="279">
        <v>39171</v>
      </c>
      <c r="B5683" t="s">
        <v>338</v>
      </c>
      <c r="C5683" t="s">
        <v>68</v>
      </c>
      <c r="D5683">
        <v>0</v>
      </c>
      <c r="E5683" t="s">
        <v>380</v>
      </c>
    </row>
    <row r="5684" spans="1:5" x14ac:dyDescent="0.25">
      <c r="A5684" s="279">
        <v>39171</v>
      </c>
      <c r="B5684" t="s">
        <v>338</v>
      </c>
      <c r="C5684" t="s">
        <v>69</v>
      </c>
      <c r="D5684">
        <v>34716</v>
      </c>
      <c r="E5684" t="s">
        <v>379</v>
      </c>
    </row>
    <row r="5685" spans="1:5" x14ac:dyDescent="0.25">
      <c r="A5685" s="279">
        <v>39171</v>
      </c>
      <c r="B5685" t="s">
        <v>338</v>
      </c>
      <c r="C5685" t="s">
        <v>70</v>
      </c>
      <c r="D5685">
        <v>0</v>
      </c>
      <c r="E5685" t="s">
        <v>379</v>
      </c>
    </row>
    <row r="5686" spans="1:5" x14ac:dyDescent="0.25">
      <c r="A5686" s="279">
        <v>39171</v>
      </c>
      <c r="B5686" t="s">
        <v>338</v>
      </c>
      <c r="C5686" t="s">
        <v>80</v>
      </c>
      <c r="D5686">
        <v>1</v>
      </c>
      <c r="E5686" t="s">
        <v>379</v>
      </c>
    </row>
    <row r="5687" spans="1:5" x14ac:dyDescent="0.25">
      <c r="A5687" s="279">
        <v>39171</v>
      </c>
      <c r="B5687" t="s">
        <v>339</v>
      </c>
      <c r="C5687" t="s">
        <v>71</v>
      </c>
      <c r="D5687">
        <v>0</v>
      </c>
      <c r="E5687" t="s">
        <v>378</v>
      </c>
    </row>
    <row r="5688" spans="1:5" x14ac:dyDescent="0.25">
      <c r="A5688" s="279">
        <v>39171</v>
      </c>
      <c r="B5688" t="s">
        <v>339</v>
      </c>
      <c r="C5688" t="s">
        <v>72</v>
      </c>
      <c r="D5688">
        <v>0</v>
      </c>
      <c r="E5688" t="s">
        <v>380</v>
      </c>
    </row>
    <row r="5689" spans="1:5" x14ac:dyDescent="0.25">
      <c r="A5689" s="279">
        <v>39171</v>
      </c>
      <c r="B5689" t="s">
        <v>339</v>
      </c>
      <c r="C5689" t="s">
        <v>73</v>
      </c>
      <c r="D5689">
        <v>3476</v>
      </c>
      <c r="E5689" t="s">
        <v>378</v>
      </c>
    </row>
    <row r="5690" spans="1:5" x14ac:dyDescent="0.25">
      <c r="A5690" s="279">
        <v>39171</v>
      </c>
      <c r="B5690" t="s">
        <v>339</v>
      </c>
      <c r="C5690" t="s">
        <v>74</v>
      </c>
      <c r="D5690">
        <v>0</v>
      </c>
      <c r="E5690" t="s">
        <v>380</v>
      </c>
    </row>
    <row r="5691" spans="1:5" x14ac:dyDescent="0.25">
      <c r="A5691" s="279">
        <v>39171</v>
      </c>
      <c r="B5691" t="s">
        <v>339</v>
      </c>
      <c r="C5691" t="s">
        <v>75</v>
      </c>
      <c r="D5691">
        <v>15079</v>
      </c>
      <c r="E5691" t="s">
        <v>378</v>
      </c>
    </row>
    <row r="5692" spans="1:5" x14ac:dyDescent="0.25">
      <c r="A5692" s="279">
        <v>39171</v>
      </c>
      <c r="B5692" t="s">
        <v>339</v>
      </c>
      <c r="C5692" t="s">
        <v>76</v>
      </c>
      <c r="D5692">
        <v>0</v>
      </c>
      <c r="E5692" t="s">
        <v>380</v>
      </c>
    </row>
    <row r="5693" spans="1:5" x14ac:dyDescent="0.25">
      <c r="A5693" s="279">
        <v>39171</v>
      </c>
      <c r="B5693" t="s">
        <v>339</v>
      </c>
      <c r="C5693" t="s">
        <v>77</v>
      </c>
      <c r="D5693">
        <v>7303</v>
      </c>
      <c r="E5693" t="s">
        <v>378</v>
      </c>
    </row>
    <row r="5694" spans="1:5" x14ac:dyDescent="0.25">
      <c r="A5694" s="279">
        <v>39171</v>
      </c>
      <c r="B5694" t="s">
        <v>339</v>
      </c>
      <c r="C5694" t="s">
        <v>78</v>
      </c>
      <c r="D5694">
        <v>0</v>
      </c>
      <c r="E5694" t="s">
        <v>380</v>
      </c>
    </row>
    <row r="5695" spans="1:5" x14ac:dyDescent="0.25">
      <c r="A5695" s="279">
        <v>39171</v>
      </c>
      <c r="B5695" t="s">
        <v>339</v>
      </c>
      <c r="C5695" t="s">
        <v>79</v>
      </c>
      <c r="D5695">
        <v>75018</v>
      </c>
      <c r="E5695" t="s">
        <v>379</v>
      </c>
    </row>
    <row r="5696" spans="1:5" x14ac:dyDescent="0.25">
      <c r="A5696" s="279">
        <v>39171</v>
      </c>
      <c r="B5696" t="s">
        <v>339</v>
      </c>
      <c r="C5696" t="s">
        <v>70</v>
      </c>
      <c r="D5696">
        <v>0</v>
      </c>
      <c r="E5696" t="s">
        <v>379</v>
      </c>
    </row>
    <row r="5697" spans="1:5" x14ac:dyDescent="0.25">
      <c r="A5697" s="279">
        <v>39171</v>
      </c>
      <c r="B5697" t="s">
        <v>339</v>
      </c>
      <c r="C5697" t="s">
        <v>63</v>
      </c>
      <c r="D5697">
        <v>0</v>
      </c>
      <c r="E5697" t="s">
        <v>378</v>
      </c>
    </row>
    <row r="5698" spans="1:5" x14ac:dyDescent="0.25">
      <c r="A5698" s="279">
        <v>39171</v>
      </c>
      <c r="B5698" t="s">
        <v>339</v>
      </c>
      <c r="C5698" t="s">
        <v>80</v>
      </c>
      <c r="D5698">
        <v>266</v>
      </c>
      <c r="E5698" t="s">
        <v>379</v>
      </c>
    </row>
    <row r="5699" spans="1:5" x14ac:dyDescent="0.25">
      <c r="A5699" s="279">
        <v>39172</v>
      </c>
      <c r="B5699" t="s">
        <v>338</v>
      </c>
      <c r="C5699" t="s">
        <v>59</v>
      </c>
      <c r="D5699">
        <v>0</v>
      </c>
      <c r="E5699" t="s">
        <v>378</v>
      </c>
    </row>
    <row r="5700" spans="1:5" x14ac:dyDescent="0.25">
      <c r="A5700" s="279">
        <v>39172</v>
      </c>
      <c r="B5700" t="s">
        <v>338</v>
      </c>
      <c r="C5700" t="s">
        <v>60</v>
      </c>
      <c r="D5700">
        <v>0</v>
      </c>
      <c r="E5700" t="s">
        <v>379</v>
      </c>
    </row>
    <row r="5701" spans="1:5" x14ac:dyDescent="0.25">
      <c r="A5701" s="279">
        <v>39172</v>
      </c>
      <c r="B5701" t="s">
        <v>338</v>
      </c>
      <c r="C5701" t="s">
        <v>61</v>
      </c>
      <c r="D5701">
        <v>0</v>
      </c>
      <c r="E5701" t="s">
        <v>378</v>
      </c>
    </row>
    <row r="5702" spans="1:5" x14ac:dyDescent="0.25">
      <c r="A5702" s="279">
        <v>39172</v>
      </c>
      <c r="B5702" t="s">
        <v>338</v>
      </c>
      <c r="C5702" t="s">
        <v>62</v>
      </c>
      <c r="D5702">
        <v>0</v>
      </c>
      <c r="E5702" t="s">
        <v>380</v>
      </c>
    </row>
    <row r="5703" spans="1:5" x14ac:dyDescent="0.25">
      <c r="A5703" s="279">
        <v>39172</v>
      </c>
      <c r="B5703" t="s">
        <v>338</v>
      </c>
      <c r="C5703" t="s">
        <v>63</v>
      </c>
      <c r="D5703">
        <v>0</v>
      </c>
      <c r="E5703" t="s">
        <v>378</v>
      </c>
    </row>
    <row r="5704" spans="1:5" x14ac:dyDescent="0.25">
      <c r="A5704" s="279">
        <v>39172</v>
      </c>
      <c r="B5704" t="s">
        <v>338</v>
      </c>
      <c r="C5704" t="s">
        <v>64</v>
      </c>
      <c r="D5704">
        <v>0</v>
      </c>
      <c r="E5704" t="s">
        <v>380</v>
      </c>
    </row>
    <row r="5705" spans="1:5" x14ac:dyDescent="0.25">
      <c r="A5705" s="279">
        <v>39172</v>
      </c>
      <c r="B5705" t="s">
        <v>338</v>
      </c>
      <c r="C5705" t="s">
        <v>65</v>
      </c>
      <c r="D5705">
        <v>0</v>
      </c>
      <c r="E5705" t="s">
        <v>378</v>
      </c>
    </row>
    <row r="5706" spans="1:5" x14ac:dyDescent="0.25">
      <c r="A5706" s="279">
        <v>39172</v>
      </c>
      <c r="B5706" t="s">
        <v>338</v>
      </c>
      <c r="C5706" t="s">
        <v>66</v>
      </c>
      <c r="D5706">
        <v>0</v>
      </c>
      <c r="E5706" t="s">
        <v>380</v>
      </c>
    </row>
    <row r="5707" spans="1:5" x14ac:dyDescent="0.25">
      <c r="A5707" s="279">
        <v>39172</v>
      </c>
      <c r="B5707" t="s">
        <v>338</v>
      </c>
      <c r="C5707" t="s">
        <v>120</v>
      </c>
      <c r="D5707">
        <v>0</v>
      </c>
      <c r="E5707" t="s">
        <v>378</v>
      </c>
    </row>
    <row r="5708" spans="1:5" x14ac:dyDescent="0.25">
      <c r="A5708" s="279">
        <v>39172</v>
      </c>
      <c r="B5708" t="s">
        <v>338</v>
      </c>
      <c r="C5708" t="s">
        <v>121</v>
      </c>
      <c r="D5708">
        <v>281</v>
      </c>
      <c r="E5708" t="s">
        <v>380</v>
      </c>
    </row>
    <row r="5709" spans="1:5" x14ac:dyDescent="0.25">
      <c r="A5709" s="279">
        <v>39172</v>
      </c>
      <c r="B5709" t="s">
        <v>338</v>
      </c>
      <c r="C5709" t="s">
        <v>67</v>
      </c>
      <c r="D5709">
        <v>0</v>
      </c>
      <c r="E5709" t="s">
        <v>378</v>
      </c>
    </row>
    <row r="5710" spans="1:5" x14ac:dyDescent="0.25">
      <c r="A5710" s="279">
        <v>39172</v>
      </c>
      <c r="B5710" t="s">
        <v>338</v>
      </c>
      <c r="C5710" t="s">
        <v>68</v>
      </c>
      <c r="D5710">
        <v>0</v>
      </c>
      <c r="E5710" t="s">
        <v>380</v>
      </c>
    </row>
    <row r="5711" spans="1:5" x14ac:dyDescent="0.25">
      <c r="A5711" s="279">
        <v>39172</v>
      </c>
      <c r="B5711" t="s">
        <v>338</v>
      </c>
      <c r="C5711" t="s">
        <v>69</v>
      </c>
      <c r="D5711">
        <v>34716</v>
      </c>
      <c r="E5711" t="s">
        <v>379</v>
      </c>
    </row>
    <row r="5712" spans="1:5" x14ac:dyDescent="0.25">
      <c r="A5712" s="279">
        <v>39172</v>
      </c>
      <c r="B5712" t="s">
        <v>338</v>
      </c>
      <c r="C5712" t="s">
        <v>70</v>
      </c>
      <c r="D5712">
        <v>0</v>
      </c>
      <c r="E5712" t="s">
        <v>379</v>
      </c>
    </row>
    <row r="5713" spans="1:5" x14ac:dyDescent="0.25">
      <c r="A5713" s="279">
        <v>39172</v>
      </c>
      <c r="B5713" t="s">
        <v>338</v>
      </c>
      <c r="C5713" t="s">
        <v>80</v>
      </c>
      <c r="D5713">
        <v>0</v>
      </c>
      <c r="E5713" t="s">
        <v>379</v>
      </c>
    </row>
    <row r="5714" spans="1:5" x14ac:dyDescent="0.25">
      <c r="A5714" s="279">
        <v>39172</v>
      </c>
      <c r="B5714" t="s">
        <v>339</v>
      </c>
      <c r="C5714" t="s">
        <v>71</v>
      </c>
      <c r="D5714">
        <v>0</v>
      </c>
      <c r="E5714" t="s">
        <v>378</v>
      </c>
    </row>
    <row r="5715" spans="1:5" x14ac:dyDescent="0.25">
      <c r="A5715" s="279">
        <v>39172</v>
      </c>
      <c r="B5715" t="s">
        <v>339</v>
      </c>
      <c r="C5715" t="s">
        <v>72</v>
      </c>
      <c r="D5715">
        <v>943</v>
      </c>
      <c r="E5715" t="s">
        <v>380</v>
      </c>
    </row>
    <row r="5716" spans="1:5" x14ac:dyDescent="0.25">
      <c r="A5716" s="279">
        <v>39172</v>
      </c>
      <c r="B5716" t="s">
        <v>339</v>
      </c>
      <c r="C5716" t="s">
        <v>73</v>
      </c>
      <c r="D5716">
        <v>0</v>
      </c>
      <c r="E5716" t="s">
        <v>378</v>
      </c>
    </row>
    <row r="5717" spans="1:5" x14ac:dyDescent="0.25">
      <c r="A5717" s="279">
        <v>39172</v>
      </c>
      <c r="B5717" t="s">
        <v>339</v>
      </c>
      <c r="C5717" t="s">
        <v>74</v>
      </c>
      <c r="D5717">
        <v>0</v>
      </c>
      <c r="E5717" t="s">
        <v>380</v>
      </c>
    </row>
    <row r="5718" spans="1:5" x14ac:dyDescent="0.25">
      <c r="A5718" s="279">
        <v>39172</v>
      </c>
      <c r="B5718" t="s">
        <v>339</v>
      </c>
      <c r="C5718" t="s">
        <v>75</v>
      </c>
      <c r="D5718">
        <v>15108</v>
      </c>
      <c r="E5718" t="s">
        <v>378</v>
      </c>
    </row>
    <row r="5719" spans="1:5" x14ac:dyDescent="0.25">
      <c r="A5719" s="279">
        <v>39172</v>
      </c>
      <c r="B5719" t="s">
        <v>339</v>
      </c>
      <c r="C5719" t="s">
        <v>76</v>
      </c>
      <c r="D5719">
        <v>16041</v>
      </c>
      <c r="E5719" t="s">
        <v>380</v>
      </c>
    </row>
    <row r="5720" spans="1:5" x14ac:dyDescent="0.25">
      <c r="A5720" s="279">
        <v>39172</v>
      </c>
      <c r="B5720" t="s">
        <v>339</v>
      </c>
      <c r="C5720" t="s">
        <v>77</v>
      </c>
      <c r="D5720">
        <v>7317</v>
      </c>
      <c r="E5720" t="s">
        <v>378</v>
      </c>
    </row>
    <row r="5721" spans="1:5" x14ac:dyDescent="0.25">
      <c r="A5721" s="279">
        <v>39172</v>
      </c>
      <c r="B5721" t="s">
        <v>339</v>
      </c>
      <c r="C5721" t="s">
        <v>78</v>
      </c>
      <c r="D5721">
        <v>7049</v>
      </c>
      <c r="E5721" t="s">
        <v>380</v>
      </c>
    </row>
    <row r="5722" spans="1:5" x14ac:dyDescent="0.25">
      <c r="A5722" s="279">
        <v>39172</v>
      </c>
      <c r="B5722" t="s">
        <v>339</v>
      </c>
      <c r="C5722" t="s">
        <v>79</v>
      </c>
      <c r="D5722">
        <v>75164</v>
      </c>
      <c r="E5722" t="s">
        <v>379</v>
      </c>
    </row>
    <row r="5723" spans="1:5" x14ac:dyDescent="0.25">
      <c r="A5723" s="279">
        <v>39172</v>
      </c>
      <c r="B5723" t="s">
        <v>339</v>
      </c>
      <c r="C5723" t="s">
        <v>70</v>
      </c>
      <c r="D5723">
        <v>0</v>
      </c>
      <c r="E5723" t="s">
        <v>379</v>
      </c>
    </row>
    <row r="5724" spans="1:5" x14ac:dyDescent="0.25">
      <c r="A5724" s="279">
        <v>39172</v>
      </c>
      <c r="B5724" t="s">
        <v>339</v>
      </c>
      <c r="C5724" t="s">
        <v>63</v>
      </c>
      <c r="D5724">
        <v>0</v>
      </c>
      <c r="E5724" t="s">
        <v>378</v>
      </c>
    </row>
    <row r="5725" spans="1:5" x14ac:dyDescent="0.25">
      <c r="A5725" s="279">
        <v>39172</v>
      </c>
      <c r="B5725" t="s">
        <v>339</v>
      </c>
      <c r="C5725" t="s">
        <v>80</v>
      </c>
      <c r="D5725">
        <v>134</v>
      </c>
      <c r="E5725" t="s">
        <v>379</v>
      </c>
    </row>
    <row r="5726" spans="1:5" x14ac:dyDescent="0.25">
      <c r="A5726" s="279">
        <v>39173</v>
      </c>
      <c r="B5726" t="s">
        <v>338</v>
      </c>
      <c r="C5726" t="s">
        <v>59</v>
      </c>
      <c r="D5726">
        <v>2600</v>
      </c>
      <c r="E5726" t="s">
        <v>378</v>
      </c>
    </row>
    <row r="5727" spans="1:5" x14ac:dyDescent="0.25">
      <c r="A5727" s="279">
        <v>39173</v>
      </c>
      <c r="B5727" t="s">
        <v>338</v>
      </c>
      <c r="C5727" t="s">
        <v>60</v>
      </c>
      <c r="D5727">
        <v>0</v>
      </c>
      <c r="E5727" t="s">
        <v>379</v>
      </c>
    </row>
    <row r="5728" spans="1:5" x14ac:dyDescent="0.25">
      <c r="A5728" s="279">
        <v>39173</v>
      </c>
      <c r="B5728" t="s">
        <v>338</v>
      </c>
      <c r="C5728" t="s">
        <v>61</v>
      </c>
      <c r="D5728">
        <v>0</v>
      </c>
      <c r="E5728" t="s">
        <v>378</v>
      </c>
    </row>
    <row r="5729" spans="1:5" x14ac:dyDescent="0.25">
      <c r="A5729" s="279">
        <v>39173</v>
      </c>
      <c r="B5729" t="s">
        <v>338</v>
      </c>
      <c r="C5729" t="s">
        <v>62</v>
      </c>
      <c r="D5729">
        <v>29175</v>
      </c>
      <c r="E5729" t="s">
        <v>380</v>
      </c>
    </row>
    <row r="5730" spans="1:5" x14ac:dyDescent="0.25">
      <c r="A5730" s="279">
        <v>39173</v>
      </c>
      <c r="B5730" t="s">
        <v>338</v>
      </c>
      <c r="C5730" t="s">
        <v>63</v>
      </c>
      <c r="D5730">
        <v>0</v>
      </c>
      <c r="E5730" t="s">
        <v>378</v>
      </c>
    </row>
    <row r="5731" spans="1:5" x14ac:dyDescent="0.25">
      <c r="A5731" s="279">
        <v>39173</v>
      </c>
      <c r="B5731" t="s">
        <v>338</v>
      </c>
      <c r="C5731" t="s">
        <v>64</v>
      </c>
      <c r="D5731">
        <v>0</v>
      </c>
      <c r="E5731" t="s">
        <v>380</v>
      </c>
    </row>
    <row r="5732" spans="1:5" x14ac:dyDescent="0.25">
      <c r="A5732" s="279">
        <v>39173</v>
      </c>
      <c r="B5732" t="s">
        <v>338</v>
      </c>
      <c r="C5732" t="s">
        <v>65</v>
      </c>
      <c r="D5732">
        <v>0</v>
      </c>
      <c r="E5732" t="s">
        <v>378</v>
      </c>
    </row>
    <row r="5733" spans="1:5" x14ac:dyDescent="0.25">
      <c r="A5733" s="279">
        <v>39173</v>
      </c>
      <c r="B5733" t="s">
        <v>338</v>
      </c>
      <c r="C5733" t="s">
        <v>66</v>
      </c>
      <c r="D5733">
        <v>0</v>
      </c>
      <c r="E5733" t="s">
        <v>380</v>
      </c>
    </row>
    <row r="5734" spans="1:5" x14ac:dyDescent="0.25">
      <c r="A5734" s="279">
        <v>39173</v>
      </c>
      <c r="B5734" t="s">
        <v>338</v>
      </c>
      <c r="C5734" t="s">
        <v>120</v>
      </c>
      <c r="D5734">
        <v>0</v>
      </c>
      <c r="E5734" t="s">
        <v>378</v>
      </c>
    </row>
    <row r="5735" spans="1:5" x14ac:dyDescent="0.25">
      <c r="A5735" s="279">
        <v>39173</v>
      </c>
      <c r="B5735" t="s">
        <v>338</v>
      </c>
      <c r="C5735" t="s">
        <v>121</v>
      </c>
      <c r="D5735">
        <v>20142</v>
      </c>
      <c r="E5735" t="s">
        <v>380</v>
      </c>
    </row>
    <row r="5736" spans="1:5" x14ac:dyDescent="0.25">
      <c r="A5736" s="279">
        <v>39173</v>
      </c>
      <c r="B5736" t="s">
        <v>338</v>
      </c>
      <c r="C5736" t="s">
        <v>67</v>
      </c>
      <c r="D5736">
        <v>0</v>
      </c>
      <c r="E5736" t="s">
        <v>378</v>
      </c>
    </row>
    <row r="5737" spans="1:5" x14ac:dyDescent="0.25">
      <c r="A5737" s="279">
        <v>39173</v>
      </c>
      <c r="B5737" t="s">
        <v>338</v>
      </c>
      <c r="C5737" t="s">
        <v>68</v>
      </c>
      <c r="D5737">
        <v>0</v>
      </c>
      <c r="E5737" t="s">
        <v>380</v>
      </c>
    </row>
    <row r="5738" spans="1:5" x14ac:dyDescent="0.25">
      <c r="A5738" s="279">
        <v>39173</v>
      </c>
      <c r="B5738" t="s">
        <v>338</v>
      </c>
      <c r="C5738" t="s">
        <v>69</v>
      </c>
      <c r="D5738">
        <v>0</v>
      </c>
      <c r="E5738" t="s">
        <v>379</v>
      </c>
    </row>
    <row r="5739" spans="1:5" x14ac:dyDescent="0.25">
      <c r="A5739" s="279">
        <v>39173</v>
      </c>
      <c r="B5739" t="s">
        <v>338</v>
      </c>
      <c r="C5739" t="s">
        <v>70</v>
      </c>
      <c r="D5739">
        <v>0</v>
      </c>
      <c r="E5739" t="s">
        <v>379</v>
      </c>
    </row>
    <row r="5740" spans="1:5" x14ac:dyDescent="0.25">
      <c r="A5740" s="279">
        <v>39173</v>
      </c>
      <c r="B5740" t="s">
        <v>338</v>
      </c>
      <c r="C5740" t="s">
        <v>80</v>
      </c>
      <c r="D5740">
        <v>13</v>
      </c>
      <c r="E5740" t="s">
        <v>379</v>
      </c>
    </row>
    <row r="5741" spans="1:5" x14ac:dyDescent="0.25">
      <c r="A5741" s="279">
        <v>39173</v>
      </c>
      <c r="B5741" t="s">
        <v>339</v>
      </c>
      <c r="C5741" t="s">
        <v>71</v>
      </c>
      <c r="D5741">
        <v>0</v>
      </c>
      <c r="E5741" t="s">
        <v>378</v>
      </c>
    </row>
    <row r="5742" spans="1:5" x14ac:dyDescent="0.25">
      <c r="A5742" s="279">
        <v>39173</v>
      </c>
      <c r="B5742" t="s">
        <v>339</v>
      </c>
      <c r="C5742" t="s">
        <v>72</v>
      </c>
      <c r="D5742">
        <v>935</v>
      </c>
      <c r="E5742" t="s">
        <v>380</v>
      </c>
    </row>
    <row r="5743" spans="1:5" x14ac:dyDescent="0.25">
      <c r="A5743" s="279">
        <v>39173</v>
      </c>
      <c r="B5743" t="s">
        <v>339</v>
      </c>
      <c r="C5743" t="s">
        <v>73</v>
      </c>
      <c r="D5743">
        <v>0</v>
      </c>
      <c r="E5743" t="s">
        <v>378</v>
      </c>
    </row>
    <row r="5744" spans="1:5" x14ac:dyDescent="0.25">
      <c r="A5744" s="279">
        <v>39173</v>
      </c>
      <c r="B5744" t="s">
        <v>339</v>
      </c>
      <c r="C5744" t="s">
        <v>74</v>
      </c>
      <c r="D5744">
        <v>2177</v>
      </c>
      <c r="E5744" t="s">
        <v>380</v>
      </c>
    </row>
    <row r="5745" spans="1:5" x14ac:dyDescent="0.25">
      <c r="A5745" s="279">
        <v>39173</v>
      </c>
      <c r="B5745" t="s">
        <v>339</v>
      </c>
      <c r="C5745" t="s">
        <v>75</v>
      </c>
      <c r="D5745">
        <v>15346</v>
      </c>
      <c r="E5745" t="s">
        <v>378</v>
      </c>
    </row>
    <row r="5746" spans="1:5" x14ac:dyDescent="0.25">
      <c r="A5746" s="279">
        <v>39173</v>
      </c>
      <c r="B5746" t="s">
        <v>339</v>
      </c>
      <c r="C5746" t="s">
        <v>76</v>
      </c>
      <c r="D5746">
        <v>34160</v>
      </c>
      <c r="E5746" t="s">
        <v>380</v>
      </c>
    </row>
    <row r="5747" spans="1:5" x14ac:dyDescent="0.25">
      <c r="A5747" s="279">
        <v>39173</v>
      </c>
      <c r="B5747" t="s">
        <v>339</v>
      </c>
      <c r="C5747" t="s">
        <v>77</v>
      </c>
      <c r="D5747">
        <v>7317</v>
      </c>
      <c r="E5747" t="s">
        <v>378</v>
      </c>
    </row>
    <row r="5748" spans="1:5" x14ac:dyDescent="0.25">
      <c r="A5748" s="279">
        <v>39173</v>
      </c>
      <c r="B5748" t="s">
        <v>339</v>
      </c>
      <c r="C5748" t="s">
        <v>78</v>
      </c>
      <c r="D5748">
        <v>7036</v>
      </c>
      <c r="E5748" t="s">
        <v>380</v>
      </c>
    </row>
    <row r="5749" spans="1:5" x14ac:dyDescent="0.25">
      <c r="A5749" s="279">
        <v>39173</v>
      </c>
      <c r="B5749" t="s">
        <v>339</v>
      </c>
      <c r="C5749" t="s">
        <v>79</v>
      </c>
      <c r="D5749">
        <v>80125</v>
      </c>
      <c r="E5749" t="s">
        <v>379</v>
      </c>
    </row>
    <row r="5750" spans="1:5" x14ac:dyDescent="0.25">
      <c r="A5750" s="279">
        <v>39173</v>
      </c>
      <c r="B5750" t="s">
        <v>339</v>
      </c>
      <c r="C5750" t="s">
        <v>70</v>
      </c>
      <c r="D5750">
        <v>0</v>
      </c>
      <c r="E5750" t="s">
        <v>379</v>
      </c>
    </row>
    <row r="5751" spans="1:5" x14ac:dyDescent="0.25">
      <c r="A5751" s="279">
        <v>39173</v>
      </c>
      <c r="B5751" t="s">
        <v>339</v>
      </c>
      <c r="C5751" t="s">
        <v>63</v>
      </c>
      <c r="D5751">
        <v>0</v>
      </c>
      <c r="E5751" t="s">
        <v>378</v>
      </c>
    </row>
    <row r="5752" spans="1:5" x14ac:dyDescent="0.25">
      <c r="A5752" s="279">
        <v>39173</v>
      </c>
      <c r="B5752" t="s">
        <v>339</v>
      </c>
      <c r="C5752" t="s">
        <v>80</v>
      </c>
      <c r="D5752">
        <v>136</v>
      </c>
      <c r="E5752" t="s">
        <v>379</v>
      </c>
    </row>
    <row r="5753" spans="1:5" x14ac:dyDescent="0.25">
      <c r="A5753" s="279">
        <v>39174</v>
      </c>
      <c r="B5753" t="s">
        <v>338</v>
      </c>
      <c r="C5753" t="s">
        <v>59</v>
      </c>
      <c r="D5753">
        <v>2603</v>
      </c>
      <c r="E5753" t="s">
        <v>378</v>
      </c>
    </row>
    <row r="5754" spans="1:5" x14ac:dyDescent="0.25">
      <c r="A5754" s="279">
        <v>39174</v>
      </c>
      <c r="B5754" t="s">
        <v>338</v>
      </c>
      <c r="C5754" t="s">
        <v>60</v>
      </c>
      <c r="D5754">
        <v>0</v>
      </c>
      <c r="E5754" t="s">
        <v>379</v>
      </c>
    </row>
    <row r="5755" spans="1:5" x14ac:dyDescent="0.25">
      <c r="A5755" s="279">
        <v>39174</v>
      </c>
      <c r="B5755" t="s">
        <v>338</v>
      </c>
      <c r="C5755" t="s">
        <v>61</v>
      </c>
      <c r="D5755">
        <v>0</v>
      </c>
      <c r="E5755" t="s">
        <v>378</v>
      </c>
    </row>
    <row r="5756" spans="1:5" x14ac:dyDescent="0.25">
      <c r="A5756" s="279">
        <v>39174</v>
      </c>
      <c r="B5756" t="s">
        <v>338</v>
      </c>
      <c r="C5756" t="s">
        <v>62</v>
      </c>
      <c r="D5756">
        <v>0</v>
      </c>
      <c r="E5756" t="s">
        <v>380</v>
      </c>
    </row>
    <row r="5757" spans="1:5" x14ac:dyDescent="0.25">
      <c r="A5757" s="279">
        <v>39174</v>
      </c>
      <c r="B5757" t="s">
        <v>338</v>
      </c>
      <c r="C5757" t="s">
        <v>63</v>
      </c>
      <c r="D5757">
        <v>0</v>
      </c>
      <c r="E5757" t="s">
        <v>378</v>
      </c>
    </row>
    <row r="5758" spans="1:5" x14ac:dyDescent="0.25">
      <c r="A5758" s="279">
        <v>39174</v>
      </c>
      <c r="B5758" t="s">
        <v>338</v>
      </c>
      <c r="C5758" t="s">
        <v>64</v>
      </c>
      <c r="D5758">
        <v>0</v>
      </c>
      <c r="E5758" t="s">
        <v>380</v>
      </c>
    </row>
    <row r="5759" spans="1:5" x14ac:dyDescent="0.25">
      <c r="A5759" s="279">
        <v>39174</v>
      </c>
      <c r="B5759" t="s">
        <v>338</v>
      </c>
      <c r="C5759" t="s">
        <v>65</v>
      </c>
      <c r="D5759">
        <v>0</v>
      </c>
      <c r="E5759" t="s">
        <v>378</v>
      </c>
    </row>
    <row r="5760" spans="1:5" x14ac:dyDescent="0.25">
      <c r="A5760" s="279">
        <v>39174</v>
      </c>
      <c r="B5760" t="s">
        <v>338</v>
      </c>
      <c r="C5760" t="s">
        <v>66</v>
      </c>
      <c r="D5760">
        <v>0</v>
      </c>
      <c r="E5760" t="s">
        <v>380</v>
      </c>
    </row>
    <row r="5761" spans="1:5" x14ac:dyDescent="0.25">
      <c r="A5761" s="279">
        <v>39174</v>
      </c>
      <c r="B5761" t="s">
        <v>338</v>
      </c>
      <c r="C5761" t="s">
        <v>120</v>
      </c>
      <c r="D5761">
        <v>0</v>
      </c>
      <c r="E5761" t="s">
        <v>378</v>
      </c>
    </row>
    <row r="5762" spans="1:5" x14ac:dyDescent="0.25">
      <c r="A5762" s="279">
        <v>39174</v>
      </c>
      <c r="B5762" t="s">
        <v>338</v>
      </c>
      <c r="C5762" t="s">
        <v>121</v>
      </c>
      <c r="D5762">
        <v>414</v>
      </c>
      <c r="E5762" t="s">
        <v>380</v>
      </c>
    </row>
    <row r="5763" spans="1:5" x14ac:dyDescent="0.25">
      <c r="A5763" s="279">
        <v>39174</v>
      </c>
      <c r="B5763" t="s">
        <v>338</v>
      </c>
      <c r="C5763" t="s">
        <v>67</v>
      </c>
      <c r="D5763">
        <v>0</v>
      </c>
      <c r="E5763" t="s">
        <v>378</v>
      </c>
    </row>
    <row r="5764" spans="1:5" x14ac:dyDescent="0.25">
      <c r="A5764" s="279">
        <v>39174</v>
      </c>
      <c r="B5764" t="s">
        <v>338</v>
      </c>
      <c r="C5764" t="s">
        <v>68</v>
      </c>
      <c r="D5764">
        <v>0</v>
      </c>
      <c r="E5764" t="s">
        <v>380</v>
      </c>
    </row>
    <row r="5765" spans="1:5" x14ac:dyDescent="0.25">
      <c r="A5765" s="279">
        <v>39174</v>
      </c>
      <c r="B5765" t="s">
        <v>338</v>
      </c>
      <c r="C5765" t="s">
        <v>69</v>
      </c>
      <c r="D5765">
        <v>0</v>
      </c>
      <c r="E5765" t="s">
        <v>379</v>
      </c>
    </row>
    <row r="5766" spans="1:5" x14ac:dyDescent="0.25">
      <c r="A5766" s="279">
        <v>39174</v>
      </c>
      <c r="B5766" t="s">
        <v>338</v>
      </c>
      <c r="C5766" t="s">
        <v>70</v>
      </c>
      <c r="D5766">
        <v>0</v>
      </c>
      <c r="E5766" t="s">
        <v>379</v>
      </c>
    </row>
    <row r="5767" spans="1:5" x14ac:dyDescent="0.25">
      <c r="A5767" s="279">
        <v>39174</v>
      </c>
      <c r="B5767" t="s">
        <v>338</v>
      </c>
      <c r="C5767" t="s">
        <v>80</v>
      </c>
      <c r="D5767">
        <v>13</v>
      </c>
      <c r="E5767" t="s">
        <v>379</v>
      </c>
    </row>
    <row r="5768" spans="1:5" x14ac:dyDescent="0.25">
      <c r="A5768" s="279">
        <v>39174</v>
      </c>
      <c r="B5768" t="s">
        <v>339</v>
      </c>
      <c r="C5768" t="s">
        <v>71</v>
      </c>
      <c r="D5768">
        <v>0</v>
      </c>
      <c r="E5768" t="s">
        <v>378</v>
      </c>
    </row>
    <row r="5769" spans="1:5" x14ac:dyDescent="0.25">
      <c r="A5769" s="279">
        <v>39174</v>
      </c>
      <c r="B5769" t="s">
        <v>339</v>
      </c>
      <c r="C5769" t="s">
        <v>72</v>
      </c>
      <c r="D5769">
        <v>940</v>
      </c>
      <c r="E5769" t="s">
        <v>380</v>
      </c>
    </row>
    <row r="5770" spans="1:5" x14ac:dyDescent="0.25">
      <c r="A5770" s="279">
        <v>39174</v>
      </c>
      <c r="B5770" t="s">
        <v>339</v>
      </c>
      <c r="C5770" t="s">
        <v>73</v>
      </c>
      <c r="D5770">
        <v>0</v>
      </c>
      <c r="E5770" t="s">
        <v>378</v>
      </c>
    </row>
    <row r="5771" spans="1:5" x14ac:dyDescent="0.25">
      <c r="A5771" s="279">
        <v>39174</v>
      </c>
      <c r="B5771" t="s">
        <v>339</v>
      </c>
      <c r="C5771" t="s">
        <v>74</v>
      </c>
      <c r="D5771">
        <v>0</v>
      </c>
      <c r="E5771" t="s">
        <v>380</v>
      </c>
    </row>
    <row r="5772" spans="1:5" x14ac:dyDescent="0.25">
      <c r="A5772" s="279">
        <v>39174</v>
      </c>
      <c r="B5772" t="s">
        <v>339</v>
      </c>
      <c r="C5772" t="s">
        <v>75</v>
      </c>
      <c r="D5772">
        <v>15301</v>
      </c>
      <c r="E5772" t="s">
        <v>378</v>
      </c>
    </row>
    <row r="5773" spans="1:5" x14ac:dyDescent="0.25">
      <c r="A5773" s="279">
        <v>39174</v>
      </c>
      <c r="B5773" t="s">
        <v>339</v>
      </c>
      <c r="C5773" t="s">
        <v>76</v>
      </c>
      <c r="D5773">
        <v>23324</v>
      </c>
      <c r="E5773" t="s">
        <v>380</v>
      </c>
    </row>
    <row r="5774" spans="1:5" x14ac:dyDescent="0.25">
      <c r="A5774" s="279">
        <v>39174</v>
      </c>
      <c r="B5774" t="s">
        <v>339</v>
      </c>
      <c r="C5774" t="s">
        <v>77</v>
      </c>
      <c r="D5774">
        <v>7296</v>
      </c>
      <c r="E5774" t="s">
        <v>378</v>
      </c>
    </row>
    <row r="5775" spans="1:5" x14ac:dyDescent="0.25">
      <c r="A5775" s="279">
        <v>39174</v>
      </c>
      <c r="B5775" t="s">
        <v>339</v>
      </c>
      <c r="C5775" t="s">
        <v>78</v>
      </c>
      <c r="D5775">
        <v>7015</v>
      </c>
      <c r="E5775" t="s">
        <v>380</v>
      </c>
    </row>
    <row r="5776" spans="1:5" x14ac:dyDescent="0.25">
      <c r="A5776" s="279">
        <v>39174</v>
      </c>
      <c r="B5776" t="s">
        <v>339</v>
      </c>
      <c r="C5776" t="s">
        <v>79</v>
      </c>
      <c r="D5776">
        <v>79893</v>
      </c>
      <c r="E5776" t="s">
        <v>379</v>
      </c>
    </row>
    <row r="5777" spans="1:5" x14ac:dyDescent="0.25">
      <c r="A5777" s="279">
        <v>39174</v>
      </c>
      <c r="B5777" t="s">
        <v>339</v>
      </c>
      <c r="C5777" t="s">
        <v>70</v>
      </c>
      <c r="D5777">
        <v>0</v>
      </c>
      <c r="E5777" t="s">
        <v>379</v>
      </c>
    </row>
    <row r="5778" spans="1:5" x14ac:dyDescent="0.25">
      <c r="A5778" s="279">
        <v>39174</v>
      </c>
      <c r="B5778" t="s">
        <v>339</v>
      </c>
      <c r="C5778" t="s">
        <v>63</v>
      </c>
      <c r="D5778">
        <v>0</v>
      </c>
      <c r="E5778" t="s">
        <v>378</v>
      </c>
    </row>
    <row r="5779" spans="1:5" x14ac:dyDescent="0.25">
      <c r="A5779" s="279">
        <v>39174</v>
      </c>
      <c r="B5779" t="s">
        <v>339</v>
      </c>
      <c r="C5779" t="s">
        <v>80</v>
      </c>
      <c r="D5779">
        <v>136</v>
      </c>
      <c r="E5779" t="s">
        <v>379</v>
      </c>
    </row>
    <row r="5780" spans="1:5" x14ac:dyDescent="0.25">
      <c r="A5780" s="279">
        <v>39175</v>
      </c>
      <c r="B5780" t="s">
        <v>338</v>
      </c>
      <c r="C5780" t="s">
        <v>59</v>
      </c>
      <c r="D5780">
        <v>2603</v>
      </c>
      <c r="E5780" t="s">
        <v>378</v>
      </c>
    </row>
    <row r="5781" spans="1:5" x14ac:dyDescent="0.25">
      <c r="A5781" s="279">
        <v>39175</v>
      </c>
      <c r="B5781" t="s">
        <v>338</v>
      </c>
      <c r="C5781" t="s">
        <v>60</v>
      </c>
      <c r="D5781">
        <v>0</v>
      </c>
      <c r="E5781" t="s">
        <v>379</v>
      </c>
    </row>
    <row r="5782" spans="1:5" x14ac:dyDescent="0.25">
      <c r="A5782" s="279">
        <v>39175</v>
      </c>
      <c r="B5782" t="s">
        <v>338</v>
      </c>
      <c r="C5782" t="s">
        <v>61</v>
      </c>
      <c r="D5782">
        <v>0</v>
      </c>
      <c r="E5782" t="s">
        <v>378</v>
      </c>
    </row>
    <row r="5783" spans="1:5" x14ac:dyDescent="0.25">
      <c r="A5783" s="279">
        <v>39175</v>
      </c>
      <c r="B5783" t="s">
        <v>338</v>
      </c>
      <c r="C5783" t="s">
        <v>62</v>
      </c>
      <c r="D5783">
        <v>0</v>
      </c>
      <c r="E5783" t="s">
        <v>380</v>
      </c>
    </row>
    <row r="5784" spans="1:5" x14ac:dyDescent="0.25">
      <c r="A5784" s="279">
        <v>39175</v>
      </c>
      <c r="B5784" t="s">
        <v>338</v>
      </c>
      <c r="C5784" t="s">
        <v>63</v>
      </c>
      <c r="D5784">
        <v>0</v>
      </c>
      <c r="E5784" t="s">
        <v>378</v>
      </c>
    </row>
    <row r="5785" spans="1:5" x14ac:dyDescent="0.25">
      <c r="A5785" s="279">
        <v>39175</v>
      </c>
      <c r="B5785" t="s">
        <v>338</v>
      </c>
      <c r="C5785" t="s">
        <v>64</v>
      </c>
      <c r="D5785">
        <v>0</v>
      </c>
      <c r="E5785" t="s">
        <v>380</v>
      </c>
    </row>
    <row r="5786" spans="1:5" x14ac:dyDescent="0.25">
      <c r="A5786" s="279">
        <v>39175</v>
      </c>
      <c r="B5786" t="s">
        <v>338</v>
      </c>
      <c r="C5786" t="s">
        <v>65</v>
      </c>
      <c r="D5786">
        <v>0</v>
      </c>
      <c r="E5786" t="s">
        <v>378</v>
      </c>
    </row>
    <row r="5787" spans="1:5" x14ac:dyDescent="0.25">
      <c r="A5787" s="279">
        <v>39175</v>
      </c>
      <c r="B5787" t="s">
        <v>338</v>
      </c>
      <c r="C5787" t="s">
        <v>66</v>
      </c>
      <c r="D5787">
        <v>0</v>
      </c>
      <c r="E5787" t="s">
        <v>380</v>
      </c>
    </row>
    <row r="5788" spans="1:5" x14ac:dyDescent="0.25">
      <c r="A5788" s="279">
        <v>39175</v>
      </c>
      <c r="B5788" t="s">
        <v>338</v>
      </c>
      <c r="C5788" t="s">
        <v>120</v>
      </c>
      <c r="D5788">
        <v>0</v>
      </c>
      <c r="E5788" t="s">
        <v>378</v>
      </c>
    </row>
    <row r="5789" spans="1:5" x14ac:dyDescent="0.25">
      <c r="A5789" s="279">
        <v>39175</v>
      </c>
      <c r="B5789" t="s">
        <v>338</v>
      </c>
      <c r="C5789" t="s">
        <v>121</v>
      </c>
      <c r="D5789">
        <v>17403</v>
      </c>
      <c r="E5789" t="s">
        <v>380</v>
      </c>
    </row>
    <row r="5790" spans="1:5" x14ac:dyDescent="0.25">
      <c r="A5790" s="279">
        <v>39175</v>
      </c>
      <c r="B5790" t="s">
        <v>338</v>
      </c>
      <c r="C5790" t="s">
        <v>67</v>
      </c>
      <c r="D5790">
        <v>0</v>
      </c>
      <c r="E5790" t="s">
        <v>378</v>
      </c>
    </row>
    <row r="5791" spans="1:5" x14ac:dyDescent="0.25">
      <c r="A5791" s="279">
        <v>39175</v>
      </c>
      <c r="B5791" t="s">
        <v>338</v>
      </c>
      <c r="C5791" t="s">
        <v>68</v>
      </c>
      <c r="D5791">
        <v>0</v>
      </c>
      <c r="E5791" t="s">
        <v>380</v>
      </c>
    </row>
    <row r="5792" spans="1:5" x14ac:dyDescent="0.25">
      <c r="A5792" s="279">
        <v>39175</v>
      </c>
      <c r="B5792" t="s">
        <v>338</v>
      </c>
      <c r="C5792" t="s">
        <v>69</v>
      </c>
      <c r="D5792">
        <v>0</v>
      </c>
      <c r="E5792" t="s">
        <v>379</v>
      </c>
    </row>
    <row r="5793" spans="1:5" x14ac:dyDescent="0.25">
      <c r="A5793" s="279">
        <v>39175</v>
      </c>
      <c r="B5793" t="s">
        <v>338</v>
      </c>
      <c r="C5793" t="s">
        <v>70</v>
      </c>
      <c r="D5793">
        <v>0</v>
      </c>
      <c r="E5793" t="s">
        <v>379</v>
      </c>
    </row>
    <row r="5794" spans="1:5" x14ac:dyDescent="0.25">
      <c r="A5794" s="279">
        <v>39175</v>
      </c>
      <c r="B5794" t="s">
        <v>338</v>
      </c>
      <c r="C5794" t="s">
        <v>80</v>
      </c>
      <c r="D5794">
        <v>13</v>
      </c>
      <c r="E5794" t="s">
        <v>379</v>
      </c>
    </row>
    <row r="5795" spans="1:5" x14ac:dyDescent="0.25">
      <c r="A5795" s="279">
        <v>39175</v>
      </c>
      <c r="B5795" t="s">
        <v>339</v>
      </c>
      <c r="C5795" t="s">
        <v>71</v>
      </c>
      <c r="D5795">
        <v>0</v>
      </c>
      <c r="E5795" t="s">
        <v>378</v>
      </c>
    </row>
    <row r="5796" spans="1:5" x14ac:dyDescent="0.25">
      <c r="A5796" s="279">
        <v>39175</v>
      </c>
      <c r="B5796" t="s">
        <v>339</v>
      </c>
      <c r="C5796" t="s">
        <v>72</v>
      </c>
      <c r="D5796">
        <v>942</v>
      </c>
      <c r="E5796" t="s">
        <v>380</v>
      </c>
    </row>
    <row r="5797" spans="1:5" x14ac:dyDescent="0.25">
      <c r="A5797" s="279">
        <v>39175</v>
      </c>
      <c r="B5797" t="s">
        <v>339</v>
      </c>
      <c r="C5797" t="s">
        <v>73</v>
      </c>
      <c r="D5797">
        <v>0</v>
      </c>
      <c r="E5797" t="s">
        <v>378</v>
      </c>
    </row>
    <row r="5798" spans="1:5" x14ac:dyDescent="0.25">
      <c r="A5798" s="279">
        <v>39175</v>
      </c>
      <c r="B5798" t="s">
        <v>339</v>
      </c>
      <c r="C5798" t="s">
        <v>74</v>
      </c>
      <c r="D5798">
        <v>0</v>
      </c>
      <c r="E5798" t="s">
        <v>380</v>
      </c>
    </row>
    <row r="5799" spans="1:5" x14ac:dyDescent="0.25">
      <c r="A5799" s="279">
        <v>39175</v>
      </c>
      <c r="B5799" t="s">
        <v>339</v>
      </c>
      <c r="C5799" t="s">
        <v>75</v>
      </c>
      <c r="D5799">
        <v>15331</v>
      </c>
      <c r="E5799" t="s">
        <v>378</v>
      </c>
    </row>
    <row r="5800" spans="1:5" x14ac:dyDescent="0.25">
      <c r="A5800" s="279">
        <v>39175</v>
      </c>
      <c r="B5800" t="s">
        <v>339</v>
      </c>
      <c r="C5800" t="s">
        <v>76</v>
      </c>
      <c r="D5800">
        <v>34018</v>
      </c>
      <c r="E5800" t="s">
        <v>380</v>
      </c>
    </row>
    <row r="5801" spans="1:5" x14ac:dyDescent="0.25">
      <c r="A5801" s="279">
        <v>39175</v>
      </c>
      <c r="B5801" t="s">
        <v>339</v>
      </c>
      <c r="C5801" t="s">
        <v>77</v>
      </c>
      <c r="D5801">
        <v>7310</v>
      </c>
      <c r="E5801" t="s">
        <v>378</v>
      </c>
    </row>
    <row r="5802" spans="1:5" x14ac:dyDescent="0.25">
      <c r="A5802" s="279">
        <v>39175</v>
      </c>
      <c r="B5802" t="s">
        <v>339</v>
      </c>
      <c r="C5802" t="s">
        <v>78</v>
      </c>
      <c r="D5802">
        <v>7029</v>
      </c>
      <c r="E5802" t="s">
        <v>380</v>
      </c>
    </row>
    <row r="5803" spans="1:5" x14ac:dyDescent="0.25">
      <c r="A5803" s="279">
        <v>39175</v>
      </c>
      <c r="B5803" t="s">
        <v>339</v>
      </c>
      <c r="C5803" t="s">
        <v>79</v>
      </c>
      <c r="D5803">
        <v>80047</v>
      </c>
      <c r="E5803" t="s">
        <v>379</v>
      </c>
    </row>
    <row r="5804" spans="1:5" x14ac:dyDescent="0.25">
      <c r="A5804" s="279">
        <v>39175</v>
      </c>
      <c r="B5804" t="s">
        <v>339</v>
      </c>
      <c r="C5804" t="s">
        <v>70</v>
      </c>
      <c r="D5804">
        <v>0</v>
      </c>
      <c r="E5804" t="s">
        <v>379</v>
      </c>
    </row>
    <row r="5805" spans="1:5" x14ac:dyDescent="0.25">
      <c r="A5805" s="279">
        <v>39175</v>
      </c>
      <c r="B5805" t="s">
        <v>339</v>
      </c>
      <c r="C5805" t="s">
        <v>63</v>
      </c>
      <c r="D5805">
        <v>0</v>
      </c>
      <c r="E5805" t="s">
        <v>378</v>
      </c>
    </row>
    <row r="5806" spans="1:5" x14ac:dyDescent="0.25">
      <c r="A5806" s="279">
        <v>39175</v>
      </c>
      <c r="B5806" t="s">
        <v>339</v>
      </c>
      <c r="C5806" t="s">
        <v>80</v>
      </c>
      <c r="D5806">
        <v>136</v>
      </c>
      <c r="E5806" t="s">
        <v>379</v>
      </c>
    </row>
    <row r="5807" spans="1:5" x14ac:dyDescent="0.25">
      <c r="A5807" s="279">
        <v>39176</v>
      </c>
      <c r="B5807" t="s">
        <v>338</v>
      </c>
      <c r="C5807" t="s">
        <v>59</v>
      </c>
      <c r="D5807">
        <v>2598</v>
      </c>
      <c r="E5807" t="s">
        <v>378</v>
      </c>
    </row>
    <row r="5808" spans="1:5" x14ac:dyDescent="0.25">
      <c r="A5808" s="279">
        <v>39176</v>
      </c>
      <c r="B5808" t="s">
        <v>338</v>
      </c>
      <c r="C5808" t="s">
        <v>60</v>
      </c>
      <c r="D5808">
        <v>0</v>
      </c>
      <c r="E5808" t="s">
        <v>379</v>
      </c>
    </row>
    <row r="5809" spans="1:5" x14ac:dyDescent="0.25">
      <c r="A5809" s="279">
        <v>39176</v>
      </c>
      <c r="B5809" t="s">
        <v>338</v>
      </c>
      <c r="C5809" t="s">
        <v>61</v>
      </c>
      <c r="D5809">
        <v>0</v>
      </c>
      <c r="E5809" t="s">
        <v>378</v>
      </c>
    </row>
    <row r="5810" spans="1:5" x14ac:dyDescent="0.25">
      <c r="A5810" s="279">
        <v>39176</v>
      </c>
      <c r="B5810" t="s">
        <v>338</v>
      </c>
      <c r="C5810" t="s">
        <v>62</v>
      </c>
      <c r="D5810">
        <v>28692</v>
      </c>
      <c r="E5810" t="s">
        <v>380</v>
      </c>
    </row>
    <row r="5811" spans="1:5" x14ac:dyDescent="0.25">
      <c r="A5811" s="279">
        <v>39176</v>
      </c>
      <c r="B5811" t="s">
        <v>338</v>
      </c>
      <c r="C5811" t="s">
        <v>63</v>
      </c>
      <c r="D5811">
        <v>0</v>
      </c>
      <c r="E5811" t="s">
        <v>378</v>
      </c>
    </row>
    <row r="5812" spans="1:5" x14ac:dyDescent="0.25">
      <c r="A5812" s="279">
        <v>39176</v>
      </c>
      <c r="B5812" t="s">
        <v>338</v>
      </c>
      <c r="C5812" t="s">
        <v>64</v>
      </c>
      <c r="D5812">
        <v>0</v>
      </c>
      <c r="E5812" t="s">
        <v>380</v>
      </c>
    </row>
    <row r="5813" spans="1:5" x14ac:dyDescent="0.25">
      <c r="A5813" s="279">
        <v>39176</v>
      </c>
      <c r="B5813" t="s">
        <v>338</v>
      </c>
      <c r="C5813" t="s">
        <v>65</v>
      </c>
      <c r="D5813">
        <v>0</v>
      </c>
      <c r="E5813" t="s">
        <v>378</v>
      </c>
    </row>
    <row r="5814" spans="1:5" x14ac:dyDescent="0.25">
      <c r="A5814" s="279">
        <v>39176</v>
      </c>
      <c r="B5814" t="s">
        <v>338</v>
      </c>
      <c r="C5814" t="s">
        <v>66</v>
      </c>
      <c r="D5814">
        <v>0</v>
      </c>
      <c r="E5814" t="s">
        <v>380</v>
      </c>
    </row>
    <row r="5815" spans="1:5" x14ac:dyDescent="0.25">
      <c r="A5815" s="279">
        <v>39176</v>
      </c>
      <c r="B5815" t="s">
        <v>338</v>
      </c>
      <c r="C5815" t="s">
        <v>120</v>
      </c>
      <c r="D5815">
        <v>0</v>
      </c>
      <c r="E5815" t="s">
        <v>378</v>
      </c>
    </row>
    <row r="5816" spans="1:5" x14ac:dyDescent="0.25">
      <c r="A5816" s="279">
        <v>39176</v>
      </c>
      <c r="B5816" t="s">
        <v>338</v>
      </c>
      <c r="C5816" t="s">
        <v>121</v>
      </c>
      <c r="D5816">
        <v>20123</v>
      </c>
      <c r="E5816" t="s">
        <v>380</v>
      </c>
    </row>
    <row r="5817" spans="1:5" x14ac:dyDescent="0.25">
      <c r="A5817" s="279">
        <v>39176</v>
      </c>
      <c r="B5817" t="s">
        <v>338</v>
      </c>
      <c r="C5817" t="s">
        <v>67</v>
      </c>
      <c r="D5817">
        <v>0</v>
      </c>
      <c r="E5817" t="s">
        <v>378</v>
      </c>
    </row>
    <row r="5818" spans="1:5" x14ac:dyDescent="0.25">
      <c r="A5818" s="279">
        <v>39176</v>
      </c>
      <c r="B5818" t="s">
        <v>338</v>
      </c>
      <c r="C5818" t="s">
        <v>68</v>
      </c>
      <c r="D5818">
        <v>0</v>
      </c>
      <c r="E5818" t="s">
        <v>380</v>
      </c>
    </row>
    <row r="5819" spans="1:5" x14ac:dyDescent="0.25">
      <c r="A5819" s="279">
        <v>39176</v>
      </c>
      <c r="B5819" t="s">
        <v>338</v>
      </c>
      <c r="C5819" t="s">
        <v>69</v>
      </c>
      <c r="D5819">
        <v>0</v>
      </c>
      <c r="E5819" t="s">
        <v>379</v>
      </c>
    </row>
    <row r="5820" spans="1:5" x14ac:dyDescent="0.25">
      <c r="A5820" s="279">
        <v>39176</v>
      </c>
      <c r="B5820" t="s">
        <v>338</v>
      </c>
      <c r="C5820" t="s">
        <v>70</v>
      </c>
      <c r="D5820">
        <v>0</v>
      </c>
      <c r="E5820" t="s">
        <v>379</v>
      </c>
    </row>
    <row r="5821" spans="1:5" x14ac:dyDescent="0.25">
      <c r="A5821" s="279">
        <v>39176</v>
      </c>
      <c r="B5821" t="s">
        <v>338</v>
      </c>
      <c r="C5821" t="s">
        <v>80</v>
      </c>
      <c r="D5821">
        <v>13</v>
      </c>
      <c r="E5821" t="s">
        <v>379</v>
      </c>
    </row>
    <row r="5822" spans="1:5" x14ac:dyDescent="0.25">
      <c r="A5822" s="279">
        <v>39176</v>
      </c>
      <c r="B5822" t="s">
        <v>339</v>
      </c>
      <c r="C5822" t="s">
        <v>71</v>
      </c>
      <c r="D5822">
        <v>0</v>
      </c>
      <c r="E5822" t="s">
        <v>378</v>
      </c>
    </row>
    <row r="5823" spans="1:5" x14ac:dyDescent="0.25">
      <c r="A5823" s="279">
        <v>39176</v>
      </c>
      <c r="B5823" t="s">
        <v>339</v>
      </c>
      <c r="C5823" t="s">
        <v>72</v>
      </c>
      <c r="D5823">
        <v>942</v>
      </c>
      <c r="E5823" t="s">
        <v>380</v>
      </c>
    </row>
    <row r="5824" spans="1:5" x14ac:dyDescent="0.25">
      <c r="A5824" s="279">
        <v>39176</v>
      </c>
      <c r="B5824" t="s">
        <v>339</v>
      </c>
      <c r="C5824" t="s">
        <v>73</v>
      </c>
      <c r="D5824">
        <v>0</v>
      </c>
      <c r="E5824" t="s">
        <v>378</v>
      </c>
    </row>
    <row r="5825" spans="1:5" x14ac:dyDescent="0.25">
      <c r="A5825" s="279">
        <v>39176</v>
      </c>
      <c r="B5825" t="s">
        <v>339</v>
      </c>
      <c r="C5825" t="s">
        <v>74</v>
      </c>
      <c r="D5825">
        <v>33915</v>
      </c>
      <c r="E5825" t="s">
        <v>380</v>
      </c>
    </row>
    <row r="5826" spans="1:5" x14ac:dyDescent="0.25">
      <c r="A5826" s="279">
        <v>39176</v>
      </c>
      <c r="B5826" t="s">
        <v>339</v>
      </c>
      <c r="C5826" t="s">
        <v>75</v>
      </c>
      <c r="D5826">
        <v>15331</v>
      </c>
      <c r="E5826" t="s">
        <v>378</v>
      </c>
    </row>
    <row r="5827" spans="1:5" x14ac:dyDescent="0.25">
      <c r="A5827" s="279">
        <v>39176</v>
      </c>
      <c r="B5827" t="s">
        <v>339</v>
      </c>
      <c r="C5827" t="s">
        <v>76</v>
      </c>
      <c r="D5827">
        <v>34127</v>
      </c>
      <c r="E5827" t="s">
        <v>380</v>
      </c>
    </row>
    <row r="5828" spans="1:5" x14ac:dyDescent="0.25">
      <c r="A5828" s="279">
        <v>39176</v>
      </c>
      <c r="B5828" t="s">
        <v>339</v>
      </c>
      <c r="C5828" t="s">
        <v>77</v>
      </c>
      <c r="D5828">
        <v>7310</v>
      </c>
      <c r="E5828" t="s">
        <v>378</v>
      </c>
    </row>
    <row r="5829" spans="1:5" x14ac:dyDescent="0.25">
      <c r="A5829" s="279">
        <v>39176</v>
      </c>
      <c r="B5829" t="s">
        <v>339</v>
      </c>
      <c r="C5829" t="s">
        <v>78</v>
      </c>
      <c r="D5829">
        <v>23130</v>
      </c>
      <c r="E5829" t="s">
        <v>380</v>
      </c>
    </row>
    <row r="5830" spans="1:5" x14ac:dyDescent="0.25">
      <c r="A5830" s="279">
        <v>39176</v>
      </c>
      <c r="B5830" t="s">
        <v>339</v>
      </c>
      <c r="C5830" t="s">
        <v>79</v>
      </c>
      <c r="D5830">
        <v>79804</v>
      </c>
      <c r="E5830" t="s">
        <v>379</v>
      </c>
    </row>
    <row r="5831" spans="1:5" x14ac:dyDescent="0.25">
      <c r="A5831" s="279">
        <v>39176</v>
      </c>
      <c r="B5831" t="s">
        <v>339</v>
      </c>
      <c r="C5831" t="s">
        <v>70</v>
      </c>
      <c r="D5831">
        <v>0</v>
      </c>
      <c r="E5831" t="s">
        <v>379</v>
      </c>
    </row>
    <row r="5832" spans="1:5" x14ac:dyDescent="0.25">
      <c r="A5832" s="279">
        <v>39176</v>
      </c>
      <c r="B5832" t="s">
        <v>339</v>
      </c>
      <c r="C5832" t="s">
        <v>63</v>
      </c>
      <c r="D5832">
        <v>0</v>
      </c>
      <c r="E5832" t="s">
        <v>378</v>
      </c>
    </row>
    <row r="5833" spans="1:5" x14ac:dyDescent="0.25">
      <c r="A5833" s="279">
        <v>39176</v>
      </c>
      <c r="B5833" t="s">
        <v>339</v>
      </c>
      <c r="C5833" t="s">
        <v>80</v>
      </c>
      <c r="D5833">
        <v>136</v>
      </c>
      <c r="E5833" t="s">
        <v>379</v>
      </c>
    </row>
    <row r="5834" spans="1:5" x14ac:dyDescent="0.25">
      <c r="A5834" s="279">
        <v>39177</v>
      </c>
      <c r="B5834" t="s">
        <v>338</v>
      </c>
      <c r="C5834" t="s">
        <v>59</v>
      </c>
      <c r="D5834">
        <v>2598</v>
      </c>
      <c r="E5834" t="s">
        <v>378</v>
      </c>
    </row>
    <row r="5835" spans="1:5" x14ac:dyDescent="0.25">
      <c r="A5835" s="279">
        <v>39177</v>
      </c>
      <c r="B5835" t="s">
        <v>338</v>
      </c>
      <c r="C5835" t="s">
        <v>60</v>
      </c>
      <c r="D5835">
        <v>0</v>
      </c>
      <c r="E5835" t="s">
        <v>379</v>
      </c>
    </row>
    <row r="5836" spans="1:5" x14ac:dyDescent="0.25">
      <c r="A5836" s="279">
        <v>39177</v>
      </c>
      <c r="B5836" t="s">
        <v>338</v>
      </c>
      <c r="C5836" t="s">
        <v>61</v>
      </c>
      <c r="D5836">
        <v>0</v>
      </c>
      <c r="E5836" t="s">
        <v>378</v>
      </c>
    </row>
    <row r="5837" spans="1:5" x14ac:dyDescent="0.25">
      <c r="A5837" s="279">
        <v>39177</v>
      </c>
      <c r="B5837" t="s">
        <v>338</v>
      </c>
      <c r="C5837" t="s">
        <v>62</v>
      </c>
      <c r="D5837">
        <v>28808</v>
      </c>
      <c r="E5837" t="s">
        <v>380</v>
      </c>
    </row>
    <row r="5838" spans="1:5" x14ac:dyDescent="0.25">
      <c r="A5838" s="279">
        <v>39177</v>
      </c>
      <c r="B5838" t="s">
        <v>338</v>
      </c>
      <c r="C5838" t="s">
        <v>63</v>
      </c>
      <c r="D5838">
        <v>0</v>
      </c>
      <c r="E5838" t="s">
        <v>378</v>
      </c>
    </row>
    <row r="5839" spans="1:5" x14ac:dyDescent="0.25">
      <c r="A5839" s="279">
        <v>39177</v>
      </c>
      <c r="B5839" t="s">
        <v>338</v>
      </c>
      <c r="C5839" t="s">
        <v>64</v>
      </c>
      <c r="D5839">
        <v>24815</v>
      </c>
      <c r="E5839" t="s">
        <v>380</v>
      </c>
    </row>
    <row r="5840" spans="1:5" x14ac:dyDescent="0.25">
      <c r="A5840" s="279">
        <v>39177</v>
      </c>
      <c r="B5840" t="s">
        <v>338</v>
      </c>
      <c r="C5840" t="s">
        <v>65</v>
      </c>
      <c r="D5840">
        <v>0</v>
      </c>
      <c r="E5840" t="s">
        <v>378</v>
      </c>
    </row>
    <row r="5841" spans="1:5" x14ac:dyDescent="0.25">
      <c r="A5841" s="279">
        <v>39177</v>
      </c>
      <c r="B5841" t="s">
        <v>338</v>
      </c>
      <c r="C5841" t="s">
        <v>66</v>
      </c>
      <c r="D5841">
        <v>0</v>
      </c>
      <c r="E5841" t="s">
        <v>380</v>
      </c>
    </row>
    <row r="5842" spans="1:5" x14ac:dyDescent="0.25">
      <c r="A5842" s="279">
        <v>39177</v>
      </c>
      <c r="B5842" t="s">
        <v>338</v>
      </c>
      <c r="C5842" t="s">
        <v>120</v>
      </c>
      <c r="D5842">
        <v>0</v>
      </c>
      <c r="E5842" t="s">
        <v>378</v>
      </c>
    </row>
    <row r="5843" spans="1:5" x14ac:dyDescent="0.25">
      <c r="A5843" s="279">
        <v>39177</v>
      </c>
      <c r="B5843" t="s">
        <v>338</v>
      </c>
      <c r="C5843" t="s">
        <v>121</v>
      </c>
      <c r="D5843">
        <v>20123</v>
      </c>
      <c r="E5843" t="s">
        <v>380</v>
      </c>
    </row>
    <row r="5844" spans="1:5" x14ac:dyDescent="0.25">
      <c r="A5844" s="279">
        <v>39177</v>
      </c>
      <c r="B5844" t="s">
        <v>338</v>
      </c>
      <c r="C5844" t="s">
        <v>67</v>
      </c>
      <c r="D5844">
        <v>0</v>
      </c>
      <c r="E5844" t="s">
        <v>378</v>
      </c>
    </row>
    <row r="5845" spans="1:5" x14ac:dyDescent="0.25">
      <c r="A5845" s="279">
        <v>39177</v>
      </c>
      <c r="B5845" t="s">
        <v>338</v>
      </c>
      <c r="C5845" t="s">
        <v>68</v>
      </c>
      <c r="D5845">
        <v>0</v>
      </c>
      <c r="E5845" t="s">
        <v>380</v>
      </c>
    </row>
    <row r="5846" spans="1:5" x14ac:dyDescent="0.25">
      <c r="A5846" s="279">
        <v>39177</v>
      </c>
      <c r="B5846" t="s">
        <v>338</v>
      </c>
      <c r="C5846" t="s">
        <v>69</v>
      </c>
      <c r="D5846">
        <v>0</v>
      </c>
      <c r="E5846" t="s">
        <v>379</v>
      </c>
    </row>
    <row r="5847" spans="1:5" x14ac:dyDescent="0.25">
      <c r="A5847" s="279">
        <v>39177</v>
      </c>
      <c r="B5847" t="s">
        <v>338</v>
      </c>
      <c r="C5847" t="s">
        <v>70</v>
      </c>
      <c r="D5847">
        <v>0</v>
      </c>
      <c r="E5847" t="s">
        <v>379</v>
      </c>
    </row>
    <row r="5848" spans="1:5" x14ac:dyDescent="0.25">
      <c r="A5848" s="279">
        <v>39177</v>
      </c>
      <c r="B5848" t="s">
        <v>338</v>
      </c>
      <c r="C5848" t="s">
        <v>80</v>
      </c>
      <c r="D5848">
        <v>13</v>
      </c>
      <c r="E5848" t="s">
        <v>379</v>
      </c>
    </row>
    <row r="5849" spans="1:5" x14ac:dyDescent="0.25">
      <c r="A5849" s="279">
        <v>39177</v>
      </c>
      <c r="B5849" t="s">
        <v>339</v>
      </c>
      <c r="C5849" t="s">
        <v>71</v>
      </c>
      <c r="D5849">
        <v>0</v>
      </c>
      <c r="E5849" t="s">
        <v>378</v>
      </c>
    </row>
    <row r="5850" spans="1:5" x14ac:dyDescent="0.25">
      <c r="A5850" s="279">
        <v>39177</v>
      </c>
      <c r="B5850" t="s">
        <v>339</v>
      </c>
      <c r="C5850" t="s">
        <v>72</v>
      </c>
      <c r="D5850">
        <v>938</v>
      </c>
      <c r="E5850" t="s">
        <v>380</v>
      </c>
    </row>
    <row r="5851" spans="1:5" x14ac:dyDescent="0.25">
      <c r="A5851" s="279">
        <v>39177</v>
      </c>
      <c r="B5851" t="s">
        <v>339</v>
      </c>
      <c r="C5851" t="s">
        <v>73</v>
      </c>
      <c r="D5851">
        <v>0</v>
      </c>
      <c r="E5851" t="s">
        <v>378</v>
      </c>
    </row>
    <row r="5852" spans="1:5" x14ac:dyDescent="0.25">
      <c r="A5852" s="279">
        <v>39177</v>
      </c>
      <c r="B5852" t="s">
        <v>339</v>
      </c>
      <c r="C5852" t="s">
        <v>74</v>
      </c>
      <c r="D5852">
        <v>39182</v>
      </c>
      <c r="E5852" t="s">
        <v>380</v>
      </c>
    </row>
    <row r="5853" spans="1:5" x14ac:dyDescent="0.25">
      <c r="A5853" s="279">
        <v>39177</v>
      </c>
      <c r="B5853" t="s">
        <v>339</v>
      </c>
      <c r="C5853" t="s">
        <v>75</v>
      </c>
      <c r="D5853">
        <v>15272</v>
      </c>
      <c r="E5853" t="s">
        <v>378</v>
      </c>
    </row>
    <row r="5854" spans="1:5" x14ac:dyDescent="0.25">
      <c r="A5854" s="279">
        <v>39177</v>
      </c>
      <c r="B5854" t="s">
        <v>339</v>
      </c>
      <c r="C5854" t="s">
        <v>76</v>
      </c>
      <c r="D5854">
        <v>33995</v>
      </c>
      <c r="E5854" t="s">
        <v>380</v>
      </c>
    </row>
    <row r="5855" spans="1:5" x14ac:dyDescent="0.25">
      <c r="A5855" s="279">
        <v>39177</v>
      </c>
      <c r="B5855" t="s">
        <v>339</v>
      </c>
      <c r="C5855" t="s">
        <v>77</v>
      </c>
      <c r="D5855">
        <v>7282</v>
      </c>
      <c r="E5855" t="s">
        <v>378</v>
      </c>
    </row>
    <row r="5856" spans="1:5" x14ac:dyDescent="0.25">
      <c r="A5856" s="279">
        <v>39177</v>
      </c>
      <c r="B5856" t="s">
        <v>339</v>
      </c>
      <c r="C5856" t="s">
        <v>78</v>
      </c>
      <c r="D5856">
        <v>47575</v>
      </c>
      <c r="E5856" t="s">
        <v>380</v>
      </c>
    </row>
    <row r="5857" spans="1:5" x14ac:dyDescent="0.25">
      <c r="A5857" s="279">
        <v>39177</v>
      </c>
      <c r="B5857" t="s">
        <v>339</v>
      </c>
      <c r="C5857" t="s">
        <v>79</v>
      </c>
      <c r="D5857">
        <v>79696</v>
      </c>
      <c r="E5857" t="s">
        <v>379</v>
      </c>
    </row>
    <row r="5858" spans="1:5" x14ac:dyDescent="0.25">
      <c r="A5858" s="279">
        <v>39177</v>
      </c>
      <c r="B5858" t="s">
        <v>339</v>
      </c>
      <c r="C5858" t="s">
        <v>70</v>
      </c>
      <c r="D5858">
        <v>0</v>
      </c>
      <c r="E5858" t="s">
        <v>379</v>
      </c>
    </row>
    <row r="5859" spans="1:5" x14ac:dyDescent="0.25">
      <c r="A5859" s="279">
        <v>39177</v>
      </c>
      <c r="B5859" t="s">
        <v>339</v>
      </c>
      <c r="C5859" t="s">
        <v>63</v>
      </c>
      <c r="D5859">
        <v>0</v>
      </c>
      <c r="E5859" t="s">
        <v>378</v>
      </c>
    </row>
    <row r="5860" spans="1:5" x14ac:dyDescent="0.25">
      <c r="A5860" s="279">
        <v>39177</v>
      </c>
      <c r="B5860" t="s">
        <v>339</v>
      </c>
      <c r="C5860" t="s">
        <v>80</v>
      </c>
      <c r="D5860">
        <v>136</v>
      </c>
      <c r="E5860" t="s">
        <v>379</v>
      </c>
    </row>
    <row r="5861" spans="1:5" x14ac:dyDescent="0.25">
      <c r="A5861" s="279">
        <v>39178</v>
      </c>
      <c r="B5861" t="s">
        <v>338</v>
      </c>
      <c r="C5861" t="s">
        <v>59</v>
      </c>
      <c r="D5861">
        <v>2598</v>
      </c>
      <c r="E5861" t="s">
        <v>378</v>
      </c>
    </row>
    <row r="5862" spans="1:5" x14ac:dyDescent="0.25">
      <c r="A5862" s="279">
        <v>39178</v>
      </c>
      <c r="B5862" t="s">
        <v>338</v>
      </c>
      <c r="C5862" t="s">
        <v>60</v>
      </c>
      <c r="D5862">
        <v>0</v>
      </c>
      <c r="E5862" t="s">
        <v>379</v>
      </c>
    </row>
    <row r="5863" spans="1:5" x14ac:dyDescent="0.25">
      <c r="A5863" s="279">
        <v>39178</v>
      </c>
      <c r="B5863" t="s">
        <v>338</v>
      </c>
      <c r="C5863" t="s">
        <v>61</v>
      </c>
      <c r="D5863">
        <v>0</v>
      </c>
      <c r="E5863" t="s">
        <v>378</v>
      </c>
    </row>
    <row r="5864" spans="1:5" x14ac:dyDescent="0.25">
      <c r="A5864" s="279">
        <v>39178</v>
      </c>
      <c r="B5864" t="s">
        <v>338</v>
      </c>
      <c r="C5864" t="s">
        <v>62</v>
      </c>
      <c r="D5864">
        <v>28978</v>
      </c>
      <c r="E5864" t="s">
        <v>380</v>
      </c>
    </row>
    <row r="5865" spans="1:5" x14ac:dyDescent="0.25">
      <c r="A5865" s="279">
        <v>39178</v>
      </c>
      <c r="B5865" t="s">
        <v>338</v>
      </c>
      <c r="C5865" t="s">
        <v>63</v>
      </c>
      <c r="D5865">
        <v>0</v>
      </c>
      <c r="E5865" t="s">
        <v>378</v>
      </c>
    </row>
    <row r="5866" spans="1:5" x14ac:dyDescent="0.25">
      <c r="A5866" s="279">
        <v>39178</v>
      </c>
      <c r="B5866" t="s">
        <v>338</v>
      </c>
      <c r="C5866" t="s">
        <v>64</v>
      </c>
      <c r="D5866">
        <v>24815</v>
      </c>
      <c r="E5866" t="s">
        <v>380</v>
      </c>
    </row>
    <row r="5867" spans="1:5" x14ac:dyDescent="0.25">
      <c r="A5867" s="279">
        <v>39178</v>
      </c>
      <c r="B5867" t="s">
        <v>338</v>
      </c>
      <c r="C5867" t="s">
        <v>65</v>
      </c>
      <c r="D5867">
        <v>0</v>
      </c>
      <c r="E5867" t="s">
        <v>378</v>
      </c>
    </row>
    <row r="5868" spans="1:5" x14ac:dyDescent="0.25">
      <c r="A5868" s="279">
        <v>39178</v>
      </c>
      <c r="B5868" t="s">
        <v>338</v>
      </c>
      <c r="C5868" t="s">
        <v>66</v>
      </c>
      <c r="D5868">
        <v>0</v>
      </c>
      <c r="E5868" t="s">
        <v>380</v>
      </c>
    </row>
    <row r="5869" spans="1:5" x14ac:dyDescent="0.25">
      <c r="A5869" s="279">
        <v>39178</v>
      </c>
      <c r="B5869" t="s">
        <v>338</v>
      </c>
      <c r="C5869" t="s">
        <v>120</v>
      </c>
      <c r="D5869">
        <v>0</v>
      </c>
      <c r="E5869" t="s">
        <v>378</v>
      </c>
    </row>
    <row r="5870" spans="1:5" x14ac:dyDescent="0.25">
      <c r="A5870" s="279">
        <v>39178</v>
      </c>
      <c r="B5870" t="s">
        <v>338</v>
      </c>
      <c r="C5870" t="s">
        <v>121</v>
      </c>
      <c r="D5870">
        <v>20123</v>
      </c>
      <c r="E5870" t="s">
        <v>380</v>
      </c>
    </row>
    <row r="5871" spans="1:5" x14ac:dyDescent="0.25">
      <c r="A5871" s="279">
        <v>39178</v>
      </c>
      <c r="B5871" t="s">
        <v>338</v>
      </c>
      <c r="C5871" t="s">
        <v>67</v>
      </c>
      <c r="D5871">
        <v>0</v>
      </c>
      <c r="E5871" t="s">
        <v>378</v>
      </c>
    </row>
    <row r="5872" spans="1:5" x14ac:dyDescent="0.25">
      <c r="A5872" s="279">
        <v>39178</v>
      </c>
      <c r="B5872" t="s">
        <v>338</v>
      </c>
      <c r="C5872" t="s">
        <v>68</v>
      </c>
      <c r="D5872">
        <v>0</v>
      </c>
      <c r="E5872" t="s">
        <v>380</v>
      </c>
    </row>
    <row r="5873" spans="1:5" x14ac:dyDescent="0.25">
      <c r="A5873" s="279">
        <v>39178</v>
      </c>
      <c r="B5873" t="s">
        <v>338</v>
      </c>
      <c r="C5873" t="s">
        <v>69</v>
      </c>
      <c r="D5873">
        <v>0</v>
      </c>
      <c r="E5873" t="s">
        <v>379</v>
      </c>
    </row>
    <row r="5874" spans="1:5" x14ac:dyDescent="0.25">
      <c r="A5874" s="279">
        <v>39178</v>
      </c>
      <c r="B5874" t="s">
        <v>338</v>
      </c>
      <c r="C5874" t="s">
        <v>70</v>
      </c>
      <c r="D5874">
        <v>0</v>
      </c>
      <c r="E5874" t="s">
        <v>379</v>
      </c>
    </row>
    <row r="5875" spans="1:5" x14ac:dyDescent="0.25">
      <c r="A5875" s="279">
        <v>39178</v>
      </c>
      <c r="B5875" t="s">
        <v>338</v>
      </c>
      <c r="C5875" t="s">
        <v>80</v>
      </c>
      <c r="D5875">
        <v>13</v>
      </c>
      <c r="E5875" t="s">
        <v>379</v>
      </c>
    </row>
    <row r="5876" spans="1:5" x14ac:dyDescent="0.25">
      <c r="A5876" s="279">
        <v>39178</v>
      </c>
      <c r="B5876" t="s">
        <v>339</v>
      </c>
      <c r="C5876" t="s">
        <v>71</v>
      </c>
      <c r="D5876">
        <v>0</v>
      </c>
      <c r="E5876" t="s">
        <v>378</v>
      </c>
    </row>
    <row r="5877" spans="1:5" x14ac:dyDescent="0.25">
      <c r="A5877" s="279">
        <v>39178</v>
      </c>
      <c r="B5877" t="s">
        <v>339</v>
      </c>
      <c r="C5877" t="s">
        <v>72</v>
      </c>
      <c r="D5877">
        <v>935</v>
      </c>
      <c r="E5877" t="s">
        <v>380</v>
      </c>
    </row>
    <row r="5878" spans="1:5" x14ac:dyDescent="0.25">
      <c r="A5878" s="279">
        <v>39178</v>
      </c>
      <c r="B5878" t="s">
        <v>339</v>
      </c>
      <c r="C5878" t="s">
        <v>73</v>
      </c>
      <c r="D5878">
        <v>0</v>
      </c>
      <c r="E5878" t="s">
        <v>378</v>
      </c>
    </row>
    <row r="5879" spans="1:5" x14ac:dyDescent="0.25">
      <c r="A5879" s="279">
        <v>39178</v>
      </c>
      <c r="B5879" t="s">
        <v>339</v>
      </c>
      <c r="C5879" t="s">
        <v>74</v>
      </c>
      <c r="D5879">
        <v>33654</v>
      </c>
      <c r="E5879" t="s">
        <v>380</v>
      </c>
    </row>
    <row r="5880" spans="1:5" x14ac:dyDescent="0.25">
      <c r="A5880" s="279">
        <v>39178</v>
      </c>
      <c r="B5880" t="s">
        <v>339</v>
      </c>
      <c r="C5880" t="s">
        <v>75</v>
      </c>
      <c r="D5880">
        <v>15213</v>
      </c>
      <c r="E5880" t="s">
        <v>378</v>
      </c>
    </row>
    <row r="5881" spans="1:5" x14ac:dyDescent="0.25">
      <c r="A5881" s="279">
        <v>39178</v>
      </c>
      <c r="B5881" t="s">
        <v>339</v>
      </c>
      <c r="C5881" t="s">
        <v>76</v>
      </c>
      <c r="D5881">
        <v>33864</v>
      </c>
      <c r="E5881" t="s">
        <v>380</v>
      </c>
    </row>
    <row r="5882" spans="1:5" x14ac:dyDescent="0.25">
      <c r="A5882" s="279">
        <v>39178</v>
      </c>
      <c r="B5882" t="s">
        <v>339</v>
      </c>
      <c r="C5882" t="s">
        <v>77</v>
      </c>
      <c r="D5882">
        <v>7254</v>
      </c>
      <c r="E5882" t="s">
        <v>378</v>
      </c>
    </row>
    <row r="5883" spans="1:5" x14ac:dyDescent="0.25">
      <c r="A5883" s="279">
        <v>39178</v>
      </c>
      <c r="B5883" t="s">
        <v>339</v>
      </c>
      <c r="C5883" t="s">
        <v>78</v>
      </c>
      <c r="D5883">
        <v>19841</v>
      </c>
      <c r="E5883" t="s">
        <v>380</v>
      </c>
    </row>
    <row r="5884" spans="1:5" x14ac:dyDescent="0.25">
      <c r="A5884" s="279">
        <v>39178</v>
      </c>
      <c r="B5884" t="s">
        <v>339</v>
      </c>
      <c r="C5884" t="s">
        <v>79</v>
      </c>
      <c r="D5884">
        <v>90009</v>
      </c>
      <c r="E5884" t="s">
        <v>379</v>
      </c>
    </row>
    <row r="5885" spans="1:5" x14ac:dyDescent="0.25">
      <c r="A5885" s="279">
        <v>39178</v>
      </c>
      <c r="B5885" t="s">
        <v>339</v>
      </c>
      <c r="C5885" t="s">
        <v>70</v>
      </c>
      <c r="D5885">
        <v>0</v>
      </c>
      <c r="E5885" t="s">
        <v>379</v>
      </c>
    </row>
    <row r="5886" spans="1:5" x14ac:dyDescent="0.25">
      <c r="A5886" s="279">
        <v>39178</v>
      </c>
      <c r="B5886" t="s">
        <v>339</v>
      </c>
      <c r="C5886" t="s">
        <v>63</v>
      </c>
      <c r="D5886">
        <v>0</v>
      </c>
      <c r="E5886" t="s">
        <v>378</v>
      </c>
    </row>
    <row r="5887" spans="1:5" x14ac:dyDescent="0.25">
      <c r="A5887" s="279">
        <v>39178</v>
      </c>
      <c r="B5887" t="s">
        <v>339</v>
      </c>
      <c r="C5887" t="s">
        <v>80</v>
      </c>
      <c r="D5887">
        <v>135</v>
      </c>
      <c r="E5887" t="s">
        <v>379</v>
      </c>
    </row>
    <row r="5888" spans="1:5" x14ac:dyDescent="0.25">
      <c r="A5888" s="279">
        <v>39179</v>
      </c>
      <c r="B5888" t="s">
        <v>338</v>
      </c>
      <c r="C5888" t="s">
        <v>59</v>
      </c>
      <c r="D5888">
        <v>2598</v>
      </c>
      <c r="E5888" t="s">
        <v>378</v>
      </c>
    </row>
    <row r="5889" spans="1:5" x14ac:dyDescent="0.25">
      <c r="A5889" s="279">
        <v>39179</v>
      </c>
      <c r="B5889" t="s">
        <v>338</v>
      </c>
      <c r="C5889" t="s">
        <v>60</v>
      </c>
      <c r="D5889">
        <v>0</v>
      </c>
      <c r="E5889" t="s">
        <v>379</v>
      </c>
    </row>
    <row r="5890" spans="1:5" x14ac:dyDescent="0.25">
      <c r="A5890" s="279">
        <v>39179</v>
      </c>
      <c r="B5890" t="s">
        <v>338</v>
      </c>
      <c r="C5890" t="s">
        <v>61</v>
      </c>
      <c r="D5890">
        <v>0</v>
      </c>
      <c r="E5890" t="s">
        <v>378</v>
      </c>
    </row>
    <row r="5891" spans="1:5" x14ac:dyDescent="0.25">
      <c r="A5891" s="279">
        <v>39179</v>
      </c>
      <c r="B5891" t="s">
        <v>338</v>
      </c>
      <c r="C5891" t="s">
        <v>62</v>
      </c>
      <c r="D5891">
        <v>31209</v>
      </c>
      <c r="E5891" t="s">
        <v>380</v>
      </c>
    </row>
    <row r="5892" spans="1:5" x14ac:dyDescent="0.25">
      <c r="A5892" s="279">
        <v>39179</v>
      </c>
      <c r="B5892" t="s">
        <v>338</v>
      </c>
      <c r="C5892" t="s">
        <v>63</v>
      </c>
      <c r="D5892">
        <v>0</v>
      </c>
      <c r="E5892" t="s">
        <v>378</v>
      </c>
    </row>
    <row r="5893" spans="1:5" x14ac:dyDescent="0.25">
      <c r="A5893" s="279">
        <v>39179</v>
      </c>
      <c r="B5893" t="s">
        <v>338</v>
      </c>
      <c r="C5893" t="s">
        <v>64</v>
      </c>
      <c r="D5893">
        <v>24815</v>
      </c>
      <c r="E5893" t="s">
        <v>380</v>
      </c>
    </row>
    <row r="5894" spans="1:5" x14ac:dyDescent="0.25">
      <c r="A5894" s="279">
        <v>39179</v>
      </c>
      <c r="B5894" t="s">
        <v>338</v>
      </c>
      <c r="C5894" t="s">
        <v>65</v>
      </c>
      <c r="D5894">
        <v>0</v>
      </c>
      <c r="E5894" t="s">
        <v>378</v>
      </c>
    </row>
    <row r="5895" spans="1:5" x14ac:dyDescent="0.25">
      <c r="A5895" s="279">
        <v>39179</v>
      </c>
      <c r="B5895" t="s">
        <v>338</v>
      </c>
      <c r="C5895" t="s">
        <v>66</v>
      </c>
      <c r="D5895">
        <v>0</v>
      </c>
      <c r="E5895" t="s">
        <v>380</v>
      </c>
    </row>
    <row r="5896" spans="1:5" x14ac:dyDescent="0.25">
      <c r="A5896" s="279">
        <v>39179</v>
      </c>
      <c r="B5896" t="s">
        <v>338</v>
      </c>
      <c r="C5896" t="s">
        <v>120</v>
      </c>
      <c r="D5896">
        <v>0</v>
      </c>
      <c r="E5896" t="s">
        <v>378</v>
      </c>
    </row>
    <row r="5897" spans="1:5" x14ac:dyDescent="0.25">
      <c r="A5897" s="279">
        <v>39179</v>
      </c>
      <c r="B5897" t="s">
        <v>338</v>
      </c>
      <c r="C5897" t="s">
        <v>121</v>
      </c>
      <c r="D5897">
        <v>20123</v>
      </c>
      <c r="E5897" t="s">
        <v>380</v>
      </c>
    </row>
    <row r="5898" spans="1:5" x14ac:dyDescent="0.25">
      <c r="A5898" s="279">
        <v>39179</v>
      </c>
      <c r="B5898" t="s">
        <v>338</v>
      </c>
      <c r="C5898" t="s">
        <v>67</v>
      </c>
      <c r="D5898">
        <v>0</v>
      </c>
      <c r="E5898" t="s">
        <v>378</v>
      </c>
    </row>
    <row r="5899" spans="1:5" x14ac:dyDescent="0.25">
      <c r="A5899" s="279">
        <v>39179</v>
      </c>
      <c r="B5899" t="s">
        <v>338</v>
      </c>
      <c r="C5899" t="s">
        <v>68</v>
      </c>
      <c r="D5899">
        <v>0</v>
      </c>
      <c r="E5899" t="s">
        <v>380</v>
      </c>
    </row>
    <row r="5900" spans="1:5" x14ac:dyDescent="0.25">
      <c r="A5900" s="279">
        <v>39179</v>
      </c>
      <c r="B5900" t="s">
        <v>338</v>
      </c>
      <c r="C5900" t="s">
        <v>69</v>
      </c>
      <c r="D5900">
        <v>0</v>
      </c>
      <c r="E5900" t="s">
        <v>379</v>
      </c>
    </row>
    <row r="5901" spans="1:5" x14ac:dyDescent="0.25">
      <c r="A5901" s="279">
        <v>39179</v>
      </c>
      <c r="B5901" t="s">
        <v>338</v>
      </c>
      <c r="C5901" t="s">
        <v>70</v>
      </c>
      <c r="D5901">
        <v>0</v>
      </c>
      <c r="E5901" t="s">
        <v>379</v>
      </c>
    </row>
    <row r="5902" spans="1:5" x14ac:dyDescent="0.25">
      <c r="A5902" s="279">
        <v>39179</v>
      </c>
      <c r="B5902" t="s">
        <v>338</v>
      </c>
      <c r="C5902" t="s">
        <v>80</v>
      </c>
      <c r="D5902">
        <v>13</v>
      </c>
      <c r="E5902" t="s">
        <v>379</v>
      </c>
    </row>
    <row r="5903" spans="1:5" x14ac:dyDescent="0.25">
      <c r="A5903" s="279">
        <v>39179</v>
      </c>
      <c r="B5903" t="s">
        <v>339</v>
      </c>
      <c r="C5903" t="s">
        <v>71</v>
      </c>
      <c r="D5903">
        <v>0</v>
      </c>
      <c r="E5903" t="s">
        <v>378</v>
      </c>
    </row>
    <row r="5904" spans="1:5" x14ac:dyDescent="0.25">
      <c r="A5904" s="279">
        <v>39179</v>
      </c>
      <c r="B5904" t="s">
        <v>339</v>
      </c>
      <c r="C5904" t="s">
        <v>72</v>
      </c>
      <c r="D5904">
        <v>936</v>
      </c>
      <c r="E5904" t="s">
        <v>380</v>
      </c>
    </row>
    <row r="5905" spans="1:5" x14ac:dyDescent="0.25">
      <c r="A5905" s="279">
        <v>39179</v>
      </c>
      <c r="B5905" t="s">
        <v>339</v>
      </c>
      <c r="C5905" t="s">
        <v>73</v>
      </c>
      <c r="D5905">
        <v>0</v>
      </c>
      <c r="E5905" t="s">
        <v>378</v>
      </c>
    </row>
    <row r="5906" spans="1:5" x14ac:dyDescent="0.25">
      <c r="A5906" s="279">
        <v>39179</v>
      </c>
      <c r="B5906" t="s">
        <v>339</v>
      </c>
      <c r="C5906" t="s">
        <v>74</v>
      </c>
      <c r="D5906">
        <v>42765</v>
      </c>
      <c r="E5906" t="s">
        <v>380</v>
      </c>
    </row>
    <row r="5907" spans="1:5" x14ac:dyDescent="0.25">
      <c r="A5907" s="279">
        <v>39179</v>
      </c>
      <c r="B5907" t="s">
        <v>339</v>
      </c>
      <c r="C5907" t="s">
        <v>75</v>
      </c>
      <c r="D5907">
        <v>15228</v>
      </c>
      <c r="E5907" t="s">
        <v>378</v>
      </c>
    </row>
    <row r="5908" spans="1:5" x14ac:dyDescent="0.25">
      <c r="A5908" s="279">
        <v>39179</v>
      </c>
      <c r="B5908" t="s">
        <v>339</v>
      </c>
      <c r="C5908" t="s">
        <v>76</v>
      </c>
      <c r="D5908">
        <v>33897</v>
      </c>
      <c r="E5908" t="s">
        <v>380</v>
      </c>
    </row>
    <row r="5909" spans="1:5" x14ac:dyDescent="0.25">
      <c r="A5909" s="279">
        <v>39179</v>
      </c>
      <c r="B5909" t="s">
        <v>339</v>
      </c>
      <c r="C5909" t="s">
        <v>77</v>
      </c>
      <c r="D5909">
        <v>7261</v>
      </c>
      <c r="E5909" t="s">
        <v>378</v>
      </c>
    </row>
    <row r="5910" spans="1:5" x14ac:dyDescent="0.25">
      <c r="A5910" s="279">
        <v>39179</v>
      </c>
      <c r="B5910" t="s">
        <v>339</v>
      </c>
      <c r="C5910" t="s">
        <v>78</v>
      </c>
      <c r="D5910">
        <v>36851</v>
      </c>
      <c r="E5910" t="s">
        <v>380</v>
      </c>
    </row>
    <row r="5911" spans="1:5" x14ac:dyDescent="0.25">
      <c r="A5911" s="279">
        <v>39179</v>
      </c>
      <c r="B5911" t="s">
        <v>339</v>
      </c>
      <c r="C5911" t="s">
        <v>79</v>
      </c>
      <c r="D5911">
        <v>90095</v>
      </c>
      <c r="E5911" t="s">
        <v>379</v>
      </c>
    </row>
    <row r="5912" spans="1:5" x14ac:dyDescent="0.25">
      <c r="A5912" s="279">
        <v>39179</v>
      </c>
      <c r="B5912" t="s">
        <v>339</v>
      </c>
      <c r="C5912" t="s">
        <v>70</v>
      </c>
      <c r="D5912">
        <v>0</v>
      </c>
      <c r="E5912" t="s">
        <v>379</v>
      </c>
    </row>
    <row r="5913" spans="1:5" x14ac:dyDescent="0.25">
      <c r="A5913" s="279">
        <v>39179</v>
      </c>
      <c r="B5913" t="s">
        <v>339</v>
      </c>
      <c r="C5913" t="s">
        <v>63</v>
      </c>
      <c r="D5913">
        <v>0</v>
      </c>
      <c r="E5913" t="s">
        <v>378</v>
      </c>
    </row>
    <row r="5914" spans="1:5" x14ac:dyDescent="0.25">
      <c r="A5914" s="279">
        <v>39179</v>
      </c>
      <c r="B5914" t="s">
        <v>339</v>
      </c>
      <c r="C5914" t="s">
        <v>80</v>
      </c>
      <c r="D5914">
        <v>135</v>
      </c>
      <c r="E5914" t="s">
        <v>379</v>
      </c>
    </row>
    <row r="5915" spans="1:5" x14ac:dyDescent="0.25">
      <c r="A5915" s="279">
        <v>39180</v>
      </c>
      <c r="B5915" t="s">
        <v>338</v>
      </c>
      <c r="C5915" t="s">
        <v>59</v>
      </c>
      <c r="D5915">
        <v>2595</v>
      </c>
      <c r="E5915" t="s">
        <v>378</v>
      </c>
    </row>
    <row r="5916" spans="1:5" x14ac:dyDescent="0.25">
      <c r="A5916" s="279">
        <v>39180</v>
      </c>
      <c r="B5916" t="s">
        <v>338</v>
      </c>
      <c r="C5916" t="s">
        <v>60</v>
      </c>
      <c r="D5916">
        <v>0</v>
      </c>
      <c r="E5916" t="s">
        <v>379</v>
      </c>
    </row>
    <row r="5917" spans="1:5" x14ac:dyDescent="0.25">
      <c r="A5917" s="279">
        <v>39180</v>
      </c>
      <c r="B5917" t="s">
        <v>338</v>
      </c>
      <c r="C5917" t="s">
        <v>61</v>
      </c>
      <c r="D5917">
        <v>0</v>
      </c>
      <c r="E5917" t="s">
        <v>378</v>
      </c>
    </row>
    <row r="5918" spans="1:5" x14ac:dyDescent="0.25">
      <c r="A5918" s="279">
        <v>39180</v>
      </c>
      <c r="B5918" t="s">
        <v>338</v>
      </c>
      <c r="C5918" t="s">
        <v>62</v>
      </c>
      <c r="D5918">
        <v>28906</v>
      </c>
      <c r="E5918" t="s">
        <v>380</v>
      </c>
    </row>
    <row r="5919" spans="1:5" x14ac:dyDescent="0.25">
      <c r="A5919" s="279">
        <v>39180</v>
      </c>
      <c r="B5919" t="s">
        <v>338</v>
      </c>
      <c r="C5919" t="s">
        <v>63</v>
      </c>
      <c r="D5919">
        <v>0</v>
      </c>
      <c r="E5919" t="s">
        <v>378</v>
      </c>
    </row>
    <row r="5920" spans="1:5" x14ac:dyDescent="0.25">
      <c r="A5920" s="279">
        <v>39180</v>
      </c>
      <c r="B5920" t="s">
        <v>338</v>
      </c>
      <c r="C5920" t="s">
        <v>64</v>
      </c>
      <c r="D5920">
        <v>24791</v>
      </c>
      <c r="E5920" t="s">
        <v>380</v>
      </c>
    </row>
    <row r="5921" spans="1:5" x14ac:dyDescent="0.25">
      <c r="A5921" s="279">
        <v>39180</v>
      </c>
      <c r="B5921" t="s">
        <v>338</v>
      </c>
      <c r="C5921" t="s">
        <v>65</v>
      </c>
      <c r="D5921">
        <v>0</v>
      </c>
      <c r="E5921" t="s">
        <v>378</v>
      </c>
    </row>
    <row r="5922" spans="1:5" x14ac:dyDescent="0.25">
      <c r="A5922" s="279">
        <v>39180</v>
      </c>
      <c r="B5922" t="s">
        <v>338</v>
      </c>
      <c r="C5922" t="s">
        <v>66</v>
      </c>
      <c r="D5922">
        <v>0</v>
      </c>
      <c r="E5922" t="s">
        <v>380</v>
      </c>
    </row>
    <row r="5923" spans="1:5" x14ac:dyDescent="0.25">
      <c r="A5923" s="279">
        <v>39180</v>
      </c>
      <c r="B5923" t="s">
        <v>338</v>
      </c>
      <c r="C5923" t="s">
        <v>120</v>
      </c>
      <c r="D5923">
        <v>0</v>
      </c>
      <c r="E5923" t="s">
        <v>378</v>
      </c>
    </row>
    <row r="5924" spans="1:5" x14ac:dyDescent="0.25">
      <c r="A5924" s="279">
        <v>39180</v>
      </c>
      <c r="B5924" t="s">
        <v>338</v>
      </c>
      <c r="C5924" t="s">
        <v>121</v>
      </c>
      <c r="D5924">
        <v>20103</v>
      </c>
      <c r="E5924" t="s">
        <v>380</v>
      </c>
    </row>
    <row r="5925" spans="1:5" x14ac:dyDescent="0.25">
      <c r="A5925" s="279">
        <v>39180</v>
      </c>
      <c r="B5925" t="s">
        <v>338</v>
      </c>
      <c r="C5925" t="s">
        <v>67</v>
      </c>
      <c r="D5925">
        <v>0</v>
      </c>
      <c r="E5925" t="s">
        <v>378</v>
      </c>
    </row>
    <row r="5926" spans="1:5" x14ac:dyDescent="0.25">
      <c r="A5926" s="279">
        <v>39180</v>
      </c>
      <c r="B5926" t="s">
        <v>338</v>
      </c>
      <c r="C5926" t="s">
        <v>68</v>
      </c>
      <c r="D5926">
        <v>0</v>
      </c>
      <c r="E5926" t="s">
        <v>380</v>
      </c>
    </row>
    <row r="5927" spans="1:5" x14ac:dyDescent="0.25">
      <c r="A5927" s="279">
        <v>39180</v>
      </c>
      <c r="B5927" t="s">
        <v>338</v>
      </c>
      <c r="C5927" t="s">
        <v>69</v>
      </c>
      <c r="D5927">
        <v>0</v>
      </c>
      <c r="E5927" t="s">
        <v>379</v>
      </c>
    </row>
    <row r="5928" spans="1:5" x14ac:dyDescent="0.25">
      <c r="A5928" s="279">
        <v>39180</v>
      </c>
      <c r="B5928" t="s">
        <v>338</v>
      </c>
      <c r="C5928" t="s">
        <v>70</v>
      </c>
      <c r="D5928">
        <v>0</v>
      </c>
      <c r="E5928" t="s">
        <v>379</v>
      </c>
    </row>
    <row r="5929" spans="1:5" x14ac:dyDescent="0.25">
      <c r="A5929" s="279">
        <v>39180</v>
      </c>
      <c r="B5929" t="s">
        <v>338</v>
      </c>
      <c r="C5929" t="s">
        <v>80</v>
      </c>
      <c r="D5929">
        <v>13</v>
      </c>
      <c r="E5929" t="s">
        <v>379</v>
      </c>
    </row>
    <row r="5930" spans="1:5" x14ac:dyDescent="0.25">
      <c r="A5930" s="279">
        <v>39180</v>
      </c>
      <c r="B5930" t="s">
        <v>339</v>
      </c>
      <c r="C5930" t="s">
        <v>71</v>
      </c>
      <c r="D5930">
        <v>0</v>
      </c>
      <c r="E5930" t="s">
        <v>378</v>
      </c>
    </row>
    <row r="5931" spans="1:5" x14ac:dyDescent="0.25">
      <c r="A5931" s="279">
        <v>39180</v>
      </c>
      <c r="B5931" t="s">
        <v>339</v>
      </c>
      <c r="C5931" t="s">
        <v>72</v>
      </c>
      <c r="D5931">
        <v>935</v>
      </c>
      <c r="E5931" t="s">
        <v>380</v>
      </c>
    </row>
    <row r="5932" spans="1:5" x14ac:dyDescent="0.25">
      <c r="A5932" s="279">
        <v>39180</v>
      </c>
      <c r="B5932" t="s">
        <v>339</v>
      </c>
      <c r="C5932" t="s">
        <v>73</v>
      </c>
      <c r="D5932">
        <v>0</v>
      </c>
      <c r="E5932" t="s">
        <v>378</v>
      </c>
    </row>
    <row r="5933" spans="1:5" x14ac:dyDescent="0.25">
      <c r="A5933" s="279">
        <v>39180</v>
      </c>
      <c r="B5933" t="s">
        <v>339</v>
      </c>
      <c r="C5933" t="s">
        <v>74</v>
      </c>
      <c r="D5933">
        <v>42387</v>
      </c>
      <c r="E5933" t="s">
        <v>380</v>
      </c>
    </row>
    <row r="5934" spans="1:5" x14ac:dyDescent="0.25">
      <c r="A5934" s="279">
        <v>39180</v>
      </c>
      <c r="B5934" t="s">
        <v>339</v>
      </c>
      <c r="C5934" t="s">
        <v>75</v>
      </c>
      <c r="D5934">
        <v>15213</v>
      </c>
      <c r="E5934" t="s">
        <v>378</v>
      </c>
    </row>
    <row r="5935" spans="1:5" x14ac:dyDescent="0.25">
      <c r="A5935" s="279">
        <v>39180</v>
      </c>
      <c r="B5935" t="s">
        <v>339</v>
      </c>
      <c r="C5935" t="s">
        <v>76</v>
      </c>
      <c r="D5935">
        <v>33864</v>
      </c>
      <c r="E5935" t="s">
        <v>380</v>
      </c>
    </row>
    <row r="5936" spans="1:5" x14ac:dyDescent="0.25">
      <c r="A5936" s="279">
        <v>39180</v>
      </c>
      <c r="B5936" t="s">
        <v>339</v>
      </c>
      <c r="C5936" t="s">
        <v>77</v>
      </c>
      <c r="D5936">
        <v>7254</v>
      </c>
      <c r="E5936" t="s">
        <v>378</v>
      </c>
    </row>
    <row r="5937" spans="1:5" x14ac:dyDescent="0.25">
      <c r="A5937" s="279">
        <v>39180</v>
      </c>
      <c r="B5937" t="s">
        <v>339</v>
      </c>
      <c r="C5937" t="s">
        <v>78</v>
      </c>
      <c r="D5937">
        <v>36815</v>
      </c>
      <c r="E5937" t="s">
        <v>380</v>
      </c>
    </row>
    <row r="5938" spans="1:5" x14ac:dyDescent="0.25">
      <c r="A5938" s="279">
        <v>39180</v>
      </c>
      <c r="B5938" t="s">
        <v>339</v>
      </c>
      <c r="C5938" t="s">
        <v>79</v>
      </c>
      <c r="D5938">
        <v>90009</v>
      </c>
      <c r="E5938" t="s">
        <v>379</v>
      </c>
    </row>
    <row r="5939" spans="1:5" x14ac:dyDescent="0.25">
      <c r="A5939" s="279">
        <v>39180</v>
      </c>
      <c r="B5939" t="s">
        <v>339</v>
      </c>
      <c r="C5939" t="s">
        <v>70</v>
      </c>
      <c r="D5939">
        <v>0</v>
      </c>
      <c r="E5939" t="s">
        <v>379</v>
      </c>
    </row>
    <row r="5940" spans="1:5" x14ac:dyDescent="0.25">
      <c r="A5940" s="279">
        <v>39180</v>
      </c>
      <c r="B5940" t="s">
        <v>339</v>
      </c>
      <c r="C5940" t="s">
        <v>63</v>
      </c>
      <c r="D5940">
        <v>0</v>
      </c>
      <c r="E5940" t="s">
        <v>378</v>
      </c>
    </row>
    <row r="5941" spans="1:5" x14ac:dyDescent="0.25">
      <c r="A5941" s="279">
        <v>39180</v>
      </c>
      <c r="B5941" t="s">
        <v>339</v>
      </c>
      <c r="C5941" t="s">
        <v>80</v>
      </c>
      <c r="D5941">
        <v>135</v>
      </c>
      <c r="E5941" t="s">
        <v>379</v>
      </c>
    </row>
    <row r="5942" spans="1:5" x14ac:dyDescent="0.25">
      <c r="A5942" s="279">
        <v>39181</v>
      </c>
      <c r="B5942" t="s">
        <v>338</v>
      </c>
      <c r="C5942" t="s">
        <v>59</v>
      </c>
      <c r="D5942">
        <v>2595</v>
      </c>
      <c r="E5942" t="s">
        <v>378</v>
      </c>
    </row>
    <row r="5943" spans="1:5" x14ac:dyDescent="0.25">
      <c r="A5943" s="279">
        <v>39181</v>
      </c>
      <c r="B5943" t="s">
        <v>338</v>
      </c>
      <c r="C5943" t="s">
        <v>60</v>
      </c>
      <c r="D5943">
        <v>0</v>
      </c>
      <c r="E5943" t="s">
        <v>379</v>
      </c>
    </row>
    <row r="5944" spans="1:5" x14ac:dyDescent="0.25">
      <c r="A5944" s="279">
        <v>39181</v>
      </c>
      <c r="B5944" t="s">
        <v>338</v>
      </c>
      <c r="C5944" t="s">
        <v>61</v>
      </c>
      <c r="D5944">
        <v>0</v>
      </c>
      <c r="E5944" t="s">
        <v>378</v>
      </c>
    </row>
    <row r="5945" spans="1:5" x14ac:dyDescent="0.25">
      <c r="A5945" s="279">
        <v>39181</v>
      </c>
      <c r="B5945" t="s">
        <v>338</v>
      </c>
      <c r="C5945" t="s">
        <v>62</v>
      </c>
      <c r="D5945">
        <v>29032</v>
      </c>
      <c r="E5945" t="s">
        <v>380</v>
      </c>
    </row>
    <row r="5946" spans="1:5" x14ac:dyDescent="0.25">
      <c r="A5946" s="279">
        <v>39181</v>
      </c>
      <c r="B5946" t="s">
        <v>338</v>
      </c>
      <c r="C5946" t="s">
        <v>63</v>
      </c>
      <c r="D5946">
        <v>0</v>
      </c>
      <c r="E5946" t="s">
        <v>378</v>
      </c>
    </row>
    <row r="5947" spans="1:5" x14ac:dyDescent="0.25">
      <c r="A5947" s="279">
        <v>39181</v>
      </c>
      <c r="B5947" t="s">
        <v>338</v>
      </c>
      <c r="C5947" t="s">
        <v>64</v>
      </c>
      <c r="D5947">
        <v>24791</v>
      </c>
      <c r="E5947" t="s">
        <v>380</v>
      </c>
    </row>
    <row r="5948" spans="1:5" x14ac:dyDescent="0.25">
      <c r="A5948" s="279">
        <v>39181</v>
      </c>
      <c r="B5948" t="s">
        <v>338</v>
      </c>
      <c r="C5948" t="s">
        <v>65</v>
      </c>
      <c r="D5948">
        <v>0</v>
      </c>
      <c r="E5948" t="s">
        <v>378</v>
      </c>
    </row>
    <row r="5949" spans="1:5" x14ac:dyDescent="0.25">
      <c r="A5949" s="279">
        <v>39181</v>
      </c>
      <c r="B5949" t="s">
        <v>338</v>
      </c>
      <c r="C5949" t="s">
        <v>66</v>
      </c>
      <c r="D5949">
        <v>0</v>
      </c>
      <c r="E5949" t="s">
        <v>380</v>
      </c>
    </row>
    <row r="5950" spans="1:5" x14ac:dyDescent="0.25">
      <c r="A5950" s="279">
        <v>39181</v>
      </c>
      <c r="B5950" t="s">
        <v>338</v>
      </c>
      <c r="C5950" t="s">
        <v>120</v>
      </c>
      <c r="D5950">
        <v>0</v>
      </c>
      <c r="E5950" t="s">
        <v>378</v>
      </c>
    </row>
    <row r="5951" spans="1:5" x14ac:dyDescent="0.25">
      <c r="A5951" s="279">
        <v>39181</v>
      </c>
      <c r="B5951" t="s">
        <v>338</v>
      </c>
      <c r="C5951" t="s">
        <v>121</v>
      </c>
      <c r="D5951">
        <v>20103</v>
      </c>
      <c r="E5951" t="s">
        <v>380</v>
      </c>
    </row>
    <row r="5952" spans="1:5" x14ac:dyDescent="0.25">
      <c r="A5952" s="279">
        <v>39181</v>
      </c>
      <c r="B5952" t="s">
        <v>338</v>
      </c>
      <c r="C5952" t="s">
        <v>67</v>
      </c>
      <c r="D5952">
        <v>0</v>
      </c>
      <c r="E5952" t="s">
        <v>378</v>
      </c>
    </row>
    <row r="5953" spans="1:5" x14ac:dyDescent="0.25">
      <c r="A5953" s="279">
        <v>39181</v>
      </c>
      <c r="B5953" t="s">
        <v>338</v>
      </c>
      <c r="C5953" t="s">
        <v>68</v>
      </c>
      <c r="D5953">
        <v>0</v>
      </c>
      <c r="E5953" t="s">
        <v>380</v>
      </c>
    </row>
    <row r="5954" spans="1:5" x14ac:dyDescent="0.25">
      <c r="A5954" s="279">
        <v>39181</v>
      </c>
      <c r="B5954" t="s">
        <v>338</v>
      </c>
      <c r="C5954" t="s">
        <v>69</v>
      </c>
      <c r="D5954">
        <v>0</v>
      </c>
      <c r="E5954" t="s">
        <v>379</v>
      </c>
    </row>
    <row r="5955" spans="1:5" x14ac:dyDescent="0.25">
      <c r="A5955" s="279">
        <v>39181</v>
      </c>
      <c r="B5955" t="s">
        <v>338</v>
      </c>
      <c r="C5955" t="s">
        <v>70</v>
      </c>
      <c r="D5955">
        <v>0</v>
      </c>
      <c r="E5955" t="s">
        <v>379</v>
      </c>
    </row>
    <row r="5956" spans="1:5" x14ac:dyDescent="0.25">
      <c r="A5956" s="279">
        <v>39181</v>
      </c>
      <c r="B5956" t="s">
        <v>338</v>
      </c>
      <c r="C5956" t="s">
        <v>80</v>
      </c>
      <c r="D5956">
        <v>13</v>
      </c>
      <c r="E5956" t="s">
        <v>379</v>
      </c>
    </row>
    <row r="5957" spans="1:5" x14ac:dyDescent="0.25">
      <c r="A5957" s="279">
        <v>39181</v>
      </c>
      <c r="B5957" t="s">
        <v>339</v>
      </c>
      <c r="C5957" t="s">
        <v>71</v>
      </c>
      <c r="D5957">
        <v>0</v>
      </c>
      <c r="E5957" t="s">
        <v>378</v>
      </c>
    </row>
    <row r="5958" spans="1:5" x14ac:dyDescent="0.25">
      <c r="A5958" s="279">
        <v>39181</v>
      </c>
      <c r="B5958" t="s">
        <v>339</v>
      </c>
      <c r="C5958" t="s">
        <v>72</v>
      </c>
      <c r="D5958">
        <v>936</v>
      </c>
      <c r="E5958" t="s">
        <v>380</v>
      </c>
    </row>
    <row r="5959" spans="1:5" x14ac:dyDescent="0.25">
      <c r="A5959" s="279">
        <v>39181</v>
      </c>
      <c r="B5959" t="s">
        <v>339</v>
      </c>
      <c r="C5959" t="s">
        <v>73</v>
      </c>
      <c r="D5959">
        <v>0</v>
      </c>
      <c r="E5959" t="s">
        <v>378</v>
      </c>
    </row>
    <row r="5960" spans="1:5" x14ac:dyDescent="0.25">
      <c r="A5960" s="279">
        <v>39181</v>
      </c>
      <c r="B5960" t="s">
        <v>339</v>
      </c>
      <c r="C5960" t="s">
        <v>74</v>
      </c>
      <c r="D5960">
        <v>33686</v>
      </c>
      <c r="E5960" t="s">
        <v>380</v>
      </c>
    </row>
    <row r="5961" spans="1:5" x14ac:dyDescent="0.25">
      <c r="A5961" s="279">
        <v>39181</v>
      </c>
      <c r="B5961" t="s">
        <v>339</v>
      </c>
      <c r="C5961" t="s">
        <v>75</v>
      </c>
      <c r="D5961">
        <v>15228</v>
      </c>
      <c r="E5961" t="s">
        <v>378</v>
      </c>
    </row>
    <row r="5962" spans="1:5" x14ac:dyDescent="0.25">
      <c r="A5962" s="279">
        <v>39181</v>
      </c>
      <c r="B5962" t="s">
        <v>339</v>
      </c>
      <c r="C5962" t="s">
        <v>76</v>
      </c>
      <c r="D5962">
        <v>33897</v>
      </c>
      <c r="E5962" t="s">
        <v>380</v>
      </c>
    </row>
    <row r="5963" spans="1:5" x14ac:dyDescent="0.25">
      <c r="A5963" s="279">
        <v>39181</v>
      </c>
      <c r="B5963" t="s">
        <v>339</v>
      </c>
      <c r="C5963" t="s">
        <v>77</v>
      </c>
      <c r="D5963">
        <v>7261</v>
      </c>
      <c r="E5963" t="s">
        <v>378</v>
      </c>
    </row>
    <row r="5964" spans="1:5" x14ac:dyDescent="0.25">
      <c r="A5964" s="279">
        <v>39181</v>
      </c>
      <c r="B5964" t="s">
        <v>339</v>
      </c>
      <c r="C5964" t="s">
        <v>78</v>
      </c>
      <c r="D5964">
        <v>9515</v>
      </c>
      <c r="E5964" t="s">
        <v>380</v>
      </c>
    </row>
    <row r="5965" spans="1:5" x14ac:dyDescent="0.25">
      <c r="A5965" s="279">
        <v>39181</v>
      </c>
      <c r="B5965" t="s">
        <v>339</v>
      </c>
      <c r="C5965" t="s">
        <v>79</v>
      </c>
      <c r="D5965">
        <v>90095</v>
      </c>
      <c r="E5965" t="s">
        <v>379</v>
      </c>
    </row>
    <row r="5966" spans="1:5" x14ac:dyDescent="0.25">
      <c r="A5966" s="279">
        <v>39181</v>
      </c>
      <c r="B5966" t="s">
        <v>339</v>
      </c>
      <c r="C5966" t="s">
        <v>70</v>
      </c>
      <c r="D5966">
        <v>0</v>
      </c>
      <c r="E5966" t="s">
        <v>379</v>
      </c>
    </row>
    <row r="5967" spans="1:5" x14ac:dyDescent="0.25">
      <c r="A5967" s="279">
        <v>39181</v>
      </c>
      <c r="B5967" t="s">
        <v>339</v>
      </c>
      <c r="C5967" t="s">
        <v>63</v>
      </c>
      <c r="D5967">
        <v>0</v>
      </c>
      <c r="E5967" t="s">
        <v>378</v>
      </c>
    </row>
    <row r="5968" spans="1:5" x14ac:dyDescent="0.25">
      <c r="A5968" s="279">
        <v>39181</v>
      </c>
      <c r="B5968" t="s">
        <v>339</v>
      </c>
      <c r="C5968" t="s">
        <v>80</v>
      </c>
      <c r="D5968">
        <v>135</v>
      </c>
      <c r="E5968" t="s">
        <v>379</v>
      </c>
    </row>
    <row r="5969" spans="1:5" x14ac:dyDescent="0.25">
      <c r="A5969" s="279">
        <v>39182</v>
      </c>
      <c r="B5969" t="s">
        <v>338</v>
      </c>
      <c r="C5969" t="s">
        <v>59</v>
      </c>
      <c r="D5969">
        <v>2600</v>
      </c>
      <c r="E5969" t="s">
        <v>378</v>
      </c>
    </row>
    <row r="5970" spans="1:5" x14ac:dyDescent="0.25">
      <c r="A5970" s="279">
        <v>39182</v>
      </c>
      <c r="B5970" t="s">
        <v>338</v>
      </c>
      <c r="C5970" t="s">
        <v>60</v>
      </c>
      <c r="D5970">
        <v>0</v>
      </c>
      <c r="E5970" t="s">
        <v>379</v>
      </c>
    </row>
    <row r="5971" spans="1:5" x14ac:dyDescent="0.25">
      <c r="A5971" s="279">
        <v>39182</v>
      </c>
      <c r="B5971" t="s">
        <v>338</v>
      </c>
      <c r="C5971" t="s">
        <v>61</v>
      </c>
      <c r="D5971">
        <v>0</v>
      </c>
      <c r="E5971" t="s">
        <v>378</v>
      </c>
    </row>
    <row r="5972" spans="1:5" x14ac:dyDescent="0.25">
      <c r="A5972" s="279">
        <v>39182</v>
      </c>
      <c r="B5972" t="s">
        <v>338</v>
      </c>
      <c r="C5972" t="s">
        <v>62</v>
      </c>
      <c r="D5972">
        <v>28008</v>
      </c>
      <c r="E5972" t="s">
        <v>380</v>
      </c>
    </row>
    <row r="5973" spans="1:5" x14ac:dyDescent="0.25">
      <c r="A5973" s="279">
        <v>39182</v>
      </c>
      <c r="B5973" t="s">
        <v>338</v>
      </c>
      <c r="C5973" t="s">
        <v>63</v>
      </c>
      <c r="D5973">
        <v>0</v>
      </c>
      <c r="E5973" t="s">
        <v>378</v>
      </c>
    </row>
    <row r="5974" spans="1:5" x14ac:dyDescent="0.25">
      <c r="A5974" s="279">
        <v>39182</v>
      </c>
      <c r="B5974" t="s">
        <v>338</v>
      </c>
      <c r="C5974" t="s">
        <v>64</v>
      </c>
      <c r="D5974">
        <v>0</v>
      </c>
      <c r="E5974" t="s">
        <v>380</v>
      </c>
    </row>
    <row r="5975" spans="1:5" x14ac:dyDescent="0.25">
      <c r="A5975" s="279">
        <v>39182</v>
      </c>
      <c r="B5975" t="s">
        <v>338</v>
      </c>
      <c r="C5975" t="s">
        <v>65</v>
      </c>
      <c r="D5975">
        <v>0</v>
      </c>
      <c r="E5975" t="s">
        <v>378</v>
      </c>
    </row>
    <row r="5976" spans="1:5" x14ac:dyDescent="0.25">
      <c r="A5976" s="279">
        <v>39182</v>
      </c>
      <c r="B5976" t="s">
        <v>338</v>
      </c>
      <c r="C5976" t="s">
        <v>66</v>
      </c>
      <c r="D5976">
        <v>0</v>
      </c>
      <c r="E5976" t="s">
        <v>380</v>
      </c>
    </row>
    <row r="5977" spans="1:5" x14ac:dyDescent="0.25">
      <c r="A5977" s="279">
        <v>39182</v>
      </c>
      <c r="B5977" t="s">
        <v>338</v>
      </c>
      <c r="C5977" t="s">
        <v>120</v>
      </c>
      <c r="D5977">
        <v>0</v>
      </c>
      <c r="E5977" t="s">
        <v>378</v>
      </c>
    </row>
    <row r="5978" spans="1:5" x14ac:dyDescent="0.25">
      <c r="A5978" s="279">
        <v>39182</v>
      </c>
      <c r="B5978" t="s">
        <v>338</v>
      </c>
      <c r="C5978" t="s">
        <v>121</v>
      </c>
      <c r="D5978">
        <v>20142</v>
      </c>
      <c r="E5978" t="s">
        <v>380</v>
      </c>
    </row>
    <row r="5979" spans="1:5" x14ac:dyDescent="0.25">
      <c r="A5979" s="279">
        <v>39182</v>
      </c>
      <c r="B5979" t="s">
        <v>338</v>
      </c>
      <c r="C5979" t="s">
        <v>67</v>
      </c>
      <c r="D5979">
        <v>0</v>
      </c>
      <c r="E5979" t="s">
        <v>378</v>
      </c>
    </row>
    <row r="5980" spans="1:5" x14ac:dyDescent="0.25">
      <c r="A5980" s="279">
        <v>39182</v>
      </c>
      <c r="B5980" t="s">
        <v>338</v>
      </c>
      <c r="C5980" t="s">
        <v>68</v>
      </c>
      <c r="D5980">
        <v>0</v>
      </c>
      <c r="E5980" t="s">
        <v>380</v>
      </c>
    </row>
    <row r="5981" spans="1:5" x14ac:dyDescent="0.25">
      <c r="A5981" s="279">
        <v>39182</v>
      </c>
      <c r="B5981" t="s">
        <v>338</v>
      </c>
      <c r="C5981" t="s">
        <v>69</v>
      </c>
      <c r="D5981">
        <v>0</v>
      </c>
      <c r="E5981" t="s">
        <v>379</v>
      </c>
    </row>
    <row r="5982" spans="1:5" x14ac:dyDescent="0.25">
      <c r="A5982" s="279">
        <v>39182</v>
      </c>
      <c r="B5982" t="s">
        <v>338</v>
      </c>
      <c r="C5982" t="s">
        <v>70</v>
      </c>
      <c r="D5982">
        <v>0</v>
      </c>
      <c r="E5982" t="s">
        <v>379</v>
      </c>
    </row>
    <row r="5983" spans="1:5" x14ac:dyDescent="0.25">
      <c r="A5983" s="279">
        <v>39182</v>
      </c>
      <c r="B5983" t="s">
        <v>338</v>
      </c>
      <c r="C5983" t="s">
        <v>80</v>
      </c>
      <c r="D5983">
        <v>13</v>
      </c>
      <c r="E5983" t="s">
        <v>379</v>
      </c>
    </row>
    <row r="5984" spans="1:5" x14ac:dyDescent="0.25">
      <c r="A5984" s="279">
        <v>39182</v>
      </c>
      <c r="B5984" t="s">
        <v>339</v>
      </c>
      <c r="C5984" t="s">
        <v>71</v>
      </c>
      <c r="D5984">
        <v>0</v>
      </c>
      <c r="E5984" t="s">
        <v>378</v>
      </c>
    </row>
    <row r="5985" spans="1:5" x14ac:dyDescent="0.25">
      <c r="A5985" s="279">
        <v>39182</v>
      </c>
      <c r="B5985" t="s">
        <v>339</v>
      </c>
      <c r="C5985" t="s">
        <v>72</v>
      </c>
      <c r="D5985">
        <v>934</v>
      </c>
      <c r="E5985" t="s">
        <v>380</v>
      </c>
    </row>
    <row r="5986" spans="1:5" x14ac:dyDescent="0.25">
      <c r="A5986" s="279">
        <v>39182</v>
      </c>
      <c r="B5986" t="s">
        <v>339</v>
      </c>
      <c r="C5986" t="s">
        <v>73</v>
      </c>
      <c r="D5986">
        <v>0</v>
      </c>
      <c r="E5986" t="s">
        <v>378</v>
      </c>
    </row>
    <row r="5987" spans="1:5" x14ac:dyDescent="0.25">
      <c r="A5987" s="279">
        <v>39182</v>
      </c>
      <c r="B5987" t="s">
        <v>339</v>
      </c>
      <c r="C5987" t="s">
        <v>74</v>
      </c>
      <c r="D5987">
        <v>28606</v>
      </c>
      <c r="E5987" t="s">
        <v>380</v>
      </c>
    </row>
    <row r="5988" spans="1:5" x14ac:dyDescent="0.25">
      <c r="A5988" s="279">
        <v>39182</v>
      </c>
      <c r="B5988" t="s">
        <v>339</v>
      </c>
      <c r="C5988" t="s">
        <v>75</v>
      </c>
      <c r="D5988">
        <v>15198</v>
      </c>
      <c r="E5988" t="s">
        <v>378</v>
      </c>
    </row>
    <row r="5989" spans="1:5" x14ac:dyDescent="0.25">
      <c r="A5989" s="279">
        <v>39182</v>
      </c>
      <c r="B5989" t="s">
        <v>339</v>
      </c>
      <c r="C5989" t="s">
        <v>76</v>
      </c>
      <c r="D5989">
        <v>33832</v>
      </c>
      <c r="E5989" t="s">
        <v>380</v>
      </c>
    </row>
    <row r="5990" spans="1:5" x14ac:dyDescent="0.25">
      <c r="A5990" s="279">
        <v>39182</v>
      </c>
      <c r="B5990" t="s">
        <v>339</v>
      </c>
      <c r="C5990" t="s">
        <v>77</v>
      </c>
      <c r="D5990">
        <v>7247</v>
      </c>
      <c r="E5990" t="s">
        <v>378</v>
      </c>
    </row>
    <row r="5991" spans="1:5" x14ac:dyDescent="0.25">
      <c r="A5991" s="279">
        <v>39182</v>
      </c>
      <c r="B5991" t="s">
        <v>339</v>
      </c>
      <c r="C5991" t="s">
        <v>78</v>
      </c>
      <c r="D5991">
        <v>6968</v>
      </c>
      <c r="E5991" t="s">
        <v>380</v>
      </c>
    </row>
    <row r="5992" spans="1:5" x14ac:dyDescent="0.25">
      <c r="A5992" s="279">
        <v>39182</v>
      </c>
      <c r="B5992" t="s">
        <v>339</v>
      </c>
      <c r="C5992" t="s">
        <v>79</v>
      </c>
      <c r="D5992">
        <v>98568</v>
      </c>
      <c r="E5992" t="s">
        <v>379</v>
      </c>
    </row>
    <row r="5993" spans="1:5" x14ac:dyDescent="0.25">
      <c r="A5993" s="279">
        <v>39182</v>
      </c>
      <c r="B5993" t="s">
        <v>339</v>
      </c>
      <c r="C5993" t="s">
        <v>70</v>
      </c>
      <c r="D5993">
        <v>0</v>
      </c>
      <c r="E5993" t="s">
        <v>379</v>
      </c>
    </row>
    <row r="5994" spans="1:5" x14ac:dyDescent="0.25">
      <c r="A5994" s="279">
        <v>39182</v>
      </c>
      <c r="B5994" t="s">
        <v>339</v>
      </c>
      <c r="C5994" t="s">
        <v>63</v>
      </c>
      <c r="D5994">
        <v>0</v>
      </c>
      <c r="E5994" t="s">
        <v>378</v>
      </c>
    </row>
    <row r="5995" spans="1:5" x14ac:dyDescent="0.25">
      <c r="A5995" s="279">
        <v>39182</v>
      </c>
      <c r="B5995" t="s">
        <v>339</v>
      </c>
      <c r="C5995" t="s">
        <v>80</v>
      </c>
      <c r="D5995">
        <v>135</v>
      </c>
      <c r="E5995" t="s">
        <v>379</v>
      </c>
    </row>
    <row r="5996" spans="1:5" x14ac:dyDescent="0.25">
      <c r="A5996" s="279">
        <v>39183</v>
      </c>
      <c r="B5996" t="s">
        <v>338</v>
      </c>
      <c r="C5996" t="s">
        <v>59</v>
      </c>
      <c r="D5996">
        <v>2603</v>
      </c>
      <c r="E5996" t="s">
        <v>378</v>
      </c>
    </row>
    <row r="5997" spans="1:5" x14ac:dyDescent="0.25">
      <c r="A5997" s="279">
        <v>39183</v>
      </c>
      <c r="B5997" t="s">
        <v>338</v>
      </c>
      <c r="C5997" t="s">
        <v>60</v>
      </c>
      <c r="D5997">
        <v>0</v>
      </c>
      <c r="E5997" t="s">
        <v>379</v>
      </c>
    </row>
    <row r="5998" spans="1:5" x14ac:dyDescent="0.25">
      <c r="A5998" s="279">
        <v>39183</v>
      </c>
      <c r="B5998" t="s">
        <v>338</v>
      </c>
      <c r="C5998" t="s">
        <v>61</v>
      </c>
      <c r="D5998">
        <v>0</v>
      </c>
      <c r="E5998" t="s">
        <v>378</v>
      </c>
    </row>
    <row r="5999" spans="1:5" x14ac:dyDescent="0.25">
      <c r="A5999" s="279">
        <v>39183</v>
      </c>
      <c r="B5999" t="s">
        <v>338</v>
      </c>
      <c r="C5999" t="s">
        <v>62</v>
      </c>
      <c r="D5999">
        <v>0</v>
      </c>
      <c r="E5999" t="s">
        <v>380</v>
      </c>
    </row>
    <row r="6000" spans="1:5" x14ac:dyDescent="0.25">
      <c r="A6000" s="279">
        <v>39183</v>
      </c>
      <c r="B6000" t="s">
        <v>338</v>
      </c>
      <c r="C6000" t="s">
        <v>63</v>
      </c>
      <c r="D6000">
        <v>0</v>
      </c>
      <c r="E6000" t="s">
        <v>378</v>
      </c>
    </row>
    <row r="6001" spans="1:5" x14ac:dyDescent="0.25">
      <c r="A6001" s="279">
        <v>39183</v>
      </c>
      <c r="B6001" t="s">
        <v>338</v>
      </c>
      <c r="C6001" t="s">
        <v>64</v>
      </c>
      <c r="D6001">
        <v>0</v>
      </c>
      <c r="E6001" t="s">
        <v>380</v>
      </c>
    </row>
    <row r="6002" spans="1:5" x14ac:dyDescent="0.25">
      <c r="A6002" s="279">
        <v>39183</v>
      </c>
      <c r="B6002" t="s">
        <v>338</v>
      </c>
      <c r="C6002" t="s">
        <v>65</v>
      </c>
      <c r="D6002">
        <v>0</v>
      </c>
      <c r="E6002" t="s">
        <v>378</v>
      </c>
    </row>
    <row r="6003" spans="1:5" x14ac:dyDescent="0.25">
      <c r="A6003" s="279">
        <v>39183</v>
      </c>
      <c r="B6003" t="s">
        <v>338</v>
      </c>
      <c r="C6003" t="s">
        <v>66</v>
      </c>
      <c r="D6003">
        <v>0</v>
      </c>
      <c r="E6003" t="s">
        <v>380</v>
      </c>
    </row>
    <row r="6004" spans="1:5" x14ac:dyDescent="0.25">
      <c r="A6004" s="279">
        <v>39183</v>
      </c>
      <c r="B6004" t="s">
        <v>338</v>
      </c>
      <c r="C6004" t="s">
        <v>120</v>
      </c>
      <c r="D6004">
        <v>0</v>
      </c>
      <c r="E6004" t="s">
        <v>378</v>
      </c>
    </row>
    <row r="6005" spans="1:5" x14ac:dyDescent="0.25">
      <c r="A6005" s="279">
        <v>39183</v>
      </c>
      <c r="B6005" t="s">
        <v>338</v>
      </c>
      <c r="C6005" t="s">
        <v>121</v>
      </c>
      <c r="D6005">
        <v>17016</v>
      </c>
      <c r="E6005" t="s">
        <v>380</v>
      </c>
    </row>
    <row r="6006" spans="1:5" x14ac:dyDescent="0.25">
      <c r="A6006" s="279">
        <v>39183</v>
      </c>
      <c r="B6006" t="s">
        <v>338</v>
      </c>
      <c r="C6006" t="s">
        <v>67</v>
      </c>
      <c r="D6006">
        <v>0</v>
      </c>
      <c r="E6006" t="s">
        <v>378</v>
      </c>
    </row>
    <row r="6007" spans="1:5" x14ac:dyDescent="0.25">
      <c r="A6007" s="279">
        <v>39183</v>
      </c>
      <c r="B6007" t="s">
        <v>338</v>
      </c>
      <c r="C6007" t="s">
        <v>68</v>
      </c>
      <c r="D6007">
        <v>0</v>
      </c>
      <c r="E6007" t="s">
        <v>380</v>
      </c>
    </row>
    <row r="6008" spans="1:5" x14ac:dyDescent="0.25">
      <c r="A6008" s="279">
        <v>39183</v>
      </c>
      <c r="B6008" t="s">
        <v>338</v>
      </c>
      <c r="C6008" t="s">
        <v>69</v>
      </c>
      <c r="D6008">
        <v>0</v>
      </c>
      <c r="E6008" t="s">
        <v>379</v>
      </c>
    </row>
    <row r="6009" spans="1:5" x14ac:dyDescent="0.25">
      <c r="A6009" s="279">
        <v>39183</v>
      </c>
      <c r="B6009" t="s">
        <v>338</v>
      </c>
      <c r="C6009" t="s">
        <v>70</v>
      </c>
      <c r="D6009">
        <v>0</v>
      </c>
      <c r="E6009" t="s">
        <v>379</v>
      </c>
    </row>
    <row r="6010" spans="1:5" x14ac:dyDescent="0.25">
      <c r="A6010" s="279">
        <v>39183</v>
      </c>
      <c r="B6010" t="s">
        <v>338</v>
      </c>
      <c r="C6010" t="s">
        <v>80</v>
      </c>
      <c r="D6010">
        <v>13</v>
      </c>
      <c r="E6010" t="s">
        <v>379</v>
      </c>
    </row>
    <row r="6011" spans="1:5" x14ac:dyDescent="0.25">
      <c r="A6011" s="279">
        <v>39183</v>
      </c>
      <c r="B6011" t="s">
        <v>339</v>
      </c>
      <c r="C6011" t="s">
        <v>71</v>
      </c>
      <c r="D6011">
        <v>0</v>
      </c>
      <c r="E6011" t="s">
        <v>378</v>
      </c>
    </row>
    <row r="6012" spans="1:5" x14ac:dyDescent="0.25">
      <c r="A6012" s="279">
        <v>39183</v>
      </c>
      <c r="B6012" t="s">
        <v>339</v>
      </c>
      <c r="C6012" t="s">
        <v>72</v>
      </c>
      <c r="D6012">
        <v>934</v>
      </c>
      <c r="E6012" t="s">
        <v>380</v>
      </c>
    </row>
    <row r="6013" spans="1:5" x14ac:dyDescent="0.25">
      <c r="A6013" s="279">
        <v>39183</v>
      </c>
      <c r="B6013" t="s">
        <v>339</v>
      </c>
      <c r="C6013" t="s">
        <v>73</v>
      </c>
      <c r="D6013">
        <v>0</v>
      </c>
      <c r="E6013" t="s">
        <v>378</v>
      </c>
    </row>
    <row r="6014" spans="1:5" x14ac:dyDescent="0.25">
      <c r="A6014" s="279">
        <v>39183</v>
      </c>
      <c r="B6014" t="s">
        <v>339</v>
      </c>
      <c r="C6014" t="s">
        <v>74</v>
      </c>
      <c r="D6014">
        <v>26393</v>
      </c>
      <c r="E6014" t="s">
        <v>380</v>
      </c>
    </row>
    <row r="6015" spans="1:5" x14ac:dyDescent="0.25">
      <c r="A6015" s="279">
        <v>39183</v>
      </c>
      <c r="B6015" t="s">
        <v>339</v>
      </c>
      <c r="C6015" t="s">
        <v>75</v>
      </c>
      <c r="D6015">
        <v>15198</v>
      </c>
      <c r="E6015" t="s">
        <v>378</v>
      </c>
    </row>
    <row r="6016" spans="1:5" x14ac:dyDescent="0.25">
      <c r="A6016" s="279">
        <v>39183</v>
      </c>
      <c r="B6016" t="s">
        <v>339</v>
      </c>
      <c r="C6016" t="s">
        <v>76</v>
      </c>
      <c r="D6016">
        <v>33832</v>
      </c>
      <c r="E6016" t="s">
        <v>380</v>
      </c>
    </row>
    <row r="6017" spans="1:5" x14ac:dyDescent="0.25">
      <c r="A6017" s="279">
        <v>39183</v>
      </c>
      <c r="B6017" t="s">
        <v>339</v>
      </c>
      <c r="C6017" t="s">
        <v>77</v>
      </c>
      <c r="D6017">
        <v>7247</v>
      </c>
      <c r="E6017" t="s">
        <v>378</v>
      </c>
    </row>
    <row r="6018" spans="1:5" x14ac:dyDescent="0.25">
      <c r="A6018" s="279">
        <v>39183</v>
      </c>
      <c r="B6018" t="s">
        <v>339</v>
      </c>
      <c r="C6018" t="s">
        <v>78</v>
      </c>
      <c r="D6018">
        <v>6968</v>
      </c>
      <c r="E6018" t="s">
        <v>380</v>
      </c>
    </row>
    <row r="6019" spans="1:5" x14ac:dyDescent="0.25">
      <c r="A6019" s="279">
        <v>39183</v>
      </c>
      <c r="B6019" t="s">
        <v>339</v>
      </c>
      <c r="C6019" t="s">
        <v>79</v>
      </c>
      <c r="D6019">
        <v>98568</v>
      </c>
      <c r="E6019" t="s">
        <v>379</v>
      </c>
    </row>
    <row r="6020" spans="1:5" x14ac:dyDescent="0.25">
      <c r="A6020" s="279">
        <v>39183</v>
      </c>
      <c r="B6020" t="s">
        <v>339</v>
      </c>
      <c r="C6020" t="s">
        <v>70</v>
      </c>
      <c r="D6020">
        <v>0</v>
      </c>
      <c r="E6020" t="s">
        <v>379</v>
      </c>
    </row>
    <row r="6021" spans="1:5" x14ac:dyDescent="0.25">
      <c r="A6021" s="279">
        <v>39183</v>
      </c>
      <c r="B6021" t="s">
        <v>339</v>
      </c>
      <c r="C6021" t="s">
        <v>63</v>
      </c>
      <c r="D6021">
        <v>0</v>
      </c>
      <c r="E6021" t="s">
        <v>378</v>
      </c>
    </row>
    <row r="6022" spans="1:5" x14ac:dyDescent="0.25">
      <c r="A6022" s="279">
        <v>39183</v>
      </c>
      <c r="B6022" t="s">
        <v>339</v>
      </c>
      <c r="C6022" t="s">
        <v>80</v>
      </c>
      <c r="D6022">
        <v>135</v>
      </c>
      <c r="E6022" t="s">
        <v>379</v>
      </c>
    </row>
    <row r="6023" spans="1:5" x14ac:dyDescent="0.25">
      <c r="A6023" s="279">
        <v>39184</v>
      </c>
      <c r="B6023" t="s">
        <v>338</v>
      </c>
      <c r="C6023" t="s">
        <v>59</v>
      </c>
      <c r="D6023">
        <v>2603</v>
      </c>
      <c r="E6023" t="s">
        <v>378</v>
      </c>
    </row>
    <row r="6024" spans="1:5" x14ac:dyDescent="0.25">
      <c r="A6024" s="279">
        <v>39184</v>
      </c>
      <c r="B6024" t="s">
        <v>338</v>
      </c>
      <c r="C6024" t="s">
        <v>60</v>
      </c>
      <c r="D6024">
        <v>0</v>
      </c>
      <c r="E6024" t="s">
        <v>379</v>
      </c>
    </row>
    <row r="6025" spans="1:5" x14ac:dyDescent="0.25">
      <c r="A6025" s="279">
        <v>39184</v>
      </c>
      <c r="B6025" t="s">
        <v>338</v>
      </c>
      <c r="C6025" t="s">
        <v>61</v>
      </c>
      <c r="D6025">
        <v>0</v>
      </c>
      <c r="E6025" t="s">
        <v>378</v>
      </c>
    </row>
    <row r="6026" spans="1:5" x14ac:dyDescent="0.25">
      <c r="A6026" s="279">
        <v>39184</v>
      </c>
      <c r="B6026" t="s">
        <v>338</v>
      </c>
      <c r="C6026" t="s">
        <v>62</v>
      </c>
      <c r="D6026">
        <v>18496</v>
      </c>
      <c r="E6026" t="s">
        <v>380</v>
      </c>
    </row>
    <row r="6027" spans="1:5" x14ac:dyDescent="0.25">
      <c r="A6027" s="279">
        <v>39184</v>
      </c>
      <c r="B6027" t="s">
        <v>338</v>
      </c>
      <c r="C6027" t="s">
        <v>63</v>
      </c>
      <c r="D6027">
        <v>0</v>
      </c>
      <c r="E6027" t="s">
        <v>378</v>
      </c>
    </row>
    <row r="6028" spans="1:5" x14ac:dyDescent="0.25">
      <c r="A6028" s="279">
        <v>39184</v>
      </c>
      <c r="B6028" t="s">
        <v>338</v>
      </c>
      <c r="C6028" t="s">
        <v>64</v>
      </c>
      <c r="D6028">
        <v>0</v>
      </c>
      <c r="E6028" t="s">
        <v>380</v>
      </c>
    </row>
    <row r="6029" spans="1:5" x14ac:dyDescent="0.25">
      <c r="A6029" s="279">
        <v>39184</v>
      </c>
      <c r="B6029" t="s">
        <v>338</v>
      </c>
      <c r="C6029" t="s">
        <v>65</v>
      </c>
      <c r="D6029">
        <v>0</v>
      </c>
      <c r="E6029" t="s">
        <v>378</v>
      </c>
    </row>
    <row r="6030" spans="1:5" x14ac:dyDescent="0.25">
      <c r="A6030" s="279">
        <v>39184</v>
      </c>
      <c r="B6030" t="s">
        <v>338</v>
      </c>
      <c r="C6030" t="s">
        <v>66</v>
      </c>
      <c r="D6030">
        <v>0</v>
      </c>
      <c r="E6030" t="s">
        <v>380</v>
      </c>
    </row>
    <row r="6031" spans="1:5" x14ac:dyDescent="0.25">
      <c r="A6031" s="279">
        <v>39184</v>
      </c>
      <c r="B6031" t="s">
        <v>338</v>
      </c>
      <c r="C6031" t="s">
        <v>120</v>
      </c>
      <c r="D6031">
        <v>0</v>
      </c>
      <c r="E6031" t="s">
        <v>378</v>
      </c>
    </row>
    <row r="6032" spans="1:5" x14ac:dyDescent="0.25">
      <c r="A6032" s="279">
        <v>39184</v>
      </c>
      <c r="B6032" t="s">
        <v>338</v>
      </c>
      <c r="C6032" t="s">
        <v>121</v>
      </c>
      <c r="D6032">
        <v>20162</v>
      </c>
      <c r="E6032" t="s">
        <v>380</v>
      </c>
    </row>
    <row r="6033" spans="1:5" x14ac:dyDescent="0.25">
      <c r="A6033" s="279">
        <v>39184</v>
      </c>
      <c r="B6033" t="s">
        <v>338</v>
      </c>
      <c r="C6033" t="s">
        <v>67</v>
      </c>
      <c r="D6033">
        <v>0</v>
      </c>
      <c r="E6033" t="s">
        <v>378</v>
      </c>
    </row>
    <row r="6034" spans="1:5" x14ac:dyDescent="0.25">
      <c r="A6034" s="279">
        <v>39184</v>
      </c>
      <c r="B6034" t="s">
        <v>338</v>
      </c>
      <c r="C6034" t="s">
        <v>68</v>
      </c>
      <c r="D6034">
        <v>0</v>
      </c>
      <c r="E6034" t="s">
        <v>380</v>
      </c>
    </row>
    <row r="6035" spans="1:5" x14ac:dyDescent="0.25">
      <c r="A6035" s="279">
        <v>39184</v>
      </c>
      <c r="B6035" t="s">
        <v>338</v>
      </c>
      <c r="C6035" t="s">
        <v>69</v>
      </c>
      <c r="D6035">
        <v>0</v>
      </c>
      <c r="E6035" t="s">
        <v>379</v>
      </c>
    </row>
    <row r="6036" spans="1:5" x14ac:dyDescent="0.25">
      <c r="A6036" s="279">
        <v>39184</v>
      </c>
      <c r="B6036" t="s">
        <v>338</v>
      </c>
      <c r="C6036" t="s">
        <v>70</v>
      </c>
      <c r="D6036">
        <v>0</v>
      </c>
      <c r="E6036" t="s">
        <v>379</v>
      </c>
    </row>
    <row r="6037" spans="1:5" x14ac:dyDescent="0.25">
      <c r="A6037" s="279">
        <v>39184</v>
      </c>
      <c r="B6037" t="s">
        <v>338</v>
      </c>
      <c r="C6037" t="s">
        <v>80</v>
      </c>
      <c r="D6037">
        <v>13</v>
      </c>
      <c r="E6037" t="s">
        <v>379</v>
      </c>
    </row>
    <row r="6038" spans="1:5" x14ac:dyDescent="0.25">
      <c r="A6038" s="279">
        <v>39184</v>
      </c>
      <c r="B6038" t="s">
        <v>339</v>
      </c>
      <c r="C6038" t="s">
        <v>71</v>
      </c>
      <c r="D6038">
        <v>0</v>
      </c>
      <c r="E6038" t="s">
        <v>378</v>
      </c>
    </row>
    <row r="6039" spans="1:5" x14ac:dyDescent="0.25">
      <c r="A6039" s="279">
        <v>39184</v>
      </c>
      <c r="B6039" t="s">
        <v>339</v>
      </c>
      <c r="C6039" t="s">
        <v>72</v>
      </c>
      <c r="D6039">
        <v>935</v>
      </c>
      <c r="E6039" t="s">
        <v>380</v>
      </c>
    </row>
    <row r="6040" spans="1:5" x14ac:dyDescent="0.25">
      <c r="A6040" s="279">
        <v>39184</v>
      </c>
      <c r="B6040" t="s">
        <v>339</v>
      </c>
      <c r="C6040" t="s">
        <v>73</v>
      </c>
      <c r="D6040">
        <v>0</v>
      </c>
      <c r="E6040" t="s">
        <v>378</v>
      </c>
    </row>
    <row r="6041" spans="1:5" x14ac:dyDescent="0.25">
      <c r="A6041" s="279">
        <v>39184</v>
      </c>
      <c r="B6041" t="s">
        <v>339</v>
      </c>
      <c r="C6041" t="s">
        <v>74</v>
      </c>
      <c r="D6041">
        <v>24038</v>
      </c>
      <c r="E6041" t="s">
        <v>380</v>
      </c>
    </row>
    <row r="6042" spans="1:5" x14ac:dyDescent="0.25">
      <c r="A6042" s="279">
        <v>39184</v>
      </c>
      <c r="B6042" t="s">
        <v>339</v>
      </c>
      <c r="C6042" t="s">
        <v>75</v>
      </c>
      <c r="D6042">
        <v>15213</v>
      </c>
      <c r="E6042" t="s">
        <v>378</v>
      </c>
    </row>
    <row r="6043" spans="1:5" x14ac:dyDescent="0.25">
      <c r="A6043" s="279">
        <v>39184</v>
      </c>
      <c r="B6043" t="s">
        <v>339</v>
      </c>
      <c r="C6043" t="s">
        <v>76</v>
      </c>
      <c r="D6043">
        <v>33864</v>
      </c>
      <c r="E6043" t="s">
        <v>380</v>
      </c>
    </row>
    <row r="6044" spans="1:5" x14ac:dyDescent="0.25">
      <c r="A6044" s="279">
        <v>39184</v>
      </c>
      <c r="B6044" t="s">
        <v>339</v>
      </c>
      <c r="C6044" t="s">
        <v>77</v>
      </c>
      <c r="D6044">
        <v>7254</v>
      </c>
      <c r="E6044" t="s">
        <v>378</v>
      </c>
    </row>
    <row r="6045" spans="1:5" x14ac:dyDescent="0.25">
      <c r="A6045" s="279">
        <v>39184</v>
      </c>
      <c r="B6045" t="s">
        <v>339</v>
      </c>
      <c r="C6045" t="s">
        <v>78</v>
      </c>
      <c r="D6045">
        <v>7002</v>
      </c>
      <c r="E6045" t="s">
        <v>380</v>
      </c>
    </row>
    <row r="6046" spans="1:5" x14ac:dyDescent="0.25">
      <c r="A6046" s="279">
        <v>39184</v>
      </c>
      <c r="B6046" t="s">
        <v>339</v>
      </c>
      <c r="C6046" t="s">
        <v>79</v>
      </c>
      <c r="D6046">
        <v>98663</v>
      </c>
      <c r="E6046" t="s">
        <v>379</v>
      </c>
    </row>
    <row r="6047" spans="1:5" x14ac:dyDescent="0.25">
      <c r="A6047" s="279">
        <v>39184</v>
      </c>
      <c r="B6047" t="s">
        <v>339</v>
      </c>
      <c r="C6047" t="s">
        <v>70</v>
      </c>
      <c r="D6047">
        <v>0</v>
      </c>
      <c r="E6047" t="s">
        <v>379</v>
      </c>
    </row>
    <row r="6048" spans="1:5" x14ac:dyDescent="0.25">
      <c r="A6048" s="279">
        <v>39184</v>
      </c>
      <c r="B6048" t="s">
        <v>339</v>
      </c>
      <c r="C6048" t="s">
        <v>63</v>
      </c>
      <c r="D6048">
        <v>0</v>
      </c>
      <c r="E6048" t="s">
        <v>378</v>
      </c>
    </row>
    <row r="6049" spans="1:5" x14ac:dyDescent="0.25">
      <c r="A6049" s="279">
        <v>39184</v>
      </c>
      <c r="B6049" t="s">
        <v>339</v>
      </c>
      <c r="C6049" t="s">
        <v>80</v>
      </c>
      <c r="D6049">
        <v>135</v>
      </c>
      <c r="E6049" t="s">
        <v>379</v>
      </c>
    </row>
    <row r="6050" spans="1:5" x14ac:dyDescent="0.25">
      <c r="A6050" s="279">
        <v>39185</v>
      </c>
      <c r="B6050" t="s">
        <v>338</v>
      </c>
      <c r="C6050" t="s">
        <v>59</v>
      </c>
      <c r="D6050">
        <v>2605</v>
      </c>
      <c r="E6050" t="s">
        <v>378</v>
      </c>
    </row>
    <row r="6051" spans="1:5" x14ac:dyDescent="0.25">
      <c r="A6051" s="279">
        <v>39185</v>
      </c>
      <c r="B6051" t="s">
        <v>338</v>
      </c>
      <c r="C6051" t="s">
        <v>60</v>
      </c>
      <c r="D6051">
        <v>0</v>
      </c>
      <c r="E6051" t="s">
        <v>379</v>
      </c>
    </row>
    <row r="6052" spans="1:5" x14ac:dyDescent="0.25">
      <c r="A6052" s="279">
        <v>39185</v>
      </c>
      <c r="B6052" t="s">
        <v>338</v>
      </c>
      <c r="C6052" t="s">
        <v>61</v>
      </c>
      <c r="D6052">
        <v>0</v>
      </c>
      <c r="E6052" t="s">
        <v>378</v>
      </c>
    </row>
    <row r="6053" spans="1:5" x14ac:dyDescent="0.25">
      <c r="A6053" s="279">
        <v>39185</v>
      </c>
      <c r="B6053" t="s">
        <v>338</v>
      </c>
      <c r="C6053" t="s">
        <v>62</v>
      </c>
      <c r="D6053">
        <v>8506</v>
      </c>
      <c r="E6053" t="s">
        <v>380</v>
      </c>
    </row>
    <row r="6054" spans="1:5" x14ac:dyDescent="0.25">
      <c r="A6054" s="279">
        <v>39185</v>
      </c>
      <c r="B6054" t="s">
        <v>338</v>
      </c>
      <c r="C6054" t="s">
        <v>63</v>
      </c>
      <c r="D6054">
        <v>0</v>
      </c>
      <c r="E6054" t="s">
        <v>378</v>
      </c>
    </row>
    <row r="6055" spans="1:5" x14ac:dyDescent="0.25">
      <c r="A6055" s="279">
        <v>39185</v>
      </c>
      <c r="B6055" t="s">
        <v>338</v>
      </c>
      <c r="C6055" t="s">
        <v>64</v>
      </c>
      <c r="D6055">
        <v>24887</v>
      </c>
      <c r="E6055" t="s">
        <v>380</v>
      </c>
    </row>
    <row r="6056" spans="1:5" x14ac:dyDescent="0.25">
      <c r="A6056" s="279">
        <v>39185</v>
      </c>
      <c r="B6056" t="s">
        <v>338</v>
      </c>
      <c r="C6056" t="s">
        <v>65</v>
      </c>
      <c r="D6056">
        <v>0</v>
      </c>
      <c r="E6056" t="s">
        <v>378</v>
      </c>
    </row>
    <row r="6057" spans="1:5" x14ac:dyDescent="0.25">
      <c r="A6057" s="279">
        <v>39185</v>
      </c>
      <c r="B6057" t="s">
        <v>338</v>
      </c>
      <c r="C6057" t="s">
        <v>66</v>
      </c>
      <c r="D6057">
        <v>0</v>
      </c>
      <c r="E6057" t="s">
        <v>380</v>
      </c>
    </row>
    <row r="6058" spans="1:5" x14ac:dyDescent="0.25">
      <c r="A6058" s="279">
        <v>39185</v>
      </c>
      <c r="B6058" t="s">
        <v>338</v>
      </c>
      <c r="C6058" t="s">
        <v>120</v>
      </c>
      <c r="D6058">
        <v>0</v>
      </c>
      <c r="E6058" t="s">
        <v>378</v>
      </c>
    </row>
    <row r="6059" spans="1:5" x14ac:dyDescent="0.25">
      <c r="A6059" s="279">
        <v>39185</v>
      </c>
      <c r="B6059" t="s">
        <v>338</v>
      </c>
      <c r="C6059" t="s">
        <v>121</v>
      </c>
      <c r="D6059">
        <v>20181</v>
      </c>
      <c r="E6059" t="s">
        <v>380</v>
      </c>
    </row>
    <row r="6060" spans="1:5" x14ac:dyDescent="0.25">
      <c r="A6060" s="279">
        <v>39185</v>
      </c>
      <c r="B6060" t="s">
        <v>338</v>
      </c>
      <c r="C6060" t="s">
        <v>67</v>
      </c>
      <c r="D6060">
        <v>0</v>
      </c>
      <c r="E6060" t="s">
        <v>378</v>
      </c>
    </row>
    <row r="6061" spans="1:5" x14ac:dyDescent="0.25">
      <c r="A6061" s="279">
        <v>39185</v>
      </c>
      <c r="B6061" t="s">
        <v>338</v>
      </c>
      <c r="C6061" t="s">
        <v>68</v>
      </c>
      <c r="D6061">
        <v>0</v>
      </c>
      <c r="E6061" t="s">
        <v>380</v>
      </c>
    </row>
    <row r="6062" spans="1:5" x14ac:dyDescent="0.25">
      <c r="A6062" s="279">
        <v>39185</v>
      </c>
      <c r="B6062" t="s">
        <v>338</v>
      </c>
      <c r="C6062" t="s">
        <v>69</v>
      </c>
      <c r="D6062">
        <v>0</v>
      </c>
      <c r="E6062" t="s">
        <v>379</v>
      </c>
    </row>
    <row r="6063" spans="1:5" x14ac:dyDescent="0.25">
      <c r="A6063" s="279">
        <v>39185</v>
      </c>
      <c r="B6063" t="s">
        <v>338</v>
      </c>
      <c r="C6063" t="s">
        <v>70</v>
      </c>
      <c r="D6063">
        <v>0</v>
      </c>
      <c r="E6063" t="s">
        <v>379</v>
      </c>
    </row>
    <row r="6064" spans="1:5" x14ac:dyDescent="0.25">
      <c r="A6064" s="279">
        <v>39185</v>
      </c>
      <c r="B6064" t="s">
        <v>338</v>
      </c>
      <c r="C6064" t="s">
        <v>80</v>
      </c>
      <c r="D6064">
        <v>13</v>
      </c>
      <c r="E6064" t="s">
        <v>379</v>
      </c>
    </row>
    <row r="6065" spans="1:5" x14ac:dyDescent="0.25">
      <c r="A6065" s="279">
        <v>39185</v>
      </c>
      <c r="B6065" t="s">
        <v>339</v>
      </c>
      <c r="C6065" t="s">
        <v>71</v>
      </c>
      <c r="D6065">
        <v>0</v>
      </c>
      <c r="E6065" t="s">
        <v>378</v>
      </c>
    </row>
    <row r="6066" spans="1:5" x14ac:dyDescent="0.25">
      <c r="A6066" s="279">
        <v>39185</v>
      </c>
      <c r="B6066" t="s">
        <v>339</v>
      </c>
      <c r="C6066" t="s">
        <v>72</v>
      </c>
      <c r="D6066">
        <v>936</v>
      </c>
      <c r="E6066" t="s">
        <v>380</v>
      </c>
    </row>
    <row r="6067" spans="1:5" x14ac:dyDescent="0.25">
      <c r="A6067" s="279">
        <v>39185</v>
      </c>
      <c r="B6067" t="s">
        <v>339</v>
      </c>
      <c r="C6067" t="s">
        <v>73</v>
      </c>
      <c r="D6067">
        <v>0</v>
      </c>
      <c r="E6067" t="s">
        <v>378</v>
      </c>
    </row>
    <row r="6068" spans="1:5" x14ac:dyDescent="0.25">
      <c r="A6068" s="279">
        <v>39185</v>
      </c>
      <c r="B6068" t="s">
        <v>339</v>
      </c>
      <c r="C6068" t="s">
        <v>74</v>
      </c>
      <c r="D6068">
        <v>24085</v>
      </c>
      <c r="E6068" t="s">
        <v>380</v>
      </c>
    </row>
    <row r="6069" spans="1:5" x14ac:dyDescent="0.25">
      <c r="A6069" s="279">
        <v>39185</v>
      </c>
      <c r="B6069" t="s">
        <v>339</v>
      </c>
      <c r="C6069" t="s">
        <v>75</v>
      </c>
      <c r="D6069">
        <v>15242</v>
      </c>
      <c r="E6069" t="s">
        <v>378</v>
      </c>
    </row>
    <row r="6070" spans="1:5" x14ac:dyDescent="0.25">
      <c r="A6070" s="279">
        <v>39185</v>
      </c>
      <c r="B6070" t="s">
        <v>339</v>
      </c>
      <c r="C6070" t="s">
        <v>76</v>
      </c>
      <c r="D6070">
        <v>33930</v>
      </c>
      <c r="E6070" t="s">
        <v>380</v>
      </c>
    </row>
    <row r="6071" spans="1:5" x14ac:dyDescent="0.25">
      <c r="A6071" s="279">
        <v>39185</v>
      </c>
      <c r="B6071" t="s">
        <v>339</v>
      </c>
      <c r="C6071" t="s">
        <v>77</v>
      </c>
      <c r="D6071">
        <v>7268</v>
      </c>
      <c r="E6071" t="s">
        <v>378</v>
      </c>
    </row>
    <row r="6072" spans="1:5" x14ac:dyDescent="0.25">
      <c r="A6072" s="279">
        <v>39185</v>
      </c>
      <c r="B6072" t="s">
        <v>339</v>
      </c>
      <c r="C6072" t="s">
        <v>78</v>
      </c>
      <c r="D6072">
        <v>7104</v>
      </c>
      <c r="E6072" t="s">
        <v>380</v>
      </c>
    </row>
    <row r="6073" spans="1:5" x14ac:dyDescent="0.25">
      <c r="A6073" s="279">
        <v>39185</v>
      </c>
      <c r="B6073" t="s">
        <v>339</v>
      </c>
      <c r="C6073" t="s">
        <v>79</v>
      </c>
      <c r="D6073">
        <v>102648</v>
      </c>
      <c r="E6073" t="s">
        <v>379</v>
      </c>
    </row>
    <row r="6074" spans="1:5" x14ac:dyDescent="0.25">
      <c r="A6074" s="279">
        <v>39185</v>
      </c>
      <c r="B6074" t="s">
        <v>339</v>
      </c>
      <c r="C6074" t="s">
        <v>70</v>
      </c>
      <c r="D6074">
        <v>0</v>
      </c>
      <c r="E6074" t="s">
        <v>379</v>
      </c>
    </row>
    <row r="6075" spans="1:5" x14ac:dyDescent="0.25">
      <c r="A6075" s="279">
        <v>39185</v>
      </c>
      <c r="B6075" t="s">
        <v>339</v>
      </c>
      <c r="C6075" t="s">
        <v>63</v>
      </c>
      <c r="D6075">
        <v>0</v>
      </c>
      <c r="E6075" t="s">
        <v>378</v>
      </c>
    </row>
    <row r="6076" spans="1:5" x14ac:dyDescent="0.25">
      <c r="A6076" s="279">
        <v>39185</v>
      </c>
      <c r="B6076" t="s">
        <v>339</v>
      </c>
      <c r="C6076" t="s">
        <v>80</v>
      </c>
      <c r="D6076">
        <v>135</v>
      </c>
      <c r="E6076" t="s">
        <v>379</v>
      </c>
    </row>
    <row r="6077" spans="1:5" x14ac:dyDescent="0.25">
      <c r="A6077" s="279">
        <v>39186</v>
      </c>
      <c r="B6077" t="s">
        <v>338</v>
      </c>
      <c r="C6077" t="s">
        <v>59</v>
      </c>
      <c r="D6077">
        <v>2603</v>
      </c>
      <c r="E6077" t="s">
        <v>378</v>
      </c>
    </row>
    <row r="6078" spans="1:5" x14ac:dyDescent="0.25">
      <c r="A6078" s="279">
        <v>39186</v>
      </c>
      <c r="B6078" t="s">
        <v>338</v>
      </c>
      <c r="C6078" t="s">
        <v>60</v>
      </c>
      <c r="D6078">
        <v>0</v>
      </c>
      <c r="E6078" t="s">
        <v>379</v>
      </c>
    </row>
    <row r="6079" spans="1:5" x14ac:dyDescent="0.25">
      <c r="A6079" s="279">
        <v>39186</v>
      </c>
      <c r="B6079" t="s">
        <v>338</v>
      </c>
      <c r="C6079" t="s">
        <v>61</v>
      </c>
      <c r="D6079">
        <v>0</v>
      </c>
      <c r="E6079" t="s">
        <v>378</v>
      </c>
    </row>
    <row r="6080" spans="1:5" x14ac:dyDescent="0.25">
      <c r="A6080" s="279">
        <v>39186</v>
      </c>
      <c r="B6080" t="s">
        <v>338</v>
      </c>
      <c r="C6080" t="s">
        <v>62</v>
      </c>
      <c r="D6080">
        <v>0</v>
      </c>
      <c r="E6080" t="s">
        <v>380</v>
      </c>
    </row>
    <row r="6081" spans="1:5" x14ac:dyDescent="0.25">
      <c r="A6081" s="279">
        <v>39186</v>
      </c>
      <c r="B6081" t="s">
        <v>338</v>
      </c>
      <c r="C6081" t="s">
        <v>63</v>
      </c>
      <c r="D6081">
        <v>0</v>
      </c>
      <c r="E6081" t="s">
        <v>378</v>
      </c>
    </row>
    <row r="6082" spans="1:5" x14ac:dyDescent="0.25">
      <c r="A6082" s="279">
        <v>39186</v>
      </c>
      <c r="B6082" t="s">
        <v>338</v>
      </c>
      <c r="C6082" t="s">
        <v>64</v>
      </c>
      <c r="D6082">
        <v>24863</v>
      </c>
      <c r="E6082" t="s">
        <v>380</v>
      </c>
    </row>
    <row r="6083" spans="1:5" x14ac:dyDescent="0.25">
      <c r="A6083" s="279">
        <v>39186</v>
      </c>
      <c r="B6083" t="s">
        <v>338</v>
      </c>
      <c r="C6083" t="s">
        <v>65</v>
      </c>
      <c r="D6083">
        <v>0</v>
      </c>
      <c r="E6083" t="s">
        <v>378</v>
      </c>
    </row>
    <row r="6084" spans="1:5" x14ac:dyDescent="0.25">
      <c r="A6084" s="279">
        <v>39186</v>
      </c>
      <c r="B6084" t="s">
        <v>338</v>
      </c>
      <c r="C6084" t="s">
        <v>66</v>
      </c>
      <c r="D6084">
        <v>0</v>
      </c>
      <c r="E6084" t="s">
        <v>380</v>
      </c>
    </row>
    <row r="6085" spans="1:5" x14ac:dyDescent="0.25">
      <c r="A6085" s="279">
        <v>39186</v>
      </c>
      <c r="B6085" t="s">
        <v>338</v>
      </c>
      <c r="C6085" t="s">
        <v>120</v>
      </c>
      <c r="D6085">
        <v>0</v>
      </c>
      <c r="E6085" t="s">
        <v>378</v>
      </c>
    </row>
    <row r="6086" spans="1:5" x14ac:dyDescent="0.25">
      <c r="A6086" s="279">
        <v>39186</v>
      </c>
      <c r="B6086" t="s">
        <v>338</v>
      </c>
      <c r="C6086" t="s">
        <v>121</v>
      </c>
      <c r="D6086">
        <v>1381</v>
      </c>
      <c r="E6086" t="s">
        <v>380</v>
      </c>
    </row>
    <row r="6087" spans="1:5" x14ac:dyDescent="0.25">
      <c r="A6087" s="279">
        <v>39186</v>
      </c>
      <c r="B6087" t="s">
        <v>338</v>
      </c>
      <c r="C6087" t="s">
        <v>67</v>
      </c>
      <c r="D6087">
        <v>0</v>
      </c>
      <c r="E6087" t="s">
        <v>378</v>
      </c>
    </row>
    <row r="6088" spans="1:5" x14ac:dyDescent="0.25">
      <c r="A6088" s="279">
        <v>39186</v>
      </c>
      <c r="B6088" t="s">
        <v>338</v>
      </c>
      <c r="C6088" t="s">
        <v>68</v>
      </c>
      <c r="D6088">
        <v>0</v>
      </c>
      <c r="E6088" t="s">
        <v>380</v>
      </c>
    </row>
    <row r="6089" spans="1:5" x14ac:dyDescent="0.25">
      <c r="A6089" s="279">
        <v>39186</v>
      </c>
      <c r="B6089" t="s">
        <v>338</v>
      </c>
      <c r="C6089" t="s">
        <v>69</v>
      </c>
      <c r="D6089">
        <v>0</v>
      </c>
      <c r="E6089" t="s">
        <v>379</v>
      </c>
    </row>
    <row r="6090" spans="1:5" x14ac:dyDescent="0.25">
      <c r="A6090" s="279">
        <v>39186</v>
      </c>
      <c r="B6090" t="s">
        <v>338</v>
      </c>
      <c r="C6090" t="s">
        <v>70</v>
      </c>
      <c r="D6090">
        <v>0</v>
      </c>
      <c r="E6090" t="s">
        <v>379</v>
      </c>
    </row>
    <row r="6091" spans="1:5" x14ac:dyDescent="0.25">
      <c r="A6091" s="279">
        <v>39186</v>
      </c>
      <c r="B6091" t="s">
        <v>338</v>
      </c>
      <c r="C6091" t="s">
        <v>80</v>
      </c>
      <c r="D6091">
        <v>13</v>
      </c>
      <c r="E6091" t="s">
        <v>379</v>
      </c>
    </row>
    <row r="6092" spans="1:5" x14ac:dyDescent="0.25">
      <c r="A6092" s="279">
        <v>39186</v>
      </c>
      <c r="B6092" t="s">
        <v>339</v>
      </c>
      <c r="C6092" t="s">
        <v>71</v>
      </c>
      <c r="D6092">
        <v>0</v>
      </c>
      <c r="E6092" t="s">
        <v>378</v>
      </c>
    </row>
    <row r="6093" spans="1:5" x14ac:dyDescent="0.25">
      <c r="A6093" s="279">
        <v>39186</v>
      </c>
      <c r="B6093" t="s">
        <v>339</v>
      </c>
      <c r="C6093" t="s">
        <v>72</v>
      </c>
      <c r="D6093">
        <v>936</v>
      </c>
      <c r="E6093" t="s">
        <v>380</v>
      </c>
    </row>
    <row r="6094" spans="1:5" x14ac:dyDescent="0.25">
      <c r="A6094" s="279">
        <v>39186</v>
      </c>
      <c r="B6094" t="s">
        <v>339</v>
      </c>
      <c r="C6094" t="s">
        <v>73</v>
      </c>
      <c r="D6094">
        <v>0</v>
      </c>
      <c r="E6094" t="s">
        <v>378</v>
      </c>
    </row>
    <row r="6095" spans="1:5" x14ac:dyDescent="0.25">
      <c r="A6095" s="279">
        <v>39186</v>
      </c>
      <c r="B6095" t="s">
        <v>339</v>
      </c>
      <c r="C6095" t="s">
        <v>74</v>
      </c>
      <c r="D6095">
        <v>0</v>
      </c>
      <c r="E6095" t="s">
        <v>380</v>
      </c>
    </row>
    <row r="6096" spans="1:5" x14ac:dyDescent="0.25">
      <c r="A6096" s="279">
        <v>39186</v>
      </c>
      <c r="B6096" t="s">
        <v>339</v>
      </c>
      <c r="C6096" t="s">
        <v>75</v>
      </c>
      <c r="D6096">
        <v>15228</v>
      </c>
      <c r="E6096" t="s">
        <v>378</v>
      </c>
    </row>
    <row r="6097" spans="1:5" x14ac:dyDescent="0.25">
      <c r="A6097" s="279">
        <v>39186</v>
      </c>
      <c r="B6097" t="s">
        <v>339</v>
      </c>
      <c r="C6097" t="s">
        <v>76</v>
      </c>
      <c r="D6097">
        <v>32666</v>
      </c>
      <c r="E6097" t="s">
        <v>380</v>
      </c>
    </row>
    <row r="6098" spans="1:5" x14ac:dyDescent="0.25">
      <c r="A6098" s="279">
        <v>39186</v>
      </c>
      <c r="B6098" t="s">
        <v>339</v>
      </c>
      <c r="C6098" t="s">
        <v>77</v>
      </c>
      <c r="D6098">
        <v>7261</v>
      </c>
      <c r="E6098" t="s">
        <v>378</v>
      </c>
    </row>
    <row r="6099" spans="1:5" x14ac:dyDescent="0.25">
      <c r="A6099" s="279">
        <v>39186</v>
      </c>
      <c r="B6099" t="s">
        <v>339</v>
      </c>
      <c r="C6099" t="s">
        <v>78</v>
      </c>
      <c r="D6099">
        <v>6983</v>
      </c>
      <c r="E6099" t="s">
        <v>380</v>
      </c>
    </row>
    <row r="6100" spans="1:5" x14ac:dyDescent="0.25">
      <c r="A6100" s="279">
        <v>39186</v>
      </c>
      <c r="B6100" t="s">
        <v>339</v>
      </c>
      <c r="C6100" t="s">
        <v>79</v>
      </c>
      <c r="D6100">
        <v>102550</v>
      </c>
      <c r="E6100" t="s">
        <v>379</v>
      </c>
    </row>
    <row r="6101" spans="1:5" x14ac:dyDescent="0.25">
      <c r="A6101" s="279">
        <v>39186</v>
      </c>
      <c r="B6101" t="s">
        <v>339</v>
      </c>
      <c r="C6101" t="s">
        <v>70</v>
      </c>
      <c r="D6101">
        <v>0</v>
      </c>
      <c r="E6101" t="s">
        <v>379</v>
      </c>
    </row>
    <row r="6102" spans="1:5" x14ac:dyDescent="0.25">
      <c r="A6102" s="279">
        <v>39186</v>
      </c>
      <c r="B6102" t="s">
        <v>339</v>
      </c>
      <c r="C6102" t="s">
        <v>63</v>
      </c>
      <c r="D6102">
        <v>0</v>
      </c>
      <c r="E6102" t="s">
        <v>378</v>
      </c>
    </row>
    <row r="6103" spans="1:5" x14ac:dyDescent="0.25">
      <c r="A6103" s="279">
        <v>39186</v>
      </c>
      <c r="B6103" t="s">
        <v>339</v>
      </c>
      <c r="C6103" t="s">
        <v>80</v>
      </c>
      <c r="D6103">
        <v>135</v>
      </c>
      <c r="E6103" t="s">
        <v>379</v>
      </c>
    </row>
    <row r="6104" spans="1:5" x14ac:dyDescent="0.25">
      <c r="A6104" s="279">
        <v>39187</v>
      </c>
      <c r="B6104" t="s">
        <v>338</v>
      </c>
      <c r="C6104" t="s">
        <v>59</v>
      </c>
      <c r="D6104">
        <v>2600</v>
      </c>
      <c r="E6104" t="s">
        <v>378</v>
      </c>
    </row>
    <row r="6105" spans="1:5" x14ac:dyDescent="0.25">
      <c r="A6105" s="279">
        <v>39187</v>
      </c>
      <c r="B6105" t="s">
        <v>338</v>
      </c>
      <c r="C6105" t="s">
        <v>60</v>
      </c>
      <c r="D6105">
        <v>0</v>
      </c>
      <c r="E6105" t="s">
        <v>379</v>
      </c>
    </row>
    <row r="6106" spans="1:5" x14ac:dyDescent="0.25">
      <c r="A6106" s="279">
        <v>39187</v>
      </c>
      <c r="B6106" t="s">
        <v>338</v>
      </c>
      <c r="C6106" t="s">
        <v>61</v>
      </c>
      <c r="D6106">
        <v>0</v>
      </c>
      <c r="E6106" t="s">
        <v>378</v>
      </c>
    </row>
    <row r="6107" spans="1:5" x14ac:dyDescent="0.25">
      <c r="A6107" s="279">
        <v>39187</v>
      </c>
      <c r="B6107" t="s">
        <v>338</v>
      </c>
      <c r="C6107" t="s">
        <v>62</v>
      </c>
      <c r="D6107">
        <v>27850</v>
      </c>
      <c r="E6107" t="s">
        <v>380</v>
      </c>
    </row>
    <row r="6108" spans="1:5" x14ac:dyDescent="0.25">
      <c r="A6108" s="279">
        <v>39187</v>
      </c>
      <c r="B6108" t="s">
        <v>338</v>
      </c>
      <c r="C6108" t="s">
        <v>63</v>
      </c>
      <c r="D6108">
        <v>0</v>
      </c>
      <c r="E6108" t="s">
        <v>378</v>
      </c>
    </row>
    <row r="6109" spans="1:5" x14ac:dyDescent="0.25">
      <c r="A6109" s="279">
        <v>39187</v>
      </c>
      <c r="B6109" t="s">
        <v>338</v>
      </c>
      <c r="C6109" t="s">
        <v>64</v>
      </c>
      <c r="D6109">
        <v>24839</v>
      </c>
      <c r="E6109" t="s">
        <v>380</v>
      </c>
    </row>
    <row r="6110" spans="1:5" x14ac:dyDescent="0.25">
      <c r="A6110" s="279">
        <v>39187</v>
      </c>
      <c r="B6110" t="s">
        <v>338</v>
      </c>
      <c r="C6110" t="s">
        <v>65</v>
      </c>
      <c r="D6110">
        <v>0</v>
      </c>
      <c r="E6110" t="s">
        <v>378</v>
      </c>
    </row>
    <row r="6111" spans="1:5" x14ac:dyDescent="0.25">
      <c r="A6111" s="279">
        <v>39187</v>
      </c>
      <c r="B6111" t="s">
        <v>338</v>
      </c>
      <c r="C6111" t="s">
        <v>66</v>
      </c>
      <c r="D6111">
        <v>0</v>
      </c>
      <c r="E6111" t="s">
        <v>380</v>
      </c>
    </row>
    <row r="6112" spans="1:5" x14ac:dyDescent="0.25">
      <c r="A6112" s="279">
        <v>39187</v>
      </c>
      <c r="B6112" t="s">
        <v>338</v>
      </c>
      <c r="C6112" t="s">
        <v>120</v>
      </c>
      <c r="D6112">
        <v>0</v>
      </c>
      <c r="E6112" t="s">
        <v>378</v>
      </c>
    </row>
    <row r="6113" spans="1:5" x14ac:dyDescent="0.25">
      <c r="A6113" s="279">
        <v>39187</v>
      </c>
      <c r="B6113" t="s">
        <v>338</v>
      </c>
      <c r="C6113" t="s">
        <v>121</v>
      </c>
      <c r="D6113">
        <v>20142</v>
      </c>
      <c r="E6113" t="s">
        <v>380</v>
      </c>
    </row>
    <row r="6114" spans="1:5" x14ac:dyDescent="0.25">
      <c r="A6114" s="279">
        <v>39187</v>
      </c>
      <c r="B6114" t="s">
        <v>338</v>
      </c>
      <c r="C6114" t="s">
        <v>67</v>
      </c>
      <c r="D6114">
        <v>0</v>
      </c>
      <c r="E6114" t="s">
        <v>378</v>
      </c>
    </row>
    <row r="6115" spans="1:5" x14ac:dyDescent="0.25">
      <c r="A6115" s="279">
        <v>39187</v>
      </c>
      <c r="B6115" t="s">
        <v>338</v>
      </c>
      <c r="C6115" t="s">
        <v>68</v>
      </c>
      <c r="D6115">
        <v>0</v>
      </c>
      <c r="E6115" t="s">
        <v>380</v>
      </c>
    </row>
    <row r="6116" spans="1:5" x14ac:dyDescent="0.25">
      <c r="A6116" s="279">
        <v>39187</v>
      </c>
      <c r="B6116" t="s">
        <v>338</v>
      </c>
      <c r="C6116" t="s">
        <v>69</v>
      </c>
      <c r="D6116">
        <v>0</v>
      </c>
      <c r="E6116" t="s">
        <v>379</v>
      </c>
    </row>
    <row r="6117" spans="1:5" x14ac:dyDescent="0.25">
      <c r="A6117" s="279">
        <v>39187</v>
      </c>
      <c r="B6117" t="s">
        <v>338</v>
      </c>
      <c r="C6117" t="s">
        <v>70</v>
      </c>
      <c r="D6117">
        <v>0</v>
      </c>
      <c r="E6117" t="s">
        <v>379</v>
      </c>
    </row>
    <row r="6118" spans="1:5" x14ac:dyDescent="0.25">
      <c r="A6118" s="279">
        <v>39187</v>
      </c>
      <c r="B6118" t="s">
        <v>338</v>
      </c>
      <c r="C6118" t="s">
        <v>80</v>
      </c>
      <c r="D6118">
        <v>13</v>
      </c>
      <c r="E6118" t="s">
        <v>379</v>
      </c>
    </row>
    <row r="6119" spans="1:5" x14ac:dyDescent="0.25">
      <c r="A6119" s="279">
        <v>39187</v>
      </c>
      <c r="B6119" t="s">
        <v>339</v>
      </c>
      <c r="C6119" t="s">
        <v>71</v>
      </c>
      <c r="D6119">
        <v>0</v>
      </c>
      <c r="E6119" t="s">
        <v>378</v>
      </c>
    </row>
    <row r="6120" spans="1:5" x14ac:dyDescent="0.25">
      <c r="A6120" s="279">
        <v>39187</v>
      </c>
      <c r="B6120" t="s">
        <v>339</v>
      </c>
      <c r="C6120" t="s">
        <v>72</v>
      </c>
      <c r="D6120">
        <v>940</v>
      </c>
      <c r="E6120" t="s">
        <v>380</v>
      </c>
    </row>
    <row r="6121" spans="1:5" x14ac:dyDescent="0.25">
      <c r="A6121" s="279">
        <v>39187</v>
      </c>
      <c r="B6121" t="s">
        <v>339</v>
      </c>
      <c r="C6121" t="s">
        <v>73</v>
      </c>
      <c r="D6121">
        <v>0</v>
      </c>
      <c r="E6121" t="s">
        <v>378</v>
      </c>
    </row>
    <row r="6122" spans="1:5" x14ac:dyDescent="0.25">
      <c r="A6122" s="279">
        <v>39187</v>
      </c>
      <c r="B6122" t="s">
        <v>339</v>
      </c>
      <c r="C6122" t="s">
        <v>74</v>
      </c>
      <c r="D6122">
        <v>24178</v>
      </c>
      <c r="E6122" t="s">
        <v>380</v>
      </c>
    </row>
    <row r="6123" spans="1:5" x14ac:dyDescent="0.25">
      <c r="A6123" s="279">
        <v>39187</v>
      </c>
      <c r="B6123" t="s">
        <v>339</v>
      </c>
      <c r="C6123" t="s">
        <v>75</v>
      </c>
      <c r="D6123">
        <v>15301</v>
      </c>
      <c r="E6123" t="s">
        <v>378</v>
      </c>
    </row>
    <row r="6124" spans="1:5" x14ac:dyDescent="0.25">
      <c r="A6124" s="279">
        <v>39187</v>
      </c>
      <c r="B6124" t="s">
        <v>339</v>
      </c>
      <c r="C6124" t="s">
        <v>76</v>
      </c>
      <c r="D6124">
        <v>34061</v>
      </c>
      <c r="E6124" t="s">
        <v>380</v>
      </c>
    </row>
    <row r="6125" spans="1:5" x14ac:dyDescent="0.25">
      <c r="A6125" s="279">
        <v>39187</v>
      </c>
      <c r="B6125" t="s">
        <v>339</v>
      </c>
      <c r="C6125" t="s">
        <v>77</v>
      </c>
      <c r="D6125">
        <v>7296</v>
      </c>
      <c r="E6125" t="s">
        <v>378</v>
      </c>
    </row>
    <row r="6126" spans="1:5" x14ac:dyDescent="0.25">
      <c r="A6126" s="279">
        <v>39187</v>
      </c>
      <c r="B6126" t="s">
        <v>339</v>
      </c>
      <c r="C6126" t="s">
        <v>78</v>
      </c>
      <c r="D6126">
        <v>11831</v>
      </c>
      <c r="E6126" t="s">
        <v>380</v>
      </c>
    </row>
    <row r="6127" spans="1:5" x14ac:dyDescent="0.25">
      <c r="A6127" s="279">
        <v>39187</v>
      </c>
      <c r="B6127" t="s">
        <v>339</v>
      </c>
      <c r="C6127" t="s">
        <v>79</v>
      </c>
      <c r="D6127">
        <v>103045</v>
      </c>
      <c r="E6127" t="s">
        <v>379</v>
      </c>
    </row>
    <row r="6128" spans="1:5" x14ac:dyDescent="0.25">
      <c r="A6128" s="279">
        <v>39187</v>
      </c>
      <c r="B6128" t="s">
        <v>339</v>
      </c>
      <c r="C6128" t="s">
        <v>70</v>
      </c>
      <c r="D6128">
        <v>0</v>
      </c>
      <c r="E6128" t="s">
        <v>379</v>
      </c>
    </row>
    <row r="6129" spans="1:5" x14ac:dyDescent="0.25">
      <c r="A6129" s="279">
        <v>39187</v>
      </c>
      <c r="B6129" t="s">
        <v>339</v>
      </c>
      <c r="C6129" t="s">
        <v>63</v>
      </c>
      <c r="D6129">
        <v>0</v>
      </c>
      <c r="E6129" t="s">
        <v>378</v>
      </c>
    </row>
    <row r="6130" spans="1:5" x14ac:dyDescent="0.25">
      <c r="A6130" s="279">
        <v>39187</v>
      </c>
      <c r="B6130" t="s">
        <v>339</v>
      </c>
      <c r="C6130" t="s">
        <v>80</v>
      </c>
      <c r="D6130">
        <v>136</v>
      </c>
      <c r="E6130" t="s">
        <v>379</v>
      </c>
    </row>
    <row r="6131" spans="1:5" x14ac:dyDescent="0.25">
      <c r="A6131" s="279">
        <v>39188</v>
      </c>
      <c r="B6131" t="s">
        <v>338</v>
      </c>
      <c r="C6131" t="s">
        <v>59</v>
      </c>
      <c r="D6131">
        <v>2595</v>
      </c>
      <c r="E6131" t="s">
        <v>378</v>
      </c>
    </row>
    <row r="6132" spans="1:5" x14ac:dyDescent="0.25">
      <c r="A6132" s="279">
        <v>39188</v>
      </c>
      <c r="B6132" t="s">
        <v>338</v>
      </c>
      <c r="C6132" t="s">
        <v>60</v>
      </c>
      <c r="D6132">
        <v>0</v>
      </c>
      <c r="E6132" t="s">
        <v>379</v>
      </c>
    </row>
    <row r="6133" spans="1:5" x14ac:dyDescent="0.25">
      <c r="A6133" s="279">
        <v>39188</v>
      </c>
      <c r="B6133" t="s">
        <v>338</v>
      </c>
      <c r="C6133" t="s">
        <v>61</v>
      </c>
      <c r="D6133">
        <v>0</v>
      </c>
      <c r="E6133" t="s">
        <v>378</v>
      </c>
    </row>
    <row r="6134" spans="1:5" x14ac:dyDescent="0.25">
      <c r="A6134" s="279">
        <v>39188</v>
      </c>
      <c r="B6134" t="s">
        <v>338</v>
      </c>
      <c r="C6134" t="s">
        <v>62</v>
      </c>
      <c r="D6134">
        <v>32627</v>
      </c>
      <c r="E6134" t="s">
        <v>380</v>
      </c>
    </row>
    <row r="6135" spans="1:5" x14ac:dyDescent="0.25">
      <c r="A6135" s="279">
        <v>39188</v>
      </c>
      <c r="B6135" t="s">
        <v>338</v>
      </c>
      <c r="C6135" t="s">
        <v>63</v>
      </c>
      <c r="D6135">
        <v>0</v>
      </c>
      <c r="E6135" t="s">
        <v>378</v>
      </c>
    </row>
    <row r="6136" spans="1:5" x14ac:dyDescent="0.25">
      <c r="A6136" s="279">
        <v>39188</v>
      </c>
      <c r="B6136" t="s">
        <v>338</v>
      </c>
      <c r="C6136" t="s">
        <v>64</v>
      </c>
      <c r="D6136">
        <v>24791</v>
      </c>
      <c r="E6136" t="s">
        <v>380</v>
      </c>
    </row>
    <row r="6137" spans="1:5" x14ac:dyDescent="0.25">
      <c r="A6137" s="279">
        <v>39188</v>
      </c>
      <c r="B6137" t="s">
        <v>338</v>
      </c>
      <c r="C6137" t="s">
        <v>65</v>
      </c>
      <c r="D6137">
        <v>0</v>
      </c>
      <c r="E6137" t="s">
        <v>378</v>
      </c>
    </row>
    <row r="6138" spans="1:5" x14ac:dyDescent="0.25">
      <c r="A6138" s="279">
        <v>39188</v>
      </c>
      <c r="B6138" t="s">
        <v>338</v>
      </c>
      <c r="C6138" t="s">
        <v>66</v>
      </c>
      <c r="D6138">
        <v>0</v>
      </c>
      <c r="E6138" t="s">
        <v>380</v>
      </c>
    </row>
    <row r="6139" spans="1:5" x14ac:dyDescent="0.25">
      <c r="A6139" s="279">
        <v>39188</v>
      </c>
      <c r="B6139" t="s">
        <v>338</v>
      </c>
      <c r="C6139" t="s">
        <v>120</v>
      </c>
      <c r="D6139">
        <v>0</v>
      </c>
      <c r="E6139" t="s">
        <v>378</v>
      </c>
    </row>
    <row r="6140" spans="1:5" x14ac:dyDescent="0.25">
      <c r="A6140" s="279">
        <v>39188</v>
      </c>
      <c r="B6140" t="s">
        <v>338</v>
      </c>
      <c r="C6140" t="s">
        <v>121</v>
      </c>
      <c r="D6140">
        <v>16752</v>
      </c>
      <c r="E6140" t="s">
        <v>380</v>
      </c>
    </row>
    <row r="6141" spans="1:5" x14ac:dyDescent="0.25">
      <c r="A6141" s="279">
        <v>39188</v>
      </c>
      <c r="B6141" t="s">
        <v>338</v>
      </c>
      <c r="C6141" t="s">
        <v>67</v>
      </c>
      <c r="D6141">
        <v>0</v>
      </c>
      <c r="E6141" t="s">
        <v>378</v>
      </c>
    </row>
    <row r="6142" spans="1:5" x14ac:dyDescent="0.25">
      <c r="A6142" s="279">
        <v>39188</v>
      </c>
      <c r="B6142" t="s">
        <v>338</v>
      </c>
      <c r="C6142" t="s">
        <v>68</v>
      </c>
      <c r="D6142">
        <v>0</v>
      </c>
      <c r="E6142" t="s">
        <v>380</v>
      </c>
    </row>
    <row r="6143" spans="1:5" x14ac:dyDescent="0.25">
      <c r="A6143" s="279">
        <v>39188</v>
      </c>
      <c r="B6143" t="s">
        <v>338</v>
      </c>
      <c r="C6143" t="s">
        <v>69</v>
      </c>
      <c r="D6143">
        <v>0</v>
      </c>
      <c r="E6143" t="s">
        <v>379</v>
      </c>
    </row>
    <row r="6144" spans="1:5" x14ac:dyDescent="0.25">
      <c r="A6144" s="279">
        <v>39188</v>
      </c>
      <c r="B6144" t="s">
        <v>338</v>
      </c>
      <c r="C6144" t="s">
        <v>70</v>
      </c>
      <c r="D6144">
        <v>0</v>
      </c>
      <c r="E6144" t="s">
        <v>379</v>
      </c>
    </row>
    <row r="6145" spans="1:5" x14ac:dyDescent="0.25">
      <c r="A6145" s="279">
        <v>39188</v>
      </c>
      <c r="B6145" t="s">
        <v>338</v>
      </c>
      <c r="C6145" t="s">
        <v>80</v>
      </c>
      <c r="D6145">
        <v>13</v>
      </c>
      <c r="E6145" t="s">
        <v>379</v>
      </c>
    </row>
    <row r="6146" spans="1:5" x14ac:dyDescent="0.25">
      <c r="A6146" s="279">
        <v>39188</v>
      </c>
      <c r="B6146" t="s">
        <v>339</v>
      </c>
      <c r="C6146" t="s">
        <v>71</v>
      </c>
      <c r="D6146">
        <v>0</v>
      </c>
      <c r="E6146" t="s">
        <v>378</v>
      </c>
    </row>
    <row r="6147" spans="1:5" x14ac:dyDescent="0.25">
      <c r="A6147" s="279">
        <v>39188</v>
      </c>
      <c r="B6147" t="s">
        <v>339</v>
      </c>
      <c r="C6147" t="s">
        <v>72</v>
      </c>
      <c r="D6147">
        <v>0</v>
      </c>
      <c r="E6147" t="s">
        <v>380</v>
      </c>
    </row>
    <row r="6148" spans="1:5" x14ac:dyDescent="0.25">
      <c r="A6148" s="279">
        <v>39188</v>
      </c>
      <c r="B6148" t="s">
        <v>339</v>
      </c>
      <c r="C6148" t="s">
        <v>73</v>
      </c>
      <c r="D6148">
        <v>0</v>
      </c>
      <c r="E6148" t="s">
        <v>378</v>
      </c>
    </row>
    <row r="6149" spans="1:5" x14ac:dyDescent="0.25">
      <c r="A6149" s="279">
        <v>39188</v>
      </c>
      <c r="B6149" t="s">
        <v>339</v>
      </c>
      <c r="C6149" t="s">
        <v>74</v>
      </c>
      <c r="D6149">
        <v>31530</v>
      </c>
      <c r="E6149" t="s">
        <v>380</v>
      </c>
    </row>
    <row r="6150" spans="1:5" x14ac:dyDescent="0.25">
      <c r="A6150" s="279">
        <v>39188</v>
      </c>
      <c r="B6150" t="s">
        <v>339</v>
      </c>
      <c r="C6150" t="s">
        <v>75</v>
      </c>
      <c r="D6150">
        <v>15155</v>
      </c>
      <c r="E6150" t="s">
        <v>378</v>
      </c>
    </row>
    <row r="6151" spans="1:5" x14ac:dyDescent="0.25">
      <c r="A6151" s="279">
        <v>39188</v>
      </c>
      <c r="B6151" t="s">
        <v>339</v>
      </c>
      <c r="C6151" t="s">
        <v>76</v>
      </c>
      <c r="D6151">
        <v>33735</v>
      </c>
      <c r="E6151" t="s">
        <v>380</v>
      </c>
    </row>
    <row r="6152" spans="1:5" x14ac:dyDescent="0.25">
      <c r="A6152" s="279">
        <v>39188</v>
      </c>
      <c r="B6152" t="s">
        <v>339</v>
      </c>
      <c r="C6152" t="s">
        <v>77</v>
      </c>
      <c r="D6152">
        <v>7226</v>
      </c>
      <c r="E6152" t="s">
        <v>378</v>
      </c>
    </row>
    <row r="6153" spans="1:5" x14ac:dyDescent="0.25">
      <c r="A6153" s="279">
        <v>39188</v>
      </c>
      <c r="B6153" t="s">
        <v>339</v>
      </c>
      <c r="C6153" t="s">
        <v>78</v>
      </c>
      <c r="D6153">
        <v>24280</v>
      </c>
      <c r="E6153" t="s">
        <v>380</v>
      </c>
    </row>
    <row r="6154" spans="1:5" x14ac:dyDescent="0.25">
      <c r="A6154" s="279">
        <v>39188</v>
      </c>
      <c r="B6154" t="s">
        <v>339</v>
      </c>
      <c r="C6154" t="s">
        <v>79</v>
      </c>
      <c r="D6154">
        <v>102058</v>
      </c>
      <c r="E6154" t="s">
        <v>379</v>
      </c>
    </row>
    <row r="6155" spans="1:5" x14ac:dyDescent="0.25">
      <c r="A6155" s="279">
        <v>39188</v>
      </c>
      <c r="B6155" t="s">
        <v>339</v>
      </c>
      <c r="C6155" t="s">
        <v>70</v>
      </c>
      <c r="D6155">
        <v>0</v>
      </c>
      <c r="E6155" t="s">
        <v>379</v>
      </c>
    </row>
    <row r="6156" spans="1:5" x14ac:dyDescent="0.25">
      <c r="A6156" s="279">
        <v>39188</v>
      </c>
      <c r="B6156" t="s">
        <v>339</v>
      </c>
      <c r="C6156" t="s">
        <v>63</v>
      </c>
      <c r="D6156">
        <v>0</v>
      </c>
      <c r="E6156" t="s">
        <v>378</v>
      </c>
    </row>
    <row r="6157" spans="1:5" x14ac:dyDescent="0.25">
      <c r="A6157" s="279">
        <v>39188</v>
      </c>
      <c r="B6157" t="s">
        <v>339</v>
      </c>
      <c r="C6157" t="s">
        <v>80</v>
      </c>
      <c r="D6157">
        <v>135</v>
      </c>
      <c r="E6157" t="s">
        <v>379</v>
      </c>
    </row>
    <row r="6158" spans="1:5" x14ac:dyDescent="0.25">
      <c r="A6158" s="279">
        <v>39189</v>
      </c>
      <c r="B6158" t="s">
        <v>338</v>
      </c>
      <c r="C6158" t="s">
        <v>59</v>
      </c>
      <c r="D6158">
        <v>2598</v>
      </c>
      <c r="E6158" t="s">
        <v>378</v>
      </c>
    </row>
    <row r="6159" spans="1:5" x14ac:dyDescent="0.25">
      <c r="A6159" s="279">
        <v>39189</v>
      </c>
      <c r="B6159" t="s">
        <v>338</v>
      </c>
      <c r="C6159" t="s">
        <v>60</v>
      </c>
      <c r="D6159">
        <v>0</v>
      </c>
      <c r="E6159" t="s">
        <v>379</v>
      </c>
    </row>
    <row r="6160" spans="1:5" x14ac:dyDescent="0.25">
      <c r="A6160" s="279">
        <v>39189</v>
      </c>
      <c r="B6160" t="s">
        <v>338</v>
      </c>
      <c r="C6160" t="s">
        <v>61</v>
      </c>
      <c r="D6160">
        <v>0</v>
      </c>
      <c r="E6160" t="s">
        <v>378</v>
      </c>
    </row>
    <row r="6161" spans="1:5" x14ac:dyDescent="0.25">
      <c r="A6161" s="279">
        <v>39189</v>
      </c>
      <c r="B6161" t="s">
        <v>338</v>
      </c>
      <c r="C6161" t="s">
        <v>62</v>
      </c>
      <c r="D6161">
        <v>27407</v>
      </c>
      <c r="E6161" t="s">
        <v>380</v>
      </c>
    </row>
    <row r="6162" spans="1:5" x14ac:dyDescent="0.25">
      <c r="A6162" s="279">
        <v>39189</v>
      </c>
      <c r="B6162" t="s">
        <v>338</v>
      </c>
      <c r="C6162" t="s">
        <v>63</v>
      </c>
      <c r="D6162">
        <v>0</v>
      </c>
      <c r="E6162" t="s">
        <v>378</v>
      </c>
    </row>
    <row r="6163" spans="1:5" x14ac:dyDescent="0.25">
      <c r="A6163" s="279">
        <v>39189</v>
      </c>
      <c r="B6163" t="s">
        <v>338</v>
      </c>
      <c r="C6163" t="s">
        <v>64</v>
      </c>
      <c r="D6163">
        <v>24815</v>
      </c>
      <c r="E6163" t="s">
        <v>380</v>
      </c>
    </row>
    <row r="6164" spans="1:5" x14ac:dyDescent="0.25">
      <c r="A6164" s="279">
        <v>39189</v>
      </c>
      <c r="B6164" t="s">
        <v>338</v>
      </c>
      <c r="C6164" t="s">
        <v>65</v>
      </c>
      <c r="D6164">
        <v>0</v>
      </c>
      <c r="E6164" t="s">
        <v>378</v>
      </c>
    </row>
    <row r="6165" spans="1:5" x14ac:dyDescent="0.25">
      <c r="A6165" s="279">
        <v>39189</v>
      </c>
      <c r="B6165" t="s">
        <v>338</v>
      </c>
      <c r="C6165" t="s">
        <v>66</v>
      </c>
      <c r="D6165">
        <v>0</v>
      </c>
      <c r="E6165" t="s">
        <v>380</v>
      </c>
    </row>
    <row r="6166" spans="1:5" x14ac:dyDescent="0.25">
      <c r="A6166" s="279">
        <v>39189</v>
      </c>
      <c r="B6166" t="s">
        <v>338</v>
      </c>
      <c r="C6166" t="s">
        <v>120</v>
      </c>
      <c r="D6166">
        <v>0</v>
      </c>
      <c r="E6166" t="s">
        <v>378</v>
      </c>
    </row>
    <row r="6167" spans="1:5" x14ac:dyDescent="0.25">
      <c r="A6167" s="279">
        <v>39189</v>
      </c>
      <c r="B6167" t="s">
        <v>338</v>
      </c>
      <c r="C6167" t="s">
        <v>121</v>
      </c>
      <c r="D6167">
        <v>16768</v>
      </c>
      <c r="E6167" t="s">
        <v>380</v>
      </c>
    </row>
    <row r="6168" spans="1:5" x14ac:dyDescent="0.25">
      <c r="A6168" s="279">
        <v>39189</v>
      </c>
      <c r="B6168" t="s">
        <v>338</v>
      </c>
      <c r="C6168" t="s">
        <v>67</v>
      </c>
      <c r="D6168">
        <v>0</v>
      </c>
      <c r="E6168" t="s">
        <v>378</v>
      </c>
    </row>
    <row r="6169" spans="1:5" x14ac:dyDescent="0.25">
      <c r="A6169" s="279">
        <v>39189</v>
      </c>
      <c r="B6169" t="s">
        <v>338</v>
      </c>
      <c r="C6169" t="s">
        <v>68</v>
      </c>
      <c r="D6169">
        <v>0</v>
      </c>
      <c r="E6169" t="s">
        <v>380</v>
      </c>
    </row>
    <row r="6170" spans="1:5" x14ac:dyDescent="0.25">
      <c r="A6170" s="279">
        <v>39189</v>
      </c>
      <c r="B6170" t="s">
        <v>338</v>
      </c>
      <c r="C6170" t="s">
        <v>69</v>
      </c>
      <c r="D6170">
        <v>0</v>
      </c>
      <c r="E6170" t="s">
        <v>379</v>
      </c>
    </row>
    <row r="6171" spans="1:5" x14ac:dyDescent="0.25">
      <c r="A6171" s="279">
        <v>39189</v>
      </c>
      <c r="B6171" t="s">
        <v>338</v>
      </c>
      <c r="C6171" t="s">
        <v>70</v>
      </c>
      <c r="D6171">
        <v>0</v>
      </c>
      <c r="E6171" t="s">
        <v>379</v>
      </c>
    </row>
    <row r="6172" spans="1:5" x14ac:dyDescent="0.25">
      <c r="A6172" s="279">
        <v>39189</v>
      </c>
      <c r="B6172" t="s">
        <v>338</v>
      </c>
      <c r="C6172" t="s">
        <v>80</v>
      </c>
      <c r="D6172">
        <v>13</v>
      </c>
      <c r="E6172" t="s">
        <v>379</v>
      </c>
    </row>
    <row r="6173" spans="1:5" x14ac:dyDescent="0.25">
      <c r="A6173" s="279">
        <v>39189</v>
      </c>
      <c r="B6173" t="s">
        <v>339</v>
      </c>
      <c r="C6173" t="s">
        <v>71</v>
      </c>
      <c r="D6173">
        <v>0</v>
      </c>
      <c r="E6173" t="s">
        <v>378</v>
      </c>
    </row>
    <row r="6174" spans="1:5" x14ac:dyDescent="0.25">
      <c r="A6174" s="279">
        <v>39189</v>
      </c>
      <c r="B6174" t="s">
        <v>339</v>
      </c>
      <c r="C6174" t="s">
        <v>72</v>
      </c>
      <c r="D6174">
        <v>0</v>
      </c>
      <c r="E6174" t="s">
        <v>380</v>
      </c>
    </row>
    <row r="6175" spans="1:5" x14ac:dyDescent="0.25">
      <c r="A6175" s="279">
        <v>39189</v>
      </c>
      <c r="B6175" t="s">
        <v>339</v>
      </c>
      <c r="C6175" t="s">
        <v>73</v>
      </c>
      <c r="D6175">
        <v>0</v>
      </c>
      <c r="E6175" t="s">
        <v>378</v>
      </c>
    </row>
    <row r="6176" spans="1:5" x14ac:dyDescent="0.25">
      <c r="A6176" s="279">
        <v>39189</v>
      </c>
      <c r="B6176" t="s">
        <v>339</v>
      </c>
      <c r="C6176" t="s">
        <v>74</v>
      </c>
      <c r="D6176">
        <v>24178</v>
      </c>
      <c r="E6176" t="s">
        <v>380</v>
      </c>
    </row>
    <row r="6177" spans="1:5" x14ac:dyDescent="0.25">
      <c r="A6177" s="279">
        <v>39189</v>
      </c>
      <c r="B6177" t="s">
        <v>339</v>
      </c>
      <c r="C6177" t="s">
        <v>75</v>
      </c>
      <c r="D6177">
        <v>15301</v>
      </c>
      <c r="E6177" t="s">
        <v>378</v>
      </c>
    </row>
    <row r="6178" spans="1:5" x14ac:dyDescent="0.25">
      <c r="A6178" s="279">
        <v>39189</v>
      </c>
      <c r="B6178" t="s">
        <v>339</v>
      </c>
      <c r="C6178" t="s">
        <v>76</v>
      </c>
      <c r="D6178">
        <v>34061</v>
      </c>
      <c r="E6178" t="s">
        <v>380</v>
      </c>
    </row>
    <row r="6179" spans="1:5" x14ac:dyDescent="0.25">
      <c r="A6179" s="279">
        <v>39189</v>
      </c>
      <c r="B6179" t="s">
        <v>339</v>
      </c>
      <c r="C6179" t="s">
        <v>77</v>
      </c>
      <c r="D6179">
        <v>7296</v>
      </c>
      <c r="E6179" t="s">
        <v>378</v>
      </c>
    </row>
    <row r="6180" spans="1:5" x14ac:dyDescent="0.25">
      <c r="A6180" s="279">
        <v>39189</v>
      </c>
      <c r="B6180" t="s">
        <v>339</v>
      </c>
      <c r="C6180" t="s">
        <v>78</v>
      </c>
      <c r="D6180">
        <v>8512</v>
      </c>
      <c r="E6180" t="s">
        <v>380</v>
      </c>
    </row>
    <row r="6181" spans="1:5" x14ac:dyDescent="0.25">
      <c r="A6181" s="279">
        <v>39189</v>
      </c>
      <c r="B6181" t="s">
        <v>339</v>
      </c>
      <c r="C6181" t="s">
        <v>79</v>
      </c>
      <c r="D6181">
        <v>103045</v>
      </c>
      <c r="E6181" t="s">
        <v>379</v>
      </c>
    </row>
    <row r="6182" spans="1:5" x14ac:dyDescent="0.25">
      <c r="A6182" s="279">
        <v>39189</v>
      </c>
      <c r="B6182" t="s">
        <v>339</v>
      </c>
      <c r="C6182" t="s">
        <v>70</v>
      </c>
      <c r="D6182">
        <v>0</v>
      </c>
      <c r="E6182" t="s">
        <v>379</v>
      </c>
    </row>
    <row r="6183" spans="1:5" x14ac:dyDescent="0.25">
      <c r="A6183" s="279">
        <v>39189</v>
      </c>
      <c r="B6183" t="s">
        <v>339</v>
      </c>
      <c r="C6183" t="s">
        <v>63</v>
      </c>
      <c r="D6183">
        <v>0</v>
      </c>
      <c r="E6183" t="s">
        <v>378</v>
      </c>
    </row>
    <row r="6184" spans="1:5" x14ac:dyDescent="0.25">
      <c r="A6184" s="279">
        <v>39189</v>
      </c>
      <c r="B6184" t="s">
        <v>339</v>
      </c>
      <c r="C6184" t="s">
        <v>80</v>
      </c>
      <c r="D6184">
        <v>136</v>
      </c>
      <c r="E6184" t="s">
        <v>379</v>
      </c>
    </row>
    <row r="6185" spans="1:5" x14ac:dyDescent="0.25">
      <c r="A6185" s="279">
        <v>39190</v>
      </c>
      <c r="B6185" t="s">
        <v>338</v>
      </c>
      <c r="C6185" t="s">
        <v>59</v>
      </c>
      <c r="D6185">
        <v>0</v>
      </c>
      <c r="E6185" t="s">
        <v>378</v>
      </c>
    </row>
    <row r="6186" spans="1:5" x14ac:dyDescent="0.25">
      <c r="A6186" s="279">
        <v>39190</v>
      </c>
      <c r="B6186" t="s">
        <v>338</v>
      </c>
      <c r="C6186" t="s">
        <v>60</v>
      </c>
      <c r="D6186">
        <v>0</v>
      </c>
      <c r="E6186" t="s">
        <v>379</v>
      </c>
    </row>
    <row r="6187" spans="1:5" x14ac:dyDescent="0.25">
      <c r="A6187" s="279">
        <v>39190</v>
      </c>
      <c r="B6187" t="s">
        <v>338</v>
      </c>
      <c r="C6187" t="s">
        <v>61</v>
      </c>
      <c r="D6187">
        <v>0</v>
      </c>
      <c r="E6187" t="s">
        <v>378</v>
      </c>
    </row>
    <row r="6188" spans="1:5" x14ac:dyDescent="0.25">
      <c r="A6188" s="279">
        <v>39190</v>
      </c>
      <c r="B6188" t="s">
        <v>338</v>
      </c>
      <c r="C6188" t="s">
        <v>62</v>
      </c>
      <c r="D6188">
        <v>0</v>
      </c>
      <c r="E6188" t="s">
        <v>380</v>
      </c>
    </row>
    <row r="6189" spans="1:5" x14ac:dyDescent="0.25">
      <c r="A6189" s="279">
        <v>39190</v>
      </c>
      <c r="B6189" t="s">
        <v>338</v>
      </c>
      <c r="C6189" t="s">
        <v>63</v>
      </c>
      <c r="D6189">
        <v>0</v>
      </c>
      <c r="E6189" t="s">
        <v>378</v>
      </c>
    </row>
    <row r="6190" spans="1:5" x14ac:dyDescent="0.25">
      <c r="A6190" s="279">
        <v>39190</v>
      </c>
      <c r="B6190" t="s">
        <v>338</v>
      </c>
      <c r="C6190" t="s">
        <v>64</v>
      </c>
      <c r="D6190">
        <v>24767</v>
      </c>
      <c r="E6190" t="s">
        <v>380</v>
      </c>
    </row>
    <row r="6191" spans="1:5" x14ac:dyDescent="0.25">
      <c r="A6191" s="279">
        <v>39190</v>
      </c>
      <c r="B6191" t="s">
        <v>338</v>
      </c>
      <c r="C6191" t="s">
        <v>65</v>
      </c>
      <c r="D6191">
        <v>0</v>
      </c>
      <c r="E6191" t="s">
        <v>378</v>
      </c>
    </row>
    <row r="6192" spans="1:5" x14ac:dyDescent="0.25">
      <c r="A6192" s="279">
        <v>39190</v>
      </c>
      <c r="B6192" t="s">
        <v>338</v>
      </c>
      <c r="C6192" t="s">
        <v>66</v>
      </c>
      <c r="D6192">
        <v>0</v>
      </c>
      <c r="E6192" t="s">
        <v>380</v>
      </c>
    </row>
    <row r="6193" spans="1:5" x14ac:dyDescent="0.25">
      <c r="A6193" s="279">
        <v>39190</v>
      </c>
      <c r="B6193" t="s">
        <v>338</v>
      </c>
      <c r="C6193" t="s">
        <v>120</v>
      </c>
      <c r="D6193">
        <v>0</v>
      </c>
      <c r="E6193" t="s">
        <v>378</v>
      </c>
    </row>
    <row r="6194" spans="1:5" x14ac:dyDescent="0.25">
      <c r="A6194" s="279">
        <v>39190</v>
      </c>
      <c r="B6194" t="s">
        <v>338</v>
      </c>
      <c r="C6194" t="s">
        <v>121</v>
      </c>
      <c r="D6194">
        <v>923</v>
      </c>
      <c r="E6194" t="s">
        <v>380</v>
      </c>
    </row>
    <row r="6195" spans="1:5" x14ac:dyDescent="0.25">
      <c r="A6195" s="279">
        <v>39190</v>
      </c>
      <c r="B6195" t="s">
        <v>338</v>
      </c>
      <c r="C6195" t="s">
        <v>67</v>
      </c>
      <c r="D6195">
        <v>0</v>
      </c>
      <c r="E6195" t="s">
        <v>378</v>
      </c>
    </row>
    <row r="6196" spans="1:5" x14ac:dyDescent="0.25">
      <c r="A6196" s="279">
        <v>39190</v>
      </c>
      <c r="B6196" t="s">
        <v>338</v>
      </c>
      <c r="C6196" t="s">
        <v>68</v>
      </c>
      <c r="D6196">
        <v>0</v>
      </c>
      <c r="E6196" t="s">
        <v>380</v>
      </c>
    </row>
    <row r="6197" spans="1:5" x14ac:dyDescent="0.25">
      <c r="A6197" s="279">
        <v>39190</v>
      </c>
      <c r="B6197" t="s">
        <v>338</v>
      </c>
      <c r="C6197" t="s">
        <v>69</v>
      </c>
      <c r="D6197">
        <v>0</v>
      </c>
      <c r="E6197" t="s">
        <v>379</v>
      </c>
    </row>
    <row r="6198" spans="1:5" x14ac:dyDescent="0.25">
      <c r="A6198" s="279">
        <v>39190</v>
      </c>
      <c r="B6198" t="s">
        <v>338</v>
      </c>
      <c r="C6198" t="s">
        <v>70</v>
      </c>
      <c r="D6198">
        <v>0</v>
      </c>
      <c r="E6198" t="s">
        <v>379</v>
      </c>
    </row>
    <row r="6199" spans="1:5" x14ac:dyDescent="0.25">
      <c r="A6199" s="279">
        <v>39190</v>
      </c>
      <c r="B6199" t="s">
        <v>338</v>
      </c>
      <c r="C6199" t="s">
        <v>80</v>
      </c>
      <c r="D6199">
        <v>0</v>
      </c>
      <c r="E6199" t="s">
        <v>379</v>
      </c>
    </row>
    <row r="6200" spans="1:5" x14ac:dyDescent="0.25">
      <c r="A6200" s="279">
        <v>39190</v>
      </c>
      <c r="B6200" t="s">
        <v>339</v>
      </c>
      <c r="C6200" t="s">
        <v>71</v>
      </c>
      <c r="D6200">
        <v>0</v>
      </c>
      <c r="E6200" t="s">
        <v>378</v>
      </c>
    </row>
    <row r="6201" spans="1:5" x14ac:dyDescent="0.25">
      <c r="A6201" s="279">
        <v>39190</v>
      </c>
      <c r="B6201" t="s">
        <v>339</v>
      </c>
      <c r="C6201" t="s">
        <v>72</v>
      </c>
      <c r="D6201">
        <v>0</v>
      </c>
      <c r="E6201" t="s">
        <v>380</v>
      </c>
    </row>
    <row r="6202" spans="1:5" x14ac:dyDescent="0.25">
      <c r="A6202" s="279">
        <v>39190</v>
      </c>
      <c r="B6202" t="s">
        <v>339</v>
      </c>
      <c r="C6202" t="s">
        <v>73</v>
      </c>
      <c r="D6202">
        <v>0</v>
      </c>
      <c r="E6202" t="s">
        <v>378</v>
      </c>
    </row>
    <row r="6203" spans="1:5" x14ac:dyDescent="0.25">
      <c r="A6203" s="279">
        <v>39190</v>
      </c>
      <c r="B6203" t="s">
        <v>339</v>
      </c>
      <c r="C6203" t="s">
        <v>74</v>
      </c>
      <c r="D6203">
        <v>0</v>
      </c>
      <c r="E6203" t="s">
        <v>380</v>
      </c>
    </row>
    <row r="6204" spans="1:5" x14ac:dyDescent="0.25">
      <c r="A6204" s="279">
        <v>39190</v>
      </c>
      <c r="B6204" t="s">
        <v>339</v>
      </c>
      <c r="C6204" t="s">
        <v>75</v>
      </c>
      <c r="D6204">
        <v>15361</v>
      </c>
      <c r="E6204" t="s">
        <v>378</v>
      </c>
    </row>
    <row r="6205" spans="1:5" x14ac:dyDescent="0.25">
      <c r="A6205" s="279">
        <v>39190</v>
      </c>
      <c r="B6205" t="s">
        <v>339</v>
      </c>
      <c r="C6205" t="s">
        <v>76</v>
      </c>
      <c r="D6205">
        <v>34193</v>
      </c>
      <c r="E6205" t="s">
        <v>380</v>
      </c>
    </row>
    <row r="6206" spans="1:5" x14ac:dyDescent="0.25">
      <c r="A6206" s="279">
        <v>39190</v>
      </c>
      <c r="B6206" t="s">
        <v>339</v>
      </c>
      <c r="C6206" t="s">
        <v>77</v>
      </c>
      <c r="D6206">
        <v>7324</v>
      </c>
      <c r="E6206" t="s">
        <v>378</v>
      </c>
    </row>
    <row r="6207" spans="1:5" x14ac:dyDescent="0.25">
      <c r="A6207" s="279">
        <v>39190</v>
      </c>
      <c r="B6207" t="s">
        <v>339</v>
      </c>
      <c r="C6207" t="s">
        <v>78</v>
      </c>
      <c r="D6207">
        <v>15274</v>
      </c>
      <c r="E6207" t="s">
        <v>380</v>
      </c>
    </row>
    <row r="6208" spans="1:5" x14ac:dyDescent="0.25">
      <c r="A6208" s="279">
        <v>39190</v>
      </c>
      <c r="B6208" t="s">
        <v>339</v>
      </c>
      <c r="C6208" t="s">
        <v>79</v>
      </c>
      <c r="D6208">
        <v>103446</v>
      </c>
      <c r="E6208" t="s">
        <v>379</v>
      </c>
    </row>
    <row r="6209" spans="1:5" x14ac:dyDescent="0.25">
      <c r="A6209" s="279">
        <v>39190</v>
      </c>
      <c r="B6209" t="s">
        <v>339</v>
      </c>
      <c r="C6209" t="s">
        <v>70</v>
      </c>
      <c r="D6209">
        <v>0</v>
      </c>
      <c r="E6209" t="s">
        <v>379</v>
      </c>
    </row>
    <row r="6210" spans="1:5" x14ac:dyDescent="0.25">
      <c r="A6210" s="279">
        <v>39190</v>
      </c>
      <c r="B6210" t="s">
        <v>339</v>
      </c>
      <c r="C6210" t="s">
        <v>63</v>
      </c>
      <c r="D6210">
        <v>0</v>
      </c>
      <c r="E6210" t="s">
        <v>378</v>
      </c>
    </row>
    <row r="6211" spans="1:5" x14ac:dyDescent="0.25">
      <c r="A6211" s="279">
        <v>39190</v>
      </c>
      <c r="B6211" t="s">
        <v>339</v>
      </c>
      <c r="C6211" t="s">
        <v>80</v>
      </c>
      <c r="D6211">
        <v>136</v>
      </c>
      <c r="E6211" t="s">
        <v>379</v>
      </c>
    </row>
    <row r="6212" spans="1:5" x14ac:dyDescent="0.25">
      <c r="A6212" s="279">
        <v>39191</v>
      </c>
      <c r="B6212" t="s">
        <v>338</v>
      </c>
      <c r="C6212" t="s">
        <v>59</v>
      </c>
      <c r="D6212">
        <v>0</v>
      </c>
      <c r="E6212" t="s">
        <v>378</v>
      </c>
    </row>
    <row r="6213" spans="1:5" x14ac:dyDescent="0.25">
      <c r="A6213" s="279">
        <v>39191</v>
      </c>
      <c r="B6213" t="s">
        <v>338</v>
      </c>
      <c r="C6213" t="s">
        <v>60</v>
      </c>
      <c r="D6213">
        <v>0</v>
      </c>
      <c r="E6213" t="s">
        <v>379</v>
      </c>
    </row>
    <row r="6214" spans="1:5" x14ac:dyDescent="0.25">
      <c r="A6214" s="279">
        <v>39191</v>
      </c>
      <c r="B6214" t="s">
        <v>338</v>
      </c>
      <c r="C6214" t="s">
        <v>61</v>
      </c>
      <c r="D6214">
        <v>0</v>
      </c>
      <c r="E6214" t="s">
        <v>378</v>
      </c>
    </row>
    <row r="6215" spans="1:5" x14ac:dyDescent="0.25">
      <c r="A6215" s="279">
        <v>39191</v>
      </c>
      <c r="B6215" t="s">
        <v>338</v>
      </c>
      <c r="C6215" t="s">
        <v>62</v>
      </c>
      <c r="D6215">
        <v>0</v>
      </c>
      <c r="E6215" t="s">
        <v>380</v>
      </c>
    </row>
    <row r="6216" spans="1:5" x14ac:dyDescent="0.25">
      <c r="A6216" s="279">
        <v>39191</v>
      </c>
      <c r="B6216" t="s">
        <v>338</v>
      </c>
      <c r="C6216" t="s">
        <v>63</v>
      </c>
      <c r="D6216">
        <v>0</v>
      </c>
      <c r="E6216" t="s">
        <v>378</v>
      </c>
    </row>
    <row r="6217" spans="1:5" x14ac:dyDescent="0.25">
      <c r="A6217" s="279">
        <v>39191</v>
      </c>
      <c r="B6217" t="s">
        <v>338</v>
      </c>
      <c r="C6217" t="s">
        <v>64</v>
      </c>
      <c r="D6217">
        <v>24839</v>
      </c>
      <c r="E6217" t="s">
        <v>380</v>
      </c>
    </row>
    <row r="6218" spans="1:5" x14ac:dyDescent="0.25">
      <c r="A6218" s="279">
        <v>39191</v>
      </c>
      <c r="B6218" t="s">
        <v>338</v>
      </c>
      <c r="C6218" t="s">
        <v>65</v>
      </c>
      <c r="D6218">
        <v>0</v>
      </c>
      <c r="E6218" t="s">
        <v>378</v>
      </c>
    </row>
    <row r="6219" spans="1:5" x14ac:dyDescent="0.25">
      <c r="A6219" s="279">
        <v>39191</v>
      </c>
      <c r="B6219" t="s">
        <v>338</v>
      </c>
      <c r="C6219" t="s">
        <v>66</v>
      </c>
      <c r="D6219">
        <v>0</v>
      </c>
      <c r="E6219" t="s">
        <v>380</v>
      </c>
    </row>
    <row r="6220" spans="1:5" x14ac:dyDescent="0.25">
      <c r="A6220" s="279">
        <v>39191</v>
      </c>
      <c r="B6220" t="s">
        <v>338</v>
      </c>
      <c r="C6220" t="s">
        <v>120</v>
      </c>
      <c r="D6220">
        <v>0</v>
      </c>
      <c r="E6220" t="s">
        <v>378</v>
      </c>
    </row>
    <row r="6221" spans="1:5" x14ac:dyDescent="0.25">
      <c r="A6221" s="279">
        <v>39191</v>
      </c>
      <c r="B6221" t="s">
        <v>338</v>
      </c>
      <c r="C6221" t="s">
        <v>121</v>
      </c>
      <c r="D6221">
        <v>189</v>
      </c>
      <c r="E6221" t="s">
        <v>380</v>
      </c>
    </row>
    <row r="6222" spans="1:5" x14ac:dyDescent="0.25">
      <c r="A6222" s="279">
        <v>39191</v>
      </c>
      <c r="B6222" t="s">
        <v>338</v>
      </c>
      <c r="C6222" t="s">
        <v>67</v>
      </c>
      <c r="D6222">
        <v>0</v>
      </c>
      <c r="E6222" t="s">
        <v>378</v>
      </c>
    </row>
    <row r="6223" spans="1:5" x14ac:dyDescent="0.25">
      <c r="A6223" s="279">
        <v>39191</v>
      </c>
      <c r="B6223" t="s">
        <v>338</v>
      </c>
      <c r="C6223" t="s">
        <v>68</v>
      </c>
      <c r="D6223">
        <v>0</v>
      </c>
      <c r="E6223" t="s">
        <v>380</v>
      </c>
    </row>
    <row r="6224" spans="1:5" x14ac:dyDescent="0.25">
      <c r="A6224" s="279">
        <v>39191</v>
      </c>
      <c r="B6224" t="s">
        <v>338</v>
      </c>
      <c r="C6224" t="s">
        <v>69</v>
      </c>
      <c r="D6224">
        <v>0</v>
      </c>
      <c r="E6224" t="s">
        <v>379</v>
      </c>
    </row>
    <row r="6225" spans="1:5" x14ac:dyDescent="0.25">
      <c r="A6225" s="279">
        <v>39191</v>
      </c>
      <c r="B6225" t="s">
        <v>338</v>
      </c>
      <c r="C6225" t="s">
        <v>70</v>
      </c>
      <c r="D6225">
        <v>0</v>
      </c>
      <c r="E6225" t="s">
        <v>379</v>
      </c>
    </row>
    <row r="6226" spans="1:5" x14ac:dyDescent="0.25">
      <c r="A6226" s="279">
        <v>39191</v>
      </c>
      <c r="B6226" t="s">
        <v>338</v>
      </c>
      <c r="C6226" t="s">
        <v>80</v>
      </c>
      <c r="D6226">
        <v>0</v>
      </c>
      <c r="E6226" t="s">
        <v>379</v>
      </c>
    </row>
    <row r="6227" spans="1:5" x14ac:dyDescent="0.25">
      <c r="A6227" s="279">
        <v>39191</v>
      </c>
      <c r="B6227" t="s">
        <v>339</v>
      </c>
      <c r="C6227" t="s">
        <v>71</v>
      </c>
      <c r="D6227">
        <v>0</v>
      </c>
      <c r="E6227" t="s">
        <v>378</v>
      </c>
    </row>
    <row r="6228" spans="1:5" x14ac:dyDescent="0.25">
      <c r="A6228" s="279">
        <v>39191</v>
      </c>
      <c r="B6228" t="s">
        <v>339</v>
      </c>
      <c r="C6228" t="s">
        <v>72</v>
      </c>
      <c r="D6228">
        <v>0</v>
      </c>
      <c r="E6228" t="s">
        <v>380</v>
      </c>
    </row>
    <row r="6229" spans="1:5" x14ac:dyDescent="0.25">
      <c r="A6229" s="279">
        <v>39191</v>
      </c>
      <c r="B6229" t="s">
        <v>339</v>
      </c>
      <c r="C6229" t="s">
        <v>73</v>
      </c>
      <c r="D6229">
        <v>0</v>
      </c>
      <c r="E6229" t="s">
        <v>378</v>
      </c>
    </row>
    <row r="6230" spans="1:5" x14ac:dyDescent="0.25">
      <c r="A6230" s="279">
        <v>39191</v>
      </c>
      <c r="B6230" t="s">
        <v>339</v>
      </c>
      <c r="C6230" t="s">
        <v>74</v>
      </c>
      <c r="D6230">
        <v>0</v>
      </c>
      <c r="E6230" t="s">
        <v>380</v>
      </c>
    </row>
    <row r="6231" spans="1:5" x14ac:dyDescent="0.25">
      <c r="A6231" s="279">
        <v>39191</v>
      </c>
      <c r="B6231" t="s">
        <v>339</v>
      </c>
      <c r="C6231" t="s">
        <v>75</v>
      </c>
      <c r="D6231">
        <v>15287</v>
      </c>
      <c r="E6231" t="s">
        <v>378</v>
      </c>
    </row>
    <row r="6232" spans="1:5" x14ac:dyDescent="0.25">
      <c r="A6232" s="279">
        <v>39191</v>
      </c>
      <c r="B6232" t="s">
        <v>339</v>
      </c>
      <c r="C6232" t="s">
        <v>76</v>
      </c>
      <c r="D6232">
        <v>19052</v>
      </c>
      <c r="E6232" t="s">
        <v>380</v>
      </c>
    </row>
    <row r="6233" spans="1:5" x14ac:dyDescent="0.25">
      <c r="A6233" s="279">
        <v>39191</v>
      </c>
      <c r="B6233" t="s">
        <v>339</v>
      </c>
      <c r="C6233" t="s">
        <v>77</v>
      </c>
      <c r="D6233">
        <v>7289</v>
      </c>
      <c r="E6233" t="s">
        <v>378</v>
      </c>
    </row>
    <row r="6234" spans="1:5" x14ac:dyDescent="0.25">
      <c r="A6234" s="279">
        <v>39191</v>
      </c>
      <c r="B6234" t="s">
        <v>339</v>
      </c>
      <c r="C6234" t="s">
        <v>78</v>
      </c>
      <c r="D6234">
        <v>7009</v>
      </c>
      <c r="E6234" t="s">
        <v>380</v>
      </c>
    </row>
    <row r="6235" spans="1:5" x14ac:dyDescent="0.25">
      <c r="A6235" s="279">
        <v>39191</v>
      </c>
      <c r="B6235" t="s">
        <v>339</v>
      </c>
      <c r="C6235" t="s">
        <v>79</v>
      </c>
      <c r="D6235">
        <v>102946</v>
      </c>
      <c r="E6235" t="s">
        <v>379</v>
      </c>
    </row>
    <row r="6236" spans="1:5" x14ac:dyDescent="0.25">
      <c r="A6236" s="279">
        <v>39191</v>
      </c>
      <c r="B6236" t="s">
        <v>339</v>
      </c>
      <c r="C6236" t="s">
        <v>70</v>
      </c>
      <c r="D6236">
        <v>0</v>
      </c>
      <c r="E6236" t="s">
        <v>379</v>
      </c>
    </row>
    <row r="6237" spans="1:5" x14ac:dyDescent="0.25">
      <c r="A6237" s="279">
        <v>39191</v>
      </c>
      <c r="B6237" t="s">
        <v>339</v>
      </c>
      <c r="C6237" t="s">
        <v>63</v>
      </c>
      <c r="D6237">
        <v>0</v>
      </c>
      <c r="E6237" t="s">
        <v>378</v>
      </c>
    </row>
    <row r="6238" spans="1:5" x14ac:dyDescent="0.25">
      <c r="A6238" s="279">
        <v>39191</v>
      </c>
      <c r="B6238" t="s">
        <v>339</v>
      </c>
      <c r="C6238" t="s">
        <v>80</v>
      </c>
      <c r="D6238">
        <v>136</v>
      </c>
      <c r="E6238" t="s">
        <v>379</v>
      </c>
    </row>
    <row r="6239" spans="1:5" x14ac:dyDescent="0.25">
      <c r="A6239" s="279">
        <v>39192</v>
      </c>
      <c r="B6239" t="s">
        <v>338</v>
      </c>
      <c r="C6239" t="s">
        <v>59</v>
      </c>
      <c r="D6239">
        <v>0</v>
      </c>
      <c r="E6239" t="s">
        <v>378</v>
      </c>
    </row>
    <row r="6240" spans="1:5" x14ac:dyDescent="0.25">
      <c r="A6240" s="279">
        <v>39192</v>
      </c>
      <c r="B6240" t="s">
        <v>338</v>
      </c>
      <c r="C6240" t="s">
        <v>60</v>
      </c>
      <c r="D6240">
        <v>0</v>
      </c>
      <c r="E6240" t="s">
        <v>379</v>
      </c>
    </row>
    <row r="6241" spans="1:5" x14ac:dyDescent="0.25">
      <c r="A6241" s="279">
        <v>39192</v>
      </c>
      <c r="B6241" t="s">
        <v>338</v>
      </c>
      <c r="C6241" t="s">
        <v>61</v>
      </c>
      <c r="D6241">
        <v>0</v>
      </c>
      <c r="E6241" t="s">
        <v>378</v>
      </c>
    </row>
    <row r="6242" spans="1:5" x14ac:dyDescent="0.25">
      <c r="A6242" s="279">
        <v>39192</v>
      </c>
      <c r="B6242" t="s">
        <v>338</v>
      </c>
      <c r="C6242" t="s">
        <v>62</v>
      </c>
      <c r="D6242">
        <v>0</v>
      </c>
      <c r="E6242" t="s">
        <v>380</v>
      </c>
    </row>
    <row r="6243" spans="1:5" x14ac:dyDescent="0.25">
      <c r="A6243" s="279">
        <v>39192</v>
      </c>
      <c r="B6243" t="s">
        <v>338</v>
      </c>
      <c r="C6243" t="s">
        <v>63</v>
      </c>
      <c r="D6243">
        <v>0</v>
      </c>
      <c r="E6243" t="s">
        <v>378</v>
      </c>
    </row>
    <row r="6244" spans="1:5" x14ac:dyDescent="0.25">
      <c r="A6244" s="279">
        <v>39192</v>
      </c>
      <c r="B6244" t="s">
        <v>338</v>
      </c>
      <c r="C6244" t="s">
        <v>64</v>
      </c>
      <c r="D6244">
        <v>0</v>
      </c>
      <c r="E6244" t="s">
        <v>380</v>
      </c>
    </row>
    <row r="6245" spans="1:5" x14ac:dyDescent="0.25">
      <c r="A6245" s="279">
        <v>39192</v>
      </c>
      <c r="B6245" t="s">
        <v>338</v>
      </c>
      <c r="C6245" t="s">
        <v>65</v>
      </c>
      <c r="D6245">
        <v>0</v>
      </c>
      <c r="E6245" t="s">
        <v>378</v>
      </c>
    </row>
    <row r="6246" spans="1:5" x14ac:dyDescent="0.25">
      <c r="A6246" s="279">
        <v>39192</v>
      </c>
      <c r="B6246" t="s">
        <v>338</v>
      </c>
      <c r="C6246" t="s">
        <v>66</v>
      </c>
      <c r="D6246">
        <v>0</v>
      </c>
      <c r="E6246" t="s">
        <v>380</v>
      </c>
    </row>
    <row r="6247" spans="1:5" x14ac:dyDescent="0.25">
      <c r="A6247" s="279">
        <v>39192</v>
      </c>
      <c r="B6247" t="s">
        <v>338</v>
      </c>
      <c r="C6247" t="s">
        <v>120</v>
      </c>
      <c r="D6247">
        <v>1320</v>
      </c>
      <c r="E6247" t="s">
        <v>378</v>
      </c>
    </row>
    <row r="6248" spans="1:5" x14ac:dyDescent="0.25">
      <c r="A6248" s="279">
        <v>39192</v>
      </c>
      <c r="B6248" t="s">
        <v>338</v>
      </c>
      <c r="C6248" t="s">
        <v>121</v>
      </c>
      <c r="D6248">
        <v>0</v>
      </c>
      <c r="E6248" t="s">
        <v>380</v>
      </c>
    </row>
    <row r="6249" spans="1:5" x14ac:dyDescent="0.25">
      <c r="A6249" s="279">
        <v>39192</v>
      </c>
      <c r="B6249" t="s">
        <v>338</v>
      </c>
      <c r="C6249" t="s">
        <v>67</v>
      </c>
      <c r="D6249">
        <v>0</v>
      </c>
      <c r="E6249" t="s">
        <v>378</v>
      </c>
    </row>
    <row r="6250" spans="1:5" x14ac:dyDescent="0.25">
      <c r="A6250" s="279">
        <v>39192</v>
      </c>
      <c r="B6250" t="s">
        <v>338</v>
      </c>
      <c r="C6250" t="s">
        <v>68</v>
      </c>
      <c r="D6250">
        <v>0</v>
      </c>
      <c r="E6250" t="s">
        <v>380</v>
      </c>
    </row>
    <row r="6251" spans="1:5" x14ac:dyDescent="0.25">
      <c r="A6251" s="279">
        <v>39192</v>
      </c>
      <c r="B6251" t="s">
        <v>338</v>
      </c>
      <c r="C6251" t="s">
        <v>69</v>
      </c>
      <c r="D6251">
        <v>0</v>
      </c>
      <c r="E6251" t="s">
        <v>379</v>
      </c>
    </row>
    <row r="6252" spans="1:5" x14ac:dyDescent="0.25">
      <c r="A6252" s="279">
        <v>39192</v>
      </c>
      <c r="B6252" t="s">
        <v>338</v>
      </c>
      <c r="C6252" t="s">
        <v>70</v>
      </c>
      <c r="D6252">
        <v>0</v>
      </c>
      <c r="E6252" t="s">
        <v>379</v>
      </c>
    </row>
    <row r="6253" spans="1:5" x14ac:dyDescent="0.25">
      <c r="A6253" s="279">
        <v>39192</v>
      </c>
      <c r="B6253" t="s">
        <v>338</v>
      </c>
      <c r="C6253" t="s">
        <v>80</v>
      </c>
      <c r="D6253">
        <v>11</v>
      </c>
      <c r="E6253" t="s">
        <v>379</v>
      </c>
    </row>
    <row r="6254" spans="1:5" x14ac:dyDescent="0.25">
      <c r="A6254" s="279">
        <v>39192</v>
      </c>
      <c r="B6254" t="s">
        <v>339</v>
      </c>
      <c r="C6254" t="s">
        <v>71</v>
      </c>
      <c r="D6254">
        <v>0</v>
      </c>
      <c r="E6254" t="s">
        <v>378</v>
      </c>
    </row>
    <row r="6255" spans="1:5" x14ac:dyDescent="0.25">
      <c r="A6255" s="279">
        <v>39192</v>
      </c>
      <c r="B6255" t="s">
        <v>339</v>
      </c>
      <c r="C6255" t="s">
        <v>72</v>
      </c>
      <c r="D6255">
        <v>0</v>
      </c>
      <c r="E6255" t="s">
        <v>380</v>
      </c>
    </row>
    <row r="6256" spans="1:5" x14ac:dyDescent="0.25">
      <c r="A6256" s="279">
        <v>39192</v>
      </c>
      <c r="B6256" t="s">
        <v>339</v>
      </c>
      <c r="C6256" t="s">
        <v>73</v>
      </c>
      <c r="D6256">
        <v>12296</v>
      </c>
      <c r="E6256" t="s">
        <v>378</v>
      </c>
    </row>
    <row r="6257" spans="1:5" x14ac:dyDescent="0.25">
      <c r="A6257" s="279">
        <v>39192</v>
      </c>
      <c r="B6257" t="s">
        <v>339</v>
      </c>
      <c r="C6257" t="s">
        <v>74</v>
      </c>
      <c r="D6257">
        <v>0</v>
      </c>
      <c r="E6257" t="s">
        <v>380</v>
      </c>
    </row>
    <row r="6258" spans="1:5" x14ac:dyDescent="0.25">
      <c r="A6258" s="279">
        <v>39192</v>
      </c>
      <c r="B6258" t="s">
        <v>339</v>
      </c>
      <c r="C6258" t="s">
        <v>75</v>
      </c>
      <c r="D6258">
        <v>15316</v>
      </c>
      <c r="E6258" t="s">
        <v>378</v>
      </c>
    </row>
    <row r="6259" spans="1:5" x14ac:dyDescent="0.25">
      <c r="A6259" s="279">
        <v>39192</v>
      </c>
      <c r="B6259" t="s">
        <v>339</v>
      </c>
      <c r="C6259" t="s">
        <v>76</v>
      </c>
      <c r="D6259">
        <v>0</v>
      </c>
      <c r="E6259" t="s">
        <v>380</v>
      </c>
    </row>
    <row r="6260" spans="1:5" x14ac:dyDescent="0.25">
      <c r="A6260" s="279">
        <v>39192</v>
      </c>
      <c r="B6260" t="s">
        <v>339</v>
      </c>
      <c r="C6260" t="s">
        <v>77</v>
      </c>
      <c r="D6260">
        <v>7303</v>
      </c>
      <c r="E6260" t="s">
        <v>378</v>
      </c>
    </row>
    <row r="6261" spans="1:5" x14ac:dyDescent="0.25">
      <c r="A6261" s="279">
        <v>39192</v>
      </c>
      <c r="B6261" t="s">
        <v>339</v>
      </c>
      <c r="C6261" t="s">
        <v>78</v>
      </c>
      <c r="D6261">
        <v>0</v>
      </c>
      <c r="E6261" t="s">
        <v>380</v>
      </c>
    </row>
    <row r="6262" spans="1:5" x14ac:dyDescent="0.25">
      <c r="A6262" s="279">
        <v>39192</v>
      </c>
      <c r="B6262" t="s">
        <v>339</v>
      </c>
      <c r="C6262" t="s">
        <v>79</v>
      </c>
      <c r="D6262">
        <v>103145</v>
      </c>
      <c r="E6262" t="s">
        <v>379</v>
      </c>
    </row>
    <row r="6263" spans="1:5" x14ac:dyDescent="0.25">
      <c r="A6263" s="279">
        <v>39192</v>
      </c>
      <c r="B6263" t="s">
        <v>339</v>
      </c>
      <c r="C6263" t="s">
        <v>70</v>
      </c>
      <c r="D6263">
        <v>0</v>
      </c>
      <c r="E6263" t="s">
        <v>379</v>
      </c>
    </row>
    <row r="6264" spans="1:5" x14ac:dyDescent="0.25">
      <c r="A6264" s="279">
        <v>39192</v>
      </c>
      <c r="B6264" t="s">
        <v>339</v>
      </c>
      <c r="C6264" t="s">
        <v>63</v>
      </c>
      <c r="D6264">
        <v>0</v>
      </c>
      <c r="E6264" t="s">
        <v>378</v>
      </c>
    </row>
    <row r="6265" spans="1:5" x14ac:dyDescent="0.25">
      <c r="A6265" s="279">
        <v>39192</v>
      </c>
      <c r="B6265" t="s">
        <v>339</v>
      </c>
      <c r="C6265" t="s">
        <v>80</v>
      </c>
      <c r="D6265">
        <v>602</v>
      </c>
      <c r="E6265" t="s">
        <v>379</v>
      </c>
    </row>
    <row r="6266" spans="1:5" x14ac:dyDescent="0.25">
      <c r="A6266" s="279">
        <v>39193</v>
      </c>
      <c r="B6266" t="s">
        <v>338</v>
      </c>
      <c r="C6266" t="s">
        <v>59</v>
      </c>
      <c r="D6266">
        <v>2603</v>
      </c>
      <c r="E6266" t="s">
        <v>378</v>
      </c>
    </row>
    <row r="6267" spans="1:5" x14ac:dyDescent="0.25">
      <c r="A6267" s="279">
        <v>39193</v>
      </c>
      <c r="B6267" t="s">
        <v>338</v>
      </c>
      <c r="C6267" t="s">
        <v>60</v>
      </c>
      <c r="D6267">
        <v>0</v>
      </c>
      <c r="E6267" t="s">
        <v>379</v>
      </c>
    </row>
    <row r="6268" spans="1:5" x14ac:dyDescent="0.25">
      <c r="A6268" s="279">
        <v>39193</v>
      </c>
      <c r="B6268" t="s">
        <v>338</v>
      </c>
      <c r="C6268" t="s">
        <v>61</v>
      </c>
      <c r="D6268">
        <v>10970</v>
      </c>
      <c r="E6268" t="s">
        <v>378</v>
      </c>
    </row>
    <row r="6269" spans="1:5" x14ac:dyDescent="0.25">
      <c r="A6269" s="279">
        <v>39193</v>
      </c>
      <c r="B6269" t="s">
        <v>338</v>
      </c>
      <c r="C6269" t="s">
        <v>62</v>
      </c>
      <c r="D6269">
        <v>0</v>
      </c>
      <c r="E6269" t="s">
        <v>380</v>
      </c>
    </row>
    <row r="6270" spans="1:5" x14ac:dyDescent="0.25">
      <c r="A6270" s="279">
        <v>39193</v>
      </c>
      <c r="B6270" t="s">
        <v>338</v>
      </c>
      <c r="C6270" t="s">
        <v>63</v>
      </c>
      <c r="D6270">
        <v>0</v>
      </c>
      <c r="E6270" t="s">
        <v>378</v>
      </c>
    </row>
    <row r="6271" spans="1:5" x14ac:dyDescent="0.25">
      <c r="A6271" s="279">
        <v>39193</v>
      </c>
      <c r="B6271" t="s">
        <v>338</v>
      </c>
      <c r="C6271" t="s">
        <v>64</v>
      </c>
      <c r="D6271">
        <v>0</v>
      </c>
      <c r="E6271" t="s">
        <v>380</v>
      </c>
    </row>
    <row r="6272" spans="1:5" x14ac:dyDescent="0.25">
      <c r="A6272" s="279">
        <v>39193</v>
      </c>
      <c r="B6272" t="s">
        <v>338</v>
      </c>
      <c r="C6272" t="s">
        <v>65</v>
      </c>
      <c r="D6272">
        <v>0</v>
      </c>
      <c r="E6272" t="s">
        <v>378</v>
      </c>
    </row>
    <row r="6273" spans="1:5" x14ac:dyDescent="0.25">
      <c r="A6273" s="279">
        <v>39193</v>
      </c>
      <c r="B6273" t="s">
        <v>338</v>
      </c>
      <c r="C6273" t="s">
        <v>66</v>
      </c>
      <c r="D6273">
        <v>0</v>
      </c>
      <c r="E6273" t="s">
        <v>380</v>
      </c>
    </row>
    <row r="6274" spans="1:5" x14ac:dyDescent="0.25">
      <c r="A6274" s="279">
        <v>39193</v>
      </c>
      <c r="B6274" t="s">
        <v>338</v>
      </c>
      <c r="C6274" t="s">
        <v>120</v>
      </c>
      <c r="D6274">
        <v>12244</v>
      </c>
      <c r="E6274" t="s">
        <v>378</v>
      </c>
    </row>
    <row r="6275" spans="1:5" x14ac:dyDescent="0.25">
      <c r="A6275" s="279">
        <v>39193</v>
      </c>
      <c r="B6275" t="s">
        <v>338</v>
      </c>
      <c r="C6275" t="s">
        <v>121</v>
      </c>
      <c r="D6275">
        <v>0</v>
      </c>
      <c r="E6275" t="s">
        <v>380</v>
      </c>
    </row>
    <row r="6276" spans="1:5" x14ac:dyDescent="0.25">
      <c r="A6276" s="279">
        <v>39193</v>
      </c>
      <c r="B6276" t="s">
        <v>338</v>
      </c>
      <c r="C6276" t="s">
        <v>67</v>
      </c>
      <c r="D6276">
        <v>0</v>
      </c>
      <c r="E6276" t="s">
        <v>378</v>
      </c>
    </row>
    <row r="6277" spans="1:5" x14ac:dyDescent="0.25">
      <c r="A6277" s="279">
        <v>39193</v>
      </c>
      <c r="B6277" t="s">
        <v>338</v>
      </c>
      <c r="C6277" t="s">
        <v>68</v>
      </c>
      <c r="D6277">
        <v>0</v>
      </c>
      <c r="E6277" t="s">
        <v>380</v>
      </c>
    </row>
    <row r="6278" spans="1:5" x14ac:dyDescent="0.25">
      <c r="A6278" s="279">
        <v>39193</v>
      </c>
      <c r="B6278" t="s">
        <v>338</v>
      </c>
      <c r="C6278" t="s">
        <v>69</v>
      </c>
      <c r="D6278">
        <v>0</v>
      </c>
      <c r="E6278" t="s">
        <v>379</v>
      </c>
    </row>
    <row r="6279" spans="1:5" x14ac:dyDescent="0.25">
      <c r="A6279" s="279">
        <v>39193</v>
      </c>
      <c r="B6279" t="s">
        <v>338</v>
      </c>
      <c r="C6279" t="s">
        <v>70</v>
      </c>
      <c r="D6279">
        <v>0</v>
      </c>
      <c r="E6279" t="s">
        <v>379</v>
      </c>
    </row>
    <row r="6280" spans="1:5" x14ac:dyDescent="0.25">
      <c r="A6280" s="279">
        <v>39193</v>
      </c>
      <c r="B6280" t="s">
        <v>338</v>
      </c>
      <c r="C6280" t="s">
        <v>80</v>
      </c>
      <c r="D6280">
        <v>214</v>
      </c>
      <c r="E6280" t="s">
        <v>379</v>
      </c>
    </row>
    <row r="6281" spans="1:5" x14ac:dyDescent="0.25">
      <c r="A6281" s="279">
        <v>39193</v>
      </c>
      <c r="B6281" t="s">
        <v>339</v>
      </c>
      <c r="C6281" t="s">
        <v>71</v>
      </c>
      <c r="D6281">
        <v>1921</v>
      </c>
      <c r="E6281" t="s">
        <v>378</v>
      </c>
    </row>
    <row r="6282" spans="1:5" x14ac:dyDescent="0.25">
      <c r="A6282" s="279">
        <v>39193</v>
      </c>
      <c r="B6282" t="s">
        <v>339</v>
      </c>
      <c r="C6282" t="s">
        <v>72</v>
      </c>
      <c r="D6282">
        <v>0</v>
      </c>
      <c r="E6282" t="s">
        <v>380</v>
      </c>
    </row>
    <row r="6283" spans="1:5" x14ac:dyDescent="0.25">
      <c r="A6283" s="279">
        <v>39193</v>
      </c>
      <c r="B6283" t="s">
        <v>339</v>
      </c>
      <c r="C6283" t="s">
        <v>73</v>
      </c>
      <c r="D6283">
        <v>13566</v>
      </c>
      <c r="E6283" t="s">
        <v>378</v>
      </c>
    </row>
    <row r="6284" spans="1:5" x14ac:dyDescent="0.25">
      <c r="A6284" s="279">
        <v>39193</v>
      </c>
      <c r="B6284" t="s">
        <v>339</v>
      </c>
      <c r="C6284" t="s">
        <v>74</v>
      </c>
      <c r="D6284">
        <v>0</v>
      </c>
      <c r="E6284" t="s">
        <v>380</v>
      </c>
    </row>
    <row r="6285" spans="1:5" x14ac:dyDescent="0.25">
      <c r="A6285" s="279">
        <v>39193</v>
      </c>
      <c r="B6285" t="s">
        <v>339</v>
      </c>
      <c r="C6285" t="s">
        <v>75</v>
      </c>
      <c r="D6285">
        <v>15331</v>
      </c>
      <c r="E6285" t="s">
        <v>378</v>
      </c>
    </row>
    <row r="6286" spans="1:5" x14ac:dyDescent="0.25">
      <c r="A6286" s="279">
        <v>39193</v>
      </c>
      <c r="B6286" t="s">
        <v>339</v>
      </c>
      <c r="C6286" t="s">
        <v>76</v>
      </c>
      <c r="D6286">
        <v>6620</v>
      </c>
      <c r="E6286" t="s">
        <v>380</v>
      </c>
    </row>
    <row r="6287" spans="1:5" x14ac:dyDescent="0.25">
      <c r="A6287" s="279">
        <v>39193</v>
      </c>
      <c r="B6287" t="s">
        <v>339</v>
      </c>
      <c r="C6287" t="s">
        <v>77</v>
      </c>
      <c r="D6287">
        <v>7310</v>
      </c>
      <c r="E6287" t="s">
        <v>378</v>
      </c>
    </row>
    <row r="6288" spans="1:5" x14ac:dyDescent="0.25">
      <c r="A6288" s="279">
        <v>39193</v>
      </c>
      <c r="B6288" t="s">
        <v>339</v>
      </c>
      <c r="C6288" t="s">
        <v>78</v>
      </c>
      <c r="D6288">
        <v>7029</v>
      </c>
      <c r="E6288" t="s">
        <v>380</v>
      </c>
    </row>
    <row r="6289" spans="1:5" x14ac:dyDescent="0.25">
      <c r="A6289" s="279">
        <v>39193</v>
      </c>
      <c r="B6289" t="s">
        <v>339</v>
      </c>
      <c r="C6289" t="s">
        <v>79</v>
      </c>
      <c r="D6289">
        <v>103245</v>
      </c>
      <c r="E6289" t="s">
        <v>379</v>
      </c>
    </row>
    <row r="6290" spans="1:5" x14ac:dyDescent="0.25">
      <c r="A6290" s="279">
        <v>39193</v>
      </c>
      <c r="B6290" t="s">
        <v>339</v>
      </c>
      <c r="C6290" t="s">
        <v>70</v>
      </c>
      <c r="D6290">
        <v>0</v>
      </c>
      <c r="E6290" t="s">
        <v>379</v>
      </c>
    </row>
    <row r="6291" spans="1:5" x14ac:dyDescent="0.25">
      <c r="A6291" s="279">
        <v>39193</v>
      </c>
      <c r="B6291" t="s">
        <v>339</v>
      </c>
      <c r="C6291" t="s">
        <v>63</v>
      </c>
      <c r="D6291">
        <v>0</v>
      </c>
      <c r="E6291" t="s">
        <v>378</v>
      </c>
    </row>
    <row r="6292" spans="1:5" x14ac:dyDescent="0.25">
      <c r="A6292" s="279">
        <v>39193</v>
      </c>
      <c r="B6292" t="s">
        <v>339</v>
      </c>
      <c r="C6292" t="s">
        <v>80</v>
      </c>
      <c r="D6292">
        <v>667</v>
      </c>
      <c r="E6292" t="s">
        <v>379</v>
      </c>
    </row>
    <row r="6293" spans="1:5" x14ac:dyDescent="0.25">
      <c r="A6293" s="279">
        <v>39194</v>
      </c>
      <c r="B6293" t="s">
        <v>338</v>
      </c>
      <c r="C6293" t="s">
        <v>59</v>
      </c>
      <c r="D6293">
        <v>2598</v>
      </c>
      <c r="E6293" t="s">
        <v>378</v>
      </c>
    </row>
    <row r="6294" spans="1:5" x14ac:dyDescent="0.25">
      <c r="A6294" s="279">
        <v>39194</v>
      </c>
      <c r="B6294" t="s">
        <v>338</v>
      </c>
      <c r="C6294" t="s">
        <v>60</v>
      </c>
      <c r="D6294">
        <v>0</v>
      </c>
      <c r="E6294" t="s">
        <v>379</v>
      </c>
    </row>
    <row r="6295" spans="1:5" x14ac:dyDescent="0.25">
      <c r="A6295" s="279">
        <v>39194</v>
      </c>
      <c r="B6295" t="s">
        <v>338</v>
      </c>
      <c r="C6295" t="s">
        <v>61</v>
      </c>
      <c r="D6295">
        <v>12295</v>
      </c>
      <c r="E6295" t="s">
        <v>378</v>
      </c>
    </row>
    <row r="6296" spans="1:5" x14ac:dyDescent="0.25">
      <c r="A6296" s="279">
        <v>39194</v>
      </c>
      <c r="B6296" t="s">
        <v>338</v>
      </c>
      <c r="C6296" t="s">
        <v>62</v>
      </c>
      <c r="D6296">
        <v>0</v>
      </c>
      <c r="E6296" t="s">
        <v>380</v>
      </c>
    </row>
    <row r="6297" spans="1:5" x14ac:dyDescent="0.25">
      <c r="A6297" s="279">
        <v>39194</v>
      </c>
      <c r="B6297" t="s">
        <v>338</v>
      </c>
      <c r="C6297" t="s">
        <v>63</v>
      </c>
      <c r="D6297">
        <v>0</v>
      </c>
      <c r="E6297" t="s">
        <v>378</v>
      </c>
    </row>
    <row r="6298" spans="1:5" x14ac:dyDescent="0.25">
      <c r="A6298" s="279">
        <v>39194</v>
      </c>
      <c r="B6298" t="s">
        <v>338</v>
      </c>
      <c r="C6298" t="s">
        <v>64</v>
      </c>
      <c r="D6298">
        <v>0</v>
      </c>
      <c r="E6298" t="s">
        <v>380</v>
      </c>
    </row>
    <row r="6299" spans="1:5" x14ac:dyDescent="0.25">
      <c r="A6299" s="279">
        <v>39194</v>
      </c>
      <c r="B6299" t="s">
        <v>338</v>
      </c>
      <c r="C6299" t="s">
        <v>65</v>
      </c>
      <c r="D6299">
        <v>0</v>
      </c>
      <c r="E6299" t="s">
        <v>378</v>
      </c>
    </row>
    <row r="6300" spans="1:5" x14ac:dyDescent="0.25">
      <c r="A6300" s="279">
        <v>39194</v>
      </c>
      <c r="B6300" t="s">
        <v>338</v>
      </c>
      <c r="C6300" t="s">
        <v>66</v>
      </c>
      <c r="D6300">
        <v>0</v>
      </c>
      <c r="E6300" t="s">
        <v>380</v>
      </c>
    </row>
    <row r="6301" spans="1:5" x14ac:dyDescent="0.25">
      <c r="A6301" s="279">
        <v>39194</v>
      </c>
      <c r="B6301" t="s">
        <v>338</v>
      </c>
      <c r="C6301" t="s">
        <v>120</v>
      </c>
      <c r="D6301">
        <v>12220</v>
      </c>
      <c r="E6301" t="s">
        <v>378</v>
      </c>
    </row>
    <row r="6302" spans="1:5" x14ac:dyDescent="0.25">
      <c r="A6302" s="279">
        <v>39194</v>
      </c>
      <c r="B6302" t="s">
        <v>338</v>
      </c>
      <c r="C6302" t="s">
        <v>121</v>
      </c>
      <c r="D6302">
        <v>0</v>
      </c>
      <c r="E6302" t="s">
        <v>380</v>
      </c>
    </row>
    <row r="6303" spans="1:5" x14ac:dyDescent="0.25">
      <c r="A6303" s="279">
        <v>39194</v>
      </c>
      <c r="B6303" t="s">
        <v>338</v>
      </c>
      <c r="C6303" t="s">
        <v>67</v>
      </c>
      <c r="D6303">
        <v>0</v>
      </c>
      <c r="E6303" t="s">
        <v>378</v>
      </c>
    </row>
    <row r="6304" spans="1:5" x14ac:dyDescent="0.25">
      <c r="A6304" s="279">
        <v>39194</v>
      </c>
      <c r="B6304" t="s">
        <v>338</v>
      </c>
      <c r="C6304" t="s">
        <v>68</v>
      </c>
      <c r="D6304">
        <v>0</v>
      </c>
      <c r="E6304" t="s">
        <v>380</v>
      </c>
    </row>
    <row r="6305" spans="1:5" x14ac:dyDescent="0.25">
      <c r="A6305" s="279">
        <v>39194</v>
      </c>
      <c r="B6305" t="s">
        <v>338</v>
      </c>
      <c r="C6305" t="s">
        <v>69</v>
      </c>
      <c r="D6305">
        <v>0</v>
      </c>
      <c r="E6305" t="s">
        <v>379</v>
      </c>
    </row>
    <row r="6306" spans="1:5" x14ac:dyDescent="0.25">
      <c r="A6306" s="279">
        <v>39194</v>
      </c>
      <c r="B6306" t="s">
        <v>338</v>
      </c>
      <c r="C6306" t="s">
        <v>70</v>
      </c>
      <c r="D6306">
        <v>0</v>
      </c>
      <c r="E6306" t="s">
        <v>379</v>
      </c>
    </row>
    <row r="6307" spans="1:5" x14ac:dyDescent="0.25">
      <c r="A6307" s="279">
        <v>39194</v>
      </c>
      <c r="B6307" t="s">
        <v>338</v>
      </c>
      <c r="C6307" t="s">
        <v>80</v>
      </c>
      <c r="D6307">
        <v>226</v>
      </c>
      <c r="E6307" t="s">
        <v>379</v>
      </c>
    </row>
    <row r="6308" spans="1:5" x14ac:dyDescent="0.25">
      <c r="A6308" s="279">
        <v>39194</v>
      </c>
      <c r="B6308" t="s">
        <v>339</v>
      </c>
      <c r="C6308" t="s">
        <v>71</v>
      </c>
      <c r="D6308">
        <v>1908</v>
      </c>
      <c r="E6308" t="s">
        <v>378</v>
      </c>
    </row>
    <row r="6309" spans="1:5" x14ac:dyDescent="0.25">
      <c r="A6309" s="279">
        <v>39194</v>
      </c>
      <c r="B6309" t="s">
        <v>339</v>
      </c>
      <c r="C6309" t="s">
        <v>72</v>
      </c>
      <c r="D6309">
        <v>0</v>
      </c>
      <c r="E6309" t="s">
        <v>380</v>
      </c>
    </row>
    <row r="6310" spans="1:5" x14ac:dyDescent="0.25">
      <c r="A6310" s="279">
        <v>39194</v>
      </c>
      <c r="B6310" t="s">
        <v>339</v>
      </c>
      <c r="C6310" t="s">
        <v>73</v>
      </c>
      <c r="D6310">
        <v>6645</v>
      </c>
      <c r="E6310" t="s">
        <v>378</v>
      </c>
    </row>
    <row r="6311" spans="1:5" x14ac:dyDescent="0.25">
      <c r="A6311" s="279">
        <v>39194</v>
      </c>
      <c r="B6311" t="s">
        <v>339</v>
      </c>
      <c r="C6311" t="s">
        <v>74</v>
      </c>
      <c r="D6311">
        <v>0</v>
      </c>
      <c r="E6311" t="s">
        <v>380</v>
      </c>
    </row>
    <row r="6312" spans="1:5" x14ac:dyDescent="0.25">
      <c r="A6312" s="279">
        <v>39194</v>
      </c>
      <c r="B6312" t="s">
        <v>339</v>
      </c>
      <c r="C6312" t="s">
        <v>75</v>
      </c>
      <c r="D6312">
        <v>15228</v>
      </c>
      <c r="E6312" t="s">
        <v>378</v>
      </c>
    </row>
    <row r="6313" spans="1:5" x14ac:dyDescent="0.25">
      <c r="A6313" s="279">
        <v>39194</v>
      </c>
      <c r="B6313" t="s">
        <v>339</v>
      </c>
      <c r="C6313" t="s">
        <v>76</v>
      </c>
      <c r="D6313">
        <v>0</v>
      </c>
      <c r="E6313" t="s">
        <v>380</v>
      </c>
    </row>
    <row r="6314" spans="1:5" x14ac:dyDescent="0.25">
      <c r="A6314" s="279">
        <v>39194</v>
      </c>
      <c r="B6314" t="s">
        <v>339</v>
      </c>
      <c r="C6314" t="s">
        <v>77</v>
      </c>
      <c r="D6314">
        <v>7261</v>
      </c>
      <c r="E6314" t="s">
        <v>378</v>
      </c>
    </row>
    <row r="6315" spans="1:5" x14ac:dyDescent="0.25">
      <c r="A6315" s="279">
        <v>39194</v>
      </c>
      <c r="B6315" t="s">
        <v>339</v>
      </c>
      <c r="C6315" t="s">
        <v>78</v>
      </c>
      <c r="D6315">
        <v>0</v>
      </c>
      <c r="E6315" t="s">
        <v>380</v>
      </c>
    </row>
    <row r="6316" spans="1:5" x14ac:dyDescent="0.25">
      <c r="A6316" s="279">
        <v>39194</v>
      </c>
      <c r="B6316" t="s">
        <v>339</v>
      </c>
      <c r="C6316" t="s">
        <v>79</v>
      </c>
      <c r="D6316">
        <v>102550</v>
      </c>
      <c r="E6316" t="s">
        <v>379</v>
      </c>
    </row>
    <row r="6317" spans="1:5" x14ac:dyDescent="0.25">
      <c r="A6317" s="279">
        <v>39194</v>
      </c>
      <c r="B6317" t="s">
        <v>339</v>
      </c>
      <c r="C6317" t="s">
        <v>70</v>
      </c>
      <c r="D6317">
        <v>0</v>
      </c>
      <c r="E6317" t="s">
        <v>379</v>
      </c>
    </row>
    <row r="6318" spans="1:5" x14ac:dyDescent="0.25">
      <c r="A6318" s="279">
        <v>39194</v>
      </c>
      <c r="B6318" t="s">
        <v>339</v>
      </c>
      <c r="C6318" t="s">
        <v>63</v>
      </c>
      <c r="D6318">
        <v>0</v>
      </c>
      <c r="E6318" t="s">
        <v>378</v>
      </c>
    </row>
    <row r="6319" spans="1:5" x14ac:dyDescent="0.25">
      <c r="A6319" s="279">
        <v>39194</v>
      </c>
      <c r="B6319" t="s">
        <v>339</v>
      </c>
      <c r="C6319" t="s">
        <v>80</v>
      </c>
      <c r="D6319">
        <v>404</v>
      </c>
      <c r="E6319" t="s">
        <v>379</v>
      </c>
    </row>
    <row r="6320" spans="1:5" x14ac:dyDescent="0.25">
      <c r="A6320" s="279">
        <v>39195</v>
      </c>
      <c r="B6320" t="s">
        <v>338</v>
      </c>
      <c r="C6320" t="s">
        <v>59</v>
      </c>
      <c r="D6320">
        <v>2598</v>
      </c>
      <c r="E6320" t="s">
        <v>378</v>
      </c>
    </row>
    <row r="6321" spans="1:5" x14ac:dyDescent="0.25">
      <c r="A6321" s="279">
        <v>39195</v>
      </c>
      <c r="B6321" t="s">
        <v>338</v>
      </c>
      <c r="C6321" t="s">
        <v>60</v>
      </c>
      <c r="D6321">
        <v>0</v>
      </c>
      <c r="E6321" t="s">
        <v>379</v>
      </c>
    </row>
    <row r="6322" spans="1:5" x14ac:dyDescent="0.25">
      <c r="A6322" s="279">
        <v>39195</v>
      </c>
      <c r="B6322" t="s">
        <v>338</v>
      </c>
      <c r="C6322" t="s">
        <v>61</v>
      </c>
      <c r="D6322">
        <v>12228</v>
      </c>
      <c r="E6322" t="s">
        <v>378</v>
      </c>
    </row>
    <row r="6323" spans="1:5" x14ac:dyDescent="0.25">
      <c r="A6323" s="279">
        <v>39195</v>
      </c>
      <c r="B6323" t="s">
        <v>338</v>
      </c>
      <c r="C6323" t="s">
        <v>62</v>
      </c>
      <c r="D6323">
        <v>0</v>
      </c>
      <c r="E6323" t="s">
        <v>380</v>
      </c>
    </row>
    <row r="6324" spans="1:5" x14ac:dyDescent="0.25">
      <c r="A6324" s="279">
        <v>39195</v>
      </c>
      <c r="B6324" t="s">
        <v>338</v>
      </c>
      <c r="C6324" t="s">
        <v>63</v>
      </c>
      <c r="D6324">
        <v>0</v>
      </c>
      <c r="E6324" t="s">
        <v>378</v>
      </c>
    </row>
    <row r="6325" spans="1:5" x14ac:dyDescent="0.25">
      <c r="A6325" s="279">
        <v>39195</v>
      </c>
      <c r="B6325" t="s">
        <v>338</v>
      </c>
      <c r="C6325" t="s">
        <v>64</v>
      </c>
      <c r="D6325">
        <v>0</v>
      </c>
      <c r="E6325" t="s">
        <v>380</v>
      </c>
    </row>
    <row r="6326" spans="1:5" x14ac:dyDescent="0.25">
      <c r="A6326" s="279">
        <v>39195</v>
      </c>
      <c r="B6326" t="s">
        <v>338</v>
      </c>
      <c r="C6326" t="s">
        <v>65</v>
      </c>
      <c r="D6326">
        <v>0</v>
      </c>
      <c r="E6326" t="s">
        <v>378</v>
      </c>
    </row>
    <row r="6327" spans="1:5" x14ac:dyDescent="0.25">
      <c r="A6327" s="279">
        <v>39195</v>
      </c>
      <c r="B6327" t="s">
        <v>338</v>
      </c>
      <c r="C6327" t="s">
        <v>66</v>
      </c>
      <c r="D6327">
        <v>0</v>
      </c>
      <c r="E6327" t="s">
        <v>380</v>
      </c>
    </row>
    <row r="6328" spans="1:5" x14ac:dyDescent="0.25">
      <c r="A6328" s="279">
        <v>39195</v>
      </c>
      <c r="B6328" t="s">
        <v>338</v>
      </c>
      <c r="C6328" t="s">
        <v>120</v>
      </c>
      <c r="D6328">
        <v>12220</v>
      </c>
      <c r="E6328" t="s">
        <v>378</v>
      </c>
    </row>
    <row r="6329" spans="1:5" x14ac:dyDescent="0.25">
      <c r="A6329" s="279">
        <v>39195</v>
      </c>
      <c r="B6329" t="s">
        <v>338</v>
      </c>
      <c r="C6329" t="s">
        <v>121</v>
      </c>
      <c r="D6329">
        <v>0</v>
      </c>
      <c r="E6329" t="s">
        <v>380</v>
      </c>
    </row>
    <row r="6330" spans="1:5" x14ac:dyDescent="0.25">
      <c r="A6330" s="279">
        <v>39195</v>
      </c>
      <c r="B6330" t="s">
        <v>338</v>
      </c>
      <c r="C6330" t="s">
        <v>67</v>
      </c>
      <c r="D6330">
        <v>0</v>
      </c>
      <c r="E6330" t="s">
        <v>378</v>
      </c>
    </row>
    <row r="6331" spans="1:5" x14ac:dyDescent="0.25">
      <c r="A6331" s="279">
        <v>39195</v>
      </c>
      <c r="B6331" t="s">
        <v>338</v>
      </c>
      <c r="C6331" t="s">
        <v>68</v>
      </c>
      <c r="D6331">
        <v>0</v>
      </c>
      <c r="E6331" t="s">
        <v>380</v>
      </c>
    </row>
    <row r="6332" spans="1:5" x14ac:dyDescent="0.25">
      <c r="A6332" s="279">
        <v>39195</v>
      </c>
      <c r="B6332" t="s">
        <v>338</v>
      </c>
      <c r="C6332" t="s">
        <v>69</v>
      </c>
      <c r="D6332">
        <v>0</v>
      </c>
      <c r="E6332" t="s">
        <v>379</v>
      </c>
    </row>
    <row r="6333" spans="1:5" x14ac:dyDescent="0.25">
      <c r="A6333" s="279">
        <v>39195</v>
      </c>
      <c r="B6333" t="s">
        <v>338</v>
      </c>
      <c r="C6333" t="s">
        <v>70</v>
      </c>
      <c r="D6333">
        <v>0</v>
      </c>
      <c r="E6333" t="s">
        <v>379</v>
      </c>
    </row>
    <row r="6334" spans="1:5" x14ac:dyDescent="0.25">
      <c r="A6334" s="279">
        <v>39195</v>
      </c>
      <c r="B6334" t="s">
        <v>338</v>
      </c>
      <c r="C6334" t="s">
        <v>80</v>
      </c>
      <c r="D6334">
        <v>225</v>
      </c>
      <c r="E6334" t="s">
        <v>379</v>
      </c>
    </row>
    <row r="6335" spans="1:5" x14ac:dyDescent="0.25">
      <c r="A6335" s="279">
        <v>39195</v>
      </c>
      <c r="B6335" t="s">
        <v>339</v>
      </c>
      <c r="C6335" t="s">
        <v>71</v>
      </c>
      <c r="D6335">
        <v>1908</v>
      </c>
      <c r="E6335" t="s">
        <v>378</v>
      </c>
    </row>
    <row r="6336" spans="1:5" x14ac:dyDescent="0.25">
      <c r="A6336" s="279">
        <v>39195</v>
      </c>
      <c r="B6336" t="s">
        <v>339</v>
      </c>
      <c r="C6336" t="s">
        <v>72</v>
      </c>
      <c r="D6336">
        <v>0</v>
      </c>
      <c r="E6336" t="s">
        <v>380</v>
      </c>
    </row>
    <row r="6337" spans="1:5" x14ac:dyDescent="0.25">
      <c r="A6337" s="279">
        <v>39195</v>
      </c>
      <c r="B6337" t="s">
        <v>339</v>
      </c>
      <c r="C6337" t="s">
        <v>73</v>
      </c>
      <c r="D6337">
        <v>13475</v>
      </c>
      <c r="E6337" t="s">
        <v>378</v>
      </c>
    </row>
    <row r="6338" spans="1:5" x14ac:dyDescent="0.25">
      <c r="A6338" s="279">
        <v>39195</v>
      </c>
      <c r="B6338" t="s">
        <v>339</v>
      </c>
      <c r="C6338" t="s">
        <v>74</v>
      </c>
      <c r="D6338">
        <v>0</v>
      </c>
      <c r="E6338" t="s">
        <v>380</v>
      </c>
    </row>
    <row r="6339" spans="1:5" x14ac:dyDescent="0.25">
      <c r="A6339" s="279">
        <v>39195</v>
      </c>
      <c r="B6339" t="s">
        <v>339</v>
      </c>
      <c r="C6339" t="s">
        <v>75</v>
      </c>
      <c r="D6339">
        <v>15228</v>
      </c>
      <c r="E6339" t="s">
        <v>378</v>
      </c>
    </row>
    <row r="6340" spans="1:5" x14ac:dyDescent="0.25">
      <c r="A6340" s="279">
        <v>39195</v>
      </c>
      <c r="B6340" t="s">
        <v>339</v>
      </c>
      <c r="C6340" t="s">
        <v>76</v>
      </c>
      <c r="D6340">
        <v>0</v>
      </c>
      <c r="E6340" t="s">
        <v>380</v>
      </c>
    </row>
    <row r="6341" spans="1:5" x14ac:dyDescent="0.25">
      <c r="A6341" s="279">
        <v>39195</v>
      </c>
      <c r="B6341" t="s">
        <v>339</v>
      </c>
      <c r="C6341" t="s">
        <v>77</v>
      </c>
      <c r="D6341">
        <v>7261</v>
      </c>
      <c r="E6341" t="s">
        <v>378</v>
      </c>
    </row>
    <row r="6342" spans="1:5" x14ac:dyDescent="0.25">
      <c r="A6342" s="279">
        <v>39195</v>
      </c>
      <c r="B6342" t="s">
        <v>339</v>
      </c>
      <c r="C6342" t="s">
        <v>78</v>
      </c>
      <c r="D6342">
        <v>3763</v>
      </c>
      <c r="E6342" t="s">
        <v>380</v>
      </c>
    </row>
    <row r="6343" spans="1:5" x14ac:dyDescent="0.25">
      <c r="A6343" s="279">
        <v>39195</v>
      </c>
      <c r="B6343" t="s">
        <v>339</v>
      </c>
      <c r="C6343" t="s">
        <v>79</v>
      </c>
      <c r="D6343">
        <v>102550</v>
      </c>
      <c r="E6343" t="s">
        <v>379</v>
      </c>
    </row>
    <row r="6344" spans="1:5" x14ac:dyDescent="0.25">
      <c r="A6344" s="279">
        <v>39195</v>
      </c>
      <c r="B6344" t="s">
        <v>339</v>
      </c>
      <c r="C6344" t="s">
        <v>70</v>
      </c>
      <c r="D6344">
        <v>0</v>
      </c>
      <c r="E6344" t="s">
        <v>379</v>
      </c>
    </row>
    <row r="6345" spans="1:5" x14ac:dyDescent="0.25">
      <c r="A6345" s="279">
        <v>39195</v>
      </c>
      <c r="B6345" t="s">
        <v>339</v>
      </c>
      <c r="C6345" t="s">
        <v>63</v>
      </c>
      <c r="D6345">
        <v>9217</v>
      </c>
      <c r="E6345" t="s">
        <v>378</v>
      </c>
    </row>
    <row r="6346" spans="1:5" x14ac:dyDescent="0.25">
      <c r="A6346" s="279">
        <v>39195</v>
      </c>
      <c r="B6346" t="s">
        <v>339</v>
      </c>
      <c r="C6346" t="s">
        <v>80</v>
      </c>
      <c r="D6346">
        <v>663</v>
      </c>
      <c r="E6346" t="s">
        <v>379</v>
      </c>
    </row>
    <row r="6347" spans="1:5" x14ac:dyDescent="0.25">
      <c r="A6347" s="279">
        <v>39196</v>
      </c>
      <c r="B6347" t="s">
        <v>338</v>
      </c>
      <c r="C6347" t="s">
        <v>59</v>
      </c>
      <c r="D6347">
        <v>2598</v>
      </c>
      <c r="E6347" t="s">
        <v>378</v>
      </c>
    </row>
    <row r="6348" spans="1:5" x14ac:dyDescent="0.25">
      <c r="A6348" s="279">
        <v>39196</v>
      </c>
      <c r="B6348" t="s">
        <v>338</v>
      </c>
      <c r="C6348" t="s">
        <v>60</v>
      </c>
      <c r="D6348">
        <v>0</v>
      </c>
      <c r="E6348" t="s">
        <v>379</v>
      </c>
    </row>
    <row r="6349" spans="1:5" x14ac:dyDescent="0.25">
      <c r="A6349" s="279">
        <v>39196</v>
      </c>
      <c r="B6349" t="s">
        <v>338</v>
      </c>
      <c r="C6349" t="s">
        <v>61</v>
      </c>
      <c r="D6349">
        <v>12031</v>
      </c>
      <c r="E6349" t="s">
        <v>378</v>
      </c>
    </row>
    <row r="6350" spans="1:5" x14ac:dyDescent="0.25">
      <c r="A6350" s="279">
        <v>39196</v>
      </c>
      <c r="B6350" t="s">
        <v>338</v>
      </c>
      <c r="C6350" t="s">
        <v>62</v>
      </c>
      <c r="D6350">
        <v>0</v>
      </c>
      <c r="E6350" t="s">
        <v>380</v>
      </c>
    </row>
    <row r="6351" spans="1:5" x14ac:dyDescent="0.25">
      <c r="A6351" s="279">
        <v>39196</v>
      </c>
      <c r="B6351" t="s">
        <v>338</v>
      </c>
      <c r="C6351" t="s">
        <v>63</v>
      </c>
      <c r="D6351">
        <v>0</v>
      </c>
      <c r="E6351" t="s">
        <v>378</v>
      </c>
    </row>
    <row r="6352" spans="1:5" x14ac:dyDescent="0.25">
      <c r="A6352" s="279">
        <v>39196</v>
      </c>
      <c r="B6352" t="s">
        <v>338</v>
      </c>
      <c r="C6352" t="s">
        <v>64</v>
      </c>
      <c r="D6352">
        <v>0</v>
      </c>
      <c r="E6352" t="s">
        <v>380</v>
      </c>
    </row>
    <row r="6353" spans="1:5" x14ac:dyDescent="0.25">
      <c r="A6353" s="279">
        <v>39196</v>
      </c>
      <c r="B6353" t="s">
        <v>338</v>
      </c>
      <c r="C6353" t="s">
        <v>65</v>
      </c>
      <c r="D6353">
        <v>0</v>
      </c>
      <c r="E6353" t="s">
        <v>378</v>
      </c>
    </row>
    <row r="6354" spans="1:5" x14ac:dyDescent="0.25">
      <c r="A6354" s="279">
        <v>39196</v>
      </c>
      <c r="B6354" t="s">
        <v>338</v>
      </c>
      <c r="C6354" t="s">
        <v>66</v>
      </c>
      <c r="D6354">
        <v>0</v>
      </c>
      <c r="E6354" t="s">
        <v>380</v>
      </c>
    </row>
    <row r="6355" spans="1:5" x14ac:dyDescent="0.25">
      <c r="A6355" s="279">
        <v>39196</v>
      </c>
      <c r="B6355" t="s">
        <v>338</v>
      </c>
      <c r="C6355" t="s">
        <v>120</v>
      </c>
      <c r="D6355">
        <v>12220</v>
      </c>
      <c r="E6355" t="s">
        <v>378</v>
      </c>
    </row>
    <row r="6356" spans="1:5" x14ac:dyDescent="0.25">
      <c r="A6356" s="279">
        <v>39196</v>
      </c>
      <c r="B6356" t="s">
        <v>338</v>
      </c>
      <c r="C6356" t="s">
        <v>121</v>
      </c>
      <c r="D6356">
        <v>0</v>
      </c>
      <c r="E6356" t="s">
        <v>380</v>
      </c>
    </row>
    <row r="6357" spans="1:5" x14ac:dyDescent="0.25">
      <c r="A6357" s="279">
        <v>39196</v>
      </c>
      <c r="B6357" t="s">
        <v>338</v>
      </c>
      <c r="C6357" t="s">
        <v>67</v>
      </c>
      <c r="D6357">
        <v>0</v>
      </c>
      <c r="E6357" t="s">
        <v>378</v>
      </c>
    </row>
    <row r="6358" spans="1:5" x14ac:dyDescent="0.25">
      <c r="A6358" s="279">
        <v>39196</v>
      </c>
      <c r="B6358" t="s">
        <v>338</v>
      </c>
      <c r="C6358" t="s">
        <v>68</v>
      </c>
      <c r="D6358">
        <v>0</v>
      </c>
      <c r="E6358" t="s">
        <v>380</v>
      </c>
    </row>
    <row r="6359" spans="1:5" x14ac:dyDescent="0.25">
      <c r="A6359" s="279">
        <v>39196</v>
      </c>
      <c r="B6359" t="s">
        <v>338</v>
      </c>
      <c r="C6359" t="s">
        <v>69</v>
      </c>
      <c r="D6359">
        <v>0</v>
      </c>
      <c r="E6359" t="s">
        <v>379</v>
      </c>
    </row>
    <row r="6360" spans="1:5" x14ac:dyDescent="0.25">
      <c r="A6360" s="279">
        <v>39196</v>
      </c>
      <c r="B6360" t="s">
        <v>338</v>
      </c>
      <c r="C6360" t="s">
        <v>70</v>
      </c>
      <c r="D6360">
        <v>0</v>
      </c>
      <c r="E6360" t="s">
        <v>379</v>
      </c>
    </row>
    <row r="6361" spans="1:5" x14ac:dyDescent="0.25">
      <c r="A6361" s="279">
        <v>39196</v>
      </c>
      <c r="B6361" t="s">
        <v>338</v>
      </c>
      <c r="C6361" t="s">
        <v>80</v>
      </c>
      <c r="D6361">
        <v>223</v>
      </c>
      <c r="E6361" t="s">
        <v>379</v>
      </c>
    </row>
    <row r="6362" spans="1:5" x14ac:dyDescent="0.25">
      <c r="A6362" s="279">
        <v>39196</v>
      </c>
      <c r="B6362" t="s">
        <v>339</v>
      </c>
      <c r="C6362" t="s">
        <v>71</v>
      </c>
      <c r="D6362">
        <v>1918</v>
      </c>
      <c r="E6362" t="s">
        <v>378</v>
      </c>
    </row>
    <row r="6363" spans="1:5" x14ac:dyDescent="0.25">
      <c r="A6363" s="279">
        <v>39196</v>
      </c>
      <c r="B6363" t="s">
        <v>339</v>
      </c>
      <c r="C6363" t="s">
        <v>72</v>
      </c>
      <c r="D6363">
        <v>0</v>
      </c>
      <c r="E6363" t="s">
        <v>380</v>
      </c>
    </row>
    <row r="6364" spans="1:5" x14ac:dyDescent="0.25">
      <c r="A6364" s="279">
        <v>39196</v>
      </c>
      <c r="B6364" t="s">
        <v>339</v>
      </c>
      <c r="C6364" t="s">
        <v>73</v>
      </c>
      <c r="D6364">
        <v>13540</v>
      </c>
      <c r="E6364" t="s">
        <v>378</v>
      </c>
    </row>
    <row r="6365" spans="1:5" x14ac:dyDescent="0.25">
      <c r="A6365" s="279">
        <v>39196</v>
      </c>
      <c r="B6365" t="s">
        <v>339</v>
      </c>
      <c r="C6365" t="s">
        <v>74</v>
      </c>
      <c r="D6365">
        <v>0</v>
      </c>
      <c r="E6365" t="s">
        <v>380</v>
      </c>
    </row>
    <row r="6366" spans="1:5" x14ac:dyDescent="0.25">
      <c r="A6366" s="279">
        <v>39196</v>
      </c>
      <c r="B6366" t="s">
        <v>339</v>
      </c>
      <c r="C6366" t="s">
        <v>75</v>
      </c>
      <c r="D6366">
        <v>15301</v>
      </c>
      <c r="E6366" t="s">
        <v>378</v>
      </c>
    </row>
    <row r="6367" spans="1:5" x14ac:dyDescent="0.25">
      <c r="A6367" s="279">
        <v>39196</v>
      </c>
      <c r="B6367" t="s">
        <v>339</v>
      </c>
      <c r="C6367" t="s">
        <v>76</v>
      </c>
      <c r="D6367">
        <v>1499</v>
      </c>
      <c r="E6367" t="s">
        <v>380</v>
      </c>
    </row>
    <row r="6368" spans="1:5" x14ac:dyDescent="0.25">
      <c r="A6368" s="279">
        <v>39196</v>
      </c>
      <c r="B6368" t="s">
        <v>339</v>
      </c>
      <c r="C6368" t="s">
        <v>77</v>
      </c>
      <c r="D6368">
        <v>7296</v>
      </c>
      <c r="E6368" t="s">
        <v>378</v>
      </c>
    </row>
    <row r="6369" spans="1:5" x14ac:dyDescent="0.25">
      <c r="A6369" s="279">
        <v>39196</v>
      </c>
      <c r="B6369" t="s">
        <v>339</v>
      </c>
      <c r="C6369" t="s">
        <v>78</v>
      </c>
      <c r="D6369">
        <v>7015</v>
      </c>
      <c r="E6369" t="s">
        <v>380</v>
      </c>
    </row>
    <row r="6370" spans="1:5" x14ac:dyDescent="0.25">
      <c r="A6370" s="279">
        <v>39196</v>
      </c>
      <c r="B6370" t="s">
        <v>339</v>
      </c>
      <c r="C6370" t="s">
        <v>79</v>
      </c>
      <c r="D6370">
        <v>103045</v>
      </c>
      <c r="E6370" t="s">
        <v>379</v>
      </c>
    </row>
    <row r="6371" spans="1:5" x14ac:dyDescent="0.25">
      <c r="A6371" s="279">
        <v>39196</v>
      </c>
      <c r="B6371" t="s">
        <v>339</v>
      </c>
      <c r="C6371" t="s">
        <v>70</v>
      </c>
      <c r="D6371">
        <v>0</v>
      </c>
      <c r="E6371" t="s">
        <v>379</v>
      </c>
    </row>
    <row r="6372" spans="1:5" x14ac:dyDescent="0.25">
      <c r="A6372" s="279">
        <v>39196</v>
      </c>
      <c r="B6372" t="s">
        <v>339</v>
      </c>
      <c r="C6372" t="s">
        <v>63</v>
      </c>
      <c r="D6372">
        <v>9261</v>
      </c>
      <c r="E6372" t="s">
        <v>378</v>
      </c>
    </row>
    <row r="6373" spans="1:5" x14ac:dyDescent="0.25">
      <c r="A6373" s="279">
        <v>39196</v>
      </c>
      <c r="B6373" t="s">
        <v>339</v>
      </c>
      <c r="C6373" t="s">
        <v>80</v>
      </c>
      <c r="D6373">
        <v>666</v>
      </c>
      <c r="E6373" t="s">
        <v>379</v>
      </c>
    </row>
    <row r="6374" spans="1:5" x14ac:dyDescent="0.25">
      <c r="A6374" s="279">
        <v>39197</v>
      </c>
      <c r="B6374" t="s">
        <v>338</v>
      </c>
      <c r="C6374" t="s">
        <v>59</v>
      </c>
      <c r="D6374">
        <v>2595</v>
      </c>
      <c r="E6374" t="s">
        <v>378</v>
      </c>
    </row>
    <row r="6375" spans="1:5" x14ac:dyDescent="0.25">
      <c r="A6375" s="279">
        <v>39197</v>
      </c>
      <c r="B6375" t="s">
        <v>338</v>
      </c>
      <c r="C6375" t="s">
        <v>60</v>
      </c>
      <c r="D6375">
        <v>0</v>
      </c>
      <c r="E6375" t="s">
        <v>379</v>
      </c>
    </row>
    <row r="6376" spans="1:5" x14ac:dyDescent="0.25">
      <c r="A6376" s="279">
        <v>39197</v>
      </c>
      <c r="B6376" t="s">
        <v>338</v>
      </c>
      <c r="C6376" t="s">
        <v>61</v>
      </c>
      <c r="D6376">
        <v>12214</v>
      </c>
      <c r="E6376" t="s">
        <v>378</v>
      </c>
    </row>
    <row r="6377" spans="1:5" x14ac:dyDescent="0.25">
      <c r="A6377" s="279">
        <v>39197</v>
      </c>
      <c r="B6377" t="s">
        <v>338</v>
      </c>
      <c r="C6377" t="s">
        <v>62</v>
      </c>
      <c r="D6377">
        <v>0</v>
      </c>
      <c r="E6377" t="s">
        <v>380</v>
      </c>
    </row>
    <row r="6378" spans="1:5" x14ac:dyDescent="0.25">
      <c r="A6378" s="279">
        <v>39197</v>
      </c>
      <c r="B6378" t="s">
        <v>338</v>
      </c>
      <c r="C6378" t="s">
        <v>63</v>
      </c>
      <c r="D6378">
        <v>0</v>
      </c>
      <c r="E6378" t="s">
        <v>378</v>
      </c>
    </row>
    <row r="6379" spans="1:5" x14ac:dyDescent="0.25">
      <c r="A6379" s="279">
        <v>39197</v>
      </c>
      <c r="B6379" t="s">
        <v>338</v>
      </c>
      <c r="C6379" t="s">
        <v>64</v>
      </c>
      <c r="D6379">
        <v>0</v>
      </c>
      <c r="E6379" t="s">
        <v>380</v>
      </c>
    </row>
    <row r="6380" spans="1:5" x14ac:dyDescent="0.25">
      <c r="A6380" s="279">
        <v>39197</v>
      </c>
      <c r="B6380" t="s">
        <v>338</v>
      </c>
      <c r="C6380" t="s">
        <v>65</v>
      </c>
      <c r="D6380">
        <v>0</v>
      </c>
      <c r="E6380" t="s">
        <v>378</v>
      </c>
    </row>
    <row r="6381" spans="1:5" x14ac:dyDescent="0.25">
      <c r="A6381" s="279">
        <v>39197</v>
      </c>
      <c r="B6381" t="s">
        <v>338</v>
      </c>
      <c r="C6381" t="s">
        <v>66</v>
      </c>
      <c r="D6381">
        <v>0</v>
      </c>
      <c r="E6381" t="s">
        <v>380</v>
      </c>
    </row>
    <row r="6382" spans="1:5" x14ac:dyDescent="0.25">
      <c r="A6382" s="279">
        <v>39197</v>
      </c>
      <c r="B6382" t="s">
        <v>338</v>
      </c>
      <c r="C6382" t="s">
        <v>120</v>
      </c>
      <c r="D6382">
        <v>12208</v>
      </c>
      <c r="E6382" t="s">
        <v>378</v>
      </c>
    </row>
    <row r="6383" spans="1:5" x14ac:dyDescent="0.25">
      <c r="A6383" s="279">
        <v>39197</v>
      </c>
      <c r="B6383" t="s">
        <v>338</v>
      </c>
      <c r="C6383" t="s">
        <v>121</v>
      </c>
      <c r="D6383">
        <v>0</v>
      </c>
      <c r="E6383" t="s">
        <v>380</v>
      </c>
    </row>
    <row r="6384" spans="1:5" x14ac:dyDescent="0.25">
      <c r="A6384" s="279">
        <v>39197</v>
      </c>
      <c r="B6384" t="s">
        <v>338</v>
      </c>
      <c r="C6384" t="s">
        <v>67</v>
      </c>
      <c r="D6384">
        <v>0</v>
      </c>
      <c r="E6384" t="s">
        <v>378</v>
      </c>
    </row>
    <row r="6385" spans="1:5" x14ac:dyDescent="0.25">
      <c r="A6385" s="279">
        <v>39197</v>
      </c>
      <c r="B6385" t="s">
        <v>338</v>
      </c>
      <c r="C6385" t="s">
        <v>68</v>
      </c>
      <c r="D6385">
        <v>0</v>
      </c>
      <c r="E6385" t="s">
        <v>380</v>
      </c>
    </row>
    <row r="6386" spans="1:5" x14ac:dyDescent="0.25">
      <c r="A6386" s="279">
        <v>39197</v>
      </c>
      <c r="B6386" t="s">
        <v>338</v>
      </c>
      <c r="C6386" t="s">
        <v>69</v>
      </c>
      <c r="D6386">
        <v>0</v>
      </c>
      <c r="E6386" t="s">
        <v>379</v>
      </c>
    </row>
    <row r="6387" spans="1:5" x14ac:dyDescent="0.25">
      <c r="A6387" s="279">
        <v>39197</v>
      </c>
      <c r="B6387" t="s">
        <v>338</v>
      </c>
      <c r="C6387" t="s">
        <v>70</v>
      </c>
      <c r="D6387">
        <v>0</v>
      </c>
      <c r="E6387" t="s">
        <v>379</v>
      </c>
    </row>
    <row r="6388" spans="1:5" x14ac:dyDescent="0.25">
      <c r="A6388" s="279">
        <v>39197</v>
      </c>
      <c r="B6388" t="s">
        <v>338</v>
      </c>
      <c r="C6388" t="s">
        <v>80</v>
      </c>
      <c r="D6388">
        <v>225</v>
      </c>
      <c r="E6388" t="s">
        <v>379</v>
      </c>
    </row>
    <row r="6389" spans="1:5" x14ac:dyDescent="0.25">
      <c r="A6389" s="279">
        <v>39197</v>
      </c>
      <c r="B6389" t="s">
        <v>339</v>
      </c>
      <c r="C6389" t="s">
        <v>71</v>
      </c>
      <c r="D6389">
        <v>1918</v>
      </c>
      <c r="E6389" t="s">
        <v>378</v>
      </c>
    </row>
    <row r="6390" spans="1:5" x14ac:dyDescent="0.25">
      <c r="A6390" s="279">
        <v>39197</v>
      </c>
      <c r="B6390" t="s">
        <v>339</v>
      </c>
      <c r="C6390" t="s">
        <v>72</v>
      </c>
      <c r="D6390">
        <v>0</v>
      </c>
      <c r="E6390" t="s">
        <v>380</v>
      </c>
    </row>
    <row r="6391" spans="1:5" x14ac:dyDescent="0.25">
      <c r="A6391" s="279">
        <v>39197</v>
      </c>
      <c r="B6391" t="s">
        <v>339</v>
      </c>
      <c r="C6391" t="s">
        <v>73</v>
      </c>
      <c r="D6391">
        <v>13540</v>
      </c>
      <c r="E6391" t="s">
        <v>378</v>
      </c>
    </row>
    <row r="6392" spans="1:5" x14ac:dyDescent="0.25">
      <c r="A6392" s="279">
        <v>39197</v>
      </c>
      <c r="B6392" t="s">
        <v>339</v>
      </c>
      <c r="C6392" t="s">
        <v>74</v>
      </c>
      <c r="D6392">
        <v>0</v>
      </c>
      <c r="E6392" t="s">
        <v>380</v>
      </c>
    </row>
    <row r="6393" spans="1:5" x14ac:dyDescent="0.25">
      <c r="A6393" s="279">
        <v>39197</v>
      </c>
      <c r="B6393" t="s">
        <v>339</v>
      </c>
      <c r="C6393" t="s">
        <v>75</v>
      </c>
      <c r="D6393">
        <v>15301</v>
      </c>
      <c r="E6393" t="s">
        <v>378</v>
      </c>
    </row>
    <row r="6394" spans="1:5" x14ac:dyDescent="0.25">
      <c r="A6394" s="279">
        <v>39197</v>
      </c>
      <c r="B6394" t="s">
        <v>339</v>
      </c>
      <c r="C6394" t="s">
        <v>76</v>
      </c>
      <c r="D6394">
        <v>7696</v>
      </c>
      <c r="E6394" t="s">
        <v>380</v>
      </c>
    </row>
    <row r="6395" spans="1:5" x14ac:dyDescent="0.25">
      <c r="A6395" s="279">
        <v>39197</v>
      </c>
      <c r="B6395" t="s">
        <v>339</v>
      </c>
      <c r="C6395" t="s">
        <v>77</v>
      </c>
      <c r="D6395">
        <v>7296</v>
      </c>
      <c r="E6395" t="s">
        <v>378</v>
      </c>
    </row>
    <row r="6396" spans="1:5" x14ac:dyDescent="0.25">
      <c r="A6396" s="279">
        <v>39197</v>
      </c>
      <c r="B6396" t="s">
        <v>339</v>
      </c>
      <c r="C6396" t="s">
        <v>78</v>
      </c>
      <c r="D6396">
        <v>7015</v>
      </c>
      <c r="E6396" t="s">
        <v>380</v>
      </c>
    </row>
    <row r="6397" spans="1:5" x14ac:dyDescent="0.25">
      <c r="A6397" s="279">
        <v>39197</v>
      </c>
      <c r="B6397" t="s">
        <v>339</v>
      </c>
      <c r="C6397" t="s">
        <v>79</v>
      </c>
      <c r="D6397">
        <v>112866</v>
      </c>
      <c r="E6397" t="s">
        <v>379</v>
      </c>
    </row>
    <row r="6398" spans="1:5" x14ac:dyDescent="0.25">
      <c r="A6398" s="279">
        <v>39197</v>
      </c>
      <c r="B6398" t="s">
        <v>339</v>
      </c>
      <c r="C6398" t="s">
        <v>70</v>
      </c>
      <c r="D6398">
        <v>0</v>
      </c>
      <c r="E6398" t="s">
        <v>379</v>
      </c>
    </row>
    <row r="6399" spans="1:5" x14ac:dyDescent="0.25">
      <c r="A6399" s="279">
        <v>39197</v>
      </c>
      <c r="B6399" t="s">
        <v>339</v>
      </c>
      <c r="C6399" t="s">
        <v>63</v>
      </c>
      <c r="D6399">
        <v>9261</v>
      </c>
      <c r="E6399" t="s">
        <v>378</v>
      </c>
    </row>
    <row r="6400" spans="1:5" x14ac:dyDescent="0.25">
      <c r="A6400" s="279">
        <v>39197</v>
      </c>
      <c r="B6400" t="s">
        <v>339</v>
      </c>
      <c r="C6400" t="s">
        <v>80</v>
      </c>
      <c r="D6400">
        <v>666</v>
      </c>
      <c r="E6400" t="s">
        <v>379</v>
      </c>
    </row>
    <row r="6401" spans="1:5" x14ac:dyDescent="0.25">
      <c r="A6401" s="279">
        <v>39198</v>
      </c>
      <c r="B6401" t="s">
        <v>338</v>
      </c>
      <c r="C6401" t="s">
        <v>59</v>
      </c>
      <c r="D6401">
        <v>2593</v>
      </c>
      <c r="E6401" t="s">
        <v>378</v>
      </c>
    </row>
    <row r="6402" spans="1:5" x14ac:dyDescent="0.25">
      <c r="A6402" s="279">
        <v>39198</v>
      </c>
      <c r="B6402" t="s">
        <v>338</v>
      </c>
      <c r="C6402" t="s">
        <v>60</v>
      </c>
      <c r="D6402">
        <v>0</v>
      </c>
      <c r="E6402" t="s">
        <v>379</v>
      </c>
    </row>
    <row r="6403" spans="1:5" x14ac:dyDescent="0.25">
      <c r="A6403" s="279">
        <v>39198</v>
      </c>
      <c r="B6403" t="s">
        <v>338</v>
      </c>
      <c r="C6403" t="s">
        <v>61</v>
      </c>
      <c r="D6403">
        <v>9916</v>
      </c>
      <c r="E6403" t="s">
        <v>378</v>
      </c>
    </row>
    <row r="6404" spans="1:5" x14ac:dyDescent="0.25">
      <c r="A6404" s="279">
        <v>39198</v>
      </c>
      <c r="B6404" t="s">
        <v>338</v>
      </c>
      <c r="C6404" t="s">
        <v>62</v>
      </c>
      <c r="D6404">
        <v>0</v>
      </c>
      <c r="E6404" t="s">
        <v>380</v>
      </c>
    </row>
    <row r="6405" spans="1:5" x14ac:dyDescent="0.25">
      <c r="A6405" s="279">
        <v>39198</v>
      </c>
      <c r="B6405" t="s">
        <v>338</v>
      </c>
      <c r="C6405" t="s">
        <v>63</v>
      </c>
      <c r="D6405">
        <v>0</v>
      </c>
      <c r="E6405" t="s">
        <v>378</v>
      </c>
    </row>
    <row r="6406" spans="1:5" x14ac:dyDescent="0.25">
      <c r="A6406" s="279">
        <v>39198</v>
      </c>
      <c r="B6406" t="s">
        <v>338</v>
      </c>
      <c r="C6406" t="s">
        <v>64</v>
      </c>
      <c r="D6406">
        <v>0</v>
      </c>
      <c r="E6406" t="s">
        <v>380</v>
      </c>
    </row>
    <row r="6407" spans="1:5" x14ac:dyDescent="0.25">
      <c r="A6407" s="279">
        <v>39198</v>
      </c>
      <c r="B6407" t="s">
        <v>338</v>
      </c>
      <c r="C6407" t="s">
        <v>65</v>
      </c>
      <c r="D6407">
        <v>0</v>
      </c>
      <c r="E6407" t="s">
        <v>378</v>
      </c>
    </row>
    <row r="6408" spans="1:5" x14ac:dyDescent="0.25">
      <c r="A6408" s="279">
        <v>39198</v>
      </c>
      <c r="B6408" t="s">
        <v>338</v>
      </c>
      <c r="C6408" t="s">
        <v>66</v>
      </c>
      <c r="D6408">
        <v>0</v>
      </c>
      <c r="E6408" t="s">
        <v>380</v>
      </c>
    </row>
    <row r="6409" spans="1:5" x14ac:dyDescent="0.25">
      <c r="A6409" s="279">
        <v>39198</v>
      </c>
      <c r="B6409" t="s">
        <v>338</v>
      </c>
      <c r="C6409" t="s">
        <v>120</v>
      </c>
      <c r="D6409">
        <v>12197</v>
      </c>
      <c r="E6409" t="s">
        <v>378</v>
      </c>
    </row>
    <row r="6410" spans="1:5" x14ac:dyDescent="0.25">
      <c r="A6410" s="279">
        <v>39198</v>
      </c>
      <c r="B6410" t="s">
        <v>338</v>
      </c>
      <c r="C6410" t="s">
        <v>121</v>
      </c>
      <c r="D6410">
        <v>0</v>
      </c>
      <c r="E6410" t="s">
        <v>380</v>
      </c>
    </row>
    <row r="6411" spans="1:5" x14ac:dyDescent="0.25">
      <c r="A6411" s="279">
        <v>39198</v>
      </c>
      <c r="B6411" t="s">
        <v>338</v>
      </c>
      <c r="C6411" t="s">
        <v>67</v>
      </c>
      <c r="D6411">
        <v>0</v>
      </c>
      <c r="E6411" t="s">
        <v>378</v>
      </c>
    </row>
    <row r="6412" spans="1:5" x14ac:dyDescent="0.25">
      <c r="A6412" s="279">
        <v>39198</v>
      </c>
      <c r="B6412" t="s">
        <v>338</v>
      </c>
      <c r="C6412" t="s">
        <v>68</v>
      </c>
      <c r="D6412">
        <v>0</v>
      </c>
      <c r="E6412" t="s">
        <v>380</v>
      </c>
    </row>
    <row r="6413" spans="1:5" x14ac:dyDescent="0.25">
      <c r="A6413" s="279">
        <v>39198</v>
      </c>
      <c r="B6413" t="s">
        <v>338</v>
      </c>
      <c r="C6413" t="s">
        <v>69</v>
      </c>
      <c r="D6413">
        <v>0</v>
      </c>
      <c r="E6413" t="s">
        <v>379</v>
      </c>
    </row>
    <row r="6414" spans="1:5" x14ac:dyDescent="0.25">
      <c r="A6414" s="279">
        <v>39198</v>
      </c>
      <c r="B6414" t="s">
        <v>338</v>
      </c>
      <c r="C6414" t="s">
        <v>70</v>
      </c>
      <c r="D6414">
        <v>0</v>
      </c>
      <c r="E6414" t="s">
        <v>379</v>
      </c>
    </row>
    <row r="6415" spans="1:5" x14ac:dyDescent="0.25">
      <c r="A6415" s="279">
        <v>39198</v>
      </c>
      <c r="B6415" t="s">
        <v>338</v>
      </c>
      <c r="C6415" t="s">
        <v>80</v>
      </c>
      <c r="D6415">
        <v>205</v>
      </c>
      <c r="E6415" t="s">
        <v>379</v>
      </c>
    </row>
    <row r="6416" spans="1:5" x14ac:dyDescent="0.25">
      <c r="A6416" s="279">
        <v>39198</v>
      </c>
      <c r="B6416" t="s">
        <v>339</v>
      </c>
      <c r="C6416" t="s">
        <v>71</v>
      </c>
      <c r="D6416">
        <v>1503</v>
      </c>
      <c r="E6416" t="s">
        <v>378</v>
      </c>
    </row>
    <row r="6417" spans="1:5" x14ac:dyDescent="0.25">
      <c r="A6417" s="279">
        <v>39198</v>
      </c>
      <c r="B6417" t="s">
        <v>339</v>
      </c>
      <c r="C6417" t="s">
        <v>72</v>
      </c>
      <c r="D6417">
        <v>0</v>
      </c>
      <c r="E6417" t="s">
        <v>380</v>
      </c>
    </row>
    <row r="6418" spans="1:5" x14ac:dyDescent="0.25">
      <c r="A6418" s="279">
        <v>39198</v>
      </c>
      <c r="B6418" t="s">
        <v>339</v>
      </c>
      <c r="C6418" t="s">
        <v>73</v>
      </c>
      <c r="D6418">
        <v>0</v>
      </c>
      <c r="E6418" t="s">
        <v>378</v>
      </c>
    </row>
    <row r="6419" spans="1:5" x14ac:dyDescent="0.25">
      <c r="A6419" s="279">
        <v>39198</v>
      </c>
      <c r="B6419" t="s">
        <v>339</v>
      </c>
      <c r="C6419" t="s">
        <v>74</v>
      </c>
      <c r="D6419">
        <v>0</v>
      </c>
      <c r="E6419" t="s">
        <v>380</v>
      </c>
    </row>
    <row r="6420" spans="1:5" x14ac:dyDescent="0.25">
      <c r="A6420" s="279">
        <v>39198</v>
      </c>
      <c r="B6420" t="s">
        <v>339</v>
      </c>
      <c r="C6420" t="s">
        <v>75</v>
      </c>
      <c r="D6420">
        <v>15301</v>
      </c>
      <c r="E6420" t="s">
        <v>378</v>
      </c>
    </row>
    <row r="6421" spans="1:5" x14ac:dyDescent="0.25">
      <c r="A6421" s="279">
        <v>39198</v>
      </c>
      <c r="B6421" t="s">
        <v>339</v>
      </c>
      <c r="C6421" t="s">
        <v>76</v>
      </c>
      <c r="D6421">
        <v>14719</v>
      </c>
      <c r="E6421" t="s">
        <v>380</v>
      </c>
    </row>
    <row r="6422" spans="1:5" x14ac:dyDescent="0.25">
      <c r="A6422" s="279">
        <v>39198</v>
      </c>
      <c r="B6422" t="s">
        <v>339</v>
      </c>
      <c r="C6422" t="s">
        <v>77</v>
      </c>
      <c r="D6422">
        <v>7296</v>
      </c>
      <c r="E6422" t="s">
        <v>378</v>
      </c>
    </row>
    <row r="6423" spans="1:5" x14ac:dyDescent="0.25">
      <c r="A6423" s="279">
        <v>39198</v>
      </c>
      <c r="B6423" t="s">
        <v>339</v>
      </c>
      <c r="C6423" t="s">
        <v>78</v>
      </c>
      <c r="D6423">
        <v>7015</v>
      </c>
      <c r="E6423" t="s">
        <v>380</v>
      </c>
    </row>
    <row r="6424" spans="1:5" x14ac:dyDescent="0.25">
      <c r="A6424" s="279">
        <v>39198</v>
      </c>
      <c r="B6424" t="s">
        <v>339</v>
      </c>
      <c r="C6424" t="s">
        <v>79</v>
      </c>
      <c r="D6424">
        <v>112717</v>
      </c>
      <c r="E6424" t="s">
        <v>379</v>
      </c>
    </row>
    <row r="6425" spans="1:5" x14ac:dyDescent="0.25">
      <c r="A6425" s="279">
        <v>39198</v>
      </c>
      <c r="B6425" t="s">
        <v>339</v>
      </c>
      <c r="C6425" t="s">
        <v>70</v>
      </c>
      <c r="D6425">
        <v>0</v>
      </c>
      <c r="E6425" t="s">
        <v>379</v>
      </c>
    </row>
    <row r="6426" spans="1:5" x14ac:dyDescent="0.25">
      <c r="A6426" s="279">
        <v>39198</v>
      </c>
      <c r="B6426" t="s">
        <v>339</v>
      </c>
      <c r="C6426" t="s">
        <v>63</v>
      </c>
      <c r="D6426">
        <v>9261</v>
      </c>
      <c r="E6426" t="s">
        <v>378</v>
      </c>
    </row>
    <row r="6427" spans="1:5" x14ac:dyDescent="0.25">
      <c r="A6427" s="279">
        <v>39198</v>
      </c>
      <c r="B6427" t="s">
        <v>339</v>
      </c>
      <c r="C6427" t="s">
        <v>80</v>
      </c>
      <c r="D6427">
        <v>149</v>
      </c>
      <c r="E6427" t="s">
        <v>379</v>
      </c>
    </row>
    <row r="6428" spans="1:5" x14ac:dyDescent="0.25">
      <c r="A6428" s="279">
        <v>39199</v>
      </c>
      <c r="B6428" t="s">
        <v>338</v>
      </c>
      <c r="C6428" t="s">
        <v>59</v>
      </c>
      <c r="D6428">
        <v>2588</v>
      </c>
      <c r="E6428" t="s">
        <v>378</v>
      </c>
    </row>
    <row r="6429" spans="1:5" x14ac:dyDescent="0.25">
      <c r="A6429" s="279">
        <v>39199</v>
      </c>
      <c r="B6429" t="s">
        <v>338</v>
      </c>
      <c r="C6429" t="s">
        <v>60</v>
      </c>
      <c r="D6429">
        <v>0</v>
      </c>
      <c r="E6429" t="s">
        <v>379</v>
      </c>
    </row>
    <row r="6430" spans="1:5" x14ac:dyDescent="0.25">
      <c r="A6430" s="279">
        <v>39199</v>
      </c>
      <c r="B6430" t="s">
        <v>338</v>
      </c>
      <c r="C6430" t="s">
        <v>61</v>
      </c>
      <c r="D6430">
        <v>11865</v>
      </c>
      <c r="E6430" t="s">
        <v>378</v>
      </c>
    </row>
    <row r="6431" spans="1:5" x14ac:dyDescent="0.25">
      <c r="A6431" s="279">
        <v>39199</v>
      </c>
      <c r="B6431" t="s">
        <v>338</v>
      </c>
      <c r="C6431" t="s">
        <v>62</v>
      </c>
      <c r="D6431">
        <v>0</v>
      </c>
      <c r="E6431" t="s">
        <v>380</v>
      </c>
    </row>
    <row r="6432" spans="1:5" x14ac:dyDescent="0.25">
      <c r="A6432" s="279">
        <v>39199</v>
      </c>
      <c r="B6432" t="s">
        <v>338</v>
      </c>
      <c r="C6432" t="s">
        <v>63</v>
      </c>
      <c r="D6432">
        <v>0</v>
      </c>
      <c r="E6432" t="s">
        <v>378</v>
      </c>
    </row>
    <row r="6433" spans="1:5" x14ac:dyDescent="0.25">
      <c r="A6433" s="279">
        <v>39199</v>
      </c>
      <c r="B6433" t="s">
        <v>338</v>
      </c>
      <c r="C6433" t="s">
        <v>64</v>
      </c>
      <c r="D6433">
        <v>0</v>
      </c>
      <c r="E6433" t="s">
        <v>380</v>
      </c>
    </row>
    <row r="6434" spans="1:5" x14ac:dyDescent="0.25">
      <c r="A6434" s="279">
        <v>39199</v>
      </c>
      <c r="B6434" t="s">
        <v>338</v>
      </c>
      <c r="C6434" t="s">
        <v>65</v>
      </c>
      <c r="D6434">
        <v>0</v>
      </c>
      <c r="E6434" t="s">
        <v>378</v>
      </c>
    </row>
    <row r="6435" spans="1:5" x14ac:dyDescent="0.25">
      <c r="A6435" s="279">
        <v>39199</v>
      </c>
      <c r="B6435" t="s">
        <v>338</v>
      </c>
      <c r="C6435" t="s">
        <v>66</v>
      </c>
      <c r="D6435">
        <v>0</v>
      </c>
      <c r="E6435" t="s">
        <v>380</v>
      </c>
    </row>
    <row r="6436" spans="1:5" x14ac:dyDescent="0.25">
      <c r="A6436" s="279">
        <v>39199</v>
      </c>
      <c r="B6436" t="s">
        <v>338</v>
      </c>
      <c r="C6436" t="s">
        <v>120</v>
      </c>
      <c r="D6436">
        <v>12173</v>
      </c>
      <c r="E6436" t="s">
        <v>378</v>
      </c>
    </row>
    <row r="6437" spans="1:5" x14ac:dyDescent="0.25">
      <c r="A6437" s="279">
        <v>39199</v>
      </c>
      <c r="B6437" t="s">
        <v>338</v>
      </c>
      <c r="C6437" t="s">
        <v>121</v>
      </c>
      <c r="D6437">
        <v>0</v>
      </c>
      <c r="E6437" t="s">
        <v>380</v>
      </c>
    </row>
    <row r="6438" spans="1:5" x14ac:dyDescent="0.25">
      <c r="A6438" s="279">
        <v>39199</v>
      </c>
      <c r="B6438" t="s">
        <v>338</v>
      </c>
      <c r="C6438" t="s">
        <v>67</v>
      </c>
      <c r="D6438">
        <v>0</v>
      </c>
      <c r="E6438" t="s">
        <v>378</v>
      </c>
    </row>
    <row r="6439" spans="1:5" x14ac:dyDescent="0.25">
      <c r="A6439" s="279">
        <v>39199</v>
      </c>
      <c r="B6439" t="s">
        <v>338</v>
      </c>
      <c r="C6439" t="s">
        <v>68</v>
      </c>
      <c r="D6439">
        <v>0</v>
      </c>
      <c r="E6439" t="s">
        <v>380</v>
      </c>
    </row>
    <row r="6440" spans="1:5" x14ac:dyDescent="0.25">
      <c r="A6440" s="279">
        <v>39199</v>
      </c>
      <c r="B6440" t="s">
        <v>338</v>
      </c>
      <c r="C6440" t="s">
        <v>69</v>
      </c>
      <c r="D6440">
        <v>0</v>
      </c>
      <c r="E6440" t="s">
        <v>379</v>
      </c>
    </row>
    <row r="6441" spans="1:5" x14ac:dyDescent="0.25">
      <c r="A6441" s="279">
        <v>39199</v>
      </c>
      <c r="B6441" t="s">
        <v>338</v>
      </c>
      <c r="C6441" t="s">
        <v>70</v>
      </c>
      <c r="D6441">
        <v>0</v>
      </c>
      <c r="E6441" t="s">
        <v>379</v>
      </c>
    </row>
    <row r="6442" spans="1:5" x14ac:dyDescent="0.25">
      <c r="A6442" s="279">
        <v>39199</v>
      </c>
      <c r="B6442" t="s">
        <v>338</v>
      </c>
      <c r="C6442" t="s">
        <v>80</v>
      </c>
      <c r="D6442">
        <v>221</v>
      </c>
      <c r="E6442" t="s">
        <v>379</v>
      </c>
    </row>
    <row r="6443" spans="1:5" x14ac:dyDescent="0.25">
      <c r="A6443" s="279">
        <v>39199</v>
      </c>
      <c r="B6443" t="s">
        <v>339</v>
      </c>
      <c r="C6443" t="s">
        <v>71</v>
      </c>
      <c r="D6443">
        <v>1918</v>
      </c>
      <c r="E6443" t="s">
        <v>378</v>
      </c>
    </row>
    <row r="6444" spans="1:5" x14ac:dyDescent="0.25">
      <c r="A6444" s="279">
        <v>39199</v>
      </c>
      <c r="B6444" t="s">
        <v>339</v>
      </c>
      <c r="C6444" t="s">
        <v>72</v>
      </c>
      <c r="D6444">
        <v>0</v>
      </c>
      <c r="E6444" t="s">
        <v>380</v>
      </c>
    </row>
    <row r="6445" spans="1:5" x14ac:dyDescent="0.25">
      <c r="A6445" s="279">
        <v>39199</v>
      </c>
      <c r="B6445" t="s">
        <v>339</v>
      </c>
      <c r="C6445" t="s">
        <v>73</v>
      </c>
      <c r="D6445">
        <v>10142</v>
      </c>
      <c r="E6445" t="s">
        <v>378</v>
      </c>
    </row>
    <row r="6446" spans="1:5" x14ac:dyDescent="0.25">
      <c r="A6446" s="279">
        <v>39199</v>
      </c>
      <c r="B6446" t="s">
        <v>339</v>
      </c>
      <c r="C6446" t="s">
        <v>74</v>
      </c>
      <c r="D6446">
        <v>0</v>
      </c>
      <c r="E6446" t="s">
        <v>380</v>
      </c>
    </row>
    <row r="6447" spans="1:5" x14ac:dyDescent="0.25">
      <c r="A6447" s="279">
        <v>39199</v>
      </c>
      <c r="B6447" t="s">
        <v>339</v>
      </c>
      <c r="C6447" t="s">
        <v>75</v>
      </c>
      <c r="D6447">
        <v>15301</v>
      </c>
      <c r="E6447" t="s">
        <v>378</v>
      </c>
    </row>
    <row r="6448" spans="1:5" x14ac:dyDescent="0.25">
      <c r="A6448" s="279">
        <v>39199</v>
      </c>
      <c r="B6448" t="s">
        <v>339</v>
      </c>
      <c r="C6448" t="s">
        <v>76</v>
      </c>
      <c r="D6448">
        <v>14719</v>
      </c>
      <c r="E6448" t="s">
        <v>380</v>
      </c>
    </row>
    <row r="6449" spans="1:5" x14ac:dyDescent="0.25">
      <c r="A6449" s="279">
        <v>39199</v>
      </c>
      <c r="B6449" t="s">
        <v>339</v>
      </c>
      <c r="C6449" t="s">
        <v>77</v>
      </c>
      <c r="D6449">
        <v>7296</v>
      </c>
      <c r="E6449" t="s">
        <v>378</v>
      </c>
    </row>
    <row r="6450" spans="1:5" x14ac:dyDescent="0.25">
      <c r="A6450" s="279">
        <v>39199</v>
      </c>
      <c r="B6450" t="s">
        <v>339</v>
      </c>
      <c r="C6450" t="s">
        <v>78</v>
      </c>
      <c r="D6450">
        <v>7015</v>
      </c>
      <c r="E6450" t="s">
        <v>380</v>
      </c>
    </row>
    <row r="6451" spans="1:5" x14ac:dyDescent="0.25">
      <c r="A6451" s="279">
        <v>39199</v>
      </c>
      <c r="B6451" t="s">
        <v>339</v>
      </c>
      <c r="C6451" t="s">
        <v>79</v>
      </c>
      <c r="D6451">
        <v>112717</v>
      </c>
      <c r="E6451" t="s">
        <v>379</v>
      </c>
    </row>
    <row r="6452" spans="1:5" x14ac:dyDescent="0.25">
      <c r="A6452" s="279">
        <v>39199</v>
      </c>
      <c r="B6452" t="s">
        <v>339</v>
      </c>
      <c r="C6452" t="s">
        <v>70</v>
      </c>
      <c r="D6452">
        <v>0</v>
      </c>
      <c r="E6452" t="s">
        <v>379</v>
      </c>
    </row>
    <row r="6453" spans="1:5" x14ac:dyDescent="0.25">
      <c r="A6453" s="279">
        <v>39199</v>
      </c>
      <c r="B6453" t="s">
        <v>339</v>
      </c>
      <c r="C6453" t="s">
        <v>63</v>
      </c>
      <c r="D6453">
        <v>9261</v>
      </c>
      <c r="E6453" t="s">
        <v>378</v>
      </c>
    </row>
    <row r="6454" spans="1:5" x14ac:dyDescent="0.25">
      <c r="A6454" s="279">
        <v>39199</v>
      </c>
      <c r="B6454" t="s">
        <v>339</v>
      </c>
      <c r="C6454" t="s">
        <v>80</v>
      </c>
      <c r="D6454">
        <v>537</v>
      </c>
      <c r="E6454" t="s">
        <v>379</v>
      </c>
    </row>
    <row r="6455" spans="1:5" x14ac:dyDescent="0.25">
      <c r="A6455" s="279">
        <v>39200</v>
      </c>
      <c r="B6455" t="s">
        <v>338</v>
      </c>
      <c r="C6455" t="s">
        <v>59</v>
      </c>
      <c r="D6455">
        <v>2595</v>
      </c>
      <c r="E6455" t="s">
        <v>378</v>
      </c>
    </row>
    <row r="6456" spans="1:5" x14ac:dyDescent="0.25">
      <c r="A6456" s="279">
        <v>39200</v>
      </c>
      <c r="B6456" t="s">
        <v>338</v>
      </c>
      <c r="C6456" t="s">
        <v>60</v>
      </c>
      <c r="D6456">
        <v>0</v>
      </c>
      <c r="E6456" t="s">
        <v>379</v>
      </c>
    </row>
    <row r="6457" spans="1:5" x14ac:dyDescent="0.25">
      <c r="A6457" s="279">
        <v>39200</v>
      </c>
      <c r="B6457" t="s">
        <v>338</v>
      </c>
      <c r="C6457" t="s">
        <v>61</v>
      </c>
      <c r="D6457">
        <v>12093</v>
      </c>
      <c r="E6457" t="s">
        <v>378</v>
      </c>
    </row>
    <row r="6458" spans="1:5" x14ac:dyDescent="0.25">
      <c r="A6458" s="279">
        <v>39200</v>
      </c>
      <c r="B6458" t="s">
        <v>338</v>
      </c>
      <c r="C6458" t="s">
        <v>62</v>
      </c>
      <c r="D6458">
        <v>0</v>
      </c>
      <c r="E6458" t="s">
        <v>380</v>
      </c>
    </row>
    <row r="6459" spans="1:5" x14ac:dyDescent="0.25">
      <c r="A6459" s="279">
        <v>39200</v>
      </c>
      <c r="B6459" t="s">
        <v>338</v>
      </c>
      <c r="C6459" t="s">
        <v>63</v>
      </c>
      <c r="D6459">
        <v>0</v>
      </c>
      <c r="E6459" t="s">
        <v>378</v>
      </c>
    </row>
    <row r="6460" spans="1:5" x14ac:dyDescent="0.25">
      <c r="A6460" s="279">
        <v>39200</v>
      </c>
      <c r="B6460" t="s">
        <v>338</v>
      </c>
      <c r="C6460" t="s">
        <v>64</v>
      </c>
      <c r="D6460">
        <v>0</v>
      </c>
      <c r="E6460" t="s">
        <v>380</v>
      </c>
    </row>
    <row r="6461" spans="1:5" x14ac:dyDescent="0.25">
      <c r="A6461" s="279">
        <v>39200</v>
      </c>
      <c r="B6461" t="s">
        <v>338</v>
      </c>
      <c r="C6461" t="s">
        <v>65</v>
      </c>
      <c r="D6461">
        <v>0</v>
      </c>
      <c r="E6461" t="s">
        <v>378</v>
      </c>
    </row>
    <row r="6462" spans="1:5" x14ac:dyDescent="0.25">
      <c r="A6462" s="279">
        <v>39200</v>
      </c>
      <c r="B6462" t="s">
        <v>338</v>
      </c>
      <c r="C6462" t="s">
        <v>66</v>
      </c>
      <c r="D6462">
        <v>0</v>
      </c>
      <c r="E6462" t="s">
        <v>380</v>
      </c>
    </row>
    <row r="6463" spans="1:5" x14ac:dyDescent="0.25">
      <c r="A6463" s="279">
        <v>39200</v>
      </c>
      <c r="B6463" t="s">
        <v>338</v>
      </c>
      <c r="C6463" t="s">
        <v>120</v>
      </c>
      <c r="D6463">
        <v>12208</v>
      </c>
      <c r="E6463" t="s">
        <v>378</v>
      </c>
    </row>
    <row r="6464" spans="1:5" x14ac:dyDescent="0.25">
      <c r="A6464" s="279">
        <v>39200</v>
      </c>
      <c r="B6464" t="s">
        <v>338</v>
      </c>
      <c r="C6464" t="s">
        <v>121</v>
      </c>
      <c r="D6464">
        <v>0</v>
      </c>
      <c r="E6464" t="s">
        <v>380</v>
      </c>
    </row>
    <row r="6465" spans="1:5" x14ac:dyDescent="0.25">
      <c r="A6465" s="279">
        <v>39200</v>
      </c>
      <c r="B6465" t="s">
        <v>338</v>
      </c>
      <c r="C6465" t="s">
        <v>67</v>
      </c>
      <c r="D6465">
        <v>0</v>
      </c>
      <c r="E6465" t="s">
        <v>378</v>
      </c>
    </row>
    <row r="6466" spans="1:5" x14ac:dyDescent="0.25">
      <c r="A6466" s="279">
        <v>39200</v>
      </c>
      <c r="B6466" t="s">
        <v>338</v>
      </c>
      <c r="C6466" t="s">
        <v>68</v>
      </c>
      <c r="D6466">
        <v>0</v>
      </c>
      <c r="E6466" t="s">
        <v>380</v>
      </c>
    </row>
    <row r="6467" spans="1:5" x14ac:dyDescent="0.25">
      <c r="A6467" s="279">
        <v>39200</v>
      </c>
      <c r="B6467" t="s">
        <v>338</v>
      </c>
      <c r="C6467" t="s">
        <v>69</v>
      </c>
      <c r="D6467">
        <v>0</v>
      </c>
      <c r="E6467" t="s">
        <v>379</v>
      </c>
    </row>
    <row r="6468" spans="1:5" x14ac:dyDescent="0.25">
      <c r="A6468" s="279">
        <v>39200</v>
      </c>
      <c r="B6468" t="s">
        <v>338</v>
      </c>
      <c r="C6468" t="s">
        <v>70</v>
      </c>
      <c r="D6468">
        <v>0</v>
      </c>
      <c r="E6468" t="s">
        <v>379</v>
      </c>
    </row>
    <row r="6469" spans="1:5" x14ac:dyDescent="0.25">
      <c r="A6469" s="279">
        <v>39200</v>
      </c>
      <c r="B6469" t="s">
        <v>338</v>
      </c>
      <c r="C6469" t="s">
        <v>80</v>
      </c>
      <c r="D6469">
        <v>224</v>
      </c>
      <c r="E6469" t="s">
        <v>379</v>
      </c>
    </row>
    <row r="6470" spans="1:5" x14ac:dyDescent="0.25">
      <c r="A6470" s="279">
        <v>39200</v>
      </c>
      <c r="B6470" t="s">
        <v>339</v>
      </c>
      <c r="C6470" t="s">
        <v>71</v>
      </c>
      <c r="D6470">
        <v>1916</v>
      </c>
      <c r="E6470" t="s">
        <v>378</v>
      </c>
    </row>
    <row r="6471" spans="1:5" x14ac:dyDescent="0.25">
      <c r="A6471" s="279">
        <v>39200</v>
      </c>
      <c r="B6471" t="s">
        <v>339</v>
      </c>
      <c r="C6471" t="s">
        <v>72</v>
      </c>
      <c r="D6471">
        <v>0</v>
      </c>
      <c r="E6471" t="s">
        <v>380</v>
      </c>
    </row>
    <row r="6472" spans="1:5" x14ac:dyDescent="0.25">
      <c r="A6472" s="279">
        <v>39200</v>
      </c>
      <c r="B6472" t="s">
        <v>339</v>
      </c>
      <c r="C6472" t="s">
        <v>73</v>
      </c>
      <c r="D6472">
        <v>13527</v>
      </c>
      <c r="E6472" t="s">
        <v>378</v>
      </c>
    </row>
    <row r="6473" spans="1:5" x14ac:dyDescent="0.25">
      <c r="A6473" s="279">
        <v>39200</v>
      </c>
      <c r="B6473" t="s">
        <v>339</v>
      </c>
      <c r="C6473" t="s">
        <v>74</v>
      </c>
      <c r="D6473">
        <v>0</v>
      </c>
      <c r="E6473" t="s">
        <v>380</v>
      </c>
    </row>
    <row r="6474" spans="1:5" x14ac:dyDescent="0.25">
      <c r="A6474" s="279">
        <v>39200</v>
      </c>
      <c r="B6474" t="s">
        <v>339</v>
      </c>
      <c r="C6474" t="s">
        <v>75</v>
      </c>
      <c r="D6474">
        <v>15287</v>
      </c>
      <c r="E6474" t="s">
        <v>378</v>
      </c>
    </row>
    <row r="6475" spans="1:5" x14ac:dyDescent="0.25">
      <c r="A6475" s="279">
        <v>39200</v>
      </c>
      <c r="B6475" t="s">
        <v>339</v>
      </c>
      <c r="C6475" t="s">
        <v>76</v>
      </c>
      <c r="D6475">
        <v>13445</v>
      </c>
      <c r="E6475" t="s">
        <v>380</v>
      </c>
    </row>
    <row r="6476" spans="1:5" x14ac:dyDescent="0.25">
      <c r="A6476" s="279">
        <v>39200</v>
      </c>
      <c r="B6476" t="s">
        <v>339</v>
      </c>
      <c r="C6476" t="s">
        <v>77</v>
      </c>
      <c r="D6476">
        <v>7289</v>
      </c>
      <c r="E6476" t="s">
        <v>378</v>
      </c>
    </row>
    <row r="6477" spans="1:5" x14ac:dyDescent="0.25">
      <c r="A6477" s="279">
        <v>39200</v>
      </c>
      <c r="B6477" t="s">
        <v>339</v>
      </c>
      <c r="C6477" t="s">
        <v>78</v>
      </c>
      <c r="D6477">
        <v>7009</v>
      </c>
      <c r="E6477" t="s">
        <v>380</v>
      </c>
    </row>
    <row r="6478" spans="1:5" x14ac:dyDescent="0.25">
      <c r="A6478" s="279">
        <v>39200</v>
      </c>
      <c r="B6478" t="s">
        <v>339</v>
      </c>
      <c r="C6478" t="s">
        <v>79</v>
      </c>
      <c r="D6478">
        <v>107982</v>
      </c>
      <c r="E6478" t="s">
        <v>379</v>
      </c>
    </row>
    <row r="6479" spans="1:5" x14ac:dyDescent="0.25">
      <c r="A6479" s="279">
        <v>39200</v>
      </c>
      <c r="B6479" t="s">
        <v>339</v>
      </c>
      <c r="C6479" t="s">
        <v>70</v>
      </c>
      <c r="D6479">
        <v>0</v>
      </c>
      <c r="E6479" t="s">
        <v>379</v>
      </c>
    </row>
    <row r="6480" spans="1:5" x14ac:dyDescent="0.25">
      <c r="A6480" s="279">
        <v>39200</v>
      </c>
      <c r="B6480" t="s">
        <v>339</v>
      </c>
      <c r="C6480" t="s">
        <v>63</v>
      </c>
      <c r="D6480">
        <v>9252</v>
      </c>
      <c r="E6480" t="s">
        <v>378</v>
      </c>
    </row>
    <row r="6481" spans="1:5" x14ac:dyDescent="0.25">
      <c r="A6481" s="279">
        <v>39200</v>
      </c>
      <c r="B6481" t="s">
        <v>339</v>
      </c>
      <c r="C6481" t="s">
        <v>80</v>
      </c>
      <c r="D6481">
        <v>665</v>
      </c>
      <c r="E6481" t="s">
        <v>379</v>
      </c>
    </row>
    <row r="6482" spans="1:5" x14ac:dyDescent="0.25">
      <c r="A6482" s="279">
        <v>39201</v>
      </c>
      <c r="B6482" t="s">
        <v>338</v>
      </c>
      <c r="C6482" t="s">
        <v>59</v>
      </c>
      <c r="D6482">
        <v>2593</v>
      </c>
      <c r="E6482" t="s">
        <v>378</v>
      </c>
    </row>
    <row r="6483" spans="1:5" x14ac:dyDescent="0.25">
      <c r="A6483" s="279">
        <v>39201</v>
      </c>
      <c r="B6483" t="s">
        <v>338</v>
      </c>
      <c r="C6483" t="s">
        <v>60</v>
      </c>
      <c r="D6483">
        <v>0</v>
      </c>
      <c r="E6483" t="s">
        <v>379</v>
      </c>
    </row>
    <row r="6484" spans="1:5" x14ac:dyDescent="0.25">
      <c r="A6484" s="279">
        <v>39201</v>
      </c>
      <c r="B6484" t="s">
        <v>338</v>
      </c>
      <c r="C6484" t="s">
        <v>61</v>
      </c>
      <c r="D6484">
        <v>12148</v>
      </c>
      <c r="E6484" t="s">
        <v>378</v>
      </c>
    </row>
    <row r="6485" spans="1:5" x14ac:dyDescent="0.25">
      <c r="A6485" s="279">
        <v>39201</v>
      </c>
      <c r="B6485" t="s">
        <v>338</v>
      </c>
      <c r="C6485" t="s">
        <v>62</v>
      </c>
      <c r="D6485">
        <v>0</v>
      </c>
      <c r="E6485" t="s">
        <v>380</v>
      </c>
    </row>
    <row r="6486" spans="1:5" x14ac:dyDescent="0.25">
      <c r="A6486" s="279">
        <v>39201</v>
      </c>
      <c r="B6486" t="s">
        <v>338</v>
      </c>
      <c r="C6486" t="s">
        <v>63</v>
      </c>
      <c r="D6486">
        <v>0</v>
      </c>
      <c r="E6486" t="s">
        <v>378</v>
      </c>
    </row>
    <row r="6487" spans="1:5" x14ac:dyDescent="0.25">
      <c r="A6487" s="279">
        <v>39201</v>
      </c>
      <c r="B6487" t="s">
        <v>338</v>
      </c>
      <c r="C6487" t="s">
        <v>64</v>
      </c>
      <c r="D6487">
        <v>0</v>
      </c>
      <c r="E6487" t="s">
        <v>380</v>
      </c>
    </row>
    <row r="6488" spans="1:5" x14ac:dyDescent="0.25">
      <c r="A6488" s="279">
        <v>39201</v>
      </c>
      <c r="B6488" t="s">
        <v>338</v>
      </c>
      <c r="C6488" t="s">
        <v>65</v>
      </c>
      <c r="D6488">
        <v>0</v>
      </c>
      <c r="E6488" t="s">
        <v>378</v>
      </c>
    </row>
    <row r="6489" spans="1:5" x14ac:dyDescent="0.25">
      <c r="A6489" s="279">
        <v>39201</v>
      </c>
      <c r="B6489" t="s">
        <v>338</v>
      </c>
      <c r="C6489" t="s">
        <v>66</v>
      </c>
      <c r="D6489">
        <v>0</v>
      </c>
      <c r="E6489" t="s">
        <v>380</v>
      </c>
    </row>
    <row r="6490" spans="1:5" x14ac:dyDescent="0.25">
      <c r="A6490" s="279">
        <v>39201</v>
      </c>
      <c r="B6490" t="s">
        <v>338</v>
      </c>
      <c r="C6490" t="s">
        <v>120</v>
      </c>
      <c r="D6490">
        <v>12197</v>
      </c>
      <c r="E6490" t="s">
        <v>378</v>
      </c>
    </row>
    <row r="6491" spans="1:5" x14ac:dyDescent="0.25">
      <c r="A6491" s="279">
        <v>39201</v>
      </c>
      <c r="B6491" t="s">
        <v>338</v>
      </c>
      <c r="C6491" t="s">
        <v>121</v>
      </c>
      <c r="D6491">
        <v>0</v>
      </c>
      <c r="E6491" t="s">
        <v>380</v>
      </c>
    </row>
    <row r="6492" spans="1:5" x14ac:dyDescent="0.25">
      <c r="A6492" s="279">
        <v>39201</v>
      </c>
      <c r="B6492" t="s">
        <v>338</v>
      </c>
      <c r="C6492" t="s">
        <v>67</v>
      </c>
      <c r="D6492">
        <v>0</v>
      </c>
      <c r="E6492" t="s">
        <v>378</v>
      </c>
    </row>
    <row r="6493" spans="1:5" x14ac:dyDescent="0.25">
      <c r="A6493" s="279">
        <v>39201</v>
      </c>
      <c r="B6493" t="s">
        <v>338</v>
      </c>
      <c r="C6493" t="s">
        <v>68</v>
      </c>
      <c r="D6493">
        <v>0</v>
      </c>
      <c r="E6493" t="s">
        <v>380</v>
      </c>
    </row>
    <row r="6494" spans="1:5" x14ac:dyDescent="0.25">
      <c r="A6494" s="279">
        <v>39201</v>
      </c>
      <c r="B6494" t="s">
        <v>338</v>
      </c>
      <c r="C6494" t="s">
        <v>69</v>
      </c>
      <c r="D6494">
        <v>0</v>
      </c>
      <c r="E6494" t="s">
        <v>379</v>
      </c>
    </row>
    <row r="6495" spans="1:5" x14ac:dyDescent="0.25">
      <c r="A6495" s="279">
        <v>39201</v>
      </c>
      <c r="B6495" t="s">
        <v>338</v>
      </c>
      <c r="C6495" t="s">
        <v>70</v>
      </c>
      <c r="D6495">
        <v>0</v>
      </c>
      <c r="E6495" t="s">
        <v>379</v>
      </c>
    </row>
    <row r="6496" spans="1:5" x14ac:dyDescent="0.25">
      <c r="A6496" s="279">
        <v>39201</v>
      </c>
      <c r="B6496" t="s">
        <v>338</v>
      </c>
      <c r="C6496" t="s">
        <v>80</v>
      </c>
      <c r="D6496">
        <v>224</v>
      </c>
      <c r="E6496" t="s">
        <v>379</v>
      </c>
    </row>
    <row r="6497" spans="1:5" x14ac:dyDescent="0.25">
      <c r="A6497" s="279">
        <v>39201</v>
      </c>
      <c r="B6497" t="s">
        <v>339</v>
      </c>
      <c r="C6497" t="s">
        <v>71</v>
      </c>
      <c r="D6497">
        <v>1910</v>
      </c>
      <c r="E6497" t="s">
        <v>378</v>
      </c>
    </row>
    <row r="6498" spans="1:5" x14ac:dyDescent="0.25">
      <c r="A6498" s="279">
        <v>39201</v>
      </c>
      <c r="B6498" t="s">
        <v>339</v>
      </c>
      <c r="C6498" t="s">
        <v>72</v>
      </c>
      <c r="D6498">
        <v>0</v>
      </c>
      <c r="E6498" t="s">
        <v>380</v>
      </c>
    </row>
    <row r="6499" spans="1:5" x14ac:dyDescent="0.25">
      <c r="A6499" s="279">
        <v>39201</v>
      </c>
      <c r="B6499" t="s">
        <v>339</v>
      </c>
      <c r="C6499" t="s">
        <v>73</v>
      </c>
      <c r="D6499">
        <v>13441</v>
      </c>
      <c r="E6499" t="s">
        <v>378</v>
      </c>
    </row>
    <row r="6500" spans="1:5" x14ac:dyDescent="0.25">
      <c r="A6500" s="279">
        <v>39201</v>
      </c>
      <c r="B6500" t="s">
        <v>339</v>
      </c>
      <c r="C6500" t="s">
        <v>74</v>
      </c>
      <c r="D6500">
        <v>0</v>
      </c>
      <c r="E6500" t="s">
        <v>380</v>
      </c>
    </row>
    <row r="6501" spans="1:5" x14ac:dyDescent="0.25">
      <c r="A6501" s="279">
        <v>39201</v>
      </c>
      <c r="B6501" t="s">
        <v>339</v>
      </c>
      <c r="C6501" t="s">
        <v>75</v>
      </c>
      <c r="D6501">
        <v>15242</v>
      </c>
      <c r="E6501" t="s">
        <v>378</v>
      </c>
    </row>
    <row r="6502" spans="1:5" x14ac:dyDescent="0.25">
      <c r="A6502" s="279">
        <v>39201</v>
      </c>
      <c r="B6502" t="s">
        <v>339</v>
      </c>
      <c r="C6502" t="s">
        <v>76</v>
      </c>
      <c r="D6502">
        <v>12825</v>
      </c>
      <c r="E6502" t="s">
        <v>380</v>
      </c>
    </row>
    <row r="6503" spans="1:5" x14ac:dyDescent="0.25">
      <c r="A6503" s="279">
        <v>39201</v>
      </c>
      <c r="B6503" t="s">
        <v>339</v>
      </c>
      <c r="C6503" t="s">
        <v>77</v>
      </c>
      <c r="D6503">
        <v>7268</v>
      </c>
      <c r="E6503" t="s">
        <v>378</v>
      </c>
    </row>
    <row r="6504" spans="1:5" x14ac:dyDescent="0.25">
      <c r="A6504" s="279">
        <v>39201</v>
      </c>
      <c r="B6504" t="s">
        <v>339</v>
      </c>
      <c r="C6504" t="s">
        <v>78</v>
      </c>
      <c r="D6504">
        <v>6988</v>
      </c>
      <c r="E6504" t="s">
        <v>380</v>
      </c>
    </row>
    <row r="6505" spans="1:5" x14ac:dyDescent="0.25">
      <c r="A6505" s="279">
        <v>39201</v>
      </c>
      <c r="B6505" t="s">
        <v>339</v>
      </c>
      <c r="C6505" t="s">
        <v>79</v>
      </c>
      <c r="D6505">
        <v>107670</v>
      </c>
      <c r="E6505" t="s">
        <v>379</v>
      </c>
    </row>
    <row r="6506" spans="1:5" x14ac:dyDescent="0.25">
      <c r="A6506" s="279">
        <v>39201</v>
      </c>
      <c r="B6506" t="s">
        <v>339</v>
      </c>
      <c r="C6506" t="s">
        <v>70</v>
      </c>
      <c r="D6506">
        <v>0</v>
      </c>
      <c r="E6506" t="s">
        <v>379</v>
      </c>
    </row>
    <row r="6507" spans="1:5" x14ac:dyDescent="0.25">
      <c r="A6507" s="279">
        <v>39201</v>
      </c>
      <c r="B6507" t="s">
        <v>339</v>
      </c>
      <c r="C6507" t="s">
        <v>63</v>
      </c>
      <c r="D6507">
        <v>9225</v>
      </c>
      <c r="E6507" t="s">
        <v>378</v>
      </c>
    </row>
    <row r="6508" spans="1:5" x14ac:dyDescent="0.25">
      <c r="A6508" s="279">
        <v>39201</v>
      </c>
      <c r="B6508" t="s">
        <v>339</v>
      </c>
      <c r="C6508" t="s">
        <v>80</v>
      </c>
      <c r="D6508">
        <v>662</v>
      </c>
      <c r="E6508" t="s">
        <v>379</v>
      </c>
    </row>
    <row r="6509" spans="1:5" x14ac:dyDescent="0.25">
      <c r="A6509" s="279">
        <v>39202</v>
      </c>
      <c r="B6509" t="s">
        <v>338</v>
      </c>
      <c r="C6509" t="s">
        <v>59</v>
      </c>
      <c r="D6509">
        <v>2588</v>
      </c>
      <c r="E6509" t="s">
        <v>378</v>
      </c>
    </row>
    <row r="6510" spans="1:5" x14ac:dyDescent="0.25">
      <c r="A6510" s="279">
        <v>39202</v>
      </c>
      <c r="B6510" t="s">
        <v>338</v>
      </c>
      <c r="C6510" t="s">
        <v>60</v>
      </c>
      <c r="D6510">
        <v>0</v>
      </c>
      <c r="E6510" t="s">
        <v>379</v>
      </c>
    </row>
    <row r="6511" spans="1:5" x14ac:dyDescent="0.25">
      <c r="A6511" s="279">
        <v>39202</v>
      </c>
      <c r="B6511" t="s">
        <v>338</v>
      </c>
      <c r="C6511" t="s">
        <v>61</v>
      </c>
      <c r="D6511">
        <v>12230</v>
      </c>
      <c r="E6511" t="s">
        <v>378</v>
      </c>
    </row>
    <row r="6512" spans="1:5" x14ac:dyDescent="0.25">
      <c r="A6512" s="279">
        <v>39202</v>
      </c>
      <c r="B6512" t="s">
        <v>338</v>
      </c>
      <c r="C6512" t="s">
        <v>62</v>
      </c>
      <c r="D6512">
        <v>0</v>
      </c>
      <c r="E6512" t="s">
        <v>380</v>
      </c>
    </row>
    <row r="6513" spans="1:5" x14ac:dyDescent="0.25">
      <c r="A6513" s="279">
        <v>39202</v>
      </c>
      <c r="B6513" t="s">
        <v>338</v>
      </c>
      <c r="C6513" t="s">
        <v>63</v>
      </c>
      <c r="D6513">
        <v>0</v>
      </c>
      <c r="E6513" t="s">
        <v>378</v>
      </c>
    </row>
    <row r="6514" spans="1:5" x14ac:dyDescent="0.25">
      <c r="A6514" s="279">
        <v>39202</v>
      </c>
      <c r="B6514" t="s">
        <v>338</v>
      </c>
      <c r="C6514" t="s">
        <v>64</v>
      </c>
      <c r="D6514">
        <v>0</v>
      </c>
      <c r="E6514" t="s">
        <v>380</v>
      </c>
    </row>
    <row r="6515" spans="1:5" x14ac:dyDescent="0.25">
      <c r="A6515" s="279">
        <v>39202</v>
      </c>
      <c r="B6515" t="s">
        <v>338</v>
      </c>
      <c r="C6515" t="s">
        <v>65</v>
      </c>
      <c r="D6515">
        <v>0</v>
      </c>
      <c r="E6515" t="s">
        <v>378</v>
      </c>
    </row>
    <row r="6516" spans="1:5" x14ac:dyDescent="0.25">
      <c r="A6516" s="279">
        <v>39202</v>
      </c>
      <c r="B6516" t="s">
        <v>338</v>
      </c>
      <c r="C6516" t="s">
        <v>66</v>
      </c>
      <c r="D6516">
        <v>0</v>
      </c>
      <c r="E6516" t="s">
        <v>380</v>
      </c>
    </row>
    <row r="6517" spans="1:5" x14ac:dyDescent="0.25">
      <c r="A6517" s="279">
        <v>39202</v>
      </c>
      <c r="B6517" t="s">
        <v>338</v>
      </c>
      <c r="C6517" t="s">
        <v>120</v>
      </c>
      <c r="D6517">
        <v>12173</v>
      </c>
      <c r="E6517" t="s">
        <v>378</v>
      </c>
    </row>
    <row r="6518" spans="1:5" x14ac:dyDescent="0.25">
      <c r="A6518" s="279">
        <v>39202</v>
      </c>
      <c r="B6518" t="s">
        <v>338</v>
      </c>
      <c r="C6518" t="s">
        <v>121</v>
      </c>
      <c r="D6518">
        <v>0</v>
      </c>
      <c r="E6518" t="s">
        <v>380</v>
      </c>
    </row>
    <row r="6519" spans="1:5" x14ac:dyDescent="0.25">
      <c r="A6519" s="279">
        <v>39202</v>
      </c>
      <c r="B6519" t="s">
        <v>338</v>
      </c>
      <c r="C6519" t="s">
        <v>67</v>
      </c>
      <c r="D6519">
        <v>0</v>
      </c>
      <c r="E6519" t="s">
        <v>378</v>
      </c>
    </row>
    <row r="6520" spans="1:5" x14ac:dyDescent="0.25">
      <c r="A6520" s="279">
        <v>39202</v>
      </c>
      <c r="B6520" t="s">
        <v>338</v>
      </c>
      <c r="C6520" t="s">
        <v>68</v>
      </c>
      <c r="D6520">
        <v>0</v>
      </c>
      <c r="E6520" t="s">
        <v>380</v>
      </c>
    </row>
    <row r="6521" spans="1:5" x14ac:dyDescent="0.25">
      <c r="A6521" s="279">
        <v>39202</v>
      </c>
      <c r="B6521" t="s">
        <v>338</v>
      </c>
      <c r="C6521" t="s">
        <v>69</v>
      </c>
      <c r="D6521">
        <v>0</v>
      </c>
      <c r="E6521" t="s">
        <v>379</v>
      </c>
    </row>
    <row r="6522" spans="1:5" x14ac:dyDescent="0.25">
      <c r="A6522" s="279">
        <v>39202</v>
      </c>
      <c r="B6522" t="s">
        <v>338</v>
      </c>
      <c r="C6522" t="s">
        <v>70</v>
      </c>
      <c r="D6522">
        <v>0</v>
      </c>
      <c r="E6522" t="s">
        <v>379</v>
      </c>
    </row>
    <row r="6523" spans="1:5" x14ac:dyDescent="0.25">
      <c r="A6523" s="279">
        <v>39202</v>
      </c>
      <c r="B6523" t="s">
        <v>338</v>
      </c>
      <c r="C6523" t="s">
        <v>80</v>
      </c>
      <c r="D6523">
        <v>225</v>
      </c>
      <c r="E6523" t="s">
        <v>379</v>
      </c>
    </row>
    <row r="6524" spans="1:5" x14ac:dyDescent="0.25">
      <c r="A6524" s="279">
        <v>39202</v>
      </c>
      <c r="B6524" t="s">
        <v>339</v>
      </c>
      <c r="C6524" t="s">
        <v>71</v>
      </c>
      <c r="D6524">
        <v>1910</v>
      </c>
      <c r="E6524" t="s">
        <v>378</v>
      </c>
    </row>
    <row r="6525" spans="1:5" x14ac:dyDescent="0.25">
      <c r="A6525" s="279">
        <v>39202</v>
      </c>
      <c r="B6525" t="s">
        <v>339</v>
      </c>
      <c r="C6525" t="s">
        <v>72</v>
      </c>
      <c r="D6525">
        <v>0</v>
      </c>
      <c r="E6525" t="s">
        <v>380</v>
      </c>
    </row>
    <row r="6526" spans="1:5" x14ac:dyDescent="0.25">
      <c r="A6526" s="279">
        <v>39202</v>
      </c>
      <c r="B6526" t="s">
        <v>339</v>
      </c>
      <c r="C6526" t="s">
        <v>73</v>
      </c>
      <c r="D6526">
        <v>13487</v>
      </c>
      <c r="E6526" t="s">
        <v>378</v>
      </c>
    </row>
    <row r="6527" spans="1:5" x14ac:dyDescent="0.25">
      <c r="A6527" s="279">
        <v>39202</v>
      </c>
      <c r="B6527" t="s">
        <v>339</v>
      </c>
      <c r="C6527" t="s">
        <v>74</v>
      </c>
      <c r="D6527">
        <v>0</v>
      </c>
      <c r="E6527" t="s">
        <v>380</v>
      </c>
    </row>
    <row r="6528" spans="1:5" x14ac:dyDescent="0.25">
      <c r="A6528" s="279">
        <v>39202</v>
      </c>
      <c r="B6528" t="s">
        <v>339</v>
      </c>
      <c r="C6528" t="s">
        <v>75</v>
      </c>
      <c r="D6528">
        <v>15242</v>
      </c>
      <c r="E6528" t="s">
        <v>378</v>
      </c>
    </row>
    <row r="6529" spans="1:5" x14ac:dyDescent="0.25">
      <c r="A6529" s="279">
        <v>39202</v>
      </c>
      <c r="B6529" t="s">
        <v>339</v>
      </c>
      <c r="C6529" t="s">
        <v>76</v>
      </c>
      <c r="D6529">
        <v>3044</v>
      </c>
      <c r="E6529" t="s">
        <v>380</v>
      </c>
    </row>
    <row r="6530" spans="1:5" x14ac:dyDescent="0.25">
      <c r="A6530" s="279">
        <v>39202</v>
      </c>
      <c r="B6530" t="s">
        <v>339</v>
      </c>
      <c r="C6530" t="s">
        <v>77</v>
      </c>
      <c r="D6530">
        <v>7268</v>
      </c>
      <c r="E6530" t="s">
        <v>378</v>
      </c>
    </row>
    <row r="6531" spans="1:5" x14ac:dyDescent="0.25">
      <c r="A6531" s="279">
        <v>39202</v>
      </c>
      <c r="B6531" t="s">
        <v>339</v>
      </c>
      <c r="C6531" t="s">
        <v>78</v>
      </c>
      <c r="D6531">
        <v>6988</v>
      </c>
      <c r="E6531" t="s">
        <v>380</v>
      </c>
    </row>
    <row r="6532" spans="1:5" x14ac:dyDescent="0.25">
      <c r="A6532" s="279">
        <v>39202</v>
      </c>
      <c r="B6532" t="s">
        <v>339</v>
      </c>
      <c r="C6532" t="s">
        <v>79</v>
      </c>
      <c r="D6532">
        <v>107670</v>
      </c>
      <c r="E6532" t="s">
        <v>379</v>
      </c>
    </row>
    <row r="6533" spans="1:5" x14ac:dyDescent="0.25">
      <c r="A6533" s="279">
        <v>39202</v>
      </c>
      <c r="B6533" t="s">
        <v>339</v>
      </c>
      <c r="C6533" t="s">
        <v>70</v>
      </c>
      <c r="D6533">
        <v>0</v>
      </c>
      <c r="E6533" t="s">
        <v>379</v>
      </c>
    </row>
    <row r="6534" spans="1:5" x14ac:dyDescent="0.25">
      <c r="A6534" s="279">
        <v>39202</v>
      </c>
      <c r="B6534" t="s">
        <v>339</v>
      </c>
      <c r="C6534" t="s">
        <v>63</v>
      </c>
      <c r="D6534">
        <v>9225</v>
      </c>
      <c r="E6534" t="s">
        <v>378</v>
      </c>
    </row>
    <row r="6535" spans="1:5" x14ac:dyDescent="0.25">
      <c r="A6535" s="279">
        <v>39202</v>
      </c>
      <c r="B6535" t="s">
        <v>339</v>
      </c>
      <c r="C6535" t="s">
        <v>80</v>
      </c>
      <c r="D6535">
        <v>664</v>
      </c>
      <c r="E6535" t="s">
        <v>379</v>
      </c>
    </row>
    <row r="6536" spans="1:5" x14ac:dyDescent="0.25">
      <c r="A6536" s="279">
        <v>39203</v>
      </c>
      <c r="B6536" t="s">
        <v>338</v>
      </c>
      <c r="C6536" t="s">
        <v>59</v>
      </c>
      <c r="D6536">
        <v>2585</v>
      </c>
      <c r="E6536" t="s">
        <v>378</v>
      </c>
    </row>
    <row r="6537" spans="1:5" x14ac:dyDescent="0.25">
      <c r="A6537" s="279">
        <v>39203</v>
      </c>
      <c r="B6537" t="s">
        <v>338</v>
      </c>
      <c r="C6537" t="s">
        <v>60</v>
      </c>
      <c r="D6537">
        <v>0</v>
      </c>
      <c r="E6537" t="s">
        <v>379</v>
      </c>
    </row>
    <row r="6538" spans="1:5" x14ac:dyDescent="0.25">
      <c r="A6538" s="279">
        <v>39203</v>
      </c>
      <c r="B6538" t="s">
        <v>338</v>
      </c>
      <c r="C6538" t="s">
        <v>61</v>
      </c>
      <c r="D6538">
        <v>13074</v>
      </c>
      <c r="E6538" t="s">
        <v>378</v>
      </c>
    </row>
    <row r="6539" spans="1:5" x14ac:dyDescent="0.25">
      <c r="A6539" s="279">
        <v>39203</v>
      </c>
      <c r="B6539" t="s">
        <v>338</v>
      </c>
      <c r="C6539" t="s">
        <v>62</v>
      </c>
      <c r="D6539">
        <v>0</v>
      </c>
      <c r="E6539" t="s">
        <v>380</v>
      </c>
    </row>
    <row r="6540" spans="1:5" x14ac:dyDescent="0.25">
      <c r="A6540" s="279">
        <v>39203</v>
      </c>
      <c r="B6540" t="s">
        <v>338</v>
      </c>
      <c r="C6540" t="s">
        <v>63</v>
      </c>
      <c r="D6540">
        <v>0</v>
      </c>
      <c r="E6540" t="s">
        <v>378</v>
      </c>
    </row>
    <row r="6541" spans="1:5" x14ac:dyDescent="0.25">
      <c r="A6541" s="279">
        <v>39203</v>
      </c>
      <c r="B6541" t="s">
        <v>338</v>
      </c>
      <c r="C6541" t="s">
        <v>64</v>
      </c>
      <c r="D6541">
        <v>0</v>
      </c>
      <c r="E6541" t="s">
        <v>380</v>
      </c>
    </row>
    <row r="6542" spans="1:5" x14ac:dyDescent="0.25">
      <c r="A6542" s="279">
        <v>39203</v>
      </c>
      <c r="B6542" t="s">
        <v>338</v>
      </c>
      <c r="C6542" t="s">
        <v>65</v>
      </c>
      <c r="D6542">
        <v>0</v>
      </c>
      <c r="E6542" t="s">
        <v>378</v>
      </c>
    </row>
    <row r="6543" spans="1:5" x14ac:dyDescent="0.25">
      <c r="A6543" s="279">
        <v>39203</v>
      </c>
      <c r="B6543" t="s">
        <v>338</v>
      </c>
      <c r="C6543" t="s">
        <v>66</v>
      </c>
      <c r="D6543">
        <v>0</v>
      </c>
      <c r="E6543" t="s">
        <v>380</v>
      </c>
    </row>
    <row r="6544" spans="1:5" x14ac:dyDescent="0.25">
      <c r="A6544" s="279">
        <v>39203</v>
      </c>
      <c r="B6544" t="s">
        <v>338</v>
      </c>
      <c r="C6544" t="s">
        <v>120</v>
      </c>
      <c r="D6544">
        <v>3723</v>
      </c>
      <c r="E6544" t="s">
        <v>378</v>
      </c>
    </row>
    <row r="6545" spans="1:5" x14ac:dyDescent="0.25">
      <c r="A6545" s="279">
        <v>39203</v>
      </c>
      <c r="B6545" t="s">
        <v>338</v>
      </c>
      <c r="C6545" t="s">
        <v>121</v>
      </c>
      <c r="D6545">
        <v>0</v>
      </c>
      <c r="E6545" t="s">
        <v>380</v>
      </c>
    </row>
    <row r="6546" spans="1:5" x14ac:dyDescent="0.25">
      <c r="A6546" s="279">
        <v>39203</v>
      </c>
      <c r="B6546" t="s">
        <v>338</v>
      </c>
      <c r="C6546" t="s">
        <v>67</v>
      </c>
      <c r="D6546">
        <v>0</v>
      </c>
      <c r="E6546" t="s">
        <v>378</v>
      </c>
    </row>
    <row r="6547" spans="1:5" x14ac:dyDescent="0.25">
      <c r="A6547" s="279">
        <v>39203</v>
      </c>
      <c r="B6547" t="s">
        <v>338</v>
      </c>
      <c r="C6547" t="s">
        <v>68</v>
      </c>
      <c r="D6547">
        <v>0</v>
      </c>
      <c r="E6547" t="s">
        <v>380</v>
      </c>
    </row>
    <row r="6548" spans="1:5" x14ac:dyDescent="0.25">
      <c r="A6548" s="279">
        <v>39203</v>
      </c>
      <c r="B6548" t="s">
        <v>338</v>
      </c>
      <c r="C6548" t="s">
        <v>69</v>
      </c>
      <c r="D6548">
        <v>0</v>
      </c>
      <c r="E6548" t="s">
        <v>379</v>
      </c>
    </row>
    <row r="6549" spans="1:5" x14ac:dyDescent="0.25">
      <c r="A6549" s="279">
        <v>39203</v>
      </c>
      <c r="B6549" t="s">
        <v>338</v>
      </c>
      <c r="C6549" t="s">
        <v>70</v>
      </c>
      <c r="D6549">
        <v>0</v>
      </c>
      <c r="E6549" t="s">
        <v>379</v>
      </c>
    </row>
    <row r="6550" spans="1:5" x14ac:dyDescent="0.25">
      <c r="A6550" s="279">
        <v>39203</v>
      </c>
      <c r="B6550" t="s">
        <v>338</v>
      </c>
      <c r="C6550" t="s">
        <v>80</v>
      </c>
      <c r="D6550">
        <v>159</v>
      </c>
      <c r="E6550" t="s">
        <v>379</v>
      </c>
    </row>
    <row r="6551" spans="1:5" x14ac:dyDescent="0.25">
      <c r="A6551" s="279">
        <v>39203</v>
      </c>
      <c r="B6551" t="s">
        <v>339</v>
      </c>
      <c r="C6551" t="s">
        <v>71</v>
      </c>
      <c r="D6551">
        <v>1908</v>
      </c>
      <c r="E6551" t="s">
        <v>378</v>
      </c>
    </row>
    <row r="6552" spans="1:5" x14ac:dyDescent="0.25">
      <c r="A6552" s="279">
        <v>39203</v>
      </c>
      <c r="B6552" t="s">
        <v>339</v>
      </c>
      <c r="C6552" t="s">
        <v>72</v>
      </c>
      <c r="D6552">
        <v>0</v>
      </c>
      <c r="E6552" t="s">
        <v>380</v>
      </c>
    </row>
    <row r="6553" spans="1:5" x14ac:dyDescent="0.25">
      <c r="A6553" s="279">
        <v>39203</v>
      </c>
      <c r="B6553" t="s">
        <v>339</v>
      </c>
      <c r="C6553" t="s">
        <v>73</v>
      </c>
      <c r="D6553">
        <v>16963</v>
      </c>
      <c r="E6553" t="s">
        <v>378</v>
      </c>
    </row>
    <row r="6554" spans="1:5" x14ac:dyDescent="0.25">
      <c r="A6554" s="279">
        <v>39203</v>
      </c>
      <c r="B6554" t="s">
        <v>339</v>
      </c>
      <c r="C6554" t="s">
        <v>74</v>
      </c>
      <c r="D6554">
        <v>0</v>
      </c>
      <c r="E6554" t="s">
        <v>380</v>
      </c>
    </row>
    <row r="6555" spans="1:5" x14ac:dyDescent="0.25">
      <c r="A6555" s="279">
        <v>39203</v>
      </c>
      <c r="B6555" t="s">
        <v>339</v>
      </c>
      <c r="C6555" t="s">
        <v>75</v>
      </c>
      <c r="D6555">
        <v>15228</v>
      </c>
      <c r="E6555" t="s">
        <v>378</v>
      </c>
    </row>
    <row r="6556" spans="1:5" x14ac:dyDescent="0.25">
      <c r="A6556" s="279">
        <v>39203</v>
      </c>
      <c r="B6556" t="s">
        <v>339</v>
      </c>
      <c r="C6556" t="s">
        <v>76</v>
      </c>
      <c r="D6556">
        <v>13963</v>
      </c>
      <c r="E6556" t="s">
        <v>380</v>
      </c>
    </row>
    <row r="6557" spans="1:5" x14ac:dyDescent="0.25">
      <c r="A6557" s="279">
        <v>39203</v>
      </c>
      <c r="B6557" t="s">
        <v>339</v>
      </c>
      <c r="C6557" t="s">
        <v>77</v>
      </c>
      <c r="D6557">
        <v>7261</v>
      </c>
      <c r="E6557" t="s">
        <v>378</v>
      </c>
    </row>
    <row r="6558" spans="1:5" x14ac:dyDescent="0.25">
      <c r="A6558" s="279">
        <v>39203</v>
      </c>
      <c r="B6558" t="s">
        <v>339</v>
      </c>
      <c r="C6558" t="s">
        <v>78</v>
      </c>
      <c r="D6558">
        <v>6982</v>
      </c>
      <c r="E6558" t="s">
        <v>380</v>
      </c>
    </row>
    <row r="6559" spans="1:5" x14ac:dyDescent="0.25">
      <c r="A6559" s="279">
        <v>39203</v>
      </c>
      <c r="B6559" t="s">
        <v>339</v>
      </c>
      <c r="C6559" t="s">
        <v>79</v>
      </c>
      <c r="D6559">
        <v>102078</v>
      </c>
      <c r="E6559" t="s">
        <v>379</v>
      </c>
    </row>
    <row r="6560" spans="1:5" x14ac:dyDescent="0.25">
      <c r="A6560" s="279">
        <v>39203</v>
      </c>
      <c r="B6560" t="s">
        <v>339</v>
      </c>
      <c r="C6560" t="s">
        <v>70</v>
      </c>
      <c r="D6560">
        <v>0</v>
      </c>
      <c r="E6560" t="s">
        <v>379</v>
      </c>
    </row>
    <row r="6561" spans="1:5" x14ac:dyDescent="0.25">
      <c r="A6561" s="279">
        <v>39203</v>
      </c>
      <c r="B6561" t="s">
        <v>339</v>
      </c>
      <c r="C6561" t="s">
        <v>63</v>
      </c>
      <c r="D6561">
        <v>0</v>
      </c>
      <c r="E6561" t="s">
        <v>378</v>
      </c>
    </row>
    <row r="6562" spans="1:5" x14ac:dyDescent="0.25">
      <c r="A6562" s="279">
        <v>39203</v>
      </c>
      <c r="B6562" t="s">
        <v>339</v>
      </c>
      <c r="C6562" t="s">
        <v>80</v>
      </c>
      <c r="D6562">
        <v>795</v>
      </c>
      <c r="E6562" t="s">
        <v>379</v>
      </c>
    </row>
    <row r="6563" spans="1:5" x14ac:dyDescent="0.25">
      <c r="A6563" s="279">
        <v>39204</v>
      </c>
      <c r="B6563" t="s">
        <v>338</v>
      </c>
      <c r="C6563" t="s">
        <v>59</v>
      </c>
      <c r="D6563">
        <v>2575</v>
      </c>
      <c r="E6563" t="s">
        <v>378</v>
      </c>
    </row>
    <row r="6564" spans="1:5" x14ac:dyDescent="0.25">
      <c r="A6564" s="279">
        <v>39204</v>
      </c>
      <c r="B6564" t="s">
        <v>338</v>
      </c>
      <c r="C6564" t="s">
        <v>60</v>
      </c>
      <c r="D6564">
        <v>0</v>
      </c>
      <c r="E6564" t="s">
        <v>379</v>
      </c>
    </row>
    <row r="6565" spans="1:5" x14ac:dyDescent="0.25">
      <c r="A6565" s="279">
        <v>39204</v>
      </c>
      <c r="B6565" t="s">
        <v>338</v>
      </c>
      <c r="C6565" t="s">
        <v>61</v>
      </c>
      <c r="D6565">
        <v>13024</v>
      </c>
      <c r="E6565" t="s">
        <v>378</v>
      </c>
    </row>
    <row r="6566" spans="1:5" x14ac:dyDescent="0.25">
      <c r="A6566" s="279">
        <v>39204</v>
      </c>
      <c r="B6566" t="s">
        <v>338</v>
      </c>
      <c r="C6566" t="s">
        <v>62</v>
      </c>
      <c r="D6566">
        <v>0</v>
      </c>
      <c r="E6566" t="s">
        <v>380</v>
      </c>
    </row>
    <row r="6567" spans="1:5" x14ac:dyDescent="0.25">
      <c r="A6567" s="279">
        <v>39204</v>
      </c>
      <c r="B6567" t="s">
        <v>338</v>
      </c>
      <c r="C6567" t="s">
        <v>63</v>
      </c>
      <c r="D6567">
        <v>0</v>
      </c>
      <c r="E6567" t="s">
        <v>378</v>
      </c>
    </row>
    <row r="6568" spans="1:5" x14ac:dyDescent="0.25">
      <c r="A6568" s="279">
        <v>39204</v>
      </c>
      <c r="B6568" t="s">
        <v>338</v>
      </c>
      <c r="C6568" t="s">
        <v>64</v>
      </c>
      <c r="D6568">
        <v>0</v>
      </c>
      <c r="E6568" t="s">
        <v>380</v>
      </c>
    </row>
    <row r="6569" spans="1:5" x14ac:dyDescent="0.25">
      <c r="A6569" s="279">
        <v>39204</v>
      </c>
      <c r="B6569" t="s">
        <v>338</v>
      </c>
      <c r="C6569" t="s">
        <v>65</v>
      </c>
      <c r="D6569">
        <v>0</v>
      </c>
      <c r="E6569" t="s">
        <v>378</v>
      </c>
    </row>
    <row r="6570" spans="1:5" x14ac:dyDescent="0.25">
      <c r="A6570" s="279">
        <v>39204</v>
      </c>
      <c r="B6570" t="s">
        <v>338</v>
      </c>
      <c r="C6570" t="s">
        <v>66</v>
      </c>
      <c r="D6570">
        <v>0</v>
      </c>
      <c r="E6570" t="s">
        <v>380</v>
      </c>
    </row>
    <row r="6571" spans="1:5" x14ac:dyDescent="0.25">
      <c r="A6571" s="279">
        <v>39204</v>
      </c>
      <c r="B6571" t="s">
        <v>338</v>
      </c>
      <c r="C6571" t="s">
        <v>120</v>
      </c>
      <c r="D6571">
        <v>9518</v>
      </c>
      <c r="E6571" t="s">
        <v>378</v>
      </c>
    </row>
    <row r="6572" spans="1:5" x14ac:dyDescent="0.25">
      <c r="A6572" s="279">
        <v>39204</v>
      </c>
      <c r="B6572" t="s">
        <v>338</v>
      </c>
      <c r="C6572" t="s">
        <v>121</v>
      </c>
      <c r="D6572">
        <v>0</v>
      </c>
      <c r="E6572" t="s">
        <v>380</v>
      </c>
    </row>
    <row r="6573" spans="1:5" x14ac:dyDescent="0.25">
      <c r="A6573" s="279">
        <v>39204</v>
      </c>
      <c r="B6573" t="s">
        <v>338</v>
      </c>
      <c r="C6573" t="s">
        <v>67</v>
      </c>
      <c r="D6573">
        <v>0</v>
      </c>
      <c r="E6573" t="s">
        <v>378</v>
      </c>
    </row>
    <row r="6574" spans="1:5" x14ac:dyDescent="0.25">
      <c r="A6574" s="279">
        <v>39204</v>
      </c>
      <c r="B6574" t="s">
        <v>338</v>
      </c>
      <c r="C6574" t="s">
        <v>68</v>
      </c>
      <c r="D6574">
        <v>0</v>
      </c>
      <c r="E6574" t="s">
        <v>380</v>
      </c>
    </row>
    <row r="6575" spans="1:5" x14ac:dyDescent="0.25">
      <c r="A6575" s="279">
        <v>39204</v>
      </c>
      <c r="B6575" t="s">
        <v>338</v>
      </c>
      <c r="C6575" t="s">
        <v>69</v>
      </c>
      <c r="D6575">
        <v>0</v>
      </c>
      <c r="E6575" t="s">
        <v>379</v>
      </c>
    </row>
    <row r="6576" spans="1:5" x14ac:dyDescent="0.25">
      <c r="A6576" s="279">
        <v>39204</v>
      </c>
      <c r="B6576" t="s">
        <v>338</v>
      </c>
      <c r="C6576" t="s">
        <v>70</v>
      </c>
      <c r="D6576">
        <v>0</v>
      </c>
      <c r="E6576" t="s">
        <v>379</v>
      </c>
    </row>
    <row r="6577" spans="1:5" x14ac:dyDescent="0.25">
      <c r="A6577" s="279">
        <v>39204</v>
      </c>
      <c r="B6577" t="s">
        <v>338</v>
      </c>
      <c r="C6577" t="s">
        <v>80</v>
      </c>
      <c r="D6577">
        <v>208</v>
      </c>
      <c r="E6577" t="s">
        <v>379</v>
      </c>
    </row>
    <row r="6578" spans="1:5" x14ac:dyDescent="0.25">
      <c r="A6578" s="279">
        <v>39204</v>
      </c>
      <c r="B6578" t="s">
        <v>339</v>
      </c>
      <c r="C6578" t="s">
        <v>71</v>
      </c>
      <c r="D6578">
        <v>1914</v>
      </c>
      <c r="E6578" t="s">
        <v>378</v>
      </c>
    </row>
    <row r="6579" spans="1:5" x14ac:dyDescent="0.25">
      <c r="A6579" s="279">
        <v>39204</v>
      </c>
      <c r="B6579" t="s">
        <v>339</v>
      </c>
      <c r="C6579" t="s">
        <v>72</v>
      </c>
      <c r="D6579">
        <v>0</v>
      </c>
      <c r="E6579" t="s">
        <v>380</v>
      </c>
    </row>
    <row r="6580" spans="1:5" x14ac:dyDescent="0.25">
      <c r="A6580" s="279">
        <v>39204</v>
      </c>
      <c r="B6580" t="s">
        <v>339</v>
      </c>
      <c r="C6580" t="s">
        <v>73</v>
      </c>
      <c r="D6580">
        <v>17012</v>
      </c>
      <c r="E6580" t="s">
        <v>378</v>
      </c>
    </row>
    <row r="6581" spans="1:5" x14ac:dyDescent="0.25">
      <c r="A6581" s="279">
        <v>39204</v>
      </c>
      <c r="B6581" t="s">
        <v>339</v>
      </c>
      <c r="C6581" t="s">
        <v>74</v>
      </c>
      <c r="D6581">
        <v>0</v>
      </c>
      <c r="E6581" t="s">
        <v>380</v>
      </c>
    </row>
    <row r="6582" spans="1:5" x14ac:dyDescent="0.25">
      <c r="A6582" s="279">
        <v>39204</v>
      </c>
      <c r="B6582" t="s">
        <v>339</v>
      </c>
      <c r="C6582" t="s">
        <v>75</v>
      </c>
      <c r="D6582">
        <v>15272</v>
      </c>
      <c r="E6582" t="s">
        <v>378</v>
      </c>
    </row>
    <row r="6583" spans="1:5" x14ac:dyDescent="0.25">
      <c r="A6583" s="279">
        <v>39204</v>
      </c>
      <c r="B6583" t="s">
        <v>339</v>
      </c>
      <c r="C6583" t="s">
        <v>76</v>
      </c>
      <c r="D6583">
        <v>13726</v>
      </c>
      <c r="E6583" t="s">
        <v>380</v>
      </c>
    </row>
    <row r="6584" spans="1:5" x14ac:dyDescent="0.25">
      <c r="A6584" s="279">
        <v>39204</v>
      </c>
      <c r="B6584" t="s">
        <v>339</v>
      </c>
      <c r="C6584" t="s">
        <v>77</v>
      </c>
      <c r="D6584">
        <v>7282</v>
      </c>
      <c r="E6584" t="s">
        <v>378</v>
      </c>
    </row>
    <row r="6585" spans="1:5" x14ac:dyDescent="0.25">
      <c r="A6585" s="279">
        <v>39204</v>
      </c>
      <c r="B6585" t="s">
        <v>339</v>
      </c>
      <c r="C6585" t="s">
        <v>78</v>
      </c>
      <c r="D6585">
        <v>7002</v>
      </c>
      <c r="E6585" t="s">
        <v>380</v>
      </c>
    </row>
    <row r="6586" spans="1:5" x14ac:dyDescent="0.25">
      <c r="A6586" s="279">
        <v>39204</v>
      </c>
      <c r="B6586" t="s">
        <v>339</v>
      </c>
      <c r="C6586" t="s">
        <v>79</v>
      </c>
      <c r="D6586">
        <v>102374</v>
      </c>
      <c r="E6586" t="s">
        <v>379</v>
      </c>
    </row>
    <row r="6587" spans="1:5" x14ac:dyDescent="0.25">
      <c r="A6587" s="279">
        <v>39204</v>
      </c>
      <c r="B6587" t="s">
        <v>339</v>
      </c>
      <c r="C6587" t="s">
        <v>70</v>
      </c>
      <c r="D6587">
        <v>0</v>
      </c>
      <c r="E6587" t="s">
        <v>379</v>
      </c>
    </row>
    <row r="6588" spans="1:5" x14ac:dyDescent="0.25">
      <c r="A6588" s="279">
        <v>39204</v>
      </c>
      <c r="B6588" t="s">
        <v>339</v>
      </c>
      <c r="C6588" t="s">
        <v>63</v>
      </c>
      <c r="D6588">
        <v>0</v>
      </c>
      <c r="E6588" t="s">
        <v>378</v>
      </c>
    </row>
    <row r="6589" spans="1:5" x14ac:dyDescent="0.25">
      <c r="A6589" s="279">
        <v>39204</v>
      </c>
      <c r="B6589" t="s">
        <v>339</v>
      </c>
      <c r="C6589" t="s">
        <v>80</v>
      </c>
      <c r="D6589">
        <v>798</v>
      </c>
      <c r="E6589" t="s">
        <v>379</v>
      </c>
    </row>
    <row r="6590" spans="1:5" x14ac:dyDescent="0.25">
      <c r="A6590" s="279">
        <v>39205</v>
      </c>
      <c r="B6590" t="s">
        <v>338</v>
      </c>
      <c r="C6590" t="s">
        <v>59</v>
      </c>
      <c r="D6590">
        <v>2580</v>
      </c>
      <c r="E6590" t="s">
        <v>378</v>
      </c>
    </row>
    <row r="6591" spans="1:5" x14ac:dyDescent="0.25">
      <c r="A6591" s="279">
        <v>39205</v>
      </c>
      <c r="B6591" t="s">
        <v>338</v>
      </c>
      <c r="C6591" t="s">
        <v>60</v>
      </c>
      <c r="D6591">
        <v>0</v>
      </c>
      <c r="E6591" t="s">
        <v>379</v>
      </c>
    </row>
    <row r="6592" spans="1:5" x14ac:dyDescent="0.25">
      <c r="A6592" s="279">
        <v>39205</v>
      </c>
      <c r="B6592" t="s">
        <v>338</v>
      </c>
      <c r="C6592" t="s">
        <v>61</v>
      </c>
      <c r="D6592">
        <v>13049</v>
      </c>
      <c r="E6592" t="s">
        <v>378</v>
      </c>
    </row>
    <row r="6593" spans="1:5" x14ac:dyDescent="0.25">
      <c r="A6593" s="279">
        <v>39205</v>
      </c>
      <c r="B6593" t="s">
        <v>338</v>
      </c>
      <c r="C6593" t="s">
        <v>62</v>
      </c>
      <c r="D6593">
        <v>0</v>
      </c>
      <c r="E6593" t="s">
        <v>380</v>
      </c>
    </row>
    <row r="6594" spans="1:5" x14ac:dyDescent="0.25">
      <c r="A6594" s="279">
        <v>39205</v>
      </c>
      <c r="B6594" t="s">
        <v>338</v>
      </c>
      <c r="C6594" t="s">
        <v>63</v>
      </c>
      <c r="D6594">
        <v>0</v>
      </c>
      <c r="E6594" t="s">
        <v>378</v>
      </c>
    </row>
    <row r="6595" spans="1:5" x14ac:dyDescent="0.25">
      <c r="A6595" s="279">
        <v>39205</v>
      </c>
      <c r="B6595" t="s">
        <v>338</v>
      </c>
      <c r="C6595" t="s">
        <v>64</v>
      </c>
      <c r="D6595">
        <v>0</v>
      </c>
      <c r="E6595" t="s">
        <v>380</v>
      </c>
    </row>
    <row r="6596" spans="1:5" x14ac:dyDescent="0.25">
      <c r="A6596" s="279">
        <v>39205</v>
      </c>
      <c r="B6596" t="s">
        <v>338</v>
      </c>
      <c r="C6596" t="s">
        <v>65</v>
      </c>
      <c r="D6596">
        <v>0</v>
      </c>
      <c r="E6596" t="s">
        <v>378</v>
      </c>
    </row>
    <row r="6597" spans="1:5" x14ac:dyDescent="0.25">
      <c r="A6597" s="279">
        <v>39205</v>
      </c>
      <c r="B6597" t="s">
        <v>338</v>
      </c>
      <c r="C6597" t="s">
        <v>66</v>
      </c>
      <c r="D6597">
        <v>0</v>
      </c>
      <c r="E6597" t="s">
        <v>380</v>
      </c>
    </row>
    <row r="6598" spans="1:5" x14ac:dyDescent="0.25">
      <c r="A6598" s="279">
        <v>39205</v>
      </c>
      <c r="B6598" t="s">
        <v>338</v>
      </c>
      <c r="C6598" t="s">
        <v>120</v>
      </c>
      <c r="D6598">
        <v>9537</v>
      </c>
      <c r="E6598" t="s">
        <v>378</v>
      </c>
    </row>
    <row r="6599" spans="1:5" x14ac:dyDescent="0.25">
      <c r="A6599" s="279">
        <v>39205</v>
      </c>
      <c r="B6599" t="s">
        <v>338</v>
      </c>
      <c r="C6599" t="s">
        <v>121</v>
      </c>
      <c r="D6599">
        <v>0</v>
      </c>
      <c r="E6599" t="s">
        <v>380</v>
      </c>
    </row>
    <row r="6600" spans="1:5" x14ac:dyDescent="0.25">
      <c r="A6600" s="279">
        <v>39205</v>
      </c>
      <c r="B6600" t="s">
        <v>338</v>
      </c>
      <c r="C6600" t="s">
        <v>67</v>
      </c>
      <c r="D6600">
        <v>0</v>
      </c>
      <c r="E6600" t="s">
        <v>378</v>
      </c>
    </row>
    <row r="6601" spans="1:5" x14ac:dyDescent="0.25">
      <c r="A6601" s="279">
        <v>39205</v>
      </c>
      <c r="B6601" t="s">
        <v>338</v>
      </c>
      <c r="C6601" t="s">
        <v>68</v>
      </c>
      <c r="D6601">
        <v>0</v>
      </c>
      <c r="E6601" t="s">
        <v>380</v>
      </c>
    </row>
    <row r="6602" spans="1:5" x14ac:dyDescent="0.25">
      <c r="A6602" s="279">
        <v>39205</v>
      </c>
      <c r="B6602" t="s">
        <v>338</v>
      </c>
      <c r="C6602" t="s">
        <v>69</v>
      </c>
      <c r="D6602">
        <v>0</v>
      </c>
      <c r="E6602" t="s">
        <v>379</v>
      </c>
    </row>
    <row r="6603" spans="1:5" x14ac:dyDescent="0.25">
      <c r="A6603" s="279">
        <v>39205</v>
      </c>
      <c r="B6603" t="s">
        <v>338</v>
      </c>
      <c r="C6603" t="s">
        <v>70</v>
      </c>
      <c r="D6603">
        <v>0</v>
      </c>
      <c r="E6603" t="s">
        <v>379</v>
      </c>
    </row>
    <row r="6604" spans="1:5" x14ac:dyDescent="0.25">
      <c r="A6604" s="279">
        <v>39205</v>
      </c>
      <c r="B6604" t="s">
        <v>338</v>
      </c>
      <c r="C6604" t="s">
        <v>80</v>
      </c>
      <c r="D6604">
        <v>209</v>
      </c>
      <c r="E6604" t="s">
        <v>379</v>
      </c>
    </row>
    <row r="6605" spans="1:5" x14ac:dyDescent="0.25">
      <c r="A6605" s="279">
        <v>39205</v>
      </c>
      <c r="B6605" t="s">
        <v>339</v>
      </c>
      <c r="C6605" t="s">
        <v>71</v>
      </c>
      <c r="D6605">
        <v>1914</v>
      </c>
      <c r="E6605" t="s">
        <v>378</v>
      </c>
    </row>
    <row r="6606" spans="1:5" x14ac:dyDescent="0.25">
      <c r="A6606" s="279">
        <v>39205</v>
      </c>
      <c r="B6606" t="s">
        <v>339</v>
      </c>
      <c r="C6606" t="s">
        <v>72</v>
      </c>
      <c r="D6606">
        <v>0</v>
      </c>
      <c r="E6606" t="s">
        <v>380</v>
      </c>
    </row>
    <row r="6607" spans="1:5" x14ac:dyDescent="0.25">
      <c r="A6607" s="279">
        <v>39205</v>
      </c>
      <c r="B6607" t="s">
        <v>339</v>
      </c>
      <c r="C6607" t="s">
        <v>73</v>
      </c>
      <c r="D6607">
        <v>17012</v>
      </c>
      <c r="E6607" t="s">
        <v>378</v>
      </c>
    </row>
    <row r="6608" spans="1:5" x14ac:dyDescent="0.25">
      <c r="A6608" s="279">
        <v>39205</v>
      </c>
      <c r="B6608" t="s">
        <v>339</v>
      </c>
      <c r="C6608" t="s">
        <v>74</v>
      </c>
      <c r="D6608">
        <v>0</v>
      </c>
      <c r="E6608" t="s">
        <v>380</v>
      </c>
    </row>
    <row r="6609" spans="1:5" x14ac:dyDescent="0.25">
      <c r="A6609" s="279">
        <v>39205</v>
      </c>
      <c r="B6609" t="s">
        <v>339</v>
      </c>
      <c r="C6609" t="s">
        <v>75</v>
      </c>
      <c r="D6609">
        <v>15272</v>
      </c>
      <c r="E6609" t="s">
        <v>378</v>
      </c>
    </row>
    <row r="6610" spans="1:5" x14ac:dyDescent="0.25">
      <c r="A6610" s="279">
        <v>39205</v>
      </c>
      <c r="B6610" t="s">
        <v>339</v>
      </c>
      <c r="C6610" t="s">
        <v>76</v>
      </c>
      <c r="D6610">
        <v>13884</v>
      </c>
      <c r="E6610" t="s">
        <v>380</v>
      </c>
    </row>
    <row r="6611" spans="1:5" x14ac:dyDescent="0.25">
      <c r="A6611" s="279">
        <v>39205</v>
      </c>
      <c r="B6611" t="s">
        <v>339</v>
      </c>
      <c r="C6611" t="s">
        <v>77</v>
      </c>
      <c r="D6611">
        <v>7282</v>
      </c>
      <c r="E6611" t="s">
        <v>378</v>
      </c>
    </row>
    <row r="6612" spans="1:5" x14ac:dyDescent="0.25">
      <c r="A6612" s="279">
        <v>39205</v>
      </c>
      <c r="B6612" t="s">
        <v>339</v>
      </c>
      <c r="C6612" t="s">
        <v>78</v>
      </c>
      <c r="D6612">
        <v>7002</v>
      </c>
      <c r="E6612" t="s">
        <v>380</v>
      </c>
    </row>
    <row r="6613" spans="1:5" x14ac:dyDescent="0.25">
      <c r="A6613" s="279">
        <v>39205</v>
      </c>
      <c r="B6613" t="s">
        <v>339</v>
      </c>
      <c r="C6613" t="s">
        <v>79</v>
      </c>
      <c r="D6613">
        <v>102374</v>
      </c>
      <c r="E6613" t="s">
        <v>379</v>
      </c>
    </row>
    <row r="6614" spans="1:5" x14ac:dyDescent="0.25">
      <c r="A6614" s="279">
        <v>39205</v>
      </c>
      <c r="B6614" t="s">
        <v>339</v>
      </c>
      <c r="C6614" t="s">
        <v>70</v>
      </c>
      <c r="D6614">
        <v>0</v>
      </c>
      <c r="E6614" t="s">
        <v>379</v>
      </c>
    </row>
    <row r="6615" spans="1:5" x14ac:dyDescent="0.25">
      <c r="A6615" s="279">
        <v>39205</v>
      </c>
      <c r="B6615" t="s">
        <v>339</v>
      </c>
      <c r="C6615" t="s">
        <v>63</v>
      </c>
      <c r="D6615">
        <v>0</v>
      </c>
      <c r="E6615" t="s">
        <v>378</v>
      </c>
    </row>
    <row r="6616" spans="1:5" x14ac:dyDescent="0.25">
      <c r="A6616" s="279">
        <v>39205</v>
      </c>
      <c r="B6616" t="s">
        <v>339</v>
      </c>
      <c r="C6616" t="s">
        <v>80</v>
      </c>
      <c r="D6616">
        <v>798</v>
      </c>
      <c r="E6616" t="s">
        <v>379</v>
      </c>
    </row>
    <row r="6617" spans="1:5" x14ac:dyDescent="0.25">
      <c r="A6617" s="279">
        <v>39206</v>
      </c>
      <c r="B6617" t="s">
        <v>338</v>
      </c>
      <c r="C6617" t="s">
        <v>59</v>
      </c>
      <c r="D6617">
        <v>2580</v>
      </c>
      <c r="E6617" t="s">
        <v>378</v>
      </c>
    </row>
    <row r="6618" spans="1:5" x14ac:dyDescent="0.25">
      <c r="A6618" s="279">
        <v>39206</v>
      </c>
      <c r="B6618" t="s">
        <v>338</v>
      </c>
      <c r="C6618" t="s">
        <v>60</v>
      </c>
      <c r="D6618">
        <v>0</v>
      </c>
      <c r="E6618" t="s">
        <v>379</v>
      </c>
    </row>
    <row r="6619" spans="1:5" x14ac:dyDescent="0.25">
      <c r="A6619" s="279">
        <v>39206</v>
      </c>
      <c r="B6619" t="s">
        <v>338</v>
      </c>
      <c r="C6619" t="s">
        <v>61</v>
      </c>
      <c r="D6619">
        <v>13049</v>
      </c>
      <c r="E6619" t="s">
        <v>378</v>
      </c>
    </row>
    <row r="6620" spans="1:5" x14ac:dyDescent="0.25">
      <c r="A6620" s="279">
        <v>39206</v>
      </c>
      <c r="B6620" t="s">
        <v>338</v>
      </c>
      <c r="C6620" t="s">
        <v>62</v>
      </c>
      <c r="D6620">
        <v>0</v>
      </c>
      <c r="E6620" t="s">
        <v>380</v>
      </c>
    </row>
    <row r="6621" spans="1:5" x14ac:dyDescent="0.25">
      <c r="A6621" s="279">
        <v>39206</v>
      </c>
      <c r="B6621" t="s">
        <v>338</v>
      </c>
      <c r="C6621" t="s">
        <v>63</v>
      </c>
      <c r="D6621">
        <v>0</v>
      </c>
      <c r="E6621" t="s">
        <v>378</v>
      </c>
    </row>
    <row r="6622" spans="1:5" x14ac:dyDescent="0.25">
      <c r="A6622" s="279">
        <v>39206</v>
      </c>
      <c r="B6622" t="s">
        <v>338</v>
      </c>
      <c r="C6622" t="s">
        <v>64</v>
      </c>
      <c r="D6622">
        <v>0</v>
      </c>
      <c r="E6622" t="s">
        <v>380</v>
      </c>
    </row>
    <row r="6623" spans="1:5" x14ac:dyDescent="0.25">
      <c r="A6623" s="279">
        <v>39206</v>
      </c>
      <c r="B6623" t="s">
        <v>338</v>
      </c>
      <c r="C6623" t="s">
        <v>65</v>
      </c>
      <c r="D6623">
        <v>0</v>
      </c>
      <c r="E6623" t="s">
        <v>378</v>
      </c>
    </row>
    <row r="6624" spans="1:5" x14ac:dyDescent="0.25">
      <c r="A6624" s="279">
        <v>39206</v>
      </c>
      <c r="B6624" t="s">
        <v>338</v>
      </c>
      <c r="C6624" t="s">
        <v>66</v>
      </c>
      <c r="D6624">
        <v>0</v>
      </c>
      <c r="E6624" t="s">
        <v>380</v>
      </c>
    </row>
    <row r="6625" spans="1:5" x14ac:dyDescent="0.25">
      <c r="A6625" s="279">
        <v>39206</v>
      </c>
      <c r="B6625" t="s">
        <v>338</v>
      </c>
      <c r="C6625" t="s">
        <v>120</v>
      </c>
      <c r="D6625">
        <v>9609</v>
      </c>
      <c r="E6625" t="s">
        <v>378</v>
      </c>
    </row>
    <row r="6626" spans="1:5" x14ac:dyDescent="0.25">
      <c r="A6626" s="279">
        <v>39206</v>
      </c>
      <c r="B6626" t="s">
        <v>338</v>
      </c>
      <c r="C6626" t="s">
        <v>121</v>
      </c>
      <c r="D6626">
        <v>0</v>
      </c>
      <c r="E6626" t="s">
        <v>380</v>
      </c>
    </row>
    <row r="6627" spans="1:5" x14ac:dyDescent="0.25">
      <c r="A6627" s="279">
        <v>39206</v>
      </c>
      <c r="B6627" t="s">
        <v>338</v>
      </c>
      <c r="C6627" t="s">
        <v>67</v>
      </c>
      <c r="D6627">
        <v>0</v>
      </c>
      <c r="E6627" t="s">
        <v>378</v>
      </c>
    </row>
    <row r="6628" spans="1:5" x14ac:dyDescent="0.25">
      <c r="A6628" s="279">
        <v>39206</v>
      </c>
      <c r="B6628" t="s">
        <v>338</v>
      </c>
      <c r="C6628" t="s">
        <v>68</v>
      </c>
      <c r="D6628">
        <v>0</v>
      </c>
      <c r="E6628" t="s">
        <v>380</v>
      </c>
    </row>
    <row r="6629" spans="1:5" x14ac:dyDescent="0.25">
      <c r="A6629" s="279">
        <v>39206</v>
      </c>
      <c r="B6629" t="s">
        <v>338</v>
      </c>
      <c r="C6629" t="s">
        <v>69</v>
      </c>
      <c r="D6629">
        <v>0</v>
      </c>
      <c r="E6629" t="s">
        <v>379</v>
      </c>
    </row>
    <row r="6630" spans="1:5" x14ac:dyDescent="0.25">
      <c r="A6630" s="279">
        <v>39206</v>
      </c>
      <c r="B6630" t="s">
        <v>338</v>
      </c>
      <c r="C6630" t="s">
        <v>70</v>
      </c>
      <c r="D6630">
        <v>0</v>
      </c>
      <c r="E6630" t="s">
        <v>379</v>
      </c>
    </row>
    <row r="6631" spans="1:5" x14ac:dyDescent="0.25">
      <c r="A6631" s="279">
        <v>39206</v>
      </c>
      <c r="B6631" t="s">
        <v>338</v>
      </c>
      <c r="C6631" t="s">
        <v>80</v>
      </c>
      <c r="D6631">
        <v>209</v>
      </c>
      <c r="E6631" t="s">
        <v>379</v>
      </c>
    </row>
    <row r="6632" spans="1:5" x14ac:dyDescent="0.25">
      <c r="A6632" s="279">
        <v>39206</v>
      </c>
      <c r="B6632" t="s">
        <v>339</v>
      </c>
      <c r="C6632" t="s">
        <v>71</v>
      </c>
      <c r="D6632">
        <v>1908</v>
      </c>
      <c r="E6632" t="s">
        <v>378</v>
      </c>
    </row>
    <row r="6633" spans="1:5" x14ac:dyDescent="0.25">
      <c r="A6633" s="279">
        <v>39206</v>
      </c>
      <c r="B6633" t="s">
        <v>339</v>
      </c>
      <c r="C6633" t="s">
        <v>72</v>
      </c>
      <c r="D6633">
        <v>0</v>
      </c>
      <c r="E6633" t="s">
        <v>380</v>
      </c>
    </row>
    <row r="6634" spans="1:5" x14ac:dyDescent="0.25">
      <c r="A6634" s="279">
        <v>39206</v>
      </c>
      <c r="B6634" t="s">
        <v>339</v>
      </c>
      <c r="C6634" t="s">
        <v>73</v>
      </c>
      <c r="D6634">
        <v>16963</v>
      </c>
      <c r="E6634" t="s">
        <v>378</v>
      </c>
    </row>
    <row r="6635" spans="1:5" x14ac:dyDescent="0.25">
      <c r="A6635" s="279">
        <v>39206</v>
      </c>
      <c r="B6635" t="s">
        <v>339</v>
      </c>
      <c r="C6635" t="s">
        <v>74</v>
      </c>
      <c r="D6635">
        <v>0</v>
      </c>
      <c r="E6635" t="s">
        <v>380</v>
      </c>
    </row>
    <row r="6636" spans="1:5" x14ac:dyDescent="0.25">
      <c r="A6636" s="279">
        <v>39206</v>
      </c>
      <c r="B6636" t="s">
        <v>339</v>
      </c>
      <c r="C6636" t="s">
        <v>75</v>
      </c>
      <c r="D6636">
        <v>15228</v>
      </c>
      <c r="E6636" t="s">
        <v>378</v>
      </c>
    </row>
    <row r="6637" spans="1:5" x14ac:dyDescent="0.25">
      <c r="A6637" s="279">
        <v>39206</v>
      </c>
      <c r="B6637" t="s">
        <v>339</v>
      </c>
      <c r="C6637" t="s">
        <v>76</v>
      </c>
      <c r="D6637">
        <v>9295</v>
      </c>
      <c r="E6637" t="s">
        <v>380</v>
      </c>
    </row>
    <row r="6638" spans="1:5" x14ac:dyDescent="0.25">
      <c r="A6638" s="279">
        <v>39206</v>
      </c>
      <c r="B6638" t="s">
        <v>339</v>
      </c>
      <c r="C6638" t="s">
        <v>77</v>
      </c>
      <c r="D6638">
        <v>7261</v>
      </c>
      <c r="E6638" t="s">
        <v>378</v>
      </c>
    </row>
    <row r="6639" spans="1:5" x14ac:dyDescent="0.25">
      <c r="A6639" s="279">
        <v>39206</v>
      </c>
      <c r="B6639" t="s">
        <v>339</v>
      </c>
      <c r="C6639" t="s">
        <v>78</v>
      </c>
      <c r="D6639">
        <v>6982</v>
      </c>
      <c r="E6639" t="s">
        <v>380</v>
      </c>
    </row>
    <row r="6640" spans="1:5" x14ac:dyDescent="0.25">
      <c r="A6640" s="279">
        <v>39206</v>
      </c>
      <c r="B6640" t="s">
        <v>339</v>
      </c>
      <c r="C6640" t="s">
        <v>79</v>
      </c>
      <c r="D6640">
        <v>102078</v>
      </c>
      <c r="E6640" t="s">
        <v>379</v>
      </c>
    </row>
    <row r="6641" spans="1:5" x14ac:dyDescent="0.25">
      <c r="A6641" s="279">
        <v>39206</v>
      </c>
      <c r="B6641" t="s">
        <v>339</v>
      </c>
      <c r="C6641" t="s">
        <v>70</v>
      </c>
      <c r="D6641">
        <v>0</v>
      </c>
      <c r="E6641" t="s">
        <v>379</v>
      </c>
    </row>
    <row r="6642" spans="1:5" x14ac:dyDescent="0.25">
      <c r="A6642" s="279">
        <v>39206</v>
      </c>
      <c r="B6642" t="s">
        <v>339</v>
      </c>
      <c r="C6642" t="s">
        <v>63</v>
      </c>
      <c r="D6642">
        <v>0</v>
      </c>
      <c r="E6642" t="s">
        <v>378</v>
      </c>
    </row>
    <row r="6643" spans="1:5" x14ac:dyDescent="0.25">
      <c r="A6643" s="279">
        <v>39206</v>
      </c>
      <c r="B6643" t="s">
        <v>339</v>
      </c>
      <c r="C6643" t="s">
        <v>80</v>
      </c>
      <c r="D6643">
        <v>795</v>
      </c>
      <c r="E6643" t="s">
        <v>379</v>
      </c>
    </row>
    <row r="6644" spans="1:5" x14ac:dyDescent="0.25">
      <c r="A6644" s="279">
        <v>39207</v>
      </c>
      <c r="B6644" t="s">
        <v>338</v>
      </c>
      <c r="C6644" t="s">
        <v>59</v>
      </c>
      <c r="D6644">
        <v>2580</v>
      </c>
      <c r="E6644" t="s">
        <v>378</v>
      </c>
    </row>
    <row r="6645" spans="1:5" x14ac:dyDescent="0.25">
      <c r="A6645" s="279">
        <v>39207</v>
      </c>
      <c r="B6645" t="s">
        <v>338</v>
      </c>
      <c r="C6645" t="s">
        <v>60</v>
      </c>
      <c r="D6645">
        <v>0</v>
      </c>
      <c r="E6645" t="s">
        <v>379</v>
      </c>
    </row>
    <row r="6646" spans="1:5" x14ac:dyDescent="0.25">
      <c r="A6646" s="279">
        <v>39207</v>
      </c>
      <c r="B6646" t="s">
        <v>338</v>
      </c>
      <c r="C6646" t="s">
        <v>61</v>
      </c>
      <c r="D6646">
        <v>13049</v>
      </c>
      <c r="E6646" t="s">
        <v>378</v>
      </c>
    </row>
    <row r="6647" spans="1:5" x14ac:dyDescent="0.25">
      <c r="A6647" s="279">
        <v>39207</v>
      </c>
      <c r="B6647" t="s">
        <v>338</v>
      </c>
      <c r="C6647" t="s">
        <v>62</v>
      </c>
      <c r="D6647">
        <v>0</v>
      </c>
      <c r="E6647" t="s">
        <v>380</v>
      </c>
    </row>
    <row r="6648" spans="1:5" x14ac:dyDescent="0.25">
      <c r="A6648" s="279">
        <v>39207</v>
      </c>
      <c r="B6648" t="s">
        <v>338</v>
      </c>
      <c r="C6648" t="s">
        <v>63</v>
      </c>
      <c r="D6648">
        <v>0</v>
      </c>
      <c r="E6648" t="s">
        <v>378</v>
      </c>
    </row>
    <row r="6649" spans="1:5" x14ac:dyDescent="0.25">
      <c r="A6649" s="279">
        <v>39207</v>
      </c>
      <c r="B6649" t="s">
        <v>338</v>
      </c>
      <c r="C6649" t="s">
        <v>64</v>
      </c>
      <c r="D6649">
        <v>0</v>
      </c>
      <c r="E6649" t="s">
        <v>380</v>
      </c>
    </row>
    <row r="6650" spans="1:5" x14ac:dyDescent="0.25">
      <c r="A6650" s="279">
        <v>39207</v>
      </c>
      <c r="B6650" t="s">
        <v>338</v>
      </c>
      <c r="C6650" t="s">
        <v>65</v>
      </c>
      <c r="D6650">
        <v>0</v>
      </c>
      <c r="E6650" t="s">
        <v>378</v>
      </c>
    </row>
    <row r="6651" spans="1:5" x14ac:dyDescent="0.25">
      <c r="A6651" s="279">
        <v>39207</v>
      </c>
      <c r="B6651" t="s">
        <v>338</v>
      </c>
      <c r="C6651" t="s">
        <v>66</v>
      </c>
      <c r="D6651">
        <v>0</v>
      </c>
      <c r="E6651" t="s">
        <v>380</v>
      </c>
    </row>
    <row r="6652" spans="1:5" x14ac:dyDescent="0.25">
      <c r="A6652" s="279">
        <v>39207</v>
      </c>
      <c r="B6652" t="s">
        <v>338</v>
      </c>
      <c r="C6652" t="s">
        <v>120</v>
      </c>
      <c r="D6652">
        <v>9537</v>
      </c>
      <c r="E6652" t="s">
        <v>378</v>
      </c>
    </row>
    <row r="6653" spans="1:5" x14ac:dyDescent="0.25">
      <c r="A6653" s="279">
        <v>39207</v>
      </c>
      <c r="B6653" t="s">
        <v>338</v>
      </c>
      <c r="C6653" t="s">
        <v>121</v>
      </c>
      <c r="D6653">
        <v>0</v>
      </c>
      <c r="E6653" t="s">
        <v>380</v>
      </c>
    </row>
    <row r="6654" spans="1:5" x14ac:dyDescent="0.25">
      <c r="A6654" s="279">
        <v>39207</v>
      </c>
      <c r="B6654" t="s">
        <v>338</v>
      </c>
      <c r="C6654" t="s">
        <v>67</v>
      </c>
      <c r="D6654">
        <v>0</v>
      </c>
      <c r="E6654" t="s">
        <v>378</v>
      </c>
    </row>
    <row r="6655" spans="1:5" x14ac:dyDescent="0.25">
      <c r="A6655" s="279">
        <v>39207</v>
      </c>
      <c r="B6655" t="s">
        <v>338</v>
      </c>
      <c r="C6655" t="s">
        <v>68</v>
      </c>
      <c r="D6655">
        <v>0</v>
      </c>
      <c r="E6655" t="s">
        <v>380</v>
      </c>
    </row>
    <row r="6656" spans="1:5" x14ac:dyDescent="0.25">
      <c r="A6656" s="279">
        <v>39207</v>
      </c>
      <c r="B6656" t="s">
        <v>338</v>
      </c>
      <c r="C6656" t="s">
        <v>69</v>
      </c>
      <c r="D6656">
        <v>0</v>
      </c>
      <c r="E6656" t="s">
        <v>379</v>
      </c>
    </row>
    <row r="6657" spans="1:5" x14ac:dyDescent="0.25">
      <c r="A6657" s="279">
        <v>39207</v>
      </c>
      <c r="B6657" t="s">
        <v>338</v>
      </c>
      <c r="C6657" t="s">
        <v>70</v>
      </c>
      <c r="D6657">
        <v>0</v>
      </c>
      <c r="E6657" t="s">
        <v>379</v>
      </c>
    </row>
    <row r="6658" spans="1:5" x14ac:dyDescent="0.25">
      <c r="A6658" s="279">
        <v>39207</v>
      </c>
      <c r="B6658" t="s">
        <v>338</v>
      </c>
      <c r="C6658" t="s">
        <v>80</v>
      </c>
      <c r="D6658">
        <v>209</v>
      </c>
      <c r="E6658" t="s">
        <v>379</v>
      </c>
    </row>
    <row r="6659" spans="1:5" x14ac:dyDescent="0.25">
      <c r="A6659" s="279">
        <v>39207</v>
      </c>
      <c r="B6659" t="s">
        <v>339</v>
      </c>
      <c r="C6659" t="s">
        <v>71</v>
      </c>
      <c r="D6659">
        <v>1899</v>
      </c>
      <c r="E6659" t="s">
        <v>378</v>
      </c>
    </row>
    <row r="6660" spans="1:5" x14ac:dyDescent="0.25">
      <c r="A6660" s="279">
        <v>39207</v>
      </c>
      <c r="B6660" t="s">
        <v>339</v>
      </c>
      <c r="C6660" t="s">
        <v>72</v>
      </c>
      <c r="D6660">
        <v>0</v>
      </c>
      <c r="E6660" t="s">
        <v>380</v>
      </c>
    </row>
    <row r="6661" spans="1:5" x14ac:dyDescent="0.25">
      <c r="A6661" s="279">
        <v>39207</v>
      </c>
      <c r="B6661" t="s">
        <v>339</v>
      </c>
      <c r="C6661" t="s">
        <v>73</v>
      </c>
      <c r="D6661">
        <v>16882</v>
      </c>
      <c r="E6661" t="s">
        <v>378</v>
      </c>
    </row>
    <row r="6662" spans="1:5" x14ac:dyDescent="0.25">
      <c r="A6662" s="279">
        <v>39207</v>
      </c>
      <c r="B6662" t="s">
        <v>339</v>
      </c>
      <c r="C6662" t="s">
        <v>74</v>
      </c>
      <c r="D6662">
        <v>0</v>
      </c>
      <c r="E6662" t="s">
        <v>380</v>
      </c>
    </row>
    <row r="6663" spans="1:5" x14ac:dyDescent="0.25">
      <c r="A6663" s="279">
        <v>39207</v>
      </c>
      <c r="B6663" t="s">
        <v>339</v>
      </c>
      <c r="C6663" t="s">
        <v>75</v>
      </c>
      <c r="D6663">
        <v>15155</v>
      </c>
      <c r="E6663" t="s">
        <v>378</v>
      </c>
    </row>
    <row r="6664" spans="1:5" x14ac:dyDescent="0.25">
      <c r="A6664" s="279">
        <v>39207</v>
      </c>
      <c r="B6664" t="s">
        <v>339</v>
      </c>
      <c r="C6664" t="s">
        <v>76</v>
      </c>
      <c r="D6664">
        <v>1933</v>
      </c>
      <c r="E6664" t="s">
        <v>380</v>
      </c>
    </row>
    <row r="6665" spans="1:5" x14ac:dyDescent="0.25">
      <c r="A6665" s="279">
        <v>39207</v>
      </c>
      <c r="B6665" t="s">
        <v>339</v>
      </c>
      <c r="C6665" t="s">
        <v>77</v>
      </c>
      <c r="D6665">
        <v>7226</v>
      </c>
      <c r="E6665" t="s">
        <v>378</v>
      </c>
    </row>
    <row r="6666" spans="1:5" x14ac:dyDescent="0.25">
      <c r="A6666" s="279">
        <v>39207</v>
      </c>
      <c r="B6666" t="s">
        <v>339</v>
      </c>
      <c r="C6666" t="s">
        <v>78</v>
      </c>
      <c r="D6666">
        <v>6948</v>
      </c>
      <c r="E6666" t="s">
        <v>380</v>
      </c>
    </row>
    <row r="6667" spans="1:5" x14ac:dyDescent="0.25">
      <c r="A6667" s="279">
        <v>39207</v>
      </c>
      <c r="B6667" t="s">
        <v>339</v>
      </c>
      <c r="C6667" t="s">
        <v>79</v>
      </c>
      <c r="D6667">
        <v>111168</v>
      </c>
      <c r="E6667" t="s">
        <v>379</v>
      </c>
    </row>
    <row r="6668" spans="1:5" x14ac:dyDescent="0.25">
      <c r="A6668" s="279">
        <v>39207</v>
      </c>
      <c r="B6668" t="s">
        <v>339</v>
      </c>
      <c r="C6668" t="s">
        <v>70</v>
      </c>
      <c r="D6668">
        <v>0</v>
      </c>
      <c r="E6668" t="s">
        <v>379</v>
      </c>
    </row>
    <row r="6669" spans="1:5" x14ac:dyDescent="0.25">
      <c r="A6669" s="279">
        <v>39207</v>
      </c>
      <c r="B6669" t="s">
        <v>339</v>
      </c>
      <c r="C6669" t="s">
        <v>63</v>
      </c>
      <c r="D6669">
        <v>0</v>
      </c>
      <c r="E6669" t="s">
        <v>378</v>
      </c>
    </row>
    <row r="6670" spans="1:5" x14ac:dyDescent="0.25">
      <c r="A6670" s="279">
        <v>39207</v>
      </c>
      <c r="B6670" t="s">
        <v>339</v>
      </c>
      <c r="C6670" t="s">
        <v>80</v>
      </c>
      <c r="D6670">
        <v>791</v>
      </c>
      <c r="E6670" t="s">
        <v>379</v>
      </c>
    </row>
    <row r="6671" spans="1:5" x14ac:dyDescent="0.25">
      <c r="A6671" s="279">
        <v>39208</v>
      </c>
      <c r="B6671" t="s">
        <v>338</v>
      </c>
      <c r="C6671" t="s">
        <v>59</v>
      </c>
      <c r="D6671">
        <v>2573</v>
      </c>
      <c r="E6671" t="s">
        <v>378</v>
      </c>
    </row>
    <row r="6672" spans="1:5" x14ac:dyDescent="0.25">
      <c r="A6672" s="279">
        <v>39208</v>
      </c>
      <c r="B6672" t="s">
        <v>338</v>
      </c>
      <c r="C6672" t="s">
        <v>60</v>
      </c>
      <c r="D6672">
        <v>0</v>
      </c>
      <c r="E6672" t="s">
        <v>379</v>
      </c>
    </row>
    <row r="6673" spans="1:5" x14ac:dyDescent="0.25">
      <c r="A6673" s="279">
        <v>39208</v>
      </c>
      <c r="B6673" t="s">
        <v>338</v>
      </c>
      <c r="C6673" t="s">
        <v>61</v>
      </c>
      <c r="D6673">
        <v>13011</v>
      </c>
      <c r="E6673" t="s">
        <v>378</v>
      </c>
    </row>
    <row r="6674" spans="1:5" x14ac:dyDescent="0.25">
      <c r="A6674" s="279">
        <v>39208</v>
      </c>
      <c r="B6674" t="s">
        <v>338</v>
      </c>
      <c r="C6674" t="s">
        <v>62</v>
      </c>
      <c r="D6674">
        <v>0</v>
      </c>
      <c r="E6674" t="s">
        <v>380</v>
      </c>
    </row>
    <row r="6675" spans="1:5" x14ac:dyDescent="0.25">
      <c r="A6675" s="279">
        <v>39208</v>
      </c>
      <c r="B6675" t="s">
        <v>338</v>
      </c>
      <c r="C6675" t="s">
        <v>63</v>
      </c>
      <c r="D6675">
        <v>0</v>
      </c>
      <c r="E6675" t="s">
        <v>378</v>
      </c>
    </row>
    <row r="6676" spans="1:5" x14ac:dyDescent="0.25">
      <c r="A6676" s="279">
        <v>39208</v>
      </c>
      <c r="B6676" t="s">
        <v>338</v>
      </c>
      <c r="C6676" t="s">
        <v>64</v>
      </c>
      <c r="D6676">
        <v>0</v>
      </c>
      <c r="E6676" t="s">
        <v>380</v>
      </c>
    </row>
    <row r="6677" spans="1:5" x14ac:dyDescent="0.25">
      <c r="A6677" s="279">
        <v>39208</v>
      </c>
      <c r="B6677" t="s">
        <v>338</v>
      </c>
      <c r="C6677" t="s">
        <v>65</v>
      </c>
      <c r="D6677">
        <v>0</v>
      </c>
      <c r="E6677" t="s">
        <v>378</v>
      </c>
    </row>
    <row r="6678" spans="1:5" x14ac:dyDescent="0.25">
      <c r="A6678" s="279">
        <v>39208</v>
      </c>
      <c r="B6678" t="s">
        <v>338</v>
      </c>
      <c r="C6678" t="s">
        <v>66</v>
      </c>
      <c r="D6678">
        <v>0</v>
      </c>
      <c r="E6678" t="s">
        <v>380</v>
      </c>
    </row>
    <row r="6679" spans="1:5" x14ac:dyDescent="0.25">
      <c r="A6679" s="279">
        <v>39208</v>
      </c>
      <c r="B6679" t="s">
        <v>338</v>
      </c>
      <c r="C6679" t="s">
        <v>120</v>
      </c>
      <c r="D6679">
        <v>6113</v>
      </c>
      <c r="E6679" t="s">
        <v>378</v>
      </c>
    </row>
    <row r="6680" spans="1:5" x14ac:dyDescent="0.25">
      <c r="A6680" s="279">
        <v>39208</v>
      </c>
      <c r="B6680" t="s">
        <v>338</v>
      </c>
      <c r="C6680" t="s">
        <v>121</v>
      </c>
      <c r="D6680">
        <v>0</v>
      </c>
      <c r="E6680" t="s">
        <v>380</v>
      </c>
    </row>
    <row r="6681" spans="1:5" x14ac:dyDescent="0.25">
      <c r="A6681" s="279">
        <v>39208</v>
      </c>
      <c r="B6681" t="s">
        <v>338</v>
      </c>
      <c r="C6681" t="s">
        <v>67</v>
      </c>
      <c r="D6681">
        <v>0</v>
      </c>
      <c r="E6681" t="s">
        <v>378</v>
      </c>
    </row>
    <row r="6682" spans="1:5" x14ac:dyDescent="0.25">
      <c r="A6682" s="279">
        <v>39208</v>
      </c>
      <c r="B6682" t="s">
        <v>338</v>
      </c>
      <c r="C6682" t="s">
        <v>68</v>
      </c>
      <c r="D6682">
        <v>0</v>
      </c>
      <c r="E6682" t="s">
        <v>380</v>
      </c>
    </row>
    <row r="6683" spans="1:5" x14ac:dyDescent="0.25">
      <c r="A6683" s="279">
        <v>39208</v>
      </c>
      <c r="B6683" t="s">
        <v>338</v>
      </c>
      <c r="C6683" t="s">
        <v>69</v>
      </c>
      <c r="D6683">
        <v>0</v>
      </c>
      <c r="E6683" t="s">
        <v>379</v>
      </c>
    </row>
    <row r="6684" spans="1:5" x14ac:dyDescent="0.25">
      <c r="A6684" s="279">
        <v>39208</v>
      </c>
      <c r="B6684" t="s">
        <v>338</v>
      </c>
      <c r="C6684" t="s">
        <v>70</v>
      </c>
      <c r="D6684">
        <v>0</v>
      </c>
      <c r="E6684" t="s">
        <v>379</v>
      </c>
    </row>
    <row r="6685" spans="1:5" x14ac:dyDescent="0.25">
      <c r="A6685" s="279">
        <v>39208</v>
      </c>
      <c r="B6685" t="s">
        <v>338</v>
      </c>
      <c r="C6685" t="s">
        <v>80</v>
      </c>
      <c r="D6685">
        <v>179</v>
      </c>
      <c r="E6685" t="s">
        <v>379</v>
      </c>
    </row>
    <row r="6686" spans="1:5" x14ac:dyDescent="0.25">
      <c r="A6686" s="279">
        <v>39208</v>
      </c>
      <c r="B6686" t="s">
        <v>339</v>
      </c>
      <c r="C6686" t="s">
        <v>71</v>
      </c>
      <c r="D6686">
        <v>1905</v>
      </c>
      <c r="E6686" t="s">
        <v>378</v>
      </c>
    </row>
    <row r="6687" spans="1:5" x14ac:dyDescent="0.25">
      <c r="A6687" s="279">
        <v>39208</v>
      </c>
      <c r="B6687" t="s">
        <v>339</v>
      </c>
      <c r="C6687" t="s">
        <v>72</v>
      </c>
      <c r="D6687">
        <v>0</v>
      </c>
      <c r="E6687" t="s">
        <v>380</v>
      </c>
    </row>
    <row r="6688" spans="1:5" x14ac:dyDescent="0.25">
      <c r="A6688" s="279">
        <v>39208</v>
      </c>
      <c r="B6688" t="s">
        <v>339</v>
      </c>
      <c r="C6688" t="s">
        <v>73</v>
      </c>
      <c r="D6688">
        <v>4114</v>
      </c>
      <c r="E6688" t="s">
        <v>378</v>
      </c>
    </row>
    <row r="6689" spans="1:5" x14ac:dyDescent="0.25">
      <c r="A6689" s="279">
        <v>39208</v>
      </c>
      <c r="B6689" t="s">
        <v>339</v>
      </c>
      <c r="C6689" t="s">
        <v>74</v>
      </c>
      <c r="D6689">
        <v>0</v>
      </c>
      <c r="E6689" t="s">
        <v>380</v>
      </c>
    </row>
    <row r="6690" spans="1:5" x14ac:dyDescent="0.25">
      <c r="A6690" s="279">
        <v>39208</v>
      </c>
      <c r="B6690" t="s">
        <v>339</v>
      </c>
      <c r="C6690" t="s">
        <v>75</v>
      </c>
      <c r="D6690">
        <v>15198</v>
      </c>
      <c r="E6690" t="s">
        <v>378</v>
      </c>
    </row>
    <row r="6691" spans="1:5" x14ac:dyDescent="0.25">
      <c r="A6691" s="279">
        <v>39208</v>
      </c>
      <c r="B6691" t="s">
        <v>339</v>
      </c>
      <c r="C6691" t="s">
        <v>76</v>
      </c>
      <c r="D6691">
        <v>14620</v>
      </c>
      <c r="E6691" t="s">
        <v>380</v>
      </c>
    </row>
    <row r="6692" spans="1:5" x14ac:dyDescent="0.25">
      <c r="A6692" s="279">
        <v>39208</v>
      </c>
      <c r="B6692" t="s">
        <v>339</v>
      </c>
      <c r="C6692" t="s">
        <v>77</v>
      </c>
      <c r="D6692">
        <v>7247</v>
      </c>
      <c r="E6692" t="s">
        <v>378</v>
      </c>
    </row>
    <row r="6693" spans="1:5" x14ac:dyDescent="0.25">
      <c r="A6693" s="279">
        <v>39208</v>
      </c>
      <c r="B6693" t="s">
        <v>339</v>
      </c>
      <c r="C6693" t="s">
        <v>78</v>
      </c>
      <c r="D6693">
        <v>6968</v>
      </c>
      <c r="E6693" t="s">
        <v>380</v>
      </c>
    </row>
    <row r="6694" spans="1:5" x14ac:dyDescent="0.25">
      <c r="A6694" s="279">
        <v>39208</v>
      </c>
      <c r="B6694" t="s">
        <v>339</v>
      </c>
      <c r="C6694" t="s">
        <v>79</v>
      </c>
      <c r="D6694">
        <v>111488</v>
      </c>
      <c r="E6694" t="s">
        <v>379</v>
      </c>
    </row>
    <row r="6695" spans="1:5" x14ac:dyDescent="0.25">
      <c r="A6695" s="279">
        <v>39208</v>
      </c>
      <c r="B6695" t="s">
        <v>339</v>
      </c>
      <c r="C6695" t="s">
        <v>70</v>
      </c>
      <c r="D6695">
        <v>0</v>
      </c>
      <c r="E6695" t="s">
        <v>379</v>
      </c>
    </row>
    <row r="6696" spans="1:5" x14ac:dyDescent="0.25">
      <c r="A6696" s="279">
        <v>39208</v>
      </c>
      <c r="B6696" t="s">
        <v>339</v>
      </c>
      <c r="C6696" t="s">
        <v>63</v>
      </c>
      <c r="D6696">
        <v>0</v>
      </c>
      <c r="E6696" t="s">
        <v>378</v>
      </c>
    </row>
    <row r="6697" spans="1:5" x14ac:dyDescent="0.25">
      <c r="A6697" s="279">
        <v>39208</v>
      </c>
      <c r="B6697" t="s">
        <v>339</v>
      </c>
      <c r="C6697" t="s">
        <v>80</v>
      </c>
      <c r="D6697">
        <v>308</v>
      </c>
      <c r="E6697" t="s">
        <v>379</v>
      </c>
    </row>
    <row r="6698" spans="1:5" x14ac:dyDescent="0.25">
      <c r="A6698" s="279">
        <v>39209</v>
      </c>
      <c r="B6698" t="s">
        <v>338</v>
      </c>
      <c r="C6698" t="s">
        <v>59</v>
      </c>
      <c r="D6698">
        <v>2605</v>
      </c>
      <c r="E6698" t="s">
        <v>378</v>
      </c>
    </row>
    <row r="6699" spans="1:5" x14ac:dyDescent="0.25">
      <c r="A6699" s="279">
        <v>39209</v>
      </c>
      <c r="B6699" t="s">
        <v>338</v>
      </c>
      <c r="C6699" t="s">
        <v>60</v>
      </c>
      <c r="D6699">
        <v>0</v>
      </c>
      <c r="E6699" t="s">
        <v>379</v>
      </c>
    </row>
    <row r="6700" spans="1:5" x14ac:dyDescent="0.25">
      <c r="A6700" s="279">
        <v>39209</v>
      </c>
      <c r="B6700" t="s">
        <v>338</v>
      </c>
      <c r="C6700" t="s">
        <v>61</v>
      </c>
      <c r="D6700">
        <v>13175</v>
      </c>
      <c r="E6700" t="s">
        <v>378</v>
      </c>
    </row>
    <row r="6701" spans="1:5" x14ac:dyDescent="0.25">
      <c r="A6701" s="279">
        <v>39209</v>
      </c>
      <c r="B6701" t="s">
        <v>338</v>
      </c>
      <c r="C6701" t="s">
        <v>62</v>
      </c>
      <c r="D6701">
        <v>0</v>
      </c>
      <c r="E6701" t="s">
        <v>380</v>
      </c>
    </row>
    <row r="6702" spans="1:5" x14ac:dyDescent="0.25">
      <c r="A6702" s="279">
        <v>39209</v>
      </c>
      <c r="B6702" t="s">
        <v>338</v>
      </c>
      <c r="C6702" t="s">
        <v>63</v>
      </c>
      <c r="D6702">
        <v>0</v>
      </c>
      <c r="E6702" t="s">
        <v>378</v>
      </c>
    </row>
    <row r="6703" spans="1:5" x14ac:dyDescent="0.25">
      <c r="A6703" s="279">
        <v>39209</v>
      </c>
      <c r="B6703" t="s">
        <v>338</v>
      </c>
      <c r="C6703" t="s">
        <v>64</v>
      </c>
      <c r="D6703">
        <v>0</v>
      </c>
      <c r="E6703" t="s">
        <v>380</v>
      </c>
    </row>
    <row r="6704" spans="1:5" x14ac:dyDescent="0.25">
      <c r="A6704" s="279">
        <v>39209</v>
      </c>
      <c r="B6704" t="s">
        <v>338</v>
      </c>
      <c r="C6704" t="s">
        <v>65</v>
      </c>
      <c r="D6704">
        <v>0</v>
      </c>
      <c r="E6704" t="s">
        <v>378</v>
      </c>
    </row>
    <row r="6705" spans="1:5" x14ac:dyDescent="0.25">
      <c r="A6705" s="279">
        <v>39209</v>
      </c>
      <c r="B6705" t="s">
        <v>338</v>
      </c>
      <c r="C6705" t="s">
        <v>66</v>
      </c>
      <c r="D6705">
        <v>0</v>
      </c>
      <c r="E6705" t="s">
        <v>380</v>
      </c>
    </row>
    <row r="6706" spans="1:5" x14ac:dyDescent="0.25">
      <c r="A6706" s="279">
        <v>39209</v>
      </c>
      <c r="B6706" t="s">
        <v>338</v>
      </c>
      <c r="C6706" t="s">
        <v>120</v>
      </c>
      <c r="D6706">
        <v>11904</v>
      </c>
      <c r="E6706" t="s">
        <v>378</v>
      </c>
    </row>
    <row r="6707" spans="1:5" x14ac:dyDescent="0.25">
      <c r="A6707" s="279">
        <v>39209</v>
      </c>
      <c r="B6707" t="s">
        <v>338</v>
      </c>
      <c r="C6707" t="s">
        <v>121</v>
      </c>
      <c r="D6707">
        <v>0</v>
      </c>
      <c r="E6707" t="s">
        <v>380</v>
      </c>
    </row>
    <row r="6708" spans="1:5" x14ac:dyDescent="0.25">
      <c r="A6708" s="279">
        <v>39209</v>
      </c>
      <c r="B6708" t="s">
        <v>338</v>
      </c>
      <c r="C6708" t="s">
        <v>67</v>
      </c>
      <c r="D6708">
        <v>0</v>
      </c>
      <c r="E6708" t="s">
        <v>378</v>
      </c>
    </row>
    <row r="6709" spans="1:5" x14ac:dyDescent="0.25">
      <c r="A6709" s="279">
        <v>39209</v>
      </c>
      <c r="B6709" t="s">
        <v>338</v>
      </c>
      <c r="C6709" t="s">
        <v>68</v>
      </c>
      <c r="D6709">
        <v>0</v>
      </c>
      <c r="E6709" t="s">
        <v>380</v>
      </c>
    </row>
    <row r="6710" spans="1:5" x14ac:dyDescent="0.25">
      <c r="A6710" s="279">
        <v>39209</v>
      </c>
      <c r="B6710" t="s">
        <v>338</v>
      </c>
      <c r="C6710" t="s">
        <v>69</v>
      </c>
      <c r="D6710">
        <v>0</v>
      </c>
      <c r="E6710" t="s">
        <v>379</v>
      </c>
    </row>
    <row r="6711" spans="1:5" x14ac:dyDescent="0.25">
      <c r="A6711" s="279">
        <v>39209</v>
      </c>
      <c r="B6711" t="s">
        <v>338</v>
      </c>
      <c r="C6711" t="s">
        <v>70</v>
      </c>
      <c r="D6711">
        <v>0</v>
      </c>
      <c r="E6711" t="s">
        <v>379</v>
      </c>
    </row>
    <row r="6712" spans="1:5" x14ac:dyDescent="0.25">
      <c r="A6712" s="279">
        <v>39209</v>
      </c>
      <c r="B6712" t="s">
        <v>338</v>
      </c>
      <c r="C6712" t="s">
        <v>80</v>
      </c>
      <c r="D6712">
        <v>231</v>
      </c>
      <c r="E6712" t="s">
        <v>379</v>
      </c>
    </row>
    <row r="6713" spans="1:5" x14ac:dyDescent="0.25">
      <c r="A6713" s="279">
        <v>39209</v>
      </c>
      <c r="B6713" t="s">
        <v>339</v>
      </c>
      <c r="C6713" t="s">
        <v>71</v>
      </c>
      <c r="D6713">
        <v>0</v>
      </c>
      <c r="E6713" t="s">
        <v>378</v>
      </c>
    </row>
    <row r="6714" spans="1:5" x14ac:dyDescent="0.25">
      <c r="A6714" s="279">
        <v>39209</v>
      </c>
      <c r="B6714" t="s">
        <v>339</v>
      </c>
      <c r="C6714" t="s">
        <v>72</v>
      </c>
      <c r="D6714">
        <v>0</v>
      </c>
      <c r="E6714" t="s">
        <v>380</v>
      </c>
    </row>
    <row r="6715" spans="1:5" x14ac:dyDescent="0.25">
      <c r="A6715" s="279">
        <v>39209</v>
      </c>
      <c r="B6715" t="s">
        <v>339</v>
      </c>
      <c r="C6715" t="s">
        <v>73</v>
      </c>
      <c r="D6715">
        <v>0</v>
      </c>
      <c r="E6715" t="s">
        <v>378</v>
      </c>
    </row>
    <row r="6716" spans="1:5" x14ac:dyDescent="0.25">
      <c r="A6716" s="279">
        <v>39209</v>
      </c>
      <c r="B6716" t="s">
        <v>339</v>
      </c>
      <c r="C6716" t="s">
        <v>74</v>
      </c>
      <c r="D6716">
        <v>0</v>
      </c>
      <c r="E6716" t="s">
        <v>380</v>
      </c>
    </row>
    <row r="6717" spans="1:5" x14ac:dyDescent="0.25">
      <c r="A6717" s="279">
        <v>39209</v>
      </c>
      <c r="B6717" t="s">
        <v>339</v>
      </c>
      <c r="C6717" t="s">
        <v>75</v>
      </c>
      <c r="D6717">
        <v>15111</v>
      </c>
      <c r="E6717" t="s">
        <v>378</v>
      </c>
    </row>
    <row r="6718" spans="1:5" x14ac:dyDescent="0.25">
      <c r="A6718" s="279">
        <v>39209</v>
      </c>
      <c r="B6718" t="s">
        <v>339</v>
      </c>
      <c r="C6718" t="s">
        <v>76</v>
      </c>
      <c r="D6718">
        <v>3649</v>
      </c>
      <c r="E6718" t="s">
        <v>380</v>
      </c>
    </row>
    <row r="6719" spans="1:5" x14ac:dyDescent="0.25">
      <c r="A6719" s="279">
        <v>39209</v>
      </c>
      <c r="B6719" t="s">
        <v>339</v>
      </c>
      <c r="C6719" t="s">
        <v>77</v>
      </c>
      <c r="D6719">
        <v>7205</v>
      </c>
      <c r="E6719" t="s">
        <v>378</v>
      </c>
    </row>
    <row r="6720" spans="1:5" x14ac:dyDescent="0.25">
      <c r="A6720" s="279">
        <v>39209</v>
      </c>
      <c r="B6720" t="s">
        <v>339</v>
      </c>
      <c r="C6720" t="s">
        <v>78</v>
      </c>
      <c r="D6720">
        <v>6928</v>
      </c>
      <c r="E6720" t="s">
        <v>380</v>
      </c>
    </row>
    <row r="6721" spans="1:5" x14ac:dyDescent="0.25">
      <c r="A6721" s="279">
        <v>39209</v>
      </c>
      <c r="B6721" t="s">
        <v>339</v>
      </c>
      <c r="C6721" t="s">
        <v>79</v>
      </c>
      <c r="D6721">
        <v>110849</v>
      </c>
      <c r="E6721" t="s">
        <v>379</v>
      </c>
    </row>
    <row r="6722" spans="1:5" x14ac:dyDescent="0.25">
      <c r="A6722" s="279">
        <v>39209</v>
      </c>
      <c r="B6722" t="s">
        <v>339</v>
      </c>
      <c r="C6722" t="s">
        <v>70</v>
      </c>
      <c r="D6722">
        <v>0</v>
      </c>
      <c r="E6722" t="s">
        <v>379</v>
      </c>
    </row>
    <row r="6723" spans="1:5" x14ac:dyDescent="0.25">
      <c r="A6723" s="279">
        <v>39209</v>
      </c>
      <c r="B6723" t="s">
        <v>339</v>
      </c>
      <c r="C6723" t="s">
        <v>63</v>
      </c>
      <c r="D6723">
        <v>0</v>
      </c>
      <c r="E6723" t="s">
        <v>378</v>
      </c>
    </row>
    <row r="6724" spans="1:5" x14ac:dyDescent="0.25">
      <c r="A6724" s="279">
        <v>39209</v>
      </c>
      <c r="B6724" t="s">
        <v>339</v>
      </c>
      <c r="C6724" t="s">
        <v>80</v>
      </c>
      <c r="D6724">
        <v>134</v>
      </c>
      <c r="E6724" t="s">
        <v>379</v>
      </c>
    </row>
    <row r="6725" spans="1:5" x14ac:dyDescent="0.25">
      <c r="A6725" s="279">
        <v>39210</v>
      </c>
      <c r="B6725" t="s">
        <v>338</v>
      </c>
      <c r="C6725" t="s">
        <v>59</v>
      </c>
      <c r="D6725">
        <v>2605</v>
      </c>
      <c r="E6725" t="s">
        <v>378</v>
      </c>
    </row>
    <row r="6726" spans="1:5" x14ac:dyDescent="0.25">
      <c r="A6726" s="279">
        <v>39210</v>
      </c>
      <c r="B6726" t="s">
        <v>338</v>
      </c>
      <c r="C6726" t="s">
        <v>60</v>
      </c>
      <c r="D6726">
        <v>0</v>
      </c>
      <c r="E6726" t="s">
        <v>379</v>
      </c>
    </row>
    <row r="6727" spans="1:5" x14ac:dyDescent="0.25">
      <c r="A6727" s="279">
        <v>39210</v>
      </c>
      <c r="B6727" t="s">
        <v>338</v>
      </c>
      <c r="C6727" t="s">
        <v>61</v>
      </c>
      <c r="D6727">
        <v>13175</v>
      </c>
      <c r="E6727" t="s">
        <v>378</v>
      </c>
    </row>
    <row r="6728" spans="1:5" x14ac:dyDescent="0.25">
      <c r="A6728" s="279">
        <v>39210</v>
      </c>
      <c r="B6728" t="s">
        <v>338</v>
      </c>
      <c r="C6728" t="s">
        <v>62</v>
      </c>
      <c r="D6728">
        <v>0</v>
      </c>
      <c r="E6728" t="s">
        <v>380</v>
      </c>
    </row>
    <row r="6729" spans="1:5" x14ac:dyDescent="0.25">
      <c r="A6729" s="279">
        <v>39210</v>
      </c>
      <c r="B6729" t="s">
        <v>338</v>
      </c>
      <c r="C6729" t="s">
        <v>63</v>
      </c>
      <c r="D6729">
        <v>3995</v>
      </c>
      <c r="E6729" t="s">
        <v>378</v>
      </c>
    </row>
    <row r="6730" spans="1:5" x14ac:dyDescent="0.25">
      <c r="A6730" s="279">
        <v>39210</v>
      </c>
      <c r="B6730" t="s">
        <v>338</v>
      </c>
      <c r="C6730" t="s">
        <v>64</v>
      </c>
      <c r="D6730">
        <v>0</v>
      </c>
      <c r="E6730" t="s">
        <v>380</v>
      </c>
    </row>
    <row r="6731" spans="1:5" x14ac:dyDescent="0.25">
      <c r="A6731" s="279">
        <v>39210</v>
      </c>
      <c r="B6731" t="s">
        <v>338</v>
      </c>
      <c r="C6731" t="s">
        <v>65</v>
      </c>
      <c r="D6731">
        <v>0</v>
      </c>
      <c r="E6731" t="s">
        <v>378</v>
      </c>
    </row>
    <row r="6732" spans="1:5" x14ac:dyDescent="0.25">
      <c r="A6732" s="279">
        <v>39210</v>
      </c>
      <c r="B6732" t="s">
        <v>338</v>
      </c>
      <c r="C6732" t="s">
        <v>66</v>
      </c>
      <c r="D6732">
        <v>0</v>
      </c>
      <c r="E6732" t="s">
        <v>380</v>
      </c>
    </row>
    <row r="6733" spans="1:5" x14ac:dyDescent="0.25">
      <c r="A6733" s="279">
        <v>39210</v>
      </c>
      <c r="B6733" t="s">
        <v>338</v>
      </c>
      <c r="C6733" t="s">
        <v>120</v>
      </c>
      <c r="D6733">
        <v>7079</v>
      </c>
      <c r="E6733" t="s">
        <v>378</v>
      </c>
    </row>
    <row r="6734" spans="1:5" x14ac:dyDescent="0.25">
      <c r="A6734" s="279">
        <v>39210</v>
      </c>
      <c r="B6734" t="s">
        <v>338</v>
      </c>
      <c r="C6734" t="s">
        <v>121</v>
      </c>
      <c r="D6734">
        <v>0</v>
      </c>
      <c r="E6734" t="s">
        <v>380</v>
      </c>
    </row>
    <row r="6735" spans="1:5" x14ac:dyDescent="0.25">
      <c r="A6735" s="279">
        <v>39210</v>
      </c>
      <c r="B6735" t="s">
        <v>338</v>
      </c>
      <c r="C6735" t="s">
        <v>67</v>
      </c>
      <c r="D6735">
        <v>0</v>
      </c>
      <c r="E6735" t="s">
        <v>378</v>
      </c>
    </row>
    <row r="6736" spans="1:5" x14ac:dyDescent="0.25">
      <c r="A6736" s="279">
        <v>39210</v>
      </c>
      <c r="B6736" t="s">
        <v>338</v>
      </c>
      <c r="C6736" t="s">
        <v>68</v>
      </c>
      <c r="D6736">
        <v>0</v>
      </c>
      <c r="E6736" t="s">
        <v>380</v>
      </c>
    </row>
    <row r="6737" spans="1:5" x14ac:dyDescent="0.25">
      <c r="A6737" s="279">
        <v>39210</v>
      </c>
      <c r="B6737" t="s">
        <v>338</v>
      </c>
      <c r="C6737" t="s">
        <v>69</v>
      </c>
      <c r="D6737">
        <v>0</v>
      </c>
      <c r="E6737" t="s">
        <v>379</v>
      </c>
    </row>
    <row r="6738" spans="1:5" x14ac:dyDescent="0.25">
      <c r="A6738" s="279">
        <v>39210</v>
      </c>
      <c r="B6738" t="s">
        <v>338</v>
      </c>
      <c r="C6738" t="s">
        <v>70</v>
      </c>
      <c r="D6738">
        <v>0</v>
      </c>
      <c r="E6738" t="s">
        <v>379</v>
      </c>
    </row>
    <row r="6739" spans="1:5" x14ac:dyDescent="0.25">
      <c r="A6739" s="279">
        <v>39210</v>
      </c>
      <c r="B6739" t="s">
        <v>338</v>
      </c>
      <c r="C6739" t="s">
        <v>80</v>
      </c>
      <c r="D6739">
        <v>321</v>
      </c>
      <c r="E6739" t="s">
        <v>379</v>
      </c>
    </row>
    <row r="6740" spans="1:5" x14ac:dyDescent="0.25">
      <c r="A6740" s="279">
        <v>39210</v>
      </c>
      <c r="B6740" t="s">
        <v>339</v>
      </c>
      <c r="C6740" t="s">
        <v>71</v>
      </c>
      <c r="D6740">
        <v>1892</v>
      </c>
      <c r="E6740" t="s">
        <v>378</v>
      </c>
    </row>
    <row r="6741" spans="1:5" x14ac:dyDescent="0.25">
      <c r="A6741" s="279">
        <v>39210</v>
      </c>
      <c r="B6741" t="s">
        <v>339</v>
      </c>
      <c r="C6741" t="s">
        <v>72</v>
      </c>
      <c r="D6741">
        <v>0</v>
      </c>
      <c r="E6741" t="s">
        <v>380</v>
      </c>
    </row>
    <row r="6742" spans="1:5" x14ac:dyDescent="0.25">
      <c r="A6742" s="279">
        <v>39210</v>
      </c>
      <c r="B6742" t="s">
        <v>339</v>
      </c>
      <c r="C6742" t="s">
        <v>73</v>
      </c>
      <c r="D6742">
        <v>1303</v>
      </c>
      <c r="E6742" t="s">
        <v>378</v>
      </c>
    </row>
    <row r="6743" spans="1:5" x14ac:dyDescent="0.25">
      <c r="A6743" s="279">
        <v>39210</v>
      </c>
      <c r="B6743" t="s">
        <v>339</v>
      </c>
      <c r="C6743" t="s">
        <v>74</v>
      </c>
      <c r="D6743">
        <v>0</v>
      </c>
      <c r="E6743" t="s">
        <v>380</v>
      </c>
    </row>
    <row r="6744" spans="1:5" x14ac:dyDescent="0.25">
      <c r="A6744" s="279">
        <v>39210</v>
      </c>
      <c r="B6744" t="s">
        <v>339</v>
      </c>
      <c r="C6744" t="s">
        <v>75</v>
      </c>
      <c r="D6744">
        <v>15097</v>
      </c>
      <c r="E6744" t="s">
        <v>378</v>
      </c>
    </row>
    <row r="6745" spans="1:5" x14ac:dyDescent="0.25">
      <c r="A6745" s="279">
        <v>39210</v>
      </c>
      <c r="B6745" t="s">
        <v>339</v>
      </c>
      <c r="C6745" t="s">
        <v>76</v>
      </c>
      <c r="D6745">
        <v>14522</v>
      </c>
      <c r="E6745" t="s">
        <v>380</v>
      </c>
    </row>
    <row r="6746" spans="1:5" x14ac:dyDescent="0.25">
      <c r="A6746" s="279">
        <v>39210</v>
      </c>
      <c r="B6746" t="s">
        <v>339</v>
      </c>
      <c r="C6746" t="s">
        <v>77</v>
      </c>
      <c r="D6746">
        <v>7198</v>
      </c>
      <c r="E6746" t="s">
        <v>378</v>
      </c>
    </row>
    <row r="6747" spans="1:5" x14ac:dyDescent="0.25">
      <c r="A6747" s="279">
        <v>39210</v>
      </c>
      <c r="B6747" t="s">
        <v>339</v>
      </c>
      <c r="C6747" t="s">
        <v>78</v>
      </c>
      <c r="D6747">
        <v>6922</v>
      </c>
      <c r="E6747" t="s">
        <v>380</v>
      </c>
    </row>
    <row r="6748" spans="1:5" x14ac:dyDescent="0.25">
      <c r="A6748" s="279">
        <v>39210</v>
      </c>
      <c r="B6748" t="s">
        <v>339</v>
      </c>
      <c r="C6748" t="s">
        <v>79</v>
      </c>
      <c r="D6748">
        <v>101201</v>
      </c>
      <c r="E6748" t="s">
        <v>379</v>
      </c>
    </row>
    <row r="6749" spans="1:5" x14ac:dyDescent="0.25">
      <c r="A6749" s="279">
        <v>39210</v>
      </c>
      <c r="B6749" t="s">
        <v>339</v>
      </c>
      <c r="C6749" t="s">
        <v>70</v>
      </c>
      <c r="D6749">
        <v>0</v>
      </c>
      <c r="E6749" t="s">
        <v>379</v>
      </c>
    </row>
    <row r="6750" spans="1:5" x14ac:dyDescent="0.25">
      <c r="A6750" s="279">
        <v>39210</v>
      </c>
      <c r="B6750" t="s">
        <v>339</v>
      </c>
      <c r="C6750" t="s">
        <v>63</v>
      </c>
      <c r="D6750">
        <v>17137</v>
      </c>
      <c r="E6750" t="s">
        <v>378</v>
      </c>
    </row>
    <row r="6751" spans="1:5" x14ac:dyDescent="0.25">
      <c r="A6751" s="279">
        <v>39210</v>
      </c>
      <c r="B6751" t="s">
        <v>339</v>
      </c>
      <c r="C6751" t="s">
        <v>80</v>
      </c>
      <c r="D6751">
        <v>200</v>
      </c>
      <c r="E6751" t="s">
        <v>379</v>
      </c>
    </row>
    <row r="6752" spans="1:5" x14ac:dyDescent="0.25">
      <c r="A6752" s="279">
        <v>39211</v>
      </c>
      <c r="B6752" t="s">
        <v>338</v>
      </c>
      <c r="C6752" t="s">
        <v>59</v>
      </c>
      <c r="D6752">
        <v>2573</v>
      </c>
      <c r="E6752" t="s">
        <v>378</v>
      </c>
    </row>
    <row r="6753" spans="1:5" x14ac:dyDescent="0.25">
      <c r="A6753" s="279">
        <v>39211</v>
      </c>
      <c r="B6753" t="s">
        <v>338</v>
      </c>
      <c r="C6753" t="s">
        <v>60</v>
      </c>
      <c r="D6753">
        <v>0</v>
      </c>
      <c r="E6753" t="s">
        <v>379</v>
      </c>
    </row>
    <row r="6754" spans="1:5" x14ac:dyDescent="0.25">
      <c r="A6754" s="279">
        <v>39211</v>
      </c>
      <c r="B6754" t="s">
        <v>338</v>
      </c>
      <c r="C6754" t="s">
        <v>61</v>
      </c>
      <c r="D6754">
        <v>13011</v>
      </c>
      <c r="E6754" t="s">
        <v>378</v>
      </c>
    </row>
    <row r="6755" spans="1:5" x14ac:dyDescent="0.25">
      <c r="A6755" s="279">
        <v>39211</v>
      </c>
      <c r="B6755" t="s">
        <v>338</v>
      </c>
      <c r="C6755" t="s">
        <v>62</v>
      </c>
      <c r="D6755">
        <v>0</v>
      </c>
      <c r="E6755" t="s">
        <v>380</v>
      </c>
    </row>
    <row r="6756" spans="1:5" x14ac:dyDescent="0.25">
      <c r="A6756" s="279">
        <v>39211</v>
      </c>
      <c r="B6756" t="s">
        <v>338</v>
      </c>
      <c r="C6756" t="s">
        <v>63</v>
      </c>
      <c r="D6756">
        <v>3945</v>
      </c>
      <c r="E6756" t="s">
        <v>378</v>
      </c>
    </row>
    <row r="6757" spans="1:5" x14ac:dyDescent="0.25">
      <c r="A6757" s="279">
        <v>39211</v>
      </c>
      <c r="B6757" t="s">
        <v>338</v>
      </c>
      <c r="C6757" t="s">
        <v>64</v>
      </c>
      <c r="D6757">
        <v>0</v>
      </c>
      <c r="E6757" t="s">
        <v>380</v>
      </c>
    </row>
    <row r="6758" spans="1:5" x14ac:dyDescent="0.25">
      <c r="A6758" s="279">
        <v>39211</v>
      </c>
      <c r="B6758" t="s">
        <v>338</v>
      </c>
      <c r="C6758" t="s">
        <v>65</v>
      </c>
      <c r="D6758">
        <v>0</v>
      </c>
      <c r="E6758" t="s">
        <v>378</v>
      </c>
    </row>
    <row r="6759" spans="1:5" x14ac:dyDescent="0.25">
      <c r="A6759" s="279">
        <v>39211</v>
      </c>
      <c r="B6759" t="s">
        <v>338</v>
      </c>
      <c r="C6759" t="s">
        <v>66</v>
      </c>
      <c r="D6759">
        <v>0</v>
      </c>
      <c r="E6759" t="s">
        <v>380</v>
      </c>
    </row>
    <row r="6760" spans="1:5" x14ac:dyDescent="0.25">
      <c r="A6760" s="279">
        <v>39211</v>
      </c>
      <c r="B6760" t="s">
        <v>338</v>
      </c>
      <c r="C6760" t="s">
        <v>120</v>
      </c>
      <c r="D6760">
        <v>6991</v>
      </c>
      <c r="E6760" t="s">
        <v>378</v>
      </c>
    </row>
    <row r="6761" spans="1:5" x14ac:dyDescent="0.25">
      <c r="A6761" s="279">
        <v>39211</v>
      </c>
      <c r="B6761" t="s">
        <v>338</v>
      </c>
      <c r="C6761" t="s">
        <v>121</v>
      </c>
      <c r="D6761">
        <v>0</v>
      </c>
      <c r="E6761" t="s">
        <v>380</v>
      </c>
    </row>
    <row r="6762" spans="1:5" x14ac:dyDescent="0.25">
      <c r="A6762" s="279">
        <v>39211</v>
      </c>
      <c r="B6762" t="s">
        <v>338</v>
      </c>
      <c r="C6762" t="s">
        <v>67</v>
      </c>
      <c r="D6762">
        <v>0</v>
      </c>
      <c r="E6762" t="s">
        <v>378</v>
      </c>
    </row>
    <row r="6763" spans="1:5" x14ac:dyDescent="0.25">
      <c r="A6763" s="279">
        <v>39211</v>
      </c>
      <c r="B6763" t="s">
        <v>338</v>
      </c>
      <c r="C6763" t="s">
        <v>68</v>
      </c>
      <c r="D6763">
        <v>0</v>
      </c>
      <c r="E6763" t="s">
        <v>380</v>
      </c>
    </row>
    <row r="6764" spans="1:5" x14ac:dyDescent="0.25">
      <c r="A6764" s="279">
        <v>39211</v>
      </c>
      <c r="B6764" t="s">
        <v>338</v>
      </c>
      <c r="C6764" t="s">
        <v>69</v>
      </c>
      <c r="D6764">
        <v>0</v>
      </c>
      <c r="E6764" t="s">
        <v>379</v>
      </c>
    </row>
    <row r="6765" spans="1:5" x14ac:dyDescent="0.25">
      <c r="A6765" s="279">
        <v>39211</v>
      </c>
      <c r="B6765" t="s">
        <v>338</v>
      </c>
      <c r="C6765" t="s">
        <v>70</v>
      </c>
      <c r="D6765">
        <v>0</v>
      </c>
      <c r="E6765" t="s">
        <v>379</v>
      </c>
    </row>
    <row r="6766" spans="1:5" x14ac:dyDescent="0.25">
      <c r="A6766" s="279">
        <v>39211</v>
      </c>
      <c r="B6766" t="s">
        <v>338</v>
      </c>
      <c r="C6766" t="s">
        <v>80</v>
      </c>
      <c r="D6766">
        <v>317</v>
      </c>
      <c r="E6766" t="s">
        <v>379</v>
      </c>
    </row>
    <row r="6767" spans="1:5" x14ac:dyDescent="0.25">
      <c r="A6767" s="279">
        <v>39211</v>
      </c>
      <c r="B6767" t="s">
        <v>339</v>
      </c>
      <c r="C6767" t="s">
        <v>71</v>
      </c>
      <c r="D6767">
        <v>1896</v>
      </c>
      <c r="E6767" t="s">
        <v>378</v>
      </c>
    </row>
    <row r="6768" spans="1:5" x14ac:dyDescent="0.25">
      <c r="A6768" s="279">
        <v>39211</v>
      </c>
      <c r="B6768" t="s">
        <v>339</v>
      </c>
      <c r="C6768" t="s">
        <v>72</v>
      </c>
      <c r="D6768">
        <v>0</v>
      </c>
      <c r="E6768" t="s">
        <v>380</v>
      </c>
    </row>
    <row r="6769" spans="1:5" x14ac:dyDescent="0.25">
      <c r="A6769" s="279">
        <v>39211</v>
      </c>
      <c r="B6769" t="s">
        <v>339</v>
      </c>
      <c r="C6769" t="s">
        <v>73</v>
      </c>
      <c r="D6769">
        <v>8027</v>
      </c>
      <c r="E6769" t="s">
        <v>378</v>
      </c>
    </row>
    <row r="6770" spans="1:5" x14ac:dyDescent="0.25">
      <c r="A6770" s="279">
        <v>39211</v>
      </c>
      <c r="B6770" t="s">
        <v>339</v>
      </c>
      <c r="C6770" t="s">
        <v>74</v>
      </c>
      <c r="D6770">
        <v>0</v>
      </c>
      <c r="E6770" t="s">
        <v>380</v>
      </c>
    </row>
    <row r="6771" spans="1:5" x14ac:dyDescent="0.25">
      <c r="A6771" s="279">
        <v>39211</v>
      </c>
      <c r="B6771" t="s">
        <v>339</v>
      </c>
      <c r="C6771" t="s">
        <v>75</v>
      </c>
      <c r="D6771">
        <v>15126</v>
      </c>
      <c r="E6771" t="s">
        <v>378</v>
      </c>
    </row>
    <row r="6772" spans="1:5" x14ac:dyDescent="0.25">
      <c r="A6772" s="279">
        <v>39211</v>
      </c>
      <c r="B6772" t="s">
        <v>339</v>
      </c>
      <c r="C6772" t="s">
        <v>76</v>
      </c>
      <c r="D6772">
        <v>14550</v>
      </c>
      <c r="E6772" t="s">
        <v>380</v>
      </c>
    </row>
    <row r="6773" spans="1:5" x14ac:dyDescent="0.25">
      <c r="A6773" s="279">
        <v>39211</v>
      </c>
      <c r="B6773" t="s">
        <v>339</v>
      </c>
      <c r="C6773" t="s">
        <v>77</v>
      </c>
      <c r="D6773">
        <v>7212</v>
      </c>
      <c r="E6773" t="s">
        <v>378</v>
      </c>
    </row>
    <row r="6774" spans="1:5" x14ac:dyDescent="0.25">
      <c r="A6774" s="279">
        <v>39211</v>
      </c>
      <c r="B6774" t="s">
        <v>339</v>
      </c>
      <c r="C6774" t="s">
        <v>78</v>
      </c>
      <c r="D6774">
        <v>6935</v>
      </c>
      <c r="E6774" t="s">
        <v>380</v>
      </c>
    </row>
    <row r="6775" spans="1:5" x14ac:dyDescent="0.25">
      <c r="A6775" s="279">
        <v>39211</v>
      </c>
      <c r="B6775" t="s">
        <v>339</v>
      </c>
      <c r="C6775" t="s">
        <v>79</v>
      </c>
      <c r="D6775">
        <v>101395</v>
      </c>
      <c r="E6775" t="s">
        <v>379</v>
      </c>
    </row>
    <row r="6776" spans="1:5" x14ac:dyDescent="0.25">
      <c r="A6776" s="279">
        <v>39211</v>
      </c>
      <c r="B6776" t="s">
        <v>339</v>
      </c>
      <c r="C6776" t="s">
        <v>70</v>
      </c>
      <c r="D6776">
        <v>0</v>
      </c>
      <c r="E6776" t="s">
        <v>379</v>
      </c>
    </row>
    <row r="6777" spans="1:5" x14ac:dyDescent="0.25">
      <c r="A6777" s="279">
        <v>39211</v>
      </c>
      <c r="B6777" t="s">
        <v>339</v>
      </c>
      <c r="C6777" t="s">
        <v>63</v>
      </c>
      <c r="D6777">
        <v>17170</v>
      </c>
      <c r="E6777" t="s">
        <v>378</v>
      </c>
    </row>
    <row r="6778" spans="1:5" x14ac:dyDescent="0.25">
      <c r="A6778" s="279">
        <v>39211</v>
      </c>
      <c r="B6778" t="s">
        <v>339</v>
      </c>
      <c r="C6778" t="s">
        <v>80</v>
      </c>
      <c r="D6778">
        <v>455</v>
      </c>
      <c r="E6778" t="s">
        <v>379</v>
      </c>
    </row>
    <row r="6779" spans="1:5" x14ac:dyDescent="0.25">
      <c r="A6779" s="279">
        <v>39212</v>
      </c>
      <c r="B6779" t="s">
        <v>338</v>
      </c>
      <c r="C6779" t="s">
        <v>59</v>
      </c>
      <c r="D6779">
        <v>2561</v>
      </c>
      <c r="E6779" t="s">
        <v>378</v>
      </c>
    </row>
    <row r="6780" spans="1:5" x14ac:dyDescent="0.25">
      <c r="A6780" s="279">
        <v>39212</v>
      </c>
      <c r="B6780" t="s">
        <v>338</v>
      </c>
      <c r="C6780" t="s">
        <v>60</v>
      </c>
      <c r="D6780">
        <v>0</v>
      </c>
      <c r="E6780" t="s">
        <v>379</v>
      </c>
    </row>
    <row r="6781" spans="1:5" x14ac:dyDescent="0.25">
      <c r="A6781" s="279">
        <v>39212</v>
      </c>
      <c r="B6781" t="s">
        <v>338</v>
      </c>
      <c r="C6781" t="s">
        <v>61</v>
      </c>
      <c r="D6781">
        <v>12950</v>
      </c>
      <c r="E6781" t="s">
        <v>378</v>
      </c>
    </row>
    <row r="6782" spans="1:5" x14ac:dyDescent="0.25">
      <c r="A6782" s="279">
        <v>39212</v>
      </c>
      <c r="B6782" t="s">
        <v>338</v>
      </c>
      <c r="C6782" t="s">
        <v>62</v>
      </c>
      <c r="D6782">
        <v>0</v>
      </c>
      <c r="E6782" t="s">
        <v>380</v>
      </c>
    </row>
    <row r="6783" spans="1:5" x14ac:dyDescent="0.25">
      <c r="A6783" s="279">
        <v>39212</v>
      </c>
      <c r="B6783" t="s">
        <v>338</v>
      </c>
      <c r="C6783" t="s">
        <v>63</v>
      </c>
      <c r="D6783">
        <v>3926</v>
      </c>
      <c r="E6783" t="s">
        <v>378</v>
      </c>
    </row>
    <row r="6784" spans="1:5" x14ac:dyDescent="0.25">
      <c r="A6784" s="279">
        <v>39212</v>
      </c>
      <c r="B6784" t="s">
        <v>338</v>
      </c>
      <c r="C6784" t="s">
        <v>64</v>
      </c>
      <c r="D6784">
        <v>0</v>
      </c>
      <c r="E6784" t="s">
        <v>380</v>
      </c>
    </row>
    <row r="6785" spans="1:5" x14ac:dyDescent="0.25">
      <c r="A6785" s="279">
        <v>39212</v>
      </c>
      <c r="B6785" t="s">
        <v>338</v>
      </c>
      <c r="C6785" t="s">
        <v>65</v>
      </c>
      <c r="D6785">
        <v>0</v>
      </c>
      <c r="E6785" t="s">
        <v>378</v>
      </c>
    </row>
    <row r="6786" spans="1:5" x14ac:dyDescent="0.25">
      <c r="A6786" s="279">
        <v>39212</v>
      </c>
      <c r="B6786" t="s">
        <v>338</v>
      </c>
      <c r="C6786" t="s">
        <v>66</v>
      </c>
      <c r="D6786">
        <v>0</v>
      </c>
      <c r="E6786" t="s">
        <v>380</v>
      </c>
    </row>
    <row r="6787" spans="1:5" x14ac:dyDescent="0.25">
      <c r="A6787" s="279">
        <v>39212</v>
      </c>
      <c r="B6787" t="s">
        <v>338</v>
      </c>
      <c r="C6787" t="s">
        <v>120</v>
      </c>
      <c r="D6787">
        <v>6958</v>
      </c>
      <c r="E6787" t="s">
        <v>378</v>
      </c>
    </row>
    <row r="6788" spans="1:5" x14ac:dyDescent="0.25">
      <c r="A6788" s="279">
        <v>39212</v>
      </c>
      <c r="B6788" t="s">
        <v>338</v>
      </c>
      <c r="C6788" t="s">
        <v>121</v>
      </c>
      <c r="D6788">
        <v>0</v>
      </c>
      <c r="E6788" t="s">
        <v>380</v>
      </c>
    </row>
    <row r="6789" spans="1:5" x14ac:dyDescent="0.25">
      <c r="A6789" s="279">
        <v>39212</v>
      </c>
      <c r="B6789" t="s">
        <v>338</v>
      </c>
      <c r="C6789" t="s">
        <v>67</v>
      </c>
      <c r="D6789">
        <v>0</v>
      </c>
      <c r="E6789" t="s">
        <v>378</v>
      </c>
    </row>
    <row r="6790" spans="1:5" x14ac:dyDescent="0.25">
      <c r="A6790" s="279">
        <v>39212</v>
      </c>
      <c r="B6790" t="s">
        <v>338</v>
      </c>
      <c r="C6790" t="s">
        <v>68</v>
      </c>
      <c r="D6790">
        <v>0</v>
      </c>
      <c r="E6790" t="s">
        <v>380</v>
      </c>
    </row>
    <row r="6791" spans="1:5" x14ac:dyDescent="0.25">
      <c r="A6791" s="279">
        <v>39212</v>
      </c>
      <c r="B6791" t="s">
        <v>338</v>
      </c>
      <c r="C6791" t="s">
        <v>69</v>
      </c>
      <c r="D6791">
        <v>0</v>
      </c>
      <c r="E6791" t="s">
        <v>379</v>
      </c>
    </row>
    <row r="6792" spans="1:5" x14ac:dyDescent="0.25">
      <c r="A6792" s="279">
        <v>39212</v>
      </c>
      <c r="B6792" t="s">
        <v>338</v>
      </c>
      <c r="C6792" t="s">
        <v>70</v>
      </c>
      <c r="D6792">
        <v>0</v>
      </c>
      <c r="E6792" t="s">
        <v>379</v>
      </c>
    </row>
    <row r="6793" spans="1:5" x14ac:dyDescent="0.25">
      <c r="A6793" s="279">
        <v>39212</v>
      </c>
      <c r="B6793" t="s">
        <v>338</v>
      </c>
      <c r="C6793" t="s">
        <v>80</v>
      </c>
      <c r="D6793">
        <v>315</v>
      </c>
      <c r="E6793" t="s">
        <v>379</v>
      </c>
    </row>
    <row r="6794" spans="1:5" x14ac:dyDescent="0.25">
      <c r="A6794" s="279">
        <v>39212</v>
      </c>
      <c r="B6794" t="s">
        <v>339</v>
      </c>
      <c r="C6794" t="s">
        <v>71</v>
      </c>
      <c r="D6794">
        <v>1896</v>
      </c>
      <c r="E6794" t="s">
        <v>378</v>
      </c>
    </row>
    <row r="6795" spans="1:5" x14ac:dyDescent="0.25">
      <c r="A6795" s="279">
        <v>39212</v>
      </c>
      <c r="B6795" t="s">
        <v>339</v>
      </c>
      <c r="C6795" t="s">
        <v>72</v>
      </c>
      <c r="D6795">
        <v>0</v>
      </c>
      <c r="E6795" t="s">
        <v>380</v>
      </c>
    </row>
    <row r="6796" spans="1:5" x14ac:dyDescent="0.25">
      <c r="A6796" s="279">
        <v>39212</v>
      </c>
      <c r="B6796" t="s">
        <v>339</v>
      </c>
      <c r="C6796" t="s">
        <v>73</v>
      </c>
      <c r="D6796">
        <v>11505</v>
      </c>
      <c r="E6796" t="s">
        <v>378</v>
      </c>
    </row>
    <row r="6797" spans="1:5" x14ac:dyDescent="0.25">
      <c r="A6797" s="279">
        <v>39212</v>
      </c>
      <c r="B6797" t="s">
        <v>339</v>
      </c>
      <c r="C6797" t="s">
        <v>74</v>
      </c>
      <c r="D6797">
        <v>0</v>
      </c>
      <c r="E6797" t="s">
        <v>380</v>
      </c>
    </row>
    <row r="6798" spans="1:5" x14ac:dyDescent="0.25">
      <c r="A6798" s="279">
        <v>39212</v>
      </c>
      <c r="B6798" t="s">
        <v>339</v>
      </c>
      <c r="C6798" t="s">
        <v>75</v>
      </c>
      <c r="D6798">
        <v>15126</v>
      </c>
      <c r="E6798" t="s">
        <v>378</v>
      </c>
    </row>
    <row r="6799" spans="1:5" x14ac:dyDescent="0.25">
      <c r="A6799" s="279">
        <v>39212</v>
      </c>
      <c r="B6799" t="s">
        <v>339</v>
      </c>
      <c r="C6799" t="s">
        <v>76</v>
      </c>
      <c r="D6799">
        <v>14550</v>
      </c>
      <c r="E6799" t="s">
        <v>380</v>
      </c>
    </row>
    <row r="6800" spans="1:5" x14ac:dyDescent="0.25">
      <c r="A6800" s="279">
        <v>39212</v>
      </c>
      <c r="B6800" t="s">
        <v>339</v>
      </c>
      <c r="C6800" t="s">
        <v>77</v>
      </c>
      <c r="D6800">
        <v>7212</v>
      </c>
      <c r="E6800" t="s">
        <v>378</v>
      </c>
    </row>
    <row r="6801" spans="1:5" x14ac:dyDescent="0.25">
      <c r="A6801" s="279">
        <v>39212</v>
      </c>
      <c r="B6801" t="s">
        <v>339</v>
      </c>
      <c r="C6801" t="s">
        <v>78</v>
      </c>
      <c r="D6801">
        <v>6935</v>
      </c>
      <c r="E6801" t="s">
        <v>380</v>
      </c>
    </row>
    <row r="6802" spans="1:5" x14ac:dyDescent="0.25">
      <c r="A6802" s="279">
        <v>39212</v>
      </c>
      <c r="B6802" t="s">
        <v>339</v>
      </c>
      <c r="C6802" t="s">
        <v>79</v>
      </c>
      <c r="D6802">
        <v>101395</v>
      </c>
      <c r="E6802" t="s">
        <v>379</v>
      </c>
    </row>
    <row r="6803" spans="1:5" x14ac:dyDescent="0.25">
      <c r="A6803" s="279">
        <v>39212</v>
      </c>
      <c r="B6803" t="s">
        <v>339</v>
      </c>
      <c r="C6803" t="s">
        <v>70</v>
      </c>
      <c r="D6803">
        <v>0</v>
      </c>
      <c r="E6803" t="s">
        <v>379</v>
      </c>
    </row>
    <row r="6804" spans="1:5" x14ac:dyDescent="0.25">
      <c r="A6804" s="279">
        <v>39212</v>
      </c>
      <c r="B6804" t="s">
        <v>339</v>
      </c>
      <c r="C6804" t="s">
        <v>63</v>
      </c>
      <c r="D6804">
        <v>17170</v>
      </c>
      <c r="E6804" t="s">
        <v>378</v>
      </c>
    </row>
    <row r="6805" spans="1:5" x14ac:dyDescent="0.25">
      <c r="A6805" s="279">
        <v>39212</v>
      </c>
      <c r="B6805" t="s">
        <v>339</v>
      </c>
      <c r="C6805" t="s">
        <v>80</v>
      </c>
      <c r="D6805">
        <v>587</v>
      </c>
      <c r="E6805" t="s">
        <v>379</v>
      </c>
    </row>
    <row r="6806" spans="1:5" x14ac:dyDescent="0.25">
      <c r="A6806" s="279">
        <v>39213</v>
      </c>
      <c r="B6806" t="s">
        <v>338</v>
      </c>
      <c r="C6806" t="s">
        <v>59</v>
      </c>
      <c r="D6806">
        <v>2561</v>
      </c>
      <c r="E6806" t="s">
        <v>378</v>
      </c>
    </row>
    <row r="6807" spans="1:5" x14ac:dyDescent="0.25">
      <c r="A6807" s="279">
        <v>39213</v>
      </c>
      <c r="B6807" t="s">
        <v>338</v>
      </c>
      <c r="C6807" t="s">
        <v>60</v>
      </c>
      <c r="D6807">
        <v>0</v>
      </c>
      <c r="E6807" t="s">
        <v>379</v>
      </c>
    </row>
    <row r="6808" spans="1:5" x14ac:dyDescent="0.25">
      <c r="A6808" s="279">
        <v>39213</v>
      </c>
      <c r="B6808" t="s">
        <v>338</v>
      </c>
      <c r="C6808" t="s">
        <v>61</v>
      </c>
      <c r="D6808">
        <v>12950</v>
      </c>
      <c r="E6808" t="s">
        <v>378</v>
      </c>
    </row>
    <row r="6809" spans="1:5" x14ac:dyDescent="0.25">
      <c r="A6809" s="279">
        <v>39213</v>
      </c>
      <c r="B6809" t="s">
        <v>338</v>
      </c>
      <c r="C6809" t="s">
        <v>62</v>
      </c>
      <c r="D6809">
        <v>0</v>
      </c>
      <c r="E6809" t="s">
        <v>380</v>
      </c>
    </row>
    <row r="6810" spans="1:5" x14ac:dyDescent="0.25">
      <c r="A6810" s="279">
        <v>39213</v>
      </c>
      <c r="B6810" t="s">
        <v>338</v>
      </c>
      <c r="C6810" t="s">
        <v>63</v>
      </c>
      <c r="D6810">
        <v>3926</v>
      </c>
      <c r="E6810" t="s">
        <v>378</v>
      </c>
    </row>
    <row r="6811" spans="1:5" x14ac:dyDescent="0.25">
      <c r="A6811" s="279">
        <v>39213</v>
      </c>
      <c r="B6811" t="s">
        <v>338</v>
      </c>
      <c r="C6811" t="s">
        <v>64</v>
      </c>
      <c r="D6811">
        <v>0</v>
      </c>
      <c r="E6811" t="s">
        <v>380</v>
      </c>
    </row>
    <row r="6812" spans="1:5" x14ac:dyDescent="0.25">
      <c r="A6812" s="279">
        <v>39213</v>
      </c>
      <c r="B6812" t="s">
        <v>338</v>
      </c>
      <c r="C6812" t="s">
        <v>65</v>
      </c>
      <c r="D6812">
        <v>0</v>
      </c>
      <c r="E6812" t="s">
        <v>378</v>
      </c>
    </row>
    <row r="6813" spans="1:5" x14ac:dyDescent="0.25">
      <c r="A6813" s="279">
        <v>39213</v>
      </c>
      <c r="B6813" t="s">
        <v>338</v>
      </c>
      <c r="C6813" t="s">
        <v>66</v>
      </c>
      <c r="D6813">
        <v>0</v>
      </c>
      <c r="E6813" t="s">
        <v>380</v>
      </c>
    </row>
    <row r="6814" spans="1:5" x14ac:dyDescent="0.25">
      <c r="A6814" s="279">
        <v>39213</v>
      </c>
      <c r="B6814" t="s">
        <v>338</v>
      </c>
      <c r="C6814" t="s">
        <v>120</v>
      </c>
      <c r="D6814">
        <v>6958</v>
      </c>
      <c r="E6814" t="s">
        <v>378</v>
      </c>
    </row>
    <row r="6815" spans="1:5" x14ac:dyDescent="0.25">
      <c r="A6815" s="279">
        <v>39213</v>
      </c>
      <c r="B6815" t="s">
        <v>338</v>
      </c>
      <c r="C6815" t="s">
        <v>121</v>
      </c>
      <c r="D6815">
        <v>0</v>
      </c>
      <c r="E6815" t="s">
        <v>380</v>
      </c>
    </row>
    <row r="6816" spans="1:5" x14ac:dyDescent="0.25">
      <c r="A6816" s="279">
        <v>39213</v>
      </c>
      <c r="B6816" t="s">
        <v>338</v>
      </c>
      <c r="C6816" t="s">
        <v>67</v>
      </c>
      <c r="D6816">
        <v>0</v>
      </c>
      <c r="E6816" t="s">
        <v>378</v>
      </c>
    </row>
    <row r="6817" spans="1:5" x14ac:dyDescent="0.25">
      <c r="A6817" s="279">
        <v>39213</v>
      </c>
      <c r="B6817" t="s">
        <v>338</v>
      </c>
      <c r="C6817" t="s">
        <v>68</v>
      </c>
      <c r="D6817">
        <v>0</v>
      </c>
      <c r="E6817" t="s">
        <v>380</v>
      </c>
    </row>
    <row r="6818" spans="1:5" x14ac:dyDescent="0.25">
      <c r="A6818" s="279">
        <v>39213</v>
      </c>
      <c r="B6818" t="s">
        <v>338</v>
      </c>
      <c r="C6818" t="s">
        <v>69</v>
      </c>
      <c r="D6818">
        <v>0</v>
      </c>
      <c r="E6818" t="s">
        <v>379</v>
      </c>
    </row>
    <row r="6819" spans="1:5" x14ac:dyDescent="0.25">
      <c r="A6819" s="279">
        <v>39213</v>
      </c>
      <c r="B6819" t="s">
        <v>338</v>
      </c>
      <c r="C6819" t="s">
        <v>70</v>
      </c>
      <c r="D6819">
        <v>0</v>
      </c>
      <c r="E6819" t="s">
        <v>379</v>
      </c>
    </row>
    <row r="6820" spans="1:5" x14ac:dyDescent="0.25">
      <c r="A6820" s="279">
        <v>39213</v>
      </c>
      <c r="B6820" t="s">
        <v>338</v>
      </c>
      <c r="C6820" t="s">
        <v>80</v>
      </c>
      <c r="D6820">
        <v>315</v>
      </c>
      <c r="E6820" t="s">
        <v>379</v>
      </c>
    </row>
    <row r="6821" spans="1:5" x14ac:dyDescent="0.25">
      <c r="A6821" s="279">
        <v>39213</v>
      </c>
      <c r="B6821" t="s">
        <v>339</v>
      </c>
      <c r="C6821" t="s">
        <v>71</v>
      </c>
      <c r="D6821">
        <v>1896</v>
      </c>
      <c r="E6821" t="s">
        <v>378</v>
      </c>
    </row>
    <row r="6822" spans="1:5" x14ac:dyDescent="0.25">
      <c r="A6822" s="279">
        <v>39213</v>
      </c>
      <c r="B6822" t="s">
        <v>339</v>
      </c>
      <c r="C6822" t="s">
        <v>72</v>
      </c>
      <c r="D6822">
        <v>0</v>
      </c>
      <c r="E6822" t="s">
        <v>380</v>
      </c>
    </row>
    <row r="6823" spans="1:5" x14ac:dyDescent="0.25">
      <c r="A6823" s="279">
        <v>39213</v>
      </c>
      <c r="B6823" t="s">
        <v>339</v>
      </c>
      <c r="C6823" t="s">
        <v>73</v>
      </c>
      <c r="D6823">
        <v>13131</v>
      </c>
      <c r="E6823" t="s">
        <v>378</v>
      </c>
    </row>
    <row r="6824" spans="1:5" x14ac:dyDescent="0.25">
      <c r="A6824" s="279">
        <v>39213</v>
      </c>
      <c r="B6824" t="s">
        <v>339</v>
      </c>
      <c r="C6824" t="s">
        <v>74</v>
      </c>
      <c r="D6824">
        <v>0</v>
      </c>
      <c r="E6824" t="s">
        <v>380</v>
      </c>
    </row>
    <row r="6825" spans="1:5" x14ac:dyDescent="0.25">
      <c r="A6825" s="279">
        <v>39213</v>
      </c>
      <c r="B6825" t="s">
        <v>339</v>
      </c>
      <c r="C6825" t="s">
        <v>75</v>
      </c>
      <c r="D6825">
        <v>15126</v>
      </c>
      <c r="E6825" t="s">
        <v>378</v>
      </c>
    </row>
    <row r="6826" spans="1:5" x14ac:dyDescent="0.25">
      <c r="A6826" s="279">
        <v>39213</v>
      </c>
      <c r="B6826" t="s">
        <v>339</v>
      </c>
      <c r="C6826" t="s">
        <v>76</v>
      </c>
      <c r="D6826">
        <v>14550</v>
      </c>
      <c r="E6826" t="s">
        <v>380</v>
      </c>
    </row>
    <row r="6827" spans="1:5" x14ac:dyDescent="0.25">
      <c r="A6827" s="279">
        <v>39213</v>
      </c>
      <c r="B6827" t="s">
        <v>339</v>
      </c>
      <c r="C6827" t="s">
        <v>77</v>
      </c>
      <c r="D6827">
        <v>7212</v>
      </c>
      <c r="E6827" t="s">
        <v>378</v>
      </c>
    </row>
    <row r="6828" spans="1:5" x14ac:dyDescent="0.25">
      <c r="A6828" s="279">
        <v>39213</v>
      </c>
      <c r="B6828" t="s">
        <v>339</v>
      </c>
      <c r="C6828" t="s">
        <v>78</v>
      </c>
      <c r="D6828">
        <v>6935</v>
      </c>
      <c r="E6828" t="s">
        <v>380</v>
      </c>
    </row>
    <row r="6829" spans="1:5" x14ac:dyDescent="0.25">
      <c r="A6829" s="279">
        <v>39213</v>
      </c>
      <c r="B6829" t="s">
        <v>339</v>
      </c>
      <c r="C6829" t="s">
        <v>79</v>
      </c>
      <c r="D6829">
        <v>101395</v>
      </c>
      <c r="E6829" t="s">
        <v>379</v>
      </c>
    </row>
    <row r="6830" spans="1:5" x14ac:dyDescent="0.25">
      <c r="A6830" s="279">
        <v>39213</v>
      </c>
      <c r="B6830" t="s">
        <v>339</v>
      </c>
      <c r="C6830" t="s">
        <v>70</v>
      </c>
      <c r="D6830">
        <v>0</v>
      </c>
      <c r="E6830" t="s">
        <v>379</v>
      </c>
    </row>
    <row r="6831" spans="1:5" x14ac:dyDescent="0.25">
      <c r="A6831" s="279">
        <v>39213</v>
      </c>
      <c r="B6831" t="s">
        <v>339</v>
      </c>
      <c r="C6831" t="s">
        <v>63</v>
      </c>
      <c r="D6831">
        <v>17170</v>
      </c>
      <c r="E6831" t="s">
        <v>378</v>
      </c>
    </row>
    <row r="6832" spans="1:5" x14ac:dyDescent="0.25">
      <c r="A6832" s="279">
        <v>39213</v>
      </c>
      <c r="B6832" t="s">
        <v>339</v>
      </c>
      <c r="C6832" t="s">
        <v>80</v>
      </c>
      <c r="D6832">
        <v>649</v>
      </c>
      <c r="E6832" t="s">
        <v>379</v>
      </c>
    </row>
    <row r="6833" spans="1:5" x14ac:dyDescent="0.25">
      <c r="A6833" s="279">
        <v>39214</v>
      </c>
      <c r="B6833" t="s">
        <v>338</v>
      </c>
      <c r="C6833" t="s">
        <v>59</v>
      </c>
      <c r="D6833">
        <v>2578</v>
      </c>
      <c r="E6833" t="s">
        <v>378</v>
      </c>
    </row>
    <row r="6834" spans="1:5" x14ac:dyDescent="0.25">
      <c r="A6834" s="279">
        <v>39214</v>
      </c>
      <c r="B6834" t="s">
        <v>338</v>
      </c>
      <c r="C6834" t="s">
        <v>60</v>
      </c>
      <c r="D6834">
        <v>0</v>
      </c>
      <c r="E6834" t="s">
        <v>379</v>
      </c>
    </row>
    <row r="6835" spans="1:5" x14ac:dyDescent="0.25">
      <c r="A6835" s="279">
        <v>39214</v>
      </c>
      <c r="B6835" t="s">
        <v>338</v>
      </c>
      <c r="C6835" t="s">
        <v>61</v>
      </c>
      <c r="D6835">
        <v>13036</v>
      </c>
      <c r="E6835" t="s">
        <v>378</v>
      </c>
    </row>
    <row r="6836" spans="1:5" x14ac:dyDescent="0.25">
      <c r="A6836" s="279">
        <v>39214</v>
      </c>
      <c r="B6836" t="s">
        <v>338</v>
      </c>
      <c r="C6836" t="s">
        <v>62</v>
      </c>
      <c r="D6836">
        <v>0</v>
      </c>
      <c r="E6836" t="s">
        <v>380</v>
      </c>
    </row>
    <row r="6837" spans="1:5" x14ac:dyDescent="0.25">
      <c r="A6837" s="279">
        <v>39214</v>
      </c>
      <c r="B6837" t="s">
        <v>338</v>
      </c>
      <c r="C6837" t="s">
        <v>63</v>
      </c>
      <c r="D6837">
        <v>3953</v>
      </c>
      <c r="E6837" t="s">
        <v>378</v>
      </c>
    </row>
    <row r="6838" spans="1:5" x14ac:dyDescent="0.25">
      <c r="A6838" s="279">
        <v>39214</v>
      </c>
      <c r="B6838" t="s">
        <v>338</v>
      </c>
      <c r="C6838" t="s">
        <v>64</v>
      </c>
      <c r="D6838">
        <v>0</v>
      </c>
      <c r="E6838" t="s">
        <v>380</v>
      </c>
    </row>
    <row r="6839" spans="1:5" x14ac:dyDescent="0.25">
      <c r="A6839" s="279">
        <v>39214</v>
      </c>
      <c r="B6839" t="s">
        <v>338</v>
      </c>
      <c r="C6839" t="s">
        <v>65</v>
      </c>
      <c r="D6839">
        <v>0</v>
      </c>
      <c r="E6839" t="s">
        <v>378</v>
      </c>
    </row>
    <row r="6840" spans="1:5" x14ac:dyDescent="0.25">
      <c r="A6840" s="279">
        <v>39214</v>
      </c>
      <c r="B6840" t="s">
        <v>338</v>
      </c>
      <c r="C6840" t="s">
        <v>66</v>
      </c>
      <c r="D6840">
        <v>0</v>
      </c>
      <c r="E6840" t="s">
        <v>380</v>
      </c>
    </row>
    <row r="6841" spans="1:5" x14ac:dyDescent="0.25">
      <c r="A6841" s="279">
        <v>39214</v>
      </c>
      <c r="B6841" t="s">
        <v>338</v>
      </c>
      <c r="C6841" t="s">
        <v>120</v>
      </c>
      <c r="D6841">
        <v>7104</v>
      </c>
      <c r="E6841" t="s">
        <v>378</v>
      </c>
    </row>
    <row r="6842" spans="1:5" x14ac:dyDescent="0.25">
      <c r="A6842" s="279">
        <v>39214</v>
      </c>
      <c r="B6842" t="s">
        <v>338</v>
      </c>
      <c r="C6842" t="s">
        <v>121</v>
      </c>
      <c r="D6842">
        <v>0</v>
      </c>
      <c r="E6842" t="s">
        <v>380</v>
      </c>
    </row>
    <row r="6843" spans="1:5" x14ac:dyDescent="0.25">
      <c r="A6843" s="279">
        <v>39214</v>
      </c>
      <c r="B6843" t="s">
        <v>338</v>
      </c>
      <c r="C6843" t="s">
        <v>67</v>
      </c>
      <c r="D6843">
        <v>0</v>
      </c>
      <c r="E6843" t="s">
        <v>378</v>
      </c>
    </row>
    <row r="6844" spans="1:5" x14ac:dyDescent="0.25">
      <c r="A6844" s="279">
        <v>39214</v>
      </c>
      <c r="B6844" t="s">
        <v>338</v>
      </c>
      <c r="C6844" t="s">
        <v>68</v>
      </c>
      <c r="D6844">
        <v>0</v>
      </c>
      <c r="E6844" t="s">
        <v>380</v>
      </c>
    </row>
    <row r="6845" spans="1:5" x14ac:dyDescent="0.25">
      <c r="A6845" s="279">
        <v>39214</v>
      </c>
      <c r="B6845" t="s">
        <v>338</v>
      </c>
      <c r="C6845" t="s">
        <v>69</v>
      </c>
      <c r="D6845">
        <v>0</v>
      </c>
      <c r="E6845" t="s">
        <v>379</v>
      </c>
    </row>
    <row r="6846" spans="1:5" x14ac:dyDescent="0.25">
      <c r="A6846" s="279">
        <v>39214</v>
      </c>
      <c r="B6846" t="s">
        <v>338</v>
      </c>
      <c r="C6846" t="s">
        <v>70</v>
      </c>
      <c r="D6846">
        <v>0</v>
      </c>
      <c r="E6846" t="s">
        <v>379</v>
      </c>
    </row>
    <row r="6847" spans="1:5" x14ac:dyDescent="0.25">
      <c r="A6847" s="279">
        <v>39214</v>
      </c>
      <c r="B6847" t="s">
        <v>338</v>
      </c>
      <c r="C6847" t="s">
        <v>80</v>
      </c>
      <c r="D6847">
        <v>318</v>
      </c>
      <c r="E6847" t="s">
        <v>379</v>
      </c>
    </row>
    <row r="6848" spans="1:5" x14ac:dyDescent="0.25">
      <c r="A6848" s="279">
        <v>39214</v>
      </c>
      <c r="B6848" t="s">
        <v>339</v>
      </c>
      <c r="C6848" t="s">
        <v>71</v>
      </c>
      <c r="D6848">
        <v>1907</v>
      </c>
      <c r="E6848" t="s">
        <v>378</v>
      </c>
    </row>
    <row r="6849" spans="1:5" x14ac:dyDescent="0.25">
      <c r="A6849" s="279">
        <v>39214</v>
      </c>
      <c r="B6849" t="s">
        <v>339</v>
      </c>
      <c r="C6849" t="s">
        <v>72</v>
      </c>
      <c r="D6849">
        <v>0</v>
      </c>
      <c r="E6849" t="s">
        <v>380</v>
      </c>
    </row>
    <row r="6850" spans="1:5" x14ac:dyDescent="0.25">
      <c r="A6850" s="279">
        <v>39214</v>
      </c>
      <c r="B6850" t="s">
        <v>339</v>
      </c>
      <c r="C6850" t="s">
        <v>73</v>
      </c>
      <c r="D6850">
        <v>6710</v>
      </c>
      <c r="E6850" t="s">
        <v>378</v>
      </c>
    </row>
    <row r="6851" spans="1:5" x14ac:dyDescent="0.25">
      <c r="A6851" s="279">
        <v>39214</v>
      </c>
      <c r="B6851" t="s">
        <v>339</v>
      </c>
      <c r="C6851" t="s">
        <v>74</v>
      </c>
      <c r="D6851">
        <v>0</v>
      </c>
      <c r="E6851" t="s">
        <v>380</v>
      </c>
    </row>
    <row r="6852" spans="1:5" x14ac:dyDescent="0.25">
      <c r="A6852" s="279">
        <v>39214</v>
      </c>
      <c r="B6852" t="s">
        <v>339</v>
      </c>
      <c r="C6852" t="s">
        <v>75</v>
      </c>
      <c r="D6852">
        <v>15213</v>
      </c>
      <c r="E6852" t="s">
        <v>378</v>
      </c>
    </row>
    <row r="6853" spans="1:5" x14ac:dyDescent="0.25">
      <c r="A6853" s="279">
        <v>39214</v>
      </c>
      <c r="B6853" t="s">
        <v>339</v>
      </c>
      <c r="C6853" t="s">
        <v>76</v>
      </c>
      <c r="D6853">
        <v>14634</v>
      </c>
      <c r="E6853" t="s">
        <v>380</v>
      </c>
    </row>
    <row r="6854" spans="1:5" x14ac:dyDescent="0.25">
      <c r="A6854" s="279">
        <v>39214</v>
      </c>
      <c r="B6854" t="s">
        <v>339</v>
      </c>
      <c r="C6854" t="s">
        <v>77</v>
      </c>
      <c r="D6854">
        <v>7254</v>
      </c>
      <c r="E6854" t="s">
        <v>378</v>
      </c>
    </row>
    <row r="6855" spans="1:5" x14ac:dyDescent="0.25">
      <c r="A6855" s="279">
        <v>39214</v>
      </c>
      <c r="B6855" t="s">
        <v>339</v>
      </c>
      <c r="C6855" t="s">
        <v>78</v>
      </c>
      <c r="D6855">
        <v>6975</v>
      </c>
      <c r="E6855" t="s">
        <v>380</v>
      </c>
    </row>
    <row r="6856" spans="1:5" x14ac:dyDescent="0.25">
      <c r="A6856" s="279">
        <v>39214</v>
      </c>
      <c r="B6856" t="s">
        <v>339</v>
      </c>
      <c r="C6856" t="s">
        <v>79</v>
      </c>
      <c r="D6856">
        <v>101980</v>
      </c>
      <c r="E6856" t="s">
        <v>379</v>
      </c>
    </row>
    <row r="6857" spans="1:5" x14ac:dyDescent="0.25">
      <c r="A6857" s="279">
        <v>39214</v>
      </c>
      <c r="B6857" t="s">
        <v>339</v>
      </c>
      <c r="C6857" t="s">
        <v>70</v>
      </c>
      <c r="D6857">
        <v>0</v>
      </c>
      <c r="E6857" t="s">
        <v>379</v>
      </c>
    </row>
    <row r="6858" spans="1:5" x14ac:dyDescent="0.25">
      <c r="A6858" s="279">
        <v>39214</v>
      </c>
      <c r="B6858" t="s">
        <v>339</v>
      </c>
      <c r="C6858" t="s">
        <v>63</v>
      </c>
      <c r="D6858">
        <v>17269</v>
      </c>
      <c r="E6858" t="s">
        <v>378</v>
      </c>
    </row>
    <row r="6859" spans="1:5" x14ac:dyDescent="0.25">
      <c r="A6859" s="279">
        <v>39214</v>
      </c>
      <c r="B6859" t="s">
        <v>339</v>
      </c>
      <c r="C6859" t="s">
        <v>80</v>
      </c>
      <c r="D6859">
        <v>406</v>
      </c>
      <c r="E6859" t="s">
        <v>379</v>
      </c>
    </row>
    <row r="6860" spans="1:5" x14ac:dyDescent="0.25">
      <c r="A6860" s="279">
        <v>39215</v>
      </c>
      <c r="B6860" t="s">
        <v>338</v>
      </c>
      <c r="C6860" t="s">
        <v>59</v>
      </c>
      <c r="D6860">
        <v>2566</v>
      </c>
      <c r="E6860" t="s">
        <v>378</v>
      </c>
    </row>
    <row r="6861" spans="1:5" x14ac:dyDescent="0.25">
      <c r="A6861" s="279">
        <v>39215</v>
      </c>
      <c r="B6861" t="s">
        <v>338</v>
      </c>
      <c r="C6861" t="s">
        <v>60</v>
      </c>
      <c r="D6861">
        <v>0</v>
      </c>
      <c r="E6861" t="s">
        <v>379</v>
      </c>
    </row>
    <row r="6862" spans="1:5" x14ac:dyDescent="0.25">
      <c r="A6862" s="279">
        <v>39215</v>
      </c>
      <c r="B6862" t="s">
        <v>338</v>
      </c>
      <c r="C6862" t="s">
        <v>61</v>
      </c>
      <c r="D6862">
        <v>12974</v>
      </c>
      <c r="E6862" t="s">
        <v>378</v>
      </c>
    </row>
    <row r="6863" spans="1:5" x14ac:dyDescent="0.25">
      <c r="A6863" s="279">
        <v>39215</v>
      </c>
      <c r="B6863" t="s">
        <v>338</v>
      </c>
      <c r="C6863" t="s">
        <v>62</v>
      </c>
      <c r="D6863">
        <v>0</v>
      </c>
      <c r="E6863" t="s">
        <v>380</v>
      </c>
    </row>
    <row r="6864" spans="1:5" x14ac:dyDescent="0.25">
      <c r="A6864" s="279">
        <v>39215</v>
      </c>
      <c r="B6864" t="s">
        <v>338</v>
      </c>
      <c r="C6864" t="s">
        <v>63</v>
      </c>
      <c r="D6864">
        <v>3934</v>
      </c>
      <c r="E6864" t="s">
        <v>378</v>
      </c>
    </row>
    <row r="6865" spans="1:5" x14ac:dyDescent="0.25">
      <c r="A6865" s="279">
        <v>39215</v>
      </c>
      <c r="B6865" t="s">
        <v>338</v>
      </c>
      <c r="C6865" t="s">
        <v>64</v>
      </c>
      <c r="D6865">
        <v>0</v>
      </c>
      <c r="E6865" t="s">
        <v>380</v>
      </c>
    </row>
    <row r="6866" spans="1:5" x14ac:dyDescent="0.25">
      <c r="A6866" s="279">
        <v>39215</v>
      </c>
      <c r="B6866" t="s">
        <v>338</v>
      </c>
      <c r="C6866" t="s">
        <v>65</v>
      </c>
      <c r="D6866">
        <v>0</v>
      </c>
      <c r="E6866" t="s">
        <v>378</v>
      </c>
    </row>
    <row r="6867" spans="1:5" x14ac:dyDescent="0.25">
      <c r="A6867" s="279">
        <v>39215</v>
      </c>
      <c r="B6867" t="s">
        <v>338</v>
      </c>
      <c r="C6867" t="s">
        <v>66</v>
      </c>
      <c r="D6867">
        <v>0</v>
      </c>
      <c r="E6867" t="s">
        <v>380</v>
      </c>
    </row>
    <row r="6868" spans="1:5" x14ac:dyDescent="0.25">
      <c r="A6868" s="279">
        <v>39215</v>
      </c>
      <c r="B6868" t="s">
        <v>338</v>
      </c>
      <c r="C6868" t="s">
        <v>120</v>
      </c>
      <c r="D6868">
        <v>6927</v>
      </c>
      <c r="E6868" t="s">
        <v>378</v>
      </c>
    </row>
    <row r="6869" spans="1:5" x14ac:dyDescent="0.25">
      <c r="A6869" s="279">
        <v>39215</v>
      </c>
      <c r="B6869" t="s">
        <v>338</v>
      </c>
      <c r="C6869" t="s">
        <v>121</v>
      </c>
      <c r="D6869">
        <v>0</v>
      </c>
      <c r="E6869" t="s">
        <v>380</v>
      </c>
    </row>
    <row r="6870" spans="1:5" x14ac:dyDescent="0.25">
      <c r="A6870" s="279">
        <v>39215</v>
      </c>
      <c r="B6870" t="s">
        <v>338</v>
      </c>
      <c r="C6870" t="s">
        <v>67</v>
      </c>
      <c r="D6870">
        <v>0</v>
      </c>
      <c r="E6870" t="s">
        <v>378</v>
      </c>
    </row>
    <row r="6871" spans="1:5" x14ac:dyDescent="0.25">
      <c r="A6871" s="279">
        <v>39215</v>
      </c>
      <c r="B6871" t="s">
        <v>338</v>
      </c>
      <c r="C6871" t="s">
        <v>68</v>
      </c>
      <c r="D6871">
        <v>0</v>
      </c>
      <c r="E6871" t="s">
        <v>380</v>
      </c>
    </row>
    <row r="6872" spans="1:5" x14ac:dyDescent="0.25">
      <c r="A6872" s="279">
        <v>39215</v>
      </c>
      <c r="B6872" t="s">
        <v>338</v>
      </c>
      <c r="C6872" t="s">
        <v>69</v>
      </c>
      <c r="D6872">
        <v>0</v>
      </c>
      <c r="E6872" t="s">
        <v>379</v>
      </c>
    </row>
    <row r="6873" spans="1:5" x14ac:dyDescent="0.25">
      <c r="A6873" s="279">
        <v>39215</v>
      </c>
      <c r="B6873" t="s">
        <v>338</v>
      </c>
      <c r="C6873" t="s">
        <v>70</v>
      </c>
      <c r="D6873">
        <v>0</v>
      </c>
      <c r="E6873" t="s">
        <v>379</v>
      </c>
    </row>
    <row r="6874" spans="1:5" x14ac:dyDescent="0.25">
      <c r="A6874" s="279">
        <v>39215</v>
      </c>
      <c r="B6874" t="s">
        <v>338</v>
      </c>
      <c r="C6874" t="s">
        <v>80</v>
      </c>
      <c r="D6874">
        <v>315</v>
      </c>
      <c r="E6874" t="s">
        <v>379</v>
      </c>
    </row>
    <row r="6875" spans="1:5" x14ac:dyDescent="0.25">
      <c r="A6875" s="279">
        <v>39215</v>
      </c>
      <c r="B6875" t="s">
        <v>339</v>
      </c>
      <c r="C6875" t="s">
        <v>71</v>
      </c>
      <c r="D6875">
        <v>1896</v>
      </c>
      <c r="E6875" t="s">
        <v>378</v>
      </c>
    </row>
    <row r="6876" spans="1:5" x14ac:dyDescent="0.25">
      <c r="A6876" s="279">
        <v>39215</v>
      </c>
      <c r="B6876" t="s">
        <v>339</v>
      </c>
      <c r="C6876" t="s">
        <v>72</v>
      </c>
      <c r="D6876">
        <v>0</v>
      </c>
      <c r="E6876" t="s">
        <v>380</v>
      </c>
    </row>
    <row r="6877" spans="1:5" x14ac:dyDescent="0.25">
      <c r="A6877" s="279">
        <v>39215</v>
      </c>
      <c r="B6877" t="s">
        <v>339</v>
      </c>
      <c r="C6877" t="s">
        <v>73</v>
      </c>
      <c r="D6877">
        <v>10872</v>
      </c>
      <c r="E6877" t="s">
        <v>378</v>
      </c>
    </row>
    <row r="6878" spans="1:5" x14ac:dyDescent="0.25">
      <c r="A6878" s="279">
        <v>39215</v>
      </c>
      <c r="B6878" t="s">
        <v>339</v>
      </c>
      <c r="C6878" t="s">
        <v>74</v>
      </c>
      <c r="D6878">
        <v>0</v>
      </c>
      <c r="E6878" t="s">
        <v>380</v>
      </c>
    </row>
    <row r="6879" spans="1:5" x14ac:dyDescent="0.25">
      <c r="A6879" s="279">
        <v>39215</v>
      </c>
      <c r="B6879" t="s">
        <v>339</v>
      </c>
      <c r="C6879" t="s">
        <v>75</v>
      </c>
      <c r="D6879">
        <v>15126</v>
      </c>
      <c r="E6879" t="s">
        <v>378</v>
      </c>
    </row>
    <row r="6880" spans="1:5" x14ac:dyDescent="0.25">
      <c r="A6880" s="279">
        <v>39215</v>
      </c>
      <c r="B6880" t="s">
        <v>339</v>
      </c>
      <c r="C6880" t="s">
        <v>76</v>
      </c>
      <c r="D6880">
        <v>14550</v>
      </c>
      <c r="E6880" t="s">
        <v>380</v>
      </c>
    </row>
    <row r="6881" spans="1:5" x14ac:dyDescent="0.25">
      <c r="A6881" s="279">
        <v>39215</v>
      </c>
      <c r="B6881" t="s">
        <v>339</v>
      </c>
      <c r="C6881" t="s">
        <v>77</v>
      </c>
      <c r="D6881">
        <v>7212</v>
      </c>
      <c r="E6881" t="s">
        <v>378</v>
      </c>
    </row>
    <row r="6882" spans="1:5" x14ac:dyDescent="0.25">
      <c r="A6882" s="279">
        <v>39215</v>
      </c>
      <c r="B6882" t="s">
        <v>339</v>
      </c>
      <c r="C6882" t="s">
        <v>78</v>
      </c>
      <c r="D6882">
        <v>6935</v>
      </c>
      <c r="E6882" t="s">
        <v>380</v>
      </c>
    </row>
    <row r="6883" spans="1:5" x14ac:dyDescent="0.25">
      <c r="A6883" s="279">
        <v>39215</v>
      </c>
      <c r="B6883" t="s">
        <v>339</v>
      </c>
      <c r="C6883" t="s">
        <v>79</v>
      </c>
      <c r="D6883">
        <v>101395</v>
      </c>
      <c r="E6883" t="s">
        <v>379</v>
      </c>
    </row>
    <row r="6884" spans="1:5" x14ac:dyDescent="0.25">
      <c r="A6884" s="279">
        <v>39215</v>
      </c>
      <c r="B6884" t="s">
        <v>339</v>
      </c>
      <c r="C6884" t="s">
        <v>70</v>
      </c>
      <c r="D6884">
        <v>0</v>
      </c>
      <c r="E6884" t="s">
        <v>379</v>
      </c>
    </row>
    <row r="6885" spans="1:5" x14ac:dyDescent="0.25">
      <c r="A6885" s="279">
        <v>39215</v>
      </c>
      <c r="B6885" t="s">
        <v>339</v>
      </c>
      <c r="C6885" t="s">
        <v>63</v>
      </c>
      <c r="D6885">
        <v>0</v>
      </c>
      <c r="E6885" t="s">
        <v>378</v>
      </c>
    </row>
    <row r="6886" spans="1:5" x14ac:dyDescent="0.25">
      <c r="A6886" s="279">
        <v>39215</v>
      </c>
      <c r="B6886" t="s">
        <v>339</v>
      </c>
      <c r="C6886" t="s">
        <v>80</v>
      </c>
      <c r="D6886">
        <v>563</v>
      </c>
      <c r="E6886" t="s">
        <v>379</v>
      </c>
    </row>
    <row r="6887" spans="1:5" x14ac:dyDescent="0.25">
      <c r="A6887" s="279">
        <v>39216</v>
      </c>
      <c r="B6887" t="s">
        <v>338</v>
      </c>
      <c r="C6887" t="s">
        <v>59</v>
      </c>
      <c r="D6887">
        <v>2566</v>
      </c>
      <c r="E6887" t="s">
        <v>378</v>
      </c>
    </row>
    <row r="6888" spans="1:5" x14ac:dyDescent="0.25">
      <c r="A6888" s="279">
        <v>39216</v>
      </c>
      <c r="B6888" t="s">
        <v>338</v>
      </c>
      <c r="C6888" t="s">
        <v>60</v>
      </c>
      <c r="D6888">
        <v>0</v>
      </c>
      <c r="E6888" t="s">
        <v>379</v>
      </c>
    </row>
    <row r="6889" spans="1:5" x14ac:dyDescent="0.25">
      <c r="A6889" s="279">
        <v>39216</v>
      </c>
      <c r="B6889" t="s">
        <v>338</v>
      </c>
      <c r="C6889" t="s">
        <v>61</v>
      </c>
      <c r="D6889">
        <v>12974</v>
      </c>
      <c r="E6889" t="s">
        <v>378</v>
      </c>
    </row>
    <row r="6890" spans="1:5" x14ac:dyDescent="0.25">
      <c r="A6890" s="279">
        <v>39216</v>
      </c>
      <c r="B6890" t="s">
        <v>338</v>
      </c>
      <c r="C6890" t="s">
        <v>62</v>
      </c>
      <c r="D6890">
        <v>0</v>
      </c>
      <c r="E6890" t="s">
        <v>380</v>
      </c>
    </row>
    <row r="6891" spans="1:5" x14ac:dyDescent="0.25">
      <c r="A6891" s="279">
        <v>39216</v>
      </c>
      <c r="B6891" t="s">
        <v>338</v>
      </c>
      <c r="C6891" t="s">
        <v>63</v>
      </c>
      <c r="D6891">
        <v>3934</v>
      </c>
      <c r="E6891" t="s">
        <v>378</v>
      </c>
    </row>
    <row r="6892" spans="1:5" x14ac:dyDescent="0.25">
      <c r="A6892" s="279">
        <v>39216</v>
      </c>
      <c r="B6892" t="s">
        <v>338</v>
      </c>
      <c r="C6892" t="s">
        <v>64</v>
      </c>
      <c r="D6892">
        <v>0</v>
      </c>
      <c r="E6892" t="s">
        <v>380</v>
      </c>
    </row>
    <row r="6893" spans="1:5" x14ac:dyDescent="0.25">
      <c r="A6893" s="279">
        <v>39216</v>
      </c>
      <c r="B6893" t="s">
        <v>338</v>
      </c>
      <c r="C6893" t="s">
        <v>65</v>
      </c>
      <c r="D6893">
        <v>0</v>
      </c>
      <c r="E6893" t="s">
        <v>378</v>
      </c>
    </row>
    <row r="6894" spans="1:5" x14ac:dyDescent="0.25">
      <c r="A6894" s="279">
        <v>39216</v>
      </c>
      <c r="B6894" t="s">
        <v>338</v>
      </c>
      <c r="C6894" t="s">
        <v>66</v>
      </c>
      <c r="D6894">
        <v>0</v>
      </c>
      <c r="E6894" t="s">
        <v>380</v>
      </c>
    </row>
    <row r="6895" spans="1:5" x14ac:dyDescent="0.25">
      <c r="A6895" s="279">
        <v>39216</v>
      </c>
      <c r="B6895" t="s">
        <v>338</v>
      </c>
      <c r="C6895" t="s">
        <v>120</v>
      </c>
      <c r="D6895">
        <v>6824</v>
      </c>
      <c r="E6895" t="s">
        <v>378</v>
      </c>
    </row>
    <row r="6896" spans="1:5" x14ac:dyDescent="0.25">
      <c r="A6896" s="279">
        <v>39216</v>
      </c>
      <c r="B6896" t="s">
        <v>338</v>
      </c>
      <c r="C6896" t="s">
        <v>121</v>
      </c>
      <c r="D6896">
        <v>0</v>
      </c>
      <c r="E6896" t="s">
        <v>380</v>
      </c>
    </row>
    <row r="6897" spans="1:5" x14ac:dyDescent="0.25">
      <c r="A6897" s="279">
        <v>39216</v>
      </c>
      <c r="B6897" t="s">
        <v>338</v>
      </c>
      <c r="C6897" t="s">
        <v>67</v>
      </c>
      <c r="D6897">
        <v>0</v>
      </c>
      <c r="E6897" t="s">
        <v>378</v>
      </c>
    </row>
    <row r="6898" spans="1:5" x14ac:dyDescent="0.25">
      <c r="A6898" s="279">
        <v>39216</v>
      </c>
      <c r="B6898" t="s">
        <v>338</v>
      </c>
      <c r="C6898" t="s">
        <v>68</v>
      </c>
      <c r="D6898">
        <v>0</v>
      </c>
      <c r="E6898" t="s">
        <v>380</v>
      </c>
    </row>
    <row r="6899" spans="1:5" x14ac:dyDescent="0.25">
      <c r="A6899" s="279">
        <v>39216</v>
      </c>
      <c r="B6899" t="s">
        <v>338</v>
      </c>
      <c r="C6899" t="s">
        <v>69</v>
      </c>
      <c r="D6899">
        <v>0</v>
      </c>
      <c r="E6899" t="s">
        <v>379</v>
      </c>
    </row>
    <row r="6900" spans="1:5" x14ac:dyDescent="0.25">
      <c r="A6900" s="279">
        <v>39216</v>
      </c>
      <c r="B6900" t="s">
        <v>338</v>
      </c>
      <c r="C6900" t="s">
        <v>70</v>
      </c>
      <c r="D6900">
        <v>0</v>
      </c>
      <c r="E6900" t="s">
        <v>379</v>
      </c>
    </row>
    <row r="6901" spans="1:5" x14ac:dyDescent="0.25">
      <c r="A6901" s="279">
        <v>39216</v>
      </c>
      <c r="B6901" t="s">
        <v>338</v>
      </c>
      <c r="C6901" t="s">
        <v>80</v>
      </c>
      <c r="D6901">
        <v>315</v>
      </c>
      <c r="E6901" t="s">
        <v>379</v>
      </c>
    </row>
    <row r="6902" spans="1:5" x14ac:dyDescent="0.25">
      <c r="A6902" s="279">
        <v>39216</v>
      </c>
      <c r="B6902" t="s">
        <v>339</v>
      </c>
      <c r="C6902" t="s">
        <v>71</v>
      </c>
      <c r="D6902">
        <v>1905</v>
      </c>
      <c r="E6902" t="s">
        <v>378</v>
      </c>
    </row>
    <row r="6903" spans="1:5" x14ac:dyDescent="0.25">
      <c r="A6903" s="279">
        <v>39216</v>
      </c>
      <c r="B6903" t="s">
        <v>339</v>
      </c>
      <c r="C6903" t="s">
        <v>72</v>
      </c>
      <c r="D6903">
        <v>0</v>
      </c>
      <c r="E6903" t="s">
        <v>380</v>
      </c>
    </row>
    <row r="6904" spans="1:5" x14ac:dyDescent="0.25">
      <c r="A6904" s="279">
        <v>39216</v>
      </c>
      <c r="B6904" t="s">
        <v>339</v>
      </c>
      <c r="C6904" t="s">
        <v>73</v>
      </c>
      <c r="D6904">
        <v>16659</v>
      </c>
      <c r="E6904" t="s">
        <v>378</v>
      </c>
    </row>
    <row r="6905" spans="1:5" x14ac:dyDescent="0.25">
      <c r="A6905" s="279">
        <v>39216</v>
      </c>
      <c r="B6905" t="s">
        <v>339</v>
      </c>
      <c r="C6905" t="s">
        <v>74</v>
      </c>
      <c r="D6905">
        <v>0</v>
      </c>
      <c r="E6905" t="s">
        <v>380</v>
      </c>
    </row>
    <row r="6906" spans="1:5" x14ac:dyDescent="0.25">
      <c r="A6906" s="279">
        <v>39216</v>
      </c>
      <c r="B6906" t="s">
        <v>339</v>
      </c>
      <c r="C6906" t="s">
        <v>75</v>
      </c>
      <c r="D6906">
        <v>15198</v>
      </c>
      <c r="E6906" t="s">
        <v>378</v>
      </c>
    </row>
    <row r="6907" spans="1:5" x14ac:dyDescent="0.25">
      <c r="A6907" s="279">
        <v>39216</v>
      </c>
      <c r="B6907" t="s">
        <v>339</v>
      </c>
      <c r="C6907" t="s">
        <v>76</v>
      </c>
      <c r="D6907">
        <v>14620</v>
      </c>
      <c r="E6907" t="s">
        <v>380</v>
      </c>
    </row>
    <row r="6908" spans="1:5" x14ac:dyDescent="0.25">
      <c r="A6908" s="279">
        <v>39216</v>
      </c>
      <c r="B6908" t="s">
        <v>339</v>
      </c>
      <c r="C6908" t="s">
        <v>77</v>
      </c>
      <c r="D6908">
        <v>7247</v>
      </c>
      <c r="E6908" t="s">
        <v>378</v>
      </c>
    </row>
    <row r="6909" spans="1:5" x14ac:dyDescent="0.25">
      <c r="A6909" s="279">
        <v>39216</v>
      </c>
      <c r="B6909" t="s">
        <v>339</v>
      </c>
      <c r="C6909" t="s">
        <v>78</v>
      </c>
      <c r="D6909">
        <v>6968</v>
      </c>
      <c r="E6909" t="s">
        <v>380</v>
      </c>
    </row>
    <row r="6910" spans="1:5" x14ac:dyDescent="0.25">
      <c r="A6910" s="279">
        <v>39216</v>
      </c>
      <c r="B6910" t="s">
        <v>339</v>
      </c>
      <c r="C6910" t="s">
        <v>79</v>
      </c>
      <c r="D6910">
        <v>101882</v>
      </c>
      <c r="E6910" t="s">
        <v>379</v>
      </c>
    </row>
    <row r="6911" spans="1:5" x14ac:dyDescent="0.25">
      <c r="A6911" s="279">
        <v>39216</v>
      </c>
      <c r="B6911" t="s">
        <v>339</v>
      </c>
      <c r="C6911" t="s">
        <v>70</v>
      </c>
      <c r="D6911">
        <v>0</v>
      </c>
      <c r="E6911" t="s">
        <v>379</v>
      </c>
    </row>
    <row r="6912" spans="1:5" x14ac:dyDescent="0.25">
      <c r="A6912" s="279">
        <v>39216</v>
      </c>
      <c r="B6912" t="s">
        <v>339</v>
      </c>
      <c r="C6912" t="s">
        <v>63</v>
      </c>
      <c r="D6912">
        <v>0</v>
      </c>
      <c r="E6912" t="s">
        <v>378</v>
      </c>
    </row>
    <row r="6913" spans="1:5" x14ac:dyDescent="0.25">
      <c r="A6913" s="279">
        <v>39216</v>
      </c>
      <c r="B6913" t="s">
        <v>339</v>
      </c>
      <c r="C6913" t="s">
        <v>80</v>
      </c>
      <c r="D6913">
        <v>783</v>
      </c>
      <c r="E6913" t="s">
        <v>379</v>
      </c>
    </row>
    <row r="6914" spans="1:5" x14ac:dyDescent="0.25">
      <c r="A6914" s="279">
        <v>39217</v>
      </c>
      <c r="B6914" t="s">
        <v>338</v>
      </c>
      <c r="C6914" t="s">
        <v>59</v>
      </c>
      <c r="D6914">
        <v>2556</v>
      </c>
      <c r="E6914" t="s">
        <v>378</v>
      </c>
    </row>
    <row r="6915" spans="1:5" x14ac:dyDescent="0.25">
      <c r="A6915" s="279">
        <v>39217</v>
      </c>
      <c r="B6915" t="s">
        <v>338</v>
      </c>
      <c r="C6915" t="s">
        <v>60</v>
      </c>
      <c r="D6915">
        <v>0</v>
      </c>
      <c r="E6915" t="s">
        <v>379</v>
      </c>
    </row>
    <row r="6916" spans="1:5" x14ac:dyDescent="0.25">
      <c r="A6916" s="279">
        <v>39217</v>
      </c>
      <c r="B6916" t="s">
        <v>338</v>
      </c>
      <c r="C6916" t="s">
        <v>61</v>
      </c>
      <c r="D6916">
        <v>12925</v>
      </c>
      <c r="E6916" t="s">
        <v>378</v>
      </c>
    </row>
    <row r="6917" spans="1:5" x14ac:dyDescent="0.25">
      <c r="A6917" s="279">
        <v>39217</v>
      </c>
      <c r="B6917" t="s">
        <v>338</v>
      </c>
      <c r="C6917" t="s">
        <v>62</v>
      </c>
      <c r="D6917">
        <v>0</v>
      </c>
      <c r="E6917" t="s">
        <v>380</v>
      </c>
    </row>
    <row r="6918" spans="1:5" x14ac:dyDescent="0.25">
      <c r="A6918" s="279">
        <v>39217</v>
      </c>
      <c r="B6918" t="s">
        <v>338</v>
      </c>
      <c r="C6918" t="s">
        <v>63</v>
      </c>
      <c r="D6918">
        <v>3919</v>
      </c>
      <c r="E6918" t="s">
        <v>378</v>
      </c>
    </row>
    <row r="6919" spans="1:5" x14ac:dyDescent="0.25">
      <c r="A6919" s="279">
        <v>39217</v>
      </c>
      <c r="B6919" t="s">
        <v>338</v>
      </c>
      <c r="C6919" t="s">
        <v>64</v>
      </c>
      <c r="D6919">
        <v>0</v>
      </c>
      <c r="E6919" t="s">
        <v>380</v>
      </c>
    </row>
    <row r="6920" spans="1:5" x14ac:dyDescent="0.25">
      <c r="A6920" s="279">
        <v>39217</v>
      </c>
      <c r="B6920" t="s">
        <v>338</v>
      </c>
      <c r="C6920" t="s">
        <v>65</v>
      </c>
      <c r="D6920">
        <v>0</v>
      </c>
      <c r="E6920" t="s">
        <v>378</v>
      </c>
    </row>
    <row r="6921" spans="1:5" x14ac:dyDescent="0.25">
      <c r="A6921" s="279">
        <v>39217</v>
      </c>
      <c r="B6921" t="s">
        <v>338</v>
      </c>
      <c r="C6921" t="s">
        <v>66</v>
      </c>
      <c r="D6921">
        <v>0</v>
      </c>
      <c r="E6921" t="s">
        <v>380</v>
      </c>
    </row>
    <row r="6922" spans="1:5" x14ac:dyDescent="0.25">
      <c r="A6922" s="279">
        <v>39217</v>
      </c>
      <c r="B6922" t="s">
        <v>338</v>
      </c>
      <c r="C6922" t="s">
        <v>120</v>
      </c>
      <c r="D6922">
        <v>6798</v>
      </c>
      <c r="E6922" t="s">
        <v>378</v>
      </c>
    </row>
    <row r="6923" spans="1:5" x14ac:dyDescent="0.25">
      <c r="A6923" s="279">
        <v>39217</v>
      </c>
      <c r="B6923" t="s">
        <v>338</v>
      </c>
      <c r="C6923" t="s">
        <v>121</v>
      </c>
      <c r="D6923">
        <v>0</v>
      </c>
      <c r="E6923" t="s">
        <v>380</v>
      </c>
    </row>
    <row r="6924" spans="1:5" x14ac:dyDescent="0.25">
      <c r="A6924" s="279">
        <v>39217</v>
      </c>
      <c r="B6924" t="s">
        <v>338</v>
      </c>
      <c r="C6924" t="s">
        <v>67</v>
      </c>
      <c r="D6924">
        <v>0</v>
      </c>
      <c r="E6924" t="s">
        <v>378</v>
      </c>
    </row>
    <row r="6925" spans="1:5" x14ac:dyDescent="0.25">
      <c r="A6925" s="279">
        <v>39217</v>
      </c>
      <c r="B6925" t="s">
        <v>338</v>
      </c>
      <c r="C6925" t="s">
        <v>68</v>
      </c>
      <c r="D6925">
        <v>0</v>
      </c>
      <c r="E6925" t="s">
        <v>380</v>
      </c>
    </row>
    <row r="6926" spans="1:5" x14ac:dyDescent="0.25">
      <c r="A6926" s="279">
        <v>39217</v>
      </c>
      <c r="B6926" t="s">
        <v>338</v>
      </c>
      <c r="C6926" t="s">
        <v>69</v>
      </c>
      <c r="D6926">
        <v>0</v>
      </c>
      <c r="E6926" t="s">
        <v>379</v>
      </c>
    </row>
    <row r="6927" spans="1:5" x14ac:dyDescent="0.25">
      <c r="A6927" s="279">
        <v>39217</v>
      </c>
      <c r="B6927" t="s">
        <v>338</v>
      </c>
      <c r="C6927" t="s">
        <v>70</v>
      </c>
      <c r="D6927">
        <v>0</v>
      </c>
      <c r="E6927" t="s">
        <v>379</v>
      </c>
    </row>
    <row r="6928" spans="1:5" x14ac:dyDescent="0.25">
      <c r="A6928" s="279">
        <v>39217</v>
      </c>
      <c r="B6928" t="s">
        <v>338</v>
      </c>
      <c r="C6928" t="s">
        <v>80</v>
      </c>
      <c r="D6928">
        <v>313</v>
      </c>
      <c r="E6928" t="s">
        <v>379</v>
      </c>
    </row>
    <row r="6929" spans="1:5" x14ac:dyDescent="0.25">
      <c r="A6929" s="279">
        <v>39217</v>
      </c>
      <c r="B6929" t="s">
        <v>339</v>
      </c>
      <c r="C6929" t="s">
        <v>71</v>
      </c>
      <c r="D6929">
        <v>1916</v>
      </c>
      <c r="E6929" t="s">
        <v>378</v>
      </c>
    </row>
    <row r="6930" spans="1:5" x14ac:dyDescent="0.25">
      <c r="A6930" s="279">
        <v>39217</v>
      </c>
      <c r="B6930" t="s">
        <v>339</v>
      </c>
      <c r="C6930" t="s">
        <v>72</v>
      </c>
      <c r="D6930">
        <v>0</v>
      </c>
      <c r="E6930" t="s">
        <v>380</v>
      </c>
    </row>
    <row r="6931" spans="1:5" x14ac:dyDescent="0.25">
      <c r="A6931" s="279">
        <v>39217</v>
      </c>
      <c r="B6931" t="s">
        <v>339</v>
      </c>
      <c r="C6931" t="s">
        <v>73</v>
      </c>
      <c r="D6931">
        <v>9553</v>
      </c>
      <c r="E6931" t="s">
        <v>378</v>
      </c>
    </row>
    <row r="6932" spans="1:5" x14ac:dyDescent="0.25">
      <c r="A6932" s="279">
        <v>39217</v>
      </c>
      <c r="B6932" t="s">
        <v>339</v>
      </c>
      <c r="C6932" t="s">
        <v>74</v>
      </c>
      <c r="D6932">
        <v>0</v>
      </c>
      <c r="E6932" t="s">
        <v>380</v>
      </c>
    </row>
    <row r="6933" spans="1:5" x14ac:dyDescent="0.25">
      <c r="A6933" s="279">
        <v>39217</v>
      </c>
      <c r="B6933" t="s">
        <v>339</v>
      </c>
      <c r="C6933" t="s">
        <v>75</v>
      </c>
      <c r="D6933">
        <v>15287</v>
      </c>
      <c r="E6933" t="s">
        <v>378</v>
      </c>
    </row>
    <row r="6934" spans="1:5" x14ac:dyDescent="0.25">
      <c r="A6934" s="279">
        <v>39217</v>
      </c>
      <c r="B6934" t="s">
        <v>339</v>
      </c>
      <c r="C6934" t="s">
        <v>76</v>
      </c>
      <c r="D6934">
        <v>14704</v>
      </c>
      <c r="E6934" t="s">
        <v>380</v>
      </c>
    </row>
    <row r="6935" spans="1:5" x14ac:dyDescent="0.25">
      <c r="A6935" s="279">
        <v>39217</v>
      </c>
      <c r="B6935" t="s">
        <v>339</v>
      </c>
      <c r="C6935" t="s">
        <v>77</v>
      </c>
      <c r="D6935">
        <v>7289</v>
      </c>
      <c r="E6935" t="s">
        <v>378</v>
      </c>
    </row>
    <row r="6936" spans="1:5" x14ac:dyDescent="0.25">
      <c r="A6936" s="279">
        <v>39217</v>
      </c>
      <c r="B6936" t="s">
        <v>339</v>
      </c>
      <c r="C6936" t="s">
        <v>78</v>
      </c>
      <c r="D6936">
        <v>7009</v>
      </c>
      <c r="E6936" t="s">
        <v>380</v>
      </c>
    </row>
    <row r="6937" spans="1:5" x14ac:dyDescent="0.25">
      <c r="A6937" s="279">
        <v>39217</v>
      </c>
      <c r="B6937" t="s">
        <v>339</v>
      </c>
      <c r="C6937" t="s">
        <v>79</v>
      </c>
      <c r="D6937">
        <v>102472</v>
      </c>
      <c r="E6937" t="s">
        <v>379</v>
      </c>
    </row>
    <row r="6938" spans="1:5" x14ac:dyDescent="0.25">
      <c r="A6938" s="279">
        <v>39217</v>
      </c>
      <c r="B6938" t="s">
        <v>339</v>
      </c>
      <c r="C6938" t="s">
        <v>70</v>
      </c>
      <c r="D6938">
        <v>0</v>
      </c>
      <c r="E6938" t="s">
        <v>379</v>
      </c>
    </row>
    <row r="6939" spans="1:5" x14ac:dyDescent="0.25">
      <c r="A6939" s="279">
        <v>39217</v>
      </c>
      <c r="B6939" t="s">
        <v>339</v>
      </c>
      <c r="C6939" t="s">
        <v>63</v>
      </c>
      <c r="D6939">
        <v>17353</v>
      </c>
      <c r="E6939" t="s">
        <v>378</v>
      </c>
    </row>
    <row r="6940" spans="1:5" x14ac:dyDescent="0.25">
      <c r="A6940" s="279">
        <v>39217</v>
      </c>
      <c r="B6940" t="s">
        <v>339</v>
      </c>
      <c r="C6940" t="s">
        <v>80</v>
      </c>
      <c r="D6940">
        <v>515</v>
      </c>
      <c r="E6940" t="s">
        <v>379</v>
      </c>
    </row>
    <row r="6941" spans="1:5" x14ac:dyDescent="0.25">
      <c r="A6941" s="279">
        <v>39218</v>
      </c>
      <c r="B6941" t="s">
        <v>338</v>
      </c>
      <c r="C6941" t="s">
        <v>59</v>
      </c>
      <c r="D6941">
        <v>2541</v>
      </c>
      <c r="E6941" t="s">
        <v>378</v>
      </c>
    </row>
    <row r="6942" spans="1:5" x14ac:dyDescent="0.25">
      <c r="A6942" s="279">
        <v>39218</v>
      </c>
      <c r="B6942" t="s">
        <v>338</v>
      </c>
      <c r="C6942" t="s">
        <v>60</v>
      </c>
      <c r="D6942">
        <v>0</v>
      </c>
      <c r="E6942" t="s">
        <v>379</v>
      </c>
    </row>
    <row r="6943" spans="1:5" x14ac:dyDescent="0.25">
      <c r="A6943" s="279">
        <v>39218</v>
      </c>
      <c r="B6943" t="s">
        <v>338</v>
      </c>
      <c r="C6943" t="s">
        <v>61</v>
      </c>
      <c r="D6943">
        <v>12852</v>
      </c>
      <c r="E6943" t="s">
        <v>378</v>
      </c>
    </row>
    <row r="6944" spans="1:5" x14ac:dyDescent="0.25">
      <c r="A6944" s="279">
        <v>39218</v>
      </c>
      <c r="B6944" t="s">
        <v>338</v>
      </c>
      <c r="C6944" t="s">
        <v>62</v>
      </c>
      <c r="D6944">
        <v>0</v>
      </c>
      <c r="E6944" t="s">
        <v>380</v>
      </c>
    </row>
    <row r="6945" spans="1:5" x14ac:dyDescent="0.25">
      <c r="A6945" s="279">
        <v>39218</v>
      </c>
      <c r="B6945" t="s">
        <v>338</v>
      </c>
      <c r="C6945" t="s">
        <v>63</v>
      </c>
      <c r="D6945">
        <v>3897</v>
      </c>
      <c r="E6945" t="s">
        <v>378</v>
      </c>
    </row>
    <row r="6946" spans="1:5" x14ac:dyDescent="0.25">
      <c r="A6946" s="279">
        <v>39218</v>
      </c>
      <c r="B6946" t="s">
        <v>338</v>
      </c>
      <c r="C6946" t="s">
        <v>64</v>
      </c>
      <c r="D6946">
        <v>0</v>
      </c>
      <c r="E6946" t="s">
        <v>380</v>
      </c>
    </row>
    <row r="6947" spans="1:5" x14ac:dyDescent="0.25">
      <c r="A6947" s="279">
        <v>39218</v>
      </c>
      <c r="B6947" t="s">
        <v>338</v>
      </c>
      <c r="C6947" t="s">
        <v>65</v>
      </c>
      <c r="D6947">
        <v>0</v>
      </c>
      <c r="E6947" t="s">
        <v>378</v>
      </c>
    </row>
    <row r="6948" spans="1:5" x14ac:dyDescent="0.25">
      <c r="A6948" s="279">
        <v>39218</v>
      </c>
      <c r="B6948" t="s">
        <v>338</v>
      </c>
      <c r="C6948" t="s">
        <v>66</v>
      </c>
      <c r="D6948">
        <v>0</v>
      </c>
      <c r="E6948" t="s">
        <v>380</v>
      </c>
    </row>
    <row r="6949" spans="1:5" x14ac:dyDescent="0.25">
      <c r="A6949" s="279">
        <v>39218</v>
      </c>
      <c r="B6949" t="s">
        <v>338</v>
      </c>
      <c r="C6949" t="s">
        <v>120</v>
      </c>
      <c r="D6949">
        <v>6975</v>
      </c>
      <c r="E6949" t="s">
        <v>378</v>
      </c>
    </row>
    <row r="6950" spans="1:5" x14ac:dyDescent="0.25">
      <c r="A6950" s="279">
        <v>39218</v>
      </c>
      <c r="B6950" t="s">
        <v>338</v>
      </c>
      <c r="C6950" t="s">
        <v>121</v>
      </c>
      <c r="D6950">
        <v>0</v>
      </c>
      <c r="E6950" t="s">
        <v>380</v>
      </c>
    </row>
    <row r="6951" spans="1:5" x14ac:dyDescent="0.25">
      <c r="A6951" s="279">
        <v>39218</v>
      </c>
      <c r="B6951" t="s">
        <v>338</v>
      </c>
      <c r="C6951" t="s">
        <v>67</v>
      </c>
      <c r="D6951">
        <v>0</v>
      </c>
      <c r="E6951" t="s">
        <v>378</v>
      </c>
    </row>
    <row r="6952" spans="1:5" x14ac:dyDescent="0.25">
      <c r="A6952" s="279">
        <v>39218</v>
      </c>
      <c r="B6952" t="s">
        <v>338</v>
      </c>
      <c r="C6952" t="s">
        <v>68</v>
      </c>
      <c r="D6952">
        <v>0</v>
      </c>
      <c r="E6952" t="s">
        <v>380</v>
      </c>
    </row>
    <row r="6953" spans="1:5" x14ac:dyDescent="0.25">
      <c r="A6953" s="279">
        <v>39218</v>
      </c>
      <c r="B6953" t="s">
        <v>338</v>
      </c>
      <c r="C6953" t="s">
        <v>69</v>
      </c>
      <c r="D6953">
        <v>0</v>
      </c>
      <c r="E6953" t="s">
        <v>379</v>
      </c>
    </row>
    <row r="6954" spans="1:5" x14ac:dyDescent="0.25">
      <c r="A6954" s="279">
        <v>39218</v>
      </c>
      <c r="B6954" t="s">
        <v>338</v>
      </c>
      <c r="C6954" t="s">
        <v>70</v>
      </c>
      <c r="D6954">
        <v>0</v>
      </c>
      <c r="E6954" t="s">
        <v>379</v>
      </c>
    </row>
    <row r="6955" spans="1:5" x14ac:dyDescent="0.25">
      <c r="A6955" s="279">
        <v>39218</v>
      </c>
      <c r="B6955" t="s">
        <v>338</v>
      </c>
      <c r="C6955" t="s">
        <v>80</v>
      </c>
      <c r="D6955">
        <v>313</v>
      </c>
      <c r="E6955" t="s">
        <v>379</v>
      </c>
    </row>
    <row r="6956" spans="1:5" x14ac:dyDescent="0.25">
      <c r="A6956" s="279">
        <v>39218</v>
      </c>
      <c r="B6956" t="s">
        <v>339</v>
      </c>
      <c r="C6956" t="s">
        <v>71</v>
      </c>
      <c r="D6956">
        <v>1899</v>
      </c>
      <c r="E6956" t="s">
        <v>378</v>
      </c>
    </row>
    <row r="6957" spans="1:5" x14ac:dyDescent="0.25">
      <c r="A6957" s="279">
        <v>39218</v>
      </c>
      <c r="B6957" t="s">
        <v>339</v>
      </c>
      <c r="C6957" t="s">
        <v>72</v>
      </c>
      <c r="D6957">
        <v>0</v>
      </c>
      <c r="E6957" t="s">
        <v>380</v>
      </c>
    </row>
    <row r="6958" spans="1:5" x14ac:dyDescent="0.25">
      <c r="A6958" s="279">
        <v>39218</v>
      </c>
      <c r="B6958" t="s">
        <v>339</v>
      </c>
      <c r="C6958" t="s">
        <v>73</v>
      </c>
      <c r="D6958">
        <v>9803</v>
      </c>
      <c r="E6958" t="s">
        <v>378</v>
      </c>
    </row>
    <row r="6959" spans="1:5" x14ac:dyDescent="0.25">
      <c r="A6959" s="279">
        <v>39218</v>
      </c>
      <c r="B6959" t="s">
        <v>339</v>
      </c>
      <c r="C6959" t="s">
        <v>74</v>
      </c>
      <c r="D6959">
        <v>0</v>
      </c>
      <c r="E6959" t="s">
        <v>380</v>
      </c>
    </row>
    <row r="6960" spans="1:5" x14ac:dyDescent="0.25">
      <c r="A6960" s="279">
        <v>39218</v>
      </c>
      <c r="B6960" t="s">
        <v>339</v>
      </c>
      <c r="C6960" t="s">
        <v>75</v>
      </c>
      <c r="D6960">
        <v>15155</v>
      </c>
      <c r="E6960" t="s">
        <v>378</v>
      </c>
    </row>
    <row r="6961" spans="1:5" x14ac:dyDescent="0.25">
      <c r="A6961" s="279">
        <v>39218</v>
      </c>
      <c r="B6961" t="s">
        <v>339</v>
      </c>
      <c r="C6961" t="s">
        <v>76</v>
      </c>
      <c r="D6961">
        <v>14578</v>
      </c>
      <c r="E6961" t="s">
        <v>380</v>
      </c>
    </row>
    <row r="6962" spans="1:5" x14ac:dyDescent="0.25">
      <c r="A6962" s="279">
        <v>39218</v>
      </c>
      <c r="B6962" t="s">
        <v>339</v>
      </c>
      <c r="C6962" t="s">
        <v>77</v>
      </c>
      <c r="D6962">
        <v>7226</v>
      </c>
      <c r="E6962" t="s">
        <v>378</v>
      </c>
    </row>
    <row r="6963" spans="1:5" x14ac:dyDescent="0.25">
      <c r="A6963" s="279">
        <v>39218</v>
      </c>
      <c r="B6963" t="s">
        <v>339</v>
      </c>
      <c r="C6963" t="s">
        <v>78</v>
      </c>
      <c r="D6963">
        <v>6948</v>
      </c>
      <c r="E6963" t="s">
        <v>380</v>
      </c>
    </row>
    <row r="6964" spans="1:5" x14ac:dyDescent="0.25">
      <c r="A6964" s="279">
        <v>39218</v>
      </c>
      <c r="B6964" t="s">
        <v>339</v>
      </c>
      <c r="C6964" t="s">
        <v>79</v>
      </c>
      <c r="D6964">
        <v>101589</v>
      </c>
      <c r="E6964" t="s">
        <v>379</v>
      </c>
    </row>
    <row r="6965" spans="1:5" x14ac:dyDescent="0.25">
      <c r="A6965" s="279">
        <v>39218</v>
      </c>
      <c r="B6965" t="s">
        <v>339</v>
      </c>
      <c r="C6965" t="s">
        <v>70</v>
      </c>
      <c r="D6965">
        <v>0</v>
      </c>
      <c r="E6965" t="s">
        <v>379</v>
      </c>
    </row>
    <row r="6966" spans="1:5" x14ac:dyDescent="0.25">
      <c r="A6966" s="279">
        <v>39218</v>
      </c>
      <c r="B6966" t="s">
        <v>339</v>
      </c>
      <c r="C6966" t="s">
        <v>63</v>
      </c>
      <c r="D6966">
        <v>17203</v>
      </c>
      <c r="E6966" t="s">
        <v>378</v>
      </c>
    </row>
    <row r="6967" spans="1:5" x14ac:dyDescent="0.25">
      <c r="A6967" s="279">
        <v>39218</v>
      </c>
      <c r="B6967" t="s">
        <v>339</v>
      </c>
      <c r="C6967" t="s">
        <v>80</v>
      </c>
      <c r="D6967">
        <v>523</v>
      </c>
      <c r="E6967" t="s">
        <v>379</v>
      </c>
    </row>
    <row r="6968" spans="1:5" x14ac:dyDescent="0.25">
      <c r="A6968" s="279">
        <v>39219</v>
      </c>
      <c r="B6968" t="s">
        <v>338</v>
      </c>
      <c r="C6968" t="s">
        <v>59</v>
      </c>
      <c r="D6968">
        <v>2539</v>
      </c>
      <c r="E6968" t="s">
        <v>378</v>
      </c>
    </row>
    <row r="6969" spans="1:5" x14ac:dyDescent="0.25">
      <c r="A6969" s="279">
        <v>39219</v>
      </c>
      <c r="B6969" t="s">
        <v>338</v>
      </c>
      <c r="C6969" t="s">
        <v>60</v>
      </c>
      <c r="D6969">
        <v>0</v>
      </c>
      <c r="E6969" t="s">
        <v>379</v>
      </c>
    </row>
    <row r="6970" spans="1:5" x14ac:dyDescent="0.25">
      <c r="A6970" s="279">
        <v>39219</v>
      </c>
      <c r="B6970" t="s">
        <v>338</v>
      </c>
      <c r="C6970" t="s">
        <v>61</v>
      </c>
      <c r="D6970">
        <v>12470</v>
      </c>
      <c r="E6970" t="s">
        <v>378</v>
      </c>
    </row>
    <row r="6971" spans="1:5" x14ac:dyDescent="0.25">
      <c r="A6971" s="279">
        <v>39219</v>
      </c>
      <c r="B6971" t="s">
        <v>338</v>
      </c>
      <c r="C6971" t="s">
        <v>62</v>
      </c>
      <c r="D6971">
        <v>0</v>
      </c>
      <c r="E6971" t="s">
        <v>380</v>
      </c>
    </row>
    <row r="6972" spans="1:5" x14ac:dyDescent="0.25">
      <c r="A6972" s="279">
        <v>39219</v>
      </c>
      <c r="B6972" t="s">
        <v>338</v>
      </c>
      <c r="C6972" t="s">
        <v>63</v>
      </c>
      <c r="D6972">
        <v>3893</v>
      </c>
      <c r="E6972" t="s">
        <v>378</v>
      </c>
    </row>
    <row r="6973" spans="1:5" x14ac:dyDescent="0.25">
      <c r="A6973" s="279">
        <v>39219</v>
      </c>
      <c r="B6973" t="s">
        <v>338</v>
      </c>
      <c r="C6973" t="s">
        <v>64</v>
      </c>
      <c r="D6973">
        <v>0</v>
      </c>
      <c r="E6973" t="s">
        <v>380</v>
      </c>
    </row>
    <row r="6974" spans="1:5" x14ac:dyDescent="0.25">
      <c r="A6974" s="279">
        <v>39219</v>
      </c>
      <c r="B6974" t="s">
        <v>338</v>
      </c>
      <c r="C6974" t="s">
        <v>65</v>
      </c>
      <c r="D6974">
        <v>0</v>
      </c>
      <c r="E6974" t="s">
        <v>378</v>
      </c>
    </row>
    <row r="6975" spans="1:5" x14ac:dyDescent="0.25">
      <c r="A6975" s="279">
        <v>39219</v>
      </c>
      <c r="B6975" t="s">
        <v>338</v>
      </c>
      <c r="C6975" t="s">
        <v>66</v>
      </c>
      <c r="D6975">
        <v>0</v>
      </c>
      <c r="E6975" t="s">
        <v>380</v>
      </c>
    </row>
    <row r="6976" spans="1:5" x14ac:dyDescent="0.25">
      <c r="A6976" s="279">
        <v>39219</v>
      </c>
      <c r="B6976" t="s">
        <v>338</v>
      </c>
      <c r="C6976" t="s">
        <v>120</v>
      </c>
      <c r="D6976">
        <v>7048</v>
      </c>
      <c r="E6976" t="s">
        <v>378</v>
      </c>
    </row>
    <row r="6977" spans="1:5" x14ac:dyDescent="0.25">
      <c r="A6977" s="279">
        <v>39219</v>
      </c>
      <c r="B6977" t="s">
        <v>338</v>
      </c>
      <c r="C6977" t="s">
        <v>121</v>
      </c>
      <c r="D6977">
        <v>0</v>
      </c>
      <c r="E6977" t="s">
        <v>380</v>
      </c>
    </row>
    <row r="6978" spans="1:5" x14ac:dyDescent="0.25">
      <c r="A6978" s="279">
        <v>39219</v>
      </c>
      <c r="B6978" t="s">
        <v>338</v>
      </c>
      <c r="C6978" t="s">
        <v>67</v>
      </c>
      <c r="D6978">
        <v>0</v>
      </c>
      <c r="E6978" t="s">
        <v>378</v>
      </c>
    </row>
    <row r="6979" spans="1:5" x14ac:dyDescent="0.25">
      <c r="A6979" s="279">
        <v>39219</v>
      </c>
      <c r="B6979" t="s">
        <v>338</v>
      </c>
      <c r="C6979" t="s">
        <v>68</v>
      </c>
      <c r="D6979">
        <v>0</v>
      </c>
      <c r="E6979" t="s">
        <v>380</v>
      </c>
    </row>
    <row r="6980" spans="1:5" x14ac:dyDescent="0.25">
      <c r="A6980" s="279">
        <v>39219</v>
      </c>
      <c r="B6980" t="s">
        <v>338</v>
      </c>
      <c r="C6980" t="s">
        <v>69</v>
      </c>
      <c r="D6980">
        <v>0</v>
      </c>
      <c r="E6980" t="s">
        <v>379</v>
      </c>
    </row>
    <row r="6981" spans="1:5" x14ac:dyDescent="0.25">
      <c r="A6981" s="279">
        <v>39219</v>
      </c>
      <c r="B6981" t="s">
        <v>338</v>
      </c>
      <c r="C6981" t="s">
        <v>70</v>
      </c>
      <c r="D6981">
        <v>0</v>
      </c>
      <c r="E6981" t="s">
        <v>379</v>
      </c>
    </row>
    <row r="6982" spans="1:5" x14ac:dyDescent="0.25">
      <c r="A6982" s="279">
        <v>39219</v>
      </c>
      <c r="B6982" t="s">
        <v>338</v>
      </c>
      <c r="C6982" t="s">
        <v>80</v>
      </c>
      <c r="D6982">
        <v>311</v>
      </c>
      <c r="E6982" t="s">
        <v>379</v>
      </c>
    </row>
    <row r="6983" spans="1:5" x14ac:dyDescent="0.25">
      <c r="A6983" s="279">
        <v>39219</v>
      </c>
      <c r="B6983" t="s">
        <v>339</v>
      </c>
      <c r="C6983" t="s">
        <v>71</v>
      </c>
      <c r="D6983">
        <v>1919</v>
      </c>
      <c r="E6983" t="s">
        <v>378</v>
      </c>
    </row>
    <row r="6984" spans="1:5" x14ac:dyDescent="0.25">
      <c r="A6984" s="279">
        <v>39219</v>
      </c>
      <c r="B6984" t="s">
        <v>339</v>
      </c>
      <c r="C6984" t="s">
        <v>72</v>
      </c>
      <c r="D6984">
        <v>0</v>
      </c>
      <c r="E6984" t="s">
        <v>380</v>
      </c>
    </row>
    <row r="6985" spans="1:5" x14ac:dyDescent="0.25">
      <c r="A6985" s="279">
        <v>39219</v>
      </c>
      <c r="B6985" t="s">
        <v>339</v>
      </c>
      <c r="C6985" t="s">
        <v>73</v>
      </c>
      <c r="D6985">
        <v>13220</v>
      </c>
      <c r="E6985" t="s">
        <v>378</v>
      </c>
    </row>
    <row r="6986" spans="1:5" x14ac:dyDescent="0.25">
      <c r="A6986" s="279">
        <v>39219</v>
      </c>
      <c r="B6986" t="s">
        <v>339</v>
      </c>
      <c r="C6986" t="s">
        <v>74</v>
      </c>
      <c r="D6986">
        <v>0</v>
      </c>
      <c r="E6986" t="s">
        <v>380</v>
      </c>
    </row>
    <row r="6987" spans="1:5" x14ac:dyDescent="0.25">
      <c r="A6987" s="279">
        <v>39219</v>
      </c>
      <c r="B6987" t="s">
        <v>339</v>
      </c>
      <c r="C6987" t="s">
        <v>75</v>
      </c>
      <c r="D6987">
        <v>15316</v>
      </c>
      <c r="E6987" t="s">
        <v>378</v>
      </c>
    </row>
    <row r="6988" spans="1:5" x14ac:dyDescent="0.25">
      <c r="A6988" s="279">
        <v>39219</v>
      </c>
      <c r="B6988" t="s">
        <v>339</v>
      </c>
      <c r="C6988" t="s">
        <v>76</v>
      </c>
      <c r="D6988">
        <v>14733</v>
      </c>
      <c r="E6988" t="s">
        <v>380</v>
      </c>
    </row>
    <row r="6989" spans="1:5" x14ac:dyDescent="0.25">
      <c r="A6989" s="279">
        <v>39219</v>
      </c>
      <c r="B6989" t="s">
        <v>339</v>
      </c>
      <c r="C6989" t="s">
        <v>77</v>
      </c>
      <c r="D6989">
        <v>7303</v>
      </c>
      <c r="E6989" t="s">
        <v>378</v>
      </c>
    </row>
    <row r="6990" spans="1:5" x14ac:dyDescent="0.25">
      <c r="A6990" s="279">
        <v>39219</v>
      </c>
      <c r="B6990" t="s">
        <v>339</v>
      </c>
      <c r="C6990" t="s">
        <v>78</v>
      </c>
      <c r="D6990">
        <v>7022</v>
      </c>
      <c r="E6990" t="s">
        <v>380</v>
      </c>
    </row>
    <row r="6991" spans="1:5" x14ac:dyDescent="0.25">
      <c r="A6991" s="279">
        <v>39219</v>
      </c>
      <c r="B6991" t="s">
        <v>339</v>
      </c>
      <c r="C6991" t="s">
        <v>79</v>
      </c>
      <c r="D6991">
        <v>111941</v>
      </c>
      <c r="E6991" t="s">
        <v>379</v>
      </c>
    </row>
    <row r="6992" spans="1:5" x14ac:dyDescent="0.25">
      <c r="A6992" s="279">
        <v>39219</v>
      </c>
      <c r="B6992" t="s">
        <v>339</v>
      </c>
      <c r="C6992" t="s">
        <v>70</v>
      </c>
      <c r="D6992">
        <v>0</v>
      </c>
      <c r="E6992" t="s">
        <v>379</v>
      </c>
    </row>
    <row r="6993" spans="1:5" x14ac:dyDescent="0.25">
      <c r="A6993" s="279">
        <v>39219</v>
      </c>
      <c r="B6993" t="s">
        <v>339</v>
      </c>
      <c r="C6993" t="s">
        <v>63</v>
      </c>
      <c r="D6993">
        <v>17386</v>
      </c>
      <c r="E6993" t="s">
        <v>378</v>
      </c>
    </row>
    <row r="6994" spans="1:5" x14ac:dyDescent="0.25">
      <c r="A6994" s="279">
        <v>39219</v>
      </c>
      <c r="B6994" t="s">
        <v>339</v>
      </c>
      <c r="C6994" t="s">
        <v>80</v>
      </c>
      <c r="D6994">
        <v>654</v>
      </c>
      <c r="E6994" t="s">
        <v>379</v>
      </c>
    </row>
    <row r="6995" spans="1:5" x14ac:dyDescent="0.25">
      <c r="A6995" s="279">
        <v>39220</v>
      </c>
      <c r="B6995" t="s">
        <v>338</v>
      </c>
      <c r="C6995" t="s">
        <v>59</v>
      </c>
      <c r="D6995">
        <v>2544</v>
      </c>
      <c r="E6995" t="s">
        <v>378</v>
      </c>
    </row>
    <row r="6996" spans="1:5" x14ac:dyDescent="0.25">
      <c r="A6996" s="279">
        <v>39220</v>
      </c>
      <c r="B6996" t="s">
        <v>338</v>
      </c>
      <c r="C6996" t="s">
        <v>60</v>
      </c>
      <c r="D6996">
        <v>0</v>
      </c>
      <c r="E6996" t="s">
        <v>379</v>
      </c>
    </row>
    <row r="6997" spans="1:5" x14ac:dyDescent="0.25">
      <c r="A6997" s="279">
        <v>39220</v>
      </c>
      <c r="B6997" t="s">
        <v>338</v>
      </c>
      <c r="C6997" t="s">
        <v>61</v>
      </c>
      <c r="D6997">
        <v>12864</v>
      </c>
      <c r="E6997" t="s">
        <v>378</v>
      </c>
    </row>
    <row r="6998" spans="1:5" x14ac:dyDescent="0.25">
      <c r="A6998" s="279">
        <v>39220</v>
      </c>
      <c r="B6998" t="s">
        <v>338</v>
      </c>
      <c r="C6998" t="s">
        <v>62</v>
      </c>
      <c r="D6998">
        <v>0</v>
      </c>
      <c r="E6998" t="s">
        <v>380</v>
      </c>
    </row>
    <row r="6999" spans="1:5" x14ac:dyDescent="0.25">
      <c r="A6999" s="279">
        <v>39220</v>
      </c>
      <c r="B6999" t="s">
        <v>338</v>
      </c>
      <c r="C6999" t="s">
        <v>63</v>
      </c>
      <c r="D6999">
        <v>3900</v>
      </c>
      <c r="E6999" t="s">
        <v>378</v>
      </c>
    </row>
    <row r="7000" spans="1:5" x14ac:dyDescent="0.25">
      <c r="A7000" s="279">
        <v>39220</v>
      </c>
      <c r="B7000" t="s">
        <v>338</v>
      </c>
      <c r="C7000" t="s">
        <v>64</v>
      </c>
      <c r="D7000">
        <v>0</v>
      </c>
      <c r="E7000" t="s">
        <v>380</v>
      </c>
    </row>
    <row r="7001" spans="1:5" x14ac:dyDescent="0.25">
      <c r="A7001" s="279">
        <v>39220</v>
      </c>
      <c r="B7001" t="s">
        <v>338</v>
      </c>
      <c r="C7001" t="s">
        <v>65</v>
      </c>
      <c r="D7001">
        <v>0</v>
      </c>
      <c r="E7001" t="s">
        <v>378</v>
      </c>
    </row>
    <row r="7002" spans="1:5" x14ac:dyDescent="0.25">
      <c r="A7002" s="279">
        <v>39220</v>
      </c>
      <c r="B7002" t="s">
        <v>338</v>
      </c>
      <c r="C7002" t="s">
        <v>66</v>
      </c>
      <c r="D7002">
        <v>0</v>
      </c>
      <c r="E7002" t="s">
        <v>380</v>
      </c>
    </row>
    <row r="7003" spans="1:5" x14ac:dyDescent="0.25">
      <c r="A7003" s="279">
        <v>39220</v>
      </c>
      <c r="B7003" t="s">
        <v>338</v>
      </c>
      <c r="C7003" t="s">
        <v>120</v>
      </c>
      <c r="D7003">
        <v>6662</v>
      </c>
      <c r="E7003" t="s">
        <v>378</v>
      </c>
    </row>
    <row r="7004" spans="1:5" x14ac:dyDescent="0.25">
      <c r="A7004" s="279">
        <v>39220</v>
      </c>
      <c r="B7004" t="s">
        <v>338</v>
      </c>
      <c r="C7004" t="s">
        <v>121</v>
      </c>
      <c r="D7004">
        <v>0</v>
      </c>
      <c r="E7004" t="s">
        <v>380</v>
      </c>
    </row>
    <row r="7005" spans="1:5" x14ac:dyDescent="0.25">
      <c r="A7005" s="279">
        <v>39220</v>
      </c>
      <c r="B7005" t="s">
        <v>338</v>
      </c>
      <c r="C7005" t="s">
        <v>67</v>
      </c>
      <c r="D7005">
        <v>0</v>
      </c>
      <c r="E7005" t="s">
        <v>378</v>
      </c>
    </row>
    <row r="7006" spans="1:5" x14ac:dyDescent="0.25">
      <c r="A7006" s="279">
        <v>39220</v>
      </c>
      <c r="B7006" t="s">
        <v>338</v>
      </c>
      <c r="C7006" t="s">
        <v>68</v>
      </c>
      <c r="D7006">
        <v>0</v>
      </c>
      <c r="E7006" t="s">
        <v>380</v>
      </c>
    </row>
    <row r="7007" spans="1:5" x14ac:dyDescent="0.25">
      <c r="A7007" s="279">
        <v>39220</v>
      </c>
      <c r="B7007" t="s">
        <v>338</v>
      </c>
      <c r="C7007" t="s">
        <v>69</v>
      </c>
      <c r="D7007">
        <v>0</v>
      </c>
      <c r="E7007" t="s">
        <v>379</v>
      </c>
    </row>
    <row r="7008" spans="1:5" x14ac:dyDescent="0.25">
      <c r="A7008" s="279">
        <v>39220</v>
      </c>
      <c r="B7008" t="s">
        <v>338</v>
      </c>
      <c r="C7008" t="s">
        <v>70</v>
      </c>
      <c r="D7008">
        <v>0</v>
      </c>
      <c r="E7008" t="s">
        <v>379</v>
      </c>
    </row>
    <row r="7009" spans="1:5" x14ac:dyDescent="0.25">
      <c r="A7009" s="279">
        <v>39220</v>
      </c>
      <c r="B7009" t="s">
        <v>338</v>
      </c>
      <c r="C7009" t="s">
        <v>80</v>
      </c>
      <c r="D7009">
        <v>311</v>
      </c>
      <c r="E7009" t="s">
        <v>379</v>
      </c>
    </row>
    <row r="7010" spans="1:5" x14ac:dyDescent="0.25">
      <c r="A7010" s="279">
        <v>39220</v>
      </c>
      <c r="B7010" t="s">
        <v>339</v>
      </c>
      <c r="C7010" t="s">
        <v>71</v>
      </c>
      <c r="D7010">
        <v>1910</v>
      </c>
      <c r="E7010" t="s">
        <v>378</v>
      </c>
    </row>
    <row r="7011" spans="1:5" x14ac:dyDescent="0.25">
      <c r="A7011" s="279">
        <v>39220</v>
      </c>
      <c r="B7011" t="s">
        <v>339</v>
      </c>
      <c r="C7011" t="s">
        <v>72</v>
      </c>
      <c r="D7011">
        <v>0</v>
      </c>
      <c r="E7011" t="s">
        <v>380</v>
      </c>
    </row>
    <row r="7012" spans="1:5" x14ac:dyDescent="0.25">
      <c r="A7012" s="279">
        <v>39220</v>
      </c>
      <c r="B7012" t="s">
        <v>339</v>
      </c>
      <c r="C7012" t="s">
        <v>73</v>
      </c>
      <c r="D7012">
        <v>16979</v>
      </c>
      <c r="E7012" t="s">
        <v>378</v>
      </c>
    </row>
    <row r="7013" spans="1:5" x14ac:dyDescent="0.25">
      <c r="A7013" s="279">
        <v>39220</v>
      </c>
      <c r="B7013" t="s">
        <v>339</v>
      </c>
      <c r="C7013" t="s">
        <v>74</v>
      </c>
      <c r="D7013">
        <v>0</v>
      </c>
      <c r="E7013" t="s">
        <v>380</v>
      </c>
    </row>
    <row r="7014" spans="1:5" x14ac:dyDescent="0.25">
      <c r="A7014" s="279">
        <v>39220</v>
      </c>
      <c r="B7014" t="s">
        <v>339</v>
      </c>
      <c r="C7014" t="s">
        <v>75</v>
      </c>
      <c r="D7014">
        <v>15242</v>
      </c>
      <c r="E7014" t="s">
        <v>378</v>
      </c>
    </row>
    <row r="7015" spans="1:5" x14ac:dyDescent="0.25">
      <c r="A7015" s="279">
        <v>39220</v>
      </c>
      <c r="B7015" t="s">
        <v>339</v>
      </c>
      <c r="C7015" t="s">
        <v>76</v>
      </c>
      <c r="D7015">
        <v>9366</v>
      </c>
      <c r="E7015" t="s">
        <v>380</v>
      </c>
    </row>
    <row r="7016" spans="1:5" x14ac:dyDescent="0.25">
      <c r="A7016" s="279">
        <v>39220</v>
      </c>
      <c r="B7016" t="s">
        <v>339</v>
      </c>
      <c r="C7016" t="s">
        <v>77</v>
      </c>
      <c r="D7016">
        <v>7268</v>
      </c>
      <c r="E7016" t="s">
        <v>378</v>
      </c>
    </row>
    <row r="7017" spans="1:5" x14ac:dyDescent="0.25">
      <c r="A7017" s="279">
        <v>39220</v>
      </c>
      <c r="B7017" t="s">
        <v>339</v>
      </c>
      <c r="C7017" t="s">
        <v>78</v>
      </c>
      <c r="D7017">
        <v>6988</v>
      </c>
      <c r="E7017" t="s">
        <v>380</v>
      </c>
    </row>
    <row r="7018" spans="1:5" x14ac:dyDescent="0.25">
      <c r="A7018" s="279">
        <v>39220</v>
      </c>
      <c r="B7018" t="s">
        <v>339</v>
      </c>
      <c r="C7018" t="s">
        <v>79</v>
      </c>
      <c r="D7018">
        <v>120590</v>
      </c>
      <c r="E7018" t="s">
        <v>379</v>
      </c>
    </row>
    <row r="7019" spans="1:5" x14ac:dyDescent="0.25">
      <c r="A7019" s="279">
        <v>39220</v>
      </c>
      <c r="B7019" t="s">
        <v>339</v>
      </c>
      <c r="C7019" t="s">
        <v>70</v>
      </c>
      <c r="D7019">
        <v>0</v>
      </c>
      <c r="E7019" t="s">
        <v>379</v>
      </c>
    </row>
    <row r="7020" spans="1:5" x14ac:dyDescent="0.25">
      <c r="A7020" s="279">
        <v>39220</v>
      </c>
      <c r="B7020" t="s">
        <v>339</v>
      </c>
      <c r="C7020" t="s">
        <v>63</v>
      </c>
      <c r="D7020">
        <v>17303</v>
      </c>
      <c r="E7020" t="s">
        <v>378</v>
      </c>
    </row>
    <row r="7021" spans="1:5" x14ac:dyDescent="0.25">
      <c r="A7021" s="279">
        <v>39220</v>
      </c>
      <c r="B7021" t="s">
        <v>339</v>
      </c>
      <c r="C7021" t="s">
        <v>80</v>
      </c>
      <c r="D7021">
        <v>796</v>
      </c>
      <c r="E7021" t="s">
        <v>379</v>
      </c>
    </row>
    <row r="7022" spans="1:5" x14ac:dyDescent="0.25">
      <c r="A7022" s="279">
        <v>39221</v>
      </c>
      <c r="B7022" t="s">
        <v>338</v>
      </c>
      <c r="C7022" t="s">
        <v>59</v>
      </c>
      <c r="D7022">
        <v>2517</v>
      </c>
      <c r="E7022" t="s">
        <v>378</v>
      </c>
    </row>
    <row r="7023" spans="1:5" x14ac:dyDescent="0.25">
      <c r="A7023" s="279">
        <v>39221</v>
      </c>
      <c r="B7023" t="s">
        <v>338</v>
      </c>
      <c r="C7023" t="s">
        <v>60</v>
      </c>
      <c r="D7023">
        <v>0</v>
      </c>
      <c r="E7023" t="s">
        <v>379</v>
      </c>
    </row>
    <row r="7024" spans="1:5" x14ac:dyDescent="0.25">
      <c r="A7024" s="279">
        <v>39221</v>
      </c>
      <c r="B7024" t="s">
        <v>338</v>
      </c>
      <c r="C7024" t="s">
        <v>61</v>
      </c>
      <c r="D7024">
        <v>12864</v>
      </c>
      <c r="E7024" t="s">
        <v>378</v>
      </c>
    </row>
    <row r="7025" spans="1:5" x14ac:dyDescent="0.25">
      <c r="A7025" s="279">
        <v>39221</v>
      </c>
      <c r="B7025" t="s">
        <v>338</v>
      </c>
      <c r="C7025" t="s">
        <v>62</v>
      </c>
      <c r="D7025">
        <v>0</v>
      </c>
      <c r="E7025" t="s">
        <v>380</v>
      </c>
    </row>
    <row r="7026" spans="1:5" x14ac:dyDescent="0.25">
      <c r="A7026" s="279">
        <v>39221</v>
      </c>
      <c r="B7026" t="s">
        <v>338</v>
      </c>
      <c r="C7026" t="s">
        <v>63</v>
      </c>
      <c r="D7026">
        <v>3900</v>
      </c>
      <c r="E7026" t="s">
        <v>378</v>
      </c>
    </row>
    <row r="7027" spans="1:5" x14ac:dyDescent="0.25">
      <c r="A7027" s="279">
        <v>39221</v>
      </c>
      <c r="B7027" t="s">
        <v>338</v>
      </c>
      <c r="C7027" t="s">
        <v>64</v>
      </c>
      <c r="D7027">
        <v>0</v>
      </c>
      <c r="E7027" t="s">
        <v>380</v>
      </c>
    </row>
    <row r="7028" spans="1:5" x14ac:dyDescent="0.25">
      <c r="A7028" s="279">
        <v>39221</v>
      </c>
      <c r="B7028" t="s">
        <v>338</v>
      </c>
      <c r="C7028" t="s">
        <v>65</v>
      </c>
      <c r="D7028">
        <v>0</v>
      </c>
      <c r="E7028" t="s">
        <v>378</v>
      </c>
    </row>
    <row r="7029" spans="1:5" x14ac:dyDescent="0.25">
      <c r="A7029" s="279">
        <v>39221</v>
      </c>
      <c r="B7029" t="s">
        <v>338</v>
      </c>
      <c r="C7029" t="s">
        <v>66</v>
      </c>
      <c r="D7029">
        <v>0</v>
      </c>
      <c r="E7029" t="s">
        <v>380</v>
      </c>
    </row>
    <row r="7030" spans="1:5" x14ac:dyDescent="0.25">
      <c r="A7030" s="279">
        <v>39221</v>
      </c>
      <c r="B7030" t="s">
        <v>338</v>
      </c>
      <c r="C7030" t="s">
        <v>120</v>
      </c>
      <c r="D7030">
        <v>6438</v>
      </c>
      <c r="E7030" t="s">
        <v>378</v>
      </c>
    </row>
    <row r="7031" spans="1:5" x14ac:dyDescent="0.25">
      <c r="A7031" s="279">
        <v>39221</v>
      </c>
      <c r="B7031" t="s">
        <v>338</v>
      </c>
      <c r="C7031" t="s">
        <v>121</v>
      </c>
      <c r="D7031">
        <v>0</v>
      </c>
      <c r="E7031" t="s">
        <v>380</v>
      </c>
    </row>
    <row r="7032" spans="1:5" x14ac:dyDescent="0.25">
      <c r="A7032" s="279">
        <v>39221</v>
      </c>
      <c r="B7032" t="s">
        <v>338</v>
      </c>
      <c r="C7032" t="s">
        <v>67</v>
      </c>
      <c r="D7032">
        <v>0</v>
      </c>
      <c r="E7032" t="s">
        <v>378</v>
      </c>
    </row>
    <row r="7033" spans="1:5" x14ac:dyDescent="0.25">
      <c r="A7033" s="279">
        <v>39221</v>
      </c>
      <c r="B7033" t="s">
        <v>338</v>
      </c>
      <c r="C7033" t="s">
        <v>68</v>
      </c>
      <c r="D7033">
        <v>0</v>
      </c>
      <c r="E7033" t="s">
        <v>380</v>
      </c>
    </row>
    <row r="7034" spans="1:5" x14ac:dyDescent="0.25">
      <c r="A7034" s="279">
        <v>39221</v>
      </c>
      <c r="B7034" t="s">
        <v>338</v>
      </c>
      <c r="C7034" t="s">
        <v>69</v>
      </c>
      <c r="D7034">
        <v>0</v>
      </c>
      <c r="E7034" t="s">
        <v>379</v>
      </c>
    </row>
    <row r="7035" spans="1:5" x14ac:dyDescent="0.25">
      <c r="A7035" s="279">
        <v>39221</v>
      </c>
      <c r="B7035" t="s">
        <v>338</v>
      </c>
      <c r="C7035" t="s">
        <v>70</v>
      </c>
      <c r="D7035">
        <v>0</v>
      </c>
      <c r="E7035" t="s">
        <v>379</v>
      </c>
    </row>
    <row r="7036" spans="1:5" x14ac:dyDescent="0.25">
      <c r="A7036" s="279">
        <v>39221</v>
      </c>
      <c r="B7036" t="s">
        <v>338</v>
      </c>
      <c r="C7036" t="s">
        <v>80</v>
      </c>
      <c r="D7036">
        <v>309</v>
      </c>
      <c r="E7036" t="s">
        <v>379</v>
      </c>
    </row>
    <row r="7037" spans="1:5" x14ac:dyDescent="0.25">
      <c r="A7037" s="279">
        <v>39221</v>
      </c>
      <c r="B7037" t="s">
        <v>339</v>
      </c>
      <c r="C7037" t="s">
        <v>71</v>
      </c>
      <c r="D7037">
        <v>1910</v>
      </c>
      <c r="E7037" t="s">
        <v>378</v>
      </c>
    </row>
    <row r="7038" spans="1:5" x14ac:dyDescent="0.25">
      <c r="A7038" s="279">
        <v>39221</v>
      </c>
      <c r="B7038" t="s">
        <v>339</v>
      </c>
      <c r="C7038" t="s">
        <v>72</v>
      </c>
      <c r="D7038">
        <v>0</v>
      </c>
      <c r="E7038" t="s">
        <v>380</v>
      </c>
    </row>
    <row r="7039" spans="1:5" x14ac:dyDescent="0.25">
      <c r="A7039" s="279">
        <v>39221</v>
      </c>
      <c r="B7039" t="s">
        <v>339</v>
      </c>
      <c r="C7039" t="s">
        <v>73</v>
      </c>
      <c r="D7039">
        <v>16979</v>
      </c>
      <c r="E7039" t="s">
        <v>378</v>
      </c>
    </row>
    <row r="7040" spans="1:5" x14ac:dyDescent="0.25">
      <c r="A7040" s="279">
        <v>39221</v>
      </c>
      <c r="B7040" t="s">
        <v>339</v>
      </c>
      <c r="C7040" t="s">
        <v>74</v>
      </c>
      <c r="D7040">
        <v>0</v>
      </c>
      <c r="E7040" t="s">
        <v>380</v>
      </c>
    </row>
    <row r="7041" spans="1:5" x14ac:dyDescent="0.25">
      <c r="A7041" s="279">
        <v>39221</v>
      </c>
      <c r="B7041" t="s">
        <v>339</v>
      </c>
      <c r="C7041" t="s">
        <v>75</v>
      </c>
      <c r="D7041">
        <v>15242</v>
      </c>
      <c r="E7041" t="s">
        <v>378</v>
      </c>
    </row>
    <row r="7042" spans="1:5" x14ac:dyDescent="0.25">
      <c r="A7042" s="279">
        <v>39221</v>
      </c>
      <c r="B7042" t="s">
        <v>339</v>
      </c>
      <c r="C7042" t="s">
        <v>76</v>
      </c>
      <c r="D7042">
        <v>1841</v>
      </c>
      <c r="E7042" t="s">
        <v>380</v>
      </c>
    </row>
    <row r="7043" spans="1:5" x14ac:dyDescent="0.25">
      <c r="A7043" s="279">
        <v>39221</v>
      </c>
      <c r="B7043" t="s">
        <v>339</v>
      </c>
      <c r="C7043" t="s">
        <v>77</v>
      </c>
      <c r="D7043">
        <v>7268</v>
      </c>
      <c r="E7043" t="s">
        <v>378</v>
      </c>
    </row>
    <row r="7044" spans="1:5" x14ac:dyDescent="0.25">
      <c r="A7044" s="279">
        <v>39221</v>
      </c>
      <c r="B7044" t="s">
        <v>339</v>
      </c>
      <c r="C7044" t="s">
        <v>78</v>
      </c>
      <c r="D7044">
        <v>6988</v>
      </c>
      <c r="E7044" t="s">
        <v>380</v>
      </c>
    </row>
    <row r="7045" spans="1:5" x14ac:dyDescent="0.25">
      <c r="A7045" s="279">
        <v>39221</v>
      </c>
      <c r="B7045" t="s">
        <v>339</v>
      </c>
      <c r="C7045" t="s">
        <v>79</v>
      </c>
      <c r="D7045">
        <v>120590</v>
      </c>
      <c r="E7045" t="s">
        <v>379</v>
      </c>
    </row>
    <row r="7046" spans="1:5" x14ac:dyDescent="0.25">
      <c r="A7046" s="279">
        <v>39221</v>
      </c>
      <c r="B7046" t="s">
        <v>339</v>
      </c>
      <c r="C7046" t="s">
        <v>70</v>
      </c>
      <c r="D7046">
        <v>0</v>
      </c>
      <c r="E7046" t="s">
        <v>379</v>
      </c>
    </row>
    <row r="7047" spans="1:5" x14ac:dyDescent="0.25">
      <c r="A7047" s="279">
        <v>39221</v>
      </c>
      <c r="B7047" t="s">
        <v>339</v>
      </c>
      <c r="C7047" t="s">
        <v>63</v>
      </c>
      <c r="D7047">
        <v>17303</v>
      </c>
      <c r="E7047" t="s">
        <v>378</v>
      </c>
    </row>
    <row r="7048" spans="1:5" x14ac:dyDescent="0.25">
      <c r="A7048" s="279">
        <v>39221</v>
      </c>
      <c r="B7048" t="s">
        <v>339</v>
      </c>
      <c r="C7048" t="s">
        <v>80</v>
      </c>
      <c r="D7048">
        <v>796</v>
      </c>
      <c r="E7048" t="s">
        <v>379</v>
      </c>
    </row>
    <row r="7049" spans="1:5" x14ac:dyDescent="0.25">
      <c r="A7049" s="279">
        <v>39222</v>
      </c>
      <c r="B7049" t="s">
        <v>338</v>
      </c>
      <c r="C7049" t="s">
        <v>59</v>
      </c>
      <c r="D7049">
        <v>2517</v>
      </c>
      <c r="E7049" t="s">
        <v>378</v>
      </c>
    </row>
    <row r="7050" spans="1:5" x14ac:dyDescent="0.25">
      <c r="A7050" s="279">
        <v>39222</v>
      </c>
      <c r="B7050" t="s">
        <v>338</v>
      </c>
      <c r="C7050" t="s">
        <v>60</v>
      </c>
      <c r="D7050">
        <v>0</v>
      </c>
      <c r="E7050" t="s">
        <v>379</v>
      </c>
    </row>
    <row r="7051" spans="1:5" x14ac:dyDescent="0.25">
      <c r="A7051" s="279">
        <v>39222</v>
      </c>
      <c r="B7051" t="s">
        <v>338</v>
      </c>
      <c r="C7051" t="s">
        <v>61</v>
      </c>
      <c r="D7051">
        <v>12864</v>
      </c>
      <c r="E7051" t="s">
        <v>378</v>
      </c>
    </row>
    <row r="7052" spans="1:5" x14ac:dyDescent="0.25">
      <c r="A7052" s="279">
        <v>39222</v>
      </c>
      <c r="B7052" t="s">
        <v>338</v>
      </c>
      <c r="C7052" t="s">
        <v>62</v>
      </c>
      <c r="D7052">
        <v>0</v>
      </c>
      <c r="E7052" t="s">
        <v>380</v>
      </c>
    </row>
    <row r="7053" spans="1:5" x14ac:dyDescent="0.25">
      <c r="A7053" s="279">
        <v>39222</v>
      </c>
      <c r="B7053" t="s">
        <v>338</v>
      </c>
      <c r="C7053" t="s">
        <v>63</v>
      </c>
      <c r="D7053">
        <v>3900</v>
      </c>
      <c r="E7053" t="s">
        <v>378</v>
      </c>
    </row>
    <row r="7054" spans="1:5" x14ac:dyDescent="0.25">
      <c r="A7054" s="279">
        <v>39222</v>
      </c>
      <c r="B7054" t="s">
        <v>338</v>
      </c>
      <c r="C7054" t="s">
        <v>64</v>
      </c>
      <c r="D7054">
        <v>0</v>
      </c>
      <c r="E7054" t="s">
        <v>380</v>
      </c>
    </row>
    <row r="7055" spans="1:5" x14ac:dyDescent="0.25">
      <c r="A7055" s="279">
        <v>39222</v>
      </c>
      <c r="B7055" t="s">
        <v>338</v>
      </c>
      <c r="C7055" t="s">
        <v>65</v>
      </c>
      <c r="D7055">
        <v>0</v>
      </c>
      <c r="E7055" t="s">
        <v>378</v>
      </c>
    </row>
    <row r="7056" spans="1:5" x14ac:dyDescent="0.25">
      <c r="A7056" s="279">
        <v>39222</v>
      </c>
      <c r="B7056" t="s">
        <v>338</v>
      </c>
      <c r="C7056" t="s">
        <v>66</v>
      </c>
      <c r="D7056">
        <v>0</v>
      </c>
      <c r="E7056" t="s">
        <v>380</v>
      </c>
    </row>
    <row r="7057" spans="1:5" x14ac:dyDescent="0.25">
      <c r="A7057" s="279">
        <v>39222</v>
      </c>
      <c r="B7057" t="s">
        <v>338</v>
      </c>
      <c r="C7057" t="s">
        <v>120</v>
      </c>
      <c r="D7057">
        <v>6577</v>
      </c>
      <c r="E7057" t="s">
        <v>378</v>
      </c>
    </row>
    <row r="7058" spans="1:5" x14ac:dyDescent="0.25">
      <c r="A7058" s="279">
        <v>39222</v>
      </c>
      <c r="B7058" t="s">
        <v>338</v>
      </c>
      <c r="C7058" t="s">
        <v>121</v>
      </c>
      <c r="D7058">
        <v>0</v>
      </c>
      <c r="E7058" t="s">
        <v>380</v>
      </c>
    </row>
    <row r="7059" spans="1:5" x14ac:dyDescent="0.25">
      <c r="A7059" s="279">
        <v>39222</v>
      </c>
      <c r="B7059" t="s">
        <v>338</v>
      </c>
      <c r="C7059" t="s">
        <v>67</v>
      </c>
      <c r="D7059">
        <v>0</v>
      </c>
      <c r="E7059" t="s">
        <v>378</v>
      </c>
    </row>
    <row r="7060" spans="1:5" x14ac:dyDescent="0.25">
      <c r="A7060" s="279">
        <v>39222</v>
      </c>
      <c r="B7060" t="s">
        <v>338</v>
      </c>
      <c r="C7060" t="s">
        <v>68</v>
      </c>
      <c r="D7060">
        <v>0</v>
      </c>
      <c r="E7060" t="s">
        <v>380</v>
      </c>
    </row>
    <row r="7061" spans="1:5" x14ac:dyDescent="0.25">
      <c r="A7061" s="279">
        <v>39222</v>
      </c>
      <c r="B7061" t="s">
        <v>338</v>
      </c>
      <c r="C7061" t="s">
        <v>69</v>
      </c>
      <c r="D7061">
        <v>0</v>
      </c>
      <c r="E7061" t="s">
        <v>379</v>
      </c>
    </row>
    <row r="7062" spans="1:5" x14ac:dyDescent="0.25">
      <c r="A7062" s="279">
        <v>39222</v>
      </c>
      <c r="B7062" t="s">
        <v>338</v>
      </c>
      <c r="C7062" t="s">
        <v>70</v>
      </c>
      <c r="D7062">
        <v>0</v>
      </c>
      <c r="E7062" t="s">
        <v>379</v>
      </c>
    </row>
    <row r="7063" spans="1:5" x14ac:dyDescent="0.25">
      <c r="A7063" s="279">
        <v>39222</v>
      </c>
      <c r="B7063" t="s">
        <v>338</v>
      </c>
      <c r="C7063" t="s">
        <v>80</v>
      </c>
      <c r="D7063">
        <v>310</v>
      </c>
      <c r="E7063" t="s">
        <v>379</v>
      </c>
    </row>
    <row r="7064" spans="1:5" x14ac:dyDescent="0.25">
      <c r="A7064" s="279">
        <v>39222</v>
      </c>
      <c r="B7064" t="s">
        <v>339</v>
      </c>
      <c r="C7064" t="s">
        <v>71</v>
      </c>
      <c r="D7064">
        <v>1910</v>
      </c>
      <c r="E7064" t="s">
        <v>378</v>
      </c>
    </row>
    <row r="7065" spans="1:5" x14ac:dyDescent="0.25">
      <c r="A7065" s="279">
        <v>39222</v>
      </c>
      <c r="B7065" t="s">
        <v>339</v>
      </c>
      <c r="C7065" t="s">
        <v>72</v>
      </c>
      <c r="D7065">
        <v>0</v>
      </c>
      <c r="E7065" t="s">
        <v>380</v>
      </c>
    </row>
    <row r="7066" spans="1:5" x14ac:dyDescent="0.25">
      <c r="A7066" s="279">
        <v>39222</v>
      </c>
      <c r="B7066" t="s">
        <v>339</v>
      </c>
      <c r="C7066" t="s">
        <v>73</v>
      </c>
      <c r="D7066">
        <v>16979</v>
      </c>
      <c r="E7066" t="s">
        <v>378</v>
      </c>
    </row>
    <row r="7067" spans="1:5" x14ac:dyDescent="0.25">
      <c r="A7067" s="279">
        <v>39222</v>
      </c>
      <c r="B7067" t="s">
        <v>339</v>
      </c>
      <c r="C7067" t="s">
        <v>74</v>
      </c>
      <c r="D7067">
        <v>0</v>
      </c>
      <c r="E7067" t="s">
        <v>380</v>
      </c>
    </row>
    <row r="7068" spans="1:5" x14ac:dyDescent="0.25">
      <c r="A7068" s="279">
        <v>39222</v>
      </c>
      <c r="B7068" t="s">
        <v>339</v>
      </c>
      <c r="C7068" t="s">
        <v>75</v>
      </c>
      <c r="D7068">
        <v>15242</v>
      </c>
      <c r="E7068" t="s">
        <v>378</v>
      </c>
    </row>
    <row r="7069" spans="1:5" x14ac:dyDescent="0.25">
      <c r="A7069" s="279">
        <v>39222</v>
      </c>
      <c r="B7069" t="s">
        <v>339</v>
      </c>
      <c r="C7069" t="s">
        <v>76</v>
      </c>
      <c r="D7069">
        <v>0</v>
      </c>
      <c r="E7069" t="s">
        <v>380</v>
      </c>
    </row>
    <row r="7070" spans="1:5" x14ac:dyDescent="0.25">
      <c r="A7070" s="279">
        <v>39222</v>
      </c>
      <c r="B7070" t="s">
        <v>339</v>
      </c>
      <c r="C7070" t="s">
        <v>77</v>
      </c>
      <c r="D7070">
        <v>7268</v>
      </c>
      <c r="E7070" t="s">
        <v>378</v>
      </c>
    </row>
    <row r="7071" spans="1:5" x14ac:dyDescent="0.25">
      <c r="A7071" s="279">
        <v>39222</v>
      </c>
      <c r="B7071" t="s">
        <v>339</v>
      </c>
      <c r="C7071" t="s">
        <v>78</v>
      </c>
      <c r="D7071">
        <v>4229</v>
      </c>
      <c r="E7071" t="s">
        <v>380</v>
      </c>
    </row>
    <row r="7072" spans="1:5" x14ac:dyDescent="0.25">
      <c r="A7072" s="279">
        <v>39222</v>
      </c>
      <c r="B7072" t="s">
        <v>339</v>
      </c>
      <c r="C7072" t="s">
        <v>79</v>
      </c>
      <c r="D7072">
        <v>120590</v>
      </c>
      <c r="E7072" t="s">
        <v>379</v>
      </c>
    </row>
    <row r="7073" spans="1:5" x14ac:dyDescent="0.25">
      <c r="A7073" s="279">
        <v>39222</v>
      </c>
      <c r="B7073" t="s">
        <v>339</v>
      </c>
      <c r="C7073" t="s">
        <v>70</v>
      </c>
      <c r="D7073">
        <v>0</v>
      </c>
      <c r="E7073" t="s">
        <v>379</v>
      </c>
    </row>
    <row r="7074" spans="1:5" x14ac:dyDescent="0.25">
      <c r="A7074" s="279">
        <v>39222</v>
      </c>
      <c r="B7074" t="s">
        <v>339</v>
      </c>
      <c r="C7074" t="s">
        <v>63</v>
      </c>
      <c r="D7074">
        <v>17303</v>
      </c>
      <c r="E7074" t="s">
        <v>378</v>
      </c>
    </row>
    <row r="7075" spans="1:5" x14ac:dyDescent="0.25">
      <c r="A7075" s="279">
        <v>39222</v>
      </c>
      <c r="B7075" t="s">
        <v>339</v>
      </c>
      <c r="C7075" t="s">
        <v>80</v>
      </c>
      <c r="D7075">
        <v>796</v>
      </c>
      <c r="E7075" t="s">
        <v>379</v>
      </c>
    </row>
    <row r="7076" spans="1:5" x14ac:dyDescent="0.25">
      <c r="A7076" s="279">
        <v>39223</v>
      </c>
      <c r="B7076" t="s">
        <v>338</v>
      </c>
      <c r="C7076" t="s">
        <v>59</v>
      </c>
      <c r="D7076">
        <v>2560</v>
      </c>
      <c r="E7076" t="s">
        <v>378</v>
      </c>
    </row>
    <row r="7077" spans="1:5" x14ac:dyDescent="0.25">
      <c r="A7077" s="279">
        <v>39223</v>
      </c>
      <c r="B7077" t="s">
        <v>338</v>
      </c>
      <c r="C7077" t="s">
        <v>60</v>
      </c>
      <c r="D7077">
        <v>0</v>
      </c>
      <c r="E7077" t="s">
        <v>379</v>
      </c>
    </row>
    <row r="7078" spans="1:5" x14ac:dyDescent="0.25">
      <c r="A7078" s="279">
        <v>39223</v>
      </c>
      <c r="B7078" t="s">
        <v>338</v>
      </c>
      <c r="C7078" t="s">
        <v>61</v>
      </c>
      <c r="D7078">
        <v>13086</v>
      </c>
      <c r="E7078" t="s">
        <v>378</v>
      </c>
    </row>
    <row r="7079" spans="1:5" x14ac:dyDescent="0.25">
      <c r="A7079" s="279">
        <v>39223</v>
      </c>
      <c r="B7079" t="s">
        <v>338</v>
      </c>
      <c r="C7079" t="s">
        <v>62</v>
      </c>
      <c r="D7079">
        <v>0</v>
      </c>
      <c r="E7079" t="s">
        <v>380</v>
      </c>
    </row>
    <row r="7080" spans="1:5" x14ac:dyDescent="0.25">
      <c r="A7080" s="279">
        <v>39223</v>
      </c>
      <c r="B7080" t="s">
        <v>338</v>
      </c>
      <c r="C7080" t="s">
        <v>63</v>
      </c>
      <c r="D7080">
        <v>3968</v>
      </c>
      <c r="E7080" t="s">
        <v>378</v>
      </c>
    </row>
    <row r="7081" spans="1:5" x14ac:dyDescent="0.25">
      <c r="A7081" s="279">
        <v>39223</v>
      </c>
      <c r="B7081" t="s">
        <v>338</v>
      </c>
      <c r="C7081" t="s">
        <v>64</v>
      </c>
      <c r="D7081">
        <v>0</v>
      </c>
      <c r="E7081" t="s">
        <v>380</v>
      </c>
    </row>
    <row r="7082" spans="1:5" x14ac:dyDescent="0.25">
      <c r="A7082" s="279">
        <v>39223</v>
      </c>
      <c r="B7082" t="s">
        <v>338</v>
      </c>
      <c r="C7082" t="s">
        <v>65</v>
      </c>
      <c r="D7082">
        <v>0</v>
      </c>
      <c r="E7082" t="s">
        <v>378</v>
      </c>
    </row>
    <row r="7083" spans="1:5" x14ac:dyDescent="0.25">
      <c r="A7083" s="279">
        <v>39223</v>
      </c>
      <c r="B7083" t="s">
        <v>338</v>
      </c>
      <c r="C7083" t="s">
        <v>66</v>
      </c>
      <c r="D7083">
        <v>0</v>
      </c>
      <c r="E7083" t="s">
        <v>380</v>
      </c>
    </row>
    <row r="7084" spans="1:5" x14ac:dyDescent="0.25">
      <c r="A7084" s="279">
        <v>39223</v>
      </c>
      <c r="B7084" t="s">
        <v>338</v>
      </c>
      <c r="C7084" t="s">
        <v>120</v>
      </c>
      <c r="D7084">
        <v>5850</v>
      </c>
      <c r="E7084" t="s">
        <v>378</v>
      </c>
    </row>
    <row r="7085" spans="1:5" x14ac:dyDescent="0.25">
      <c r="A7085" s="279">
        <v>39223</v>
      </c>
      <c r="B7085" t="s">
        <v>338</v>
      </c>
      <c r="C7085" t="s">
        <v>121</v>
      </c>
      <c r="D7085">
        <v>0</v>
      </c>
      <c r="E7085" t="s">
        <v>380</v>
      </c>
    </row>
    <row r="7086" spans="1:5" x14ac:dyDescent="0.25">
      <c r="A7086" s="279">
        <v>39223</v>
      </c>
      <c r="B7086" t="s">
        <v>338</v>
      </c>
      <c r="C7086" t="s">
        <v>67</v>
      </c>
      <c r="D7086">
        <v>0</v>
      </c>
      <c r="E7086" t="s">
        <v>378</v>
      </c>
    </row>
    <row r="7087" spans="1:5" x14ac:dyDescent="0.25">
      <c r="A7087" s="279">
        <v>39223</v>
      </c>
      <c r="B7087" t="s">
        <v>338</v>
      </c>
      <c r="C7087" t="s">
        <v>68</v>
      </c>
      <c r="D7087">
        <v>0</v>
      </c>
      <c r="E7087" t="s">
        <v>380</v>
      </c>
    </row>
    <row r="7088" spans="1:5" x14ac:dyDescent="0.25">
      <c r="A7088" s="279">
        <v>39223</v>
      </c>
      <c r="B7088" t="s">
        <v>338</v>
      </c>
      <c r="C7088" t="s">
        <v>69</v>
      </c>
      <c r="D7088">
        <v>0</v>
      </c>
      <c r="E7088" t="s">
        <v>379</v>
      </c>
    </row>
    <row r="7089" spans="1:5" x14ac:dyDescent="0.25">
      <c r="A7089" s="279">
        <v>39223</v>
      </c>
      <c r="B7089" t="s">
        <v>338</v>
      </c>
      <c r="C7089" t="s">
        <v>70</v>
      </c>
      <c r="D7089">
        <v>0</v>
      </c>
      <c r="E7089" t="s">
        <v>379</v>
      </c>
    </row>
    <row r="7090" spans="1:5" x14ac:dyDescent="0.25">
      <c r="A7090" s="279">
        <v>39223</v>
      </c>
      <c r="B7090" t="s">
        <v>338</v>
      </c>
      <c r="C7090" t="s">
        <v>80</v>
      </c>
      <c r="D7090">
        <v>308</v>
      </c>
      <c r="E7090" t="s">
        <v>379</v>
      </c>
    </row>
    <row r="7091" spans="1:5" x14ac:dyDescent="0.25">
      <c r="A7091" s="279">
        <v>39223</v>
      </c>
      <c r="B7091" t="s">
        <v>339</v>
      </c>
      <c r="C7091" t="s">
        <v>71</v>
      </c>
      <c r="D7091">
        <v>1910</v>
      </c>
      <c r="E7091" t="s">
        <v>378</v>
      </c>
    </row>
    <row r="7092" spans="1:5" x14ac:dyDescent="0.25">
      <c r="A7092" s="279">
        <v>39223</v>
      </c>
      <c r="B7092" t="s">
        <v>339</v>
      </c>
      <c r="C7092" t="s">
        <v>72</v>
      </c>
      <c r="D7092">
        <v>0</v>
      </c>
      <c r="E7092" t="s">
        <v>380</v>
      </c>
    </row>
    <row r="7093" spans="1:5" x14ac:dyDescent="0.25">
      <c r="A7093" s="279">
        <v>39223</v>
      </c>
      <c r="B7093" t="s">
        <v>339</v>
      </c>
      <c r="C7093" t="s">
        <v>73</v>
      </c>
      <c r="D7093">
        <v>16979</v>
      </c>
      <c r="E7093" t="s">
        <v>378</v>
      </c>
    </row>
    <row r="7094" spans="1:5" x14ac:dyDescent="0.25">
      <c r="A7094" s="279">
        <v>39223</v>
      </c>
      <c r="B7094" t="s">
        <v>339</v>
      </c>
      <c r="C7094" t="s">
        <v>74</v>
      </c>
      <c r="D7094">
        <v>0</v>
      </c>
      <c r="E7094" t="s">
        <v>380</v>
      </c>
    </row>
    <row r="7095" spans="1:5" x14ac:dyDescent="0.25">
      <c r="A7095" s="279">
        <v>39223</v>
      </c>
      <c r="B7095" t="s">
        <v>339</v>
      </c>
      <c r="C7095" t="s">
        <v>75</v>
      </c>
      <c r="D7095">
        <v>15242</v>
      </c>
      <c r="E7095" t="s">
        <v>378</v>
      </c>
    </row>
    <row r="7096" spans="1:5" x14ac:dyDescent="0.25">
      <c r="A7096" s="279">
        <v>39223</v>
      </c>
      <c r="B7096" t="s">
        <v>339</v>
      </c>
      <c r="C7096" t="s">
        <v>76</v>
      </c>
      <c r="D7096">
        <v>0</v>
      </c>
      <c r="E7096" t="s">
        <v>380</v>
      </c>
    </row>
    <row r="7097" spans="1:5" x14ac:dyDescent="0.25">
      <c r="A7097" s="279">
        <v>39223</v>
      </c>
      <c r="B7097" t="s">
        <v>339</v>
      </c>
      <c r="C7097" t="s">
        <v>77</v>
      </c>
      <c r="D7097">
        <v>7268</v>
      </c>
      <c r="E7097" t="s">
        <v>378</v>
      </c>
    </row>
    <row r="7098" spans="1:5" x14ac:dyDescent="0.25">
      <c r="A7098" s="279">
        <v>39223</v>
      </c>
      <c r="B7098" t="s">
        <v>339</v>
      </c>
      <c r="C7098" t="s">
        <v>78</v>
      </c>
      <c r="D7098">
        <v>4086</v>
      </c>
      <c r="E7098" t="s">
        <v>380</v>
      </c>
    </row>
    <row r="7099" spans="1:5" x14ac:dyDescent="0.25">
      <c r="A7099" s="279">
        <v>39223</v>
      </c>
      <c r="B7099" t="s">
        <v>339</v>
      </c>
      <c r="C7099" t="s">
        <v>79</v>
      </c>
      <c r="D7099">
        <v>120590</v>
      </c>
      <c r="E7099" t="s">
        <v>379</v>
      </c>
    </row>
    <row r="7100" spans="1:5" x14ac:dyDescent="0.25">
      <c r="A7100" s="279">
        <v>39223</v>
      </c>
      <c r="B7100" t="s">
        <v>339</v>
      </c>
      <c r="C7100" t="s">
        <v>70</v>
      </c>
      <c r="D7100">
        <v>0</v>
      </c>
      <c r="E7100" t="s">
        <v>379</v>
      </c>
    </row>
    <row r="7101" spans="1:5" x14ac:dyDescent="0.25">
      <c r="A7101" s="279">
        <v>39223</v>
      </c>
      <c r="B7101" t="s">
        <v>339</v>
      </c>
      <c r="C7101" t="s">
        <v>63</v>
      </c>
      <c r="D7101">
        <v>17303</v>
      </c>
      <c r="E7101" t="s">
        <v>378</v>
      </c>
    </row>
    <row r="7102" spans="1:5" x14ac:dyDescent="0.25">
      <c r="A7102" s="279">
        <v>39223</v>
      </c>
      <c r="B7102" t="s">
        <v>339</v>
      </c>
      <c r="C7102" t="s">
        <v>80</v>
      </c>
      <c r="D7102">
        <v>796</v>
      </c>
      <c r="E7102" t="s">
        <v>379</v>
      </c>
    </row>
    <row r="7103" spans="1:5" x14ac:dyDescent="0.25">
      <c r="A7103" s="279">
        <v>39224</v>
      </c>
      <c r="B7103" t="s">
        <v>338</v>
      </c>
      <c r="C7103" t="s">
        <v>59</v>
      </c>
      <c r="D7103">
        <v>2517</v>
      </c>
      <c r="E7103" t="s">
        <v>378</v>
      </c>
    </row>
    <row r="7104" spans="1:5" x14ac:dyDescent="0.25">
      <c r="A7104" s="279">
        <v>39224</v>
      </c>
      <c r="B7104" t="s">
        <v>338</v>
      </c>
      <c r="C7104" t="s">
        <v>60</v>
      </c>
      <c r="D7104">
        <v>0</v>
      </c>
      <c r="E7104" t="s">
        <v>379</v>
      </c>
    </row>
    <row r="7105" spans="1:5" x14ac:dyDescent="0.25">
      <c r="A7105" s="279">
        <v>39224</v>
      </c>
      <c r="B7105" t="s">
        <v>338</v>
      </c>
      <c r="C7105" t="s">
        <v>61</v>
      </c>
      <c r="D7105">
        <v>12864</v>
      </c>
      <c r="E7105" t="s">
        <v>378</v>
      </c>
    </row>
    <row r="7106" spans="1:5" x14ac:dyDescent="0.25">
      <c r="A7106" s="279">
        <v>39224</v>
      </c>
      <c r="B7106" t="s">
        <v>338</v>
      </c>
      <c r="C7106" t="s">
        <v>62</v>
      </c>
      <c r="D7106">
        <v>0</v>
      </c>
      <c r="E7106" t="s">
        <v>380</v>
      </c>
    </row>
    <row r="7107" spans="1:5" x14ac:dyDescent="0.25">
      <c r="A7107" s="279">
        <v>39224</v>
      </c>
      <c r="B7107" t="s">
        <v>338</v>
      </c>
      <c r="C7107" t="s">
        <v>63</v>
      </c>
      <c r="D7107">
        <v>3900</v>
      </c>
      <c r="E7107" t="s">
        <v>378</v>
      </c>
    </row>
    <row r="7108" spans="1:5" x14ac:dyDescent="0.25">
      <c r="A7108" s="279">
        <v>39224</v>
      </c>
      <c r="B7108" t="s">
        <v>338</v>
      </c>
      <c r="C7108" t="s">
        <v>64</v>
      </c>
      <c r="D7108">
        <v>0</v>
      </c>
      <c r="E7108" t="s">
        <v>380</v>
      </c>
    </row>
    <row r="7109" spans="1:5" x14ac:dyDescent="0.25">
      <c r="A7109" s="279">
        <v>39224</v>
      </c>
      <c r="B7109" t="s">
        <v>338</v>
      </c>
      <c r="C7109" t="s">
        <v>65</v>
      </c>
      <c r="D7109">
        <v>0</v>
      </c>
      <c r="E7109" t="s">
        <v>378</v>
      </c>
    </row>
    <row r="7110" spans="1:5" x14ac:dyDescent="0.25">
      <c r="A7110" s="279">
        <v>39224</v>
      </c>
      <c r="B7110" t="s">
        <v>338</v>
      </c>
      <c r="C7110" t="s">
        <v>66</v>
      </c>
      <c r="D7110">
        <v>0</v>
      </c>
      <c r="E7110" t="s">
        <v>380</v>
      </c>
    </row>
    <row r="7111" spans="1:5" x14ac:dyDescent="0.25">
      <c r="A7111" s="279">
        <v>39224</v>
      </c>
      <c r="B7111" t="s">
        <v>338</v>
      </c>
      <c r="C7111" t="s">
        <v>120</v>
      </c>
      <c r="D7111">
        <v>6486</v>
      </c>
      <c r="E7111" t="s">
        <v>378</v>
      </c>
    </row>
    <row r="7112" spans="1:5" x14ac:dyDescent="0.25">
      <c r="A7112" s="279">
        <v>39224</v>
      </c>
      <c r="B7112" t="s">
        <v>338</v>
      </c>
      <c r="C7112" t="s">
        <v>121</v>
      </c>
      <c r="D7112">
        <v>0</v>
      </c>
      <c r="E7112" t="s">
        <v>380</v>
      </c>
    </row>
    <row r="7113" spans="1:5" x14ac:dyDescent="0.25">
      <c r="A7113" s="279">
        <v>39224</v>
      </c>
      <c r="B7113" t="s">
        <v>338</v>
      </c>
      <c r="C7113" t="s">
        <v>67</v>
      </c>
      <c r="D7113">
        <v>0</v>
      </c>
      <c r="E7113" t="s">
        <v>378</v>
      </c>
    </row>
    <row r="7114" spans="1:5" x14ac:dyDescent="0.25">
      <c r="A7114" s="279">
        <v>39224</v>
      </c>
      <c r="B7114" t="s">
        <v>338</v>
      </c>
      <c r="C7114" t="s">
        <v>68</v>
      </c>
      <c r="D7114">
        <v>0</v>
      </c>
      <c r="E7114" t="s">
        <v>380</v>
      </c>
    </row>
    <row r="7115" spans="1:5" x14ac:dyDescent="0.25">
      <c r="A7115" s="279">
        <v>39224</v>
      </c>
      <c r="B7115" t="s">
        <v>338</v>
      </c>
      <c r="C7115" t="s">
        <v>69</v>
      </c>
      <c r="D7115">
        <v>0</v>
      </c>
      <c r="E7115" t="s">
        <v>379</v>
      </c>
    </row>
    <row r="7116" spans="1:5" x14ac:dyDescent="0.25">
      <c r="A7116" s="279">
        <v>39224</v>
      </c>
      <c r="B7116" t="s">
        <v>338</v>
      </c>
      <c r="C7116" t="s">
        <v>70</v>
      </c>
      <c r="D7116">
        <v>0</v>
      </c>
      <c r="E7116" t="s">
        <v>379</v>
      </c>
    </row>
    <row r="7117" spans="1:5" x14ac:dyDescent="0.25">
      <c r="A7117" s="279">
        <v>39224</v>
      </c>
      <c r="B7117" t="s">
        <v>338</v>
      </c>
      <c r="C7117" t="s">
        <v>80</v>
      </c>
      <c r="D7117">
        <v>309</v>
      </c>
      <c r="E7117" t="s">
        <v>379</v>
      </c>
    </row>
    <row r="7118" spans="1:5" x14ac:dyDescent="0.25">
      <c r="A7118" s="279">
        <v>39224</v>
      </c>
      <c r="B7118" t="s">
        <v>339</v>
      </c>
      <c r="C7118" t="s">
        <v>71</v>
      </c>
      <c r="D7118">
        <v>1908</v>
      </c>
      <c r="E7118" t="s">
        <v>378</v>
      </c>
    </row>
    <row r="7119" spans="1:5" x14ac:dyDescent="0.25">
      <c r="A7119" s="279">
        <v>39224</v>
      </c>
      <c r="B7119" t="s">
        <v>339</v>
      </c>
      <c r="C7119" t="s">
        <v>72</v>
      </c>
      <c r="D7119">
        <v>0</v>
      </c>
      <c r="E7119" t="s">
        <v>380</v>
      </c>
    </row>
    <row r="7120" spans="1:5" x14ac:dyDescent="0.25">
      <c r="A7120" s="279">
        <v>39224</v>
      </c>
      <c r="B7120" t="s">
        <v>339</v>
      </c>
      <c r="C7120" t="s">
        <v>73</v>
      </c>
      <c r="D7120">
        <v>16963</v>
      </c>
      <c r="E7120" t="s">
        <v>378</v>
      </c>
    </row>
    <row r="7121" spans="1:5" x14ac:dyDescent="0.25">
      <c r="A7121" s="279">
        <v>39224</v>
      </c>
      <c r="B7121" t="s">
        <v>339</v>
      </c>
      <c r="C7121" t="s">
        <v>74</v>
      </c>
      <c r="D7121">
        <v>0</v>
      </c>
      <c r="E7121" t="s">
        <v>380</v>
      </c>
    </row>
    <row r="7122" spans="1:5" x14ac:dyDescent="0.25">
      <c r="A7122" s="279">
        <v>39224</v>
      </c>
      <c r="B7122" t="s">
        <v>339</v>
      </c>
      <c r="C7122" t="s">
        <v>75</v>
      </c>
      <c r="D7122">
        <v>15228</v>
      </c>
      <c r="E7122" t="s">
        <v>378</v>
      </c>
    </row>
    <row r="7123" spans="1:5" x14ac:dyDescent="0.25">
      <c r="A7123" s="279">
        <v>39224</v>
      </c>
      <c r="B7123" t="s">
        <v>339</v>
      </c>
      <c r="C7123" t="s">
        <v>76</v>
      </c>
      <c r="D7123">
        <v>12956</v>
      </c>
      <c r="E7123" t="s">
        <v>380</v>
      </c>
    </row>
    <row r="7124" spans="1:5" x14ac:dyDescent="0.25">
      <c r="A7124" s="279">
        <v>39224</v>
      </c>
      <c r="B7124" t="s">
        <v>339</v>
      </c>
      <c r="C7124" t="s">
        <v>77</v>
      </c>
      <c r="D7124">
        <v>7261</v>
      </c>
      <c r="E7124" t="s">
        <v>378</v>
      </c>
    </row>
    <row r="7125" spans="1:5" x14ac:dyDescent="0.25">
      <c r="A7125" s="279">
        <v>39224</v>
      </c>
      <c r="B7125" t="s">
        <v>339</v>
      </c>
      <c r="C7125" t="s">
        <v>78</v>
      </c>
      <c r="D7125">
        <v>6982</v>
      </c>
      <c r="E7125" t="s">
        <v>380</v>
      </c>
    </row>
    <row r="7126" spans="1:5" x14ac:dyDescent="0.25">
      <c r="A7126" s="279">
        <v>39224</v>
      </c>
      <c r="B7126" t="s">
        <v>339</v>
      </c>
      <c r="C7126" t="s">
        <v>79</v>
      </c>
      <c r="D7126">
        <v>102078</v>
      </c>
      <c r="E7126" t="s">
        <v>379</v>
      </c>
    </row>
    <row r="7127" spans="1:5" x14ac:dyDescent="0.25">
      <c r="A7127" s="279">
        <v>39224</v>
      </c>
      <c r="B7127" t="s">
        <v>339</v>
      </c>
      <c r="C7127" t="s">
        <v>70</v>
      </c>
      <c r="D7127">
        <v>0</v>
      </c>
      <c r="E7127" t="s">
        <v>379</v>
      </c>
    </row>
    <row r="7128" spans="1:5" x14ac:dyDescent="0.25">
      <c r="A7128" s="279">
        <v>39224</v>
      </c>
      <c r="B7128" t="s">
        <v>339</v>
      </c>
      <c r="C7128" t="s">
        <v>63</v>
      </c>
      <c r="D7128">
        <v>17286</v>
      </c>
      <c r="E7128" t="s">
        <v>378</v>
      </c>
    </row>
    <row r="7129" spans="1:5" x14ac:dyDescent="0.25">
      <c r="A7129" s="279">
        <v>39224</v>
      </c>
      <c r="B7129" t="s">
        <v>339</v>
      </c>
      <c r="C7129" t="s">
        <v>80</v>
      </c>
      <c r="D7129">
        <v>795</v>
      </c>
      <c r="E7129" t="s">
        <v>379</v>
      </c>
    </row>
    <row r="7130" spans="1:5" x14ac:dyDescent="0.25">
      <c r="A7130" s="279">
        <v>39225</v>
      </c>
      <c r="B7130" t="s">
        <v>338</v>
      </c>
      <c r="C7130" t="s">
        <v>59</v>
      </c>
      <c r="D7130">
        <v>2541</v>
      </c>
      <c r="E7130" t="s">
        <v>378</v>
      </c>
    </row>
    <row r="7131" spans="1:5" x14ac:dyDescent="0.25">
      <c r="A7131" s="279">
        <v>39225</v>
      </c>
      <c r="B7131" t="s">
        <v>338</v>
      </c>
      <c r="C7131" t="s">
        <v>60</v>
      </c>
      <c r="D7131">
        <v>0</v>
      </c>
      <c r="E7131" t="s">
        <v>379</v>
      </c>
    </row>
    <row r="7132" spans="1:5" x14ac:dyDescent="0.25">
      <c r="A7132" s="279">
        <v>39225</v>
      </c>
      <c r="B7132" t="s">
        <v>338</v>
      </c>
      <c r="C7132" t="s">
        <v>61</v>
      </c>
      <c r="D7132">
        <v>12987</v>
      </c>
      <c r="E7132" t="s">
        <v>378</v>
      </c>
    </row>
    <row r="7133" spans="1:5" x14ac:dyDescent="0.25">
      <c r="A7133" s="279">
        <v>39225</v>
      </c>
      <c r="B7133" t="s">
        <v>338</v>
      </c>
      <c r="C7133" t="s">
        <v>62</v>
      </c>
      <c r="D7133">
        <v>0</v>
      </c>
      <c r="E7133" t="s">
        <v>380</v>
      </c>
    </row>
    <row r="7134" spans="1:5" x14ac:dyDescent="0.25">
      <c r="A7134" s="279">
        <v>39225</v>
      </c>
      <c r="B7134" t="s">
        <v>338</v>
      </c>
      <c r="C7134" t="s">
        <v>63</v>
      </c>
      <c r="D7134">
        <v>3938</v>
      </c>
      <c r="E7134" t="s">
        <v>378</v>
      </c>
    </row>
    <row r="7135" spans="1:5" x14ac:dyDescent="0.25">
      <c r="A7135" s="279">
        <v>39225</v>
      </c>
      <c r="B7135" t="s">
        <v>338</v>
      </c>
      <c r="C7135" t="s">
        <v>64</v>
      </c>
      <c r="D7135">
        <v>0</v>
      </c>
      <c r="E7135" t="s">
        <v>380</v>
      </c>
    </row>
    <row r="7136" spans="1:5" x14ac:dyDescent="0.25">
      <c r="A7136" s="279">
        <v>39225</v>
      </c>
      <c r="B7136" t="s">
        <v>338</v>
      </c>
      <c r="C7136" t="s">
        <v>65</v>
      </c>
      <c r="D7136">
        <v>0</v>
      </c>
      <c r="E7136" t="s">
        <v>378</v>
      </c>
    </row>
    <row r="7137" spans="1:5" x14ac:dyDescent="0.25">
      <c r="A7137" s="279">
        <v>39225</v>
      </c>
      <c r="B7137" t="s">
        <v>338</v>
      </c>
      <c r="C7137" t="s">
        <v>66</v>
      </c>
      <c r="D7137">
        <v>0</v>
      </c>
      <c r="E7137" t="s">
        <v>380</v>
      </c>
    </row>
    <row r="7138" spans="1:5" x14ac:dyDescent="0.25">
      <c r="A7138" s="279">
        <v>39225</v>
      </c>
      <c r="B7138" t="s">
        <v>338</v>
      </c>
      <c r="C7138" t="s">
        <v>120</v>
      </c>
      <c r="D7138">
        <v>6590</v>
      </c>
      <c r="E7138" t="s">
        <v>378</v>
      </c>
    </row>
    <row r="7139" spans="1:5" x14ac:dyDescent="0.25">
      <c r="A7139" s="279">
        <v>39225</v>
      </c>
      <c r="B7139" t="s">
        <v>338</v>
      </c>
      <c r="C7139" t="s">
        <v>121</v>
      </c>
      <c r="D7139">
        <v>0</v>
      </c>
      <c r="E7139" t="s">
        <v>380</v>
      </c>
    </row>
    <row r="7140" spans="1:5" x14ac:dyDescent="0.25">
      <c r="A7140" s="279">
        <v>39225</v>
      </c>
      <c r="B7140" t="s">
        <v>338</v>
      </c>
      <c r="C7140" t="s">
        <v>67</v>
      </c>
      <c r="D7140">
        <v>0</v>
      </c>
      <c r="E7140" t="s">
        <v>378</v>
      </c>
    </row>
    <row r="7141" spans="1:5" x14ac:dyDescent="0.25">
      <c r="A7141" s="279">
        <v>39225</v>
      </c>
      <c r="B7141" t="s">
        <v>338</v>
      </c>
      <c r="C7141" t="s">
        <v>68</v>
      </c>
      <c r="D7141">
        <v>0</v>
      </c>
      <c r="E7141" t="s">
        <v>380</v>
      </c>
    </row>
    <row r="7142" spans="1:5" x14ac:dyDescent="0.25">
      <c r="A7142" s="279">
        <v>39225</v>
      </c>
      <c r="B7142" t="s">
        <v>338</v>
      </c>
      <c r="C7142" t="s">
        <v>69</v>
      </c>
      <c r="D7142">
        <v>0</v>
      </c>
      <c r="E7142" t="s">
        <v>379</v>
      </c>
    </row>
    <row r="7143" spans="1:5" x14ac:dyDescent="0.25">
      <c r="A7143" s="279">
        <v>39225</v>
      </c>
      <c r="B7143" t="s">
        <v>338</v>
      </c>
      <c r="C7143" t="s">
        <v>70</v>
      </c>
      <c r="D7143">
        <v>0</v>
      </c>
      <c r="E7143" t="s">
        <v>379</v>
      </c>
    </row>
    <row r="7144" spans="1:5" x14ac:dyDescent="0.25">
      <c r="A7144" s="279">
        <v>39225</v>
      </c>
      <c r="B7144" t="s">
        <v>338</v>
      </c>
      <c r="C7144" t="s">
        <v>80</v>
      </c>
      <c r="D7144">
        <v>313</v>
      </c>
      <c r="E7144" t="s">
        <v>379</v>
      </c>
    </row>
    <row r="7145" spans="1:5" x14ac:dyDescent="0.25">
      <c r="A7145" s="279">
        <v>39225</v>
      </c>
      <c r="B7145" t="s">
        <v>339</v>
      </c>
      <c r="C7145" t="s">
        <v>71</v>
      </c>
      <c r="D7145">
        <v>1908</v>
      </c>
      <c r="E7145" t="s">
        <v>378</v>
      </c>
    </row>
    <row r="7146" spans="1:5" x14ac:dyDescent="0.25">
      <c r="A7146" s="279">
        <v>39225</v>
      </c>
      <c r="B7146" t="s">
        <v>339</v>
      </c>
      <c r="C7146" t="s">
        <v>72</v>
      </c>
      <c r="D7146">
        <v>0</v>
      </c>
      <c r="E7146" t="s">
        <v>380</v>
      </c>
    </row>
    <row r="7147" spans="1:5" x14ac:dyDescent="0.25">
      <c r="A7147" s="279">
        <v>39225</v>
      </c>
      <c r="B7147" t="s">
        <v>339</v>
      </c>
      <c r="C7147" t="s">
        <v>73</v>
      </c>
      <c r="D7147">
        <v>16963</v>
      </c>
      <c r="E7147" t="s">
        <v>378</v>
      </c>
    </row>
    <row r="7148" spans="1:5" x14ac:dyDescent="0.25">
      <c r="A7148" s="279">
        <v>39225</v>
      </c>
      <c r="B7148" t="s">
        <v>339</v>
      </c>
      <c r="C7148" t="s">
        <v>74</v>
      </c>
      <c r="D7148">
        <v>0</v>
      </c>
      <c r="E7148" t="s">
        <v>380</v>
      </c>
    </row>
    <row r="7149" spans="1:5" x14ac:dyDescent="0.25">
      <c r="A7149" s="279">
        <v>39225</v>
      </c>
      <c r="B7149" t="s">
        <v>339</v>
      </c>
      <c r="C7149" t="s">
        <v>75</v>
      </c>
      <c r="D7149">
        <v>15228</v>
      </c>
      <c r="E7149" t="s">
        <v>378</v>
      </c>
    </row>
    <row r="7150" spans="1:5" x14ac:dyDescent="0.25">
      <c r="A7150" s="279">
        <v>39225</v>
      </c>
      <c r="B7150" t="s">
        <v>339</v>
      </c>
      <c r="C7150" t="s">
        <v>76</v>
      </c>
      <c r="D7150">
        <v>11950</v>
      </c>
      <c r="E7150" t="s">
        <v>380</v>
      </c>
    </row>
    <row r="7151" spans="1:5" x14ac:dyDescent="0.25">
      <c r="A7151" s="279">
        <v>39225</v>
      </c>
      <c r="B7151" t="s">
        <v>339</v>
      </c>
      <c r="C7151" t="s">
        <v>77</v>
      </c>
      <c r="D7151">
        <v>7261</v>
      </c>
      <c r="E7151" t="s">
        <v>378</v>
      </c>
    </row>
    <row r="7152" spans="1:5" x14ac:dyDescent="0.25">
      <c r="A7152" s="279">
        <v>39225</v>
      </c>
      <c r="B7152" t="s">
        <v>339</v>
      </c>
      <c r="C7152" t="s">
        <v>78</v>
      </c>
      <c r="D7152">
        <v>6982</v>
      </c>
      <c r="E7152" t="s">
        <v>380</v>
      </c>
    </row>
    <row r="7153" spans="1:5" x14ac:dyDescent="0.25">
      <c r="A7153" s="279">
        <v>39225</v>
      </c>
      <c r="B7153" t="s">
        <v>339</v>
      </c>
      <c r="C7153" t="s">
        <v>79</v>
      </c>
      <c r="D7153">
        <v>102078</v>
      </c>
      <c r="E7153" t="s">
        <v>379</v>
      </c>
    </row>
    <row r="7154" spans="1:5" x14ac:dyDescent="0.25">
      <c r="A7154" s="279">
        <v>39225</v>
      </c>
      <c r="B7154" t="s">
        <v>339</v>
      </c>
      <c r="C7154" t="s">
        <v>70</v>
      </c>
      <c r="D7154">
        <v>0</v>
      </c>
      <c r="E7154" t="s">
        <v>379</v>
      </c>
    </row>
    <row r="7155" spans="1:5" x14ac:dyDescent="0.25">
      <c r="A7155" s="279">
        <v>39225</v>
      </c>
      <c r="B7155" t="s">
        <v>339</v>
      </c>
      <c r="C7155" t="s">
        <v>63</v>
      </c>
      <c r="D7155">
        <v>17286</v>
      </c>
      <c r="E7155" t="s">
        <v>378</v>
      </c>
    </row>
    <row r="7156" spans="1:5" x14ac:dyDescent="0.25">
      <c r="A7156" s="279">
        <v>39225</v>
      </c>
      <c r="B7156" t="s">
        <v>339</v>
      </c>
      <c r="C7156" t="s">
        <v>80</v>
      </c>
      <c r="D7156">
        <v>795</v>
      </c>
      <c r="E7156" t="s">
        <v>379</v>
      </c>
    </row>
    <row r="7157" spans="1:5" x14ac:dyDescent="0.25">
      <c r="A7157" s="279">
        <v>39226</v>
      </c>
      <c r="B7157" t="s">
        <v>338</v>
      </c>
      <c r="C7157" t="s">
        <v>59</v>
      </c>
      <c r="D7157">
        <v>2543</v>
      </c>
      <c r="E7157" t="s">
        <v>378</v>
      </c>
    </row>
    <row r="7158" spans="1:5" x14ac:dyDescent="0.25">
      <c r="A7158" s="279">
        <v>39226</v>
      </c>
      <c r="B7158" t="s">
        <v>338</v>
      </c>
      <c r="C7158" t="s">
        <v>60</v>
      </c>
      <c r="D7158">
        <v>0</v>
      </c>
      <c r="E7158" t="s">
        <v>379</v>
      </c>
    </row>
    <row r="7159" spans="1:5" x14ac:dyDescent="0.25">
      <c r="A7159" s="279">
        <v>39226</v>
      </c>
      <c r="B7159" t="s">
        <v>338</v>
      </c>
      <c r="C7159" t="s">
        <v>61</v>
      </c>
      <c r="D7159">
        <v>12999</v>
      </c>
      <c r="E7159" t="s">
        <v>378</v>
      </c>
    </row>
    <row r="7160" spans="1:5" x14ac:dyDescent="0.25">
      <c r="A7160" s="279">
        <v>39226</v>
      </c>
      <c r="B7160" t="s">
        <v>338</v>
      </c>
      <c r="C7160" t="s">
        <v>62</v>
      </c>
      <c r="D7160">
        <v>0</v>
      </c>
      <c r="E7160" t="s">
        <v>380</v>
      </c>
    </row>
    <row r="7161" spans="1:5" x14ac:dyDescent="0.25">
      <c r="A7161" s="279">
        <v>39226</v>
      </c>
      <c r="B7161" t="s">
        <v>338</v>
      </c>
      <c r="C7161" t="s">
        <v>63</v>
      </c>
      <c r="D7161">
        <v>3941</v>
      </c>
      <c r="E7161" t="s">
        <v>378</v>
      </c>
    </row>
    <row r="7162" spans="1:5" x14ac:dyDescent="0.25">
      <c r="A7162" s="279">
        <v>39226</v>
      </c>
      <c r="B7162" t="s">
        <v>338</v>
      </c>
      <c r="C7162" t="s">
        <v>64</v>
      </c>
      <c r="D7162">
        <v>0</v>
      </c>
      <c r="E7162" t="s">
        <v>380</v>
      </c>
    </row>
    <row r="7163" spans="1:5" x14ac:dyDescent="0.25">
      <c r="A7163" s="279">
        <v>39226</v>
      </c>
      <c r="B7163" t="s">
        <v>338</v>
      </c>
      <c r="C7163" t="s">
        <v>65</v>
      </c>
      <c r="D7163">
        <v>0</v>
      </c>
      <c r="E7163" t="s">
        <v>378</v>
      </c>
    </row>
    <row r="7164" spans="1:5" x14ac:dyDescent="0.25">
      <c r="A7164" s="279">
        <v>39226</v>
      </c>
      <c r="B7164" t="s">
        <v>338</v>
      </c>
      <c r="C7164" t="s">
        <v>66</v>
      </c>
      <c r="D7164">
        <v>0</v>
      </c>
      <c r="E7164" t="s">
        <v>380</v>
      </c>
    </row>
    <row r="7165" spans="1:5" x14ac:dyDescent="0.25">
      <c r="A7165" s="279">
        <v>39226</v>
      </c>
      <c r="B7165" t="s">
        <v>338</v>
      </c>
      <c r="C7165" t="s">
        <v>120</v>
      </c>
      <c r="D7165">
        <v>6612</v>
      </c>
      <c r="E7165" t="s">
        <v>378</v>
      </c>
    </row>
    <row r="7166" spans="1:5" x14ac:dyDescent="0.25">
      <c r="A7166" s="279">
        <v>39226</v>
      </c>
      <c r="B7166" t="s">
        <v>338</v>
      </c>
      <c r="C7166" t="s">
        <v>121</v>
      </c>
      <c r="D7166">
        <v>0</v>
      </c>
      <c r="E7166" t="s">
        <v>380</v>
      </c>
    </row>
    <row r="7167" spans="1:5" x14ac:dyDescent="0.25">
      <c r="A7167" s="279">
        <v>39226</v>
      </c>
      <c r="B7167" t="s">
        <v>338</v>
      </c>
      <c r="C7167" t="s">
        <v>67</v>
      </c>
      <c r="D7167">
        <v>0</v>
      </c>
      <c r="E7167" t="s">
        <v>378</v>
      </c>
    </row>
    <row r="7168" spans="1:5" x14ac:dyDescent="0.25">
      <c r="A7168" s="279">
        <v>39226</v>
      </c>
      <c r="B7168" t="s">
        <v>338</v>
      </c>
      <c r="C7168" t="s">
        <v>68</v>
      </c>
      <c r="D7168">
        <v>0</v>
      </c>
      <c r="E7168" t="s">
        <v>380</v>
      </c>
    </row>
    <row r="7169" spans="1:5" x14ac:dyDescent="0.25">
      <c r="A7169" s="279">
        <v>39226</v>
      </c>
      <c r="B7169" t="s">
        <v>338</v>
      </c>
      <c r="C7169" t="s">
        <v>69</v>
      </c>
      <c r="D7169">
        <v>0</v>
      </c>
      <c r="E7169" t="s">
        <v>379</v>
      </c>
    </row>
    <row r="7170" spans="1:5" x14ac:dyDescent="0.25">
      <c r="A7170" s="279">
        <v>39226</v>
      </c>
      <c r="B7170" t="s">
        <v>338</v>
      </c>
      <c r="C7170" t="s">
        <v>70</v>
      </c>
      <c r="D7170">
        <v>0</v>
      </c>
      <c r="E7170" t="s">
        <v>379</v>
      </c>
    </row>
    <row r="7171" spans="1:5" x14ac:dyDescent="0.25">
      <c r="A7171" s="279">
        <v>39226</v>
      </c>
      <c r="B7171" t="s">
        <v>338</v>
      </c>
      <c r="C7171" t="s">
        <v>80</v>
      </c>
      <c r="D7171">
        <v>313</v>
      </c>
      <c r="E7171" t="s">
        <v>379</v>
      </c>
    </row>
    <row r="7172" spans="1:5" x14ac:dyDescent="0.25">
      <c r="A7172" s="279">
        <v>39226</v>
      </c>
      <c r="B7172" t="s">
        <v>339</v>
      </c>
      <c r="C7172" t="s">
        <v>71</v>
      </c>
      <c r="D7172">
        <v>1912</v>
      </c>
      <c r="E7172" t="s">
        <v>378</v>
      </c>
    </row>
    <row r="7173" spans="1:5" x14ac:dyDescent="0.25">
      <c r="A7173" s="279">
        <v>39226</v>
      </c>
      <c r="B7173" t="s">
        <v>339</v>
      </c>
      <c r="C7173" t="s">
        <v>72</v>
      </c>
      <c r="D7173">
        <v>0</v>
      </c>
      <c r="E7173" t="s">
        <v>380</v>
      </c>
    </row>
    <row r="7174" spans="1:5" x14ac:dyDescent="0.25">
      <c r="A7174" s="279">
        <v>39226</v>
      </c>
      <c r="B7174" t="s">
        <v>339</v>
      </c>
      <c r="C7174" t="s">
        <v>73</v>
      </c>
      <c r="D7174">
        <v>16996</v>
      </c>
      <c r="E7174" t="s">
        <v>378</v>
      </c>
    </row>
    <row r="7175" spans="1:5" x14ac:dyDescent="0.25">
      <c r="A7175" s="279">
        <v>39226</v>
      </c>
      <c r="B7175" t="s">
        <v>339</v>
      </c>
      <c r="C7175" t="s">
        <v>74</v>
      </c>
      <c r="D7175">
        <v>0</v>
      </c>
      <c r="E7175" t="s">
        <v>380</v>
      </c>
    </row>
    <row r="7176" spans="1:5" x14ac:dyDescent="0.25">
      <c r="A7176" s="279">
        <v>39226</v>
      </c>
      <c r="B7176" t="s">
        <v>339</v>
      </c>
      <c r="C7176" t="s">
        <v>75</v>
      </c>
      <c r="D7176">
        <v>15257</v>
      </c>
      <c r="E7176" t="s">
        <v>378</v>
      </c>
    </row>
    <row r="7177" spans="1:5" x14ac:dyDescent="0.25">
      <c r="A7177" s="279">
        <v>39226</v>
      </c>
      <c r="B7177" t="s">
        <v>339</v>
      </c>
      <c r="C7177" t="s">
        <v>76</v>
      </c>
      <c r="D7177">
        <v>6205</v>
      </c>
      <c r="E7177" t="s">
        <v>380</v>
      </c>
    </row>
    <row r="7178" spans="1:5" x14ac:dyDescent="0.25">
      <c r="A7178" s="279">
        <v>39226</v>
      </c>
      <c r="B7178" t="s">
        <v>339</v>
      </c>
      <c r="C7178" t="s">
        <v>77</v>
      </c>
      <c r="D7178">
        <v>7275</v>
      </c>
      <c r="E7178" t="s">
        <v>378</v>
      </c>
    </row>
    <row r="7179" spans="1:5" x14ac:dyDescent="0.25">
      <c r="A7179" s="279">
        <v>39226</v>
      </c>
      <c r="B7179" t="s">
        <v>339</v>
      </c>
      <c r="C7179" t="s">
        <v>78</v>
      </c>
      <c r="D7179">
        <v>6995</v>
      </c>
      <c r="E7179" t="s">
        <v>380</v>
      </c>
    </row>
    <row r="7180" spans="1:5" x14ac:dyDescent="0.25">
      <c r="A7180" s="279">
        <v>39226</v>
      </c>
      <c r="B7180" t="s">
        <v>339</v>
      </c>
      <c r="C7180" t="s">
        <v>79</v>
      </c>
      <c r="D7180">
        <v>101924</v>
      </c>
      <c r="E7180" t="s">
        <v>379</v>
      </c>
    </row>
    <row r="7181" spans="1:5" x14ac:dyDescent="0.25">
      <c r="A7181" s="279">
        <v>39226</v>
      </c>
      <c r="B7181" t="s">
        <v>339</v>
      </c>
      <c r="C7181" t="s">
        <v>70</v>
      </c>
      <c r="D7181">
        <v>0</v>
      </c>
      <c r="E7181" t="s">
        <v>379</v>
      </c>
    </row>
    <row r="7182" spans="1:5" x14ac:dyDescent="0.25">
      <c r="A7182" s="279">
        <v>39226</v>
      </c>
      <c r="B7182" t="s">
        <v>339</v>
      </c>
      <c r="C7182" t="s">
        <v>63</v>
      </c>
      <c r="D7182">
        <v>17319</v>
      </c>
      <c r="E7182" t="s">
        <v>378</v>
      </c>
    </row>
    <row r="7183" spans="1:5" x14ac:dyDescent="0.25">
      <c r="A7183" s="279">
        <v>39226</v>
      </c>
      <c r="B7183" t="s">
        <v>339</v>
      </c>
      <c r="C7183" t="s">
        <v>80</v>
      </c>
      <c r="D7183">
        <v>797</v>
      </c>
      <c r="E7183" t="s">
        <v>379</v>
      </c>
    </row>
    <row r="7184" spans="1:5" x14ac:dyDescent="0.25">
      <c r="A7184" s="279">
        <v>39227</v>
      </c>
      <c r="B7184" t="s">
        <v>338</v>
      </c>
      <c r="C7184" t="s">
        <v>59</v>
      </c>
      <c r="D7184">
        <v>2553</v>
      </c>
      <c r="E7184" t="s">
        <v>378</v>
      </c>
    </row>
    <row r="7185" spans="1:5" x14ac:dyDescent="0.25">
      <c r="A7185" s="279">
        <v>39227</v>
      </c>
      <c r="B7185" t="s">
        <v>338</v>
      </c>
      <c r="C7185" t="s">
        <v>60</v>
      </c>
      <c r="D7185">
        <v>0</v>
      </c>
      <c r="E7185" t="s">
        <v>379</v>
      </c>
    </row>
    <row r="7186" spans="1:5" x14ac:dyDescent="0.25">
      <c r="A7186" s="279">
        <v>39227</v>
      </c>
      <c r="B7186" t="s">
        <v>338</v>
      </c>
      <c r="C7186" t="s">
        <v>61</v>
      </c>
      <c r="D7186">
        <v>13049</v>
      </c>
      <c r="E7186" t="s">
        <v>378</v>
      </c>
    </row>
    <row r="7187" spans="1:5" x14ac:dyDescent="0.25">
      <c r="A7187" s="279">
        <v>39227</v>
      </c>
      <c r="B7187" t="s">
        <v>338</v>
      </c>
      <c r="C7187" t="s">
        <v>62</v>
      </c>
      <c r="D7187">
        <v>0</v>
      </c>
      <c r="E7187" t="s">
        <v>380</v>
      </c>
    </row>
    <row r="7188" spans="1:5" x14ac:dyDescent="0.25">
      <c r="A7188" s="279">
        <v>39227</v>
      </c>
      <c r="B7188" t="s">
        <v>338</v>
      </c>
      <c r="C7188" t="s">
        <v>63</v>
      </c>
      <c r="D7188">
        <v>3956</v>
      </c>
      <c r="E7188" t="s">
        <v>378</v>
      </c>
    </row>
    <row r="7189" spans="1:5" x14ac:dyDescent="0.25">
      <c r="A7189" s="279">
        <v>39227</v>
      </c>
      <c r="B7189" t="s">
        <v>338</v>
      </c>
      <c r="C7189" t="s">
        <v>64</v>
      </c>
      <c r="D7189">
        <v>0</v>
      </c>
      <c r="E7189" t="s">
        <v>380</v>
      </c>
    </row>
    <row r="7190" spans="1:5" x14ac:dyDescent="0.25">
      <c r="A7190" s="279">
        <v>39227</v>
      </c>
      <c r="B7190" t="s">
        <v>338</v>
      </c>
      <c r="C7190" t="s">
        <v>65</v>
      </c>
      <c r="D7190">
        <v>0</v>
      </c>
      <c r="E7190" t="s">
        <v>378</v>
      </c>
    </row>
    <row r="7191" spans="1:5" x14ac:dyDescent="0.25">
      <c r="A7191" s="279">
        <v>39227</v>
      </c>
      <c r="B7191" t="s">
        <v>338</v>
      </c>
      <c r="C7191" t="s">
        <v>66</v>
      </c>
      <c r="D7191">
        <v>0</v>
      </c>
      <c r="E7191" t="s">
        <v>380</v>
      </c>
    </row>
    <row r="7192" spans="1:5" x14ac:dyDescent="0.25">
      <c r="A7192" s="279">
        <v>39227</v>
      </c>
      <c r="B7192" t="s">
        <v>338</v>
      </c>
      <c r="C7192" t="s">
        <v>120</v>
      </c>
      <c r="D7192">
        <v>6668</v>
      </c>
      <c r="E7192" t="s">
        <v>378</v>
      </c>
    </row>
    <row r="7193" spans="1:5" x14ac:dyDescent="0.25">
      <c r="A7193" s="279">
        <v>39227</v>
      </c>
      <c r="B7193" t="s">
        <v>338</v>
      </c>
      <c r="C7193" t="s">
        <v>121</v>
      </c>
      <c r="D7193">
        <v>0</v>
      </c>
      <c r="E7193" t="s">
        <v>380</v>
      </c>
    </row>
    <row r="7194" spans="1:5" x14ac:dyDescent="0.25">
      <c r="A7194" s="279">
        <v>39227</v>
      </c>
      <c r="B7194" t="s">
        <v>338</v>
      </c>
      <c r="C7194" t="s">
        <v>67</v>
      </c>
      <c r="D7194">
        <v>0</v>
      </c>
      <c r="E7194" t="s">
        <v>378</v>
      </c>
    </row>
    <row r="7195" spans="1:5" x14ac:dyDescent="0.25">
      <c r="A7195" s="279">
        <v>39227</v>
      </c>
      <c r="B7195" t="s">
        <v>338</v>
      </c>
      <c r="C7195" t="s">
        <v>68</v>
      </c>
      <c r="D7195">
        <v>0</v>
      </c>
      <c r="E7195" t="s">
        <v>380</v>
      </c>
    </row>
    <row r="7196" spans="1:5" x14ac:dyDescent="0.25">
      <c r="A7196" s="279">
        <v>39227</v>
      </c>
      <c r="B7196" t="s">
        <v>338</v>
      </c>
      <c r="C7196" t="s">
        <v>69</v>
      </c>
      <c r="D7196">
        <v>0</v>
      </c>
      <c r="E7196" t="s">
        <v>379</v>
      </c>
    </row>
    <row r="7197" spans="1:5" x14ac:dyDescent="0.25">
      <c r="A7197" s="279">
        <v>39227</v>
      </c>
      <c r="B7197" t="s">
        <v>338</v>
      </c>
      <c r="C7197" t="s">
        <v>70</v>
      </c>
      <c r="D7197">
        <v>0</v>
      </c>
      <c r="E7197" t="s">
        <v>379</v>
      </c>
    </row>
    <row r="7198" spans="1:5" x14ac:dyDescent="0.25">
      <c r="A7198" s="279">
        <v>39227</v>
      </c>
      <c r="B7198" t="s">
        <v>338</v>
      </c>
      <c r="C7198" t="s">
        <v>80</v>
      </c>
      <c r="D7198">
        <v>315</v>
      </c>
      <c r="E7198" t="s">
        <v>379</v>
      </c>
    </row>
    <row r="7199" spans="1:5" x14ac:dyDescent="0.25">
      <c r="A7199" s="279">
        <v>39227</v>
      </c>
      <c r="B7199" t="s">
        <v>339</v>
      </c>
      <c r="C7199" t="s">
        <v>71</v>
      </c>
      <c r="D7199">
        <v>1914</v>
      </c>
      <c r="E7199" t="s">
        <v>378</v>
      </c>
    </row>
    <row r="7200" spans="1:5" x14ac:dyDescent="0.25">
      <c r="A7200" s="279">
        <v>39227</v>
      </c>
      <c r="B7200" t="s">
        <v>339</v>
      </c>
      <c r="C7200" t="s">
        <v>72</v>
      </c>
      <c r="D7200">
        <v>0</v>
      </c>
      <c r="E7200" t="s">
        <v>380</v>
      </c>
    </row>
    <row r="7201" spans="1:5" x14ac:dyDescent="0.25">
      <c r="A7201" s="279">
        <v>39227</v>
      </c>
      <c r="B7201" t="s">
        <v>339</v>
      </c>
      <c r="C7201" t="s">
        <v>73</v>
      </c>
      <c r="D7201">
        <v>17012</v>
      </c>
      <c r="E7201" t="s">
        <v>378</v>
      </c>
    </row>
    <row r="7202" spans="1:5" x14ac:dyDescent="0.25">
      <c r="A7202" s="279">
        <v>39227</v>
      </c>
      <c r="B7202" t="s">
        <v>339</v>
      </c>
      <c r="C7202" t="s">
        <v>74</v>
      </c>
      <c r="D7202">
        <v>0</v>
      </c>
      <c r="E7202" t="s">
        <v>380</v>
      </c>
    </row>
    <row r="7203" spans="1:5" x14ac:dyDescent="0.25">
      <c r="A7203" s="279">
        <v>39227</v>
      </c>
      <c r="B7203" t="s">
        <v>339</v>
      </c>
      <c r="C7203" t="s">
        <v>75</v>
      </c>
      <c r="D7203">
        <v>15272</v>
      </c>
      <c r="E7203" t="s">
        <v>378</v>
      </c>
    </row>
    <row r="7204" spans="1:5" x14ac:dyDescent="0.25">
      <c r="A7204" s="279">
        <v>39227</v>
      </c>
      <c r="B7204" t="s">
        <v>339</v>
      </c>
      <c r="C7204" t="s">
        <v>76</v>
      </c>
      <c r="D7204">
        <v>0</v>
      </c>
      <c r="E7204" t="s">
        <v>380</v>
      </c>
    </row>
    <row r="7205" spans="1:5" x14ac:dyDescent="0.25">
      <c r="A7205" s="279">
        <v>39227</v>
      </c>
      <c r="B7205" t="s">
        <v>339</v>
      </c>
      <c r="C7205" t="s">
        <v>77</v>
      </c>
      <c r="D7205">
        <v>7282</v>
      </c>
      <c r="E7205" t="s">
        <v>378</v>
      </c>
    </row>
    <row r="7206" spans="1:5" x14ac:dyDescent="0.25">
      <c r="A7206" s="279">
        <v>39227</v>
      </c>
      <c r="B7206" t="s">
        <v>339</v>
      </c>
      <c r="C7206" t="s">
        <v>78</v>
      </c>
      <c r="D7206">
        <v>6457</v>
      </c>
      <c r="E7206" t="s">
        <v>380</v>
      </c>
    </row>
    <row r="7207" spans="1:5" x14ac:dyDescent="0.25">
      <c r="A7207" s="279">
        <v>39227</v>
      </c>
      <c r="B7207" t="s">
        <v>339</v>
      </c>
      <c r="C7207" t="s">
        <v>79</v>
      </c>
      <c r="D7207">
        <v>102022</v>
      </c>
      <c r="E7207" t="s">
        <v>379</v>
      </c>
    </row>
    <row r="7208" spans="1:5" x14ac:dyDescent="0.25">
      <c r="A7208" s="279">
        <v>39227</v>
      </c>
      <c r="B7208" t="s">
        <v>339</v>
      </c>
      <c r="C7208" t="s">
        <v>70</v>
      </c>
      <c r="D7208">
        <v>0</v>
      </c>
      <c r="E7208" t="s">
        <v>379</v>
      </c>
    </row>
    <row r="7209" spans="1:5" x14ac:dyDescent="0.25">
      <c r="A7209" s="279">
        <v>39227</v>
      </c>
      <c r="B7209" t="s">
        <v>339</v>
      </c>
      <c r="C7209" t="s">
        <v>63</v>
      </c>
      <c r="D7209">
        <v>17336</v>
      </c>
      <c r="E7209" t="s">
        <v>378</v>
      </c>
    </row>
    <row r="7210" spans="1:5" x14ac:dyDescent="0.25">
      <c r="A7210" s="279">
        <v>39227</v>
      </c>
      <c r="B7210" t="s">
        <v>339</v>
      </c>
      <c r="C7210" t="s">
        <v>80</v>
      </c>
      <c r="D7210">
        <v>798</v>
      </c>
      <c r="E7210" t="s">
        <v>379</v>
      </c>
    </row>
    <row r="7211" spans="1:5" x14ac:dyDescent="0.25">
      <c r="A7211" s="279">
        <v>39228</v>
      </c>
      <c r="B7211" t="s">
        <v>338</v>
      </c>
      <c r="C7211" t="s">
        <v>59</v>
      </c>
      <c r="D7211">
        <v>2548</v>
      </c>
      <c r="E7211" t="s">
        <v>378</v>
      </c>
    </row>
    <row r="7212" spans="1:5" x14ac:dyDescent="0.25">
      <c r="A7212" s="279">
        <v>39228</v>
      </c>
      <c r="B7212" t="s">
        <v>338</v>
      </c>
      <c r="C7212" t="s">
        <v>60</v>
      </c>
      <c r="D7212">
        <v>0</v>
      </c>
      <c r="E7212" t="s">
        <v>379</v>
      </c>
    </row>
    <row r="7213" spans="1:5" x14ac:dyDescent="0.25">
      <c r="A7213" s="279">
        <v>39228</v>
      </c>
      <c r="B7213" t="s">
        <v>338</v>
      </c>
      <c r="C7213" t="s">
        <v>61</v>
      </c>
      <c r="D7213">
        <v>13024</v>
      </c>
      <c r="E7213" t="s">
        <v>378</v>
      </c>
    </row>
    <row r="7214" spans="1:5" x14ac:dyDescent="0.25">
      <c r="A7214" s="279">
        <v>39228</v>
      </c>
      <c r="B7214" t="s">
        <v>338</v>
      </c>
      <c r="C7214" t="s">
        <v>62</v>
      </c>
      <c r="D7214">
        <v>0</v>
      </c>
      <c r="E7214" t="s">
        <v>380</v>
      </c>
    </row>
    <row r="7215" spans="1:5" x14ac:dyDescent="0.25">
      <c r="A7215" s="279">
        <v>39228</v>
      </c>
      <c r="B7215" t="s">
        <v>338</v>
      </c>
      <c r="C7215" t="s">
        <v>63</v>
      </c>
      <c r="D7215">
        <v>3949</v>
      </c>
      <c r="E7215" t="s">
        <v>378</v>
      </c>
    </row>
    <row r="7216" spans="1:5" x14ac:dyDescent="0.25">
      <c r="A7216" s="279">
        <v>39228</v>
      </c>
      <c r="B7216" t="s">
        <v>338</v>
      </c>
      <c r="C7216" t="s">
        <v>64</v>
      </c>
      <c r="D7216">
        <v>0</v>
      </c>
      <c r="E7216" t="s">
        <v>380</v>
      </c>
    </row>
    <row r="7217" spans="1:5" x14ac:dyDescent="0.25">
      <c r="A7217" s="279">
        <v>39228</v>
      </c>
      <c r="B7217" t="s">
        <v>338</v>
      </c>
      <c r="C7217" t="s">
        <v>65</v>
      </c>
      <c r="D7217">
        <v>0</v>
      </c>
      <c r="E7217" t="s">
        <v>378</v>
      </c>
    </row>
    <row r="7218" spans="1:5" x14ac:dyDescent="0.25">
      <c r="A7218" s="279">
        <v>39228</v>
      </c>
      <c r="B7218" t="s">
        <v>338</v>
      </c>
      <c r="C7218" t="s">
        <v>66</v>
      </c>
      <c r="D7218">
        <v>0</v>
      </c>
      <c r="E7218" t="s">
        <v>380</v>
      </c>
    </row>
    <row r="7219" spans="1:5" x14ac:dyDescent="0.25">
      <c r="A7219" s="279">
        <v>39228</v>
      </c>
      <c r="B7219" t="s">
        <v>338</v>
      </c>
      <c r="C7219" t="s">
        <v>120</v>
      </c>
      <c r="D7219">
        <v>6645</v>
      </c>
      <c r="E7219" t="s">
        <v>378</v>
      </c>
    </row>
    <row r="7220" spans="1:5" x14ac:dyDescent="0.25">
      <c r="A7220" s="279">
        <v>39228</v>
      </c>
      <c r="B7220" t="s">
        <v>338</v>
      </c>
      <c r="C7220" t="s">
        <v>121</v>
      </c>
      <c r="D7220">
        <v>0</v>
      </c>
      <c r="E7220" t="s">
        <v>380</v>
      </c>
    </row>
    <row r="7221" spans="1:5" x14ac:dyDescent="0.25">
      <c r="A7221" s="279">
        <v>39228</v>
      </c>
      <c r="B7221" t="s">
        <v>338</v>
      </c>
      <c r="C7221" t="s">
        <v>67</v>
      </c>
      <c r="D7221">
        <v>0</v>
      </c>
      <c r="E7221" t="s">
        <v>378</v>
      </c>
    </row>
    <row r="7222" spans="1:5" x14ac:dyDescent="0.25">
      <c r="A7222" s="279">
        <v>39228</v>
      </c>
      <c r="B7222" t="s">
        <v>338</v>
      </c>
      <c r="C7222" t="s">
        <v>68</v>
      </c>
      <c r="D7222">
        <v>0</v>
      </c>
      <c r="E7222" t="s">
        <v>380</v>
      </c>
    </row>
    <row r="7223" spans="1:5" x14ac:dyDescent="0.25">
      <c r="A7223" s="279">
        <v>39228</v>
      </c>
      <c r="B7223" t="s">
        <v>338</v>
      </c>
      <c r="C7223" t="s">
        <v>69</v>
      </c>
      <c r="D7223">
        <v>0</v>
      </c>
      <c r="E7223" t="s">
        <v>379</v>
      </c>
    </row>
    <row r="7224" spans="1:5" x14ac:dyDescent="0.25">
      <c r="A7224" s="279">
        <v>39228</v>
      </c>
      <c r="B7224" t="s">
        <v>338</v>
      </c>
      <c r="C7224" t="s">
        <v>70</v>
      </c>
      <c r="D7224">
        <v>0</v>
      </c>
      <c r="E7224" t="s">
        <v>379</v>
      </c>
    </row>
    <row r="7225" spans="1:5" x14ac:dyDescent="0.25">
      <c r="A7225" s="279">
        <v>39228</v>
      </c>
      <c r="B7225" t="s">
        <v>338</v>
      </c>
      <c r="C7225" t="s">
        <v>80</v>
      </c>
      <c r="D7225">
        <v>314</v>
      </c>
      <c r="E7225" t="s">
        <v>379</v>
      </c>
    </row>
    <row r="7226" spans="1:5" x14ac:dyDescent="0.25">
      <c r="A7226" s="279">
        <v>39228</v>
      </c>
      <c r="B7226" t="s">
        <v>339</v>
      </c>
      <c r="C7226" t="s">
        <v>71</v>
      </c>
      <c r="D7226">
        <v>1916</v>
      </c>
      <c r="E7226" t="s">
        <v>378</v>
      </c>
    </row>
    <row r="7227" spans="1:5" x14ac:dyDescent="0.25">
      <c r="A7227" s="279">
        <v>39228</v>
      </c>
      <c r="B7227" t="s">
        <v>339</v>
      </c>
      <c r="C7227" t="s">
        <v>72</v>
      </c>
      <c r="D7227">
        <v>0</v>
      </c>
      <c r="E7227" t="s">
        <v>380</v>
      </c>
    </row>
    <row r="7228" spans="1:5" x14ac:dyDescent="0.25">
      <c r="A7228" s="279">
        <v>39228</v>
      </c>
      <c r="B7228" t="s">
        <v>339</v>
      </c>
      <c r="C7228" t="s">
        <v>73</v>
      </c>
      <c r="D7228">
        <v>17029</v>
      </c>
      <c r="E7228" t="s">
        <v>378</v>
      </c>
    </row>
    <row r="7229" spans="1:5" x14ac:dyDescent="0.25">
      <c r="A7229" s="279">
        <v>39228</v>
      </c>
      <c r="B7229" t="s">
        <v>339</v>
      </c>
      <c r="C7229" t="s">
        <v>74</v>
      </c>
      <c r="D7229">
        <v>0</v>
      </c>
      <c r="E7229" t="s">
        <v>380</v>
      </c>
    </row>
    <row r="7230" spans="1:5" x14ac:dyDescent="0.25">
      <c r="A7230" s="279">
        <v>39228</v>
      </c>
      <c r="B7230" t="s">
        <v>339</v>
      </c>
      <c r="C7230" t="s">
        <v>75</v>
      </c>
      <c r="D7230">
        <v>15287</v>
      </c>
      <c r="E7230" t="s">
        <v>378</v>
      </c>
    </row>
    <row r="7231" spans="1:5" x14ac:dyDescent="0.25">
      <c r="A7231" s="279">
        <v>39228</v>
      </c>
      <c r="B7231" t="s">
        <v>339</v>
      </c>
      <c r="C7231" t="s">
        <v>76</v>
      </c>
      <c r="D7231">
        <v>0</v>
      </c>
      <c r="E7231" t="s">
        <v>380</v>
      </c>
    </row>
    <row r="7232" spans="1:5" x14ac:dyDescent="0.25">
      <c r="A7232" s="279">
        <v>39228</v>
      </c>
      <c r="B7232" t="s">
        <v>339</v>
      </c>
      <c r="C7232" t="s">
        <v>77</v>
      </c>
      <c r="D7232">
        <v>7289</v>
      </c>
      <c r="E7232" t="s">
        <v>378</v>
      </c>
    </row>
    <row r="7233" spans="1:5" x14ac:dyDescent="0.25">
      <c r="A7233" s="279">
        <v>39228</v>
      </c>
      <c r="B7233" t="s">
        <v>339</v>
      </c>
      <c r="C7233" t="s">
        <v>78</v>
      </c>
      <c r="D7233">
        <v>6731</v>
      </c>
      <c r="E7233" t="s">
        <v>380</v>
      </c>
    </row>
    <row r="7234" spans="1:5" x14ac:dyDescent="0.25">
      <c r="A7234" s="279">
        <v>39228</v>
      </c>
      <c r="B7234" t="s">
        <v>339</v>
      </c>
      <c r="C7234" t="s">
        <v>79</v>
      </c>
      <c r="D7234">
        <v>99222</v>
      </c>
      <c r="E7234" t="s">
        <v>379</v>
      </c>
    </row>
    <row r="7235" spans="1:5" x14ac:dyDescent="0.25">
      <c r="A7235" s="279">
        <v>39228</v>
      </c>
      <c r="B7235" t="s">
        <v>339</v>
      </c>
      <c r="C7235" t="s">
        <v>70</v>
      </c>
      <c r="D7235">
        <v>0</v>
      </c>
      <c r="E7235" t="s">
        <v>379</v>
      </c>
    </row>
    <row r="7236" spans="1:5" x14ac:dyDescent="0.25">
      <c r="A7236" s="279">
        <v>39228</v>
      </c>
      <c r="B7236" t="s">
        <v>339</v>
      </c>
      <c r="C7236" t="s">
        <v>63</v>
      </c>
      <c r="D7236">
        <v>17353</v>
      </c>
      <c r="E7236" t="s">
        <v>378</v>
      </c>
    </row>
    <row r="7237" spans="1:5" x14ac:dyDescent="0.25">
      <c r="A7237" s="279">
        <v>39228</v>
      </c>
      <c r="B7237" t="s">
        <v>339</v>
      </c>
      <c r="C7237" t="s">
        <v>80</v>
      </c>
      <c r="D7237">
        <v>798</v>
      </c>
      <c r="E7237" t="s">
        <v>379</v>
      </c>
    </row>
    <row r="7238" spans="1:5" x14ac:dyDescent="0.25">
      <c r="A7238" s="279">
        <v>39229</v>
      </c>
      <c r="B7238" t="s">
        <v>338</v>
      </c>
      <c r="C7238" t="s">
        <v>59</v>
      </c>
      <c r="D7238">
        <v>2548</v>
      </c>
      <c r="E7238" t="s">
        <v>378</v>
      </c>
    </row>
    <row r="7239" spans="1:5" x14ac:dyDescent="0.25">
      <c r="A7239" s="279">
        <v>39229</v>
      </c>
      <c r="B7239" t="s">
        <v>338</v>
      </c>
      <c r="C7239" t="s">
        <v>60</v>
      </c>
      <c r="D7239">
        <v>0</v>
      </c>
      <c r="E7239" t="s">
        <v>379</v>
      </c>
    </row>
    <row r="7240" spans="1:5" x14ac:dyDescent="0.25">
      <c r="A7240" s="279">
        <v>39229</v>
      </c>
      <c r="B7240" t="s">
        <v>338</v>
      </c>
      <c r="C7240" t="s">
        <v>61</v>
      </c>
      <c r="D7240">
        <v>13024</v>
      </c>
      <c r="E7240" t="s">
        <v>378</v>
      </c>
    </row>
    <row r="7241" spans="1:5" x14ac:dyDescent="0.25">
      <c r="A7241" s="279">
        <v>39229</v>
      </c>
      <c r="B7241" t="s">
        <v>338</v>
      </c>
      <c r="C7241" t="s">
        <v>62</v>
      </c>
      <c r="D7241">
        <v>0</v>
      </c>
      <c r="E7241" t="s">
        <v>380</v>
      </c>
    </row>
    <row r="7242" spans="1:5" x14ac:dyDescent="0.25">
      <c r="A7242" s="279">
        <v>39229</v>
      </c>
      <c r="B7242" t="s">
        <v>338</v>
      </c>
      <c r="C7242" t="s">
        <v>63</v>
      </c>
      <c r="D7242">
        <v>3949</v>
      </c>
      <c r="E7242" t="s">
        <v>378</v>
      </c>
    </row>
    <row r="7243" spans="1:5" x14ac:dyDescent="0.25">
      <c r="A7243" s="279">
        <v>39229</v>
      </c>
      <c r="B7243" t="s">
        <v>338</v>
      </c>
      <c r="C7243" t="s">
        <v>64</v>
      </c>
      <c r="D7243">
        <v>0</v>
      </c>
      <c r="E7243" t="s">
        <v>380</v>
      </c>
    </row>
    <row r="7244" spans="1:5" x14ac:dyDescent="0.25">
      <c r="A7244" s="279">
        <v>39229</v>
      </c>
      <c r="B7244" t="s">
        <v>338</v>
      </c>
      <c r="C7244" t="s">
        <v>65</v>
      </c>
      <c r="D7244">
        <v>0</v>
      </c>
      <c r="E7244" t="s">
        <v>378</v>
      </c>
    </row>
    <row r="7245" spans="1:5" x14ac:dyDescent="0.25">
      <c r="A7245" s="279">
        <v>39229</v>
      </c>
      <c r="B7245" t="s">
        <v>338</v>
      </c>
      <c r="C7245" t="s">
        <v>66</v>
      </c>
      <c r="D7245">
        <v>0</v>
      </c>
      <c r="E7245" t="s">
        <v>380</v>
      </c>
    </row>
    <row r="7246" spans="1:5" x14ac:dyDescent="0.25">
      <c r="A7246" s="279">
        <v>39229</v>
      </c>
      <c r="B7246" t="s">
        <v>338</v>
      </c>
      <c r="C7246" t="s">
        <v>120</v>
      </c>
      <c r="D7246">
        <v>6654</v>
      </c>
      <c r="E7246" t="s">
        <v>378</v>
      </c>
    </row>
    <row r="7247" spans="1:5" x14ac:dyDescent="0.25">
      <c r="A7247" s="279">
        <v>39229</v>
      </c>
      <c r="B7247" t="s">
        <v>338</v>
      </c>
      <c r="C7247" t="s">
        <v>121</v>
      </c>
      <c r="D7247">
        <v>0</v>
      </c>
      <c r="E7247" t="s">
        <v>380</v>
      </c>
    </row>
    <row r="7248" spans="1:5" x14ac:dyDescent="0.25">
      <c r="A7248" s="279">
        <v>39229</v>
      </c>
      <c r="B7248" t="s">
        <v>338</v>
      </c>
      <c r="C7248" t="s">
        <v>67</v>
      </c>
      <c r="D7248">
        <v>0</v>
      </c>
      <c r="E7248" t="s">
        <v>378</v>
      </c>
    </row>
    <row r="7249" spans="1:5" x14ac:dyDescent="0.25">
      <c r="A7249" s="279">
        <v>39229</v>
      </c>
      <c r="B7249" t="s">
        <v>338</v>
      </c>
      <c r="C7249" t="s">
        <v>68</v>
      </c>
      <c r="D7249">
        <v>0</v>
      </c>
      <c r="E7249" t="s">
        <v>380</v>
      </c>
    </row>
    <row r="7250" spans="1:5" x14ac:dyDescent="0.25">
      <c r="A7250" s="279">
        <v>39229</v>
      </c>
      <c r="B7250" t="s">
        <v>338</v>
      </c>
      <c r="C7250" t="s">
        <v>69</v>
      </c>
      <c r="D7250">
        <v>0</v>
      </c>
      <c r="E7250" t="s">
        <v>379</v>
      </c>
    </row>
    <row r="7251" spans="1:5" x14ac:dyDescent="0.25">
      <c r="A7251" s="279">
        <v>39229</v>
      </c>
      <c r="B7251" t="s">
        <v>338</v>
      </c>
      <c r="C7251" t="s">
        <v>70</v>
      </c>
      <c r="D7251">
        <v>0</v>
      </c>
      <c r="E7251" t="s">
        <v>379</v>
      </c>
    </row>
    <row r="7252" spans="1:5" x14ac:dyDescent="0.25">
      <c r="A7252" s="279">
        <v>39229</v>
      </c>
      <c r="B7252" t="s">
        <v>338</v>
      </c>
      <c r="C7252" t="s">
        <v>80</v>
      </c>
      <c r="D7252">
        <v>314</v>
      </c>
      <c r="E7252" t="s">
        <v>379</v>
      </c>
    </row>
    <row r="7253" spans="1:5" x14ac:dyDescent="0.25">
      <c r="A7253" s="279">
        <v>39229</v>
      </c>
      <c r="B7253" t="s">
        <v>339</v>
      </c>
      <c r="C7253" t="s">
        <v>71</v>
      </c>
      <c r="D7253">
        <v>1887</v>
      </c>
      <c r="E7253" t="s">
        <v>378</v>
      </c>
    </row>
    <row r="7254" spans="1:5" x14ac:dyDescent="0.25">
      <c r="A7254" s="279">
        <v>39229</v>
      </c>
      <c r="B7254" t="s">
        <v>339</v>
      </c>
      <c r="C7254" t="s">
        <v>72</v>
      </c>
      <c r="D7254">
        <v>0</v>
      </c>
      <c r="E7254" t="s">
        <v>380</v>
      </c>
    </row>
    <row r="7255" spans="1:5" x14ac:dyDescent="0.25">
      <c r="A7255" s="279">
        <v>39229</v>
      </c>
      <c r="B7255" t="s">
        <v>339</v>
      </c>
      <c r="C7255" t="s">
        <v>73</v>
      </c>
      <c r="D7255">
        <v>16769</v>
      </c>
      <c r="E7255" t="s">
        <v>378</v>
      </c>
    </row>
    <row r="7256" spans="1:5" x14ac:dyDescent="0.25">
      <c r="A7256" s="279">
        <v>39229</v>
      </c>
      <c r="B7256" t="s">
        <v>339</v>
      </c>
      <c r="C7256" t="s">
        <v>74</v>
      </c>
      <c r="D7256">
        <v>0</v>
      </c>
      <c r="E7256" t="s">
        <v>380</v>
      </c>
    </row>
    <row r="7257" spans="1:5" x14ac:dyDescent="0.25">
      <c r="A7257" s="279">
        <v>39229</v>
      </c>
      <c r="B7257" t="s">
        <v>339</v>
      </c>
      <c r="C7257" t="s">
        <v>75</v>
      </c>
      <c r="D7257">
        <v>15054</v>
      </c>
      <c r="E7257" t="s">
        <v>378</v>
      </c>
    </row>
    <row r="7258" spans="1:5" x14ac:dyDescent="0.25">
      <c r="A7258" s="279">
        <v>39229</v>
      </c>
      <c r="B7258" t="s">
        <v>339</v>
      </c>
      <c r="C7258" t="s">
        <v>76</v>
      </c>
      <c r="D7258">
        <v>0</v>
      </c>
      <c r="E7258" t="s">
        <v>380</v>
      </c>
    </row>
    <row r="7259" spans="1:5" x14ac:dyDescent="0.25">
      <c r="A7259" s="279">
        <v>39229</v>
      </c>
      <c r="B7259" t="s">
        <v>339</v>
      </c>
      <c r="C7259" t="s">
        <v>77</v>
      </c>
      <c r="D7259">
        <v>7178</v>
      </c>
      <c r="E7259" t="s">
        <v>378</v>
      </c>
    </row>
    <row r="7260" spans="1:5" x14ac:dyDescent="0.25">
      <c r="A7260" s="279">
        <v>39229</v>
      </c>
      <c r="B7260" t="s">
        <v>339</v>
      </c>
      <c r="C7260" t="s">
        <v>78</v>
      </c>
      <c r="D7260">
        <v>6033</v>
      </c>
      <c r="E7260" t="s">
        <v>380</v>
      </c>
    </row>
    <row r="7261" spans="1:5" x14ac:dyDescent="0.25">
      <c r="A7261" s="279">
        <v>39229</v>
      </c>
      <c r="B7261" t="s">
        <v>339</v>
      </c>
      <c r="C7261" t="s">
        <v>79</v>
      </c>
      <c r="D7261">
        <v>97712</v>
      </c>
      <c r="E7261" t="s">
        <v>379</v>
      </c>
    </row>
    <row r="7262" spans="1:5" x14ac:dyDescent="0.25">
      <c r="A7262" s="279">
        <v>39229</v>
      </c>
      <c r="B7262" t="s">
        <v>339</v>
      </c>
      <c r="C7262" t="s">
        <v>70</v>
      </c>
      <c r="D7262">
        <v>0</v>
      </c>
      <c r="E7262" t="s">
        <v>379</v>
      </c>
    </row>
    <row r="7263" spans="1:5" x14ac:dyDescent="0.25">
      <c r="A7263" s="279">
        <v>39229</v>
      </c>
      <c r="B7263" t="s">
        <v>339</v>
      </c>
      <c r="C7263" t="s">
        <v>63</v>
      </c>
      <c r="D7263">
        <v>17088</v>
      </c>
      <c r="E7263" t="s">
        <v>378</v>
      </c>
    </row>
    <row r="7264" spans="1:5" x14ac:dyDescent="0.25">
      <c r="A7264" s="279">
        <v>39229</v>
      </c>
      <c r="B7264" t="s">
        <v>339</v>
      </c>
      <c r="C7264" t="s">
        <v>80</v>
      </c>
      <c r="D7264">
        <v>786</v>
      </c>
      <c r="E7264" t="s">
        <v>379</v>
      </c>
    </row>
    <row r="7265" spans="1:5" x14ac:dyDescent="0.25">
      <c r="A7265" s="279">
        <v>39230</v>
      </c>
      <c r="B7265" t="s">
        <v>338</v>
      </c>
      <c r="C7265" t="s">
        <v>59</v>
      </c>
      <c r="D7265">
        <v>2548</v>
      </c>
      <c r="E7265" t="s">
        <v>378</v>
      </c>
    </row>
    <row r="7266" spans="1:5" x14ac:dyDescent="0.25">
      <c r="A7266" s="279">
        <v>39230</v>
      </c>
      <c r="B7266" t="s">
        <v>338</v>
      </c>
      <c r="C7266" t="s">
        <v>60</v>
      </c>
      <c r="D7266">
        <v>0</v>
      </c>
      <c r="E7266" t="s">
        <v>379</v>
      </c>
    </row>
    <row r="7267" spans="1:5" x14ac:dyDescent="0.25">
      <c r="A7267" s="279">
        <v>39230</v>
      </c>
      <c r="B7267" t="s">
        <v>338</v>
      </c>
      <c r="C7267" t="s">
        <v>61</v>
      </c>
      <c r="D7267">
        <v>13024</v>
      </c>
      <c r="E7267" t="s">
        <v>378</v>
      </c>
    </row>
    <row r="7268" spans="1:5" x14ac:dyDescent="0.25">
      <c r="A7268" s="279">
        <v>39230</v>
      </c>
      <c r="B7268" t="s">
        <v>338</v>
      </c>
      <c r="C7268" t="s">
        <v>62</v>
      </c>
      <c r="D7268">
        <v>0</v>
      </c>
      <c r="E7268" t="s">
        <v>380</v>
      </c>
    </row>
    <row r="7269" spans="1:5" x14ac:dyDescent="0.25">
      <c r="A7269" s="279">
        <v>39230</v>
      </c>
      <c r="B7269" t="s">
        <v>338</v>
      </c>
      <c r="C7269" t="s">
        <v>63</v>
      </c>
      <c r="D7269">
        <v>3949</v>
      </c>
      <c r="E7269" t="s">
        <v>378</v>
      </c>
    </row>
    <row r="7270" spans="1:5" x14ac:dyDescent="0.25">
      <c r="A7270" s="279">
        <v>39230</v>
      </c>
      <c r="B7270" t="s">
        <v>338</v>
      </c>
      <c r="C7270" t="s">
        <v>64</v>
      </c>
      <c r="D7270">
        <v>0</v>
      </c>
      <c r="E7270" t="s">
        <v>380</v>
      </c>
    </row>
    <row r="7271" spans="1:5" x14ac:dyDescent="0.25">
      <c r="A7271" s="279">
        <v>39230</v>
      </c>
      <c r="B7271" t="s">
        <v>338</v>
      </c>
      <c r="C7271" t="s">
        <v>65</v>
      </c>
      <c r="D7271">
        <v>0</v>
      </c>
      <c r="E7271" t="s">
        <v>378</v>
      </c>
    </row>
    <row r="7272" spans="1:5" x14ac:dyDescent="0.25">
      <c r="A7272" s="279">
        <v>39230</v>
      </c>
      <c r="B7272" t="s">
        <v>338</v>
      </c>
      <c r="C7272" t="s">
        <v>66</v>
      </c>
      <c r="D7272">
        <v>0</v>
      </c>
      <c r="E7272" t="s">
        <v>380</v>
      </c>
    </row>
    <row r="7273" spans="1:5" x14ac:dyDescent="0.25">
      <c r="A7273" s="279">
        <v>39230</v>
      </c>
      <c r="B7273" t="s">
        <v>338</v>
      </c>
      <c r="C7273" t="s">
        <v>120</v>
      </c>
      <c r="D7273">
        <v>6623</v>
      </c>
      <c r="E7273" t="s">
        <v>378</v>
      </c>
    </row>
    <row r="7274" spans="1:5" x14ac:dyDescent="0.25">
      <c r="A7274" s="279">
        <v>39230</v>
      </c>
      <c r="B7274" t="s">
        <v>338</v>
      </c>
      <c r="C7274" t="s">
        <v>121</v>
      </c>
      <c r="D7274">
        <v>0</v>
      </c>
      <c r="E7274" t="s">
        <v>380</v>
      </c>
    </row>
    <row r="7275" spans="1:5" x14ac:dyDescent="0.25">
      <c r="A7275" s="279">
        <v>39230</v>
      </c>
      <c r="B7275" t="s">
        <v>338</v>
      </c>
      <c r="C7275" t="s">
        <v>67</v>
      </c>
      <c r="D7275">
        <v>0</v>
      </c>
      <c r="E7275" t="s">
        <v>378</v>
      </c>
    </row>
    <row r="7276" spans="1:5" x14ac:dyDescent="0.25">
      <c r="A7276" s="279">
        <v>39230</v>
      </c>
      <c r="B7276" t="s">
        <v>338</v>
      </c>
      <c r="C7276" t="s">
        <v>68</v>
      </c>
      <c r="D7276">
        <v>0</v>
      </c>
      <c r="E7276" t="s">
        <v>380</v>
      </c>
    </row>
    <row r="7277" spans="1:5" x14ac:dyDescent="0.25">
      <c r="A7277" s="279">
        <v>39230</v>
      </c>
      <c r="B7277" t="s">
        <v>338</v>
      </c>
      <c r="C7277" t="s">
        <v>69</v>
      </c>
      <c r="D7277">
        <v>0</v>
      </c>
      <c r="E7277" t="s">
        <v>379</v>
      </c>
    </row>
    <row r="7278" spans="1:5" x14ac:dyDescent="0.25">
      <c r="A7278" s="279">
        <v>39230</v>
      </c>
      <c r="B7278" t="s">
        <v>338</v>
      </c>
      <c r="C7278" t="s">
        <v>70</v>
      </c>
      <c r="D7278">
        <v>0</v>
      </c>
      <c r="E7278" t="s">
        <v>379</v>
      </c>
    </row>
    <row r="7279" spans="1:5" x14ac:dyDescent="0.25">
      <c r="A7279" s="279">
        <v>39230</v>
      </c>
      <c r="B7279" t="s">
        <v>338</v>
      </c>
      <c r="C7279" t="s">
        <v>80</v>
      </c>
      <c r="D7279">
        <v>314</v>
      </c>
      <c r="E7279" t="s">
        <v>379</v>
      </c>
    </row>
    <row r="7280" spans="1:5" x14ac:dyDescent="0.25">
      <c r="A7280" s="279">
        <v>39230</v>
      </c>
      <c r="B7280" t="s">
        <v>339</v>
      </c>
      <c r="C7280" t="s">
        <v>71</v>
      </c>
      <c r="D7280">
        <v>1885</v>
      </c>
      <c r="E7280" t="s">
        <v>378</v>
      </c>
    </row>
    <row r="7281" spans="1:5" x14ac:dyDescent="0.25">
      <c r="A7281" s="279">
        <v>39230</v>
      </c>
      <c r="B7281" t="s">
        <v>339</v>
      </c>
      <c r="C7281" t="s">
        <v>72</v>
      </c>
      <c r="D7281">
        <v>0</v>
      </c>
      <c r="E7281" t="s">
        <v>380</v>
      </c>
    </row>
    <row r="7282" spans="1:5" x14ac:dyDescent="0.25">
      <c r="A7282" s="279">
        <v>39230</v>
      </c>
      <c r="B7282" t="s">
        <v>339</v>
      </c>
      <c r="C7282" t="s">
        <v>73</v>
      </c>
      <c r="D7282">
        <v>16753</v>
      </c>
      <c r="E7282" t="s">
        <v>378</v>
      </c>
    </row>
    <row r="7283" spans="1:5" x14ac:dyDescent="0.25">
      <c r="A7283" s="279">
        <v>39230</v>
      </c>
      <c r="B7283" t="s">
        <v>339</v>
      </c>
      <c r="C7283" t="s">
        <v>74</v>
      </c>
      <c r="D7283">
        <v>0</v>
      </c>
      <c r="E7283" t="s">
        <v>380</v>
      </c>
    </row>
    <row r="7284" spans="1:5" x14ac:dyDescent="0.25">
      <c r="A7284" s="279">
        <v>39230</v>
      </c>
      <c r="B7284" t="s">
        <v>339</v>
      </c>
      <c r="C7284" t="s">
        <v>75</v>
      </c>
      <c r="D7284">
        <v>15039</v>
      </c>
      <c r="E7284" t="s">
        <v>378</v>
      </c>
    </row>
    <row r="7285" spans="1:5" x14ac:dyDescent="0.25">
      <c r="A7285" s="279">
        <v>39230</v>
      </c>
      <c r="B7285" t="s">
        <v>339</v>
      </c>
      <c r="C7285" t="s">
        <v>76</v>
      </c>
      <c r="D7285">
        <v>7605</v>
      </c>
      <c r="E7285" t="s">
        <v>380</v>
      </c>
    </row>
    <row r="7286" spans="1:5" x14ac:dyDescent="0.25">
      <c r="A7286" s="279">
        <v>39230</v>
      </c>
      <c r="B7286" t="s">
        <v>339</v>
      </c>
      <c r="C7286" t="s">
        <v>77</v>
      </c>
      <c r="D7286">
        <v>7171</v>
      </c>
      <c r="E7286" t="s">
        <v>378</v>
      </c>
    </row>
    <row r="7287" spans="1:5" x14ac:dyDescent="0.25">
      <c r="A7287" s="279">
        <v>39230</v>
      </c>
      <c r="B7287" t="s">
        <v>339</v>
      </c>
      <c r="C7287" t="s">
        <v>78</v>
      </c>
      <c r="D7287">
        <v>6895</v>
      </c>
      <c r="E7287" t="s">
        <v>380</v>
      </c>
    </row>
    <row r="7288" spans="1:5" x14ac:dyDescent="0.25">
      <c r="A7288" s="279">
        <v>39230</v>
      </c>
      <c r="B7288" t="s">
        <v>339</v>
      </c>
      <c r="C7288" t="s">
        <v>79</v>
      </c>
      <c r="D7288">
        <v>97619</v>
      </c>
      <c r="E7288" t="s">
        <v>379</v>
      </c>
    </row>
    <row r="7289" spans="1:5" x14ac:dyDescent="0.25">
      <c r="A7289" s="279">
        <v>39230</v>
      </c>
      <c r="B7289" t="s">
        <v>339</v>
      </c>
      <c r="C7289" t="s">
        <v>70</v>
      </c>
      <c r="D7289">
        <v>0</v>
      </c>
      <c r="E7289" t="s">
        <v>379</v>
      </c>
    </row>
    <row r="7290" spans="1:5" x14ac:dyDescent="0.25">
      <c r="A7290" s="279">
        <v>39230</v>
      </c>
      <c r="B7290" t="s">
        <v>339</v>
      </c>
      <c r="C7290" t="s">
        <v>63</v>
      </c>
      <c r="D7290">
        <v>17072</v>
      </c>
      <c r="E7290" t="s">
        <v>378</v>
      </c>
    </row>
    <row r="7291" spans="1:5" x14ac:dyDescent="0.25">
      <c r="A7291" s="279">
        <v>39230</v>
      </c>
      <c r="B7291" t="s">
        <v>339</v>
      </c>
      <c r="C7291" t="s">
        <v>80</v>
      </c>
      <c r="D7291">
        <v>785</v>
      </c>
      <c r="E7291" t="s">
        <v>379</v>
      </c>
    </row>
    <row r="7292" spans="1:5" x14ac:dyDescent="0.25">
      <c r="A7292" s="279">
        <v>39231</v>
      </c>
      <c r="B7292" t="s">
        <v>338</v>
      </c>
      <c r="C7292" t="s">
        <v>59</v>
      </c>
      <c r="D7292">
        <v>2565</v>
      </c>
      <c r="E7292" t="s">
        <v>378</v>
      </c>
    </row>
    <row r="7293" spans="1:5" x14ac:dyDescent="0.25">
      <c r="A7293" s="279">
        <v>39231</v>
      </c>
      <c r="B7293" t="s">
        <v>338</v>
      </c>
      <c r="C7293" t="s">
        <v>60</v>
      </c>
      <c r="D7293">
        <v>0</v>
      </c>
      <c r="E7293" t="s">
        <v>379</v>
      </c>
    </row>
    <row r="7294" spans="1:5" x14ac:dyDescent="0.25">
      <c r="A7294" s="279">
        <v>39231</v>
      </c>
      <c r="B7294" t="s">
        <v>338</v>
      </c>
      <c r="C7294" t="s">
        <v>61</v>
      </c>
      <c r="D7294">
        <v>13112</v>
      </c>
      <c r="E7294" t="s">
        <v>378</v>
      </c>
    </row>
    <row r="7295" spans="1:5" x14ac:dyDescent="0.25">
      <c r="A7295" s="279">
        <v>39231</v>
      </c>
      <c r="B7295" t="s">
        <v>338</v>
      </c>
      <c r="C7295" t="s">
        <v>62</v>
      </c>
      <c r="D7295">
        <v>0</v>
      </c>
      <c r="E7295" t="s">
        <v>380</v>
      </c>
    </row>
    <row r="7296" spans="1:5" x14ac:dyDescent="0.25">
      <c r="A7296" s="279">
        <v>39231</v>
      </c>
      <c r="B7296" t="s">
        <v>338</v>
      </c>
      <c r="C7296" t="s">
        <v>63</v>
      </c>
      <c r="D7296">
        <v>3976</v>
      </c>
      <c r="E7296" t="s">
        <v>378</v>
      </c>
    </row>
    <row r="7297" spans="1:5" x14ac:dyDescent="0.25">
      <c r="A7297" s="279">
        <v>39231</v>
      </c>
      <c r="B7297" t="s">
        <v>338</v>
      </c>
      <c r="C7297" t="s">
        <v>64</v>
      </c>
      <c r="D7297">
        <v>0</v>
      </c>
      <c r="E7297" t="s">
        <v>380</v>
      </c>
    </row>
    <row r="7298" spans="1:5" x14ac:dyDescent="0.25">
      <c r="A7298" s="279">
        <v>39231</v>
      </c>
      <c r="B7298" t="s">
        <v>338</v>
      </c>
      <c r="C7298" t="s">
        <v>65</v>
      </c>
      <c r="D7298">
        <v>0</v>
      </c>
      <c r="E7298" t="s">
        <v>378</v>
      </c>
    </row>
    <row r="7299" spans="1:5" x14ac:dyDescent="0.25">
      <c r="A7299" s="279">
        <v>39231</v>
      </c>
      <c r="B7299" t="s">
        <v>338</v>
      </c>
      <c r="C7299" t="s">
        <v>66</v>
      </c>
      <c r="D7299">
        <v>0</v>
      </c>
      <c r="E7299" t="s">
        <v>380</v>
      </c>
    </row>
    <row r="7300" spans="1:5" x14ac:dyDescent="0.25">
      <c r="A7300" s="279">
        <v>39231</v>
      </c>
      <c r="B7300" t="s">
        <v>338</v>
      </c>
      <c r="C7300" t="s">
        <v>120</v>
      </c>
      <c r="D7300">
        <v>6706</v>
      </c>
      <c r="E7300" t="s">
        <v>378</v>
      </c>
    </row>
    <row r="7301" spans="1:5" x14ac:dyDescent="0.25">
      <c r="A7301" s="279">
        <v>39231</v>
      </c>
      <c r="B7301" t="s">
        <v>338</v>
      </c>
      <c r="C7301" t="s">
        <v>121</v>
      </c>
      <c r="D7301">
        <v>0</v>
      </c>
      <c r="E7301" t="s">
        <v>380</v>
      </c>
    </row>
    <row r="7302" spans="1:5" x14ac:dyDescent="0.25">
      <c r="A7302" s="279">
        <v>39231</v>
      </c>
      <c r="B7302" t="s">
        <v>338</v>
      </c>
      <c r="C7302" t="s">
        <v>67</v>
      </c>
      <c r="D7302">
        <v>0</v>
      </c>
      <c r="E7302" t="s">
        <v>378</v>
      </c>
    </row>
    <row r="7303" spans="1:5" x14ac:dyDescent="0.25">
      <c r="A7303" s="279">
        <v>39231</v>
      </c>
      <c r="B7303" t="s">
        <v>338</v>
      </c>
      <c r="C7303" t="s">
        <v>68</v>
      </c>
      <c r="D7303">
        <v>0</v>
      </c>
      <c r="E7303" t="s">
        <v>380</v>
      </c>
    </row>
    <row r="7304" spans="1:5" x14ac:dyDescent="0.25">
      <c r="A7304" s="279">
        <v>39231</v>
      </c>
      <c r="B7304" t="s">
        <v>338</v>
      </c>
      <c r="C7304" t="s">
        <v>69</v>
      </c>
      <c r="D7304">
        <v>0</v>
      </c>
      <c r="E7304" t="s">
        <v>379</v>
      </c>
    </row>
    <row r="7305" spans="1:5" x14ac:dyDescent="0.25">
      <c r="A7305" s="279">
        <v>39231</v>
      </c>
      <c r="B7305" t="s">
        <v>338</v>
      </c>
      <c r="C7305" t="s">
        <v>70</v>
      </c>
      <c r="D7305">
        <v>0</v>
      </c>
      <c r="E7305" t="s">
        <v>379</v>
      </c>
    </row>
    <row r="7306" spans="1:5" x14ac:dyDescent="0.25">
      <c r="A7306" s="279">
        <v>39231</v>
      </c>
      <c r="B7306" t="s">
        <v>338</v>
      </c>
      <c r="C7306" t="s">
        <v>80</v>
      </c>
      <c r="D7306">
        <v>316</v>
      </c>
      <c r="E7306" t="s">
        <v>379</v>
      </c>
    </row>
    <row r="7307" spans="1:5" x14ac:dyDescent="0.25">
      <c r="A7307" s="279">
        <v>39231</v>
      </c>
      <c r="B7307" t="s">
        <v>339</v>
      </c>
      <c r="C7307" t="s">
        <v>71</v>
      </c>
      <c r="D7307">
        <v>1888</v>
      </c>
      <c r="E7307" t="s">
        <v>378</v>
      </c>
    </row>
    <row r="7308" spans="1:5" x14ac:dyDescent="0.25">
      <c r="A7308" s="279">
        <v>39231</v>
      </c>
      <c r="B7308" t="s">
        <v>339</v>
      </c>
      <c r="C7308" t="s">
        <v>72</v>
      </c>
      <c r="D7308">
        <v>0</v>
      </c>
      <c r="E7308" t="s">
        <v>380</v>
      </c>
    </row>
    <row r="7309" spans="1:5" x14ac:dyDescent="0.25">
      <c r="A7309" s="279">
        <v>39231</v>
      </c>
      <c r="B7309" t="s">
        <v>339</v>
      </c>
      <c r="C7309" t="s">
        <v>73</v>
      </c>
      <c r="D7309">
        <v>16785</v>
      </c>
      <c r="E7309" t="s">
        <v>378</v>
      </c>
    </row>
    <row r="7310" spans="1:5" x14ac:dyDescent="0.25">
      <c r="A7310" s="279">
        <v>39231</v>
      </c>
      <c r="B7310" t="s">
        <v>339</v>
      </c>
      <c r="C7310" t="s">
        <v>74</v>
      </c>
      <c r="D7310">
        <v>0</v>
      </c>
      <c r="E7310" t="s">
        <v>380</v>
      </c>
    </row>
    <row r="7311" spans="1:5" x14ac:dyDescent="0.25">
      <c r="A7311" s="279">
        <v>39231</v>
      </c>
      <c r="B7311" t="s">
        <v>339</v>
      </c>
      <c r="C7311" t="s">
        <v>75</v>
      </c>
      <c r="D7311">
        <v>15068</v>
      </c>
      <c r="E7311" t="s">
        <v>378</v>
      </c>
    </row>
    <row r="7312" spans="1:5" x14ac:dyDescent="0.25">
      <c r="A7312" s="279">
        <v>39231</v>
      </c>
      <c r="B7312" t="s">
        <v>339</v>
      </c>
      <c r="C7312" t="s">
        <v>76</v>
      </c>
      <c r="D7312">
        <v>8909</v>
      </c>
      <c r="E7312" t="s">
        <v>380</v>
      </c>
    </row>
    <row r="7313" spans="1:5" x14ac:dyDescent="0.25">
      <c r="A7313" s="279">
        <v>39231</v>
      </c>
      <c r="B7313" t="s">
        <v>339</v>
      </c>
      <c r="C7313" t="s">
        <v>77</v>
      </c>
      <c r="D7313">
        <v>7185</v>
      </c>
      <c r="E7313" t="s">
        <v>378</v>
      </c>
    </row>
    <row r="7314" spans="1:5" x14ac:dyDescent="0.25">
      <c r="A7314" s="279">
        <v>39231</v>
      </c>
      <c r="B7314" t="s">
        <v>339</v>
      </c>
      <c r="C7314" t="s">
        <v>78</v>
      </c>
      <c r="D7314">
        <v>6909</v>
      </c>
      <c r="E7314" t="s">
        <v>380</v>
      </c>
    </row>
    <row r="7315" spans="1:5" x14ac:dyDescent="0.25">
      <c r="A7315" s="279">
        <v>39231</v>
      </c>
      <c r="B7315" t="s">
        <v>339</v>
      </c>
      <c r="C7315" t="s">
        <v>79</v>
      </c>
      <c r="D7315">
        <v>97805</v>
      </c>
      <c r="E7315" t="s">
        <v>379</v>
      </c>
    </row>
    <row r="7316" spans="1:5" x14ac:dyDescent="0.25">
      <c r="A7316" s="279">
        <v>39231</v>
      </c>
      <c r="B7316" t="s">
        <v>339</v>
      </c>
      <c r="C7316" t="s">
        <v>70</v>
      </c>
      <c r="D7316">
        <v>0</v>
      </c>
      <c r="E7316" t="s">
        <v>379</v>
      </c>
    </row>
    <row r="7317" spans="1:5" x14ac:dyDescent="0.25">
      <c r="A7317" s="279">
        <v>39231</v>
      </c>
      <c r="B7317" t="s">
        <v>339</v>
      </c>
      <c r="C7317" t="s">
        <v>63</v>
      </c>
      <c r="D7317">
        <v>17105</v>
      </c>
      <c r="E7317" t="s">
        <v>378</v>
      </c>
    </row>
    <row r="7318" spans="1:5" x14ac:dyDescent="0.25">
      <c r="A7318" s="279">
        <v>39231</v>
      </c>
      <c r="B7318" t="s">
        <v>339</v>
      </c>
      <c r="C7318" t="s">
        <v>80</v>
      </c>
      <c r="D7318">
        <v>787</v>
      </c>
      <c r="E7318" t="s">
        <v>379</v>
      </c>
    </row>
    <row r="7319" spans="1:5" x14ac:dyDescent="0.25">
      <c r="A7319" s="279">
        <v>39232</v>
      </c>
      <c r="B7319" t="s">
        <v>338</v>
      </c>
      <c r="C7319" t="s">
        <v>59</v>
      </c>
      <c r="D7319">
        <v>2565</v>
      </c>
      <c r="E7319" t="s">
        <v>378</v>
      </c>
    </row>
    <row r="7320" spans="1:5" x14ac:dyDescent="0.25">
      <c r="A7320" s="279">
        <v>39232</v>
      </c>
      <c r="B7320" t="s">
        <v>338</v>
      </c>
      <c r="C7320" t="s">
        <v>60</v>
      </c>
      <c r="D7320">
        <v>0</v>
      </c>
      <c r="E7320" t="s">
        <v>379</v>
      </c>
    </row>
    <row r="7321" spans="1:5" x14ac:dyDescent="0.25">
      <c r="A7321" s="279">
        <v>39232</v>
      </c>
      <c r="B7321" t="s">
        <v>338</v>
      </c>
      <c r="C7321" t="s">
        <v>61</v>
      </c>
      <c r="D7321">
        <v>13112</v>
      </c>
      <c r="E7321" t="s">
        <v>378</v>
      </c>
    </row>
    <row r="7322" spans="1:5" x14ac:dyDescent="0.25">
      <c r="A7322" s="279">
        <v>39232</v>
      </c>
      <c r="B7322" t="s">
        <v>338</v>
      </c>
      <c r="C7322" t="s">
        <v>62</v>
      </c>
      <c r="D7322">
        <v>0</v>
      </c>
      <c r="E7322" t="s">
        <v>380</v>
      </c>
    </row>
    <row r="7323" spans="1:5" x14ac:dyDescent="0.25">
      <c r="A7323" s="279">
        <v>39232</v>
      </c>
      <c r="B7323" t="s">
        <v>338</v>
      </c>
      <c r="C7323" t="s">
        <v>63</v>
      </c>
      <c r="D7323">
        <v>3976</v>
      </c>
      <c r="E7323" t="s">
        <v>378</v>
      </c>
    </row>
    <row r="7324" spans="1:5" x14ac:dyDescent="0.25">
      <c r="A7324" s="279">
        <v>39232</v>
      </c>
      <c r="B7324" t="s">
        <v>338</v>
      </c>
      <c r="C7324" t="s">
        <v>64</v>
      </c>
      <c r="D7324">
        <v>0</v>
      </c>
      <c r="E7324" t="s">
        <v>380</v>
      </c>
    </row>
    <row r="7325" spans="1:5" x14ac:dyDescent="0.25">
      <c r="A7325" s="279">
        <v>39232</v>
      </c>
      <c r="B7325" t="s">
        <v>338</v>
      </c>
      <c r="C7325" t="s">
        <v>65</v>
      </c>
      <c r="D7325">
        <v>0</v>
      </c>
      <c r="E7325" t="s">
        <v>378</v>
      </c>
    </row>
    <row r="7326" spans="1:5" x14ac:dyDescent="0.25">
      <c r="A7326" s="279">
        <v>39232</v>
      </c>
      <c r="B7326" t="s">
        <v>338</v>
      </c>
      <c r="C7326" t="s">
        <v>66</v>
      </c>
      <c r="D7326">
        <v>0</v>
      </c>
      <c r="E7326" t="s">
        <v>380</v>
      </c>
    </row>
    <row r="7327" spans="1:5" x14ac:dyDescent="0.25">
      <c r="A7327" s="279">
        <v>39232</v>
      </c>
      <c r="B7327" t="s">
        <v>338</v>
      </c>
      <c r="C7327" t="s">
        <v>120</v>
      </c>
      <c r="D7327">
        <v>6735</v>
      </c>
      <c r="E7327" t="s">
        <v>378</v>
      </c>
    </row>
    <row r="7328" spans="1:5" x14ac:dyDescent="0.25">
      <c r="A7328" s="279">
        <v>39232</v>
      </c>
      <c r="B7328" t="s">
        <v>338</v>
      </c>
      <c r="C7328" t="s">
        <v>121</v>
      </c>
      <c r="D7328">
        <v>0</v>
      </c>
      <c r="E7328" t="s">
        <v>380</v>
      </c>
    </row>
    <row r="7329" spans="1:5" x14ac:dyDescent="0.25">
      <c r="A7329" s="279">
        <v>39232</v>
      </c>
      <c r="B7329" t="s">
        <v>338</v>
      </c>
      <c r="C7329" t="s">
        <v>67</v>
      </c>
      <c r="D7329">
        <v>0</v>
      </c>
      <c r="E7329" t="s">
        <v>378</v>
      </c>
    </row>
    <row r="7330" spans="1:5" x14ac:dyDescent="0.25">
      <c r="A7330" s="279">
        <v>39232</v>
      </c>
      <c r="B7330" t="s">
        <v>338</v>
      </c>
      <c r="C7330" t="s">
        <v>68</v>
      </c>
      <c r="D7330">
        <v>0</v>
      </c>
      <c r="E7330" t="s">
        <v>380</v>
      </c>
    </row>
    <row r="7331" spans="1:5" x14ac:dyDescent="0.25">
      <c r="A7331" s="279">
        <v>39232</v>
      </c>
      <c r="B7331" t="s">
        <v>338</v>
      </c>
      <c r="C7331" t="s">
        <v>69</v>
      </c>
      <c r="D7331">
        <v>0</v>
      </c>
      <c r="E7331" t="s">
        <v>379</v>
      </c>
    </row>
    <row r="7332" spans="1:5" x14ac:dyDescent="0.25">
      <c r="A7332" s="279">
        <v>39232</v>
      </c>
      <c r="B7332" t="s">
        <v>338</v>
      </c>
      <c r="C7332" t="s">
        <v>70</v>
      </c>
      <c r="D7332">
        <v>0</v>
      </c>
      <c r="E7332" t="s">
        <v>379</v>
      </c>
    </row>
    <row r="7333" spans="1:5" x14ac:dyDescent="0.25">
      <c r="A7333" s="279">
        <v>39232</v>
      </c>
      <c r="B7333" t="s">
        <v>338</v>
      </c>
      <c r="C7333" t="s">
        <v>80</v>
      </c>
      <c r="D7333">
        <v>316</v>
      </c>
      <c r="E7333" t="s">
        <v>379</v>
      </c>
    </row>
    <row r="7334" spans="1:5" x14ac:dyDescent="0.25">
      <c r="A7334" s="279">
        <v>39232</v>
      </c>
      <c r="B7334" t="s">
        <v>339</v>
      </c>
      <c r="C7334" t="s">
        <v>71</v>
      </c>
      <c r="D7334">
        <v>1892</v>
      </c>
      <c r="E7334" t="s">
        <v>378</v>
      </c>
    </row>
    <row r="7335" spans="1:5" x14ac:dyDescent="0.25">
      <c r="A7335" s="279">
        <v>39232</v>
      </c>
      <c r="B7335" t="s">
        <v>339</v>
      </c>
      <c r="C7335" t="s">
        <v>72</v>
      </c>
      <c r="D7335">
        <v>0</v>
      </c>
      <c r="E7335" t="s">
        <v>380</v>
      </c>
    </row>
    <row r="7336" spans="1:5" x14ac:dyDescent="0.25">
      <c r="A7336" s="279">
        <v>39232</v>
      </c>
      <c r="B7336" t="s">
        <v>339</v>
      </c>
      <c r="C7336" t="s">
        <v>73</v>
      </c>
      <c r="D7336">
        <v>16817</v>
      </c>
      <c r="E7336" t="s">
        <v>378</v>
      </c>
    </row>
    <row r="7337" spans="1:5" x14ac:dyDescent="0.25">
      <c r="A7337" s="279">
        <v>39232</v>
      </c>
      <c r="B7337" t="s">
        <v>339</v>
      </c>
      <c r="C7337" t="s">
        <v>74</v>
      </c>
      <c r="D7337">
        <v>0</v>
      </c>
      <c r="E7337" t="s">
        <v>380</v>
      </c>
    </row>
    <row r="7338" spans="1:5" x14ac:dyDescent="0.25">
      <c r="A7338" s="279">
        <v>39232</v>
      </c>
      <c r="B7338" t="s">
        <v>339</v>
      </c>
      <c r="C7338" t="s">
        <v>75</v>
      </c>
      <c r="D7338">
        <v>15097</v>
      </c>
      <c r="E7338" t="s">
        <v>378</v>
      </c>
    </row>
    <row r="7339" spans="1:5" x14ac:dyDescent="0.25">
      <c r="A7339" s="279">
        <v>39232</v>
      </c>
      <c r="B7339" t="s">
        <v>339</v>
      </c>
      <c r="C7339" t="s">
        <v>76</v>
      </c>
      <c r="D7339">
        <v>7055</v>
      </c>
      <c r="E7339" t="s">
        <v>380</v>
      </c>
    </row>
    <row r="7340" spans="1:5" x14ac:dyDescent="0.25">
      <c r="A7340" s="279">
        <v>39232</v>
      </c>
      <c r="B7340" t="s">
        <v>339</v>
      </c>
      <c r="C7340" t="s">
        <v>77</v>
      </c>
      <c r="D7340">
        <v>7198</v>
      </c>
      <c r="E7340" t="s">
        <v>378</v>
      </c>
    </row>
    <row r="7341" spans="1:5" x14ac:dyDescent="0.25">
      <c r="A7341" s="279">
        <v>39232</v>
      </c>
      <c r="B7341" t="s">
        <v>339</v>
      </c>
      <c r="C7341" t="s">
        <v>78</v>
      </c>
      <c r="D7341">
        <v>6922</v>
      </c>
      <c r="E7341" t="s">
        <v>380</v>
      </c>
    </row>
    <row r="7342" spans="1:5" x14ac:dyDescent="0.25">
      <c r="A7342" s="279">
        <v>39232</v>
      </c>
      <c r="B7342" t="s">
        <v>339</v>
      </c>
      <c r="C7342" t="s">
        <v>79</v>
      </c>
      <c r="D7342">
        <v>97991</v>
      </c>
      <c r="E7342" t="s">
        <v>379</v>
      </c>
    </row>
    <row r="7343" spans="1:5" x14ac:dyDescent="0.25">
      <c r="A7343" s="279">
        <v>39232</v>
      </c>
      <c r="B7343" t="s">
        <v>339</v>
      </c>
      <c r="C7343" t="s">
        <v>70</v>
      </c>
      <c r="D7343">
        <v>0</v>
      </c>
      <c r="E7343" t="s">
        <v>379</v>
      </c>
    </row>
    <row r="7344" spans="1:5" x14ac:dyDescent="0.25">
      <c r="A7344" s="279">
        <v>39232</v>
      </c>
      <c r="B7344" t="s">
        <v>339</v>
      </c>
      <c r="C7344" t="s">
        <v>63</v>
      </c>
      <c r="D7344">
        <v>17137</v>
      </c>
      <c r="E7344" t="s">
        <v>378</v>
      </c>
    </row>
    <row r="7345" spans="1:5" x14ac:dyDescent="0.25">
      <c r="A7345" s="279">
        <v>39232</v>
      </c>
      <c r="B7345" t="s">
        <v>339</v>
      </c>
      <c r="C7345" t="s">
        <v>80</v>
      </c>
      <c r="D7345">
        <v>788</v>
      </c>
      <c r="E7345" t="s">
        <v>379</v>
      </c>
    </row>
    <row r="7346" spans="1:5" x14ac:dyDescent="0.25">
      <c r="A7346" s="279">
        <v>39233</v>
      </c>
      <c r="B7346" t="s">
        <v>338</v>
      </c>
      <c r="C7346" t="s">
        <v>59</v>
      </c>
      <c r="D7346">
        <v>2565</v>
      </c>
      <c r="E7346" t="s">
        <v>378</v>
      </c>
    </row>
    <row r="7347" spans="1:5" x14ac:dyDescent="0.25">
      <c r="A7347" s="279">
        <v>39233</v>
      </c>
      <c r="B7347" t="s">
        <v>338</v>
      </c>
      <c r="C7347" t="s">
        <v>60</v>
      </c>
      <c r="D7347">
        <v>0</v>
      </c>
      <c r="E7347" t="s">
        <v>379</v>
      </c>
    </row>
    <row r="7348" spans="1:5" x14ac:dyDescent="0.25">
      <c r="A7348" s="279">
        <v>39233</v>
      </c>
      <c r="B7348" t="s">
        <v>338</v>
      </c>
      <c r="C7348" t="s">
        <v>61</v>
      </c>
      <c r="D7348">
        <v>13112</v>
      </c>
      <c r="E7348" t="s">
        <v>378</v>
      </c>
    </row>
    <row r="7349" spans="1:5" x14ac:dyDescent="0.25">
      <c r="A7349" s="279">
        <v>39233</v>
      </c>
      <c r="B7349" t="s">
        <v>338</v>
      </c>
      <c r="C7349" t="s">
        <v>62</v>
      </c>
      <c r="D7349">
        <v>0</v>
      </c>
      <c r="E7349" t="s">
        <v>380</v>
      </c>
    </row>
    <row r="7350" spans="1:5" x14ac:dyDescent="0.25">
      <c r="A7350" s="279">
        <v>39233</v>
      </c>
      <c r="B7350" t="s">
        <v>338</v>
      </c>
      <c r="C7350" t="s">
        <v>63</v>
      </c>
      <c r="D7350">
        <v>3976</v>
      </c>
      <c r="E7350" t="s">
        <v>378</v>
      </c>
    </row>
    <row r="7351" spans="1:5" x14ac:dyDescent="0.25">
      <c r="A7351" s="279">
        <v>39233</v>
      </c>
      <c r="B7351" t="s">
        <v>338</v>
      </c>
      <c r="C7351" t="s">
        <v>64</v>
      </c>
      <c r="D7351">
        <v>0</v>
      </c>
      <c r="E7351" t="s">
        <v>380</v>
      </c>
    </row>
    <row r="7352" spans="1:5" x14ac:dyDescent="0.25">
      <c r="A7352" s="279">
        <v>39233</v>
      </c>
      <c r="B7352" t="s">
        <v>338</v>
      </c>
      <c r="C7352" t="s">
        <v>65</v>
      </c>
      <c r="D7352">
        <v>0</v>
      </c>
      <c r="E7352" t="s">
        <v>378</v>
      </c>
    </row>
    <row r="7353" spans="1:5" x14ac:dyDescent="0.25">
      <c r="A7353" s="279">
        <v>39233</v>
      </c>
      <c r="B7353" t="s">
        <v>338</v>
      </c>
      <c r="C7353" t="s">
        <v>66</v>
      </c>
      <c r="D7353">
        <v>0</v>
      </c>
      <c r="E7353" t="s">
        <v>380</v>
      </c>
    </row>
    <row r="7354" spans="1:5" x14ac:dyDescent="0.25">
      <c r="A7354" s="279">
        <v>39233</v>
      </c>
      <c r="B7354" t="s">
        <v>338</v>
      </c>
      <c r="C7354" t="s">
        <v>120</v>
      </c>
      <c r="D7354">
        <v>6735</v>
      </c>
      <c r="E7354" t="s">
        <v>378</v>
      </c>
    </row>
    <row r="7355" spans="1:5" x14ac:dyDescent="0.25">
      <c r="A7355" s="279">
        <v>39233</v>
      </c>
      <c r="B7355" t="s">
        <v>338</v>
      </c>
      <c r="C7355" t="s">
        <v>121</v>
      </c>
      <c r="D7355">
        <v>0</v>
      </c>
      <c r="E7355" t="s">
        <v>380</v>
      </c>
    </row>
    <row r="7356" spans="1:5" x14ac:dyDescent="0.25">
      <c r="A7356" s="279">
        <v>39233</v>
      </c>
      <c r="B7356" t="s">
        <v>338</v>
      </c>
      <c r="C7356" t="s">
        <v>67</v>
      </c>
      <c r="D7356">
        <v>0</v>
      </c>
      <c r="E7356" t="s">
        <v>378</v>
      </c>
    </row>
    <row r="7357" spans="1:5" x14ac:dyDescent="0.25">
      <c r="A7357" s="279">
        <v>39233</v>
      </c>
      <c r="B7357" t="s">
        <v>338</v>
      </c>
      <c r="C7357" t="s">
        <v>68</v>
      </c>
      <c r="D7357">
        <v>0</v>
      </c>
      <c r="E7357" t="s">
        <v>380</v>
      </c>
    </row>
    <row r="7358" spans="1:5" x14ac:dyDescent="0.25">
      <c r="A7358" s="279">
        <v>39233</v>
      </c>
      <c r="B7358" t="s">
        <v>338</v>
      </c>
      <c r="C7358" t="s">
        <v>69</v>
      </c>
      <c r="D7358">
        <v>0</v>
      </c>
      <c r="E7358" t="s">
        <v>379</v>
      </c>
    </row>
    <row r="7359" spans="1:5" x14ac:dyDescent="0.25">
      <c r="A7359" s="279">
        <v>39233</v>
      </c>
      <c r="B7359" t="s">
        <v>338</v>
      </c>
      <c r="C7359" t="s">
        <v>70</v>
      </c>
      <c r="D7359">
        <v>0</v>
      </c>
      <c r="E7359" t="s">
        <v>379</v>
      </c>
    </row>
    <row r="7360" spans="1:5" x14ac:dyDescent="0.25">
      <c r="A7360" s="279">
        <v>39233</v>
      </c>
      <c r="B7360" t="s">
        <v>338</v>
      </c>
      <c r="C7360" t="s">
        <v>80</v>
      </c>
      <c r="D7360">
        <v>316</v>
      </c>
      <c r="E7360" t="s">
        <v>379</v>
      </c>
    </row>
    <row r="7361" spans="1:5" x14ac:dyDescent="0.25">
      <c r="A7361" s="279">
        <v>39233</v>
      </c>
      <c r="B7361" t="s">
        <v>339</v>
      </c>
      <c r="C7361" t="s">
        <v>71</v>
      </c>
      <c r="D7361">
        <v>1912</v>
      </c>
      <c r="E7361" t="s">
        <v>378</v>
      </c>
    </row>
    <row r="7362" spans="1:5" x14ac:dyDescent="0.25">
      <c r="A7362" s="279">
        <v>39233</v>
      </c>
      <c r="B7362" t="s">
        <v>339</v>
      </c>
      <c r="C7362" t="s">
        <v>72</v>
      </c>
      <c r="D7362">
        <v>0</v>
      </c>
      <c r="E7362" t="s">
        <v>380</v>
      </c>
    </row>
    <row r="7363" spans="1:5" x14ac:dyDescent="0.25">
      <c r="A7363" s="279">
        <v>39233</v>
      </c>
      <c r="B7363" t="s">
        <v>339</v>
      </c>
      <c r="C7363" t="s">
        <v>73</v>
      </c>
      <c r="D7363">
        <v>16996</v>
      </c>
      <c r="E7363" t="s">
        <v>378</v>
      </c>
    </row>
    <row r="7364" spans="1:5" x14ac:dyDescent="0.25">
      <c r="A7364" s="279">
        <v>39233</v>
      </c>
      <c r="B7364" t="s">
        <v>339</v>
      </c>
      <c r="C7364" t="s">
        <v>74</v>
      </c>
      <c r="D7364">
        <v>0</v>
      </c>
      <c r="E7364" t="s">
        <v>380</v>
      </c>
    </row>
    <row r="7365" spans="1:5" x14ac:dyDescent="0.25">
      <c r="A7365" s="279">
        <v>39233</v>
      </c>
      <c r="B7365" t="s">
        <v>339</v>
      </c>
      <c r="C7365" t="s">
        <v>75</v>
      </c>
      <c r="D7365">
        <v>15257</v>
      </c>
      <c r="E7365" t="s">
        <v>378</v>
      </c>
    </row>
    <row r="7366" spans="1:5" x14ac:dyDescent="0.25">
      <c r="A7366" s="279">
        <v>39233</v>
      </c>
      <c r="B7366" t="s">
        <v>339</v>
      </c>
      <c r="C7366" t="s">
        <v>76</v>
      </c>
      <c r="D7366">
        <v>7849</v>
      </c>
      <c r="E7366" t="s">
        <v>380</v>
      </c>
    </row>
    <row r="7367" spans="1:5" x14ac:dyDescent="0.25">
      <c r="A7367" s="279">
        <v>39233</v>
      </c>
      <c r="B7367" t="s">
        <v>339</v>
      </c>
      <c r="C7367" t="s">
        <v>77</v>
      </c>
      <c r="D7367">
        <v>7275</v>
      </c>
      <c r="E7367" t="s">
        <v>378</v>
      </c>
    </row>
    <row r="7368" spans="1:5" x14ac:dyDescent="0.25">
      <c r="A7368" s="279">
        <v>39233</v>
      </c>
      <c r="B7368" t="s">
        <v>339</v>
      </c>
      <c r="C7368" t="s">
        <v>78</v>
      </c>
      <c r="D7368">
        <v>6995</v>
      </c>
      <c r="E7368" t="s">
        <v>380</v>
      </c>
    </row>
    <row r="7369" spans="1:5" x14ac:dyDescent="0.25">
      <c r="A7369" s="279">
        <v>39233</v>
      </c>
      <c r="B7369" t="s">
        <v>339</v>
      </c>
      <c r="C7369" t="s">
        <v>79</v>
      </c>
      <c r="D7369">
        <v>99031</v>
      </c>
      <c r="E7369" t="s">
        <v>379</v>
      </c>
    </row>
    <row r="7370" spans="1:5" x14ac:dyDescent="0.25">
      <c r="A7370" s="279">
        <v>39233</v>
      </c>
      <c r="B7370" t="s">
        <v>339</v>
      </c>
      <c r="C7370" t="s">
        <v>70</v>
      </c>
      <c r="D7370">
        <v>0</v>
      </c>
      <c r="E7370" t="s">
        <v>379</v>
      </c>
    </row>
    <row r="7371" spans="1:5" x14ac:dyDescent="0.25">
      <c r="A7371" s="279">
        <v>39233</v>
      </c>
      <c r="B7371" t="s">
        <v>339</v>
      </c>
      <c r="C7371" t="s">
        <v>63</v>
      </c>
      <c r="D7371">
        <v>17319</v>
      </c>
      <c r="E7371" t="s">
        <v>378</v>
      </c>
    </row>
    <row r="7372" spans="1:5" x14ac:dyDescent="0.25">
      <c r="A7372" s="279">
        <v>39233</v>
      </c>
      <c r="B7372" t="s">
        <v>339</v>
      </c>
      <c r="C7372" t="s">
        <v>80</v>
      </c>
      <c r="D7372">
        <v>797</v>
      </c>
      <c r="E7372" t="s">
        <v>379</v>
      </c>
    </row>
    <row r="7373" spans="1:5" x14ac:dyDescent="0.25">
      <c r="A7373" s="279">
        <v>39234</v>
      </c>
      <c r="B7373" t="s">
        <v>338</v>
      </c>
      <c r="C7373" t="s">
        <v>59</v>
      </c>
      <c r="D7373">
        <v>2570</v>
      </c>
      <c r="E7373" t="s">
        <v>378</v>
      </c>
    </row>
    <row r="7374" spans="1:5" x14ac:dyDescent="0.25">
      <c r="A7374" s="279">
        <v>39234</v>
      </c>
      <c r="B7374" t="s">
        <v>338</v>
      </c>
      <c r="C7374" t="s">
        <v>60</v>
      </c>
      <c r="D7374">
        <v>0</v>
      </c>
      <c r="E7374" t="s">
        <v>379</v>
      </c>
    </row>
    <row r="7375" spans="1:5" x14ac:dyDescent="0.25">
      <c r="A7375" s="279">
        <v>39234</v>
      </c>
      <c r="B7375" t="s">
        <v>338</v>
      </c>
      <c r="C7375" t="s">
        <v>61</v>
      </c>
      <c r="D7375">
        <v>7715</v>
      </c>
      <c r="E7375" t="s">
        <v>378</v>
      </c>
    </row>
    <row r="7376" spans="1:5" x14ac:dyDescent="0.25">
      <c r="A7376" s="279">
        <v>39234</v>
      </c>
      <c r="B7376" t="s">
        <v>338</v>
      </c>
      <c r="C7376" t="s">
        <v>62</v>
      </c>
      <c r="D7376">
        <v>0</v>
      </c>
      <c r="E7376" t="s">
        <v>380</v>
      </c>
    </row>
    <row r="7377" spans="1:5" x14ac:dyDescent="0.25">
      <c r="A7377" s="279">
        <v>39234</v>
      </c>
      <c r="B7377" t="s">
        <v>338</v>
      </c>
      <c r="C7377" t="s">
        <v>63</v>
      </c>
      <c r="D7377">
        <v>0</v>
      </c>
      <c r="E7377" t="s">
        <v>378</v>
      </c>
    </row>
    <row r="7378" spans="1:5" x14ac:dyDescent="0.25">
      <c r="A7378" s="279">
        <v>39234</v>
      </c>
      <c r="B7378" t="s">
        <v>338</v>
      </c>
      <c r="C7378" t="s">
        <v>64</v>
      </c>
      <c r="D7378">
        <v>0</v>
      </c>
      <c r="E7378" t="s">
        <v>380</v>
      </c>
    </row>
    <row r="7379" spans="1:5" x14ac:dyDescent="0.25">
      <c r="A7379" s="279">
        <v>39234</v>
      </c>
      <c r="B7379" t="s">
        <v>338</v>
      </c>
      <c r="C7379" t="s">
        <v>65</v>
      </c>
      <c r="D7379">
        <v>0</v>
      </c>
      <c r="E7379" t="s">
        <v>378</v>
      </c>
    </row>
    <row r="7380" spans="1:5" x14ac:dyDescent="0.25">
      <c r="A7380" s="279">
        <v>39234</v>
      </c>
      <c r="B7380" t="s">
        <v>338</v>
      </c>
      <c r="C7380" t="s">
        <v>66</v>
      </c>
      <c r="D7380">
        <v>0</v>
      </c>
      <c r="E7380" t="s">
        <v>380</v>
      </c>
    </row>
    <row r="7381" spans="1:5" x14ac:dyDescent="0.25">
      <c r="A7381" s="279">
        <v>39234</v>
      </c>
      <c r="B7381" t="s">
        <v>338</v>
      </c>
      <c r="C7381" t="s">
        <v>120</v>
      </c>
      <c r="D7381">
        <v>12220</v>
      </c>
      <c r="E7381" t="s">
        <v>378</v>
      </c>
    </row>
    <row r="7382" spans="1:5" x14ac:dyDescent="0.25">
      <c r="A7382" s="279">
        <v>39234</v>
      </c>
      <c r="B7382" t="s">
        <v>338</v>
      </c>
      <c r="C7382" t="s">
        <v>121</v>
      </c>
      <c r="D7382">
        <v>0</v>
      </c>
      <c r="E7382" t="s">
        <v>380</v>
      </c>
    </row>
    <row r="7383" spans="1:5" x14ac:dyDescent="0.25">
      <c r="A7383" s="279">
        <v>39234</v>
      </c>
      <c r="B7383" t="s">
        <v>338</v>
      </c>
      <c r="C7383" t="s">
        <v>67</v>
      </c>
      <c r="D7383">
        <v>0</v>
      </c>
      <c r="E7383" t="s">
        <v>378</v>
      </c>
    </row>
    <row r="7384" spans="1:5" x14ac:dyDescent="0.25">
      <c r="A7384" s="279">
        <v>39234</v>
      </c>
      <c r="B7384" t="s">
        <v>338</v>
      </c>
      <c r="C7384" t="s">
        <v>68</v>
      </c>
      <c r="D7384">
        <v>0</v>
      </c>
      <c r="E7384" t="s">
        <v>380</v>
      </c>
    </row>
    <row r="7385" spans="1:5" x14ac:dyDescent="0.25">
      <c r="A7385" s="279">
        <v>39234</v>
      </c>
      <c r="B7385" t="s">
        <v>338</v>
      </c>
      <c r="C7385" t="s">
        <v>69</v>
      </c>
      <c r="D7385">
        <v>0</v>
      </c>
      <c r="E7385" t="s">
        <v>379</v>
      </c>
    </row>
    <row r="7386" spans="1:5" x14ac:dyDescent="0.25">
      <c r="A7386" s="279">
        <v>39234</v>
      </c>
      <c r="B7386" t="s">
        <v>338</v>
      </c>
      <c r="C7386" t="s">
        <v>70</v>
      </c>
      <c r="D7386">
        <v>0</v>
      </c>
      <c r="E7386" t="s">
        <v>379</v>
      </c>
    </row>
    <row r="7387" spans="1:5" x14ac:dyDescent="0.25">
      <c r="A7387" s="279">
        <v>39234</v>
      </c>
      <c r="B7387" t="s">
        <v>338</v>
      </c>
      <c r="C7387" t="s">
        <v>80</v>
      </c>
      <c r="D7387">
        <v>186</v>
      </c>
      <c r="E7387" t="s">
        <v>379</v>
      </c>
    </row>
    <row r="7388" spans="1:5" x14ac:dyDescent="0.25">
      <c r="A7388" s="279">
        <v>39234</v>
      </c>
      <c r="B7388" t="s">
        <v>339</v>
      </c>
      <c r="C7388" t="s">
        <v>71</v>
      </c>
      <c r="D7388">
        <v>1914</v>
      </c>
      <c r="E7388" t="s">
        <v>378</v>
      </c>
    </row>
    <row r="7389" spans="1:5" x14ac:dyDescent="0.25">
      <c r="A7389" s="279">
        <v>39234</v>
      </c>
      <c r="B7389" t="s">
        <v>339</v>
      </c>
      <c r="C7389" t="s">
        <v>72</v>
      </c>
      <c r="D7389">
        <v>0</v>
      </c>
      <c r="E7389" t="s">
        <v>380</v>
      </c>
    </row>
    <row r="7390" spans="1:5" x14ac:dyDescent="0.25">
      <c r="A7390" s="279">
        <v>39234</v>
      </c>
      <c r="B7390" t="s">
        <v>339</v>
      </c>
      <c r="C7390" t="s">
        <v>73</v>
      </c>
      <c r="D7390">
        <v>17012</v>
      </c>
      <c r="E7390" t="s">
        <v>378</v>
      </c>
    </row>
    <row r="7391" spans="1:5" x14ac:dyDescent="0.25">
      <c r="A7391" s="279">
        <v>39234</v>
      </c>
      <c r="B7391" t="s">
        <v>339</v>
      </c>
      <c r="C7391" t="s">
        <v>74</v>
      </c>
      <c r="D7391">
        <v>0</v>
      </c>
      <c r="E7391" t="s">
        <v>380</v>
      </c>
    </row>
    <row r="7392" spans="1:5" x14ac:dyDescent="0.25">
      <c r="A7392" s="279">
        <v>39234</v>
      </c>
      <c r="B7392" t="s">
        <v>339</v>
      </c>
      <c r="C7392" t="s">
        <v>75</v>
      </c>
      <c r="D7392">
        <v>15295</v>
      </c>
      <c r="E7392" t="s">
        <v>378</v>
      </c>
    </row>
    <row r="7393" spans="1:5" x14ac:dyDescent="0.25">
      <c r="A7393" s="279">
        <v>39234</v>
      </c>
      <c r="B7393" t="s">
        <v>339</v>
      </c>
      <c r="C7393" t="s">
        <v>76</v>
      </c>
      <c r="D7393">
        <v>7022</v>
      </c>
      <c r="E7393" t="s">
        <v>380</v>
      </c>
    </row>
    <row r="7394" spans="1:5" x14ac:dyDescent="0.25">
      <c r="A7394" s="279">
        <v>39234</v>
      </c>
      <c r="B7394" t="s">
        <v>339</v>
      </c>
      <c r="C7394" t="s">
        <v>77</v>
      </c>
      <c r="D7394">
        <v>7282</v>
      </c>
      <c r="E7394" t="s">
        <v>378</v>
      </c>
    </row>
    <row r="7395" spans="1:5" x14ac:dyDescent="0.25">
      <c r="A7395" s="279">
        <v>39234</v>
      </c>
      <c r="B7395" t="s">
        <v>339</v>
      </c>
      <c r="C7395" t="s">
        <v>78</v>
      </c>
      <c r="D7395">
        <v>7002</v>
      </c>
      <c r="E7395" t="s">
        <v>380</v>
      </c>
    </row>
    <row r="7396" spans="1:5" x14ac:dyDescent="0.25">
      <c r="A7396" s="279">
        <v>39234</v>
      </c>
      <c r="B7396" t="s">
        <v>339</v>
      </c>
      <c r="C7396" t="s">
        <v>79</v>
      </c>
      <c r="D7396">
        <v>93744</v>
      </c>
      <c r="E7396" t="s">
        <v>379</v>
      </c>
    </row>
    <row r="7397" spans="1:5" x14ac:dyDescent="0.25">
      <c r="A7397" s="279">
        <v>39234</v>
      </c>
      <c r="B7397" t="s">
        <v>339</v>
      </c>
      <c r="C7397" t="s">
        <v>70</v>
      </c>
      <c r="D7397">
        <v>0</v>
      </c>
      <c r="E7397" t="s">
        <v>379</v>
      </c>
    </row>
    <row r="7398" spans="1:5" x14ac:dyDescent="0.25">
      <c r="A7398" s="279">
        <v>39234</v>
      </c>
      <c r="B7398" t="s">
        <v>339</v>
      </c>
      <c r="C7398" t="s">
        <v>63</v>
      </c>
      <c r="D7398">
        <v>17336</v>
      </c>
      <c r="E7398" t="s">
        <v>378</v>
      </c>
    </row>
    <row r="7399" spans="1:5" x14ac:dyDescent="0.25">
      <c r="A7399" s="279">
        <v>39234</v>
      </c>
      <c r="B7399" t="s">
        <v>339</v>
      </c>
      <c r="C7399" t="s">
        <v>80</v>
      </c>
      <c r="D7399">
        <v>798</v>
      </c>
      <c r="E7399" t="s">
        <v>379</v>
      </c>
    </row>
    <row r="7400" spans="1:5" x14ac:dyDescent="0.25">
      <c r="A7400" s="279">
        <v>39235</v>
      </c>
      <c r="B7400" t="s">
        <v>338</v>
      </c>
      <c r="C7400" t="s">
        <v>59</v>
      </c>
      <c r="D7400">
        <v>2575</v>
      </c>
      <c r="E7400" t="s">
        <v>378</v>
      </c>
    </row>
    <row r="7401" spans="1:5" x14ac:dyDescent="0.25">
      <c r="A7401" s="279">
        <v>39235</v>
      </c>
      <c r="B7401" t="s">
        <v>338</v>
      </c>
      <c r="C7401" t="s">
        <v>60</v>
      </c>
      <c r="D7401">
        <v>0</v>
      </c>
      <c r="E7401" t="s">
        <v>379</v>
      </c>
    </row>
    <row r="7402" spans="1:5" x14ac:dyDescent="0.25">
      <c r="A7402" s="279">
        <v>39235</v>
      </c>
      <c r="B7402" t="s">
        <v>338</v>
      </c>
      <c r="C7402" t="s">
        <v>61</v>
      </c>
      <c r="D7402">
        <v>7789</v>
      </c>
      <c r="E7402" t="s">
        <v>378</v>
      </c>
    </row>
    <row r="7403" spans="1:5" x14ac:dyDescent="0.25">
      <c r="A7403" s="279">
        <v>39235</v>
      </c>
      <c r="B7403" t="s">
        <v>338</v>
      </c>
      <c r="C7403" t="s">
        <v>62</v>
      </c>
      <c r="D7403">
        <v>0</v>
      </c>
      <c r="E7403" t="s">
        <v>380</v>
      </c>
    </row>
    <row r="7404" spans="1:5" x14ac:dyDescent="0.25">
      <c r="A7404" s="279">
        <v>39235</v>
      </c>
      <c r="B7404" t="s">
        <v>338</v>
      </c>
      <c r="C7404" t="s">
        <v>63</v>
      </c>
      <c r="D7404">
        <v>0</v>
      </c>
      <c r="E7404" t="s">
        <v>378</v>
      </c>
    </row>
    <row r="7405" spans="1:5" x14ac:dyDescent="0.25">
      <c r="A7405" s="279">
        <v>39235</v>
      </c>
      <c r="B7405" t="s">
        <v>338</v>
      </c>
      <c r="C7405" t="s">
        <v>64</v>
      </c>
      <c r="D7405">
        <v>0</v>
      </c>
      <c r="E7405" t="s">
        <v>380</v>
      </c>
    </row>
    <row r="7406" spans="1:5" x14ac:dyDescent="0.25">
      <c r="A7406" s="279">
        <v>39235</v>
      </c>
      <c r="B7406" t="s">
        <v>338</v>
      </c>
      <c r="C7406" t="s">
        <v>65</v>
      </c>
      <c r="D7406">
        <v>0</v>
      </c>
      <c r="E7406" t="s">
        <v>378</v>
      </c>
    </row>
    <row r="7407" spans="1:5" x14ac:dyDescent="0.25">
      <c r="A7407" s="279">
        <v>39235</v>
      </c>
      <c r="B7407" t="s">
        <v>338</v>
      </c>
      <c r="C7407" t="s">
        <v>66</v>
      </c>
      <c r="D7407">
        <v>0</v>
      </c>
      <c r="E7407" t="s">
        <v>380</v>
      </c>
    </row>
    <row r="7408" spans="1:5" x14ac:dyDescent="0.25">
      <c r="A7408" s="279">
        <v>39235</v>
      </c>
      <c r="B7408" t="s">
        <v>338</v>
      </c>
      <c r="C7408" t="s">
        <v>120</v>
      </c>
      <c r="D7408">
        <v>12244</v>
      </c>
      <c r="E7408" t="s">
        <v>378</v>
      </c>
    </row>
    <row r="7409" spans="1:5" x14ac:dyDescent="0.25">
      <c r="A7409" s="279">
        <v>39235</v>
      </c>
      <c r="B7409" t="s">
        <v>338</v>
      </c>
      <c r="C7409" t="s">
        <v>121</v>
      </c>
      <c r="D7409">
        <v>0</v>
      </c>
      <c r="E7409" t="s">
        <v>380</v>
      </c>
    </row>
    <row r="7410" spans="1:5" x14ac:dyDescent="0.25">
      <c r="A7410" s="279">
        <v>39235</v>
      </c>
      <c r="B7410" t="s">
        <v>338</v>
      </c>
      <c r="C7410" t="s">
        <v>67</v>
      </c>
      <c r="D7410">
        <v>0</v>
      </c>
      <c r="E7410" t="s">
        <v>378</v>
      </c>
    </row>
    <row r="7411" spans="1:5" x14ac:dyDescent="0.25">
      <c r="A7411" s="279">
        <v>39235</v>
      </c>
      <c r="B7411" t="s">
        <v>338</v>
      </c>
      <c r="C7411" t="s">
        <v>68</v>
      </c>
      <c r="D7411">
        <v>0</v>
      </c>
      <c r="E7411" t="s">
        <v>380</v>
      </c>
    </row>
    <row r="7412" spans="1:5" x14ac:dyDescent="0.25">
      <c r="A7412" s="279">
        <v>39235</v>
      </c>
      <c r="B7412" t="s">
        <v>338</v>
      </c>
      <c r="C7412" t="s">
        <v>69</v>
      </c>
      <c r="D7412">
        <v>0</v>
      </c>
      <c r="E7412" t="s">
        <v>379</v>
      </c>
    </row>
    <row r="7413" spans="1:5" x14ac:dyDescent="0.25">
      <c r="A7413" s="279">
        <v>39235</v>
      </c>
      <c r="B7413" t="s">
        <v>338</v>
      </c>
      <c r="C7413" t="s">
        <v>70</v>
      </c>
      <c r="D7413">
        <v>0</v>
      </c>
      <c r="E7413" t="s">
        <v>379</v>
      </c>
    </row>
    <row r="7414" spans="1:5" x14ac:dyDescent="0.25">
      <c r="A7414" s="279">
        <v>39235</v>
      </c>
      <c r="B7414" t="s">
        <v>338</v>
      </c>
      <c r="C7414" t="s">
        <v>80</v>
      </c>
      <c r="D7414">
        <v>187</v>
      </c>
      <c r="E7414" t="s">
        <v>379</v>
      </c>
    </row>
    <row r="7415" spans="1:5" x14ac:dyDescent="0.25">
      <c r="A7415" s="279">
        <v>39235</v>
      </c>
      <c r="B7415" t="s">
        <v>339</v>
      </c>
      <c r="C7415" t="s">
        <v>71</v>
      </c>
      <c r="D7415">
        <v>1914</v>
      </c>
      <c r="E7415" t="s">
        <v>378</v>
      </c>
    </row>
    <row r="7416" spans="1:5" x14ac:dyDescent="0.25">
      <c r="A7416" s="279">
        <v>39235</v>
      </c>
      <c r="B7416" t="s">
        <v>339</v>
      </c>
      <c r="C7416" t="s">
        <v>72</v>
      </c>
      <c r="D7416">
        <v>0</v>
      </c>
      <c r="E7416" t="s">
        <v>380</v>
      </c>
    </row>
    <row r="7417" spans="1:5" x14ac:dyDescent="0.25">
      <c r="A7417" s="279">
        <v>39235</v>
      </c>
      <c r="B7417" t="s">
        <v>339</v>
      </c>
      <c r="C7417" t="s">
        <v>73</v>
      </c>
      <c r="D7417">
        <v>17012</v>
      </c>
      <c r="E7417" t="s">
        <v>378</v>
      </c>
    </row>
    <row r="7418" spans="1:5" x14ac:dyDescent="0.25">
      <c r="A7418" s="279">
        <v>39235</v>
      </c>
      <c r="B7418" t="s">
        <v>339</v>
      </c>
      <c r="C7418" t="s">
        <v>74</v>
      </c>
      <c r="D7418">
        <v>0</v>
      </c>
      <c r="E7418" t="s">
        <v>380</v>
      </c>
    </row>
    <row r="7419" spans="1:5" x14ac:dyDescent="0.25">
      <c r="A7419" s="279">
        <v>39235</v>
      </c>
      <c r="B7419" t="s">
        <v>339</v>
      </c>
      <c r="C7419" t="s">
        <v>75</v>
      </c>
      <c r="D7419">
        <v>15272</v>
      </c>
      <c r="E7419" t="s">
        <v>378</v>
      </c>
    </row>
    <row r="7420" spans="1:5" x14ac:dyDescent="0.25">
      <c r="A7420" s="279">
        <v>39235</v>
      </c>
      <c r="B7420" t="s">
        <v>339</v>
      </c>
      <c r="C7420" t="s">
        <v>76</v>
      </c>
      <c r="D7420">
        <v>1256</v>
      </c>
      <c r="E7420" t="s">
        <v>380</v>
      </c>
    </row>
    <row r="7421" spans="1:5" x14ac:dyDescent="0.25">
      <c r="A7421" s="279">
        <v>39235</v>
      </c>
      <c r="B7421" t="s">
        <v>339</v>
      </c>
      <c r="C7421" t="s">
        <v>77</v>
      </c>
      <c r="D7421">
        <v>7282</v>
      </c>
      <c r="E7421" t="s">
        <v>378</v>
      </c>
    </row>
    <row r="7422" spans="1:5" x14ac:dyDescent="0.25">
      <c r="A7422" s="279">
        <v>39235</v>
      </c>
      <c r="B7422" t="s">
        <v>339</v>
      </c>
      <c r="C7422" t="s">
        <v>78</v>
      </c>
      <c r="D7422">
        <v>7002</v>
      </c>
      <c r="E7422" t="s">
        <v>380</v>
      </c>
    </row>
    <row r="7423" spans="1:5" x14ac:dyDescent="0.25">
      <c r="A7423" s="279">
        <v>39235</v>
      </c>
      <c r="B7423" t="s">
        <v>339</v>
      </c>
      <c r="C7423" t="s">
        <v>79</v>
      </c>
      <c r="D7423">
        <v>95675</v>
      </c>
      <c r="E7423" t="s">
        <v>379</v>
      </c>
    </row>
    <row r="7424" spans="1:5" x14ac:dyDescent="0.25">
      <c r="A7424" s="279">
        <v>39235</v>
      </c>
      <c r="B7424" t="s">
        <v>339</v>
      </c>
      <c r="C7424" t="s">
        <v>70</v>
      </c>
      <c r="D7424">
        <v>0</v>
      </c>
      <c r="E7424" t="s">
        <v>379</v>
      </c>
    </row>
    <row r="7425" spans="1:5" x14ac:dyDescent="0.25">
      <c r="A7425" s="279">
        <v>39235</v>
      </c>
      <c r="B7425" t="s">
        <v>339</v>
      </c>
      <c r="C7425" t="s">
        <v>63</v>
      </c>
      <c r="D7425">
        <v>17336</v>
      </c>
      <c r="E7425" t="s">
        <v>378</v>
      </c>
    </row>
    <row r="7426" spans="1:5" x14ac:dyDescent="0.25">
      <c r="A7426" s="279">
        <v>39235</v>
      </c>
      <c r="B7426" t="s">
        <v>339</v>
      </c>
      <c r="C7426" t="s">
        <v>80</v>
      </c>
      <c r="D7426">
        <v>798</v>
      </c>
      <c r="E7426" t="s">
        <v>379</v>
      </c>
    </row>
    <row r="7427" spans="1:5" x14ac:dyDescent="0.25">
      <c r="A7427" s="279">
        <v>39236</v>
      </c>
      <c r="B7427" t="s">
        <v>338</v>
      </c>
      <c r="C7427" t="s">
        <v>59</v>
      </c>
      <c r="D7427">
        <v>2578</v>
      </c>
      <c r="E7427" t="s">
        <v>378</v>
      </c>
    </row>
    <row r="7428" spans="1:5" x14ac:dyDescent="0.25">
      <c r="A7428" s="279">
        <v>39236</v>
      </c>
      <c r="B7428" t="s">
        <v>338</v>
      </c>
      <c r="C7428" t="s">
        <v>60</v>
      </c>
      <c r="D7428">
        <v>0</v>
      </c>
      <c r="E7428" t="s">
        <v>379</v>
      </c>
    </row>
    <row r="7429" spans="1:5" x14ac:dyDescent="0.25">
      <c r="A7429" s="279">
        <v>39236</v>
      </c>
      <c r="B7429" t="s">
        <v>338</v>
      </c>
      <c r="C7429" t="s">
        <v>61</v>
      </c>
      <c r="D7429">
        <v>7757</v>
      </c>
      <c r="E7429" t="s">
        <v>378</v>
      </c>
    </row>
    <row r="7430" spans="1:5" x14ac:dyDescent="0.25">
      <c r="A7430" s="279">
        <v>39236</v>
      </c>
      <c r="B7430" t="s">
        <v>338</v>
      </c>
      <c r="C7430" t="s">
        <v>62</v>
      </c>
      <c r="D7430">
        <v>0</v>
      </c>
      <c r="E7430" t="s">
        <v>380</v>
      </c>
    </row>
    <row r="7431" spans="1:5" x14ac:dyDescent="0.25">
      <c r="A7431" s="279">
        <v>39236</v>
      </c>
      <c r="B7431" t="s">
        <v>338</v>
      </c>
      <c r="C7431" t="s">
        <v>63</v>
      </c>
      <c r="D7431">
        <v>0</v>
      </c>
      <c r="E7431" t="s">
        <v>378</v>
      </c>
    </row>
    <row r="7432" spans="1:5" x14ac:dyDescent="0.25">
      <c r="A7432" s="279">
        <v>39236</v>
      </c>
      <c r="B7432" t="s">
        <v>338</v>
      </c>
      <c r="C7432" t="s">
        <v>64</v>
      </c>
      <c r="D7432">
        <v>0</v>
      </c>
      <c r="E7432" t="s">
        <v>380</v>
      </c>
    </row>
    <row r="7433" spans="1:5" x14ac:dyDescent="0.25">
      <c r="A7433" s="279">
        <v>39236</v>
      </c>
      <c r="B7433" t="s">
        <v>338</v>
      </c>
      <c r="C7433" t="s">
        <v>65</v>
      </c>
      <c r="D7433">
        <v>0</v>
      </c>
      <c r="E7433" t="s">
        <v>378</v>
      </c>
    </row>
    <row r="7434" spans="1:5" x14ac:dyDescent="0.25">
      <c r="A7434" s="279">
        <v>39236</v>
      </c>
      <c r="B7434" t="s">
        <v>338</v>
      </c>
      <c r="C7434" t="s">
        <v>66</v>
      </c>
      <c r="D7434">
        <v>0</v>
      </c>
      <c r="E7434" t="s">
        <v>380</v>
      </c>
    </row>
    <row r="7435" spans="1:5" x14ac:dyDescent="0.25">
      <c r="A7435" s="279">
        <v>39236</v>
      </c>
      <c r="B7435" t="s">
        <v>338</v>
      </c>
      <c r="C7435" t="s">
        <v>120</v>
      </c>
      <c r="D7435">
        <v>12256</v>
      </c>
      <c r="E7435" t="s">
        <v>378</v>
      </c>
    </row>
    <row r="7436" spans="1:5" x14ac:dyDescent="0.25">
      <c r="A7436" s="279">
        <v>39236</v>
      </c>
      <c r="B7436" t="s">
        <v>338</v>
      </c>
      <c r="C7436" t="s">
        <v>121</v>
      </c>
      <c r="D7436">
        <v>0</v>
      </c>
      <c r="E7436" t="s">
        <v>380</v>
      </c>
    </row>
    <row r="7437" spans="1:5" x14ac:dyDescent="0.25">
      <c r="A7437" s="279">
        <v>39236</v>
      </c>
      <c r="B7437" t="s">
        <v>338</v>
      </c>
      <c r="C7437" t="s">
        <v>67</v>
      </c>
      <c r="D7437">
        <v>0</v>
      </c>
      <c r="E7437" t="s">
        <v>378</v>
      </c>
    </row>
    <row r="7438" spans="1:5" x14ac:dyDescent="0.25">
      <c r="A7438" s="279">
        <v>39236</v>
      </c>
      <c r="B7438" t="s">
        <v>338</v>
      </c>
      <c r="C7438" t="s">
        <v>68</v>
      </c>
      <c r="D7438">
        <v>0</v>
      </c>
      <c r="E7438" t="s">
        <v>380</v>
      </c>
    </row>
    <row r="7439" spans="1:5" x14ac:dyDescent="0.25">
      <c r="A7439" s="279">
        <v>39236</v>
      </c>
      <c r="B7439" t="s">
        <v>338</v>
      </c>
      <c r="C7439" t="s">
        <v>69</v>
      </c>
      <c r="D7439">
        <v>0</v>
      </c>
      <c r="E7439" t="s">
        <v>379</v>
      </c>
    </row>
    <row r="7440" spans="1:5" x14ac:dyDescent="0.25">
      <c r="A7440" s="279">
        <v>39236</v>
      </c>
      <c r="B7440" t="s">
        <v>338</v>
      </c>
      <c r="C7440" t="s">
        <v>70</v>
      </c>
      <c r="D7440">
        <v>0</v>
      </c>
      <c r="E7440" t="s">
        <v>379</v>
      </c>
    </row>
    <row r="7441" spans="1:5" x14ac:dyDescent="0.25">
      <c r="A7441" s="279">
        <v>39236</v>
      </c>
      <c r="B7441" t="s">
        <v>338</v>
      </c>
      <c r="C7441" t="s">
        <v>80</v>
      </c>
      <c r="D7441">
        <v>186</v>
      </c>
      <c r="E7441" t="s">
        <v>379</v>
      </c>
    </row>
    <row r="7442" spans="1:5" x14ac:dyDescent="0.25">
      <c r="A7442" s="279">
        <v>39236</v>
      </c>
      <c r="B7442" t="s">
        <v>339</v>
      </c>
      <c r="C7442" t="s">
        <v>71</v>
      </c>
      <c r="D7442">
        <v>1914</v>
      </c>
      <c r="E7442" t="s">
        <v>378</v>
      </c>
    </row>
    <row r="7443" spans="1:5" x14ac:dyDescent="0.25">
      <c r="A7443" s="279">
        <v>39236</v>
      </c>
      <c r="B7443" t="s">
        <v>339</v>
      </c>
      <c r="C7443" t="s">
        <v>72</v>
      </c>
      <c r="D7443">
        <v>0</v>
      </c>
      <c r="E7443" t="s">
        <v>380</v>
      </c>
    </row>
    <row r="7444" spans="1:5" x14ac:dyDescent="0.25">
      <c r="A7444" s="279">
        <v>39236</v>
      </c>
      <c r="B7444" t="s">
        <v>339</v>
      </c>
      <c r="C7444" t="s">
        <v>73</v>
      </c>
      <c r="D7444">
        <v>17012</v>
      </c>
      <c r="E7444" t="s">
        <v>378</v>
      </c>
    </row>
    <row r="7445" spans="1:5" x14ac:dyDescent="0.25">
      <c r="A7445" s="279">
        <v>39236</v>
      </c>
      <c r="B7445" t="s">
        <v>339</v>
      </c>
      <c r="C7445" t="s">
        <v>74</v>
      </c>
      <c r="D7445">
        <v>0</v>
      </c>
      <c r="E7445" t="s">
        <v>380</v>
      </c>
    </row>
    <row r="7446" spans="1:5" x14ac:dyDescent="0.25">
      <c r="A7446" s="279">
        <v>39236</v>
      </c>
      <c r="B7446" t="s">
        <v>339</v>
      </c>
      <c r="C7446" t="s">
        <v>75</v>
      </c>
      <c r="D7446">
        <v>15272</v>
      </c>
      <c r="E7446" t="s">
        <v>378</v>
      </c>
    </row>
    <row r="7447" spans="1:5" x14ac:dyDescent="0.25">
      <c r="A7447" s="279">
        <v>39236</v>
      </c>
      <c r="B7447" t="s">
        <v>339</v>
      </c>
      <c r="C7447" t="s">
        <v>76</v>
      </c>
      <c r="D7447">
        <v>6817</v>
      </c>
      <c r="E7447" t="s">
        <v>380</v>
      </c>
    </row>
    <row r="7448" spans="1:5" x14ac:dyDescent="0.25">
      <c r="A7448" s="279">
        <v>39236</v>
      </c>
      <c r="B7448" t="s">
        <v>339</v>
      </c>
      <c r="C7448" t="s">
        <v>77</v>
      </c>
      <c r="D7448">
        <v>7282</v>
      </c>
      <c r="E7448" t="s">
        <v>378</v>
      </c>
    </row>
    <row r="7449" spans="1:5" x14ac:dyDescent="0.25">
      <c r="A7449" s="279">
        <v>39236</v>
      </c>
      <c r="B7449" t="s">
        <v>339</v>
      </c>
      <c r="C7449" t="s">
        <v>78</v>
      </c>
      <c r="D7449">
        <v>7002</v>
      </c>
      <c r="E7449" t="s">
        <v>380</v>
      </c>
    </row>
    <row r="7450" spans="1:5" x14ac:dyDescent="0.25">
      <c r="A7450" s="279">
        <v>39236</v>
      </c>
      <c r="B7450" t="s">
        <v>339</v>
      </c>
      <c r="C7450" t="s">
        <v>79</v>
      </c>
      <c r="D7450">
        <v>95675</v>
      </c>
      <c r="E7450" t="s">
        <v>379</v>
      </c>
    </row>
    <row r="7451" spans="1:5" x14ac:dyDescent="0.25">
      <c r="A7451" s="279">
        <v>39236</v>
      </c>
      <c r="B7451" t="s">
        <v>339</v>
      </c>
      <c r="C7451" t="s">
        <v>70</v>
      </c>
      <c r="D7451">
        <v>0</v>
      </c>
      <c r="E7451" t="s">
        <v>379</v>
      </c>
    </row>
    <row r="7452" spans="1:5" x14ac:dyDescent="0.25">
      <c r="A7452" s="279">
        <v>39236</v>
      </c>
      <c r="B7452" t="s">
        <v>339</v>
      </c>
      <c r="C7452" t="s">
        <v>63</v>
      </c>
      <c r="D7452">
        <v>17336</v>
      </c>
      <c r="E7452" t="s">
        <v>378</v>
      </c>
    </row>
    <row r="7453" spans="1:5" x14ac:dyDescent="0.25">
      <c r="A7453" s="279">
        <v>39236</v>
      </c>
      <c r="B7453" t="s">
        <v>339</v>
      </c>
      <c r="C7453" t="s">
        <v>80</v>
      </c>
      <c r="D7453">
        <v>798</v>
      </c>
      <c r="E7453" t="s">
        <v>379</v>
      </c>
    </row>
    <row r="7454" spans="1:5" x14ac:dyDescent="0.25">
      <c r="A7454" s="279">
        <v>39237</v>
      </c>
      <c r="B7454" t="s">
        <v>338</v>
      </c>
      <c r="C7454" t="s">
        <v>59</v>
      </c>
      <c r="D7454">
        <v>2580</v>
      </c>
      <c r="E7454" t="s">
        <v>378</v>
      </c>
    </row>
    <row r="7455" spans="1:5" x14ac:dyDescent="0.25">
      <c r="A7455" s="279">
        <v>39237</v>
      </c>
      <c r="B7455" t="s">
        <v>338</v>
      </c>
      <c r="C7455" t="s">
        <v>60</v>
      </c>
      <c r="D7455">
        <v>0</v>
      </c>
      <c r="E7455" t="s">
        <v>379</v>
      </c>
    </row>
    <row r="7456" spans="1:5" x14ac:dyDescent="0.25">
      <c r="A7456" s="279">
        <v>39237</v>
      </c>
      <c r="B7456" t="s">
        <v>338</v>
      </c>
      <c r="C7456" t="s">
        <v>61</v>
      </c>
      <c r="D7456">
        <v>7716</v>
      </c>
      <c r="E7456" t="s">
        <v>378</v>
      </c>
    </row>
    <row r="7457" spans="1:5" x14ac:dyDescent="0.25">
      <c r="A7457" s="279">
        <v>39237</v>
      </c>
      <c r="B7457" t="s">
        <v>338</v>
      </c>
      <c r="C7457" t="s">
        <v>62</v>
      </c>
      <c r="D7457">
        <v>0</v>
      </c>
      <c r="E7457" t="s">
        <v>380</v>
      </c>
    </row>
    <row r="7458" spans="1:5" x14ac:dyDescent="0.25">
      <c r="A7458" s="279">
        <v>39237</v>
      </c>
      <c r="B7458" t="s">
        <v>338</v>
      </c>
      <c r="C7458" t="s">
        <v>63</v>
      </c>
      <c r="D7458">
        <v>0</v>
      </c>
      <c r="E7458" t="s">
        <v>378</v>
      </c>
    </row>
    <row r="7459" spans="1:5" x14ac:dyDescent="0.25">
      <c r="A7459" s="279">
        <v>39237</v>
      </c>
      <c r="B7459" t="s">
        <v>338</v>
      </c>
      <c r="C7459" t="s">
        <v>64</v>
      </c>
      <c r="D7459">
        <v>0</v>
      </c>
      <c r="E7459" t="s">
        <v>380</v>
      </c>
    </row>
    <row r="7460" spans="1:5" x14ac:dyDescent="0.25">
      <c r="A7460" s="279">
        <v>39237</v>
      </c>
      <c r="B7460" t="s">
        <v>338</v>
      </c>
      <c r="C7460" t="s">
        <v>65</v>
      </c>
      <c r="D7460">
        <v>0</v>
      </c>
      <c r="E7460" t="s">
        <v>378</v>
      </c>
    </row>
    <row r="7461" spans="1:5" x14ac:dyDescent="0.25">
      <c r="A7461" s="279">
        <v>39237</v>
      </c>
      <c r="B7461" t="s">
        <v>338</v>
      </c>
      <c r="C7461" t="s">
        <v>66</v>
      </c>
      <c r="D7461">
        <v>0</v>
      </c>
      <c r="E7461" t="s">
        <v>380</v>
      </c>
    </row>
    <row r="7462" spans="1:5" x14ac:dyDescent="0.25">
      <c r="A7462" s="279">
        <v>39237</v>
      </c>
      <c r="B7462" t="s">
        <v>338</v>
      </c>
      <c r="C7462" t="s">
        <v>120</v>
      </c>
      <c r="D7462">
        <v>12268</v>
      </c>
      <c r="E7462" t="s">
        <v>378</v>
      </c>
    </row>
    <row r="7463" spans="1:5" x14ac:dyDescent="0.25">
      <c r="A7463" s="279">
        <v>39237</v>
      </c>
      <c r="B7463" t="s">
        <v>338</v>
      </c>
      <c r="C7463" t="s">
        <v>121</v>
      </c>
      <c r="D7463">
        <v>0</v>
      </c>
      <c r="E7463" t="s">
        <v>380</v>
      </c>
    </row>
    <row r="7464" spans="1:5" x14ac:dyDescent="0.25">
      <c r="A7464" s="279">
        <v>39237</v>
      </c>
      <c r="B7464" t="s">
        <v>338</v>
      </c>
      <c r="C7464" t="s">
        <v>67</v>
      </c>
      <c r="D7464">
        <v>0</v>
      </c>
      <c r="E7464" t="s">
        <v>378</v>
      </c>
    </row>
    <row r="7465" spans="1:5" x14ac:dyDescent="0.25">
      <c r="A7465" s="279">
        <v>39237</v>
      </c>
      <c r="B7465" t="s">
        <v>338</v>
      </c>
      <c r="C7465" t="s">
        <v>68</v>
      </c>
      <c r="D7465">
        <v>0</v>
      </c>
      <c r="E7465" t="s">
        <v>380</v>
      </c>
    </row>
    <row r="7466" spans="1:5" x14ac:dyDescent="0.25">
      <c r="A7466" s="279">
        <v>39237</v>
      </c>
      <c r="B7466" t="s">
        <v>338</v>
      </c>
      <c r="C7466" t="s">
        <v>69</v>
      </c>
      <c r="D7466">
        <v>0</v>
      </c>
      <c r="E7466" t="s">
        <v>379</v>
      </c>
    </row>
    <row r="7467" spans="1:5" x14ac:dyDescent="0.25">
      <c r="A7467" s="279">
        <v>39237</v>
      </c>
      <c r="B7467" t="s">
        <v>338</v>
      </c>
      <c r="C7467" t="s">
        <v>70</v>
      </c>
      <c r="D7467">
        <v>0</v>
      </c>
      <c r="E7467" t="s">
        <v>379</v>
      </c>
    </row>
    <row r="7468" spans="1:5" x14ac:dyDescent="0.25">
      <c r="A7468" s="279">
        <v>39237</v>
      </c>
      <c r="B7468" t="s">
        <v>338</v>
      </c>
      <c r="C7468" t="s">
        <v>80</v>
      </c>
      <c r="D7468">
        <v>186</v>
      </c>
      <c r="E7468" t="s">
        <v>379</v>
      </c>
    </row>
    <row r="7469" spans="1:5" x14ac:dyDescent="0.25">
      <c r="A7469" s="279">
        <v>39237</v>
      </c>
      <c r="B7469" t="s">
        <v>339</v>
      </c>
      <c r="C7469" t="s">
        <v>71</v>
      </c>
      <c r="D7469">
        <v>1912</v>
      </c>
      <c r="E7469" t="s">
        <v>378</v>
      </c>
    </row>
    <row r="7470" spans="1:5" x14ac:dyDescent="0.25">
      <c r="A7470" s="279">
        <v>39237</v>
      </c>
      <c r="B7470" t="s">
        <v>339</v>
      </c>
      <c r="C7470" t="s">
        <v>72</v>
      </c>
      <c r="D7470">
        <v>0</v>
      </c>
      <c r="E7470" t="s">
        <v>380</v>
      </c>
    </row>
    <row r="7471" spans="1:5" x14ac:dyDescent="0.25">
      <c r="A7471" s="279">
        <v>39237</v>
      </c>
      <c r="B7471" t="s">
        <v>339</v>
      </c>
      <c r="C7471" t="s">
        <v>73</v>
      </c>
      <c r="D7471">
        <v>16996</v>
      </c>
      <c r="E7471" t="s">
        <v>378</v>
      </c>
    </row>
    <row r="7472" spans="1:5" x14ac:dyDescent="0.25">
      <c r="A7472" s="279">
        <v>39237</v>
      </c>
      <c r="B7472" t="s">
        <v>339</v>
      </c>
      <c r="C7472" t="s">
        <v>74</v>
      </c>
      <c r="D7472">
        <v>0</v>
      </c>
      <c r="E7472" t="s">
        <v>380</v>
      </c>
    </row>
    <row r="7473" spans="1:5" x14ac:dyDescent="0.25">
      <c r="A7473" s="279">
        <v>39237</v>
      </c>
      <c r="B7473" t="s">
        <v>339</v>
      </c>
      <c r="C7473" t="s">
        <v>75</v>
      </c>
      <c r="D7473">
        <v>15257</v>
      </c>
      <c r="E7473" t="s">
        <v>378</v>
      </c>
    </row>
    <row r="7474" spans="1:5" x14ac:dyDescent="0.25">
      <c r="A7474" s="279">
        <v>39237</v>
      </c>
      <c r="B7474" t="s">
        <v>339</v>
      </c>
      <c r="C7474" t="s">
        <v>76</v>
      </c>
      <c r="D7474">
        <v>6798</v>
      </c>
      <c r="E7474" t="s">
        <v>380</v>
      </c>
    </row>
    <row r="7475" spans="1:5" x14ac:dyDescent="0.25">
      <c r="A7475" s="279">
        <v>39237</v>
      </c>
      <c r="B7475" t="s">
        <v>339</v>
      </c>
      <c r="C7475" t="s">
        <v>77</v>
      </c>
      <c r="D7475">
        <v>7275</v>
      </c>
      <c r="E7475" t="s">
        <v>378</v>
      </c>
    </row>
    <row r="7476" spans="1:5" x14ac:dyDescent="0.25">
      <c r="A7476" s="279">
        <v>39237</v>
      </c>
      <c r="B7476" t="s">
        <v>339</v>
      </c>
      <c r="C7476" t="s">
        <v>78</v>
      </c>
      <c r="D7476">
        <v>6995</v>
      </c>
      <c r="E7476" t="s">
        <v>380</v>
      </c>
    </row>
    <row r="7477" spans="1:5" x14ac:dyDescent="0.25">
      <c r="A7477" s="279">
        <v>39237</v>
      </c>
      <c r="B7477" t="s">
        <v>339</v>
      </c>
      <c r="C7477" t="s">
        <v>79</v>
      </c>
      <c r="D7477">
        <v>95582</v>
      </c>
      <c r="E7477" t="s">
        <v>379</v>
      </c>
    </row>
    <row r="7478" spans="1:5" x14ac:dyDescent="0.25">
      <c r="A7478" s="279">
        <v>39237</v>
      </c>
      <c r="B7478" t="s">
        <v>339</v>
      </c>
      <c r="C7478" t="s">
        <v>70</v>
      </c>
      <c r="D7478">
        <v>0</v>
      </c>
      <c r="E7478" t="s">
        <v>379</v>
      </c>
    </row>
    <row r="7479" spans="1:5" x14ac:dyDescent="0.25">
      <c r="A7479" s="279">
        <v>39237</v>
      </c>
      <c r="B7479" t="s">
        <v>339</v>
      </c>
      <c r="C7479" t="s">
        <v>63</v>
      </c>
      <c r="D7479">
        <v>17319</v>
      </c>
      <c r="E7479" t="s">
        <v>378</v>
      </c>
    </row>
    <row r="7480" spans="1:5" x14ac:dyDescent="0.25">
      <c r="A7480" s="279">
        <v>39237</v>
      </c>
      <c r="B7480" t="s">
        <v>339</v>
      </c>
      <c r="C7480" t="s">
        <v>80</v>
      </c>
      <c r="D7480">
        <v>797</v>
      </c>
      <c r="E7480" t="s">
        <v>379</v>
      </c>
    </row>
    <row r="7481" spans="1:5" x14ac:dyDescent="0.25">
      <c r="A7481" s="279">
        <v>39238</v>
      </c>
      <c r="B7481" t="s">
        <v>338</v>
      </c>
      <c r="C7481" t="s">
        <v>59</v>
      </c>
      <c r="D7481">
        <v>2580</v>
      </c>
      <c r="E7481" t="s">
        <v>378</v>
      </c>
    </row>
    <row r="7482" spans="1:5" x14ac:dyDescent="0.25">
      <c r="A7482" s="279">
        <v>39238</v>
      </c>
      <c r="B7482" t="s">
        <v>338</v>
      </c>
      <c r="C7482" t="s">
        <v>60</v>
      </c>
      <c r="D7482">
        <v>0</v>
      </c>
      <c r="E7482" t="s">
        <v>379</v>
      </c>
    </row>
    <row r="7483" spans="1:5" x14ac:dyDescent="0.25">
      <c r="A7483" s="279">
        <v>39238</v>
      </c>
      <c r="B7483" t="s">
        <v>338</v>
      </c>
      <c r="C7483" t="s">
        <v>61</v>
      </c>
      <c r="D7483">
        <v>7735</v>
      </c>
      <c r="E7483" t="s">
        <v>378</v>
      </c>
    </row>
    <row r="7484" spans="1:5" x14ac:dyDescent="0.25">
      <c r="A7484" s="279">
        <v>39238</v>
      </c>
      <c r="B7484" t="s">
        <v>338</v>
      </c>
      <c r="C7484" t="s">
        <v>62</v>
      </c>
      <c r="D7484">
        <v>0</v>
      </c>
      <c r="E7484" t="s">
        <v>380</v>
      </c>
    </row>
    <row r="7485" spans="1:5" x14ac:dyDescent="0.25">
      <c r="A7485" s="279">
        <v>39238</v>
      </c>
      <c r="B7485" t="s">
        <v>338</v>
      </c>
      <c r="C7485" t="s">
        <v>63</v>
      </c>
      <c r="D7485">
        <v>0</v>
      </c>
      <c r="E7485" t="s">
        <v>378</v>
      </c>
    </row>
    <row r="7486" spans="1:5" x14ac:dyDescent="0.25">
      <c r="A7486" s="279">
        <v>39238</v>
      </c>
      <c r="B7486" t="s">
        <v>338</v>
      </c>
      <c r="C7486" t="s">
        <v>64</v>
      </c>
      <c r="D7486">
        <v>0</v>
      </c>
      <c r="E7486" t="s">
        <v>380</v>
      </c>
    </row>
    <row r="7487" spans="1:5" x14ac:dyDescent="0.25">
      <c r="A7487" s="279">
        <v>39238</v>
      </c>
      <c r="B7487" t="s">
        <v>338</v>
      </c>
      <c r="C7487" t="s">
        <v>65</v>
      </c>
      <c r="D7487">
        <v>0</v>
      </c>
      <c r="E7487" t="s">
        <v>378</v>
      </c>
    </row>
    <row r="7488" spans="1:5" x14ac:dyDescent="0.25">
      <c r="A7488" s="279">
        <v>39238</v>
      </c>
      <c r="B7488" t="s">
        <v>338</v>
      </c>
      <c r="C7488" t="s">
        <v>66</v>
      </c>
      <c r="D7488">
        <v>0</v>
      </c>
      <c r="E7488" t="s">
        <v>380</v>
      </c>
    </row>
    <row r="7489" spans="1:5" x14ac:dyDescent="0.25">
      <c r="A7489" s="279">
        <v>39238</v>
      </c>
      <c r="B7489" t="s">
        <v>338</v>
      </c>
      <c r="C7489" t="s">
        <v>120</v>
      </c>
      <c r="D7489">
        <v>12268</v>
      </c>
      <c r="E7489" t="s">
        <v>378</v>
      </c>
    </row>
    <row r="7490" spans="1:5" x14ac:dyDescent="0.25">
      <c r="A7490" s="279">
        <v>39238</v>
      </c>
      <c r="B7490" t="s">
        <v>338</v>
      </c>
      <c r="C7490" t="s">
        <v>121</v>
      </c>
      <c r="D7490">
        <v>0</v>
      </c>
      <c r="E7490" t="s">
        <v>380</v>
      </c>
    </row>
    <row r="7491" spans="1:5" x14ac:dyDescent="0.25">
      <c r="A7491" s="279">
        <v>39238</v>
      </c>
      <c r="B7491" t="s">
        <v>338</v>
      </c>
      <c r="C7491" t="s">
        <v>67</v>
      </c>
      <c r="D7491">
        <v>0</v>
      </c>
      <c r="E7491" t="s">
        <v>378</v>
      </c>
    </row>
    <row r="7492" spans="1:5" x14ac:dyDescent="0.25">
      <c r="A7492" s="279">
        <v>39238</v>
      </c>
      <c r="B7492" t="s">
        <v>338</v>
      </c>
      <c r="C7492" t="s">
        <v>68</v>
      </c>
      <c r="D7492">
        <v>0</v>
      </c>
      <c r="E7492" t="s">
        <v>380</v>
      </c>
    </row>
    <row r="7493" spans="1:5" x14ac:dyDescent="0.25">
      <c r="A7493" s="279">
        <v>39238</v>
      </c>
      <c r="B7493" t="s">
        <v>338</v>
      </c>
      <c r="C7493" t="s">
        <v>69</v>
      </c>
      <c r="D7493">
        <v>0</v>
      </c>
      <c r="E7493" t="s">
        <v>379</v>
      </c>
    </row>
    <row r="7494" spans="1:5" x14ac:dyDescent="0.25">
      <c r="A7494" s="279">
        <v>39238</v>
      </c>
      <c r="B7494" t="s">
        <v>338</v>
      </c>
      <c r="C7494" t="s">
        <v>70</v>
      </c>
      <c r="D7494">
        <v>0</v>
      </c>
      <c r="E7494" t="s">
        <v>379</v>
      </c>
    </row>
    <row r="7495" spans="1:5" x14ac:dyDescent="0.25">
      <c r="A7495" s="279">
        <v>39238</v>
      </c>
      <c r="B7495" t="s">
        <v>338</v>
      </c>
      <c r="C7495" t="s">
        <v>80</v>
      </c>
      <c r="D7495">
        <v>186</v>
      </c>
      <c r="E7495" t="s">
        <v>379</v>
      </c>
    </row>
    <row r="7496" spans="1:5" x14ac:dyDescent="0.25">
      <c r="A7496" s="279">
        <v>39238</v>
      </c>
      <c r="B7496" t="s">
        <v>339</v>
      </c>
      <c r="C7496" t="s">
        <v>71</v>
      </c>
      <c r="D7496">
        <v>1910</v>
      </c>
      <c r="E7496" t="s">
        <v>378</v>
      </c>
    </row>
    <row r="7497" spans="1:5" x14ac:dyDescent="0.25">
      <c r="A7497" s="279">
        <v>39238</v>
      </c>
      <c r="B7497" t="s">
        <v>339</v>
      </c>
      <c r="C7497" t="s">
        <v>72</v>
      </c>
      <c r="D7497">
        <v>0</v>
      </c>
      <c r="E7497" t="s">
        <v>380</v>
      </c>
    </row>
    <row r="7498" spans="1:5" x14ac:dyDescent="0.25">
      <c r="A7498" s="279">
        <v>39238</v>
      </c>
      <c r="B7498" t="s">
        <v>339</v>
      </c>
      <c r="C7498" t="s">
        <v>73</v>
      </c>
      <c r="D7498">
        <v>16979</v>
      </c>
      <c r="E7498" t="s">
        <v>378</v>
      </c>
    </row>
    <row r="7499" spans="1:5" x14ac:dyDescent="0.25">
      <c r="A7499" s="279">
        <v>39238</v>
      </c>
      <c r="B7499" t="s">
        <v>339</v>
      </c>
      <c r="C7499" t="s">
        <v>74</v>
      </c>
      <c r="D7499">
        <v>0</v>
      </c>
      <c r="E7499" t="s">
        <v>380</v>
      </c>
    </row>
    <row r="7500" spans="1:5" x14ac:dyDescent="0.25">
      <c r="A7500" s="279">
        <v>39238</v>
      </c>
      <c r="B7500" t="s">
        <v>339</v>
      </c>
      <c r="C7500" t="s">
        <v>75</v>
      </c>
      <c r="D7500">
        <v>15242</v>
      </c>
      <c r="E7500" t="s">
        <v>378</v>
      </c>
    </row>
    <row r="7501" spans="1:5" x14ac:dyDescent="0.25">
      <c r="A7501" s="279">
        <v>39238</v>
      </c>
      <c r="B7501" t="s">
        <v>339</v>
      </c>
      <c r="C7501" t="s">
        <v>76</v>
      </c>
      <c r="D7501">
        <v>10391</v>
      </c>
      <c r="E7501" t="s">
        <v>380</v>
      </c>
    </row>
    <row r="7502" spans="1:5" x14ac:dyDescent="0.25">
      <c r="A7502" s="279">
        <v>39238</v>
      </c>
      <c r="B7502" t="s">
        <v>339</v>
      </c>
      <c r="C7502" t="s">
        <v>77</v>
      </c>
      <c r="D7502">
        <v>7268</v>
      </c>
      <c r="E7502" t="s">
        <v>378</v>
      </c>
    </row>
    <row r="7503" spans="1:5" x14ac:dyDescent="0.25">
      <c r="A7503" s="279">
        <v>39238</v>
      </c>
      <c r="B7503" t="s">
        <v>339</v>
      </c>
      <c r="C7503" t="s">
        <v>78</v>
      </c>
      <c r="D7503">
        <v>6988</v>
      </c>
      <c r="E7503" t="s">
        <v>380</v>
      </c>
    </row>
    <row r="7504" spans="1:5" x14ac:dyDescent="0.25">
      <c r="A7504" s="279">
        <v>39238</v>
      </c>
      <c r="B7504" t="s">
        <v>339</v>
      </c>
      <c r="C7504" t="s">
        <v>79</v>
      </c>
      <c r="D7504">
        <v>95490</v>
      </c>
      <c r="E7504" t="s">
        <v>379</v>
      </c>
    </row>
    <row r="7505" spans="1:5" x14ac:dyDescent="0.25">
      <c r="A7505" s="279">
        <v>39238</v>
      </c>
      <c r="B7505" t="s">
        <v>339</v>
      </c>
      <c r="C7505" t="s">
        <v>70</v>
      </c>
      <c r="D7505">
        <v>0</v>
      </c>
      <c r="E7505" t="s">
        <v>379</v>
      </c>
    </row>
    <row r="7506" spans="1:5" x14ac:dyDescent="0.25">
      <c r="A7506" s="279">
        <v>39238</v>
      </c>
      <c r="B7506" t="s">
        <v>339</v>
      </c>
      <c r="C7506" t="s">
        <v>63</v>
      </c>
      <c r="D7506">
        <v>17303</v>
      </c>
      <c r="E7506" t="s">
        <v>378</v>
      </c>
    </row>
    <row r="7507" spans="1:5" x14ac:dyDescent="0.25">
      <c r="A7507" s="279">
        <v>39238</v>
      </c>
      <c r="B7507" t="s">
        <v>339</v>
      </c>
      <c r="C7507" t="s">
        <v>80</v>
      </c>
      <c r="D7507">
        <v>796</v>
      </c>
      <c r="E7507" t="s">
        <v>379</v>
      </c>
    </row>
    <row r="7508" spans="1:5" x14ac:dyDescent="0.25">
      <c r="A7508" s="279">
        <v>39239</v>
      </c>
      <c r="B7508" t="s">
        <v>338</v>
      </c>
      <c r="C7508" t="s">
        <v>59</v>
      </c>
      <c r="D7508">
        <v>2575</v>
      </c>
      <c r="E7508" t="s">
        <v>378</v>
      </c>
    </row>
    <row r="7509" spans="1:5" x14ac:dyDescent="0.25">
      <c r="A7509" s="279">
        <v>39239</v>
      </c>
      <c r="B7509" t="s">
        <v>338</v>
      </c>
      <c r="C7509" t="s">
        <v>60</v>
      </c>
      <c r="D7509">
        <v>0</v>
      </c>
      <c r="E7509" t="s">
        <v>379</v>
      </c>
    </row>
    <row r="7510" spans="1:5" x14ac:dyDescent="0.25">
      <c r="A7510" s="279">
        <v>39239</v>
      </c>
      <c r="B7510" t="s">
        <v>338</v>
      </c>
      <c r="C7510" t="s">
        <v>61</v>
      </c>
      <c r="D7510">
        <v>7700</v>
      </c>
      <c r="E7510" t="s">
        <v>378</v>
      </c>
    </row>
    <row r="7511" spans="1:5" x14ac:dyDescent="0.25">
      <c r="A7511" s="279">
        <v>39239</v>
      </c>
      <c r="B7511" t="s">
        <v>338</v>
      </c>
      <c r="C7511" t="s">
        <v>62</v>
      </c>
      <c r="D7511">
        <v>0</v>
      </c>
      <c r="E7511" t="s">
        <v>380</v>
      </c>
    </row>
    <row r="7512" spans="1:5" x14ac:dyDescent="0.25">
      <c r="A7512" s="279">
        <v>39239</v>
      </c>
      <c r="B7512" t="s">
        <v>338</v>
      </c>
      <c r="C7512" t="s">
        <v>63</v>
      </c>
      <c r="D7512">
        <v>0</v>
      </c>
      <c r="E7512" t="s">
        <v>378</v>
      </c>
    </row>
    <row r="7513" spans="1:5" x14ac:dyDescent="0.25">
      <c r="A7513" s="279">
        <v>39239</v>
      </c>
      <c r="B7513" t="s">
        <v>338</v>
      </c>
      <c r="C7513" t="s">
        <v>64</v>
      </c>
      <c r="D7513">
        <v>0</v>
      </c>
      <c r="E7513" t="s">
        <v>380</v>
      </c>
    </row>
    <row r="7514" spans="1:5" x14ac:dyDescent="0.25">
      <c r="A7514" s="279">
        <v>39239</v>
      </c>
      <c r="B7514" t="s">
        <v>338</v>
      </c>
      <c r="C7514" t="s">
        <v>65</v>
      </c>
      <c r="D7514">
        <v>0</v>
      </c>
      <c r="E7514" t="s">
        <v>378</v>
      </c>
    </row>
    <row r="7515" spans="1:5" x14ac:dyDescent="0.25">
      <c r="A7515" s="279">
        <v>39239</v>
      </c>
      <c r="B7515" t="s">
        <v>338</v>
      </c>
      <c r="C7515" t="s">
        <v>66</v>
      </c>
      <c r="D7515">
        <v>0</v>
      </c>
      <c r="E7515" t="s">
        <v>380</v>
      </c>
    </row>
    <row r="7516" spans="1:5" x14ac:dyDescent="0.25">
      <c r="A7516" s="279">
        <v>39239</v>
      </c>
      <c r="B7516" t="s">
        <v>338</v>
      </c>
      <c r="C7516" t="s">
        <v>120</v>
      </c>
      <c r="D7516">
        <v>12244</v>
      </c>
      <c r="E7516" t="s">
        <v>378</v>
      </c>
    </row>
    <row r="7517" spans="1:5" x14ac:dyDescent="0.25">
      <c r="A7517" s="279">
        <v>39239</v>
      </c>
      <c r="B7517" t="s">
        <v>338</v>
      </c>
      <c r="C7517" t="s">
        <v>121</v>
      </c>
      <c r="D7517">
        <v>0</v>
      </c>
      <c r="E7517" t="s">
        <v>380</v>
      </c>
    </row>
    <row r="7518" spans="1:5" x14ac:dyDescent="0.25">
      <c r="A7518" s="279">
        <v>39239</v>
      </c>
      <c r="B7518" t="s">
        <v>338</v>
      </c>
      <c r="C7518" t="s">
        <v>67</v>
      </c>
      <c r="D7518">
        <v>0</v>
      </c>
      <c r="E7518" t="s">
        <v>378</v>
      </c>
    </row>
    <row r="7519" spans="1:5" x14ac:dyDescent="0.25">
      <c r="A7519" s="279">
        <v>39239</v>
      </c>
      <c r="B7519" t="s">
        <v>338</v>
      </c>
      <c r="C7519" t="s">
        <v>68</v>
      </c>
      <c r="D7519">
        <v>0</v>
      </c>
      <c r="E7519" t="s">
        <v>380</v>
      </c>
    </row>
    <row r="7520" spans="1:5" x14ac:dyDescent="0.25">
      <c r="A7520" s="279">
        <v>39239</v>
      </c>
      <c r="B7520" t="s">
        <v>338</v>
      </c>
      <c r="C7520" t="s">
        <v>69</v>
      </c>
      <c r="D7520">
        <v>0</v>
      </c>
      <c r="E7520" t="s">
        <v>379</v>
      </c>
    </row>
    <row r="7521" spans="1:5" x14ac:dyDescent="0.25">
      <c r="A7521" s="279">
        <v>39239</v>
      </c>
      <c r="B7521" t="s">
        <v>338</v>
      </c>
      <c r="C7521" t="s">
        <v>70</v>
      </c>
      <c r="D7521">
        <v>0</v>
      </c>
      <c r="E7521" t="s">
        <v>379</v>
      </c>
    </row>
    <row r="7522" spans="1:5" x14ac:dyDescent="0.25">
      <c r="A7522" s="279">
        <v>39239</v>
      </c>
      <c r="B7522" t="s">
        <v>338</v>
      </c>
      <c r="C7522" t="s">
        <v>80</v>
      </c>
      <c r="D7522">
        <v>186</v>
      </c>
      <c r="E7522" t="s">
        <v>379</v>
      </c>
    </row>
    <row r="7523" spans="1:5" x14ac:dyDescent="0.25">
      <c r="A7523" s="279">
        <v>39239</v>
      </c>
      <c r="B7523" t="s">
        <v>339</v>
      </c>
      <c r="C7523" t="s">
        <v>71</v>
      </c>
      <c r="D7523">
        <v>1908</v>
      </c>
      <c r="E7523" t="s">
        <v>378</v>
      </c>
    </row>
    <row r="7524" spans="1:5" x14ac:dyDescent="0.25">
      <c r="A7524" s="279">
        <v>39239</v>
      </c>
      <c r="B7524" t="s">
        <v>339</v>
      </c>
      <c r="C7524" t="s">
        <v>72</v>
      </c>
      <c r="D7524">
        <v>0</v>
      </c>
      <c r="E7524" t="s">
        <v>380</v>
      </c>
    </row>
    <row r="7525" spans="1:5" x14ac:dyDescent="0.25">
      <c r="A7525" s="279">
        <v>39239</v>
      </c>
      <c r="B7525" t="s">
        <v>339</v>
      </c>
      <c r="C7525" t="s">
        <v>73</v>
      </c>
      <c r="D7525">
        <v>16963</v>
      </c>
      <c r="E7525" t="s">
        <v>378</v>
      </c>
    </row>
    <row r="7526" spans="1:5" x14ac:dyDescent="0.25">
      <c r="A7526" s="279">
        <v>39239</v>
      </c>
      <c r="B7526" t="s">
        <v>339</v>
      </c>
      <c r="C7526" t="s">
        <v>74</v>
      </c>
      <c r="D7526">
        <v>0</v>
      </c>
      <c r="E7526" t="s">
        <v>380</v>
      </c>
    </row>
    <row r="7527" spans="1:5" x14ac:dyDescent="0.25">
      <c r="A7527" s="279">
        <v>39239</v>
      </c>
      <c r="B7527" t="s">
        <v>339</v>
      </c>
      <c r="C7527" t="s">
        <v>75</v>
      </c>
      <c r="D7527">
        <v>15228</v>
      </c>
      <c r="E7527" t="s">
        <v>378</v>
      </c>
    </row>
    <row r="7528" spans="1:5" x14ac:dyDescent="0.25">
      <c r="A7528" s="279">
        <v>39239</v>
      </c>
      <c r="B7528" t="s">
        <v>339</v>
      </c>
      <c r="C7528" t="s">
        <v>76</v>
      </c>
      <c r="D7528">
        <v>9679</v>
      </c>
      <c r="E7528" t="s">
        <v>380</v>
      </c>
    </row>
    <row r="7529" spans="1:5" x14ac:dyDescent="0.25">
      <c r="A7529" s="279">
        <v>39239</v>
      </c>
      <c r="B7529" t="s">
        <v>339</v>
      </c>
      <c r="C7529" t="s">
        <v>77</v>
      </c>
      <c r="D7529">
        <v>7261</v>
      </c>
      <c r="E7529" t="s">
        <v>378</v>
      </c>
    </row>
    <row r="7530" spans="1:5" x14ac:dyDescent="0.25">
      <c r="A7530" s="279">
        <v>39239</v>
      </c>
      <c r="B7530" t="s">
        <v>339</v>
      </c>
      <c r="C7530" t="s">
        <v>78</v>
      </c>
      <c r="D7530">
        <v>6982</v>
      </c>
      <c r="E7530" t="s">
        <v>380</v>
      </c>
    </row>
    <row r="7531" spans="1:5" x14ac:dyDescent="0.25">
      <c r="A7531" s="279">
        <v>39239</v>
      </c>
      <c r="B7531" t="s">
        <v>339</v>
      </c>
      <c r="C7531" t="s">
        <v>79</v>
      </c>
      <c r="D7531">
        <v>97323</v>
      </c>
      <c r="E7531" t="s">
        <v>379</v>
      </c>
    </row>
    <row r="7532" spans="1:5" x14ac:dyDescent="0.25">
      <c r="A7532" s="279">
        <v>39239</v>
      </c>
      <c r="B7532" t="s">
        <v>339</v>
      </c>
      <c r="C7532" t="s">
        <v>70</v>
      </c>
      <c r="D7532">
        <v>0</v>
      </c>
      <c r="E7532" t="s">
        <v>379</v>
      </c>
    </row>
    <row r="7533" spans="1:5" x14ac:dyDescent="0.25">
      <c r="A7533" s="279">
        <v>39239</v>
      </c>
      <c r="B7533" t="s">
        <v>339</v>
      </c>
      <c r="C7533" t="s">
        <v>63</v>
      </c>
      <c r="D7533">
        <v>17286</v>
      </c>
      <c r="E7533" t="s">
        <v>378</v>
      </c>
    </row>
    <row r="7534" spans="1:5" x14ac:dyDescent="0.25">
      <c r="A7534" s="279">
        <v>39239</v>
      </c>
      <c r="B7534" t="s">
        <v>339</v>
      </c>
      <c r="C7534" t="s">
        <v>80</v>
      </c>
      <c r="D7534">
        <v>795</v>
      </c>
      <c r="E7534" t="s">
        <v>379</v>
      </c>
    </row>
    <row r="7535" spans="1:5" x14ac:dyDescent="0.25">
      <c r="A7535" s="279">
        <v>39240</v>
      </c>
      <c r="B7535" t="s">
        <v>338</v>
      </c>
      <c r="C7535" t="s">
        <v>59</v>
      </c>
      <c r="D7535">
        <v>2575</v>
      </c>
      <c r="E7535" t="s">
        <v>378</v>
      </c>
    </row>
    <row r="7536" spans="1:5" x14ac:dyDescent="0.25">
      <c r="A7536" s="279">
        <v>39240</v>
      </c>
      <c r="B7536" t="s">
        <v>338</v>
      </c>
      <c r="C7536" t="s">
        <v>60</v>
      </c>
      <c r="D7536">
        <v>0</v>
      </c>
      <c r="E7536" t="s">
        <v>379</v>
      </c>
    </row>
    <row r="7537" spans="1:5" x14ac:dyDescent="0.25">
      <c r="A7537" s="279">
        <v>39240</v>
      </c>
      <c r="B7537" t="s">
        <v>338</v>
      </c>
      <c r="C7537" t="s">
        <v>61</v>
      </c>
      <c r="D7537">
        <v>7720</v>
      </c>
      <c r="E7537" t="s">
        <v>378</v>
      </c>
    </row>
    <row r="7538" spans="1:5" x14ac:dyDescent="0.25">
      <c r="A7538" s="279">
        <v>39240</v>
      </c>
      <c r="B7538" t="s">
        <v>338</v>
      </c>
      <c r="C7538" t="s">
        <v>62</v>
      </c>
      <c r="D7538">
        <v>0</v>
      </c>
      <c r="E7538" t="s">
        <v>380</v>
      </c>
    </row>
    <row r="7539" spans="1:5" x14ac:dyDescent="0.25">
      <c r="A7539" s="279">
        <v>39240</v>
      </c>
      <c r="B7539" t="s">
        <v>338</v>
      </c>
      <c r="C7539" t="s">
        <v>63</v>
      </c>
      <c r="D7539">
        <v>0</v>
      </c>
      <c r="E7539" t="s">
        <v>378</v>
      </c>
    </row>
    <row r="7540" spans="1:5" x14ac:dyDescent="0.25">
      <c r="A7540" s="279">
        <v>39240</v>
      </c>
      <c r="B7540" t="s">
        <v>338</v>
      </c>
      <c r="C7540" t="s">
        <v>64</v>
      </c>
      <c r="D7540">
        <v>0</v>
      </c>
      <c r="E7540" t="s">
        <v>380</v>
      </c>
    </row>
    <row r="7541" spans="1:5" x14ac:dyDescent="0.25">
      <c r="A7541" s="279">
        <v>39240</v>
      </c>
      <c r="B7541" t="s">
        <v>338</v>
      </c>
      <c r="C7541" t="s">
        <v>65</v>
      </c>
      <c r="D7541">
        <v>0</v>
      </c>
      <c r="E7541" t="s">
        <v>378</v>
      </c>
    </row>
    <row r="7542" spans="1:5" x14ac:dyDescent="0.25">
      <c r="A7542" s="279">
        <v>39240</v>
      </c>
      <c r="B7542" t="s">
        <v>338</v>
      </c>
      <c r="C7542" t="s">
        <v>66</v>
      </c>
      <c r="D7542">
        <v>0</v>
      </c>
      <c r="E7542" t="s">
        <v>380</v>
      </c>
    </row>
    <row r="7543" spans="1:5" x14ac:dyDescent="0.25">
      <c r="A7543" s="279">
        <v>39240</v>
      </c>
      <c r="B7543" t="s">
        <v>338</v>
      </c>
      <c r="C7543" t="s">
        <v>120</v>
      </c>
      <c r="D7543">
        <v>12244</v>
      </c>
      <c r="E7543" t="s">
        <v>378</v>
      </c>
    </row>
    <row r="7544" spans="1:5" x14ac:dyDescent="0.25">
      <c r="A7544" s="279">
        <v>39240</v>
      </c>
      <c r="B7544" t="s">
        <v>338</v>
      </c>
      <c r="C7544" t="s">
        <v>121</v>
      </c>
      <c r="D7544">
        <v>0</v>
      </c>
      <c r="E7544" t="s">
        <v>380</v>
      </c>
    </row>
    <row r="7545" spans="1:5" x14ac:dyDescent="0.25">
      <c r="A7545" s="279">
        <v>39240</v>
      </c>
      <c r="B7545" t="s">
        <v>338</v>
      </c>
      <c r="C7545" t="s">
        <v>67</v>
      </c>
      <c r="D7545">
        <v>0</v>
      </c>
      <c r="E7545" t="s">
        <v>378</v>
      </c>
    </row>
    <row r="7546" spans="1:5" x14ac:dyDescent="0.25">
      <c r="A7546" s="279">
        <v>39240</v>
      </c>
      <c r="B7546" t="s">
        <v>338</v>
      </c>
      <c r="C7546" t="s">
        <v>68</v>
      </c>
      <c r="D7546">
        <v>0</v>
      </c>
      <c r="E7546" t="s">
        <v>380</v>
      </c>
    </row>
    <row r="7547" spans="1:5" x14ac:dyDescent="0.25">
      <c r="A7547" s="279">
        <v>39240</v>
      </c>
      <c r="B7547" t="s">
        <v>338</v>
      </c>
      <c r="C7547" t="s">
        <v>69</v>
      </c>
      <c r="D7547">
        <v>0</v>
      </c>
      <c r="E7547" t="s">
        <v>379</v>
      </c>
    </row>
    <row r="7548" spans="1:5" x14ac:dyDescent="0.25">
      <c r="A7548" s="279">
        <v>39240</v>
      </c>
      <c r="B7548" t="s">
        <v>338</v>
      </c>
      <c r="C7548" t="s">
        <v>70</v>
      </c>
      <c r="D7548">
        <v>0</v>
      </c>
      <c r="E7548" t="s">
        <v>379</v>
      </c>
    </row>
    <row r="7549" spans="1:5" x14ac:dyDescent="0.25">
      <c r="A7549" s="279">
        <v>39240</v>
      </c>
      <c r="B7549" t="s">
        <v>338</v>
      </c>
      <c r="C7549" t="s">
        <v>80</v>
      </c>
      <c r="D7549">
        <v>186</v>
      </c>
      <c r="E7549" t="s">
        <v>379</v>
      </c>
    </row>
    <row r="7550" spans="1:5" x14ac:dyDescent="0.25">
      <c r="A7550" s="279">
        <v>39240</v>
      </c>
      <c r="B7550" t="s">
        <v>339</v>
      </c>
      <c r="C7550" t="s">
        <v>71</v>
      </c>
      <c r="D7550">
        <v>1908</v>
      </c>
      <c r="E7550" t="s">
        <v>378</v>
      </c>
    </row>
    <row r="7551" spans="1:5" x14ac:dyDescent="0.25">
      <c r="A7551" s="279">
        <v>39240</v>
      </c>
      <c r="B7551" t="s">
        <v>339</v>
      </c>
      <c r="C7551" t="s">
        <v>72</v>
      </c>
      <c r="D7551">
        <v>0</v>
      </c>
      <c r="E7551" t="s">
        <v>380</v>
      </c>
    </row>
    <row r="7552" spans="1:5" x14ac:dyDescent="0.25">
      <c r="A7552" s="279">
        <v>39240</v>
      </c>
      <c r="B7552" t="s">
        <v>339</v>
      </c>
      <c r="C7552" t="s">
        <v>73</v>
      </c>
      <c r="D7552">
        <v>16963</v>
      </c>
      <c r="E7552" t="s">
        <v>378</v>
      </c>
    </row>
    <row r="7553" spans="1:5" x14ac:dyDescent="0.25">
      <c r="A7553" s="279">
        <v>39240</v>
      </c>
      <c r="B7553" t="s">
        <v>339</v>
      </c>
      <c r="C7553" t="s">
        <v>74</v>
      </c>
      <c r="D7553">
        <v>0</v>
      </c>
      <c r="E7553" t="s">
        <v>380</v>
      </c>
    </row>
    <row r="7554" spans="1:5" x14ac:dyDescent="0.25">
      <c r="A7554" s="279">
        <v>39240</v>
      </c>
      <c r="B7554" t="s">
        <v>339</v>
      </c>
      <c r="C7554" t="s">
        <v>75</v>
      </c>
      <c r="D7554">
        <v>15228</v>
      </c>
      <c r="E7554" t="s">
        <v>378</v>
      </c>
    </row>
    <row r="7555" spans="1:5" x14ac:dyDescent="0.25">
      <c r="A7555" s="279">
        <v>39240</v>
      </c>
      <c r="B7555" t="s">
        <v>339</v>
      </c>
      <c r="C7555" t="s">
        <v>76</v>
      </c>
      <c r="D7555">
        <v>7446</v>
      </c>
      <c r="E7555" t="s">
        <v>380</v>
      </c>
    </row>
    <row r="7556" spans="1:5" x14ac:dyDescent="0.25">
      <c r="A7556" s="279">
        <v>39240</v>
      </c>
      <c r="B7556" t="s">
        <v>339</v>
      </c>
      <c r="C7556" t="s">
        <v>77</v>
      </c>
      <c r="D7556">
        <v>7261</v>
      </c>
      <c r="E7556" t="s">
        <v>378</v>
      </c>
    </row>
    <row r="7557" spans="1:5" x14ac:dyDescent="0.25">
      <c r="A7557" s="279">
        <v>39240</v>
      </c>
      <c r="B7557" t="s">
        <v>339</v>
      </c>
      <c r="C7557" t="s">
        <v>78</v>
      </c>
      <c r="D7557">
        <v>6982</v>
      </c>
      <c r="E7557" t="s">
        <v>380</v>
      </c>
    </row>
    <row r="7558" spans="1:5" x14ac:dyDescent="0.25">
      <c r="A7558" s="279">
        <v>39240</v>
      </c>
      <c r="B7558" t="s">
        <v>339</v>
      </c>
      <c r="C7558" t="s">
        <v>79</v>
      </c>
      <c r="D7558">
        <v>97323</v>
      </c>
      <c r="E7558" t="s">
        <v>379</v>
      </c>
    </row>
    <row r="7559" spans="1:5" x14ac:dyDescent="0.25">
      <c r="A7559" s="279">
        <v>39240</v>
      </c>
      <c r="B7559" t="s">
        <v>339</v>
      </c>
      <c r="C7559" t="s">
        <v>70</v>
      </c>
      <c r="D7559">
        <v>0</v>
      </c>
      <c r="E7559" t="s">
        <v>379</v>
      </c>
    </row>
    <row r="7560" spans="1:5" x14ac:dyDescent="0.25">
      <c r="A7560" s="279">
        <v>39240</v>
      </c>
      <c r="B7560" t="s">
        <v>339</v>
      </c>
      <c r="C7560" t="s">
        <v>63</v>
      </c>
      <c r="D7560">
        <v>17286</v>
      </c>
      <c r="E7560" t="s">
        <v>378</v>
      </c>
    </row>
    <row r="7561" spans="1:5" x14ac:dyDescent="0.25">
      <c r="A7561" s="279">
        <v>39240</v>
      </c>
      <c r="B7561" t="s">
        <v>339</v>
      </c>
      <c r="C7561" t="s">
        <v>80</v>
      </c>
      <c r="D7561">
        <v>795</v>
      </c>
      <c r="E7561" t="s">
        <v>379</v>
      </c>
    </row>
    <row r="7562" spans="1:5" x14ac:dyDescent="0.25">
      <c r="A7562" s="279">
        <v>39241</v>
      </c>
      <c r="B7562" t="s">
        <v>338</v>
      </c>
      <c r="C7562" t="s">
        <v>59</v>
      </c>
      <c r="D7562">
        <v>2568</v>
      </c>
      <c r="E7562" t="s">
        <v>378</v>
      </c>
    </row>
    <row r="7563" spans="1:5" x14ac:dyDescent="0.25">
      <c r="A7563" s="279">
        <v>39241</v>
      </c>
      <c r="B7563" t="s">
        <v>338</v>
      </c>
      <c r="C7563" t="s">
        <v>60</v>
      </c>
      <c r="D7563">
        <v>0</v>
      </c>
      <c r="E7563" t="s">
        <v>379</v>
      </c>
    </row>
    <row r="7564" spans="1:5" x14ac:dyDescent="0.25">
      <c r="A7564" s="279">
        <v>39241</v>
      </c>
      <c r="B7564" t="s">
        <v>338</v>
      </c>
      <c r="C7564" t="s">
        <v>61</v>
      </c>
      <c r="D7564">
        <v>7717</v>
      </c>
      <c r="E7564" t="s">
        <v>378</v>
      </c>
    </row>
    <row r="7565" spans="1:5" x14ac:dyDescent="0.25">
      <c r="A7565" s="279">
        <v>39241</v>
      </c>
      <c r="B7565" t="s">
        <v>338</v>
      </c>
      <c r="C7565" t="s">
        <v>62</v>
      </c>
      <c r="D7565">
        <v>0</v>
      </c>
      <c r="E7565" t="s">
        <v>380</v>
      </c>
    </row>
    <row r="7566" spans="1:5" x14ac:dyDescent="0.25">
      <c r="A7566" s="279">
        <v>39241</v>
      </c>
      <c r="B7566" t="s">
        <v>338</v>
      </c>
      <c r="C7566" t="s">
        <v>63</v>
      </c>
      <c r="D7566">
        <v>0</v>
      </c>
      <c r="E7566" t="s">
        <v>378</v>
      </c>
    </row>
    <row r="7567" spans="1:5" x14ac:dyDescent="0.25">
      <c r="A7567" s="279">
        <v>39241</v>
      </c>
      <c r="B7567" t="s">
        <v>338</v>
      </c>
      <c r="C7567" t="s">
        <v>64</v>
      </c>
      <c r="D7567">
        <v>0</v>
      </c>
      <c r="E7567" t="s">
        <v>380</v>
      </c>
    </row>
    <row r="7568" spans="1:5" x14ac:dyDescent="0.25">
      <c r="A7568" s="279">
        <v>39241</v>
      </c>
      <c r="B7568" t="s">
        <v>338</v>
      </c>
      <c r="C7568" t="s">
        <v>65</v>
      </c>
      <c r="D7568">
        <v>0</v>
      </c>
      <c r="E7568" t="s">
        <v>378</v>
      </c>
    </row>
    <row r="7569" spans="1:5" x14ac:dyDescent="0.25">
      <c r="A7569" s="279">
        <v>39241</v>
      </c>
      <c r="B7569" t="s">
        <v>338</v>
      </c>
      <c r="C7569" t="s">
        <v>66</v>
      </c>
      <c r="D7569">
        <v>0</v>
      </c>
      <c r="E7569" t="s">
        <v>380</v>
      </c>
    </row>
    <row r="7570" spans="1:5" x14ac:dyDescent="0.25">
      <c r="A7570" s="279">
        <v>39241</v>
      </c>
      <c r="B7570" t="s">
        <v>338</v>
      </c>
      <c r="C7570" t="s">
        <v>120</v>
      </c>
      <c r="D7570">
        <v>12208</v>
      </c>
      <c r="E7570" t="s">
        <v>378</v>
      </c>
    </row>
    <row r="7571" spans="1:5" x14ac:dyDescent="0.25">
      <c r="A7571" s="279">
        <v>39241</v>
      </c>
      <c r="B7571" t="s">
        <v>338</v>
      </c>
      <c r="C7571" t="s">
        <v>121</v>
      </c>
      <c r="D7571">
        <v>0</v>
      </c>
      <c r="E7571" t="s">
        <v>380</v>
      </c>
    </row>
    <row r="7572" spans="1:5" x14ac:dyDescent="0.25">
      <c r="A7572" s="279">
        <v>39241</v>
      </c>
      <c r="B7572" t="s">
        <v>338</v>
      </c>
      <c r="C7572" t="s">
        <v>67</v>
      </c>
      <c r="D7572">
        <v>0</v>
      </c>
      <c r="E7572" t="s">
        <v>378</v>
      </c>
    </row>
    <row r="7573" spans="1:5" x14ac:dyDescent="0.25">
      <c r="A7573" s="279">
        <v>39241</v>
      </c>
      <c r="B7573" t="s">
        <v>338</v>
      </c>
      <c r="C7573" t="s">
        <v>68</v>
      </c>
      <c r="D7573">
        <v>0</v>
      </c>
      <c r="E7573" t="s">
        <v>380</v>
      </c>
    </row>
    <row r="7574" spans="1:5" x14ac:dyDescent="0.25">
      <c r="A7574" s="279">
        <v>39241</v>
      </c>
      <c r="B7574" t="s">
        <v>338</v>
      </c>
      <c r="C7574" t="s">
        <v>69</v>
      </c>
      <c r="D7574">
        <v>0</v>
      </c>
      <c r="E7574" t="s">
        <v>379</v>
      </c>
    </row>
    <row r="7575" spans="1:5" x14ac:dyDescent="0.25">
      <c r="A7575" s="279">
        <v>39241</v>
      </c>
      <c r="B7575" t="s">
        <v>338</v>
      </c>
      <c r="C7575" t="s">
        <v>70</v>
      </c>
      <c r="D7575">
        <v>0</v>
      </c>
      <c r="E7575" t="s">
        <v>379</v>
      </c>
    </row>
    <row r="7576" spans="1:5" x14ac:dyDescent="0.25">
      <c r="A7576" s="279">
        <v>39241</v>
      </c>
      <c r="B7576" t="s">
        <v>338</v>
      </c>
      <c r="C7576" t="s">
        <v>80</v>
      </c>
      <c r="D7576">
        <v>186</v>
      </c>
      <c r="E7576" t="s">
        <v>379</v>
      </c>
    </row>
    <row r="7577" spans="1:5" x14ac:dyDescent="0.25">
      <c r="A7577" s="279">
        <v>39241</v>
      </c>
      <c r="B7577" t="s">
        <v>339</v>
      </c>
      <c r="C7577" t="s">
        <v>71</v>
      </c>
      <c r="D7577">
        <v>1908</v>
      </c>
      <c r="E7577" t="s">
        <v>378</v>
      </c>
    </row>
    <row r="7578" spans="1:5" x14ac:dyDescent="0.25">
      <c r="A7578" s="279">
        <v>39241</v>
      </c>
      <c r="B7578" t="s">
        <v>339</v>
      </c>
      <c r="C7578" t="s">
        <v>72</v>
      </c>
      <c r="D7578">
        <v>0</v>
      </c>
      <c r="E7578" t="s">
        <v>380</v>
      </c>
    </row>
    <row r="7579" spans="1:5" x14ac:dyDescent="0.25">
      <c r="A7579" s="279">
        <v>39241</v>
      </c>
      <c r="B7579" t="s">
        <v>339</v>
      </c>
      <c r="C7579" t="s">
        <v>73</v>
      </c>
      <c r="D7579">
        <v>16963</v>
      </c>
      <c r="E7579" t="s">
        <v>378</v>
      </c>
    </row>
    <row r="7580" spans="1:5" x14ac:dyDescent="0.25">
      <c r="A7580" s="279">
        <v>39241</v>
      </c>
      <c r="B7580" t="s">
        <v>339</v>
      </c>
      <c r="C7580" t="s">
        <v>74</v>
      </c>
      <c r="D7580">
        <v>0</v>
      </c>
      <c r="E7580" t="s">
        <v>380</v>
      </c>
    </row>
    <row r="7581" spans="1:5" x14ac:dyDescent="0.25">
      <c r="A7581" s="279">
        <v>39241</v>
      </c>
      <c r="B7581" t="s">
        <v>339</v>
      </c>
      <c r="C7581" t="s">
        <v>75</v>
      </c>
      <c r="D7581">
        <v>15228</v>
      </c>
      <c r="E7581" t="s">
        <v>378</v>
      </c>
    </row>
    <row r="7582" spans="1:5" x14ac:dyDescent="0.25">
      <c r="A7582" s="279">
        <v>39241</v>
      </c>
      <c r="B7582" t="s">
        <v>339</v>
      </c>
      <c r="C7582" t="s">
        <v>76</v>
      </c>
      <c r="D7582">
        <v>1946</v>
      </c>
      <c r="E7582" t="s">
        <v>380</v>
      </c>
    </row>
    <row r="7583" spans="1:5" x14ac:dyDescent="0.25">
      <c r="A7583" s="279">
        <v>39241</v>
      </c>
      <c r="B7583" t="s">
        <v>339</v>
      </c>
      <c r="C7583" t="s">
        <v>77</v>
      </c>
      <c r="D7583">
        <v>7261</v>
      </c>
      <c r="E7583" t="s">
        <v>378</v>
      </c>
    </row>
    <row r="7584" spans="1:5" x14ac:dyDescent="0.25">
      <c r="A7584" s="279">
        <v>39241</v>
      </c>
      <c r="B7584" t="s">
        <v>339</v>
      </c>
      <c r="C7584" t="s">
        <v>78</v>
      </c>
      <c r="D7584">
        <v>6982</v>
      </c>
      <c r="E7584" t="s">
        <v>380</v>
      </c>
    </row>
    <row r="7585" spans="1:5" x14ac:dyDescent="0.25">
      <c r="A7585" s="279">
        <v>39241</v>
      </c>
      <c r="B7585" t="s">
        <v>339</v>
      </c>
      <c r="C7585" t="s">
        <v>79</v>
      </c>
      <c r="D7585">
        <v>97323</v>
      </c>
      <c r="E7585" t="s">
        <v>379</v>
      </c>
    </row>
    <row r="7586" spans="1:5" x14ac:dyDescent="0.25">
      <c r="A7586" s="279">
        <v>39241</v>
      </c>
      <c r="B7586" t="s">
        <v>339</v>
      </c>
      <c r="C7586" t="s">
        <v>70</v>
      </c>
      <c r="D7586">
        <v>0</v>
      </c>
      <c r="E7586" t="s">
        <v>379</v>
      </c>
    </row>
    <row r="7587" spans="1:5" x14ac:dyDescent="0.25">
      <c r="A7587" s="279">
        <v>39241</v>
      </c>
      <c r="B7587" t="s">
        <v>339</v>
      </c>
      <c r="C7587" t="s">
        <v>63</v>
      </c>
      <c r="D7587">
        <v>17286</v>
      </c>
      <c r="E7587" t="s">
        <v>378</v>
      </c>
    </row>
    <row r="7588" spans="1:5" x14ac:dyDescent="0.25">
      <c r="A7588" s="279">
        <v>39241</v>
      </c>
      <c r="B7588" t="s">
        <v>339</v>
      </c>
      <c r="C7588" t="s">
        <v>80</v>
      </c>
      <c r="D7588">
        <v>795</v>
      </c>
      <c r="E7588" t="s">
        <v>379</v>
      </c>
    </row>
    <row r="7589" spans="1:5" x14ac:dyDescent="0.25">
      <c r="A7589" s="279">
        <v>39242</v>
      </c>
      <c r="B7589" t="s">
        <v>338</v>
      </c>
      <c r="C7589" t="s">
        <v>59</v>
      </c>
      <c r="D7589">
        <v>2560</v>
      </c>
      <c r="E7589" t="s">
        <v>378</v>
      </c>
    </row>
    <row r="7590" spans="1:5" x14ac:dyDescent="0.25">
      <c r="A7590" s="279">
        <v>39242</v>
      </c>
      <c r="B7590" t="s">
        <v>338</v>
      </c>
      <c r="C7590" t="s">
        <v>60</v>
      </c>
      <c r="D7590">
        <v>0</v>
      </c>
      <c r="E7590" t="s">
        <v>379</v>
      </c>
    </row>
    <row r="7591" spans="1:5" x14ac:dyDescent="0.25">
      <c r="A7591" s="279">
        <v>39242</v>
      </c>
      <c r="B7591" t="s">
        <v>338</v>
      </c>
      <c r="C7591" t="s">
        <v>61</v>
      </c>
      <c r="D7591">
        <v>7743</v>
      </c>
      <c r="E7591" t="s">
        <v>378</v>
      </c>
    </row>
    <row r="7592" spans="1:5" x14ac:dyDescent="0.25">
      <c r="A7592" s="279">
        <v>39242</v>
      </c>
      <c r="B7592" t="s">
        <v>338</v>
      </c>
      <c r="C7592" t="s">
        <v>62</v>
      </c>
      <c r="D7592">
        <v>0</v>
      </c>
      <c r="E7592" t="s">
        <v>380</v>
      </c>
    </row>
    <row r="7593" spans="1:5" x14ac:dyDescent="0.25">
      <c r="A7593" s="279">
        <v>39242</v>
      </c>
      <c r="B7593" t="s">
        <v>338</v>
      </c>
      <c r="C7593" t="s">
        <v>63</v>
      </c>
      <c r="D7593">
        <v>0</v>
      </c>
      <c r="E7593" t="s">
        <v>378</v>
      </c>
    </row>
    <row r="7594" spans="1:5" x14ac:dyDescent="0.25">
      <c r="A7594" s="279">
        <v>39242</v>
      </c>
      <c r="B7594" t="s">
        <v>338</v>
      </c>
      <c r="C7594" t="s">
        <v>64</v>
      </c>
      <c r="D7594">
        <v>0</v>
      </c>
      <c r="E7594" t="s">
        <v>380</v>
      </c>
    </row>
    <row r="7595" spans="1:5" x14ac:dyDescent="0.25">
      <c r="A7595" s="279">
        <v>39242</v>
      </c>
      <c r="B7595" t="s">
        <v>338</v>
      </c>
      <c r="C7595" t="s">
        <v>65</v>
      </c>
      <c r="D7595">
        <v>0</v>
      </c>
      <c r="E7595" t="s">
        <v>378</v>
      </c>
    </row>
    <row r="7596" spans="1:5" x14ac:dyDescent="0.25">
      <c r="A7596" s="279">
        <v>39242</v>
      </c>
      <c r="B7596" t="s">
        <v>338</v>
      </c>
      <c r="C7596" t="s">
        <v>66</v>
      </c>
      <c r="D7596">
        <v>0</v>
      </c>
      <c r="E7596" t="s">
        <v>380</v>
      </c>
    </row>
    <row r="7597" spans="1:5" x14ac:dyDescent="0.25">
      <c r="A7597" s="279">
        <v>39242</v>
      </c>
      <c r="B7597" t="s">
        <v>338</v>
      </c>
      <c r="C7597" t="s">
        <v>120</v>
      </c>
      <c r="D7597">
        <v>12173</v>
      </c>
      <c r="E7597" t="s">
        <v>378</v>
      </c>
    </row>
    <row r="7598" spans="1:5" x14ac:dyDescent="0.25">
      <c r="A7598" s="279">
        <v>39242</v>
      </c>
      <c r="B7598" t="s">
        <v>338</v>
      </c>
      <c r="C7598" t="s">
        <v>121</v>
      </c>
      <c r="D7598">
        <v>0</v>
      </c>
      <c r="E7598" t="s">
        <v>380</v>
      </c>
    </row>
    <row r="7599" spans="1:5" x14ac:dyDescent="0.25">
      <c r="A7599" s="279">
        <v>39242</v>
      </c>
      <c r="B7599" t="s">
        <v>338</v>
      </c>
      <c r="C7599" t="s">
        <v>67</v>
      </c>
      <c r="D7599">
        <v>0</v>
      </c>
      <c r="E7599" t="s">
        <v>378</v>
      </c>
    </row>
    <row r="7600" spans="1:5" x14ac:dyDescent="0.25">
      <c r="A7600" s="279">
        <v>39242</v>
      </c>
      <c r="B7600" t="s">
        <v>338</v>
      </c>
      <c r="C7600" t="s">
        <v>68</v>
      </c>
      <c r="D7600">
        <v>0</v>
      </c>
      <c r="E7600" t="s">
        <v>380</v>
      </c>
    </row>
    <row r="7601" spans="1:5" x14ac:dyDescent="0.25">
      <c r="A7601" s="279">
        <v>39242</v>
      </c>
      <c r="B7601" t="s">
        <v>338</v>
      </c>
      <c r="C7601" t="s">
        <v>69</v>
      </c>
      <c r="D7601">
        <v>0</v>
      </c>
      <c r="E7601" t="s">
        <v>379</v>
      </c>
    </row>
    <row r="7602" spans="1:5" x14ac:dyDescent="0.25">
      <c r="A7602" s="279">
        <v>39242</v>
      </c>
      <c r="B7602" t="s">
        <v>338</v>
      </c>
      <c r="C7602" t="s">
        <v>70</v>
      </c>
      <c r="D7602">
        <v>0</v>
      </c>
      <c r="E7602" t="s">
        <v>379</v>
      </c>
    </row>
    <row r="7603" spans="1:5" x14ac:dyDescent="0.25">
      <c r="A7603" s="279">
        <v>39242</v>
      </c>
      <c r="B7603" t="s">
        <v>338</v>
      </c>
      <c r="C7603" t="s">
        <v>80</v>
      </c>
      <c r="D7603">
        <v>186</v>
      </c>
      <c r="E7603" t="s">
        <v>379</v>
      </c>
    </row>
    <row r="7604" spans="1:5" x14ac:dyDescent="0.25">
      <c r="A7604" s="279">
        <v>39242</v>
      </c>
      <c r="B7604" t="s">
        <v>339</v>
      </c>
      <c r="C7604" t="s">
        <v>71</v>
      </c>
      <c r="D7604">
        <v>1910</v>
      </c>
      <c r="E7604" t="s">
        <v>378</v>
      </c>
    </row>
    <row r="7605" spans="1:5" x14ac:dyDescent="0.25">
      <c r="A7605" s="279">
        <v>39242</v>
      </c>
      <c r="B7605" t="s">
        <v>339</v>
      </c>
      <c r="C7605" t="s">
        <v>72</v>
      </c>
      <c r="D7605">
        <v>0</v>
      </c>
      <c r="E7605" t="s">
        <v>380</v>
      </c>
    </row>
    <row r="7606" spans="1:5" x14ac:dyDescent="0.25">
      <c r="A7606" s="279">
        <v>39242</v>
      </c>
      <c r="B7606" t="s">
        <v>339</v>
      </c>
      <c r="C7606" t="s">
        <v>73</v>
      </c>
      <c r="D7606">
        <v>16979</v>
      </c>
      <c r="E7606" t="s">
        <v>378</v>
      </c>
    </row>
    <row r="7607" spans="1:5" x14ac:dyDescent="0.25">
      <c r="A7607" s="279">
        <v>39242</v>
      </c>
      <c r="B7607" t="s">
        <v>339</v>
      </c>
      <c r="C7607" t="s">
        <v>74</v>
      </c>
      <c r="D7607">
        <v>0</v>
      </c>
      <c r="E7607" t="s">
        <v>380</v>
      </c>
    </row>
    <row r="7608" spans="1:5" x14ac:dyDescent="0.25">
      <c r="A7608" s="279">
        <v>39242</v>
      </c>
      <c r="B7608" t="s">
        <v>339</v>
      </c>
      <c r="C7608" t="s">
        <v>75</v>
      </c>
      <c r="D7608">
        <v>15242</v>
      </c>
      <c r="E7608" t="s">
        <v>378</v>
      </c>
    </row>
    <row r="7609" spans="1:5" x14ac:dyDescent="0.25">
      <c r="A7609" s="279">
        <v>39242</v>
      </c>
      <c r="B7609" t="s">
        <v>339</v>
      </c>
      <c r="C7609" t="s">
        <v>76</v>
      </c>
      <c r="D7609">
        <v>9078</v>
      </c>
      <c r="E7609" t="s">
        <v>380</v>
      </c>
    </row>
    <row r="7610" spans="1:5" x14ac:dyDescent="0.25">
      <c r="A7610" s="279">
        <v>39242</v>
      </c>
      <c r="B7610" t="s">
        <v>339</v>
      </c>
      <c r="C7610" t="s">
        <v>77</v>
      </c>
      <c r="D7610">
        <v>7268</v>
      </c>
      <c r="E7610" t="s">
        <v>378</v>
      </c>
    </row>
    <row r="7611" spans="1:5" x14ac:dyDescent="0.25">
      <c r="A7611" s="279">
        <v>39242</v>
      </c>
      <c r="B7611" t="s">
        <v>339</v>
      </c>
      <c r="C7611" t="s">
        <v>78</v>
      </c>
      <c r="D7611">
        <v>0</v>
      </c>
      <c r="E7611" t="s">
        <v>380</v>
      </c>
    </row>
    <row r="7612" spans="1:5" x14ac:dyDescent="0.25">
      <c r="A7612" s="279">
        <v>39242</v>
      </c>
      <c r="B7612" t="s">
        <v>339</v>
      </c>
      <c r="C7612" t="s">
        <v>79</v>
      </c>
      <c r="D7612">
        <v>97417</v>
      </c>
      <c r="E7612" t="s">
        <v>379</v>
      </c>
    </row>
    <row r="7613" spans="1:5" x14ac:dyDescent="0.25">
      <c r="A7613" s="279">
        <v>39242</v>
      </c>
      <c r="B7613" t="s">
        <v>339</v>
      </c>
      <c r="C7613" t="s">
        <v>70</v>
      </c>
      <c r="D7613">
        <v>0</v>
      </c>
      <c r="E7613" t="s">
        <v>379</v>
      </c>
    </row>
    <row r="7614" spans="1:5" x14ac:dyDescent="0.25">
      <c r="A7614" s="279">
        <v>39242</v>
      </c>
      <c r="B7614" t="s">
        <v>339</v>
      </c>
      <c r="C7614" t="s">
        <v>63</v>
      </c>
      <c r="D7614">
        <v>17303</v>
      </c>
      <c r="E7614" t="s">
        <v>378</v>
      </c>
    </row>
    <row r="7615" spans="1:5" x14ac:dyDescent="0.25">
      <c r="A7615" s="279">
        <v>39242</v>
      </c>
      <c r="B7615" t="s">
        <v>339</v>
      </c>
      <c r="C7615" t="s">
        <v>80</v>
      </c>
      <c r="D7615">
        <v>796</v>
      </c>
      <c r="E7615" t="s">
        <v>379</v>
      </c>
    </row>
    <row r="7616" spans="1:5" x14ac:dyDescent="0.25">
      <c r="A7616" s="279">
        <v>39243</v>
      </c>
      <c r="B7616" t="s">
        <v>338</v>
      </c>
      <c r="C7616" t="s">
        <v>59</v>
      </c>
      <c r="D7616">
        <v>2578</v>
      </c>
      <c r="E7616" t="s">
        <v>378</v>
      </c>
    </row>
    <row r="7617" spans="1:5" x14ac:dyDescent="0.25">
      <c r="A7617" s="279">
        <v>39243</v>
      </c>
      <c r="B7617" t="s">
        <v>338</v>
      </c>
      <c r="C7617" t="s">
        <v>60</v>
      </c>
      <c r="D7617">
        <v>0</v>
      </c>
      <c r="E7617" t="s">
        <v>379</v>
      </c>
    </row>
    <row r="7618" spans="1:5" x14ac:dyDescent="0.25">
      <c r="A7618" s="279">
        <v>39243</v>
      </c>
      <c r="B7618" t="s">
        <v>338</v>
      </c>
      <c r="C7618" t="s">
        <v>61</v>
      </c>
      <c r="D7618">
        <v>7737</v>
      </c>
      <c r="E7618" t="s">
        <v>378</v>
      </c>
    </row>
    <row r="7619" spans="1:5" x14ac:dyDescent="0.25">
      <c r="A7619" s="279">
        <v>39243</v>
      </c>
      <c r="B7619" t="s">
        <v>338</v>
      </c>
      <c r="C7619" t="s">
        <v>62</v>
      </c>
      <c r="D7619">
        <v>0</v>
      </c>
      <c r="E7619" t="s">
        <v>380</v>
      </c>
    </row>
    <row r="7620" spans="1:5" x14ac:dyDescent="0.25">
      <c r="A7620" s="279">
        <v>39243</v>
      </c>
      <c r="B7620" t="s">
        <v>338</v>
      </c>
      <c r="C7620" t="s">
        <v>63</v>
      </c>
      <c r="D7620">
        <v>0</v>
      </c>
      <c r="E7620" t="s">
        <v>378</v>
      </c>
    </row>
    <row r="7621" spans="1:5" x14ac:dyDescent="0.25">
      <c r="A7621" s="279">
        <v>39243</v>
      </c>
      <c r="B7621" t="s">
        <v>338</v>
      </c>
      <c r="C7621" t="s">
        <v>64</v>
      </c>
      <c r="D7621">
        <v>0</v>
      </c>
      <c r="E7621" t="s">
        <v>380</v>
      </c>
    </row>
    <row r="7622" spans="1:5" x14ac:dyDescent="0.25">
      <c r="A7622" s="279">
        <v>39243</v>
      </c>
      <c r="B7622" t="s">
        <v>338</v>
      </c>
      <c r="C7622" t="s">
        <v>65</v>
      </c>
      <c r="D7622">
        <v>0</v>
      </c>
      <c r="E7622" t="s">
        <v>378</v>
      </c>
    </row>
    <row r="7623" spans="1:5" x14ac:dyDescent="0.25">
      <c r="A7623" s="279">
        <v>39243</v>
      </c>
      <c r="B7623" t="s">
        <v>338</v>
      </c>
      <c r="C7623" t="s">
        <v>66</v>
      </c>
      <c r="D7623">
        <v>0</v>
      </c>
      <c r="E7623" t="s">
        <v>380</v>
      </c>
    </row>
    <row r="7624" spans="1:5" x14ac:dyDescent="0.25">
      <c r="A7624" s="279">
        <v>39243</v>
      </c>
      <c r="B7624" t="s">
        <v>338</v>
      </c>
      <c r="C7624" t="s">
        <v>120</v>
      </c>
      <c r="D7624">
        <v>12256</v>
      </c>
      <c r="E7624" t="s">
        <v>378</v>
      </c>
    </row>
    <row r="7625" spans="1:5" x14ac:dyDescent="0.25">
      <c r="A7625" s="279">
        <v>39243</v>
      </c>
      <c r="B7625" t="s">
        <v>338</v>
      </c>
      <c r="C7625" t="s">
        <v>121</v>
      </c>
      <c r="D7625">
        <v>0</v>
      </c>
      <c r="E7625" t="s">
        <v>380</v>
      </c>
    </row>
    <row r="7626" spans="1:5" x14ac:dyDescent="0.25">
      <c r="A7626" s="279">
        <v>39243</v>
      </c>
      <c r="B7626" t="s">
        <v>338</v>
      </c>
      <c r="C7626" t="s">
        <v>67</v>
      </c>
      <c r="D7626">
        <v>0</v>
      </c>
      <c r="E7626" t="s">
        <v>378</v>
      </c>
    </row>
    <row r="7627" spans="1:5" x14ac:dyDescent="0.25">
      <c r="A7627" s="279">
        <v>39243</v>
      </c>
      <c r="B7627" t="s">
        <v>338</v>
      </c>
      <c r="C7627" t="s">
        <v>68</v>
      </c>
      <c r="D7627">
        <v>0</v>
      </c>
      <c r="E7627" t="s">
        <v>380</v>
      </c>
    </row>
    <row r="7628" spans="1:5" x14ac:dyDescent="0.25">
      <c r="A7628" s="279">
        <v>39243</v>
      </c>
      <c r="B7628" t="s">
        <v>338</v>
      </c>
      <c r="C7628" t="s">
        <v>69</v>
      </c>
      <c r="D7628">
        <v>0</v>
      </c>
      <c r="E7628" t="s">
        <v>379</v>
      </c>
    </row>
    <row r="7629" spans="1:5" x14ac:dyDescent="0.25">
      <c r="A7629" s="279">
        <v>39243</v>
      </c>
      <c r="B7629" t="s">
        <v>338</v>
      </c>
      <c r="C7629" t="s">
        <v>70</v>
      </c>
      <c r="D7629">
        <v>0</v>
      </c>
      <c r="E7629" t="s">
        <v>379</v>
      </c>
    </row>
    <row r="7630" spans="1:5" x14ac:dyDescent="0.25">
      <c r="A7630" s="279">
        <v>39243</v>
      </c>
      <c r="B7630" t="s">
        <v>338</v>
      </c>
      <c r="C7630" t="s">
        <v>80</v>
      </c>
      <c r="D7630">
        <v>186</v>
      </c>
      <c r="E7630" t="s">
        <v>379</v>
      </c>
    </row>
    <row r="7631" spans="1:5" x14ac:dyDescent="0.25">
      <c r="A7631" s="279">
        <v>39243</v>
      </c>
      <c r="B7631" t="s">
        <v>339</v>
      </c>
      <c r="C7631" t="s">
        <v>71</v>
      </c>
      <c r="D7631">
        <v>1899</v>
      </c>
      <c r="E7631" t="s">
        <v>378</v>
      </c>
    </row>
    <row r="7632" spans="1:5" x14ac:dyDescent="0.25">
      <c r="A7632" s="279">
        <v>39243</v>
      </c>
      <c r="B7632" t="s">
        <v>339</v>
      </c>
      <c r="C7632" t="s">
        <v>72</v>
      </c>
      <c r="D7632">
        <v>0</v>
      </c>
      <c r="E7632" t="s">
        <v>380</v>
      </c>
    </row>
    <row r="7633" spans="1:5" x14ac:dyDescent="0.25">
      <c r="A7633" s="279">
        <v>39243</v>
      </c>
      <c r="B7633" t="s">
        <v>339</v>
      </c>
      <c r="C7633" t="s">
        <v>73</v>
      </c>
      <c r="D7633">
        <v>16882</v>
      </c>
      <c r="E7633" t="s">
        <v>378</v>
      </c>
    </row>
    <row r="7634" spans="1:5" x14ac:dyDescent="0.25">
      <c r="A7634" s="279">
        <v>39243</v>
      </c>
      <c r="B7634" t="s">
        <v>339</v>
      </c>
      <c r="C7634" t="s">
        <v>74</v>
      </c>
      <c r="D7634">
        <v>0</v>
      </c>
      <c r="E7634" t="s">
        <v>380</v>
      </c>
    </row>
    <row r="7635" spans="1:5" x14ac:dyDescent="0.25">
      <c r="A7635" s="279">
        <v>39243</v>
      </c>
      <c r="B7635" t="s">
        <v>339</v>
      </c>
      <c r="C7635" t="s">
        <v>75</v>
      </c>
      <c r="D7635">
        <v>15155</v>
      </c>
      <c r="E7635" t="s">
        <v>378</v>
      </c>
    </row>
    <row r="7636" spans="1:5" x14ac:dyDescent="0.25">
      <c r="A7636" s="279">
        <v>39243</v>
      </c>
      <c r="B7636" t="s">
        <v>339</v>
      </c>
      <c r="C7636" t="s">
        <v>76</v>
      </c>
      <c r="D7636">
        <v>13663</v>
      </c>
      <c r="E7636" t="s">
        <v>380</v>
      </c>
    </row>
    <row r="7637" spans="1:5" x14ac:dyDescent="0.25">
      <c r="A7637" s="279">
        <v>39243</v>
      </c>
      <c r="B7637" t="s">
        <v>339</v>
      </c>
      <c r="C7637" t="s">
        <v>77</v>
      </c>
      <c r="D7637">
        <v>7226</v>
      </c>
      <c r="E7637" t="s">
        <v>378</v>
      </c>
    </row>
    <row r="7638" spans="1:5" x14ac:dyDescent="0.25">
      <c r="A7638" s="279">
        <v>39243</v>
      </c>
      <c r="B7638" t="s">
        <v>339</v>
      </c>
      <c r="C7638" t="s">
        <v>78</v>
      </c>
      <c r="D7638">
        <v>0</v>
      </c>
      <c r="E7638" t="s">
        <v>380</v>
      </c>
    </row>
    <row r="7639" spans="1:5" x14ac:dyDescent="0.25">
      <c r="A7639" s="279">
        <v>39243</v>
      </c>
      <c r="B7639" t="s">
        <v>339</v>
      </c>
      <c r="C7639" t="s">
        <v>79</v>
      </c>
      <c r="D7639">
        <v>96857</v>
      </c>
      <c r="E7639" t="s">
        <v>379</v>
      </c>
    </row>
    <row r="7640" spans="1:5" x14ac:dyDescent="0.25">
      <c r="A7640" s="279">
        <v>39243</v>
      </c>
      <c r="B7640" t="s">
        <v>339</v>
      </c>
      <c r="C7640" t="s">
        <v>70</v>
      </c>
      <c r="D7640">
        <v>0</v>
      </c>
      <c r="E7640" t="s">
        <v>379</v>
      </c>
    </row>
    <row r="7641" spans="1:5" x14ac:dyDescent="0.25">
      <c r="A7641" s="279">
        <v>39243</v>
      </c>
      <c r="B7641" t="s">
        <v>339</v>
      </c>
      <c r="C7641" t="s">
        <v>63</v>
      </c>
      <c r="D7641">
        <v>17203</v>
      </c>
      <c r="E7641" t="s">
        <v>378</v>
      </c>
    </row>
    <row r="7642" spans="1:5" x14ac:dyDescent="0.25">
      <c r="A7642" s="279">
        <v>39243</v>
      </c>
      <c r="B7642" t="s">
        <v>339</v>
      </c>
      <c r="C7642" t="s">
        <v>80</v>
      </c>
      <c r="D7642">
        <v>791</v>
      </c>
      <c r="E7642" t="s">
        <v>379</v>
      </c>
    </row>
    <row r="7643" spans="1:5" x14ac:dyDescent="0.25">
      <c r="A7643" s="279">
        <v>39244</v>
      </c>
      <c r="B7643" t="s">
        <v>338</v>
      </c>
      <c r="C7643" t="s">
        <v>59</v>
      </c>
      <c r="D7643">
        <v>2575</v>
      </c>
      <c r="E7643" t="s">
        <v>378</v>
      </c>
    </row>
    <row r="7644" spans="1:5" x14ac:dyDescent="0.25">
      <c r="A7644" s="279">
        <v>39244</v>
      </c>
      <c r="B7644" t="s">
        <v>338</v>
      </c>
      <c r="C7644" t="s">
        <v>60</v>
      </c>
      <c r="D7644">
        <v>0</v>
      </c>
      <c r="E7644" t="s">
        <v>379</v>
      </c>
    </row>
    <row r="7645" spans="1:5" x14ac:dyDescent="0.25">
      <c r="A7645" s="279">
        <v>39244</v>
      </c>
      <c r="B7645" t="s">
        <v>338</v>
      </c>
      <c r="C7645" t="s">
        <v>61</v>
      </c>
      <c r="D7645">
        <v>7720</v>
      </c>
      <c r="E7645" t="s">
        <v>378</v>
      </c>
    </row>
    <row r="7646" spans="1:5" x14ac:dyDescent="0.25">
      <c r="A7646" s="279">
        <v>39244</v>
      </c>
      <c r="B7646" t="s">
        <v>338</v>
      </c>
      <c r="C7646" t="s">
        <v>62</v>
      </c>
      <c r="D7646">
        <v>0</v>
      </c>
      <c r="E7646" t="s">
        <v>380</v>
      </c>
    </row>
    <row r="7647" spans="1:5" x14ac:dyDescent="0.25">
      <c r="A7647" s="279">
        <v>39244</v>
      </c>
      <c r="B7647" t="s">
        <v>338</v>
      </c>
      <c r="C7647" t="s">
        <v>63</v>
      </c>
      <c r="D7647">
        <v>0</v>
      </c>
      <c r="E7647" t="s">
        <v>378</v>
      </c>
    </row>
    <row r="7648" spans="1:5" x14ac:dyDescent="0.25">
      <c r="A7648" s="279">
        <v>39244</v>
      </c>
      <c r="B7648" t="s">
        <v>338</v>
      </c>
      <c r="C7648" t="s">
        <v>64</v>
      </c>
      <c r="D7648">
        <v>0</v>
      </c>
      <c r="E7648" t="s">
        <v>380</v>
      </c>
    </row>
    <row r="7649" spans="1:5" x14ac:dyDescent="0.25">
      <c r="A7649" s="279">
        <v>39244</v>
      </c>
      <c r="B7649" t="s">
        <v>338</v>
      </c>
      <c r="C7649" t="s">
        <v>65</v>
      </c>
      <c r="D7649">
        <v>0</v>
      </c>
      <c r="E7649" t="s">
        <v>378</v>
      </c>
    </row>
    <row r="7650" spans="1:5" x14ac:dyDescent="0.25">
      <c r="A7650" s="279">
        <v>39244</v>
      </c>
      <c r="B7650" t="s">
        <v>338</v>
      </c>
      <c r="C7650" t="s">
        <v>66</v>
      </c>
      <c r="D7650">
        <v>0</v>
      </c>
      <c r="E7650" t="s">
        <v>380</v>
      </c>
    </row>
    <row r="7651" spans="1:5" x14ac:dyDescent="0.25">
      <c r="A7651" s="279">
        <v>39244</v>
      </c>
      <c r="B7651" t="s">
        <v>338</v>
      </c>
      <c r="C7651" t="s">
        <v>120</v>
      </c>
      <c r="D7651">
        <v>12244</v>
      </c>
      <c r="E7651" t="s">
        <v>378</v>
      </c>
    </row>
    <row r="7652" spans="1:5" x14ac:dyDescent="0.25">
      <c r="A7652" s="279">
        <v>39244</v>
      </c>
      <c r="B7652" t="s">
        <v>338</v>
      </c>
      <c r="C7652" t="s">
        <v>121</v>
      </c>
      <c r="D7652">
        <v>0</v>
      </c>
      <c r="E7652" t="s">
        <v>380</v>
      </c>
    </row>
    <row r="7653" spans="1:5" x14ac:dyDescent="0.25">
      <c r="A7653" s="279">
        <v>39244</v>
      </c>
      <c r="B7653" t="s">
        <v>338</v>
      </c>
      <c r="C7653" t="s">
        <v>67</v>
      </c>
      <c r="D7653">
        <v>0</v>
      </c>
      <c r="E7653" t="s">
        <v>378</v>
      </c>
    </row>
    <row r="7654" spans="1:5" x14ac:dyDescent="0.25">
      <c r="A7654" s="279">
        <v>39244</v>
      </c>
      <c r="B7654" t="s">
        <v>338</v>
      </c>
      <c r="C7654" t="s">
        <v>68</v>
      </c>
      <c r="D7654">
        <v>0</v>
      </c>
      <c r="E7654" t="s">
        <v>380</v>
      </c>
    </row>
    <row r="7655" spans="1:5" x14ac:dyDescent="0.25">
      <c r="A7655" s="279">
        <v>39244</v>
      </c>
      <c r="B7655" t="s">
        <v>338</v>
      </c>
      <c r="C7655" t="s">
        <v>69</v>
      </c>
      <c r="D7655">
        <v>0</v>
      </c>
      <c r="E7655" t="s">
        <v>379</v>
      </c>
    </row>
    <row r="7656" spans="1:5" x14ac:dyDescent="0.25">
      <c r="A7656" s="279">
        <v>39244</v>
      </c>
      <c r="B7656" t="s">
        <v>338</v>
      </c>
      <c r="C7656" t="s">
        <v>70</v>
      </c>
      <c r="D7656">
        <v>0</v>
      </c>
      <c r="E7656" t="s">
        <v>379</v>
      </c>
    </row>
    <row r="7657" spans="1:5" x14ac:dyDescent="0.25">
      <c r="A7657" s="279">
        <v>39244</v>
      </c>
      <c r="B7657" t="s">
        <v>338</v>
      </c>
      <c r="C7657" t="s">
        <v>80</v>
      </c>
      <c r="D7657">
        <v>186</v>
      </c>
      <c r="E7657" t="s">
        <v>379</v>
      </c>
    </row>
    <row r="7658" spans="1:5" x14ac:dyDescent="0.25">
      <c r="A7658" s="279">
        <v>39244</v>
      </c>
      <c r="B7658" t="s">
        <v>339</v>
      </c>
      <c r="C7658" t="s">
        <v>71</v>
      </c>
      <c r="D7658">
        <v>1897</v>
      </c>
      <c r="E7658" t="s">
        <v>378</v>
      </c>
    </row>
    <row r="7659" spans="1:5" x14ac:dyDescent="0.25">
      <c r="A7659" s="279">
        <v>39244</v>
      </c>
      <c r="B7659" t="s">
        <v>339</v>
      </c>
      <c r="C7659" t="s">
        <v>72</v>
      </c>
      <c r="D7659">
        <v>0</v>
      </c>
      <c r="E7659" t="s">
        <v>380</v>
      </c>
    </row>
    <row r="7660" spans="1:5" x14ac:dyDescent="0.25">
      <c r="A7660" s="279">
        <v>39244</v>
      </c>
      <c r="B7660" t="s">
        <v>339</v>
      </c>
      <c r="C7660" t="s">
        <v>73</v>
      </c>
      <c r="D7660">
        <v>16866</v>
      </c>
      <c r="E7660" t="s">
        <v>378</v>
      </c>
    </row>
    <row r="7661" spans="1:5" x14ac:dyDescent="0.25">
      <c r="A7661" s="279">
        <v>39244</v>
      </c>
      <c r="B7661" t="s">
        <v>339</v>
      </c>
      <c r="C7661" t="s">
        <v>74</v>
      </c>
      <c r="D7661">
        <v>0</v>
      </c>
      <c r="E7661" t="s">
        <v>380</v>
      </c>
    </row>
    <row r="7662" spans="1:5" x14ac:dyDescent="0.25">
      <c r="A7662" s="279">
        <v>39244</v>
      </c>
      <c r="B7662" t="s">
        <v>339</v>
      </c>
      <c r="C7662" t="s">
        <v>75</v>
      </c>
      <c r="D7662">
        <v>15140</v>
      </c>
      <c r="E7662" t="s">
        <v>378</v>
      </c>
    </row>
    <row r="7663" spans="1:5" x14ac:dyDescent="0.25">
      <c r="A7663" s="279">
        <v>39244</v>
      </c>
      <c r="B7663" t="s">
        <v>339</v>
      </c>
      <c r="C7663" t="s">
        <v>76</v>
      </c>
      <c r="D7663">
        <v>11547</v>
      </c>
      <c r="E7663" t="s">
        <v>380</v>
      </c>
    </row>
    <row r="7664" spans="1:5" x14ac:dyDescent="0.25">
      <c r="A7664" s="279">
        <v>39244</v>
      </c>
      <c r="B7664" t="s">
        <v>339</v>
      </c>
      <c r="C7664" t="s">
        <v>77</v>
      </c>
      <c r="D7664">
        <v>7219</v>
      </c>
      <c r="E7664" t="s">
        <v>378</v>
      </c>
    </row>
    <row r="7665" spans="1:5" x14ac:dyDescent="0.25">
      <c r="A7665" s="279">
        <v>39244</v>
      </c>
      <c r="B7665" t="s">
        <v>339</v>
      </c>
      <c r="C7665" t="s">
        <v>78</v>
      </c>
      <c r="D7665">
        <v>0</v>
      </c>
      <c r="E7665" t="s">
        <v>380</v>
      </c>
    </row>
    <row r="7666" spans="1:5" x14ac:dyDescent="0.25">
      <c r="A7666" s="279">
        <v>39244</v>
      </c>
      <c r="B7666" t="s">
        <v>339</v>
      </c>
      <c r="C7666" t="s">
        <v>79</v>
      </c>
      <c r="D7666">
        <v>96765</v>
      </c>
      <c r="E7666" t="s">
        <v>379</v>
      </c>
    </row>
    <row r="7667" spans="1:5" x14ac:dyDescent="0.25">
      <c r="A7667" s="279">
        <v>39244</v>
      </c>
      <c r="B7667" t="s">
        <v>339</v>
      </c>
      <c r="C7667" t="s">
        <v>70</v>
      </c>
      <c r="D7667">
        <v>0</v>
      </c>
      <c r="E7667" t="s">
        <v>379</v>
      </c>
    </row>
    <row r="7668" spans="1:5" x14ac:dyDescent="0.25">
      <c r="A7668" s="279">
        <v>39244</v>
      </c>
      <c r="B7668" t="s">
        <v>339</v>
      </c>
      <c r="C7668" t="s">
        <v>63</v>
      </c>
      <c r="D7668">
        <v>17187</v>
      </c>
      <c r="E7668" t="s">
        <v>378</v>
      </c>
    </row>
    <row r="7669" spans="1:5" x14ac:dyDescent="0.25">
      <c r="A7669" s="279">
        <v>39244</v>
      </c>
      <c r="B7669" t="s">
        <v>339</v>
      </c>
      <c r="C7669" t="s">
        <v>80</v>
      </c>
      <c r="D7669">
        <v>791</v>
      </c>
      <c r="E7669" t="s">
        <v>379</v>
      </c>
    </row>
    <row r="7670" spans="1:5" x14ac:dyDescent="0.25">
      <c r="A7670" s="279">
        <v>39245</v>
      </c>
      <c r="B7670" t="s">
        <v>338</v>
      </c>
      <c r="C7670" t="s">
        <v>59</v>
      </c>
      <c r="D7670">
        <v>2580</v>
      </c>
      <c r="E7670" t="s">
        <v>378</v>
      </c>
    </row>
    <row r="7671" spans="1:5" x14ac:dyDescent="0.25">
      <c r="A7671" s="279">
        <v>39245</v>
      </c>
      <c r="B7671" t="s">
        <v>338</v>
      </c>
      <c r="C7671" t="s">
        <v>60</v>
      </c>
      <c r="D7671">
        <v>0</v>
      </c>
      <c r="E7671" t="s">
        <v>379</v>
      </c>
    </row>
    <row r="7672" spans="1:5" x14ac:dyDescent="0.25">
      <c r="A7672" s="279">
        <v>39245</v>
      </c>
      <c r="B7672" t="s">
        <v>338</v>
      </c>
      <c r="C7672" t="s">
        <v>61</v>
      </c>
      <c r="D7672">
        <v>7716</v>
      </c>
      <c r="E7672" t="s">
        <v>378</v>
      </c>
    </row>
    <row r="7673" spans="1:5" x14ac:dyDescent="0.25">
      <c r="A7673" s="279">
        <v>39245</v>
      </c>
      <c r="B7673" t="s">
        <v>338</v>
      </c>
      <c r="C7673" t="s">
        <v>62</v>
      </c>
      <c r="D7673">
        <v>0</v>
      </c>
      <c r="E7673" t="s">
        <v>380</v>
      </c>
    </row>
    <row r="7674" spans="1:5" x14ac:dyDescent="0.25">
      <c r="A7674" s="279">
        <v>39245</v>
      </c>
      <c r="B7674" t="s">
        <v>338</v>
      </c>
      <c r="C7674" t="s">
        <v>63</v>
      </c>
      <c r="D7674">
        <v>0</v>
      </c>
      <c r="E7674" t="s">
        <v>378</v>
      </c>
    </row>
    <row r="7675" spans="1:5" x14ac:dyDescent="0.25">
      <c r="A7675" s="279">
        <v>39245</v>
      </c>
      <c r="B7675" t="s">
        <v>338</v>
      </c>
      <c r="C7675" t="s">
        <v>64</v>
      </c>
      <c r="D7675">
        <v>0</v>
      </c>
      <c r="E7675" t="s">
        <v>380</v>
      </c>
    </row>
    <row r="7676" spans="1:5" x14ac:dyDescent="0.25">
      <c r="A7676" s="279">
        <v>39245</v>
      </c>
      <c r="B7676" t="s">
        <v>338</v>
      </c>
      <c r="C7676" t="s">
        <v>65</v>
      </c>
      <c r="D7676">
        <v>0</v>
      </c>
      <c r="E7676" t="s">
        <v>378</v>
      </c>
    </row>
    <row r="7677" spans="1:5" x14ac:dyDescent="0.25">
      <c r="A7677" s="279">
        <v>39245</v>
      </c>
      <c r="B7677" t="s">
        <v>338</v>
      </c>
      <c r="C7677" t="s">
        <v>66</v>
      </c>
      <c r="D7677">
        <v>0</v>
      </c>
      <c r="E7677" t="s">
        <v>380</v>
      </c>
    </row>
    <row r="7678" spans="1:5" x14ac:dyDescent="0.25">
      <c r="A7678" s="279">
        <v>39245</v>
      </c>
      <c r="B7678" t="s">
        <v>338</v>
      </c>
      <c r="C7678" t="s">
        <v>120</v>
      </c>
      <c r="D7678">
        <v>12268</v>
      </c>
      <c r="E7678" t="s">
        <v>378</v>
      </c>
    </row>
    <row r="7679" spans="1:5" x14ac:dyDescent="0.25">
      <c r="A7679" s="279">
        <v>39245</v>
      </c>
      <c r="B7679" t="s">
        <v>338</v>
      </c>
      <c r="C7679" t="s">
        <v>121</v>
      </c>
      <c r="D7679">
        <v>0</v>
      </c>
      <c r="E7679" t="s">
        <v>380</v>
      </c>
    </row>
    <row r="7680" spans="1:5" x14ac:dyDescent="0.25">
      <c r="A7680" s="279">
        <v>39245</v>
      </c>
      <c r="B7680" t="s">
        <v>338</v>
      </c>
      <c r="C7680" t="s">
        <v>67</v>
      </c>
      <c r="D7680">
        <v>0</v>
      </c>
      <c r="E7680" t="s">
        <v>378</v>
      </c>
    </row>
    <row r="7681" spans="1:5" x14ac:dyDescent="0.25">
      <c r="A7681" s="279">
        <v>39245</v>
      </c>
      <c r="B7681" t="s">
        <v>338</v>
      </c>
      <c r="C7681" t="s">
        <v>68</v>
      </c>
      <c r="D7681">
        <v>0</v>
      </c>
      <c r="E7681" t="s">
        <v>380</v>
      </c>
    </row>
    <row r="7682" spans="1:5" x14ac:dyDescent="0.25">
      <c r="A7682" s="279">
        <v>39245</v>
      </c>
      <c r="B7682" t="s">
        <v>338</v>
      </c>
      <c r="C7682" t="s">
        <v>69</v>
      </c>
      <c r="D7682">
        <v>0</v>
      </c>
      <c r="E7682" t="s">
        <v>379</v>
      </c>
    </row>
    <row r="7683" spans="1:5" x14ac:dyDescent="0.25">
      <c r="A7683" s="279">
        <v>39245</v>
      </c>
      <c r="B7683" t="s">
        <v>338</v>
      </c>
      <c r="C7683" t="s">
        <v>70</v>
      </c>
      <c r="D7683">
        <v>0</v>
      </c>
      <c r="E7683" t="s">
        <v>379</v>
      </c>
    </row>
    <row r="7684" spans="1:5" x14ac:dyDescent="0.25">
      <c r="A7684" s="279">
        <v>39245</v>
      </c>
      <c r="B7684" t="s">
        <v>338</v>
      </c>
      <c r="C7684" t="s">
        <v>80</v>
      </c>
      <c r="D7684">
        <v>186</v>
      </c>
      <c r="E7684" t="s">
        <v>379</v>
      </c>
    </row>
    <row r="7685" spans="1:5" x14ac:dyDescent="0.25">
      <c r="A7685" s="279">
        <v>39245</v>
      </c>
      <c r="B7685" t="s">
        <v>339</v>
      </c>
      <c r="C7685" t="s">
        <v>71</v>
      </c>
      <c r="D7685">
        <v>1903</v>
      </c>
      <c r="E7685" t="s">
        <v>378</v>
      </c>
    </row>
    <row r="7686" spans="1:5" x14ac:dyDescent="0.25">
      <c r="A7686" s="279">
        <v>39245</v>
      </c>
      <c r="B7686" t="s">
        <v>339</v>
      </c>
      <c r="C7686" t="s">
        <v>72</v>
      </c>
      <c r="D7686">
        <v>0</v>
      </c>
      <c r="E7686" t="s">
        <v>380</v>
      </c>
    </row>
    <row r="7687" spans="1:5" x14ac:dyDescent="0.25">
      <c r="A7687" s="279">
        <v>39245</v>
      </c>
      <c r="B7687" t="s">
        <v>339</v>
      </c>
      <c r="C7687" t="s">
        <v>73</v>
      </c>
      <c r="D7687">
        <v>16914</v>
      </c>
      <c r="E7687" t="s">
        <v>378</v>
      </c>
    </row>
    <row r="7688" spans="1:5" x14ac:dyDescent="0.25">
      <c r="A7688" s="279">
        <v>39245</v>
      </c>
      <c r="B7688" t="s">
        <v>339</v>
      </c>
      <c r="C7688" t="s">
        <v>74</v>
      </c>
      <c r="D7688">
        <v>0</v>
      </c>
      <c r="E7688" t="s">
        <v>380</v>
      </c>
    </row>
    <row r="7689" spans="1:5" x14ac:dyDescent="0.25">
      <c r="A7689" s="279">
        <v>39245</v>
      </c>
      <c r="B7689" t="s">
        <v>339</v>
      </c>
      <c r="C7689" t="s">
        <v>75</v>
      </c>
      <c r="D7689">
        <v>15184</v>
      </c>
      <c r="E7689" t="s">
        <v>378</v>
      </c>
    </row>
    <row r="7690" spans="1:5" x14ac:dyDescent="0.25">
      <c r="A7690" s="279">
        <v>39245</v>
      </c>
      <c r="B7690" t="s">
        <v>339</v>
      </c>
      <c r="C7690" t="s">
        <v>76</v>
      </c>
      <c r="D7690">
        <v>12068</v>
      </c>
      <c r="E7690" t="s">
        <v>380</v>
      </c>
    </row>
    <row r="7691" spans="1:5" x14ac:dyDescent="0.25">
      <c r="A7691" s="279">
        <v>39245</v>
      </c>
      <c r="B7691" t="s">
        <v>339</v>
      </c>
      <c r="C7691" t="s">
        <v>77</v>
      </c>
      <c r="D7691">
        <v>7240</v>
      </c>
      <c r="E7691" t="s">
        <v>378</v>
      </c>
    </row>
    <row r="7692" spans="1:5" x14ac:dyDescent="0.25">
      <c r="A7692" s="279">
        <v>39245</v>
      </c>
      <c r="B7692" t="s">
        <v>339</v>
      </c>
      <c r="C7692" t="s">
        <v>78</v>
      </c>
      <c r="D7692">
        <v>0</v>
      </c>
      <c r="E7692" t="s">
        <v>380</v>
      </c>
    </row>
    <row r="7693" spans="1:5" x14ac:dyDescent="0.25">
      <c r="A7693" s="279">
        <v>39245</v>
      </c>
      <c r="B7693" t="s">
        <v>339</v>
      </c>
      <c r="C7693" t="s">
        <v>79</v>
      </c>
      <c r="D7693">
        <v>97043</v>
      </c>
      <c r="E7693" t="s">
        <v>379</v>
      </c>
    </row>
    <row r="7694" spans="1:5" x14ac:dyDescent="0.25">
      <c r="A7694" s="279">
        <v>39245</v>
      </c>
      <c r="B7694" t="s">
        <v>339</v>
      </c>
      <c r="C7694" t="s">
        <v>70</v>
      </c>
      <c r="D7694">
        <v>0</v>
      </c>
      <c r="E7694" t="s">
        <v>379</v>
      </c>
    </row>
    <row r="7695" spans="1:5" x14ac:dyDescent="0.25">
      <c r="A7695" s="279">
        <v>39245</v>
      </c>
      <c r="B7695" t="s">
        <v>339</v>
      </c>
      <c r="C7695" t="s">
        <v>63</v>
      </c>
      <c r="D7695">
        <v>17236</v>
      </c>
      <c r="E7695" t="s">
        <v>378</v>
      </c>
    </row>
    <row r="7696" spans="1:5" x14ac:dyDescent="0.25">
      <c r="A7696" s="279">
        <v>39245</v>
      </c>
      <c r="B7696" t="s">
        <v>339</v>
      </c>
      <c r="C7696" t="s">
        <v>80</v>
      </c>
      <c r="D7696">
        <v>793</v>
      </c>
      <c r="E7696" t="s">
        <v>379</v>
      </c>
    </row>
    <row r="7697" spans="1:5" x14ac:dyDescent="0.25">
      <c r="A7697" s="279">
        <v>39246</v>
      </c>
      <c r="B7697" t="s">
        <v>338</v>
      </c>
      <c r="C7697" t="s">
        <v>59</v>
      </c>
      <c r="D7697">
        <v>2578</v>
      </c>
      <c r="E7697" t="s">
        <v>378</v>
      </c>
    </row>
    <row r="7698" spans="1:5" x14ac:dyDescent="0.25">
      <c r="A7698" s="279">
        <v>39246</v>
      </c>
      <c r="B7698" t="s">
        <v>338</v>
      </c>
      <c r="C7698" t="s">
        <v>60</v>
      </c>
      <c r="D7698">
        <v>0</v>
      </c>
      <c r="E7698" t="s">
        <v>379</v>
      </c>
    </row>
    <row r="7699" spans="1:5" x14ac:dyDescent="0.25">
      <c r="A7699" s="279">
        <v>39246</v>
      </c>
      <c r="B7699" t="s">
        <v>338</v>
      </c>
      <c r="C7699" t="s">
        <v>61</v>
      </c>
      <c r="D7699">
        <v>7698</v>
      </c>
      <c r="E7699" t="s">
        <v>378</v>
      </c>
    </row>
    <row r="7700" spans="1:5" x14ac:dyDescent="0.25">
      <c r="A7700" s="279">
        <v>39246</v>
      </c>
      <c r="B7700" t="s">
        <v>338</v>
      </c>
      <c r="C7700" t="s">
        <v>62</v>
      </c>
      <c r="D7700">
        <v>0</v>
      </c>
      <c r="E7700" t="s">
        <v>380</v>
      </c>
    </row>
    <row r="7701" spans="1:5" x14ac:dyDescent="0.25">
      <c r="A7701" s="279">
        <v>39246</v>
      </c>
      <c r="B7701" t="s">
        <v>338</v>
      </c>
      <c r="C7701" t="s">
        <v>63</v>
      </c>
      <c r="D7701">
        <v>0</v>
      </c>
      <c r="E7701" t="s">
        <v>378</v>
      </c>
    </row>
    <row r="7702" spans="1:5" x14ac:dyDescent="0.25">
      <c r="A7702" s="279">
        <v>39246</v>
      </c>
      <c r="B7702" t="s">
        <v>338</v>
      </c>
      <c r="C7702" t="s">
        <v>64</v>
      </c>
      <c r="D7702">
        <v>0</v>
      </c>
      <c r="E7702" t="s">
        <v>380</v>
      </c>
    </row>
    <row r="7703" spans="1:5" x14ac:dyDescent="0.25">
      <c r="A7703" s="279">
        <v>39246</v>
      </c>
      <c r="B7703" t="s">
        <v>338</v>
      </c>
      <c r="C7703" t="s">
        <v>65</v>
      </c>
      <c r="D7703">
        <v>0</v>
      </c>
      <c r="E7703" t="s">
        <v>378</v>
      </c>
    </row>
    <row r="7704" spans="1:5" x14ac:dyDescent="0.25">
      <c r="A7704" s="279">
        <v>39246</v>
      </c>
      <c r="B7704" t="s">
        <v>338</v>
      </c>
      <c r="C7704" t="s">
        <v>66</v>
      </c>
      <c r="D7704">
        <v>0</v>
      </c>
      <c r="E7704" t="s">
        <v>380</v>
      </c>
    </row>
    <row r="7705" spans="1:5" x14ac:dyDescent="0.25">
      <c r="A7705" s="279">
        <v>39246</v>
      </c>
      <c r="B7705" t="s">
        <v>338</v>
      </c>
      <c r="C7705" t="s">
        <v>120</v>
      </c>
      <c r="D7705">
        <v>12256</v>
      </c>
      <c r="E7705" t="s">
        <v>378</v>
      </c>
    </row>
    <row r="7706" spans="1:5" x14ac:dyDescent="0.25">
      <c r="A7706" s="279">
        <v>39246</v>
      </c>
      <c r="B7706" t="s">
        <v>338</v>
      </c>
      <c r="C7706" t="s">
        <v>121</v>
      </c>
      <c r="D7706">
        <v>0</v>
      </c>
      <c r="E7706" t="s">
        <v>380</v>
      </c>
    </row>
    <row r="7707" spans="1:5" x14ac:dyDescent="0.25">
      <c r="A7707" s="279">
        <v>39246</v>
      </c>
      <c r="B7707" t="s">
        <v>338</v>
      </c>
      <c r="C7707" t="s">
        <v>67</v>
      </c>
      <c r="D7707">
        <v>0</v>
      </c>
      <c r="E7707" t="s">
        <v>378</v>
      </c>
    </row>
    <row r="7708" spans="1:5" x14ac:dyDescent="0.25">
      <c r="A7708" s="279">
        <v>39246</v>
      </c>
      <c r="B7708" t="s">
        <v>338</v>
      </c>
      <c r="C7708" t="s">
        <v>68</v>
      </c>
      <c r="D7708">
        <v>0</v>
      </c>
      <c r="E7708" t="s">
        <v>380</v>
      </c>
    </row>
    <row r="7709" spans="1:5" x14ac:dyDescent="0.25">
      <c r="A7709" s="279">
        <v>39246</v>
      </c>
      <c r="B7709" t="s">
        <v>338</v>
      </c>
      <c r="C7709" t="s">
        <v>69</v>
      </c>
      <c r="D7709">
        <v>0</v>
      </c>
      <c r="E7709" t="s">
        <v>379</v>
      </c>
    </row>
    <row r="7710" spans="1:5" x14ac:dyDescent="0.25">
      <c r="A7710" s="279">
        <v>39246</v>
      </c>
      <c r="B7710" t="s">
        <v>338</v>
      </c>
      <c r="C7710" t="s">
        <v>70</v>
      </c>
      <c r="D7710">
        <v>0</v>
      </c>
      <c r="E7710" t="s">
        <v>379</v>
      </c>
    </row>
    <row r="7711" spans="1:5" x14ac:dyDescent="0.25">
      <c r="A7711" s="279">
        <v>39246</v>
      </c>
      <c r="B7711" t="s">
        <v>338</v>
      </c>
      <c r="C7711" t="s">
        <v>80</v>
      </c>
      <c r="D7711">
        <v>186</v>
      </c>
      <c r="E7711" t="s">
        <v>379</v>
      </c>
    </row>
    <row r="7712" spans="1:5" x14ac:dyDescent="0.25">
      <c r="A7712" s="279">
        <v>39246</v>
      </c>
      <c r="B7712" t="s">
        <v>339</v>
      </c>
      <c r="C7712" t="s">
        <v>71</v>
      </c>
      <c r="D7712">
        <v>1901</v>
      </c>
      <c r="E7712" t="s">
        <v>378</v>
      </c>
    </row>
    <row r="7713" spans="1:5" x14ac:dyDescent="0.25">
      <c r="A7713" s="279">
        <v>39246</v>
      </c>
      <c r="B7713" t="s">
        <v>339</v>
      </c>
      <c r="C7713" t="s">
        <v>72</v>
      </c>
      <c r="D7713">
        <v>0</v>
      </c>
      <c r="E7713" t="s">
        <v>380</v>
      </c>
    </row>
    <row r="7714" spans="1:5" x14ac:dyDescent="0.25">
      <c r="A7714" s="279">
        <v>39246</v>
      </c>
      <c r="B7714" t="s">
        <v>339</v>
      </c>
      <c r="C7714" t="s">
        <v>73</v>
      </c>
      <c r="D7714">
        <v>16898</v>
      </c>
      <c r="E7714" t="s">
        <v>378</v>
      </c>
    </row>
    <row r="7715" spans="1:5" x14ac:dyDescent="0.25">
      <c r="A7715" s="279">
        <v>39246</v>
      </c>
      <c r="B7715" t="s">
        <v>339</v>
      </c>
      <c r="C7715" t="s">
        <v>74</v>
      </c>
      <c r="D7715">
        <v>0</v>
      </c>
      <c r="E7715" t="s">
        <v>380</v>
      </c>
    </row>
    <row r="7716" spans="1:5" x14ac:dyDescent="0.25">
      <c r="A7716" s="279">
        <v>39246</v>
      </c>
      <c r="B7716" t="s">
        <v>339</v>
      </c>
      <c r="C7716" t="s">
        <v>75</v>
      </c>
      <c r="D7716">
        <v>15169</v>
      </c>
      <c r="E7716" t="s">
        <v>378</v>
      </c>
    </row>
    <row r="7717" spans="1:5" x14ac:dyDescent="0.25">
      <c r="A7717" s="279">
        <v>39246</v>
      </c>
      <c r="B7717" t="s">
        <v>339</v>
      </c>
      <c r="C7717" t="s">
        <v>76</v>
      </c>
      <c r="D7717">
        <v>14592</v>
      </c>
      <c r="E7717" t="s">
        <v>380</v>
      </c>
    </row>
    <row r="7718" spans="1:5" x14ac:dyDescent="0.25">
      <c r="A7718" s="279">
        <v>39246</v>
      </c>
      <c r="B7718" t="s">
        <v>339</v>
      </c>
      <c r="C7718" t="s">
        <v>77</v>
      </c>
      <c r="D7718">
        <v>7233</v>
      </c>
      <c r="E7718" t="s">
        <v>378</v>
      </c>
    </row>
    <row r="7719" spans="1:5" x14ac:dyDescent="0.25">
      <c r="A7719" s="279">
        <v>39246</v>
      </c>
      <c r="B7719" t="s">
        <v>339</v>
      </c>
      <c r="C7719" t="s">
        <v>78</v>
      </c>
      <c r="D7719">
        <v>419</v>
      </c>
      <c r="E7719" t="s">
        <v>380</v>
      </c>
    </row>
    <row r="7720" spans="1:5" x14ac:dyDescent="0.25">
      <c r="A7720" s="279">
        <v>39246</v>
      </c>
      <c r="B7720" t="s">
        <v>339</v>
      </c>
      <c r="C7720" t="s">
        <v>79</v>
      </c>
      <c r="D7720">
        <v>96950</v>
      </c>
      <c r="E7720" t="s">
        <v>379</v>
      </c>
    </row>
    <row r="7721" spans="1:5" x14ac:dyDescent="0.25">
      <c r="A7721" s="279">
        <v>39246</v>
      </c>
      <c r="B7721" t="s">
        <v>339</v>
      </c>
      <c r="C7721" t="s">
        <v>70</v>
      </c>
      <c r="D7721">
        <v>0</v>
      </c>
      <c r="E7721" t="s">
        <v>379</v>
      </c>
    </row>
    <row r="7722" spans="1:5" x14ac:dyDescent="0.25">
      <c r="A7722" s="279">
        <v>39246</v>
      </c>
      <c r="B7722" t="s">
        <v>339</v>
      </c>
      <c r="C7722" t="s">
        <v>63</v>
      </c>
      <c r="D7722">
        <v>17220</v>
      </c>
      <c r="E7722" t="s">
        <v>378</v>
      </c>
    </row>
    <row r="7723" spans="1:5" x14ac:dyDescent="0.25">
      <c r="A7723" s="279">
        <v>39246</v>
      </c>
      <c r="B7723" t="s">
        <v>339</v>
      </c>
      <c r="C7723" t="s">
        <v>80</v>
      </c>
      <c r="D7723">
        <v>792</v>
      </c>
      <c r="E7723" t="s">
        <v>379</v>
      </c>
    </row>
    <row r="7724" spans="1:5" x14ac:dyDescent="0.25">
      <c r="A7724" s="279">
        <v>39247</v>
      </c>
      <c r="B7724" t="s">
        <v>338</v>
      </c>
      <c r="C7724" t="s">
        <v>59</v>
      </c>
      <c r="D7724">
        <v>2570</v>
      </c>
      <c r="E7724" t="s">
        <v>378</v>
      </c>
    </row>
    <row r="7725" spans="1:5" x14ac:dyDescent="0.25">
      <c r="A7725" s="279">
        <v>39247</v>
      </c>
      <c r="B7725" t="s">
        <v>338</v>
      </c>
      <c r="C7725" t="s">
        <v>60</v>
      </c>
      <c r="D7725">
        <v>0</v>
      </c>
      <c r="E7725" t="s">
        <v>379</v>
      </c>
    </row>
    <row r="7726" spans="1:5" x14ac:dyDescent="0.25">
      <c r="A7726" s="279">
        <v>39247</v>
      </c>
      <c r="B7726" t="s">
        <v>338</v>
      </c>
      <c r="C7726" t="s">
        <v>61</v>
      </c>
      <c r="D7726">
        <v>7636</v>
      </c>
      <c r="E7726" t="s">
        <v>378</v>
      </c>
    </row>
    <row r="7727" spans="1:5" x14ac:dyDescent="0.25">
      <c r="A7727" s="279">
        <v>39247</v>
      </c>
      <c r="B7727" t="s">
        <v>338</v>
      </c>
      <c r="C7727" t="s">
        <v>62</v>
      </c>
      <c r="D7727">
        <v>0</v>
      </c>
      <c r="E7727" t="s">
        <v>380</v>
      </c>
    </row>
    <row r="7728" spans="1:5" x14ac:dyDescent="0.25">
      <c r="A7728" s="279">
        <v>39247</v>
      </c>
      <c r="B7728" t="s">
        <v>338</v>
      </c>
      <c r="C7728" t="s">
        <v>63</v>
      </c>
      <c r="D7728">
        <v>0</v>
      </c>
      <c r="E7728" t="s">
        <v>378</v>
      </c>
    </row>
    <row r="7729" spans="1:5" x14ac:dyDescent="0.25">
      <c r="A7729" s="279">
        <v>39247</v>
      </c>
      <c r="B7729" t="s">
        <v>338</v>
      </c>
      <c r="C7729" t="s">
        <v>64</v>
      </c>
      <c r="D7729">
        <v>0</v>
      </c>
      <c r="E7729" t="s">
        <v>380</v>
      </c>
    </row>
    <row r="7730" spans="1:5" x14ac:dyDescent="0.25">
      <c r="A7730" s="279">
        <v>39247</v>
      </c>
      <c r="B7730" t="s">
        <v>338</v>
      </c>
      <c r="C7730" t="s">
        <v>65</v>
      </c>
      <c r="D7730">
        <v>0</v>
      </c>
      <c r="E7730" t="s">
        <v>378</v>
      </c>
    </row>
    <row r="7731" spans="1:5" x14ac:dyDescent="0.25">
      <c r="A7731" s="279">
        <v>39247</v>
      </c>
      <c r="B7731" t="s">
        <v>338</v>
      </c>
      <c r="C7731" t="s">
        <v>66</v>
      </c>
      <c r="D7731">
        <v>0</v>
      </c>
      <c r="E7731" t="s">
        <v>380</v>
      </c>
    </row>
    <row r="7732" spans="1:5" x14ac:dyDescent="0.25">
      <c r="A7732" s="279">
        <v>39247</v>
      </c>
      <c r="B7732" t="s">
        <v>338</v>
      </c>
      <c r="C7732" t="s">
        <v>120</v>
      </c>
      <c r="D7732">
        <v>12220</v>
      </c>
      <c r="E7732" t="s">
        <v>378</v>
      </c>
    </row>
    <row r="7733" spans="1:5" x14ac:dyDescent="0.25">
      <c r="A7733" s="279">
        <v>39247</v>
      </c>
      <c r="B7733" t="s">
        <v>338</v>
      </c>
      <c r="C7733" t="s">
        <v>121</v>
      </c>
      <c r="D7733">
        <v>0</v>
      </c>
      <c r="E7733" t="s">
        <v>380</v>
      </c>
    </row>
    <row r="7734" spans="1:5" x14ac:dyDescent="0.25">
      <c r="A7734" s="279">
        <v>39247</v>
      </c>
      <c r="B7734" t="s">
        <v>338</v>
      </c>
      <c r="C7734" t="s">
        <v>67</v>
      </c>
      <c r="D7734">
        <v>0</v>
      </c>
      <c r="E7734" t="s">
        <v>378</v>
      </c>
    </row>
    <row r="7735" spans="1:5" x14ac:dyDescent="0.25">
      <c r="A7735" s="279">
        <v>39247</v>
      </c>
      <c r="B7735" t="s">
        <v>338</v>
      </c>
      <c r="C7735" t="s">
        <v>68</v>
      </c>
      <c r="D7735">
        <v>0</v>
      </c>
      <c r="E7735" t="s">
        <v>380</v>
      </c>
    </row>
    <row r="7736" spans="1:5" x14ac:dyDescent="0.25">
      <c r="A7736" s="279">
        <v>39247</v>
      </c>
      <c r="B7736" t="s">
        <v>338</v>
      </c>
      <c r="C7736" t="s">
        <v>69</v>
      </c>
      <c r="D7736">
        <v>0</v>
      </c>
      <c r="E7736" t="s">
        <v>379</v>
      </c>
    </row>
    <row r="7737" spans="1:5" x14ac:dyDescent="0.25">
      <c r="A7737" s="279">
        <v>39247</v>
      </c>
      <c r="B7737" t="s">
        <v>338</v>
      </c>
      <c r="C7737" t="s">
        <v>70</v>
      </c>
      <c r="D7737">
        <v>0</v>
      </c>
      <c r="E7737" t="s">
        <v>379</v>
      </c>
    </row>
    <row r="7738" spans="1:5" x14ac:dyDescent="0.25">
      <c r="A7738" s="279">
        <v>39247</v>
      </c>
      <c r="B7738" t="s">
        <v>338</v>
      </c>
      <c r="C7738" t="s">
        <v>80</v>
      </c>
      <c r="D7738">
        <v>185</v>
      </c>
      <c r="E7738" t="s">
        <v>379</v>
      </c>
    </row>
    <row r="7739" spans="1:5" x14ac:dyDescent="0.25">
      <c r="A7739" s="279">
        <v>39247</v>
      </c>
      <c r="B7739" t="s">
        <v>339</v>
      </c>
      <c r="C7739" t="s">
        <v>71</v>
      </c>
      <c r="D7739">
        <v>1918</v>
      </c>
      <c r="E7739" t="s">
        <v>378</v>
      </c>
    </row>
    <row r="7740" spans="1:5" x14ac:dyDescent="0.25">
      <c r="A7740" s="279">
        <v>39247</v>
      </c>
      <c r="B7740" t="s">
        <v>339</v>
      </c>
      <c r="C7740" t="s">
        <v>72</v>
      </c>
      <c r="D7740">
        <v>0</v>
      </c>
      <c r="E7740" t="s">
        <v>380</v>
      </c>
    </row>
    <row r="7741" spans="1:5" x14ac:dyDescent="0.25">
      <c r="A7741" s="279">
        <v>39247</v>
      </c>
      <c r="B7741" t="s">
        <v>339</v>
      </c>
      <c r="C7741" t="s">
        <v>73</v>
      </c>
      <c r="D7741">
        <v>17045</v>
      </c>
      <c r="E7741" t="s">
        <v>378</v>
      </c>
    </row>
    <row r="7742" spans="1:5" x14ac:dyDescent="0.25">
      <c r="A7742" s="279">
        <v>39247</v>
      </c>
      <c r="B7742" t="s">
        <v>339</v>
      </c>
      <c r="C7742" t="s">
        <v>74</v>
      </c>
      <c r="D7742">
        <v>0</v>
      </c>
      <c r="E7742" t="s">
        <v>380</v>
      </c>
    </row>
    <row r="7743" spans="1:5" x14ac:dyDescent="0.25">
      <c r="A7743" s="279">
        <v>39247</v>
      </c>
      <c r="B7743" t="s">
        <v>339</v>
      </c>
      <c r="C7743" t="s">
        <v>75</v>
      </c>
      <c r="D7743">
        <v>15301</v>
      </c>
      <c r="E7743" t="s">
        <v>378</v>
      </c>
    </row>
    <row r="7744" spans="1:5" x14ac:dyDescent="0.25">
      <c r="A7744" s="279">
        <v>39247</v>
      </c>
      <c r="B7744" t="s">
        <v>339</v>
      </c>
      <c r="C7744" t="s">
        <v>76</v>
      </c>
      <c r="D7744">
        <v>13866</v>
      </c>
      <c r="E7744" t="s">
        <v>380</v>
      </c>
    </row>
    <row r="7745" spans="1:5" x14ac:dyDescent="0.25">
      <c r="A7745" s="279">
        <v>39247</v>
      </c>
      <c r="B7745" t="s">
        <v>339</v>
      </c>
      <c r="C7745" t="s">
        <v>77</v>
      </c>
      <c r="D7745">
        <v>7296</v>
      </c>
      <c r="E7745" t="s">
        <v>378</v>
      </c>
    </row>
    <row r="7746" spans="1:5" x14ac:dyDescent="0.25">
      <c r="A7746" s="279">
        <v>39247</v>
      </c>
      <c r="B7746" t="s">
        <v>339</v>
      </c>
      <c r="C7746" t="s">
        <v>78</v>
      </c>
      <c r="D7746">
        <v>0</v>
      </c>
      <c r="E7746" t="s">
        <v>380</v>
      </c>
    </row>
    <row r="7747" spans="1:5" x14ac:dyDescent="0.25">
      <c r="A7747" s="279">
        <v>39247</v>
      </c>
      <c r="B7747" t="s">
        <v>339</v>
      </c>
      <c r="C7747" t="s">
        <v>79</v>
      </c>
      <c r="D7747">
        <v>97794</v>
      </c>
      <c r="E7747" t="s">
        <v>379</v>
      </c>
    </row>
    <row r="7748" spans="1:5" x14ac:dyDescent="0.25">
      <c r="A7748" s="279">
        <v>39247</v>
      </c>
      <c r="B7748" t="s">
        <v>339</v>
      </c>
      <c r="C7748" t="s">
        <v>70</v>
      </c>
      <c r="D7748">
        <v>0</v>
      </c>
      <c r="E7748" t="s">
        <v>379</v>
      </c>
    </row>
    <row r="7749" spans="1:5" x14ac:dyDescent="0.25">
      <c r="A7749" s="279">
        <v>39247</v>
      </c>
      <c r="B7749" t="s">
        <v>339</v>
      </c>
      <c r="C7749" t="s">
        <v>63</v>
      </c>
      <c r="D7749">
        <v>17369</v>
      </c>
      <c r="E7749" t="s">
        <v>378</v>
      </c>
    </row>
    <row r="7750" spans="1:5" x14ac:dyDescent="0.25">
      <c r="A7750" s="279">
        <v>39247</v>
      </c>
      <c r="B7750" t="s">
        <v>339</v>
      </c>
      <c r="C7750" t="s">
        <v>80</v>
      </c>
      <c r="D7750">
        <v>799</v>
      </c>
      <c r="E7750" t="s">
        <v>379</v>
      </c>
    </row>
    <row r="7751" spans="1:5" x14ac:dyDescent="0.25">
      <c r="A7751" s="279">
        <v>39248</v>
      </c>
      <c r="B7751" t="s">
        <v>338</v>
      </c>
      <c r="C7751" t="s">
        <v>59</v>
      </c>
      <c r="D7751">
        <v>2570</v>
      </c>
      <c r="E7751" t="s">
        <v>378</v>
      </c>
    </row>
    <row r="7752" spans="1:5" x14ac:dyDescent="0.25">
      <c r="A7752" s="279">
        <v>39248</v>
      </c>
      <c r="B7752" t="s">
        <v>338</v>
      </c>
      <c r="C7752" t="s">
        <v>60</v>
      </c>
      <c r="D7752">
        <v>0</v>
      </c>
      <c r="E7752" t="s">
        <v>379</v>
      </c>
    </row>
    <row r="7753" spans="1:5" x14ac:dyDescent="0.25">
      <c r="A7753" s="279">
        <v>39248</v>
      </c>
      <c r="B7753" t="s">
        <v>338</v>
      </c>
      <c r="C7753" t="s">
        <v>61</v>
      </c>
      <c r="D7753">
        <v>7695</v>
      </c>
      <c r="E7753" t="s">
        <v>378</v>
      </c>
    </row>
    <row r="7754" spans="1:5" x14ac:dyDescent="0.25">
      <c r="A7754" s="279">
        <v>39248</v>
      </c>
      <c r="B7754" t="s">
        <v>338</v>
      </c>
      <c r="C7754" t="s">
        <v>62</v>
      </c>
      <c r="D7754">
        <v>0</v>
      </c>
      <c r="E7754" t="s">
        <v>380</v>
      </c>
    </row>
    <row r="7755" spans="1:5" x14ac:dyDescent="0.25">
      <c r="A7755" s="279">
        <v>39248</v>
      </c>
      <c r="B7755" t="s">
        <v>338</v>
      </c>
      <c r="C7755" t="s">
        <v>63</v>
      </c>
      <c r="D7755">
        <v>0</v>
      </c>
      <c r="E7755" t="s">
        <v>378</v>
      </c>
    </row>
    <row r="7756" spans="1:5" x14ac:dyDescent="0.25">
      <c r="A7756" s="279">
        <v>39248</v>
      </c>
      <c r="B7756" t="s">
        <v>338</v>
      </c>
      <c r="C7756" t="s">
        <v>64</v>
      </c>
      <c r="D7756">
        <v>0</v>
      </c>
      <c r="E7756" t="s">
        <v>380</v>
      </c>
    </row>
    <row r="7757" spans="1:5" x14ac:dyDescent="0.25">
      <c r="A7757" s="279">
        <v>39248</v>
      </c>
      <c r="B7757" t="s">
        <v>338</v>
      </c>
      <c r="C7757" t="s">
        <v>65</v>
      </c>
      <c r="D7757">
        <v>0</v>
      </c>
      <c r="E7757" t="s">
        <v>378</v>
      </c>
    </row>
    <row r="7758" spans="1:5" x14ac:dyDescent="0.25">
      <c r="A7758" s="279">
        <v>39248</v>
      </c>
      <c r="B7758" t="s">
        <v>338</v>
      </c>
      <c r="C7758" t="s">
        <v>66</v>
      </c>
      <c r="D7758">
        <v>0</v>
      </c>
      <c r="E7758" t="s">
        <v>380</v>
      </c>
    </row>
    <row r="7759" spans="1:5" x14ac:dyDescent="0.25">
      <c r="A7759" s="279">
        <v>39248</v>
      </c>
      <c r="B7759" t="s">
        <v>338</v>
      </c>
      <c r="C7759" t="s">
        <v>120</v>
      </c>
      <c r="D7759">
        <v>12220</v>
      </c>
      <c r="E7759" t="s">
        <v>378</v>
      </c>
    </row>
    <row r="7760" spans="1:5" x14ac:dyDescent="0.25">
      <c r="A7760" s="279">
        <v>39248</v>
      </c>
      <c r="B7760" t="s">
        <v>338</v>
      </c>
      <c r="C7760" t="s">
        <v>121</v>
      </c>
      <c r="D7760">
        <v>0</v>
      </c>
      <c r="E7760" t="s">
        <v>380</v>
      </c>
    </row>
    <row r="7761" spans="1:5" x14ac:dyDescent="0.25">
      <c r="A7761" s="279">
        <v>39248</v>
      </c>
      <c r="B7761" t="s">
        <v>338</v>
      </c>
      <c r="C7761" t="s">
        <v>67</v>
      </c>
      <c r="D7761">
        <v>0</v>
      </c>
      <c r="E7761" t="s">
        <v>378</v>
      </c>
    </row>
    <row r="7762" spans="1:5" x14ac:dyDescent="0.25">
      <c r="A7762" s="279">
        <v>39248</v>
      </c>
      <c r="B7762" t="s">
        <v>338</v>
      </c>
      <c r="C7762" t="s">
        <v>68</v>
      </c>
      <c r="D7762">
        <v>0</v>
      </c>
      <c r="E7762" t="s">
        <v>380</v>
      </c>
    </row>
    <row r="7763" spans="1:5" x14ac:dyDescent="0.25">
      <c r="A7763" s="279">
        <v>39248</v>
      </c>
      <c r="B7763" t="s">
        <v>338</v>
      </c>
      <c r="C7763" t="s">
        <v>69</v>
      </c>
      <c r="D7763">
        <v>0</v>
      </c>
      <c r="E7763" t="s">
        <v>379</v>
      </c>
    </row>
    <row r="7764" spans="1:5" x14ac:dyDescent="0.25">
      <c r="A7764" s="279">
        <v>39248</v>
      </c>
      <c r="B7764" t="s">
        <v>338</v>
      </c>
      <c r="C7764" t="s">
        <v>70</v>
      </c>
      <c r="D7764">
        <v>0</v>
      </c>
      <c r="E7764" t="s">
        <v>379</v>
      </c>
    </row>
    <row r="7765" spans="1:5" x14ac:dyDescent="0.25">
      <c r="A7765" s="279">
        <v>39248</v>
      </c>
      <c r="B7765" t="s">
        <v>338</v>
      </c>
      <c r="C7765" t="s">
        <v>80</v>
      </c>
      <c r="D7765">
        <v>186</v>
      </c>
      <c r="E7765" t="s">
        <v>379</v>
      </c>
    </row>
    <row r="7766" spans="1:5" x14ac:dyDescent="0.25">
      <c r="A7766" s="279">
        <v>39248</v>
      </c>
      <c r="B7766" t="s">
        <v>339</v>
      </c>
      <c r="C7766" t="s">
        <v>71</v>
      </c>
      <c r="D7766">
        <v>1910</v>
      </c>
      <c r="E7766" t="s">
        <v>378</v>
      </c>
    </row>
    <row r="7767" spans="1:5" x14ac:dyDescent="0.25">
      <c r="A7767" s="279">
        <v>39248</v>
      </c>
      <c r="B7767" t="s">
        <v>339</v>
      </c>
      <c r="C7767" t="s">
        <v>72</v>
      </c>
      <c r="D7767">
        <v>0</v>
      </c>
      <c r="E7767" t="s">
        <v>380</v>
      </c>
    </row>
    <row r="7768" spans="1:5" x14ac:dyDescent="0.25">
      <c r="A7768" s="279">
        <v>39248</v>
      </c>
      <c r="B7768" t="s">
        <v>339</v>
      </c>
      <c r="C7768" t="s">
        <v>73</v>
      </c>
      <c r="D7768">
        <v>16979</v>
      </c>
      <c r="E7768" t="s">
        <v>378</v>
      </c>
    </row>
    <row r="7769" spans="1:5" x14ac:dyDescent="0.25">
      <c r="A7769" s="279">
        <v>39248</v>
      </c>
      <c r="B7769" t="s">
        <v>339</v>
      </c>
      <c r="C7769" t="s">
        <v>74</v>
      </c>
      <c r="D7769">
        <v>0</v>
      </c>
      <c r="E7769" t="s">
        <v>380</v>
      </c>
    </row>
    <row r="7770" spans="1:5" x14ac:dyDescent="0.25">
      <c r="A7770" s="279">
        <v>39248</v>
      </c>
      <c r="B7770" t="s">
        <v>339</v>
      </c>
      <c r="C7770" t="s">
        <v>75</v>
      </c>
      <c r="D7770">
        <v>15242</v>
      </c>
      <c r="E7770" t="s">
        <v>378</v>
      </c>
    </row>
    <row r="7771" spans="1:5" x14ac:dyDescent="0.25">
      <c r="A7771" s="279">
        <v>39248</v>
      </c>
      <c r="B7771" t="s">
        <v>339</v>
      </c>
      <c r="C7771" t="s">
        <v>76</v>
      </c>
      <c r="D7771">
        <v>10916</v>
      </c>
      <c r="E7771" t="s">
        <v>380</v>
      </c>
    </row>
    <row r="7772" spans="1:5" x14ac:dyDescent="0.25">
      <c r="A7772" s="279">
        <v>39248</v>
      </c>
      <c r="B7772" t="s">
        <v>339</v>
      </c>
      <c r="C7772" t="s">
        <v>77</v>
      </c>
      <c r="D7772">
        <v>7268</v>
      </c>
      <c r="E7772" t="s">
        <v>378</v>
      </c>
    </row>
    <row r="7773" spans="1:5" x14ac:dyDescent="0.25">
      <c r="A7773" s="279">
        <v>39248</v>
      </c>
      <c r="B7773" t="s">
        <v>339</v>
      </c>
      <c r="C7773" t="s">
        <v>78</v>
      </c>
      <c r="D7773">
        <v>0</v>
      </c>
      <c r="E7773" t="s">
        <v>380</v>
      </c>
    </row>
    <row r="7774" spans="1:5" x14ac:dyDescent="0.25">
      <c r="A7774" s="279">
        <v>39248</v>
      </c>
      <c r="B7774" t="s">
        <v>339</v>
      </c>
      <c r="C7774" t="s">
        <v>79</v>
      </c>
      <c r="D7774">
        <v>97417</v>
      </c>
      <c r="E7774" t="s">
        <v>379</v>
      </c>
    </row>
    <row r="7775" spans="1:5" x14ac:dyDescent="0.25">
      <c r="A7775" s="279">
        <v>39248</v>
      </c>
      <c r="B7775" t="s">
        <v>339</v>
      </c>
      <c r="C7775" t="s">
        <v>70</v>
      </c>
      <c r="D7775">
        <v>0</v>
      </c>
      <c r="E7775" t="s">
        <v>379</v>
      </c>
    </row>
    <row r="7776" spans="1:5" x14ac:dyDescent="0.25">
      <c r="A7776" s="279">
        <v>39248</v>
      </c>
      <c r="B7776" t="s">
        <v>339</v>
      </c>
      <c r="C7776" t="s">
        <v>63</v>
      </c>
      <c r="D7776">
        <v>17303</v>
      </c>
      <c r="E7776" t="s">
        <v>378</v>
      </c>
    </row>
    <row r="7777" spans="1:5" x14ac:dyDescent="0.25">
      <c r="A7777" s="279">
        <v>39248</v>
      </c>
      <c r="B7777" t="s">
        <v>339</v>
      </c>
      <c r="C7777" t="s">
        <v>80</v>
      </c>
      <c r="D7777">
        <v>796</v>
      </c>
      <c r="E7777" t="s">
        <v>379</v>
      </c>
    </row>
    <row r="7778" spans="1:5" x14ac:dyDescent="0.25">
      <c r="A7778" s="279">
        <v>39249</v>
      </c>
      <c r="B7778" t="s">
        <v>338</v>
      </c>
      <c r="C7778" t="s">
        <v>59</v>
      </c>
      <c r="D7778">
        <v>2573</v>
      </c>
      <c r="E7778" t="s">
        <v>378</v>
      </c>
    </row>
    <row r="7779" spans="1:5" x14ac:dyDescent="0.25">
      <c r="A7779" s="279">
        <v>39249</v>
      </c>
      <c r="B7779" t="s">
        <v>338</v>
      </c>
      <c r="C7779" t="s">
        <v>60</v>
      </c>
      <c r="D7779">
        <v>0</v>
      </c>
      <c r="E7779" t="s">
        <v>379</v>
      </c>
    </row>
    <row r="7780" spans="1:5" x14ac:dyDescent="0.25">
      <c r="A7780" s="279">
        <v>39249</v>
      </c>
      <c r="B7780" t="s">
        <v>338</v>
      </c>
      <c r="C7780" t="s">
        <v>61</v>
      </c>
      <c r="D7780">
        <v>7762</v>
      </c>
      <c r="E7780" t="s">
        <v>378</v>
      </c>
    </row>
    <row r="7781" spans="1:5" x14ac:dyDescent="0.25">
      <c r="A7781" s="279">
        <v>39249</v>
      </c>
      <c r="B7781" t="s">
        <v>338</v>
      </c>
      <c r="C7781" t="s">
        <v>62</v>
      </c>
      <c r="D7781">
        <v>0</v>
      </c>
      <c r="E7781" t="s">
        <v>380</v>
      </c>
    </row>
    <row r="7782" spans="1:5" x14ac:dyDescent="0.25">
      <c r="A7782" s="279">
        <v>39249</v>
      </c>
      <c r="B7782" t="s">
        <v>338</v>
      </c>
      <c r="C7782" t="s">
        <v>63</v>
      </c>
      <c r="D7782">
        <v>0</v>
      </c>
      <c r="E7782" t="s">
        <v>378</v>
      </c>
    </row>
    <row r="7783" spans="1:5" x14ac:dyDescent="0.25">
      <c r="A7783" s="279">
        <v>39249</v>
      </c>
      <c r="B7783" t="s">
        <v>338</v>
      </c>
      <c r="C7783" t="s">
        <v>64</v>
      </c>
      <c r="D7783">
        <v>0</v>
      </c>
      <c r="E7783" t="s">
        <v>380</v>
      </c>
    </row>
    <row r="7784" spans="1:5" x14ac:dyDescent="0.25">
      <c r="A7784" s="279">
        <v>39249</v>
      </c>
      <c r="B7784" t="s">
        <v>338</v>
      </c>
      <c r="C7784" t="s">
        <v>65</v>
      </c>
      <c r="D7784">
        <v>0</v>
      </c>
      <c r="E7784" t="s">
        <v>378</v>
      </c>
    </row>
    <row r="7785" spans="1:5" x14ac:dyDescent="0.25">
      <c r="A7785" s="279">
        <v>39249</v>
      </c>
      <c r="B7785" t="s">
        <v>338</v>
      </c>
      <c r="C7785" t="s">
        <v>66</v>
      </c>
      <c r="D7785">
        <v>0</v>
      </c>
      <c r="E7785" t="s">
        <v>380</v>
      </c>
    </row>
    <row r="7786" spans="1:5" x14ac:dyDescent="0.25">
      <c r="A7786" s="279">
        <v>39249</v>
      </c>
      <c r="B7786" t="s">
        <v>338</v>
      </c>
      <c r="C7786" t="s">
        <v>120</v>
      </c>
      <c r="D7786">
        <v>12232</v>
      </c>
      <c r="E7786" t="s">
        <v>378</v>
      </c>
    </row>
    <row r="7787" spans="1:5" x14ac:dyDescent="0.25">
      <c r="A7787" s="279">
        <v>39249</v>
      </c>
      <c r="B7787" t="s">
        <v>338</v>
      </c>
      <c r="C7787" t="s">
        <v>121</v>
      </c>
      <c r="D7787">
        <v>0</v>
      </c>
      <c r="E7787" t="s">
        <v>380</v>
      </c>
    </row>
    <row r="7788" spans="1:5" x14ac:dyDescent="0.25">
      <c r="A7788" s="279">
        <v>39249</v>
      </c>
      <c r="B7788" t="s">
        <v>338</v>
      </c>
      <c r="C7788" t="s">
        <v>67</v>
      </c>
      <c r="D7788">
        <v>0</v>
      </c>
      <c r="E7788" t="s">
        <v>378</v>
      </c>
    </row>
    <row r="7789" spans="1:5" x14ac:dyDescent="0.25">
      <c r="A7789" s="279">
        <v>39249</v>
      </c>
      <c r="B7789" t="s">
        <v>338</v>
      </c>
      <c r="C7789" t="s">
        <v>68</v>
      </c>
      <c r="D7789">
        <v>0</v>
      </c>
      <c r="E7789" t="s">
        <v>380</v>
      </c>
    </row>
    <row r="7790" spans="1:5" x14ac:dyDescent="0.25">
      <c r="A7790" s="279">
        <v>39249</v>
      </c>
      <c r="B7790" t="s">
        <v>338</v>
      </c>
      <c r="C7790" t="s">
        <v>69</v>
      </c>
      <c r="D7790">
        <v>0</v>
      </c>
      <c r="E7790" t="s">
        <v>379</v>
      </c>
    </row>
    <row r="7791" spans="1:5" x14ac:dyDescent="0.25">
      <c r="A7791" s="279">
        <v>39249</v>
      </c>
      <c r="B7791" t="s">
        <v>338</v>
      </c>
      <c r="C7791" t="s">
        <v>70</v>
      </c>
      <c r="D7791">
        <v>0</v>
      </c>
      <c r="E7791" t="s">
        <v>379</v>
      </c>
    </row>
    <row r="7792" spans="1:5" x14ac:dyDescent="0.25">
      <c r="A7792" s="279">
        <v>39249</v>
      </c>
      <c r="B7792" t="s">
        <v>338</v>
      </c>
      <c r="C7792" t="s">
        <v>80</v>
      </c>
      <c r="D7792">
        <v>186</v>
      </c>
      <c r="E7792" t="s">
        <v>379</v>
      </c>
    </row>
    <row r="7793" spans="1:5" x14ac:dyDescent="0.25">
      <c r="A7793" s="279">
        <v>39249</v>
      </c>
      <c r="B7793" t="s">
        <v>339</v>
      </c>
      <c r="C7793" t="s">
        <v>71</v>
      </c>
      <c r="D7793">
        <v>1910</v>
      </c>
      <c r="E7793" t="s">
        <v>378</v>
      </c>
    </row>
    <row r="7794" spans="1:5" x14ac:dyDescent="0.25">
      <c r="A7794" s="279">
        <v>39249</v>
      </c>
      <c r="B7794" t="s">
        <v>339</v>
      </c>
      <c r="C7794" t="s">
        <v>72</v>
      </c>
      <c r="D7794">
        <v>0</v>
      </c>
      <c r="E7794" t="s">
        <v>380</v>
      </c>
    </row>
    <row r="7795" spans="1:5" x14ac:dyDescent="0.25">
      <c r="A7795" s="279">
        <v>39249</v>
      </c>
      <c r="B7795" t="s">
        <v>339</v>
      </c>
      <c r="C7795" t="s">
        <v>73</v>
      </c>
      <c r="D7795">
        <v>16979</v>
      </c>
      <c r="E7795" t="s">
        <v>378</v>
      </c>
    </row>
    <row r="7796" spans="1:5" x14ac:dyDescent="0.25">
      <c r="A7796" s="279">
        <v>39249</v>
      </c>
      <c r="B7796" t="s">
        <v>339</v>
      </c>
      <c r="C7796" t="s">
        <v>74</v>
      </c>
      <c r="D7796">
        <v>0</v>
      </c>
      <c r="E7796" t="s">
        <v>380</v>
      </c>
    </row>
    <row r="7797" spans="1:5" x14ac:dyDescent="0.25">
      <c r="A7797" s="279">
        <v>39249</v>
      </c>
      <c r="B7797" t="s">
        <v>339</v>
      </c>
      <c r="C7797" t="s">
        <v>75</v>
      </c>
      <c r="D7797">
        <v>15242</v>
      </c>
      <c r="E7797" t="s">
        <v>378</v>
      </c>
    </row>
    <row r="7798" spans="1:5" x14ac:dyDescent="0.25">
      <c r="A7798" s="279">
        <v>39249</v>
      </c>
      <c r="B7798" t="s">
        <v>339</v>
      </c>
      <c r="C7798" t="s">
        <v>76</v>
      </c>
      <c r="D7798">
        <v>7828</v>
      </c>
      <c r="E7798" t="s">
        <v>380</v>
      </c>
    </row>
    <row r="7799" spans="1:5" x14ac:dyDescent="0.25">
      <c r="A7799" s="279">
        <v>39249</v>
      </c>
      <c r="B7799" t="s">
        <v>339</v>
      </c>
      <c r="C7799" t="s">
        <v>77</v>
      </c>
      <c r="D7799">
        <v>7268</v>
      </c>
      <c r="E7799" t="s">
        <v>378</v>
      </c>
    </row>
    <row r="7800" spans="1:5" x14ac:dyDescent="0.25">
      <c r="A7800" s="279">
        <v>39249</v>
      </c>
      <c r="B7800" t="s">
        <v>339</v>
      </c>
      <c r="C7800" t="s">
        <v>78</v>
      </c>
      <c r="D7800">
        <v>0</v>
      </c>
      <c r="E7800" t="s">
        <v>380</v>
      </c>
    </row>
    <row r="7801" spans="1:5" x14ac:dyDescent="0.25">
      <c r="A7801" s="279">
        <v>39249</v>
      </c>
      <c r="B7801" t="s">
        <v>339</v>
      </c>
      <c r="C7801" t="s">
        <v>79</v>
      </c>
      <c r="D7801">
        <v>97972</v>
      </c>
      <c r="E7801" t="s">
        <v>379</v>
      </c>
    </row>
    <row r="7802" spans="1:5" x14ac:dyDescent="0.25">
      <c r="A7802" s="279">
        <v>39249</v>
      </c>
      <c r="B7802" t="s">
        <v>339</v>
      </c>
      <c r="C7802" t="s">
        <v>70</v>
      </c>
      <c r="D7802">
        <v>0</v>
      </c>
      <c r="E7802" t="s">
        <v>379</v>
      </c>
    </row>
    <row r="7803" spans="1:5" x14ac:dyDescent="0.25">
      <c r="A7803" s="279">
        <v>39249</v>
      </c>
      <c r="B7803" t="s">
        <v>339</v>
      </c>
      <c r="C7803" t="s">
        <v>63</v>
      </c>
      <c r="D7803">
        <v>17303</v>
      </c>
      <c r="E7803" t="s">
        <v>378</v>
      </c>
    </row>
    <row r="7804" spans="1:5" x14ac:dyDescent="0.25">
      <c r="A7804" s="279">
        <v>39249</v>
      </c>
      <c r="B7804" t="s">
        <v>339</v>
      </c>
      <c r="C7804" t="s">
        <v>80</v>
      </c>
      <c r="D7804">
        <v>796</v>
      </c>
      <c r="E7804" t="s">
        <v>379</v>
      </c>
    </row>
    <row r="7805" spans="1:5" x14ac:dyDescent="0.25">
      <c r="A7805" s="279">
        <v>39250</v>
      </c>
      <c r="B7805" t="s">
        <v>338</v>
      </c>
      <c r="C7805" t="s">
        <v>59</v>
      </c>
      <c r="D7805">
        <v>2578</v>
      </c>
      <c r="E7805" t="s">
        <v>378</v>
      </c>
    </row>
    <row r="7806" spans="1:5" x14ac:dyDescent="0.25">
      <c r="A7806" s="279">
        <v>39250</v>
      </c>
      <c r="B7806" t="s">
        <v>338</v>
      </c>
      <c r="C7806" t="s">
        <v>60</v>
      </c>
      <c r="D7806">
        <v>0</v>
      </c>
      <c r="E7806" t="s">
        <v>379</v>
      </c>
    </row>
    <row r="7807" spans="1:5" x14ac:dyDescent="0.25">
      <c r="A7807" s="279">
        <v>39250</v>
      </c>
      <c r="B7807" t="s">
        <v>338</v>
      </c>
      <c r="C7807" t="s">
        <v>61</v>
      </c>
      <c r="D7807">
        <v>7787</v>
      </c>
      <c r="E7807" t="s">
        <v>378</v>
      </c>
    </row>
    <row r="7808" spans="1:5" x14ac:dyDescent="0.25">
      <c r="A7808" s="279">
        <v>39250</v>
      </c>
      <c r="B7808" t="s">
        <v>338</v>
      </c>
      <c r="C7808" t="s">
        <v>62</v>
      </c>
      <c r="D7808">
        <v>0</v>
      </c>
      <c r="E7808" t="s">
        <v>380</v>
      </c>
    </row>
    <row r="7809" spans="1:5" x14ac:dyDescent="0.25">
      <c r="A7809" s="279">
        <v>39250</v>
      </c>
      <c r="B7809" t="s">
        <v>338</v>
      </c>
      <c r="C7809" t="s">
        <v>63</v>
      </c>
      <c r="D7809">
        <v>0</v>
      </c>
      <c r="E7809" t="s">
        <v>378</v>
      </c>
    </row>
    <row r="7810" spans="1:5" x14ac:dyDescent="0.25">
      <c r="A7810" s="279">
        <v>39250</v>
      </c>
      <c r="B7810" t="s">
        <v>338</v>
      </c>
      <c r="C7810" t="s">
        <v>64</v>
      </c>
      <c r="D7810">
        <v>0</v>
      </c>
      <c r="E7810" t="s">
        <v>380</v>
      </c>
    </row>
    <row r="7811" spans="1:5" x14ac:dyDescent="0.25">
      <c r="A7811" s="279">
        <v>39250</v>
      </c>
      <c r="B7811" t="s">
        <v>338</v>
      </c>
      <c r="C7811" t="s">
        <v>65</v>
      </c>
      <c r="D7811">
        <v>0</v>
      </c>
      <c r="E7811" t="s">
        <v>378</v>
      </c>
    </row>
    <row r="7812" spans="1:5" x14ac:dyDescent="0.25">
      <c r="A7812" s="279">
        <v>39250</v>
      </c>
      <c r="B7812" t="s">
        <v>338</v>
      </c>
      <c r="C7812" t="s">
        <v>66</v>
      </c>
      <c r="D7812">
        <v>0</v>
      </c>
      <c r="E7812" t="s">
        <v>380</v>
      </c>
    </row>
    <row r="7813" spans="1:5" x14ac:dyDescent="0.25">
      <c r="A7813" s="279">
        <v>39250</v>
      </c>
      <c r="B7813" t="s">
        <v>338</v>
      </c>
      <c r="C7813" t="s">
        <v>120</v>
      </c>
      <c r="D7813">
        <v>12256</v>
      </c>
      <c r="E7813" t="s">
        <v>378</v>
      </c>
    </row>
    <row r="7814" spans="1:5" x14ac:dyDescent="0.25">
      <c r="A7814" s="279">
        <v>39250</v>
      </c>
      <c r="B7814" t="s">
        <v>338</v>
      </c>
      <c r="C7814" t="s">
        <v>121</v>
      </c>
      <c r="D7814">
        <v>0</v>
      </c>
      <c r="E7814" t="s">
        <v>380</v>
      </c>
    </row>
    <row r="7815" spans="1:5" x14ac:dyDescent="0.25">
      <c r="A7815" s="279">
        <v>39250</v>
      </c>
      <c r="B7815" t="s">
        <v>338</v>
      </c>
      <c r="C7815" t="s">
        <v>67</v>
      </c>
      <c r="D7815">
        <v>0</v>
      </c>
      <c r="E7815" t="s">
        <v>378</v>
      </c>
    </row>
    <row r="7816" spans="1:5" x14ac:dyDescent="0.25">
      <c r="A7816" s="279">
        <v>39250</v>
      </c>
      <c r="B7816" t="s">
        <v>338</v>
      </c>
      <c r="C7816" t="s">
        <v>68</v>
      </c>
      <c r="D7816">
        <v>0</v>
      </c>
      <c r="E7816" t="s">
        <v>380</v>
      </c>
    </row>
    <row r="7817" spans="1:5" x14ac:dyDescent="0.25">
      <c r="A7817" s="279">
        <v>39250</v>
      </c>
      <c r="B7817" t="s">
        <v>338</v>
      </c>
      <c r="C7817" t="s">
        <v>69</v>
      </c>
      <c r="D7817">
        <v>0</v>
      </c>
      <c r="E7817" t="s">
        <v>379</v>
      </c>
    </row>
    <row r="7818" spans="1:5" x14ac:dyDescent="0.25">
      <c r="A7818" s="279">
        <v>39250</v>
      </c>
      <c r="B7818" t="s">
        <v>338</v>
      </c>
      <c r="C7818" t="s">
        <v>70</v>
      </c>
      <c r="D7818">
        <v>0</v>
      </c>
      <c r="E7818" t="s">
        <v>379</v>
      </c>
    </row>
    <row r="7819" spans="1:5" x14ac:dyDescent="0.25">
      <c r="A7819" s="279">
        <v>39250</v>
      </c>
      <c r="B7819" t="s">
        <v>338</v>
      </c>
      <c r="C7819" t="s">
        <v>80</v>
      </c>
      <c r="D7819">
        <v>187</v>
      </c>
      <c r="E7819" t="s">
        <v>379</v>
      </c>
    </row>
    <row r="7820" spans="1:5" x14ac:dyDescent="0.25">
      <c r="A7820" s="279">
        <v>39250</v>
      </c>
      <c r="B7820" t="s">
        <v>339</v>
      </c>
      <c r="C7820" t="s">
        <v>71</v>
      </c>
      <c r="D7820">
        <v>1912</v>
      </c>
      <c r="E7820" t="s">
        <v>378</v>
      </c>
    </row>
    <row r="7821" spans="1:5" x14ac:dyDescent="0.25">
      <c r="A7821" s="279">
        <v>39250</v>
      </c>
      <c r="B7821" t="s">
        <v>339</v>
      </c>
      <c r="C7821" t="s">
        <v>72</v>
      </c>
      <c r="D7821">
        <v>0</v>
      </c>
      <c r="E7821" t="s">
        <v>380</v>
      </c>
    </row>
    <row r="7822" spans="1:5" x14ac:dyDescent="0.25">
      <c r="A7822" s="279">
        <v>39250</v>
      </c>
      <c r="B7822" t="s">
        <v>339</v>
      </c>
      <c r="C7822" t="s">
        <v>73</v>
      </c>
      <c r="D7822">
        <v>16996</v>
      </c>
      <c r="E7822" t="s">
        <v>378</v>
      </c>
    </row>
    <row r="7823" spans="1:5" x14ac:dyDescent="0.25">
      <c r="A7823" s="279">
        <v>39250</v>
      </c>
      <c r="B7823" t="s">
        <v>339</v>
      </c>
      <c r="C7823" t="s">
        <v>74</v>
      </c>
      <c r="D7823">
        <v>0</v>
      </c>
      <c r="E7823" t="s">
        <v>380</v>
      </c>
    </row>
    <row r="7824" spans="1:5" x14ac:dyDescent="0.25">
      <c r="A7824" s="279">
        <v>39250</v>
      </c>
      <c r="B7824" t="s">
        <v>339</v>
      </c>
      <c r="C7824" t="s">
        <v>75</v>
      </c>
      <c r="D7824">
        <v>15257</v>
      </c>
      <c r="E7824" t="s">
        <v>378</v>
      </c>
    </row>
    <row r="7825" spans="1:5" x14ac:dyDescent="0.25">
      <c r="A7825" s="279">
        <v>39250</v>
      </c>
      <c r="B7825" t="s">
        <v>339</v>
      </c>
      <c r="C7825" t="s">
        <v>76</v>
      </c>
      <c r="D7825">
        <v>8826</v>
      </c>
      <c r="E7825" t="s">
        <v>380</v>
      </c>
    </row>
    <row r="7826" spans="1:5" x14ac:dyDescent="0.25">
      <c r="A7826" s="279">
        <v>39250</v>
      </c>
      <c r="B7826" t="s">
        <v>339</v>
      </c>
      <c r="C7826" t="s">
        <v>77</v>
      </c>
      <c r="D7826">
        <v>7275</v>
      </c>
      <c r="E7826" t="s">
        <v>378</v>
      </c>
    </row>
    <row r="7827" spans="1:5" x14ac:dyDescent="0.25">
      <c r="A7827" s="279">
        <v>39250</v>
      </c>
      <c r="B7827" t="s">
        <v>339</v>
      </c>
      <c r="C7827" t="s">
        <v>78</v>
      </c>
      <c r="D7827">
        <v>0</v>
      </c>
      <c r="E7827" t="s">
        <v>380</v>
      </c>
    </row>
    <row r="7828" spans="1:5" x14ac:dyDescent="0.25">
      <c r="A7828" s="279">
        <v>39250</v>
      </c>
      <c r="B7828" t="s">
        <v>339</v>
      </c>
      <c r="C7828" t="s">
        <v>79</v>
      </c>
      <c r="D7828">
        <v>98067</v>
      </c>
      <c r="E7828" t="s">
        <v>379</v>
      </c>
    </row>
    <row r="7829" spans="1:5" x14ac:dyDescent="0.25">
      <c r="A7829" s="279">
        <v>39250</v>
      </c>
      <c r="B7829" t="s">
        <v>339</v>
      </c>
      <c r="C7829" t="s">
        <v>70</v>
      </c>
      <c r="D7829">
        <v>0</v>
      </c>
      <c r="E7829" t="s">
        <v>379</v>
      </c>
    </row>
    <row r="7830" spans="1:5" x14ac:dyDescent="0.25">
      <c r="A7830" s="279">
        <v>39250</v>
      </c>
      <c r="B7830" t="s">
        <v>339</v>
      </c>
      <c r="C7830" t="s">
        <v>63</v>
      </c>
      <c r="D7830">
        <v>17319</v>
      </c>
      <c r="E7830" t="s">
        <v>378</v>
      </c>
    </row>
    <row r="7831" spans="1:5" x14ac:dyDescent="0.25">
      <c r="A7831" s="279">
        <v>39250</v>
      </c>
      <c r="B7831" t="s">
        <v>339</v>
      </c>
      <c r="C7831" t="s">
        <v>80</v>
      </c>
      <c r="D7831">
        <v>797</v>
      </c>
      <c r="E7831" t="s">
        <v>379</v>
      </c>
    </row>
    <row r="7832" spans="1:5" x14ac:dyDescent="0.25">
      <c r="A7832" s="279">
        <v>39251</v>
      </c>
      <c r="B7832" t="s">
        <v>338</v>
      </c>
      <c r="C7832" t="s">
        <v>59</v>
      </c>
      <c r="D7832">
        <v>2575</v>
      </c>
      <c r="E7832" t="s">
        <v>378</v>
      </c>
    </row>
    <row r="7833" spans="1:5" x14ac:dyDescent="0.25">
      <c r="A7833" s="279">
        <v>39251</v>
      </c>
      <c r="B7833" t="s">
        <v>338</v>
      </c>
      <c r="C7833" t="s">
        <v>60</v>
      </c>
      <c r="D7833">
        <v>0</v>
      </c>
      <c r="E7833" t="s">
        <v>379</v>
      </c>
    </row>
    <row r="7834" spans="1:5" x14ac:dyDescent="0.25">
      <c r="A7834" s="279">
        <v>39251</v>
      </c>
      <c r="B7834" t="s">
        <v>338</v>
      </c>
      <c r="C7834" t="s">
        <v>61</v>
      </c>
      <c r="D7834">
        <v>7750</v>
      </c>
      <c r="E7834" t="s">
        <v>378</v>
      </c>
    </row>
    <row r="7835" spans="1:5" x14ac:dyDescent="0.25">
      <c r="A7835" s="279">
        <v>39251</v>
      </c>
      <c r="B7835" t="s">
        <v>338</v>
      </c>
      <c r="C7835" t="s">
        <v>62</v>
      </c>
      <c r="D7835">
        <v>0</v>
      </c>
      <c r="E7835" t="s">
        <v>380</v>
      </c>
    </row>
    <row r="7836" spans="1:5" x14ac:dyDescent="0.25">
      <c r="A7836" s="279">
        <v>39251</v>
      </c>
      <c r="B7836" t="s">
        <v>338</v>
      </c>
      <c r="C7836" t="s">
        <v>63</v>
      </c>
      <c r="D7836">
        <v>0</v>
      </c>
      <c r="E7836" t="s">
        <v>378</v>
      </c>
    </row>
    <row r="7837" spans="1:5" x14ac:dyDescent="0.25">
      <c r="A7837" s="279">
        <v>39251</v>
      </c>
      <c r="B7837" t="s">
        <v>338</v>
      </c>
      <c r="C7837" t="s">
        <v>64</v>
      </c>
      <c r="D7837">
        <v>0</v>
      </c>
      <c r="E7837" t="s">
        <v>380</v>
      </c>
    </row>
    <row r="7838" spans="1:5" x14ac:dyDescent="0.25">
      <c r="A7838" s="279">
        <v>39251</v>
      </c>
      <c r="B7838" t="s">
        <v>338</v>
      </c>
      <c r="C7838" t="s">
        <v>65</v>
      </c>
      <c r="D7838">
        <v>0</v>
      </c>
      <c r="E7838" t="s">
        <v>378</v>
      </c>
    </row>
    <row r="7839" spans="1:5" x14ac:dyDescent="0.25">
      <c r="A7839" s="279">
        <v>39251</v>
      </c>
      <c r="B7839" t="s">
        <v>338</v>
      </c>
      <c r="C7839" t="s">
        <v>66</v>
      </c>
      <c r="D7839">
        <v>0</v>
      </c>
      <c r="E7839" t="s">
        <v>380</v>
      </c>
    </row>
    <row r="7840" spans="1:5" x14ac:dyDescent="0.25">
      <c r="A7840" s="279">
        <v>39251</v>
      </c>
      <c r="B7840" t="s">
        <v>338</v>
      </c>
      <c r="C7840" t="s">
        <v>120</v>
      </c>
      <c r="D7840">
        <v>12244</v>
      </c>
      <c r="E7840" t="s">
        <v>378</v>
      </c>
    </row>
    <row r="7841" spans="1:5" x14ac:dyDescent="0.25">
      <c r="A7841" s="279">
        <v>39251</v>
      </c>
      <c r="B7841" t="s">
        <v>338</v>
      </c>
      <c r="C7841" t="s">
        <v>121</v>
      </c>
      <c r="D7841">
        <v>0</v>
      </c>
      <c r="E7841" t="s">
        <v>380</v>
      </c>
    </row>
    <row r="7842" spans="1:5" x14ac:dyDescent="0.25">
      <c r="A7842" s="279">
        <v>39251</v>
      </c>
      <c r="B7842" t="s">
        <v>338</v>
      </c>
      <c r="C7842" t="s">
        <v>67</v>
      </c>
      <c r="D7842">
        <v>0</v>
      </c>
      <c r="E7842" t="s">
        <v>378</v>
      </c>
    </row>
    <row r="7843" spans="1:5" x14ac:dyDescent="0.25">
      <c r="A7843" s="279">
        <v>39251</v>
      </c>
      <c r="B7843" t="s">
        <v>338</v>
      </c>
      <c r="C7843" t="s">
        <v>68</v>
      </c>
      <c r="D7843">
        <v>0</v>
      </c>
      <c r="E7843" t="s">
        <v>380</v>
      </c>
    </row>
    <row r="7844" spans="1:5" x14ac:dyDescent="0.25">
      <c r="A7844" s="279">
        <v>39251</v>
      </c>
      <c r="B7844" t="s">
        <v>338</v>
      </c>
      <c r="C7844" t="s">
        <v>69</v>
      </c>
      <c r="D7844">
        <v>0</v>
      </c>
      <c r="E7844" t="s">
        <v>379</v>
      </c>
    </row>
    <row r="7845" spans="1:5" x14ac:dyDescent="0.25">
      <c r="A7845" s="279">
        <v>39251</v>
      </c>
      <c r="B7845" t="s">
        <v>338</v>
      </c>
      <c r="C7845" t="s">
        <v>70</v>
      </c>
      <c r="D7845">
        <v>0</v>
      </c>
      <c r="E7845" t="s">
        <v>379</v>
      </c>
    </row>
    <row r="7846" spans="1:5" x14ac:dyDescent="0.25">
      <c r="A7846" s="279">
        <v>39251</v>
      </c>
      <c r="B7846" t="s">
        <v>338</v>
      </c>
      <c r="C7846" t="s">
        <v>80</v>
      </c>
      <c r="D7846">
        <v>186</v>
      </c>
      <c r="E7846" t="s">
        <v>379</v>
      </c>
    </row>
    <row r="7847" spans="1:5" x14ac:dyDescent="0.25">
      <c r="A7847" s="279">
        <v>39251</v>
      </c>
      <c r="B7847" t="s">
        <v>339</v>
      </c>
      <c r="C7847" t="s">
        <v>71</v>
      </c>
      <c r="D7847">
        <v>1897</v>
      </c>
      <c r="E7847" t="s">
        <v>378</v>
      </c>
    </row>
    <row r="7848" spans="1:5" x14ac:dyDescent="0.25">
      <c r="A7848" s="279">
        <v>39251</v>
      </c>
      <c r="B7848" t="s">
        <v>339</v>
      </c>
      <c r="C7848" t="s">
        <v>72</v>
      </c>
      <c r="D7848">
        <v>0</v>
      </c>
      <c r="E7848" t="s">
        <v>380</v>
      </c>
    </row>
    <row r="7849" spans="1:5" x14ac:dyDescent="0.25">
      <c r="A7849" s="279">
        <v>39251</v>
      </c>
      <c r="B7849" t="s">
        <v>339</v>
      </c>
      <c r="C7849" t="s">
        <v>73</v>
      </c>
      <c r="D7849">
        <v>16866</v>
      </c>
      <c r="E7849" t="s">
        <v>378</v>
      </c>
    </row>
    <row r="7850" spans="1:5" x14ac:dyDescent="0.25">
      <c r="A7850" s="279">
        <v>39251</v>
      </c>
      <c r="B7850" t="s">
        <v>339</v>
      </c>
      <c r="C7850" t="s">
        <v>74</v>
      </c>
      <c r="D7850">
        <v>0</v>
      </c>
      <c r="E7850" t="s">
        <v>380</v>
      </c>
    </row>
    <row r="7851" spans="1:5" x14ac:dyDescent="0.25">
      <c r="A7851" s="279">
        <v>39251</v>
      </c>
      <c r="B7851" t="s">
        <v>339</v>
      </c>
      <c r="C7851" t="s">
        <v>75</v>
      </c>
      <c r="D7851">
        <v>15140</v>
      </c>
      <c r="E7851" t="s">
        <v>378</v>
      </c>
    </row>
    <row r="7852" spans="1:5" x14ac:dyDescent="0.25">
      <c r="A7852" s="279">
        <v>39251</v>
      </c>
      <c r="B7852" t="s">
        <v>339</v>
      </c>
      <c r="C7852" t="s">
        <v>76</v>
      </c>
      <c r="D7852">
        <v>11617</v>
      </c>
      <c r="E7852" t="s">
        <v>380</v>
      </c>
    </row>
    <row r="7853" spans="1:5" x14ac:dyDescent="0.25">
      <c r="A7853" s="279">
        <v>39251</v>
      </c>
      <c r="B7853" t="s">
        <v>339</v>
      </c>
      <c r="C7853" t="s">
        <v>77</v>
      </c>
      <c r="D7853">
        <v>7219</v>
      </c>
      <c r="E7853" t="s">
        <v>378</v>
      </c>
    </row>
    <row r="7854" spans="1:5" x14ac:dyDescent="0.25">
      <c r="A7854" s="279">
        <v>39251</v>
      </c>
      <c r="B7854" t="s">
        <v>339</v>
      </c>
      <c r="C7854" t="s">
        <v>78</v>
      </c>
      <c r="D7854">
        <v>0</v>
      </c>
      <c r="E7854" t="s">
        <v>380</v>
      </c>
    </row>
    <row r="7855" spans="1:5" x14ac:dyDescent="0.25">
      <c r="A7855" s="279">
        <v>39251</v>
      </c>
      <c r="B7855" t="s">
        <v>339</v>
      </c>
      <c r="C7855" t="s">
        <v>79</v>
      </c>
      <c r="D7855">
        <v>97316</v>
      </c>
      <c r="E7855" t="s">
        <v>379</v>
      </c>
    </row>
    <row r="7856" spans="1:5" x14ac:dyDescent="0.25">
      <c r="A7856" s="279">
        <v>39251</v>
      </c>
      <c r="B7856" t="s">
        <v>339</v>
      </c>
      <c r="C7856" t="s">
        <v>70</v>
      </c>
      <c r="D7856">
        <v>0</v>
      </c>
      <c r="E7856" t="s">
        <v>379</v>
      </c>
    </row>
    <row r="7857" spans="1:5" x14ac:dyDescent="0.25">
      <c r="A7857" s="279">
        <v>39251</v>
      </c>
      <c r="B7857" t="s">
        <v>339</v>
      </c>
      <c r="C7857" t="s">
        <v>63</v>
      </c>
      <c r="D7857">
        <v>17187</v>
      </c>
      <c r="E7857" t="s">
        <v>378</v>
      </c>
    </row>
    <row r="7858" spans="1:5" x14ac:dyDescent="0.25">
      <c r="A7858" s="279">
        <v>39251</v>
      </c>
      <c r="B7858" t="s">
        <v>339</v>
      </c>
      <c r="C7858" t="s">
        <v>80</v>
      </c>
      <c r="D7858">
        <v>791</v>
      </c>
      <c r="E7858" t="s">
        <v>379</v>
      </c>
    </row>
    <row r="7859" spans="1:5" x14ac:dyDescent="0.25">
      <c r="A7859" s="279">
        <v>39252</v>
      </c>
      <c r="B7859" t="s">
        <v>338</v>
      </c>
      <c r="C7859" t="s">
        <v>59</v>
      </c>
      <c r="D7859">
        <v>2575</v>
      </c>
      <c r="E7859" t="s">
        <v>378</v>
      </c>
    </row>
    <row r="7860" spans="1:5" x14ac:dyDescent="0.25">
      <c r="A7860" s="279">
        <v>39252</v>
      </c>
      <c r="B7860" t="s">
        <v>338</v>
      </c>
      <c r="C7860" t="s">
        <v>60</v>
      </c>
      <c r="D7860">
        <v>0</v>
      </c>
      <c r="E7860" t="s">
        <v>379</v>
      </c>
    </row>
    <row r="7861" spans="1:5" x14ac:dyDescent="0.25">
      <c r="A7861" s="279">
        <v>39252</v>
      </c>
      <c r="B7861" t="s">
        <v>338</v>
      </c>
      <c r="C7861" t="s">
        <v>61</v>
      </c>
      <c r="D7861">
        <v>7760</v>
      </c>
      <c r="E7861" t="s">
        <v>378</v>
      </c>
    </row>
    <row r="7862" spans="1:5" x14ac:dyDescent="0.25">
      <c r="A7862" s="279">
        <v>39252</v>
      </c>
      <c r="B7862" t="s">
        <v>338</v>
      </c>
      <c r="C7862" t="s">
        <v>62</v>
      </c>
      <c r="D7862">
        <v>0</v>
      </c>
      <c r="E7862" t="s">
        <v>380</v>
      </c>
    </row>
    <row r="7863" spans="1:5" x14ac:dyDescent="0.25">
      <c r="A7863" s="279">
        <v>39252</v>
      </c>
      <c r="B7863" t="s">
        <v>338</v>
      </c>
      <c r="C7863" t="s">
        <v>63</v>
      </c>
      <c r="D7863">
        <v>0</v>
      </c>
      <c r="E7863" t="s">
        <v>378</v>
      </c>
    </row>
    <row r="7864" spans="1:5" x14ac:dyDescent="0.25">
      <c r="A7864" s="279">
        <v>39252</v>
      </c>
      <c r="B7864" t="s">
        <v>338</v>
      </c>
      <c r="C7864" t="s">
        <v>64</v>
      </c>
      <c r="D7864">
        <v>0</v>
      </c>
      <c r="E7864" t="s">
        <v>380</v>
      </c>
    </row>
    <row r="7865" spans="1:5" x14ac:dyDescent="0.25">
      <c r="A7865" s="279">
        <v>39252</v>
      </c>
      <c r="B7865" t="s">
        <v>338</v>
      </c>
      <c r="C7865" t="s">
        <v>65</v>
      </c>
      <c r="D7865">
        <v>0</v>
      </c>
      <c r="E7865" t="s">
        <v>378</v>
      </c>
    </row>
    <row r="7866" spans="1:5" x14ac:dyDescent="0.25">
      <c r="A7866" s="279">
        <v>39252</v>
      </c>
      <c r="B7866" t="s">
        <v>338</v>
      </c>
      <c r="C7866" t="s">
        <v>66</v>
      </c>
      <c r="D7866">
        <v>0</v>
      </c>
      <c r="E7866" t="s">
        <v>380</v>
      </c>
    </row>
    <row r="7867" spans="1:5" x14ac:dyDescent="0.25">
      <c r="A7867" s="279">
        <v>39252</v>
      </c>
      <c r="B7867" t="s">
        <v>338</v>
      </c>
      <c r="C7867" t="s">
        <v>120</v>
      </c>
      <c r="D7867">
        <v>12244</v>
      </c>
      <c r="E7867" t="s">
        <v>378</v>
      </c>
    </row>
    <row r="7868" spans="1:5" x14ac:dyDescent="0.25">
      <c r="A7868" s="279">
        <v>39252</v>
      </c>
      <c r="B7868" t="s">
        <v>338</v>
      </c>
      <c r="C7868" t="s">
        <v>121</v>
      </c>
      <c r="D7868">
        <v>0</v>
      </c>
      <c r="E7868" t="s">
        <v>380</v>
      </c>
    </row>
    <row r="7869" spans="1:5" x14ac:dyDescent="0.25">
      <c r="A7869" s="279">
        <v>39252</v>
      </c>
      <c r="B7869" t="s">
        <v>338</v>
      </c>
      <c r="C7869" t="s">
        <v>67</v>
      </c>
      <c r="D7869">
        <v>0</v>
      </c>
      <c r="E7869" t="s">
        <v>378</v>
      </c>
    </row>
    <row r="7870" spans="1:5" x14ac:dyDescent="0.25">
      <c r="A7870" s="279">
        <v>39252</v>
      </c>
      <c r="B7870" t="s">
        <v>338</v>
      </c>
      <c r="C7870" t="s">
        <v>68</v>
      </c>
      <c r="D7870">
        <v>0</v>
      </c>
      <c r="E7870" t="s">
        <v>380</v>
      </c>
    </row>
    <row r="7871" spans="1:5" x14ac:dyDescent="0.25">
      <c r="A7871" s="279">
        <v>39252</v>
      </c>
      <c r="B7871" t="s">
        <v>338</v>
      </c>
      <c r="C7871" t="s">
        <v>69</v>
      </c>
      <c r="D7871">
        <v>0</v>
      </c>
      <c r="E7871" t="s">
        <v>379</v>
      </c>
    </row>
    <row r="7872" spans="1:5" x14ac:dyDescent="0.25">
      <c r="A7872" s="279">
        <v>39252</v>
      </c>
      <c r="B7872" t="s">
        <v>338</v>
      </c>
      <c r="C7872" t="s">
        <v>70</v>
      </c>
      <c r="D7872">
        <v>0</v>
      </c>
      <c r="E7872" t="s">
        <v>379</v>
      </c>
    </row>
    <row r="7873" spans="1:5" x14ac:dyDescent="0.25">
      <c r="A7873" s="279">
        <v>39252</v>
      </c>
      <c r="B7873" t="s">
        <v>338</v>
      </c>
      <c r="C7873" t="s">
        <v>80</v>
      </c>
      <c r="D7873">
        <v>186</v>
      </c>
      <c r="E7873" t="s">
        <v>379</v>
      </c>
    </row>
    <row r="7874" spans="1:5" x14ac:dyDescent="0.25">
      <c r="A7874" s="279">
        <v>39252</v>
      </c>
      <c r="B7874" t="s">
        <v>339</v>
      </c>
      <c r="C7874" t="s">
        <v>71</v>
      </c>
      <c r="D7874">
        <v>1905</v>
      </c>
      <c r="E7874" t="s">
        <v>378</v>
      </c>
    </row>
    <row r="7875" spans="1:5" x14ac:dyDescent="0.25">
      <c r="A7875" s="279">
        <v>39252</v>
      </c>
      <c r="B7875" t="s">
        <v>339</v>
      </c>
      <c r="C7875" t="s">
        <v>72</v>
      </c>
      <c r="D7875">
        <v>0</v>
      </c>
      <c r="E7875" t="s">
        <v>380</v>
      </c>
    </row>
    <row r="7876" spans="1:5" x14ac:dyDescent="0.25">
      <c r="A7876" s="279">
        <v>39252</v>
      </c>
      <c r="B7876" t="s">
        <v>339</v>
      </c>
      <c r="C7876" t="s">
        <v>73</v>
      </c>
      <c r="D7876">
        <v>16930</v>
      </c>
      <c r="E7876" t="s">
        <v>378</v>
      </c>
    </row>
    <row r="7877" spans="1:5" x14ac:dyDescent="0.25">
      <c r="A7877" s="279">
        <v>39252</v>
      </c>
      <c r="B7877" t="s">
        <v>339</v>
      </c>
      <c r="C7877" t="s">
        <v>74</v>
      </c>
      <c r="D7877">
        <v>0</v>
      </c>
      <c r="E7877" t="s">
        <v>380</v>
      </c>
    </row>
    <row r="7878" spans="1:5" x14ac:dyDescent="0.25">
      <c r="A7878" s="279">
        <v>39252</v>
      </c>
      <c r="B7878" t="s">
        <v>339</v>
      </c>
      <c r="C7878" t="s">
        <v>75</v>
      </c>
      <c r="D7878">
        <v>15198</v>
      </c>
      <c r="E7878" t="s">
        <v>378</v>
      </c>
    </row>
    <row r="7879" spans="1:5" x14ac:dyDescent="0.25">
      <c r="A7879" s="279">
        <v>39252</v>
      </c>
      <c r="B7879" t="s">
        <v>339</v>
      </c>
      <c r="C7879" t="s">
        <v>76</v>
      </c>
      <c r="D7879">
        <v>8177</v>
      </c>
      <c r="E7879" t="s">
        <v>380</v>
      </c>
    </row>
    <row r="7880" spans="1:5" x14ac:dyDescent="0.25">
      <c r="A7880" s="279">
        <v>39252</v>
      </c>
      <c r="B7880" t="s">
        <v>339</v>
      </c>
      <c r="C7880" t="s">
        <v>77</v>
      </c>
      <c r="D7880">
        <v>7247</v>
      </c>
      <c r="E7880" t="s">
        <v>378</v>
      </c>
    </row>
    <row r="7881" spans="1:5" x14ac:dyDescent="0.25">
      <c r="A7881" s="279">
        <v>39252</v>
      </c>
      <c r="B7881" t="s">
        <v>339</v>
      </c>
      <c r="C7881" t="s">
        <v>78</v>
      </c>
      <c r="D7881">
        <v>0</v>
      </c>
      <c r="E7881" t="s">
        <v>380</v>
      </c>
    </row>
    <row r="7882" spans="1:5" x14ac:dyDescent="0.25">
      <c r="A7882" s="279">
        <v>39252</v>
      </c>
      <c r="B7882" t="s">
        <v>339</v>
      </c>
      <c r="C7882" t="s">
        <v>79</v>
      </c>
      <c r="D7882">
        <v>97690</v>
      </c>
      <c r="E7882" t="s">
        <v>379</v>
      </c>
    </row>
    <row r="7883" spans="1:5" x14ac:dyDescent="0.25">
      <c r="A7883" s="279">
        <v>39252</v>
      </c>
      <c r="B7883" t="s">
        <v>339</v>
      </c>
      <c r="C7883" t="s">
        <v>70</v>
      </c>
      <c r="D7883">
        <v>0</v>
      </c>
      <c r="E7883" t="s">
        <v>379</v>
      </c>
    </row>
    <row r="7884" spans="1:5" x14ac:dyDescent="0.25">
      <c r="A7884" s="279">
        <v>39252</v>
      </c>
      <c r="B7884" t="s">
        <v>339</v>
      </c>
      <c r="C7884" t="s">
        <v>63</v>
      </c>
      <c r="D7884">
        <v>17253</v>
      </c>
      <c r="E7884" t="s">
        <v>378</v>
      </c>
    </row>
    <row r="7885" spans="1:5" x14ac:dyDescent="0.25">
      <c r="A7885" s="279">
        <v>39252</v>
      </c>
      <c r="B7885" t="s">
        <v>339</v>
      </c>
      <c r="C7885" t="s">
        <v>80</v>
      </c>
      <c r="D7885">
        <v>794</v>
      </c>
      <c r="E7885" t="s">
        <v>379</v>
      </c>
    </row>
    <row r="7886" spans="1:5" x14ac:dyDescent="0.25">
      <c r="A7886" s="279">
        <v>39253</v>
      </c>
      <c r="B7886" t="s">
        <v>338</v>
      </c>
      <c r="C7886" t="s">
        <v>59</v>
      </c>
      <c r="D7886">
        <v>2578</v>
      </c>
      <c r="E7886" t="s">
        <v>378</v>
      </c>
    </row>
    <row r="7887" spans="1:5" x14ac:dyDescent="0.25">
      <c r="A7887" s="279">
        <v>39253</v>
      </c>
      <c r="B7887" t="s">
        <v>338</v>
      </c>
      <c r="C7887" t="s">
        <v>60</v>
      </c>
      <c r="D7887">
        <v>0</v>
      </c>
      <c r="E7887" t="s">
        <v>379</v>
      </c>
    </row>
    <row r="7888" spans="1:5" x14ac:dyDescent="0.25">
      <c r="A7888" s="279">
        <v>39253</v>
      </c>
      <c r="B7888" t="s">
        <v>338</v>
      </c>
      <c r="C7888" t="s">
        <v>61</v>
      </c>
      <c r="D7888">
        <v>7757</v>
      </c>
      <c r="E7888" t="s">
        <v>378</v>
      </c>
    </row>
    <row r="7889" spans="1:5" x14ac:dyDescent="0.25">
      <c r="A7889" s="279">
        <v>39253</v>
      </c>
      <c r="B7889" t="s">
        <v>338</v>
      </c>
      <c r="C7889" t="s">
        <v>62</v>
      </c>
      <c r="D7889">
        <v>0</v>
      </c>
      <c r="E7889" t="s">
        <v>380</v>
      </c>
    </row>
    <row r="7890" spans="1:5" x14ac:dyDescent="0.25">
      <c r="A7890" s="279">
        <v>39253</v>
      </c>
      <c r="B7890" t="s">
        <v>338</v>
      </c>
      <c r="C7890" t="s">
        <v>63</v>
      </c>
      <c r="D7890">
        <v>0</v>
      </c>
      <c r="E7890" t="s">
        <v>378</v>
      </c>
    </row>
    <row r="7891" spans="1:5" x14ac:dyDescent="0.25">
      <c r="A7891" s="279">
        <v>39253</v>
      </c>
      <c r="B7891" t="s">
        <v>338</v>
      </c>
      <c r="C7891" t="s">
        <v>64</v>
      </c>
      <c r="D7891">
        <v>0</v>
      </c>
      <c r="E7891" t="s">
        <v>380</v>
      </c>
    </row>
    <row r="7892" spans="1:5" x14ac:dyDescent="0.25">
      <c r="A7892" s="279">
        <v>39253</v>
      </c>
      <c r="B7892" t="s">
        <v>338</v>
      </c>
      <c r="C7892" t="s">
        <v>65</v>
      </c>
      <c r="D7892">
        <v>0</v>
      </c>
      <c r="E7892" t="s">
        <v>378</v>
      </c>
    </row>
    <row r="7893" spans="1:5" x14ac:dyDescent="0.25">
      <c r="A7893" s="279">
        <v>39253</v>
      </c>
      <c r="B7893" t="s">
        <v>338</v>
      </c>
      <c r="C7893" t="s">
        <v>66</v>
      </c>
      <c r="D7893">
        <v>0</v>
      </c>
      <c r="E7893" t="s">
        <v>380</v>
      </c>
    </row>
    <row r="7894" spans="1:5" x14ac:dyDescent="0.25">
      <c r="A7894" s="279">
        <v>39253</v>
      </c>
      <c r="B7894" t="s">
        <v>338</v>
      </c>
      <c r="C7894" t="s">
        <v>120</v>
      </c>
      <c r="D7894">
        <v>12256</v>
      </c>
      <c r="E7894" t="s">
        <v>378</v>
      </c>
    </row>
    <row r="7895" spans="1:5" x14ac:dyDescent="0.25">
      <c r="A7895" s="279">
        <v>39253</v>
      </c>
      <c r="B7895" t="s">
        <v>338</v>
      </c>
      <c r="C7895" t="s">
        <v>121</v>
      </c>
      <c r="D7895">
        <v>0</v>
      </c>
      <c r="E7895" t="s">
        <v>380</v>
      </c>
    </row>
    <row r="7896" spans="1:5" x14ac:dyDescent="0.25">
      <c r="A7896" s="279">
        <v>39253</v>
      </c>
      <c r="B7896" t="s">
        <v>338</v>
      </c>
      <c r="C7896" t="s">
        <v>67</v>
      </c>
      <c r="D7896">
        <v>0</v>
      </c>
      <c r="E7896" t="s">
        <v>378</v>
      </c>
    </row>
    <row r="7897" spans="1:5" x14ac:dyDescent="0.25">
      <c r="A7897" s="279">
        <v>39253</v>
      </c>
      <c r="B7897" t="s">
        <v>338</v>
      </c>
      <c r="C7897" t="s">
        <v>68</v>
      </c>
      <c r="D7897">
        <v>0</v>
      </c>
      <c r="E7897" t="s">
        <v>380</v>
      </c>
    </row>
    <row r="7898" spans="1:5" x14ac:dyDescent="0.25">
      <c r="A7898" s="279">
        <v>39253</v>
      </c>
      <c r="B7898" t="s">
        <v>338</v>
      </c>
      <c r="C7898" t="s">
        <v>69</v>
      </c>
      <c r="D7898">
        <v>0</v>
      </c>
      <c r="E7898" t="s">
        <v>379</v>
      </c>
    </row>
    <row r="7899" spans="1:5" x14ac:dyDescent="0.25">
      <c r="A7899" s="279">
        <v>39253</v>
      </c>
      <c r="B7899" t="s">
        <v>338</v>
      </c>
      <c r="C7899" t="s">
        <v>70</v>
      </c>
      <c r="D7899">
        <v>0</v>
      </c>
      <c r="E7899" t="s">
        <v>379</v>
      </c>
    </row>
    <row r="7900" spans="1:5" x14ac:dyDescent="0.25">
      <c r="A7900" s="279">
        <v>39253</v>
      </c>
      <c r="B7900" t="s">
        <v>338</v>
      </c>
      <c r="C7900" t="s">
        <v>80</v>
      </c>
      <c r="D7900">
        <v>186</v>
      </c>
      <c r="E7900" t="s">
        <v>379</v>
      </c>
    </row>
    <row r="7901" spans="1:5" x14ac:dyDescent="0.25">
      <c r="A7901" s="279">
        <v>39253</v>
      </c>
      <c r="B7901" t="s">
        <v>339</v>
      </c>
      <c r="C7901" t="s">
        <v>71</v>
      </c>
      <c r="D7901">
        <v>1903</v>
      </c>
      <c r="E7901" t="s">
        <v>378</v>
      </c>
    </row>
    <row r="7902" spans="1:5" x14ac:dyDescent="0.25">
      <c r="A7902" s="279">
        <v>39253</v>
      </c>
      <c r="B7902" t="s">
        <v>339</v>
      </c>
      <c r="C7902" t="s">
        <v>72</v>
      </c>
      <c r="D7902">
        <v>0</v>
      </c>
      <c r="E7902" t="s">
        <v>380</v>
      </c>
    </row>
    <row r="7903" spans="1:5" x14ac:dyDescent="0.25">
      <c r="A7903" s="279">
        <v>39253</v>
      </c>
      <c r="B7903" t="s">
        <v>339</v>
      </c>
      <c r="C7903" t="s">
        <v>73</v>
      </c>
      <c r="D7903">
        <v>16914</v>
      </c>
      <c r="E7903" t="s">
        <v>378</v>
      </c>
    </row>
    <row r="7904" spans="1:5" x14ac:dyDescent="0.25">
      <c r="A7904" s="279">
        <v>39253</v>
      </c>
      <c r="B7904" t="s">
        <v>339</v>
      </c>
      <c r="C7904" t="s">
        <v>74</v>
      </c>
      <c r="D7904">
        <v>0</v>
      </c>
      <c r="E7904" t="s">
        <v>380</v>
      </c>
    </row>
    <row r="7905" spans="1:5" x14ac:dyDescent="0.25">
      <c r="A7905" s="279">
        <v>39253</v>
      </c>
      <c r="B7905" t="s">
        <v>339</v>
      </c>
      <c r="C7905" t="s">
        <v>75</v>
      </c>
      <c r="D7905">
        <v>15184</v>
      </c>
      <c r="E7905" t="s">
        <v>378</v>
      </c>
    </row>
    <row r="7906" spans="1:5" x14ac:dyDescent="0.25">
      <c r="A7906" s="279">
        <v>39253</v>
      </c>
      <c r="B7906" t="s">
        <v>339</v>
      </c>
      <c r="C7906" t="s">
        <v>76</v>
      </c>
      <c r="D7906">
        <v>9184</v>
      </c>
      <c r="E7906" t="s">
        <v>380</v>
      </c>
    </row>
    <row r="7907" spans="1:5" x14ac:dyDescent="0.25">
      <c r="A7907" s="279">
        <v>39253</v>
      </c>
      <c r="B7907" t="s">
        <v>339</v>
      </c>
      <c r="C7907" t="s">
        <v>77</v>
      </c>
      <c r="D7907">
        <v>7240</v>
      </c>
      <c r="E7907" t="s">
        <v>378</v>
      </c>
    </row>
    <row r="7908" spans="1:5" x14ac:dyDescent="0.25">
      <c r="A7908" s="279">
        <v>39253</v>
      </c>
      <c r="B7908" t="s">
        <v>339</v>
      </c>
      <c r="C7908" t="s">
        <v>78</v>
      </c>
      <c r="D7908">
        <v>0</v>
      </c>
      <c r="E7908" t="s">
        <v>380</v>
      </c>
    </row>
    <row r="7909" spans="1:5" x14ac:dyDescent="0.25">
      <c r="A7909" s="279">
        <v>39253</v>
      </c>
      <c r="B7909" t="s">
        <v>339</v>
      </c>
      <c r="C7909" t="s">
        <v>79</v>
      </c>
      <c r="D7909">
        <v>97596</v>
      </c>
      <c r="E7909" t="s">
        <v>379</v>
      </c>
    </row>
    <row r="7910" spans="1:5" x14ac:dyDescent="0.25">
      <c r="A7910" s="279">
        <v>39253</v>
      </c>
      <c r="B7910" t="s">
        <v>339</v>
      </c>
      <c r="C7910" t="s">
        <v>70</v>
      </c>
      <c r="D7910">
        <v>0</v>
      </c>
      <c r="E7910" t="s">
        <v>379</v>
      </c>
    </row>
    <row r="7911" spans="1:5" x14ac:dyDescent="0.25">
      <c r="A7911" s="279">
        <v>39253</v>
      </c>
      <c r="B7911" t="s">
        <v>339</v>
      </c>
      <c r="C7911" t="s">
        <v>63</v>
      </c>
      <c r="D7911">
        <v>17236</v>
      </c>
      <c r="E7911" t="s">
        <v>378</v>
      </c>
    </row>
    <row r="7912" spans="1:5" x14ac:dyDescent="0.25">
      <c r="A7912" s="279">
        <v>39253</v>
      </c>
      <c r="B7912" t="s">
        <v>339</v>
      </c>
      <c r="C7912" t="s">
        <v>80</v>
      </c>
      <c r="D7912">
        <v>793</v>
      </c>
      <c r="E7912" t="s">
        <v>379</v>
      </c>
    </row>
    <row r="7913" spans="1:5" x14ac:dyDescent="0.25">
      <c r="A7913" s="279">
        <v>39254</v>
      </c>
      <c r="B7913" t="s">
        <v>338</v>
      </c>
      <c r="C7913" t="s">
        <v>59</v>
      </c>
      <c r="D7913">
        <v>2573</v>
      </c>
      <c r="E7913" t="s">
        <v>378</v>
      </c>
    </row>
    <row r="7914" spans="1:5" x14ac:dyDescent="0.25">
      <c r="A7914" s="279">
        <v>39254</v>
      </c>
      <c r="B7914" t="s">
        <v>338</v>
      </c>
      <c r="C7914" t="s">
        <v>60</v>
      </c>
      <c r="D7914">
        <v>0</v>
      </c>
      <c r="E7914" t="s">
        <v>379</v>
      </c>
    </row>
    <row r="7915" spans="1:5" x14ac:dyDescent="0.25">
      <c r="A7915" s="279">
        <v>39254</v>
      </c>
      <c r="B7915" t="s">
        <v>338</v>
      </c>
      <c r="C7915" t="s">
        <v>61</v>
      </c>
      <c r="D7915">
        <v>7732</v>
      </c>
      <c r="E7915" t="s">
        <v>378</v>
      </c>
    </row>
    <row r="7916" spans="1:5" x14ac:dyDescent="0.25">
      <c r="A7916" s="279">
        <v>39254</v>
      </c>
      <c r="B7916" t="s">
        <v>338</v>
      </c>
      <c r="C7916" t="s">
        <v>62</v>
      </c>
      <c r="D7916">
        <v>0</v>
      </c>
      <c r="E7916" t="s">
        <v>380</v>
      </c>
    </row>
    <row r="7917" spans="1:5" x14ac:dyDescent="0.25">
      <c r="A7917" s="279">
        <v>39254</v>
      </c>
      <c r="B7917" t="s">
        <v>338</v>
      </c>
      <c r="C7917" t="s">
        <v>63</v>
      </c>
      <c r="D7917">
        <v>0</v>
      </c>
      <c r="E7917" t="s">
        <v>378</v>
      </c>
    </row>
    <row r="7918" spans="1:5" x14ac:dyDescent="0.25">
      <c r="A7918" s="279">
        <v>39254</v>
      </c>
      <c r="B7918" t="s">
        <v>338</v>
      </c>
      <c r="C7918" t="s">
        <v>64</v>
      </c>
      <c r="D7918">
        <v>0</v>
      </c>
      <c r="E7918" t="s">
        <v>380</v>
      </c>
    </row>
    <row r="7919" spans="1:5" x14ac:dyDescent="0.25">
      <c r="A7919" s="279">
        <v>39254</v>
      </c>
      <c r="B7919" t="s">
        <v>338</v>
      </c>
      <c r="C7919" t="s">
        <v>65</v>
      </c>
      <c r="D7919">
        <v>0</v>
      </c>
      <c r="E7919" t="s">
        <v>378</v>
      </c>
    </row>
    <row r="7920" spans="1:5" x14ac:dyDescent="0.25">
      <c r="A7920" s="279">
        <v>39254</v>
      </c>
      <c r="B7920" t="s">
        <v>338</v>
      </c>
      <c r="C7920" t="s">
        <v>66</v>
      </c>
      <c r="D7920">
        <v>0</v>
      </c>
      <c r="E7920" t="s">
        <v>380</v>
      </c>
    </row>
    <row r="7921" spans="1:5" x14ac:dyDescent="0.25">
      <c r="A7921" s="279">
        <v>39254</v>
      </c>
      <c r="B7921" t="s">
        <v>338</v>
      </c>
      <c r="C7921" t="s">
        <v>120</v>
      </c>
      <c r="D7921">
        <v>12232</v>
      </c>
      <c r="E7921" t="s">
        <v>378</v>
      </c>
    </row>
    <row r="7922" spans="1:5" x14ac:dyDescent="0.25">
      <c r="A7922" s="279">
        <v>39254</v>
      </c>
      <c r="B7922" t="s">
        <v>338</v>
      </c>
      <c r="C7922" t="s">
        <v>121</v>
      </c>
      <c r="D7922">
        <v>0</v>
      </c>
      <c r="E7922" t="s">
        <v>380</v>
      </c>
    </row>
    <row r="7923" spans="1:5" x14ac:dyDescent="0.25">
      <c r="A7923" s="279">
        <v>39254</v>
      </c>
      <c r="B7923" t="s">
        <v>338</v>
      </c>
      <c r="C7923" t="s">
        <v>67</v>
      </c>
      <c r="D7923">
        <v>0</v>
      </c>
      <c r="E7923" t="s">
        <v>378</v>
      </c>
    </row>
    <row r="7924" spans="1:5" x14ac:dyDescent="0.25">
      <c r="A7924" s="279">
        <v>39254</v>
      </c>
      <c r="B7924" t="s">
        <v>338</v>
      </c>
      <c r="C7924" t="s">
        <v>68</v>
      </c>
      <c r="D7924">
        <v>0</v>
      </c>
      <c r="E7924" t="s">
        <v>380</v>
      </c>
    </row>
    <row r="7925" spans="1:5" x14ac:dyDescent="0.25">
      <c r="A7925" s="279">
        <v>39254</v>
      </c>
      <c r="B7925" t="s">
        <v>338</v>
      </c>
      <c r="C7925" t="s">
        <v>69</v>
      </c>
      <c r="D7925">
        <v>0</v>
      </c>
      <c r="E7925" t="s">
        <v>379</v>
      </c>
    </row>
    <row r="7926" spans="1:5" x14ac:dyDescent="0.25">
      <c r="A7926" s="279">
        <v>39254</v>
      </c>
      <c r="B7926" t="s">
        <v>338</v>
      </c>
      <c r="C7926" t="s">
        <v>70</v>
      </c>
      <c r="D7926">
        <v>0</v>
      </c>
      <c r="E7926" t="s">
        <v>379</v>
      </c>
    </row>
    <row r="7927" spans="1:5" x14ac:dyDescent="0.25">
      <c r="A7927" s="279">
        <v>39254</v>
      </c>
      <c r="B7927" t="s">
        <v>338</v>
      </c>
      <c r="C7927" t="s">
        <v>80</v>
      </c>
      <c r="D7927">
        <v>186</v>
      </c>
      <c r="E7927" t="s">
        <v>379</v>
      </c>
    </row>
    <row r="7928" spans="1:5" x14ac:dyDescent="0.25">
      <c r="A7928" s="279">
        <v>39254</v>
      </c>
      <c r="B7928" t="s">
        <v>339</v>
      </c>
      <c r="C7928" t="s">
        <v>71</v>
      </c>
      <c r="D7928">
        <v>1901</v>
      </c>
      <c r="E7928" t="s">
        <v>378</v>
      </c>
    </row>
    <row r="7929" spans="1:5" x14ac:dyDescent="0.25">
      <c r="A7929" s="279">
        <v>39254</v>
      </c>
      <c r="B7929" t="s">
        <v>339</v>
      </c>
      <c r="C7929" t="s">
        <v>72</v>
      </c>
      <c r="D7929">
        <v>0</v>
      </c>
      <c r="E7929" t="s">
        <v>380</v>
      </c>
    </row>
    <row r="7930" spans="1:5" x14ac:dyDescent="0.25">
      <c r="A7930" s="279">
        <v>39254</v>
      </c>
      <c r="B7930" t="s">
        <v>339</v>
      </c>
      <c r="C7930" t="s">
        <v>73</v>
      </c>
      <c r="D7930">
        <v>16898</v>
      </c>
      <c r="E7930" t="s">
        <v>378</v>
      </c>
    </row>
    <row r="7931" spans="1:5" x14ac:dyDescent="0.25">
      <c r="A7931" s="279">
        <v>39254</v>
      </c>
      <c r="B7931" t="s">
        <v>339</v>
      </c>
      <c r="C7931" t="s">
        <v>74</v>
      </c>
      <c r="D7931">
        <v>0</v>
      </c>
      <c r="E7931" t="s">
        <v>380</v>
      </c>
    </row>
    <row r="7932" spans="1:5" x14ac:dyDescent="0.25">
      <c r="A7932" s="279">
        <v>39254</v>
      </c>
      <c r="B7932" t="s">
        <v>339</v>
      </c>
      <c r="C7932" t="s">
        <v>75</v>
      </c>
      <c r="D7932">
        <v>15169</v>
      </c>
      <c r="E7932" t="s">
        <v>378</v>
      </c>
    </row>
    <row r="7933" spans="1:5" x14ac:dyDescent="0.25">
      <c r="A7933" s="279">
        <v>39254</v>
      </c>
      <c r="B7933" t="s">
        <v>339</v>
      </c>
      <c r="C7933" t="s">
        <v>76</v>
      </c>
      <c r="D7933">
        <v>7632</v>
      </c>
      <c r="E7933" t="s">
        <v>380</v>
      </c>
    </row>
    <row r="7934" spans="1:5" x14ac:dyDescent="0.25">
      <c r="A7934" s="279">
        <v>39254</v>
      </c>
      <c r="B7934" t="s">
        <v>339</v>
      </c>
      <c r="C7934" t="s">
        <v>77</v>
      </c>
      <c r="D7934">
        <v>7233</v>
      </c>
      <c r="E7934" t="s">
        <v>378</v>
      </c>
    </row>
    <row r="7935" spans="1:5" x14ac:dyDescent="0.25">
      <c r="A7935" s="279">
        <v>39254</v>
      </c>
      <c r="B7935" t="s">
        <v>339</v>
      </c>
      <c r="C7935" t="s">
        <v>78</v>
      </c>
      <c r="D7935">
        <v>0</v>
      </c>
      <c r="E7935" t="s">
        <v>380</v>
      </c>
    </row>
    <row r="7936" spans="1:5" x14ac:dyDescent="0.25">
      <c r="A7936" s="279">
        <v>39254</v>
      </c>
      <c r="B7936" t="s">
        <v>339</v>
      </c>
      <c r="C7936" t="s">
        <v>79</v>
      </c>
      <c r="D7936">
        <v>97502</v>
      </c>
      <c r="E7936" t="s">
        <v>379</v>
      </c>
    </row>
    <row r="7937" spans="1:5" x14ac:dyDescent="0.25">
      <c r="A7937" s="279">
        <v>39254</v>
      </c>
      <c r="B7937" t="s">
        <v>339</v>
      </c>
      <c r="C7937" t="s">
        <v>70</v>
      </c>
      <c r="D7937">
        <v>0</v>
      </c>
      <c r="E7937" t="s">
        <v>379</v>
      </c>
    </row>
    <row r="7938" spans="1:5" x14ac:dyDescent="0.25">
      <c r="A7938" s="279">
        <v>39254</v>
      </c>
      <c r="B7938" t="s">
        <v>339</v>
      </c>
      <c r="C7938" t="s">
        <v>63</v>
      </c>
      <c r="D7938">
        <v>17220</v>
      </c>
      <c r="E7938" t="s">
        <v>378</v>
      </c>
    </row>
    <row r="7939" spans="1:5" x14ac:dyDescent="0.25">
      <c r="A7939" s="279">
        <v>39254</v>
      </c>
      <c r="B7939" t="s">
        <v>339</v>
      </c>
      <c r="C7939" t="s">
        <v>80</v>
      </c>
      <c r="D7939">
        <v>792</v>
      </c>
      <c r="E7939" t="s">
        <v>379</v>
      </c>
    </row>
    <row r="7940" spans="1:5" x14ac:dyDescent="0.25">
      <c r="A7940" s="279">
        <v>39255</v>
      </c>
      <c r="B7940" t="s">
        <v>338</v>
      </c>
      <c r="C7940" t="s">
        <v>59</v>
      </c>
      <c r="D7940">
        <v>2565</v>
      </c>
      <c r="E7940" t="s">
        <v>378</v>
      </c>
    </row>
    <row r="7941" spans="1:5" x14ac:dyDescent="0.25">
      <c r="A7941" s="279">
        <v>39255</v>
      </c>
      <c r="B7941" t="s">
        <v>338</v>
      </c>
      <c r="C7941" t="s">
        <v>60</v>
      </c>
      <c r="D7941">
        <v>0</v>
      </c>
      <c r="E7941" t="s">
        <v>379</v>
      </c>
    </row>
    <row r="7942" spans="1:5" x14ac:dyDescent="0.25">
      <c r="A7942" s="279">
        <v>39255</v>
      </c>
      <c r="B7942" t="s">
        <v>338</v>
      </c>
      <c r="C7942" t="s">
        <v>61</v>
      </c>
      <c r="D7942">
        <v>7699</v>
      </c>
      <c r="E7942" t="s">
        <v>378</v>
      </c>
    </row>
    <row r="7943" spans="1:5" x14ac:dyDescent="0.25">
      <c r="A7943" s="279">
        <v>39255</v>
      </c>
      <c r="B7943" t="s">
        <v>338</v>
      </c>
      <c r="C7943" t="s">
        <v>62</v>
      </c>
      <c r="D7943">
        <v>0</v>
      </c>
      <c r="E7943" t="s">
        <v>380</v>
      </c>
    </row>
    <row r="7944" spans="1:5" x14ac:dyDescent="0.25">
      <c r="A7944" s="279">
        <v>39255</v>
      </c>
      <c r="B7944" t="s">
        <v>338</v>
      </c>
      <c r="C7944" t="s">
        <v>63</v>
      </c>
      <c r="D7944">
        <v>0</v>
      </c>
      <c r="E7944" t="s">
        <v>378</v>
      </c>
    </row>
    <row r="7945" spans="1:5" x14ac:dyDescent="0.25">
      <c r="A7945" s="279">
        <v>39255</v>
      </c>
      <c r="B7945" t="s">
        <v>338</v>
      </c>
      <c r="C7945" t="s">
        <v>64</v>
      </c>
      <c r="D7945">
        <v>0</v>
      </c>
      <c r="E7945" t="s">
        <v>380</v>
      </c>
    </row>
    <row r="7946" spans="1:5" x14ac:dyDescent="0.25">
      <c r="A7946" s="279">
        <v>39255</v>
      </c>
      <c r="B7946" t="s">
        <v>338</v>
      </c>
      <c r="C7946" t="s">
        <v>65</v>
      </c>
      <c r="D7946">
        <v>0</v>
      </c>
      <c r="E7946" t="s">
        <v>378</v>
      </c>
    </row>
    <row r="7947" spans="1:5" x14ac:dyDescent="0.25">
      <c r="A7947" s="279">
        <v>39255</v>
      </c>
      <c r="B7947" t="s">
        <v>338</v>
      </c>
      <c r="C7947" t="s">
        <v>66</v>
      </c>
      <c r="D7947">
        <v>0</v>
      </c>
      <c r="E7947" t="s">
        <v>380</v>
      </c>
    </row>
    <row r="7948" spans="1:5" x14ac:dyDescent="0.25">
      <c r="A7948" s="279">
        <v>39255</v>
      </c>
      <c r="B7948" t="s">
        <v>338</v>
      </c>
      <c r="C7948" t="s">
        <v>120</v>
      </c>
      <c r="D7948">
        <v>12197</v>
      </c>
      <c r="E7948" t="s">
        <v>378</v>
      </c>
    </row>
    <row r="7949" spans="1:5" x14ac:dyDescent="0.25">
      <c r="A7949" s="279">
        <v>39255</v>
      </c>
      <c r="B7949" t="s">
        <v>338</v>
      </c>
      <c r="C7949" t="s">
        <v>121</v>
      </c>
      <c r="D7949">
        <v>0</v>
      </c>
      <c r="E7949" t="s">
        <v>380</v>
      </c>
    </row>
    <row r="7950" spans="1:5" x14ac:dyDescent="0.25">
      <c r="A7950" s="279">
        <v>39255</v>
      </c>
      <c r="B7950" t="s">
        <v>338</v>
      </c>
      <c r="C7950" t="s">
        <v>67</v>
      </c>
      <c r="D7950">
        <v>0</v>
      </c>
      <c r="E7950" t="s">
        <v>378</v>
      </c>
    </row>
    <row r="7951" spans="1:5" x14ac:dyDescent="0.25">
      <c r="A7951" s="279">
        <v>39255</v>
      </c>
      <c r="B7951" t="s">
        <v>338</v>
      </c>
      <c r="C7951" t="s">
        <v>68</v>
      </c>
      <c r="D7951">
        <v>0</v>
      </c>
      <c r="E7951" t="s">
        <v>380</v>
      </c>
    </row>
    <row r="7952" spans="1:5" x14ac:dyDescent="0.25">
      <c r="A7952" s="279">
        <v>39255</v>
      </c>
      <c r="B7952" t="s">
        <v>338</v>
      </c>
      <c r="C7952" t="s">
        <v>69</v>
      </c>
      <c r="D7952">
        <v>0</v>
      </c>
      <c r="E7952" t="s">
        <v>379</v>
      </c>
    </row>
    <row r="7953" spans="1:5" x14ac:dyDescent="0.25">
      <c r="A7953" s="279">
        <v>39255</v>
      </c>
      <c r="B7953" t="s">
        <v>338</v>
      </c>
      <c r="C7953" t="s">
        <v>70</v>
      </c>
      <c r="D7953">
        <v>0</v>
      </c>
      <c r="E7953" t="s">
        <v>379</v>
      </c>
    </row>
    <row r="7954" spans="1:5" x14ac:dyDescent="0.25">
      <c r="A7954" s="279">
        <v>39255</v>
      </c>
      <c r="B7954" t="s">
        <v>338</v>
      </c>
      <c r="C7954" t="s">
        <v>80</v>
      </c>
      <c r="D7954">
        <v>185</v>
      </c>
      <c r="E7954" t="s">
        <v>379</v>
      </c>
    </row>
    <row r="7955" spans="1:5" x14ac:dyDescent="0.25">
      <c r="A7955" s="279">
        <v>39255</v>
      </c>
      <c r="B7955" t="s">
        <v>339</v>
      </c>
      <c r="C7955" t="s">
        <v>71</v>
      </c>
      <c r="D7955">
        <v>1903</v>
      </c>
      <c r="E7955" t="s">
        <v>378</v>
      </c>
    </row>
    <row r="7956" spans="1:5" x14ac:dyDescent="0.25">
      <c r="A7956" s="279">
        <v>39255</v>
      </c>
      <c r="B7956" t="s">
        <v>339</v>
      </c>
      <c r="C7956" t="s">
        <v>72</v>
      </c>
      <c r="D7956">
        <v>0</v>
      </c>
      <c r="E7956" t="s">
        <v>380</v>
      </c>
    </row>
    <row r="7957" spans="1:5" x14ac:dyDescent="0.25">
      <c r="A7957" s="279">
        <v>39255</v>
      </c>
      <c r="B7957" t="s">
        <v>339</v>
      </c>
      <c r="C7957" t="s">
        <v>73</v>
      </c>
      <c r="D7957">
        <v>16914</v>
      </c>
      <c r="E7957" t="s">
        <v>378</v>
      </c>
    </row>
    <row r="7958" spans="1:5" x14ac:dyDescent="0.25">
      <c r="A7958" s="279">
        <v>39255</v>
      </c>
      <c r="B7958" t="s">
        <v>339</v>
      </c>
      <c r="C7958" t="s">
        <v>74</v>
      </c>
      <c r="D7958">
        <v>0</v>
      </c>
      <c r="E7958" t="s">
        <v>380</v>
      </c>
    </row>
    <row r="7959" spans="1:5" x14ac:dyDescent="0.25">
      <c r="A7959" s="279">
        <v>39255</v>
      </c>
      <c r="B7959" t="s">
        <v>339</v>
      </c>
      <c r="C7959" t="s">
        <v>75</v>
      </c>
      <c r="D7959">
        <v>15184</v>
      </c>
      <c r="E7959" t="s">
        <v>378</v>
      </c>
    </row>
    <row r="7960" spans="1:5" x14ac:dyDescent="0.25">
      <c r="A7960" s="279">
        <v>39255</v>
      </c>
      <c r="B7960" t="s">
        <v>339</v>
      </c>
      <c r="C7960" t="s">
        <v>76</v>
      </c>
      <c r="D7960">
        <v>9263</v>
      </c>
      <c r="E7960" t="s">
        <v>380</v>
      </c>
    </row>
    <row r="7961" spans="1:5" x14ac:dyDescent="0.25">
      <c r="A7961" s="279">
        <v>39255</v>
      </c>
      <c r="B7961" t="s">
        <v>339</v>
      </c>
      <c r="C7961" t="s">
        <v>77</v>
      </c>
      <c r="D7961">
        <v>7240</v>
      </c>
      <c r="E7961" t="s">
        <v>378</v>
      </c>
    </row>
    <row r="7962" spans="1:5" x14ac:dyDescent="0.25">
      <c r="A7962" s="279">
        <v>39255</v>
      </c>
      <c r="B7962" t="s">
        <v>339</v>
      </c>
      <c r="C7962" t="s">
        <v>78</v>
      </c>
      <c r="D7962">
        <v>0</v>
      </c>
      <c r="E7962" t="s">
        <v>380</v>
      </c>
    </row>
    <row r="7963" spans="1:5" x14ac:dyDescent="0.25">
      <c r="A7963" s="279">
        <v>39255</v>
      </c>
      <c r="B7963" t="s">
        <v>339</v>
      </c>
      <c r="C7963" t="s">
        <v>79</v>
      </c>
      <c r="D7963">
        <v>97596</v>
      </c>
      <c r="E7963" t="s">
        <v>379</v>
      </c>
    </row>
    <row r="7964" spans="1:5" x14ac:dyDescent="0.25">
      <c r="A7964" s="279">
        <v>39255</v>
      </c>
      <c r="B7964" t="s">
        <v>339</v>
      </c>
      <c r="C7964" t="s">
        <v>70</v>
      </c>
      <c r="D7964">
        <v>0</v>
      </c>
      <c r="E7964" t="s">
        <v>379</v>
      </c>
    </row>
    <row r="7965" spans="1:5" x14ac:dyDescent="0.25">
      <c r="A7965" s="279">
        <v>39255</v>
      </c>
      <c r="B7965" t="s">
        <v>339</v>
      </c>
      <c r="C7965" t="s">
        <v>63</v>
      </c>
      <c r="D7965">
        <v>17236</v>
      </c>
      <c r="E7965" t="s">
        <v>378</v>
      </c>
    </row>
    <row r="7966" spans="1:5" x14ac:dyDescent="0.25">
      <c r="A7966" s="279">
        <v>39255</v>
      </c>
      <c r="B7966" t="s">
        <v>339</v>
      </c>
      <c r="C7966" t="s">
        <v>80</v>
      </c>
      <c r="D7966">
        <v>793</v>
      </c>
      <c r="E7966" t="s">
        <v>379</v>
      </c>
    </row>
    <row r="7967" spans="1:5" x14ac:dyDescent="0.25">
      <c r="A7967" s="279">
        <v>39256</v>
      </c>
      <c r="B7967" t="s">
        <v>338</v>
      </c>
      <c r="C7967" t="s">
        <v>59</v>
      </c>
      <c r="D7967">
        <v>2573</v>
      </c>
      <c r="E7967" t="s">
        <v>378</v>
      </c>
    </row>
    <row r="7968" spans="1:5" x14ac:dyDescent="0.25">
      <c r="A7968" s="279">
        <v>39256</v>
      </c>
      <c r="B7968" t="s">
        <v>338</v>
      </c>
      <c r="C7968" t="s">
        <v>60</v>
      </c>
      <c r="D7968">
        <v>0</v>
      </c>
      <c r="E7968" t="s">
        <v>379</v>
      </c>
    </row>
    <row r="7969" spans="1:5" x14ac:dyDescent="0.25">
      <c r="A7969" s="279">
        <v>39256</v>
      </c>
      <c r="B7969" t="s">
        <v>338</v>
      </c>
      <c r="C7969" t="s">
        <v>61</v>
      </c>
      <c r="D7969">
        <v>7752</v>
      </c>
      <c r="E7969" t="s">
        <v>378</v>
      </c>
    </row>
    <row r="7970" spans="1:5" x14ac:dyDescent="0.25">
      <c r="A7970" s="279">
        <v>39256</v>
      </c>
      <c r="B7970" t="s">
        <v>338</v>
      </c>
      <c r="C7970" t="s">
        <v>62</v>
      </c>
      <c r="D7970">
        <v>0</v>
      </c>
      <c r="E7970" t="s">
        <v>380</v>
      </c>
    </row>
    <row r="7971" spans="1:5" x14ac:dyDescent="0.25">
      <c r="A7971" s="279">
        <v>39256</v>
      </c>
      <c r="B7971" t="s">
        <v>338</v>
      </c>
      <c r="C7971" t="s">
        <v>63</v>
      </c>
      <c r="D7971">
        <v>0</v>
      </c>
      <c r="E7971" t="s">
        <v>378</v>
      </c>
    </row>
    <row r="7972" spans="1:5" x14ac:dyDescent="0.25">
      <c r="A7972" s="279">
        <v>39256</v>
      </c>
      <c r="B7972" t="s">
        <v>338</v>
      </c>
      <c r="C7972" t="s">
        <v>64</v>
      </c>
      <c r="D7972">
        <v>0</v>
      </c>
      <c r="E7972" t="s">
        <v>380</v>
      </c>
    </row>
    <row r="7973" spans="1:5" x14ac:dyDescent="0.25">
      <c r="A7973" s="279">
        <v>39256</v>
      </c>
      <c r="B7973" t="s">
        <v>338</v>
      </c>
      <c r="C7973" t="s">
        <v>65</v>
      </c>
      <c r="D7973">
        <v>0</v>
      </c>
      <c r="E7973" t="s">
        <v>378</v>
      </c>
    </row>
    <row r="7974" spans="1:5" x14ac:dyDescent="0.25">
      <c r="A7974" s="279">
        <v>39256</v>
      </c>
      <c r="B7974" t="s">
        <v>338</v>
      </c>
      <c r="C7974" t="s">
        <v>66</v>
      </c>
      <c r="D7974">
        <v>0</v>
      </c>
      <c r="E7974" t="s">
        <v>380</v>
      </c>
    </row>
    <row r="7975" spans="1:5" x14ac:dyDescent="0.25">
      <c r="A7975" s="279">
        <v>39256</v>
      </c>
      <c r="B7975" t="s">
        <v>338</v>
      </c>
      <c r="C7975" t="s">
        <v>120</v>
      </c>
      <c r="D7975">
        <v>12232</v>
      </c>
      <c r="E7975" t="s">
        <v>378</v>
      </c>
    </row>
    <row r="7976" spans="1:5" x14ac:dyDescent="0.25">
      <c r="A7976" s="279">
        <v>39256</v>
      </c>
      <c r="B7976" t="s">
        <v>338</v>
      </c>
      <c r="C7976" t="s">
        <v>121</v>
      </c>
      <c r="D7976">
        <v>0</v>
      </c>
      <c r="E7976" t="s">
        <v>380</v>
      </c>
    </row>
    <row r="7977" spans="1:5" x14ac:dyDescent="0.25">
      <c r="A7977" s="279">
        <v>39256</v>
      </c>
      <c r="B7977" t="s">
        <v>338</v>
      </c>
      <c r="C7977" t="s">
        <v>67</v>
      </c>
      <c r="D7977">
        <v>0</v>
      </c>
      <c r="E7977" t="s">
        <v>378</v>
      </c>
    </row>
    <row r="7978" spans="1:5" x14ac:dyDescent="0.25">
      <c r="A7978" s="279">
        <v>39256</v>
      </c>
      <c r="B7978" t="s">
        <v>338</v>
      </c>
      <c r="C7978" t="s">
        <v>68</v>
      </c>
      <c r="D7978">
        <v>0</v>
      </c>
      <c r="E7978" t="s">
        <v>380</v>
      </c>
    </row>
    <row r="7979" spans="1:5" x14ac:dyDescent="0.25">
      <c r="A7979" s="279">
        <v>39256</v>
      </c>
      <c r="B7979" t="s">
        <v>338</v>
      </c>
      <c r="C7979" t="s">
        <v>69</v>
      </c>
      <c r="D7979">
        <v>0</v>
      </c>
      <c r="E7979" t="s">
        <v>379</v>
      </c>
    </row>
    <row r="7980" spans="1:5" x14ac:dyDescent="0.25">
      <c r="A7980" s="279">
        <v>39256</v>
      </c>
      <c r="B7980" t="s">
        <v>338</v>
      </c>
      <c r="C7980" t="s">
        <v>70</v>
      </c>
      <c r="D7980">
        <v>0</v>
      </c>
      <c r="E7980" t="s">
        <v>379</v>
      </c>
    </row>
    <row r="7981" spans="1:5" x14ac:dyDescent="0.25">
      <c r="A7981" s="279">
        <v>39256</v>
      </c>
      <c r="B7981" t="s">
        <v>338</v>
      </c>
      <c r="C7981" t="s">
        <v>80</v>
      </c>
      <c r="D7981">
        <v>186</v>
      </c>
      <c r="E7981" t="s">
        <v>379</v>
      </c>
    </row>
    <row r="7982" spans="1:5" x14ac:dyDescent="0.25">
      <c r="A7982" s="279">
        <v>39256</v>
      </c>
      <c r="B7982" t="s">
        <v>339</v>
      </c>
      <c r="C7982" t="s">
        <v>71</v>
      </c>
      <c r="D7982">
        <v>1910</v>
      </c>
      <c r="E7982" t="s">
        <v>378</v>
      </c>
    </row>
    <row r="7983" spans="1:5" x14ac:dyDescent="0.25">
      <c r="A7983" s="279">
        <v>39256</v>
      </c>
      <c r="B7983" t="s">
        <v>339</v>
      </c>
      <c r="C7983" t="s">
        <v>72</v>
      </c>
      <c r="D7983">
        <v>0</v>
      </c>
      <c r="E7983" t="s">
        <v>380</v>
      </c>
    </row>
    <row r="7984" spans="1:5" x14ac:dyDescent="0.25">
      <c r="A7984" s="279">
        <v>39256</v>
      </c>
      <c r="B7984" t="s">
        <v>339</v>
      </c>
      <c r="C7984" t="s">
        <v>73</v>
      </c>
      <c r="D7984">
        <v>16979</v>
      </c>
      <c r="E7984" t="s">
        <v>378</v>
      </c>
    </row>
    <row r="7985" spans="1:5" x14ac:dyDescent="0.25">
      <c r="A7985" s="279">
        <v>39256</v>
      </c>
      <c r="B7985" t="s">
        <v>339</v>
      </c>
      <c r="C7985" t="s">
        <v>74</v>
      </c>
      <c r="D7985">
        <v>0</v>
      </c>
      <c r="E7985" t="s">
        <v>380</v>
      </c>
    </row>
    <row r="7986" spans="1:5" x14ac:dyDescent="0.25">
      <c r="A7986" s="279">
        <v>39256</v>
      </c>
      <c r="B7986" t="s">
        <v>339</v>
      </c>
      <c r="C7986" t="s">
        <v>75</v>
      </c>
      <c r="D7986">
        <v>15242</v>
      </c>
      <c r="E7986" t="s">
        <v>378</v>
      </c>
    </row>
    <row r="7987" spans="1:5" x14ac:dyDescent="0.25">
      <c r="A7987" s="279">
        <v>39256</v>
      </c>
      <c r="B7987" t="s">
        <v>339</v>
      </c>
      <c r="C7987" t="s">
        <v>76</v>
      </c>
      <c r="D7987">
        <v>11092</v>
      </c>
      <c r="E7987" t="s">
        <v>380</v>
      </c>
    </row>
    <row r="7988" spans="1:5" x14ac:dyDescent="0.25">
      <c r="A7988" s="279">
        <v>39256</v>
      </c>
      <c r="B7988" t="s">
        <v>339</v>
      </c>
      <c r="C7988" t="s">
        <v>77</v>
      </c>
      <c r="D7988">
        <v>7268</v>
      </c>
      <c r="E7988" t="s">
        <v>378</v>
      </c>
    </row>
    <row r="7989" spans="1:5" x14ac:dyDescent="0.25">
      <c r="A7989" s="279">
        <v>39256</v>
      </c>
      <c r="B7989" t="s">
        <v>339</v>
      </c>
      <c r="C7989" t="s">
        <v>78</v>
      </c>
      <c r="D7989">
        <v>0</v>
      </c>
      <c r="E7989" t="s">
        <v>380</v>
      </c>
    </row>
    <row r="7990" spans="1:5" x14ac:dyDescent="0.25">
      <c r="A7990" s="279">
        <v>39256</v>
      </c>
      <c r="B7990" t="s">
        <v>339</v>
      </c>
      <c r="C7990" t="s">
        <v>79</v>
      </c>
      <c r="D7990">
        <v>96045</v>
      </c>
      <c r="E7990" t="s">
        <v>379</v>
      </c>
    </row>
    <row r="7991" spans="1:5" x14ac:dyDescent="0.25">
      <c r="A7991" s="279">
        <v>39256</v>
      </c>
      <c r="B7991" t="s">
        <v>339</v>
      </c>
      <c r="C7991" t="s">
        <v>70</v>
      </c>
      <c r="D7991">
        <v>0</v>
      </c>
      <c r="E7991" t="s">
        <v>379</v>
      </c>
    </row>
    <row r="7992" spans="1:5" x14ac:dyDescent="0.25">
      <c r="A7992" s="279">
        <v>39256</v>
      </c>
      <c r="B7992" t="s">
        <v>339</v>
      </c>
      <c r="C7992" t="s">
        <v>63</v>
      </c>
      <c r="D7992">
        <v>17303</v>
      </c>
      <c r="E7992" t="s">
        <v>378</v>
      </c>
    </row>
    <row r="7993" spans="1:5" x14ac:dyDescent="0.25">
      <c r="A7993" s="279">
        <v>39256</v>
      </c>
      <c r="B7993" t="s">
        <v>339</v>
      </c>
      <c r="C7993" t="s">
        <v>80</v>
      </c>
      <c r="D7993">
        <v>796</v>
      </c>
      <c r="E7993" t="s">
        <v>379</v>
      </c>
    </row>
    <row r="7994" spans="1:5" x14ac:dyDescent="0.25">
      <c r="A7994" s="279">
        <v>39257</v>
      </c>
      <c r="B7994" t="s">
        <v>338</v>
      </c>
      <c r="C7994" t="s">
        <v>59</v>
      </c>
      <c r="D7994">
        <v>2573</v>
      </c>
      <c r="E7994" t="s">
        <v>378</v>
      </c>
    </row>
    <row r="7995" spans="1:5" x14ac:dyDescent="0.25">
      <c r="A7995" s="279">
        <v>39257</v>
      </c>
      <c r="B7995" t="s">
        <v>338</v>
      </c>
      <c r="C7995" t="s">
        <v>60</v>
      </c>
      <c r="D7995">
        <v>0</v>
      </c>
      <c r="E7995" t="s">
        <v>379</v>
      </c>
    </row>
    <row r="7996" spans="1:5" x14ac:dyDescent="0.25">
      <c r="A7996" s="279">
        <v>39257</v>
      </c>
      <c r="B7996" t="s">
        <v>338</v>
      </c>
      <c r="C7996" t="s">
        <v>61</v>
      </c>
      <c r="D7996">
        <v>7771</v>
      </c>
      <c r="E7996" t="s">
        <v>378</v>
      </c>
    </row>
    <row r="7997" spans="1:5" x14ac:dyDescent="0.25">
      <c r="A7997" s="279">
        <v>39257</v>
      </c>
      <c r="B7997" t="s">
        <v>338</v>
      </c>
      <c r="C7997" t="s">
        <v>62</v>
      </c>
      <c r="D7997">
        <v>0</v>
      </c>
      <c r="E7997" t="s">
        <v>380</v>
      </c>
    </row>
    <row r="7998" spans="1:5" x14ac:dyDescent="0.25">
      <c r="A7998" s="279">
        <v>39257</v>
      </c>
      <c r="B7998" t="s">
        <v>338</v>
      </c>
      <c r="C7998" t="s">
        <v>63</v>
      </c>
      <c r="D7998">
        <v>0</v>
      </c>
      <c r="E7998" t="s">
        <v>378</v>
      </c>
    </row>
    <row r="7999" spans="1:5" x14ac:dyDescent="0.25">
      <c r="A7999" s="279">
        <v>39257</v>
      </c>
      <c r="B7999" t="s">
        <v>338</v>
      </c>
      <c r="C7999" t="s">
        <v>64</v>
      </c>
      <c r="D7999">
        <v>0</v>
      </c>
      <c r="E7999" t="s">
        <v>380</v>
      </c>
    </row>
    <row r="8000" spans="1:5" x14ac:dyDescent="0.25">
      <c r="A8000" s="279">
        <v>39257</v>
      </c>
      <c r="B8000" t="s">
        <v>338</v>
      </c>
      <c r="C8000" t="s">
        <v>65</v>
      </c>
      <c r="D8000">
        <v>0</v>
      </c>
      <c r="E8000" t="s">
        <v>378</v>
      </c>
    </row>
    <row r="8001" spans="1:5" x14ac:dyDescent="0.25">
      <c r="A8001" s="279">
        <v>39257</v>
      </c>
      <c r="B8001" t="s">
        <v>338</v>
      </c>
      <c r="C8001" t="s">
        <v>66</v>
      </c>
      <c r="D8001">
        <v>0</v>
      </c>
      <c r="E8001" t="s">
        <v>380</v>
      </c>
    </row>
    <row r="8002" spans="1:5" x14ac:dyDescent="0.25">
      <c r="A8002" s="279">
        <v>39257</v>
      </c>
      <c r="B8002" t="s">
        <v>338</v>
      </c>
      <c r="C8002" t="s">
        <v>120</v>
      </c>
      <c r="D8002">
        <v>12232</v>
      </c>
      <c r="E8002" t="s">
        <v>378</v>
      </c>
    </row>
    <row r="8003" spans="1:5" x14ac:dyDescent="0.25">
      <c r="A8003" s="279">
        <v>39257</v>
      </c>
      <c r="B8003" t="s">
        <v>338</v>
      </c>
      <c r="C8003" t="s">
        <v>121</v>
      </c>
      <c r="D8003">
        <v>0</v>
      </c>
      <c r="E8003" t="s">
        <v>380</v>
      </c>
    </row>
    <row r="8004" spans="1:5" x14ac:dyDescent="0.25">
      <c r="A8004" s="279">
        <v>39257</v>
      </c>
      <c r="B8004" t="s">
        <v>338</v>
      </c>
      <c r="C8004" t="s">
        <v>67</v>
      </c>
      <c r="D8004">
        <v>0</v>
      </c>
      <c r="E8004" t="s">
        <v>378</v>
      </c>
    </row>
    <row r="8005" spans="1:5" x14ac:dyDescent="0.25">
      <c r="A8005" s="279">
        <v>39257</v>
      </c>
      <c r="B8005" t="s">
        <v>338</v>
      </c>
      <c r="C8005" t="s">
        <v>68</v>
      </c>
      <c r="D8005">
        <v>0</v>
      </c>
      <c r="E8005" t="s">
        <v>380</v>
      </c>
    </row>
    <row r="8006" spans="1:5" x14ac:dyDescent="0.25">
      <c r="A8006" s="279">
        <v>39257</v>
      </c>
      <c r="B8006" t="s">
        <v>338</v>
      </c>
      <c r="C8006" t="s">
        <v>69</v>
      </c>
      <c r="D8006">
        <v>0</v>
      </c>
      <c r="E8006" t="s">
        <v>379</v>
      </c>
    </row>
    <row r="8007" spans="1:5" x14ac:dyDescent="0.25">
      <c r="A8007" s="279">
        <v>39257</v>
      </c>
      <c r="B8007" t="s">
        <v>338</v>
      </c>
      <c r="C8007" t="s">
        <v>70</v>
      </c>
      <c r="D8007">
        <v>0</v>
      </c>
      <c r="E8007" t="s">
        <v>379</v>
      </c>
    </row>
    <row r="8008" spans="1:5" x14ac:dyDescent="0.25">
      <c r="A8008" s="279">
        <v>39257</v>
      </c>
      <c r="B8008" t="s">
        <v>338</v>
      </c>
      <c r="C8008" t="s">
        <v>80</v>
      </c>
      <c r="D8008">
        <v>186</v>
      </c>
      <c r="E8008" t="s">
        <v>379</v>
      </c>
    </row>
    <row r="8009" spans="1:5" x14ac:dyDescent="0.25">
      <c r="A8009" s="279">
        <v>39257</v>
      </c>
      <c r="B8009" t="s">
        <v>339</v>
      </c>
      <c r="C8009" t="s">
        <v>71</v>
      </c>
      <c r="D8009">
        <v>1910</v>
      </c>
      <c r="E8009" t="s">
        <v>378</v>
      </c>
    </row>
    <row r="8010" spans="1:5" x14ac:dyDescent="0.25">
      <c r="A8010" s="279">
        <v>39257</v>
      </c>
      <c r="B8010" t="s">
        <v>339</v>
      </c>
      <c r="C8010" t="s">
        <v>72</v>
      </c>
      <c r="D8010">
        <v>0</v>
      </c>
      <c r="E8010" t="s">
        <v>380</v>
      </c>
    </row>
    <row r="8011" spans="1:5" x14ac:dyDescent="0.25">
      <c r="A8011" s="279">
        <v>39257</v>
      </c>
      <c r="B8011" t="s">
        <v>339</v>
      </c>
      <c r="C8011" t="s">
        <v>73</v>
      </c>
      <c r="D8011">
        <v>16979</v>
      </c>
      <c r="E8011" t="s">
        <v>378</v>
      </c>
    </row>
    <row r="8012" spans="1:5" x14ac:dyDescent="0.25">
      <c r="A8012" s="279">
        <v>39257</v>
      </c>
      <c r="B8012" t="s">
        <v>339</v>
      </c>
      <c r="C8012" t="s">
        <v>74</v>
      </c>
      <c r="D8012">
        <v>0</v>
      </c>
      <c r="E8012" t="s">
        <v>380</v>
      </c>
    </row>
    <row r="8013" spans="1:5" x14ac:dyDescent="0.25">
      <c r="A8013" s="279">
        <v>39257</v>
      </c>
      <c r="B8013" t="s">
        <v>339</v>
      </c>
      <c r="C8013" t="s">
        <v>75</v>
      </c>
      <c r="D8013">
        <v>15242</v>
      </c>
      <c r="E8013" t="s">
        <v>378</v>
      </c>
    </row>
    <row r="8014" spans="1:5" x14ac:dyDescent="0.25">
      <c r="A8014" s="279">
        <v>39257</v>
      </c>
      <c r="B8014" t="s">
        <v>339</v>
      </c>
      <c r="C8014" t="s">
        <v>76</v>
      </c>
      <c r="D8014">
        <v>11681</v>
      </c>
      <c r="E8014" t="s">
        <v>380</v>
      </c>
    </row>
    <row r="8015" spans="1:5" x14ac:dyDescent="0.25">
      <c r="A8015" s="279">
        <v>39257</v>
      </c>
      <c r="B8015" t="s">
        <v>339</v>
      </c>
      <c r="C8015" t="s">
        <v>77</v>
      </c>
      <c r="D8015">
        <v>7268</v>
      </c>
      <c r="E8015" t="s">
        <v>378</v>
      </c>
    </row>
    <row r="8016" spans="1:5" x14ac:dyDescent="0.25">
      <c r="A8016" s="279">
        <v>39257</v>
      </c>
      <c r="B8016" t="s">
        <v>339</v>
      </c>
      <c r="C8016" t="s">
        <v>78</v>
      </c>
      <c r="D8016">
        <v>0</v>
      </c>
      <c r="E8016" t="s">
        <v>380</v>
      </c>
    </row>
    <row r="8017" spans="1:5" x14ac:dyDescent="0.25">
      <c r="A8017" s="279">
        <v>39257</v>
      </c>
      <c r="B8017" t="s">
        <v>339</v>
      </c>
      <c r="C8017" t="s">
        <v>79</v>
      </c>
      <c r="D8017">
        <v>96045</v>
      </c>
      <c r="E8017" t="s">
        <v>379</v>
      </c>
    </row>
    <row r="8018" spans="1:5" x14ac:dyDescent="0.25">
      <c r="A8018" s="279">
        <v>39257</v>
      </c>
      <c r="B8018" t="s">
        <v>339</v>
      </c>
      <c r="C8018" t="s">
        <v>70</v>
      </c>
      <c r="D8018">
        <v>0</v>
      </c>
      <c r="E8018" t="s">
        <v>379</v>
      </c>
    </row>
    <row r="8019" spans="1:5" x14ac:dyDescent="0.25">
      <c r="A8019" s="279">
        <v>39257</v>
      </c>
      <c r="B8019" t="s">
        <v>339</v>
      </c>
      <c r="C8019" t="s">
        <v>63</v>
      </c>
      <c r="D8019">
        <v>17303</v>
      </c>
      <c r="E8019" t="s">
        <v>378</v>
      </c>
    </row>
    <row r="8020" spans="1:5" x14ac:dyDescent="0.25">
      <c r="A8020" s="279">
        <v>39257</v>
      </c>
      <c r="B8020" t="s">
        <v>339</v>
      </c>
      <c r="C8020" t="s">
        <v>80</v>
      </c>
      <c r="D8020">
        <v>796</v>
      </c>
      <c r="E8020" t="s">
        <v>379</v>
      </c>
    </row>
    <row r="8021" spans="1:5" x14ac:dyDescent="0.25">
      <c r="A8021" s="279">
        <v>39258</v>
      </c>
      <c r="B8021" t="s">
        <v>338</v>
      </c>
      <c r="C8021" t="s">
        <v>59</v>
      </c>
      <c r="D8021">
        <v>2573</v>
      </c>
      <c r="E8021" t="s">
        <v>378</v>
      </c>
    </row>
    <row r="8022" spans="1:5" x14ac:dyDescent="0.25">
      <c r="A8022" s="279">
        <v>39258</v>
      </c>
      <c r="B8022" t="s">
        <v>338</v>
      </c>
      <c r="C8022" t="s">
        <v>60</v>
      </c>
      <c r="D8022">
        <v>0</v>
      </c>
      <c r="E8022" t="s">
        <v>379</v>
      </c>
    </row>
    <row r="8023" spans="1:5" x14ac:dyDescent="0.25">
      <c r="A8023" s="279">
        <v>39258</v>
      </c>
      <c r="B8023" t="s">
        <v>338</v>
      </c>
      <c r="C8023" t="s">
        <v>61</v>
      </c>
      <c r="D8023">
        <v>7750</v>
      </c>
      <c r="E8023" t="s">
        <v>378</v>
      </c>
    </row>
    <row r="8024" spans="1:5" x14ac:dyDescent="0.25">
      <c r="A8024" s="279">
        <v>39258</v>
      </c>
      <c r="B8024" t="s">
        <v>338</v>
      </c>
      <c r="C8024" t="s">
        <v>62</v>
      </c>
      <c r="D8024">
        <v>0</v>
      </c>
      <c r="E8024" t="s">
        <v>380</v>
      </c>
    </row>
    <row r="8025" spans="1:5" x14ac:dyDescent="0.25">
      <c r="A8025" s="279">
        <v>39258</v>
      </c>
      <c r="B8025" t="s">
        <v>338</v>
      </c>
      <c r="C8025" t="s">
        <v>63</v>
      </c>
      <c r="D8025">
        <v>0</v>
      </c>
      <c r="E8025" t="s">
        <v>378</v>
      </c>
    </row>
    <row r="8026" spans="1:5" x14ac:dyDescent="0.25">
      <c r="A8026" s="279">
        <v>39258</v>
      </c>
      <c r="B8026" t="s">
        <v>338</v>
      </c>
      <c r="C8026" t="s">
        <v>64</v>
      </c>
      <c r="D8026">
        <v>0</v>
      </c>
      <c r="E8026" t="s">
        <v>380</v>
      </c>
    </row>
    <row r="8027" spans="1:5" x14ac:dyDescent="0.25">
      <c r="A8027" s="279">
        <v>39258</v>
      </c>
      <c r="B8027" t="s">
        <v>338</v>
      </c>
      <c r="C8027" t="s">
        <v>65</v>
      </c>
      <c r="D8027">
        <v>0</v>
      </c>
      <c r="E8027" t="s">
        <v>378</v>
      </c>
    </row>
    <row r="8028" spans="1:5" x14ac:dyDescent="0.25">
      <c r="A8028" s="279">
        <v>39258</v>
      </c>
      <c r="B8028" t="s">
        <v>338</v>
      </c>
      <c r="C8028" t="s">
        <v>66</v>
      </c>
      <c r="D8028">
        <v>0</v>
      </c>
      <c r="E8028" t="s">
        <v>380</v>
      </c>
    </row>
    <row r="8029" spans="1:5" x14ac:dyDescent="0.25">
      <c r="A8029" s="279">
        <v>39258</v>
      </c>
      <c r="B8029" t="s">
        <v>338</v>
      </c>
      <c r="C8029" t="s">
        <v>120</v>
      </c>
      <c r="D8029">
        <v>12232</v>
      </c>
      <c r="E8029" t="s">
        <v>378</v>
      </c>
    </row>
    <row r="8030" spans="1:5" x14ac:dyDescent="0.25">
      <c r="A8030" s="279">
        <v>39258</v>
      </c>
      <c r="B8030" t="s">
        <v>338</v>
      </c>
      <c r="C8030" t="s">
        <v>121</v>
      </c>
      <c r="D8030">
        <v>0</v>
      </c>
      <c r="E8030" t="s">
        <v>380</v>
      </c>
    </row>
    <row r="8031" spans="1:5" x14ac:dyDescent="0.25">
      <c r="A8031" s="279">
        <v>39258</v>
      </c>
      <c r="B8031" t="s">
        <v>338</v>
      </c>
      <c r="C8031" t="s">
        <v>67</v>
      </c>
      <c r="D8031">
        <v>0</v>
      </c>
      <c r="E8031" t="s">
        <v>378</v>
      </c>
    </row>
    <row r="8032" spans="1:5" x14ac:dyDescent="0.25">
      <c r="A8032" s="279">
        <v>39258</v>
      </c>
      <c r="B8032" t="s">
        <v>338</v>
      </c>
      <c r="C8032" t="s">
        <v>68</v>
      </c>
      <c r="D8032">
        <v>0</v>
      </c>
      <c r="E8032" t="s">
        <v>380</v>
      </c>
    </row>
    <row r="8033" spans="1:5" x14ac:dyDescent="0.25">
      <c r="A8033" s="279">
        <v>39258</v>
      </c>
      <c r="B8033" t="s">
        <v>338</v>
      </c>
      <c r="C8033" t="s">
        <v>69</v>
      </c>
      <c r="D8033">
        <v>0</v>
      </c>
      <c r="E8033" t="s">
        <v>379</v>
      </c>
    </row>
    <row r="8034" spans="1:5" x14ac:dyDescent="0.25">
      <c r="A8034" s="279">
        <v>39258</v>
      </c>
      <c r="B8034" t="s">
        <v>338</v>
      </c>
      <c r="C8034" t="s">
        <v>70</v>
      </c>
      <c r="D8034">
        <v>0</v>
      </c>
      <c r="E8034" t="s">
        <v>379</v>
      </c>
    </row>
    <row r="8035" spans="1:5" x14ac:dyDescent="0.25">
      <c r="A8035" s="279">
        <v>39258</v>
      </c>
      <c r="B8035" t="s">
        <v>338</v>
      </c>
      <c r="C8035" t="s">
        <v>80</v>
      </c>
      <c r="D8035">
        <v>186</v>
      </c>
      <c r="E8035" t="s">
        <v>379</v>
      </c>
    </row>
    <row r="8036" spans="1:5" x14ac:dyDescent="0.25">
      <c r="A8036" s="279">
        <v>39258</v>
      </c>
      <c r="B8036" t="s">
        <v>339</v>
      </c>
      <c r="C8036" t="s">
        <v>71</v>
      </c>
      <c r="D8036">
        <v>1918</v>
      </c>
      <c r="E8036" t="s">
        <v>378</v>
      </c>
    </row>
    <row r="8037" spans="1:5" x14ac:dyDescent="0.25">
      <c r="A8037" s="279">
        <v>39258</v>
      </c>
      <c r="B8037" t="s">
        <v>339</v>
      </c>
      <c r="C8037" t="s">
        <v>72</v>
      </c>
      <c r="D8037">
        <v>0</v>
      </c>
      <c r="E8037" t="s">
        <v>380</v>
      </c>
    </row>
    <row r="8038" spans="1:5" x14ac:dyDescent="0.25">
      <c r="A8038" s="279">
        <v>39258</v>
      </c>
      <c r="B8038" t="s">
        <v>339</v>
      </c>
      <c r="C8038" t="s">
        <v>73</v>
      </c>
      <c r="D8038">
        <v>17045</v>
      </c>
      <c r="E8038" t="s">
        <v>378</v>
      </c>
    </row>
    <row r="8039" spans="1:5" x14ac:dyDescent="0.25">
      <c r="A8039" s="279">
        <v>39258</v>
      </c>
      <c r="B8039" t="s">
        <v>339</v>
      </c>
      <c r="C8039" t="s">
        <v>74</v>
      </c>
      <c r="D8039">
        <v>0</v>
      </c>
      <c r="E8039" t="s">
        <v>380</v>
      </c>
    </row>
    <row r="8040" spans="1:5" x14ac:dyDescent="0.25">
      <c r="A8040" s="279">
        <v>39258</v>
      </c>
      <c r="B8040" t="s">
        <v>339</v>
      </c>
      <c r="C8040" t="s">
        <v>75</v>
      </c>
      <c r="D8040">
        <v>15301</v>
      </c>
      <c r="E8040" t="s">
        <v>378</v>
      </c>
    </row>
    <row r="8041" spans="1:5" x14ac:dyDescent="0.25">
      <c r="A8041" s="279">
        <v>39258</v>
      </c>
      <c r="B8041" t="s">
        <v>339</v>
      </c>
      <c r="C8041" t="s">
        <v>76</v>
      </c>
      <c r="D8041">
        <v>13904</v>
      </c>
      <c r="E8041" t="s">
        <v>380</v>
      </c>
    </row>
    <row r="8042" spans="1:5" x14ac:dyDescent="0.25">
      <c r="A8042" s="279">
        <v>39258</v>
      </c>
      <c r="B8042" t="s">
        <v>339</v>
      </c>
      <c r="C8042" t="s">
        <v>77</v>
      </c>
      <c r="D8042">
        <v>7296</v>
      </c>
      <c r="E8042" t="s">
        <v>378</v>
      </c>
    </row>
    <row r="8043" spans="1:5" x14ac:dyDescent="0.25">
      <c r="A8043" s="279">
        <v>39258</v>
      </c>
      <c r="B8043" t="s">
        <v>339</v>
      </c>
      <c r="C8043" t="s">
        <v>78</v>
      </c>
      <c r="D8043">
        <v>0</v>
      </c>
      <c r="E8043" t="s">
        <v>380</v>
      </c>
    </row>
    <row r="8044" spans="1:5" x14ac:dyDescent="0.25">
      <c r="A8044" s="279">
        <v>39258</v>
      </c>
      <c r="B8044" t="s">
        <v>339</v>
      </c>
      <c r="C8044" t="s">
        <v>79</v>
      </c>
      <c r="D8044">
        <v>96417</v>
      </c>
      <c r="E8044" t="s">
        <v>379</v>
      </c>
    </row>
    <row r="8045" spans="1:5" x14ac:dyDescent="0.25">
      <c r="A8045" s="279">
        <v>39258</v>
      </c>
      <c r="B8045" t="s">
        <v>339</v>
      </c>
      <c r="C8045" t="s">
        <v>70</v>
      </c>
      <c r="D8045">
        <v>0</v>
      </c>
      <c r="E8045" t="s">
        <v>379</v>
      </c>
    </row>
    <row r="8046" spans="1:5" x14ac:dyDescent="0.25">
      <c r="A8046" s="279">
        <v>39258</v>
      </c>
      <c r="B8046" t="s">
        <v>339</v>
      </c>
      <c r="C8046" t="s">
        <v>63</v>
      </c>
      <c r="D8046">
        <v>17369</v>
      </c>
      <c r="E8046" t="s">
        <v>378</v>
      </c>
    </row>
    <row r="8047" spans="1:5" x14ac:dyDescent="0.25">
      <c r="A8047" s="279">
        <v>39258</v>
      </c>
      <c r="B8047" t="s">
        <v>339</v>
      </c>
      <c r="C8047" t="s">
        <v>80</v>
      </c>
      <c r="D8047">
        <v>799</v>
      </c>
      <c r="E8047" t="s">
        <v>379</v>
      </c>
    </row>
    <row r="8048" spans="1:5" x14ac:dyDescent="0.25">
      <c r="A8048" s="279">
        <v>39259</v>
      </c>
      <c r="B8048" t="s">
        <v>338</v>
      </c>
      <c r="C8048" t="s">
        <v>59</v>
      </c>
      <c r="D8048">
        <v>2568</v>
      </c>
      <c r="E8048" t="s">
        <v>378</v>
      </c>
    </row>
    <row r="8049" spans="1:5" x14ac:dyDescent="0.25">
      <c r="A8049" s="279">
        <v>39259</v>
      </c>
      <c r="B8049" t="s">
        <v>338</v>
      </c>
      <c r="C8049" t="s">
        <v>60</v>
      </c>
      <c r="D8049">
        <v>0</v>
      </c>
      <c r="E8049" t="s">
        <v>379</v>
      </c>
    </row>
    <row r="8050" spans="1:5" x14ac:dyDescent="0.25">
      <c r="A8050" s="279">
        <v>39259</v>
      </c>
      <c r="B8050" t="s">
        <v>338</v>
      </c>
      <c r="C8050" t="s">
        <v>61</v>
      </c>
      <c r="D8050">
        <v>7727</v>
      </c>
      <c r="E8050" t="s">
        <v>378</v>
      </c>
    </row>
    <row r="8051" spans="1:5" x14ac:dyDescent="0.25">
      <c r="A8051" s="279">
        <v>39259</v>
      </c>
      <c r="B8051" t="s">
        <v>338</v>
      </c>
      <c r="C8051" t="s">
        <v>62</v>
      </c>
      <c r="D8051">
        <v>0</v>
      </c>
      <c r="E8051" t="s">
        <v>380</v>
      </c>
    </row>
    <row r="8052" spans="1:5" x14ac:dyDescent="0.25">
      <c r="A8052" s="279">
        <v>39259</v>
      </c>
      <c r="B8052" t="s">
        <v>338</v>
      </c>
      <c r="C8052" t="s">
        <v>63</v>
      </c>
      <c r="D8052">
        <v>0</v>
      </c>
      <c r="E8052" t="s">
        <v>378</v>
      </c>
    </row>
    <row r="8053" spans="1:5" x14ac:dyDescent="0.25">
      <c r="A8053" s="279">
        <v>39259</v>
      </c>
      <c r="B8053" t="s">
        <v>338</v>
      </c>
      <c r="C8053" t="s">
        <v>64</v>
      </c>
      <c r="D8053">
        <v>0</v>
      </c>
      <c r="E8053" t="s">
        <v>380</v>
      </c>
    </row>
    <row r="8054" spans="1:5" x14ac:dyDescent="0.25">
      <c r="A8054" s="279">
        <v>39259</v>
      </c>
      <c r="B8054" t="s">
        <v>338</v>
      </c>
      <c r="C8054" t="s">
        <v>65</v>
      </c>
      <c r="D8054">
        <v>0</v>
      </c>
      <c r="E8054" t="s">
        <v>378</v>
      </c>
    </row>
    <row r="8055" spans="1:5" x14ac:dyDescent="0.25">
      <c r="A8055" s="279">
        <v>39259</v>
      </c>
      <c r="B8055" t="s">
        <v>338</v>
      </c>
      <c r="C8055" t="s">
        <v>66</v>
      </c>
      <c r="D8055">
        <v>0</v>
      </c>
      <c r="E8055" t="s">
        <v>380</v>
      </c>
    </row>
    <row r="8056" spans="1:5" x14ac:dyDescent="0.25">
      <c r="A8056" s="279">
        <v>39259</v>
      </c>
      <c r="B8056" t="s">
        <v>338</v>
      </c>
      <c r="C8056" t="s">
        <v>120</v>
      </c>
      <c r="D8056">
        <v>12208</v>
      </c>
      <c r="E8056" t="s">
        <v>378</v>
      </c>
    </row>
    <row r="8057" spans="1:5" x14ac:dyDescent="0.25">
      <c r="A8057" s="279">
        <v>39259</v>
      </c>
      <c r="B8057" t="s">
        <v>338</v>
      </c>
      <c r="C8057" t="s">
        <v>121</v>
      </c>
      <c r="D8057">
        <v>0</v>
      </c>
      <c r="E8057" t="s">
        <v>380</v>
      </c>
    </row>
    <row r="8058" spans="1:5" x14ac:dyDescent="0.25">
      <c r="A8058" s="279">
        <v>39259</v>
      </c>
      <c r="B8058" t="s">
        <v>338</v>
      </c>
      <c r="C8058" t="s">
        <v>67</v>
      </c>
      <c r="D8058">
        <v>0</v>
      </c>
      <c r="E8058" t="s">
        <v>378</v>
      </c>
    </row>
    <row r="8059" spans="1:5" x14ac:dyDescent="0.25">
      <c r="A8059" s="279">
        <v>39259</v>
      </c>
      <c r="B8059" t="s">
        <v>338</v>
      </c>
      <c r="C8059" t="s">
        <v>68</v>
      </c>
      <c r="D8059">
        <v>0</v>
      </c>
      <c r="E8059" t="s">
        <v>380</v>
      </c>
    </row>
    <row r="8060" spans="1:5" x14ac:dyDescent="0.25">
      <c r="A8060" s="279">
        <v>39259</v>
      </c>
      <c r="B8060" t="s">
        <v>338</v>
      </c>
      <c r="C8060" t="s">
        <v>69</v>
      </c>
      <c r="D8060">
        <v>0</v>
      </c>
      <c r="E8060" t="s">
        <v>379</v>
      </c>
    </row>
    <row r="8061" spans="1:5" x14ac:dyDescent="0.25">
      <c r="A8061" s="279">
        <v>39259</v>
      </c>
      <c r="B8061" t="s">
        <v>338</v>
      </c>
      <c r="C8061" t="s">
        <v>70</v>
      </c>
      <c r="D8061">
        <v>0</v>
      </c>
      <c r="E8061" t="s">
        <v>379</v>
      </c>
    </row>
    <row r="8062" spans="1:5" x14ac:dyDescent="0.25">
      <c r="A8062" s="279">
        <v>39259</v>
      </c>
      <c r="B8062" t="s">
        <v>338</v>
      </c>
      <c r="C8062" t="s">
        <v>80</v>
      </c>
      <c r="D8062">
        <v>186</v>
      </c>
      <c r="E8062" t="s">
        <v>379</v>
      </c>
    </row>
    <row r="8063" spans="1:5" x14ac:dyDescent="0.25">
      <c r="A8063" s="279">
        <v>39259</v>
      </c>
      <c r="B8063" t="s">
        <v>339</v>
      </c>
      <c r="C8063" t="s">
        <v>71</v>
      </c>
      <c r="D8063">
        <v>1919</v>
      </c>
      <c r="E8063" t="s">
        <v>378</v>
      </c>
    </row>
    <row r="8064" spans="1:5" x14ac:dyDescent="0.25">
      <c r="A8064" s="279">
        <v>39259</v>
      </c>
      <c r="B8064" t="s">
        <v>339</v>
      </c>
      <c r="C8064" t="s">
        <v>72</v>
      </c>
      <c r="D8064">
        <v>0</v>
      </c>
      <c r="E8064" t="s">
        <v>380</v>
      </c>
    </row>
    <row r="8065" spans="1:5" x14ac:dyDescent="0.25">
      <c r="A8065" s="279">
        <v>39259</v>
      </c>
      <c r="B8065" t="s">
        <v>339</v>
      </c>
      <c r="C8065" t="s">
        <v>73</v>
      </c>
      <c r="D8065">
        <v>17062</v>
      </c>
      <c r="E8065" t="s">
        <v>378</v>
      </c>
    </row>
    <row r="8066" spans="1:5" x14ac:dyDescent="0.25">
      <c r="A8066" s="279">
        <v>39259</v>
      </c>
      <c r="B8066" t="s">
        <v>339</v>
      </c>
      <c r="C8066" t="s">
        <v>74</v>
      </c>
      <c r="D8066">
        <v>0</v>
      </c>
      <c r="E8066" t="s">
        <v>380</v>
      </c>
    </row>
    <row r="8067" spans="1:5" x14ac:dyDescent="0.25">
      <c r="A8067" s="279">
        <v>39259</v>
      </c>
      <c r="B8067" t="s">
        <v>339</v>
      </c>
      <c r="C8067" t="s">
        <v>75</v>
      </c>
      <c r="D8067">
        <v>15316</v>
      </c>
      <c r="E8067" t="s">
        <v>378</v>
      </c>
    </row>
    <row r="8068" spans="1:5" x14ac:dyDescent="0.25">
      <c r="A8068" s="279">
        <v>39259</v>
      </c>
      <c r="B8068" t="s">
        <v>339</v>
      </c>
      <c r="C8068" t="s">
        <v>76</v>
      </c>
      <c r="D8068">
        <v>10838</v>
      </c>
      <c r="E8068" t="s">
        <v>380</v>
      </c>
    </row>
    <row r="8069" spans="1:5" x14ac:dyDescent="0.25">
      <c r="A8069" s="279">
        <v>39259</v>
      </c>
      <c r="B8069" t="s">
        <v>339</v>
      </c>
      <c r="C8069" t="s">
        <v>77</v>
      </c>
      <c r="D8069">
        <v>7303</v>
      </c>
      <c r="E8069" t="s">
        <v>378</v>
      </c>
    </row>
    <row r="8070" spans="1:5" x14ac:dyDescent="0.25">
      <c r="A8070" s="279">
        <v>39259</v>
      </c>
      <c r="B8070" t="s">
        <v>339</v>
      </c>
      <c r="C8070" t="s">
        <v>78</v>
      </c>
      <c r="D8070">
        <v>0</v>
      </c>
      <c r="E8070" t="s">
        <v>380</v>
      </c>
    </row>
    <row r="8071" spans="1:5" x14ac:dyDescent="0.25">
      <c r="A8071" s="279">
        <v>39259</v>
      </c>
      <c r="B8071" t="s">
        <v>339</v>
      </c>
      <c r="C8071" t="s">
        <v>79</v>
      </c>
      <c r="D8071">
        <v>96510</v>
      </c>
      <c r="E8071" t="s">
        <v>379</v>
      </c>
    </row>
    <row r="8072" spans="1:5" x14ac:dyDescent="0.25">
      <c r="A8072" s="279">
        <v>39259</v>
      </c>
      <c r="B8072" t="s">
        <v>339</v>
      </c>
      <c r="C8072" t="s">
        <v>70</v>
      </c>
      <c r="D8072">
        <v>0</v>
      </c>
      <c r="E8072" t="s">
        <v>379</v>
      </c>
    </row>
    <row r="8073" spans="1:5" x14ac:dyDescent="0.25">
      <c r="A8073" s="279">
        <v>39259</v>
      </c>
      <c r="B8073" t="s">
        <v>339</v>
      </c>
      <c r="C8073" t="s">
        <v>63</v>
      </c>
      <c r="D8073">
        <v>17386</v>
      </c>
      <c r="E8073" t="s">
        <v>378</v>
      </c>
    </row>
    <row r="8074" spans="1:5" x14ac:dyDescent="0.25">
      <c r="A8074" s="279">
        <v>39259</v>
      </c>
      <c r="B8074" t="s">
        <v>339</v>
      </c>
      <c r="C8074" t="s">
        <v>80</v>
      </c>
      <c r="D8074">
        <v>800</v>
      </c>
      <c r="E8074" t="s">
        <v>379</v>
      </c>
    </row>
    <row r="8075" spans="1:5" x14ac:dyDescent="0.25">
      <c r="A8075" s="279">
        <v>39260</v>
      </c>
      <c r="B8075" t="s">
        <v>338</v>
      </c>
      <c r="C8075" t="s">
        <v>59</v>
      </c>
      <c r="D8075">
        <v>2573</v>
      </c>
      <c r="E8075" t="s">
        <v>378</v>
      </c>
    </row>
    <row r="8076" spans="1:5" x14ac:dyDescent="0.25">
      <c r="A8076" s="279">
        <v>39260</v>
      </c>
      <c r="B8076" t="s">
        <v>338</v>
      </c>
      <c r="C8076" t="s">
        <v>60</v>
      </c>
      <c r="D8076">
        <v>0</v>
      </c>
      <c r="E8076" t="s">
        <v>379</v>
      </c>
    </row>
    <row r="8077" spans="1:5" x14ac:dyDescent="0.25">
      <c r="A8077" s="279">
        <v>39260</v>
      </c>
      <c r="B8077" t="s">
        <v>338</v>
      </c>
      <c r="C8077" t="s">
        <v>61</v>
      </c>
      <c r="D8077">
        <v>7755</v>
      </c>
      <c r="E8077" t="s">
        <v>378</v>
      </c>
    </row>
    <row r="8078" spans="1:5" x14ac:dyDescent="0.25">
      <c r="A8078" s="279">
        <v>39260</v>
      </c>
      <c r="B8078" t="s">
        <v>338</v>
      </c>
      <c r="C8078" t="s">
        <v>62</v>
      </c>
      <c r="D8078">
        <v>0</v>
      </c>
      <c r="E8078" t="s">
        <v>380</v>
      </c>
    </row>
    <row r="8079" spans="1:5" x14ac:dyDescent="0.25">
      <c r="A8079" s="279">
        <v>39260</v>
      </c>
      <c r="B8079" t="s">
        <v>338</v>
      </c>
      <c r="C8079" t="s">
        <v>63</v>
      </c>
      <c r="D8079">
        <v>0</v>
      </c>
      <c r="E8079" t="s">
        <v>378</v>
      </c>
    </row>
    <row r="8080" spans="1:5" x14ac:dyDescent="0.25">
      <c r="A8080" s="279">
        <v>39260</v>
      </c>
      <c r="B8080" t="s">
        <v>338</v>
      </c>
      <c r="C8080" t="s">
        <v>64</v>
      </c>
      <c r="D8080">
        <v>0</v>
      </c>
      <c r="E8080" t="s">
        <v>380</v>
      </c>
    </row>
    <row r="8081" spans="1:5" x14ac:dyDescent="0.25">
      <c r="A8081" s="279">
        <v>39260</v>
      </c>
      <c r="B8081" t="s">
        <v>338</v>
      </c>
      <c r="C8081" t="s">
        <v>65</v>
      </c>
      <c r="D8081">
        <v>0</v>
      </c>
      <c r="E8081" t="s">
        <v>378</v>
      </c>
    </row>
    <row r="8082" spans="1:5" x14ac:dyDescent="0.25">
      <c r="A8082" s="279">
        <v>39260</v>
      </c>
      <c r="B8082" t="s">
        <v>338</v>
      </c>
      <c r="C8082" t="s">
        <v>66</v>
      </c>
      <c r="D8082">
        <v>0</v>
      </c>
      <c r="E8082" t="s">
        <v>380</v>
      </c>
    </row>
    <row r="8083" spans="1:5" x14ac:dyDescent="0.25">
      <c r="A8083" s="279">
        <v>39260</v>
      </c>
      <c r="B8083" t="s">
        <v>338</v>
      </c>
      <c r="C8083" t="s">
        <v>120</v>
      </c>
      <c r="D8083">
        <v>12232</v>
      </c>
      <c r="E8083" t="s">
        <v>378</v>
      </c>
    </row>
    <row r="8084" spans="1:5" x14ac:dyDescent="0.25">
      <c r="A8084" s="279">
        <v>39260</v>
      </c>
      <c r="B8084" t="s">
        <v>338</v>
      </c>
      <c r="C8084" t="s">
        <v>121</v>
      </c>
      <c r="D8084">
        <v>0</v>
      </c>
      <c r="E8084" t="s">
        <v>380</v>
      </c>
    </row>
    <row r="8085" spans="1:5" x14ac:dyDescent="0.25">
      <c r="A8085" s="279">
        <v>39260</v>
      </c>
      <c r="B8085" t="s">
        <v>338</v>
      </c>
      <c r="C8085" t="s">
        <v>67</v>
      </c>
      <c r="D8085">
        <v>0</v>
      </c>
      <c r="E8085" t="s">
        <v>378</v>
      </c>
    </row>
    <row r="8086" spans="1:5" x14ac:dyDescent="0.25">
      <c r="A8086" s="279">
        <v>39260</v>
      </c>
      <c r="B8086" t="s">
        <v>338</v>
      </c>
      <c r="C8086" t="s">
        <v>68</v>
      </c>
      <c r="D8086">
        <v>0</v>
      </c>
      <c r="E8086" t="s">
        <v>380</v>
      </c>
    </row>
    <row r="8087" spans="1:5" x14ac:dyDescent="0.25">
      <c r="A8087" s="279">
        <v>39260</v>
      </c>
      <c r="B8087" t="s">
        <v>338</v>
      </c>
      <c r="C8087" t="s">
        <v>69</v>
      </c>
      <c r="D8087">
        <v>0</v>
      </c>
      <c r="E8087" t="s">
        <v>379</v>
      </c>
    </row>
    <row r="8088" spans="1:5" x14ac:dyDescent="0.25">
      <c r="A8088" s="279">
        <v>39260</v>
      </c>
      <c r="B8088" t="s">
        <v>338</v>
      </c>
      <c r="C8088" t="s">
        <v>70</v>
      </c>
      <c r="D8088">
        <v>0</v>
      </c>
      <c r="E8088" t="s">
        <v>379</v>
      </c>
    </row>
    <row r="8089" spans="1:5" x14ac:dyDescent="0.25">
      <c r="A8089" s="279">
        <v>39260</v>
      </c>
      <c r="B8089" t="s">
        <v>338</v>
      </c>
      <c r="C8089" t="s">
        <v>80</v>
      </c>
      <c r="D8089">
        <v>186</v>
      </c>
      <c r="E8089" t="s">
        <v>379</v>
      </c>
    </row>
    <row r="8090" spans="1:5" x14ac:dyDescent="0.25">
      <c r="A8090" s="279">
        <v>39260</v>
      </c>
      <c r="B8090" t="s">
        <v>339</v>
      </c>
      <c r="C8090" t="s">
        <v>71</v>
      </c>
      <c r="D8090">
        <v>1914</v>
      </c>
      <c r="E8090" t="s">
        <v>378</v>
      </c>
    </row>
    <row r="8091" spans="1:5" x14ac:dyDescent="0.25">
      <c r="A8091" s="279">
        <v>39260</v>
      </c>
      <c r="B8091" t="s">
        <v>339</v>
      </c>
      <c r="C8091" t="s">
        <v>72</v>
      </c>
      <c r="D8091">
        <v>0</v>
      </c>
      <c r="E8091" t="s">
        <v>380</v>
      </c>
    </row>
    <row r="8092" spans="1:5" x14ac:dyDescent="0.25">
      <c r="A8092" s="279">
        <v>39260</v>
      </c>
      <c r="B8092" t="s">
        <v>339</v>
      </c>
      <c r="C8092" t="s">
        <v>73</v>
      </c>
      <c r="D8092">
        <v>17012</v>
      </c>
      <c r="E8092" t="s">
        <v>378</v>
      </c>
    </row>
    <row r="8093" spans="1:5" x14ac:dyDescent="0.25">
      <c r="A8093" s="279">
        <v>39260</v>
      </c>
      <c r="B8093" t="s">
        <v>339</v>
      </c>
      <c r="C8093" t="s">
        <v>74</v>
      </c>
      <c r="D8093">
        <v>0</v>
      </c>
      <c r="E8093" t="s">
        <v>380</v>
      </c>
    </row>
    <row r="8094" spans="1:5" x14ac:dyDescent="0.25">
      <c r="A8094" s="279">
        <v>39260</v>
      </c>
      <c r="B8094" t="s">
        <v>339</v>
      </c>
      <c r="C8094" t="s">
        <v>75</v>
      </c>
      <c r="D8094">
        <v>15272</v>
      </c>
      <c r="E8094" t="s">
        <v>378</v>
      </c>
    </row>
    <row r="8095" spans="1:5" x14ac:dyDescent="0.25">
      <c r="A8095" s="279">
        <v>39260</v>
      </c>
      <c r="B8095" t="s">
        <v>339</v>
      </c>
      <c r="C8095" t="s">
        <v>76</v>
      </c>
      <c r="D8095">
        <v>7572</v>
      </c>
      <c r="E8095" t="s">
        <v>380</v>
      </c>
    </row>
    <row r="8096" spans="1:5" x14ac:dyDescent="0.25">
      <c r="A8096" s="279">
        <v>39260</v>
      </c>
      <c r="B8096" t="s">
        <v>339</v>
      </c>
      <c r="C8096" t="s">
        <v>77</v>
      </c>
      <c r="D8096">
        <v>7282</v>
      </c>
      <c r="E8096" t="s">
        <v>378</v>
      </c>
    </row>
    <row r="8097" spans="1:5" x14ac:dyDescent="0.25">
      <c r="A8097" s="279">
        <v>39260</v>
      </c>
      <c r="B8097" t="s">
        <v>339</v>
      </c>
      <c r="C8097" t="s">
        <v>78</v>
      </c>
      <c r="D8097">
        <v>0</v>
      </c>
      <c r="E8097" t="s">
        <v>380</v>
      </c>
    </row>
    <row r="8098" spans="1:5" x14ac:dyDescent="0.25">
      <c r="A8098" s="279">
        <v>39260</v>
      </c>
      <c r="B8098" t="s">
        <v>339</v>
      </c>
      <c r="C8098" t="s">
        <v>79</v>
      </c>
      <c r="D8098">
        <v>96231</v>
      </c>
      <c r="E8098" t="s">
        <v>379</v>
      </c>
    </row>
    <row r="8099" spans="1:5" x14ac:dyDescent="0.25">
      <c r="A8099" s="279">
        <v>39260</v>
      </c>
      <c r="B8099" t="s">
        <v>339</v>
      </c>
      <c r="C8099" t="s">
        <v>70</v>
      </c>
      <c r="D8099">
        <v>0</v>
      </c>
      <c r="E8099" t="s">
        <v>379</v>
      </c>
    </row>
    <row r="8100" spans="1:5" x14ac:dyDescent="0.25">
      <c r="A8100" s="279">
        <v>39260</v>
      </c>
      <c r="B8100" t="s">
        <v>339</v>
      </c>
      <c r="C8100" t="s">
        <v>63</v>
      </c>
      <c r="D8100">
        <v>17336</v>
      </c>
      <c r="E8100" t="s">
        <v>378</v>
      </c>
    </row>
    <row r="8101" spans="1:5" x14ac:dyDescent="0.25">
      <c r="A8101" s="279">
        <v>39260</v>
      </c>
      <c r="B8101" t="s">
        <v>339</v>
      </c>
      <c r="C8101" t="s">
        <v>80</v>
      </c>
      <c r="D8101">
        <v>798</v>
      </c>
      <c r="E8101" t="s">
        <v>379</v>
      </c>
    </row>
    <row r="8102" spans="1:5" x14ac:dyDescent="0.25">
      <c r="A8102" s="279">
        <v>39261</v>
      </c>
      <c r="B8102" t="s">
        <v>338</v>
      </c>
      <c r="C8102" t="s">
        <v>59</v>
      </c>
      <c r="D8102">
        <v>2570</v>
      </c>
      <c r="E8102" t="s">
        <v>378</v>
      </c>
    </row>
    <row r="8103" spans="1:5" x14ac:dyDescent="0.25">
      <c r="A8103" s="279">
        <v>39261</v>
      </c>
      <c r="B8103" t="s">
        <v>338</v>
      </c>
      <c r="C8103" t="s">
        <v>60</v>
      </c>
      <c r="D8103">
        <v>0</v>
      </c>
      <c r="E8103" t="s">
        <v>379</v>
      </c>
    </row>
    <row r="8104" spans="1:5" x14ac:dyDescent="0.25">
      <c r="A8104" s="279">
        <v>39261</v>
      </c>
      <c r="B8104" t="s">
        <v>338</v>
      </c>
      <c r="C8104" t="s">
        <v>61</v>
      </c>
      <c r="D8104">
        <v>7747</v>
      </c>
      <c r="E8104" t="s">
        <v>378</v>
      </c>
    </row>
    <row r="8105" spans="1:5" x14ac:dyDescent="0.25">
      <c r="A8105" s="279">
        <v>39261</v>
      </c>
      <c r="B8105" t="s">
        <v>338</v>
      </c>
      <c r="C8105" t="s">
        <v>62</v>
      </c>
      <c r="D8105">
        <v>0</v>
      </c>
      <c r="E8105" t="s">
        <v>380</v>
      </c>
    </row>
    <row r="8106" spans="1:5" x14ac:dyDescent="0.25">
      <c r="A8106" s="279">
        <v>39261</v>
      </c>
      <c r="B8106" t="s">
        <v>338</v>
      </c>
      <c r="C8106" t="s">
        <v>63</v>
      </c>
      <c r="D8106">
        <v>0</v>
      </c>
      <c r="E8106" t="s">
        <v>378</v>
      </c>
    </row>
    <row r="8107" spans="1:5" x14ac:dyDescent="0.25">
      <c r="A8107" s="279">
        <v>39261</v>
      </c>
      <c r="B8107" t="s">
        <v>338</v>
      </c>
      <c r="C8107" t="s">
        <v>64</v>
      </c>
      <c r="D8107">
        <v>0</v>
      </c>
      <c r="E8107" t="s">
        <v>380</v>
      </c>
    </row>
    <row r="8108" spans="1:5" x14ac:dyDescent="0.25">
      <c r="A8108" s="279">
        <v>39261</v>
      </c>
      <c r="B8108" t="s">
        <v>338</v>
      </c>
      <c r="C8108" t="s">
        <v>65</v>
      </c>
      <c r="D8108">
        <v>0</v>
      </c>
      <c r="E8108" t="s">
        <v>378</v>
      </c>
    </row>
    <row r="8109" spans="1:5" x14ac:dyDescent="0.25">
      <c r="A8109" s="279">
        <v>39261</v>
      </c>
      <c r="B8109" t="s">
        <v>338</v>
      </c>
      <c r="C8109" t="s">
        <v>66</v>
      </c>
      <c r="D8109">
        <v>0</v>
      </c>
      <c r="E8109" t="s">
        <v>380</v>
      </c>
    </row>
    <row r="8110" spans="1:5" x14ac:dyDescent="0.25">
      <c r="A8110" s="279">
        <v>39261</v>
      </c>
      <c r="B8110" t="s">
        <v>338</v>
      </c>
      <c r="C8110" t="s">
        <v>120</v>
      </c>
      <c r="D8110">
        <v>12220</v>
      </c>
      <c r="E8110" t="s">
        <v>378</v>
      </c>
    </row>
    <row r="8111" spans="1:5" x14ac:dyDescent="0.25">
      <c r="A8111" s="279">
        <v>39261</v>
      </c>
      <c r="B8111" t="s">
        <v>338</v>
      </c>
      <c r="C8111" t="s">
        <v>121</v>
      </c>
      <c r="D8111">
        <v>0</v>
      </c>
      <c r="E8111" t="s">
        <v>380</v>
      </c>
    </row>
    <row r="8112" spans="1:5" x14ac:dyDescent="0.25">
      <c r="A8112" s="279">
        <v>39261</v>
      </c>
      <c r="B8112" t="s">
        <v>338</v>
      </c>
      <c r="C8112" t="s">
        <v>67</v>
      </c>
      <c r="D8112">
        <v>0</v>
      </c>
      <c r="E8112" t="s">
        <v>378</v>
      </c>
    </row>
    <row r="8113" spans="1:5" x14ac:dyDescent="0.25">
      <c r="A8113" s="279">
        <v>39261</v>
      </c>
      <c r="B8113" t="s">
        <v>338</v>
      </c>
      <c r="C8113" t="s">
        <v>68</v>
      </c>
      <c r="D8113">
        <v>0</v>
      </c>
      <c r="E8113" t="s">
        <v>380</v>
      </c>
    </row>
    <row r="8114" spans="1:5" x14ac:dyDescent="0.25">
      <c r="A8114" s="279">
        <v>39261</v>
      </c>
      <c r="B8114" t="s">
        <v>338</v>
      </c>
      <c r="C8114" t="s">
        <v>69</v>
      </c>
      <c r="D8114">
        <v>0</v>
      </c>
      <c r="E8114" t="s">
        <v>379</v>
      </c>
    </row>
    <row r="8115" spans="1:5" x14ac:dyDescent="0.25">
      <c r="A8115" s="279">
        <v>39261</v>
      </c>
      <c r="B8115" t="s">
        <v>338</v>
      </c>
      <c r="C8115" t="s">
        <v>70</v>
      </c>
      <c r="D8115">
        <v>0</v>
      </c>
      <c r="E8115" t="s">
        <v>379</v>
      </c>
    </row>
    <row r="8116" spans="1:5" x14ac:dyDescent="0.25">
      <c r="A8116" s="279">
        <v>39261</v>
      </c>
      <c r="B8116" t="s">
        <v>338</v>
      </c>
      <c r="C8116" t="s">
        <v>80</v>
      </c>
      <c r="D8116">
        <v>186</v>
      </c>
      <c r="E8116" t="s">
        <v>379</v>
      </c>
    </row>
    <row r="8117" spans="1:5" x14ac:dyDescent="0.25">
      <c r="A8117" s="279">
        <v>39261</v>
      </c>
      <c r="B8117" t="s">
        <v>339</v>
      </c>
      <c r="C8117" t="s">
        <v>71</v>
      </c>
      <c r="D8117">
        <v>1914</v>
      </c>
      <c r="E8117" t="s">
        <v>378</v>
      </c>
    </row>
    <row r="8118" spans="1:5" x14ac:dyDescent="0.25">
      <c r="A8118" s="279">
        <v>39261</v>
      </c>
      <c r="B8118" t="s">
        <v>339</v>
      </c>
      <c r="C8118" t="s">
        <v>72</v>
      </c>
      <c r="D8118">
        <v>0</v>
      </c>
      <c r="E8118" t="s">
        <v>380</v>
      </c>
    </row>
    <row r="8119" spans="1:5" x14ac:dyDescent="0.25">
      <c r="A8119" s="279">
        <v>39261</v>
      </c>
      <c r="B8119" t="s">
        <v>339</v>
      </c>
      <c r="C8119" t="s">
        <v>73</v>
      </c>
      <c r="D8119">
        <v>17012</v>
      </c>
      <c r="E8119" t="s">
        <v>378</v>
      </c>
    </row>
    <row r="8120" spans="1:5" x14ac:dyDescent="0.25">
      <c r="A8120" s="279">
        <v>39261</v>
      </c>
      <c r="B8120" t="s">
        <v>339</v>
      </c>
      <c r="C8120" t="s">
        <v>74</v>
      </c>
      <c r="D8120">
        <v>0</v>
      </c>
      <c r="E8120" t="s">
        <v>380</v>
      </c>
    </row>
    <row r="8121" spans="1:5" x14ac:dyDescent="0.25">
      <c r="A8121" s="279">
        <v>39261</v>
      </c>
      <c r="B8121" t="s">
        <v>339</v>
      </c>
      <c r="C8121" t="s">
        <v>75</v>
      </c>
      <c r="D8121">
        <v>15272</v>
      </c>
      <c r="E8121" t="s">
        <v>378</v>
      </c>
    </row>
    <row r="8122" spans="1:5" x14ac:dyDescent="0.25">
      <c r="A8122" s="279">
        <v>39261</v>
      </c>
      <c r="B8122" t="s">
        <v>339</v>
      </c>
      <c r="C8122" t="s">
        <v>76</v>
      </c>
      <c r="D8122">
        <v>8206</v>
      </c>
      <c r="E8122" t="s">
        <v>380</v>
      </c>
    </row>
    <row r="8123" spans="1:5" x14ac:dyDescent="0.25">
      <c r="A8123" s="279">
        <v>39261</v>
      </c>
      <c r="B8123" t="s">
        <v>339</v>
      </c>
      <c r="C8123" t="s">
        <v>77</v>
      </c>
      <c r="D8123">
        <v>7282</v>
      </c>
      <c r="E8123" t="s">
        <v>378</v>
      </c>
    </row>
    <row r="8124" spans="1:5" x14ac:dyDescent="0.25">
      <c r="A8124" s="279">
        <v>39261</v>
      </c>
      <c r="B8124" t="s">
        <v>339</v>
      </c>
      <c r="C8124" t="s">
        <v>78</v>
      </c>
      <c r="D8124">
        <v>0</v>
      </c>
      <c r="E8124" t="s">
        <v>380</v>
      </c>
    </row>
    <row r="8125" spans="1:5" x14ac:dyDescent="0.25">
      <c r="A8125" s="279">
        <v>39261</v>
      </c>
      <c r="B8125" t="s">
        <v>339</v>
      </c>
      <c r="C8125" t="s">
        <v>79</v>
      </c>
      <c r="D8125">
        <v>96231</v>
      </c>
      <c r="E8125" t="s">
        <v>379</v>
      </c>
    </row>
    <row r="8126" spans="1:5" x14ac:dyDescent="0.25">
      <c r="A8126" s="279">
        <v>39261</v>
      </c>
      <c r="B8126" t="s">
        <v>339</v>
      </c>
      <c r="C8126" t="s">
        <v>70</v>
      </c>
      <c r="D8126">
        <v>0</v>
      </c>
      <c r="E8126" t="s">
        <v>379</v>
      </c>
    </row>
    <row r="8127" spans="1:5" x14ac:dyDescent="0.25">
      <c r="A8127" s="279">
        <v>39261</v>
      </c>
      <c r="B8127" t="s">
        <v>339</v>
      </c>
      <c r="C8127" t="s">
        <v>63</v>
      </c>
      <c r="D8127">
        <v>17336</v>
      </c>
      <c r="E8127" t="s">
        <v>378</v>
      </c>
    </row>
    <row r="8128" spans="1:5" x14ac:dyDescent="0.25">
      <c r="A8128" s="279">
        <v>39261</v>
      </c>
      <c r="B8128" t="s">
        <v>339</v>
      </c>
      <c r="C8128" t="s">
        <v>80</v>
      </c>
      <c r="D8128">
        <v>798</v>
      </c>
      <c r="E8128" t="s">
        <v>379</v>
      </c>
    </row>
    <row r="8129" spans="1:5" x14ac:dyDescent="0.25">
      <c r="A8129" s="279">
        <v>39262</v>
      </c>
      <c r="B8129" t="s">
        <v>338</v>
      </c>
      <c r="C8129" t="s">
        <v>59</v>
      </c>
      <c r="D8129">
        <v>2573</v>
      </c>
      <c r="E8129" t="s">
        <v>378</v>
      </c>
    </row>
    <row r="8130" spans="1:5" x14ac:dyDescent="0.25">
      <c r="A8130" s="279">
        <v>39262</v>
      </c>
      <c r="B8130" t="s">
        <v>338</v>
      </c>
      <c r="C8130" t="s">
        <v>60</v>
      </c>
      <c r="D8130">
        <v>0</v>
      </c>
      <c r="E8130" t="s">
        <v>379</v>
      </c>
    </row>
    <row r="8131" spans="1:5" x14ac:dyDescent="0.25">
      <c r="A8131" s="279">
        <v>39262</v>
      </c>
      <c r="B8131" t="s">
        <v>338</v>
      </c>
      <c r="C8131" t="s">
        <v>61</v>
      </c>
      <c r="D8131">
        <v>7706</v>
      </c>
      <c r="E8131" t="s">
        <v>378</v>
      </c>
    </row>
    <row r="8132" spans="1:5" x14ac:dyDescent="0.25">
      <c r="A8132" s="279">
        <v>39262</v>
      </c>
      <c r="B8132" t="s">
        <v>338</v>
      </c>
      <c r="C8132" t="s">
        <v>62</v>
      </c>
      <c r="D8132">
        <v>0</v>
      </c>
      <c r="E8132" t="s">
        <v>380</v>
      </c>
    </row>
    <row r="8133" spans="1:5" x14ac:dyDescent="0.25">
      <c r="A8133" s="279">
        <v>39262</v>
      </c>
      <c r="B8133" t="s">
        <v>338</v>
      </c>
      <c r="C8133" t="s">
        <v>63</v>
      </c>
      <c r="D8133">
        <v>0</v>
      </c>
      <c r="E8133" t="s">
        <v>378</v>
      </c>
    </row>
    <row r="8134" spans="1:5" x14ac:dyDescent="0.25">
      <c r="A8134" s="279">
        <v>39262</v>
      </c>
      <c r="B8134" t="s">
        <v>338</v>
      </c>
      <c r="C8134" t="s">
        <v>64</v>
      </c>
      <c r="D8134">
        <v>0</v>
      </c>
      <c r="E8134" t="s">
        <v>380</v>
      </c>
    </row>
    <row r="8135" spans="1:5" x14ac:dyDescent="0.25">
      <c r="A8135" s="279">
        <v>39262</v>
      </c>
      <c r="B8135" t="s">
        <v>338</v>
      </c>
      <c r="C8135" t="s">
        <v>65</v>
      </c>
      <c r="D8135">
        <v>0</v>
      </c>
      <c r="E8135" t="s">
        <v>378</v>
      </c>
    </row>
    <row r="8136" spans="1:5" x14ac:dyDescent="0.25">
      <c r="A8136" s="279">
        <v>39262</v>
      </c>
      <c r="B8136" t="s">
        <v>338</v>
      </c>
      <c r="C8136" t="s">
        <v>66</v>
      </c>
      <c r="D8136">
        <v>0</v>
      </c>
      <c r="E8136" t="s">
        <v>380</v>
      </c>
    </row>
    <row r="8137" spans="1:5" x14ac:dyDescent="0.25">
      <c r="A8137" s="279">
        <v>39262</v>
      </c>
      <c r="B8137" t="s">
        <v>338</v>
      </c>
      <c r="C8137" t="s">
        <v>120</v>
      </c>
      <c r="D8137">
        <v>12232</v>
      </c>
      <c r="E8137" t="s">
        <v>378</v>
      </c>
    </row>
    <row r="8138" spans="1:5" x14ac:dyDescent="0.25">
      <c r="A8138" s="279">
        <v>39262</v>
      </c>
      <c r="B8138" t="s">
        <v>338</v>
      </c>
      <c r="C8138" t="s">
        <v>121</v>
      </c>
      <c r="D8138">
        <v>0</v>
      </c>
      <c r="E8138" t="s">
        <v>380</v>
      </c>
    </row>
    <row r="8139" spans="1:5" x14ac:dyDescent="0.25">
      <c r="A8139" s="279">
        <v>39262</v>
      </c>
      <c r="B8139" t="s">
        <v>338</v>
      </c>
      <c r="C8139" t="s">
        <v>67</v>
      </c>
      <c r="D8139">
        <v>0</v>
      </c>
      <c r="E8139" t="s">
        <v>378</v>
      </c>
    </row>
    <row r="8140" spans="1:5" x14ac:dyDescent="0.25">
      <c r="A8140" s="279">
        <v>39262</v>
      </c>
      <c r="B8140" t="s">
        <v>338</v>
      </c>
      <c r="C8140" t="s">
        <v>68</v>
      </c>
      <c r="D8140">
        <v>0</v>
      </c>
      <c r="E8140" t="s">
        <v>380</v>
      </c>
    </row>
    <row r="8141" spans="1:5" x14ac:dyDescent="0.25">
      <c r="A8141" s="279">
        <v>39262</v>
      </c>
      <c r="B8141" t="s">
        <v>338</v>
      </c>
      <c r="C8141" t="s">
        <v>69</v>
      </c>
      <c r="D8141">
        <v>0</v>
      </c>
      <c r="E8141" t="s">
        <v>379</v>
      </c>
    </row>
    <row r="8142" spans="1:5" x14ac:dyDescent="0.25">
      <c r="A8142" s="279">
        <v>39262</v>
      </c>
      <c r="B8142" t="s">
        <v>338</v>
      </c>
      <c r="C8142" t="s">
        <v>70</v>
      </c>
      <c r="D8142">
        <v>0</v>
      </c>
      <c r="E8142" t="s">
        <v>379</v>
      </c>
    </row>
    <row r="8143" spans="1:5" x14ac:dyDescent="0.25">
      <c r="A8143" s="279">
        <v>39262</v>
      </c>
      <c r="B8143" t="s">
        <v>338</v>
      </c>
      <c r="C8143" t="s">
        <v>80</v>
      </c>
      <c r="D8143">
        <v>186</v>
      </c>
      <c r="E8143" t="s">
        <v>379</v>
      </c>
    </row>
    <row r="8144" spans="1:5" x14ac:dyDescent="0.25">
      <c r="A8144" s="279">
        <v>39262</v>
      </c>
      <c r="B8144" t="s">
        <v>339</v>
      </c>
      <c r="C8144" t="s">
        <v>71</v>
      </c>
      <c r="D8144">
        <v>1910</v>
      </c>
      <c r="E8144" t="s">
        <v>378</v>
      </c>
    </row>
    <row r="8145" spans="1:5" x14ac:dyDescent="0.25">
      <c r="A8145" s="279">
        <v>39262</v>
      </c>
      <c r="B8145" t="s">
        <v>339</v>
      </c>
      <c r="C8145" t="s">
        <v>72</v>
      </c>
      <c r="D8145">
        <v>0</v>
      </c>
      <c r="E8145" t="s">
        <v>380</v>
      </c>
    </row>
    <row r="8146" spans="1:5" x14ac:dyDescent="0.25">
      <c r="A8146" s="279">
        <v>39262</v>
      </c>
      <c r="B8146" t="s">
        <v>339</v>
      </c>
      <c r="C8146" t="s">
        <v>73</v>
      </c>
      <c r="D8146">
        <v>16979</v>
      </c>
      <c r="E8146" t="s">
        <v>378</v>
      </c>
    </row>
    <row r="8147" spans="1:5" x14ac:dyDescent="0.25">
      <c r="A8147" s="279">
        <v>39262</v>
      </c>
      <c r="B8147" t="s">
        <v>339</v>
      </c>
      <c r="C8147" t="s">
        <v>74</v>
      </c>
      <c r="D8147">
        <v>0</v>
      </c>
      <c r="E8147" t="s">
        <v>380</v>
      </c>
    </row>
    <row r="8148" spans="1:5" x14ac:dyDescent="0.25">
      <c r="A8148" s="279">
        <v>39262</v>
      </c>
      <c r="B8148" t="s">
        <v>339</v>
      </c>
      <c r="C8148" t="s">
        <v>75</v>
      </c>
      <c r="D8148">
        <v>15265</v>
      </c>
      <c r="E8148" t="s">
        <v>378</v>
      </c>
    </row>
    <row r="8149" spans="1:5" x14ac:dyDescent="0.25">
      <c r="A8149" s="279">
        <v>39262</v>
      </c>
      <c r="B8149" t="s">
        <v>339</v>
      </c>
      <c r="C8149" t="s">
        <v>76</v>
      </c>
      <c r="D8149">
        <v>8401</v>
      </c>
      <c r="E8149" t="s">
        <v>380</v>
      </c>
    </row>
    <row r="8150" spans="1:5" x14ac:dyDescent="0.25">
      <c r="A8150" s="279">
        <v>39262</v>
      </c>
      <c r="B8150" t="s">
        <v>339</v>
      </c>
      <c r="C8150" t="s">
        <v>77</v>
      </c>
      <c r="D8150">
        <v>7268</v>
      </c>
      <c r="E8150" t="s">
        <v>378</v>
      </c>
    </row>
    <row r="8151" spans="1:5" x14ac:dyDescent="0.25">
      <c r="A8151" s="279">
        <v>39262</v>
      </c>
      <c r="B8151" t="s">
        <v>339</v>
      </c>
      <c r="C8151" t="s">
        <v>78</v>
      </c>
      <c r="D8151">
        <v>0</v>
      </c>
      <c r="E8151" t="s">
        <v>380</v>
      </c>
    </row>
    <row r="8152" spans="1:5" x14ac:dyDescent="0.25">
      <c r="A8152" s="279">
        <v>39262</v>
      </c>
      <c r="B8152" t="s">
        <v>339</v>
      </c>
      <c r="C8152" t="s">
        <v>79</v>
      </c>
      <c r="D8152">
        <v>96045</v>
      </c>
      <c r="E8152" t="s">
        <v>379</v>
      </c>
    </row>
    <row r="8153" spans="1:5" x14ac:dyDescent="0.25">
      <c r="A8153" s="279">
        <v>39262</v>
      </c>
      <c r="B8153" t="s">
        <v>339</v>
      </c>
      <c r="C8153" t="s">
        <v>70</v>
      </c>
      <c r="D8153">
        <v>0</v>
      </c>
      <c r="E8153" t="s">
        <v>379</v>
      </c>
    </row>
    <row r="8154" spans="1:5" x14ac:dyDescent="0.25">
      <c r="A8154" s="279">
        <v>39262</v>
      </c>
      <c r="B8154" t="s">
        <v>339</v>
      </c>
      <c r="C8154" t="s">
        <v>63</v>
      </c>
      <c r="D8154">
        <v>17303</v>
      </c>
      <c r="E8154" t="s">
        <v>378</v>
      </c>
    </row>
    <row r="8155" spans="1:5" x14ac:dyDescent="0.25">
      <c r="A8155" s="279">
        <v>39262</v>
      </c>
      <c r="B8155" t="s">
        <v>339</v>
      </c>
      <c r="C8155" t="s">
        <v>80</v>
      </c>
      <c r="D8155">
        <v>796</v>
      </c>
      <c r="E8155" t="s">
        <v>379</v>
      </c>
    </row>
    <row r="8156" spans="1:5" x14ac:dyDescent="0.25">
      <c r="A8156" s="279">
        <v>39263</v>
      </c>
      <c r="B8156" t="s">
        <v>338</v>
      </c>
      <c r="C8156" t="s">
        <v>59</v>
      </c>
      <c r="D8156">
        <v>2568</v>
      </c>
      <c r="E8156" t="s">
        <v>378</v>
      </c>
    </row>
    <row r="8157" spans="1:5" x14ac:dyDescent="0.25">
      <c r="A8157" s="279">
        <v>39263</v>
      </c>
      <c r="B8157" t="s">
        <v>338</v>
      </c>
      <c r="C8157" t="s">
        <v>60</v>
      </c>
      <c r="D8157">
        <v>0</v>
      </c>
      <c r="E8157" t="s">
        <v>379</v>
      </c>
    </row>
    <row r="8158" spans="1:5" x14ac:dyDescent="0.25">
      <c r="A8158" s="279">
        <v>39263</v>
      </c>
      <c r="B8158" t="s">
        <v>338</v>
      </c>
      <c r="C8158" t="s">
        <v>61</v>
      </c>
      <c r="D8158">
        <v>7760</v>
      </c>
      <c r="E8158" t="s">
        <v>378</v>
      </c>
    </row>
    <row r="8159" spans="1:5" x14ac:dyDescent="0.25">
      <c r="A8159" s="279">
        <v>39263</v>
      </c>
      <c r="B8159" t="s">
        <v>338</v>
      </c>
      <c r="C8159" t="s">
        <v>62</v>
      </c>
      <c r="D8159">
        <v>0</v>
      </c>
      <c r="E8159" t="s">
        <v>380</v>
      </c>
    </row>
    <row r="8160" spans="1:5" x14ac:dyDescent="0.25">
      <c r="A8160" s="279">
        <v>39263</v>
      </c>
      <c r="B8160" t="s">
        <v>338</v>
      </c>
      <c r="C8160" t="s">
        <v>63</v>
      </c>
      <c r="D8160">
        <v>0</v>
      </c>
      <c r="E8160" t="s">
        <v>378</v>
      </c>
    </row>
    <row r="8161" spans="1:5" x14ac:dyDescent="0.25">
      <c r="A8161" s="279">
        <v>39263</v>
      </c>
      <c r="B8161" t="s">
        <v>338</v>
      </c>
      <c r="C8161" t="s">
        <v>64</v>
      </c>
      <c r="D8161">
        <v>0</v>
      </c>
      <c r="E8161" t="s">
        <v>380</v>
      </c>
    </row>
    <row r="8162" spans="1:5" x14ac:dyDescent="0.25">
      <c r="A8162" s="279">
        <v>39263</v>
      </c>
      <c r="B8162" t="s">
        <v>338</v>
      </c>
      <c r="C8162" t="s">
        <v>65</v>
      </c>
      <c r="D8162">
        <v>0</v>
      </c>
      <c r="E8162" t="s">
        <v>378</v>
      </c>
    </row>
    <row r="8163" spans="1:5" x14ac:dyDescent="0.25">
      <c r="A8163" s="279">
        <v>39263</v>
      </c>
      <c r="B8163" t="s">
        <v>338</v>
      </c>
      <c r="C8163" t="s">
        <v>66</v>
      </c>
      <c r="D8163">
        <v>0</v>
      </c>
      <c r="E8163" t="s">
        <v>380</v>
      </c>
    </row>
    <row r="8164" spans="1:5" x14ac:dyDescent="0.25">
      <c r="A8164" s="279">
        <v>39263</v>
      </c>
      <c r="B8164" t="s">
        <v>338</v>
      </c>
      <c r="C8164" t="s">
        <v>120</v>
      </c>
      <c r="D8164">
        <v>12208</v>
      </c>
      <c r="E8164" t="s">
        <v>378</v>
      </c>
    </row>
    <row r="8165" spans="1:5" x14ac:dyDescent="0.25">
      <c r="A8165" s="279">
        <v>39263</v>
      </c>
      <c r="B8165" t="s">
        <v>338</v>
      </c>
      <c r="C8165" t="s">
        <v>121</v>
      </c>
      <c r="D8165">
        <v>0</v>
      </c>
      <c r="E8165" t="s">
        <v>380</v>
      </c>
    </row>
    <row r="8166" spans="1:5" x14ac:dyDescent="0.25">
      <c r="A8166" s="279">
        <v>39263</v>
      </c>
      <c r="B8166" t="s">
        <v>338</v>
      </c>
      <c r="C8166" t="s">
        <v>67</v>
      </c>
      <c r="D8166">
        <v>0</v>
      </c>
      <c r="E8166" t="s">
        <v>378</v>
      </c>
    </row>
    <row r="8167" spans="1:5" x14ac:dyDescent="0.25">
      <c r="A8167" s="279">
        <v>39263</v>
      </c>
      <c r="B8167" t="s">
        <v>338</v>
      </c>
      <c r="C8167" t="s">
        <v>68</v>
      </c>
      <c r="D8167">
        <v>0</v>
      </c>
      <c r="E8167" t="s">
        <v>380</v>
      </c>
    </row>
    <row r="8168" spans="1:5" x14ac:dyDescent="0.25">
      <c r="A8168" s="279">
        <v>39263</v>
      </c>
      <c r="B8168" t="s">
        <v>338</v>
      </c>
      <c r="C8168" t="s">
        <v>69</v>
      </c>
      <c r="D8168">
        <v>0</v>
      </c>
      <c r="E8168" t="s">
        <v>379</v>
      </c>
    </row>
    <row r="8169" spans="1:5" x14ac:dyDescent="0.25">
      <c r="A8169" s="279">
        <v>39263</v>
      </c>
      <c r="B8169" t="s">
        <v>338</v>
      </c>
      <c r="C8169" t="s">
        <v>70</v>
      </c>
      <c r="D8169">
        <v>0</v>
      </c>
      <c r="E8169" t="s">
        <v>379</v>
      </c>
    </row>
    <row r="8170" spans="1:5" x14ac:dyDescent="0.25">
      <c r="A8170" s="279">
        <v>39263</v>
      </c>
      <c r="B8170" t="s">
        <v>338</v>
      </c>
      <c r="C8170" t="s">
        <v>80</v>
      </c>
      <c r="D8170">
        <v>186</v>
      </c>
      <c r="E8170" t="s">
        <v>379</v>
      </c>
    </row>
    <row r="8171" spans="1:5" x14ac:dyDescent="0.25">
      <c r="A8171" s="279">
        <v>39263</v>
      </c>
      <c r="B8171" t="s">
        <v>339</v>
      </c>
      <c r="C8171" t="s">
        <v>71</v>
      </c>
      <c r="D8171">
        <v>1910</v>
      </c>
      <c r="E8171" t="s">
        <v>378</v>
      </c>
    </row>
    <row r="8172" spans="1:5" x14ac:dyDescent="0.25">
      <c r="A8172" s="279">
        <v>39263</v>
      </c>
      <c r="B8172" t="s">
        <v>339</v>
      </c>
      <c r="C8172" t="s">
        <v>72</v>
      </c>
      <c r="D8172">
        <v>0</v>
      </c>
      <c r="E8172" t="s">
        <v>380</v>
      </c>
    </row>
    <row r="8173" spans="1:5" x14ac:dyDescent="0.25">
      <c r="A8173" s="279">
        <v>39263</v>
      </c>
      <c r="B8173" t="s">
        <v>339</v>
      </c>
      <c r="C8173" t="s">
        <v>73</v>
      </c>
      <c r="D8173">
        <v>16979</v>
      </c>
      <c r="E8173" t="s">
        <v>378</v>
      </c>
    </row>
    <row r="8174" spans="1:5" x14ac:dyDescent="0.25">
      <c r="A8174" s="279">
        <v>39263</v>
      </c>
      <c r="B8174" t="s">
        <v>339</v>
      </c>
      <c r="C8174" t="s">
        <v>74</v>
      </c>
      <c r="D8174">
        <v>0</v>
      </c>
      <c r="E8174" t="s">
        <v>380</v>
      </c>
    </row>
    <row r="8175" spans="1:5" x14ac:dyDescent="0.25">
      <c r="A8175" s="279">
        <v>39263</v>
      </c>
      <c r="B8175" t="s">
        <v>339</v>
      </c>
      <c r="C8175" t="s">
        <v>75</v>
      </c>
      <c r="D8175">
        <v>12435</v>
      </c>
      <c r="E8175" t="s">
        <v>378</v>
      </c>
    </row>
    <row r="8176" spans="1:5" x14ac:dyDescent="0.25">
      <c r="A8176" s="279">
        <v>39263</v>
      </c>
      <c r="B8176" t="s">
        <v>339</v>
      </c>
      <c r="C8176" t="s">
        <v>76</v>
      </c>
      <c r="D8176">
        <v>2796</v>
      </c>
      <c r="E8176" t="s">
        <v>380</v>
      </c>
    </row>
    <row r="8177" spans="1:5" x14ac:dyDescent="0.25">
      <c r="A8177" s="279">
        <v>39263</v>
      </c>
      <c r="B8177" t="s">
        <v>339</v>
      </c>
      <c r="C8177" t="s">
        <v>77</v>
      </c>
      <c r="D8177">
        <v>7268</v>
      </c>
      <c r="E8177" t="s">
        <v>378</v>
      </c>
    </row>
    <row r="8178" spans="1:5" x14ac:dyDescent="0.25">
      <c r="A8178" s="279">
        <v>39263</v>
      </c>
      <c r="B8178" t="s">
        <v>339</v>
      </c>
      <c r="C8178" t="s">
        <v>78</v>
      </c>
      <c r="D8178">
        <v>0</v>
      </c>
      <c r="E8178" t="s">
        <v>380</v>
      </c>
    </row>
    <row r="8179" spans="1:5" x14ac:dyDescent="0.25">
      <c r="A8179" s="279">
        <v>39263</v>
      </c>
      <c r="B8179" t="s">
        <v>339</v>
      </c>
      <c r="C8179" t="s">
        <v>79</v>
      </c>
      <c r="D8179">
        <v>96045</v>
      </c>
      <c r="E8179" t="s">
        <v>379</v>
      </c>
    </row>
    <row r="8180" spans="1:5" x14ac:dyDescent="0.25">
      <c r="A8180" s="279">
        <v>39263</v>
      </c>
      <c r="B8180" t="s">
        <v>339</v>
      </c>
      <c r="C8180" t="s">
        <v>70</v>
      </c>
      <c r="D8180">
        <v>0</v>
      </c>
      <c r="E8180" t="s">
        <v>379</v>
      </c>
    </row>
    <row r="8181" spans="1:5" x14ac:dyDescent="0.25">
      <c r="A8181" s="279">
        <v>39263</v>
      </c>
      <c r="B8181" t="s">
        <v>339</v>
      </c>
      <c r="C8181" t="s">
        <v>63</v>
      </c>
      <c r="D8181">
        <v>17303</v>
      </c>
      <c r="E8181" t="s">
        <v>378</v>
      </c>
    </row>
    <row r="8182" spans="1:5" x14ac:dyDescent="0.25">
      <c r="A8182" s="279">
        <v>39263</v>
      </c>
      <c r="B8182" t="s">
        <v>339</v>
      </c>
      <c r="C8182" t="s">
        <v>80</v>
      </c>
      <c r="D8182">
        <v>771</v>
      </c>
      <c r="E8182" t="s">
        <v>379</v>
      </c>
    </row>
    <row r="8183" spans="1:5" x14ac:dyDescent="0.25">
      <c r="A8183" s="279">
        <v>39264</v>
      </c>
      <c r="B8183" t="s">
        <v>338</v>
      </c>
      <c r="C8183" t="s">
        <v>59</v>
      </c>
      <c r="D8183">
        <v>2578</v>
      </c>
      <c r="E8183" t="s">
        <v>378</v>
      </c>
    </row>
    <row r="8184" spans="1:5" x14ac:dyDescent="0.25">
      <c r="A8184" s="279">
        <v>39264</v>
      </c>
      <c r="B8184" t="s">
        <v>338</v>
      </c>
      <c r="C8184" t="s">
        <v>60</v>
      </c>
      <c r="D8184">
        <v>0</v>
      </c>
      <c r="E8184" t="s">
        <v>379</v>
      </c>
    </row>
    <row r="8185" spans="1:5" x14ac:dyDescent="0.25">
      <c r="A8185" s="279">
        <v>39264</v>
      </c>
      <c r="B8185" t="s">
        <v>338</v>
      </c>
      <c r="C8185" t="s">
        <v>61</v>
      </c>
      <c r="D8185">
        <v>13230</v>
      </c>
      <c r="E8185" t="s">
        <v>378</v>
      </c>
    </row>
    <row r="8186" spans="1:5" x14ac:dyDescent="0.25">
      <c r="A8186" s="279">
        <v>39264</v>
      </c>
      <c r="B8186" t="s">
        <v>338</v>
      </c>
      <c r="C8186" t="s">
        <v>62</v>
      </c>
      <c r="D8186">
        <v>0</v>
      </c>
      <c r="E8186" t="s">
        <v>380</v>
      </c>
    </row>
    <row r="8187" spans="1:5" x14ac:dyDescent="0.25">
      <c r="A8187" s="279">
        <v>39264</v>
      </c>
      <c r="B8187" t="s">
        <v>338</v>
      </c>
      <c r="C8187" t="s">
        <v>63</v>
      </c>
      <c r="D8187">
        <v>0</v>
      </c>
      <c r="E8187" t="s">
        <v>378</v>
      </c>
    </row>
    <row r="8188" spans="1:5" x14ac:dyDescent="0.25">
      <c r="A8188" s="279">
        <v>39264</v>
      </c>
      <c r="B8188" t="s">
        <v>338</v>
      </c>
      <c r="C8188" t="s">
        <v>64</v>
      </c>
      <c r="D8188">
        <v>0</v>
      </c>
      <c r="E8188" t="s">
        <v>380</v>
      </c>
    </row>
    <row r="8189" spans="1:5" x14ac:dyDescent="0.25">
      <c r="A8189" s="279">
        <v>39264</v>
      </c>
      <c r="B8189" t="s">
        <v>338</v>
      </c>
      <c r="C8189" t="s">
        <v>65</v>
      </c>
      <c r="D8189">
        <v>0</v>
      </c>
      <c r="E8189" t="s">
        <v>378</v>
      </c>
    </row>
    <row r="8190" spans="1:5" x14ac:dyDescent="0.25">
      <c r="A8190" s="279">
        <v>39264</v>
      </c>
      <c r="B8190" t="s">
        <v>338</v>
      </c>
      <c r="C8190" t="s">
        <v>66</v>
      </c>
      <c r="D8190">
        <v>0</v>
      </c>
      <c r="E8190" t="s">
        <v>380</v>
      </c>
    </row>
    <row r="8191" spans="1:5" x14ac:dyDescent="0.25">
      <c r="A8191" s="279">
        <v>39264</v>
      </c>
      <c r="B8191" t="s">
        <v>338</v>
      </c>
      <c r="C8191" t="s">
        <v>120</v>
      </c>
      <c r="D8191">
        <v>6744</v>
      </c>
      <c r="E8191" t="s">
        <v>378</v>
      </c>
    </row>
    <row r="8192" spans="1:5" x14ac:dyDescent="0.25">
      <c r="A8192" s="279">
        <v>39264</v>
      </c>
      <c r="B8192" t="s">
        <v>338</v>
      </c>
      <c r="C8192" t="s">
        <v>121</v>
      </c>
      <c r="D8192">
        <v>0</v>
      </c>
      <c r="E8192" t="s">
        <v>380</v>
      </c>
    </row>
    <row r="8193" spans="1:5" x14ac:dyDescent="0.25">
      <c r="A8193" s="279">
        <v>39264</v>
      </c>
      <c r="B8193" t="s">
        <v>338</v>
      </c>
      <c r="C8193" t="s">
        <v>67</v>
      </c>
      <c r="D8193">
        <v>0</v>
      </c>
      <c r="E8193" t="s">
        <v>378</v>
      </c>
    </row>
    <row r="8194" spans="1:5" x14ac:dyDescent="0.25">
      <c r="A8194" s="279">
        <v>39264</v>
      </c>
      <c r="B8194" t="s">
        <v>338</v>
      </c>
      <c r="C8194" t="s">
        <v>68</v>
      </c>
      <c r="D8194">
        <v>0</v>
      </c>
      <c r="E8194" t="s">
        <v>380</v>
      </c>
    </row>
    <row r="8195" spans="1:5" x14ac:dyDescent="0.25">
      <c r="A8195" s="279">
        <v>39264</v>
      </c>
      <c r="B8195" t="s">
        <v>338</v>
      </c>
      <c r="C8195" t="s">
        <v>69</v>
      </c>
      <c r="D8195">
        <v>0</v>
      </c>
      <c r="E8195" t="s">
        <v>379</v>
      </c>
    </row>
    <row r="8196" spans="1:5" x14ac:dyDescent="0.25">
      <c r="A8196" s="279">
        <v>39264</v>
      </c>
      <c r="B8196" t="s">
        <v>338</v>
      </c>
      <c r="C8196" t="s">
        <v>70</v>
      </c>
      <c r="D8196">
        <v>0</v>
      </c>
      <c r="E8196" t="s">
        <v>379</v>
      </c>
    </row>
    <row r="8197" spans="1:5" x14ac:dyDescent="0.25">
      <c r="A8197" s="279">
        <v>39264</v>
      </c>
      <c r="B8197" t="s">
        <v>338</v>
      </c>
      <c r="C8197" t="s">
        <v>80</v>
      </c>
      <c r="D8197">
        <v>186</v>
      </c>
      <c r="E8197" t="s">
        <v>379</v>
      </c>
    </row>
    <row r="8198" spans="1:5" x14ac:dyDescent="0.25">
      <c r="A8198" s="279">
        <v>39264</v>
      </c>
      <c r="B8198" t="s">
        <v>339</v>
      </c>
      <c r="C8198" t="s">
        <v>71</v>
      </c>
      <c r="D8198">
        <v>1908</v>
      </c>
      <c r="E8198" t="s">
        <v>378</v>
      </c>
    </row>
    <row r="8199" spans="1:5" x14ac:dyDescent="0.25">
      <c r="A8199" s="279">
        <v>39264</v>
      </c>
      <c r="B8199" t="s">
        <v>339</v>
      </c>
      <c r="C8199" t="s">
        <v>72</v>
      </c>
      <c r="D8199">
        <v>0</v>
      </c>
      <c r="E8199" t="s">
        <v>380</v>
      </c>
    </row>
    <row r="8200" spans="1:5" x14ac:dyDescent="0.25">
      <c r="A8200" s="279">
        <v>39264</v>
      </c>
      <c r="B8200" t="s">
        <v>339</v>
      </c>
      <c r="C8200" t="s">
        <v>73</v>
      </c>
      <c r="D8200">
        <v>16963</v>
      </c>
      <c r="E8200" t="s">
        <v>378</v>
      </c>
    </row>
    <row r="8201" spans="1:5" x14ac:dyDescent="0.25">
      <c r="A8201" s="279">
        <v>39264</v>
      </c>
      <c r="B8201" t="s">
        <v>339</v>
      </c>
      <c r="C8201" t="s">
        <v>74</v>
      </c>
      <c r="D8201">
        <v>0</v>
      </c>
      <c r="E8201" t="s">
        <v>380</v>
      </c>
    </row>
    <row r="8202" spans="1:5" x14ac:dyDescent="0.25">
      <c r="A8202" s="279">
        <v>39264</v>
      </c>
      <c r="B8202" t="s">
        <v>339</v>
      </c>
      <c r="C8202" t="s">
        <v>75</v>
      </c>
      <c r="D8202">
        <v>15228</v>
      </c>
      <c r="E8202" t="s">
        <v>378</v>
      </c>
    </row>
    <row r="8203" spans="1:5" x14ac:dyDescent="0.25">
      <c r="A8203" s="279">
        <v>39264</v>
      </c>
      <c r="B8203" t="s">
        <v>339</v>
      </c>
      <c r="C8203" t="s">
        <v>76</v>
      </c>
      <c r="D8203">
        <v>0</v>
      </c>
      <c r="E8203" t="s">
        <v>380</v>
      </c>
    </row>
    <row r="8204" spans="1:5" x14ac:dyDescent="0.25">
      <c r="A8204" s="279">
        <v>39264</v>
      </c>
      <c r="B8204" t="s">
        <v>339</v>
      </c>
      <c r="C8204" t="s">
        <v>77</v>
      </c>
      <c r="D8204">
        <v>7261</v>
      </c>
      <c r="E8204" t="s">
        <v>378</v>
      </c>
    </row>
    <row r="8205" spans="1:5" x14ac:dyDescent="0.25">
      <c r="A8205" s="279">
        <v>39264</v>
      </c>
      <c r="B8205" t="s">
        <v>339</v>
      </c>
      <c r="C8205" t="s">
        <v>78</v>
      </c>
      <c r="D8205">
        <v>3421</v>
      </c>
      <c r="E8205" t="s">
        <v>380</v>
      </c>
    </row>
    <row r="8206" spans="1:5" x14ac:dyDescent="0.25">
      <c r="A8206" s="279">
        <v>39264</v>
      </c>
      <c r="B8206" t="s">
        <v>339</v>
      </c>
      <c r="C8206" t="s">
        <v>79</v>
      </c>
      <c r="D8206">
        <v>99803</v>
      </c>
      <c r="E8206" t="s">
        <v>379</v>
      </c>
    </row>
    <row r="8207" spans="1:5" x14ac:dyDescent="0.25">
      <c r="A8207" s="279">
        <v>39264</v>
      </c>
      <c r="B8207" t="s">
        <v>339</v>
      </c>
      <c r="C8207" t="s">
        <v>70</v>
      </c>
      <c r="D8207">
        <v>0</v>
      </c>
      <c r="E8207" t="s">
        <v>379</v>
      </c>
    </row>
    <row r="8208" spans="1:5" x14ac:dyDescent="0.25">
      <c r="A8208" s="279">
        <v>39264</v>
      </c>
      <c r="B8208" t="s">
        <v>339</v>
      </c>
      <c r="C8208" t="s">
        <v>63</v>
      </c>
      <c r="D8208">
        <v>17286</v>
      </c>
      <c r="E8208" t="s">
        <v>378</v>
      </c>
    </row>
    <row r="8209" spans="1:5" x14ac:dyDescent="0.25">
      <c r="A8209" s="279">
        <v>39264</v>
      </c>
      <c r="B8209" t="s">
        <v>339</v>
      </c>
      <c r="C8209" t="s">
        <v>80</v>
      </c>
      <c r="D8209">
        <v>795</v>
      </c>
      <c r="E8209" t="s">
        <v>379</v>
      </c>
    </row>
    <row r="8210" spans="1:5" x14ac:dyDescent="0.25">
      <c r="A8210" s="279">
        <v>39265</v>
      </c>
      <c r="B8210" t="s">
        <v>338</v>
      </c>
      <c r="C8210" t="s">
        <v>59</v>
      </c>
      <c r="D8210">
        <v>2578</v>
      </c>
      <c r="E8210" t="s">
        <v>378</v>
      </c>
    </row>
    <row r="8211" spans="1:5" x14ac:dyDescent="0.25">
      <c r="A8211" s="279">
        <v>39265</v>
      </c>
      <c r="B8211" t="s">
        <v>338</v>
      </c>
      <c r="C8211" t="s">
        <v>60</v>
      </c>
      <c r="D8211">
        <v>0</v>
      </c>
      <c r="E8211" t="s">
        <v>379</v>
      </c>
    </row>
    <row r="8212" spans="1:5" x14ac:dyDescent="0.25">
      <c r="A8212" s="279">
        <v>39265</v>
      </c>
      <c r="B8212" t="s">
        <v>338</v>
      </c>
      <c r="C8212" t="s">
        <v>61</v>
      </c>
      <c r="D8212">
        <v>13225</v>
      </c>
      <c r="E8212" t="s">
        <v>378</v>
      </c>
    </row>
    <row r="8213" spans="1:5" x14ac:dyDescent="0.25">
      <c r="A8213" s="279">
        <v>39265</v>
      </c>
      <c r="B8213" t="s">
        <v>338</v>
      </c>
      <c r="C8213" t="s">
        <v>62</v>
      </c>
      <c r="D8213">
        <v>0</v>
      </c>
      <c r="E8213" t="s">
        <v>380</v>
      </c>
    </row>
    <row r="8214" spans="1:5" x14ac:dyDescent="0.25">
      <c r="A8214" s="279">
        <v>39265</v>
      </c>
      <c r="B8214" t="s">
        <v>338</v>
      </c>
      <c r="C8214" t="s">
        <v>63</v>
      </c>
      <c r="D8214">
        <v>0</v>
      </c>
      <c r="E8214" t="s">
        <v>378</v>
      </c>
    </row>
    <row r="8215" spans="1:5" x14ac:dyDescent="0.25">
      <c r="A8215" s="279">
        <v>39265</v>
      </c>
      <c r="B8215" t="s">
        <v>338</v>
      </c>
      <c r="C8215" t="s">
        <v>64</v>
      </c>
      <c r="D8215">
        <v>0</v>
      </c>
      <c r="E8215" t="s">
        <v>380</v>
      </c>
    </row>
    <row r="8216" spans="1:5" x14ac:dyDescent="0.25">
      <c r="A8216" s="279">
        <v>39265</v>
      </c>
      <c r="B8216" t="s">
        <v>338</v>
      </c>
      <c r="C8216" t="s">
        <v>65</v>
      </c>
      <c r="D8216">
        <v>0</v>
      </c>
      <c r="E8216" t="s">
        <v>378</v>
      </c>
    </row>
    <row r="8217" spans="1:5" x14ac:dyDescent="0.25">
      <c r="A8217" s="279">
        <v>39265</v>
      </c>
      <c r="B8217" t="s">
        <v>338</v>
      </c>
      <c r="C8217" t="s">
        <v>66</v>
      </c>
      <c r="D8217">
        <v>0</v>
      </c>
      <c r="E8217" t="s">
        <v>380</v>
      </c>
    </row>
    <row r="8218" spans="1:5" x14ac:dyDescent="0.25">
      <c r="A8218" s="279">
        <v>39265</v>
      </c>
      <c r="B8218" t="s">
        <v>338</v>
      </c>
      <c r="C8218" t="s">
        <v>120</v>
      </c>
      <c r="D8218">
        <v>6744</v>
      </c>
      <c r="E8218" t="s">
        <v>378</v>
      </c>
    </row>
    <row r="8219" spans="1:5" x14ac:dyDescent="0.25">
      <c r="A8219" s="279">
        <v>39265</v>
      </c>
      <c r="B8219" t="s">
        <v>338</v>
      </c>
      <c r="C8219" t="s">
        <v>121</v>
      </c>
      <c r="D8219">
        <v>0</v>
      </c>
      <c r="E8219" t="s">
        <v>380</v>
      </c>
    </row>
    <row r="8220" spans="1:5" x14ac:dyDescent="0.25">
      <c r="A8220" s="279">
        <v>39265</v>
      </c>
      <c r="B8220" t="s">
        <v>338</v>
      </c>
      <c r="C8220" t="s">
        <v>67</v>
      </c>
      <c r="D8220">
        <v>0</v>
      </c>
      <c r="E8220" t="s">
        <v>378</v>
      </c>
    </row>
    <row r="8221" spans="1:5" x14ac:dyDescent="0.25">
      <c r="A8221" s="279">
        <v>39265</v>
      </c>
      <c r="B8221" t="s">
        <v>338</v>
      </c>
      <c r="C8221" t="s">
        <v>68</v>
      </c>
      <c r="D8221">
        <v>0</v>
      </c>
      <c r="E8221" t="s">
        <v>380</v>
      </c>
    </row>
    <row r="8222" spans="1:5" x14ac:dyDescent="0.25">
      <c r="A8222" s="279">
        <v>39265</v>
      </c>
      <c r="B8222" t="s">
        <v>338</v>
      </c>
      <c r="C8222" t="s">
        <v>69</v>
      </c>
      <c r="D8222">
        <v>0</v>
      </c>
      <c r="E8222" t="s">
        <v>379</v>
      </c>
    </row>
    <row r="8223" spans="1:5" x14ac:dyDescent="0.25">
      <c r="A8223" s="279">
        <v>39265</v>
      </c>
      <c r="B8223" t="s">
        <v>338</v>
      </c>
      <c r="C8223" t="s">
        <v>70</v>
      </c>
      <c r="D8223">
        <v>0</v>
      </c>
      <c r="E8223" t="s">
        <v>379</v>
      </c>
    </row>
    <row r="8224" spans="1:5" x14ac:dyDescent="0.25">
      <c r="A8224" s="279">
        <v>39265</v>
      </c>
      <c r="B8224" t="s">
        <v>338</v>
      </c>
      <c r="C8224" t="s">
        <v>80</v>
      </c>
      <c r="D8224">
        <v>186</v>
      </c>
      <c r="E8224" t="s">
        <v>379</v>
      </c>
    </row>
    <row r="8225" spans="1:5" x14ac:dyDescent="0.25">
      <c r="A8225" s="279">
        <v>39265</v>
      </c>
      <c r="B8225" t="s">
        <v>339</v>
      </c>
      <c r="C8225" t="s">
        <v>71</v>
      </c>
      <c r="D8225">
        <v>1907</v>
      </c>
      <c r="E8225" t="s">
        <v>378</v>
      </c>
    </row>
    <row r="8226" spans="1:5" x14ac:dyDescent="0.25">
      <c r="A8226" s="279">
        <v>39265</v>
      </c>
      <c r="B8226" t="s">
        <v>339</v>
      </c>
      <c r="C8226" t="s">
        <v>72</v>
      </c>
      <c r="D8226">
        <v>0</v>
      </c>
      <c r="E8226" t="s">
        <v>380</v>
      </c>
    </row>
    <row r="8227" spans="1:5" x14ac:dyDescent="0.25">
      <c r="A8227" s="279">
        <v>39265</v>
      </c>
      <c r="B8227" t="s">
        <v>339</v>
      </c>
      <c r="C8227" t="s">
        <v>73</v>
      </c>
      <c r="D8227">
        <v>18049</v>
      </c>
      <c r="E8227" t="s">
        <v>378</v>
      </c>
    </row>
    <row r="8228" spans="1:5" x14ac:dyDescent="0.25">
      <c r="A8228" s="279">
        <v>39265</v>
      </c>
      <c r="B8228" t="s">
        <v>339</v>
      </c>
      <c r="C8228" t="s">
        <v>74</v>
      </c>
      <c r="D8228">
        <v>0</v>
      </c>
      <c r="E8228" t="s">
        <v>380</v>
      </c>
    </row>
    <row r="8229" spans="1:5" x14ac:dyDescent="0.25">
      <c r="A8229" s="279">
        <v>39265</v>
      </c>
      <c r="B8229" t="s">
        <v>339</v>
      </c>
      <c r="C8229" t="s">
        <v>75</v>
      </c>
      <c r="D8229">
        <v>15213</v>
      </c>
      <c r="E8229" t="s">
        <v>378</v>
      </c>
    </row>
    <row r="8230" spans="1:5" x14ac:dyDescent="0.25">
      <c r="A8230" s="279">
        <v>39265</v>
      </c>
      <c r="B8230" t="s">
        <v>339</v>
      </c>
      <c r="C8230" t="s">
        <v>76</v>
      </c>
      <c r="D8230">
        <v>0</v>
      </c>
      <c r="E8230" t="s">
        <v>380</v>
      </c>
    </row>
    <row r="8231" spans="1:5" x14ac:dyDescent="0.25">
      <c r="A8231" s="279">
        <v>39265</v>
      </c>
      <c r="B8231" t="s">
        <v>339</v>
      </c>
      <c r="C8231" t="s">
        <v>77</v>
      </c>
      <c r="D8231">
        <v>7254</v>
      </c>
      <c r="E8231" t="s">
        <v>378</v>
      </c>
    </row>
    <row r="8232" spans="1:5" x14ac:dyDescent="0.25">
      <c r="A8232" s="279">
        <v>39265</v>
      </c>
      <c r="B8232" t="s">
        <v>339</v>
      </c>
      <c r="C8232" t="s">
        <v>78</v>
      </c>
      <c r="D8232">
        <v>0</v>
      </c>
      <c r="E8232" t="s">
        <v>380</v>
      </c>
    </row>
    <row r="8233" spans="1:5" x14ac:dyDescent="0.25">
      <c r="A8233" s="279">
        <v>39265</v>
      </c>
      <c r="B8233" t="s">
        <v>339</v>
      </c>
      <c r="C8233" t="s">
        <v>79</v>
      </c>
      <c r="D8233">
        <v>99707</v>
      </c>
      <c r="E8233" t="s">
        <v>379</v>
      </c>
    </row>
    <row r="8234" spans="1:5" x14ac:dyDescent="0.25">
      <c r="A8234" s="279">
        <v>39265</v>
      </c>
      <c r="B8234" t="s">
        <v>339</v>
      </c>
      <c r="C8234" t="s">
        <v>70</v>
      </c>
      <c r="D8234">
        <v>0</v>
      </c>
      <c r="E8234" t="s">
        <v>379</v>
      </c>
    </row>
    <row r="8235" spans="1:5" x14ac:dyDescent="0.25">
      <c r="A8235" s="279">
        <v>39265</v>
      </c>
      <c r="B8235" t="s">
        <v>339</v>
      </c>
      <c r="C8235" t="s">
        <v>63</v>
      </c>
      <c r="D8235">
        <v>17269</v>
      </c>
      <c r="E8235" t="s">
        <v>378</v>
      </c>
    </row>
    <row r="8236" spans="1:5" x14ac:dyDescent="0.25">
      <c r="A8236" s="279">
        <v>39265</v>
      </c>
      <c r="B8236" t="s">
        <v>339</v>
      </c>
      <c r="C8236" t="s">
        <v>80</v>
      </c>
      <c r="D8236">
        <v>836</v>
      </c>
      <c r="E8236" t="s">
        <v>379</v>
      </c>
    </row>
    <row r="8237" spans="1:5" x14ac:dyDescent="0.25">
      <c r="A8237" s="279">
        <v>39266</v>
      </c>
      <c r="B8237" t="s">
        <v>338</v>
      </c>
      <c r="C8237" t="s">
        <v>59</v>
      </c>
      <c r="D8237">
        <v>2578</v>
      </c>
      <c r="E8237" t="s">
        <v>378</v>
      </c>
    </row>
    <row r="8238" spans="1:5" x14ac:dyDescent="0.25">
      <c r="A8238" s="279">
        <v>39266</v>
      </c>
      <c r="B8238" t="s">
        <v>338</v>
      </c>
      <c r="C8238" t="s">
        <v>60</v>
      </c>
      <c r="D8238">
        <v>0</v>
      </c>
      <c r="E8238" t="s">
        <v>379</v>
      </c>
    </row>
    <row r="8239" spans="1:5" x14ac:dyDescent="0.25">
      <c r="A8239" s="279">
        <v>39266</v>
      </c>
      <c r="B8239" t="s">
        <v>338</v>
      </c>
      <c r="C8239" t="s">
        <v>61</v>
      </c>
      <c r="D8239">
        <v>13230</v>
      </c>
      <c r="E8239" t="s">
        <v>378</v>
      </c>
    </row>
    <row r="8240" spans="1:5" x14ac:dyDescent="0.25">
      <c r="A8240" s="279">
        <v>39266</v>
      </c>
      <c r="B8240" t="s">
        <v>338</v>
      </c>
      <c r="C8240" t="s">
        <v>62</v>
      </c>
      <c r="D8240">
        <v>0</v>
      </c>
      <c r="E8240" t="s">
        <v>380</v>
      </c>
    </row>
    <row r="8241" spans="1:5" x14ac:dyDescent="0.25">
      <c r="A8241" s="279">
        <v>39266</v>
      </c>
      <c r="B8241" t="s">
        <v>338</v>
      </c>
      <c r="C8241" t="s">
        <v>63</v>
      </c>
      <c r="D8241">
        <v>0</v>
      </c>
      <c r="E8241" t="s">
        <v>378</v>
      </c>
    </row>
    <row r="8242" spans="1:5" x14ac:dyDescent="0.25">
      <c r="A8242" s="279">
        <v>39266</v>
      </c>
      <c r="B8242" t="s">
        <v>338</v>
      </c>
      <c r="C8242" t="s">
        <v>64</v>
      </c>
      <c r="D8242">
        <v>0</v>
      </c>
      <c r="E8242" t="s">
        <v>380</v>
      </c>
    </row>
    <row r="8243" spans="1:5" x14ac:dyDescent="0.25">
      <c r="A8243" s="279">
        <v>39266</v>
      </c>
      <c r="B8243" t="s">
        <v>338</v>
      </c>
      <c r="C8243" t="s">
        <v>65</v>
      </c>
      <c r="D8243">
        <v>0</v>
      </c>
      <c r="E8243" t="s">
        <v>378</v>
      </c>
    </row>
    <row r="8244" spans="1:5" x14ac:dyDescent="0.25">
      <c r="A8244" s="279">
        <v>39266</v>
      </c>
      <c r="B8244" t="s">
        <v>338</v>
      </c>
      <c r="C8244" t="s">
        <v>66</v>
      </c>
      <c r="D8244">
        <v>0</v>
      </c>
      <c r="E8244" t="s">
        <v>380</v>
      </c>
    </row>
    <row r="8245" spans="1:5" x14ac:dyDescent="0.25">
      <c r="A8245" s="279">
        <v>39266</v>
      </c>
      <c r="B8245" t="s">
        <v>338</v>
      </c>
      <c r="C8245" t="s">
        <v>120</v>
      </c>
      <c r="D8245">
        <v>6779</v>
      </c>
      <c r="E8245" t="s">
        <v>378</v>
      </c>
    </row>
    <row r="8246" spans="1:5" x14ac:dyDescent="0.25">
      <c r="A8246" s="279">
        <v>39266</v>
      </c>
      <c r="B8246" t="s">
        <v>338</v>
      </c>
      <c r="C8246" t="s">
        <v>121</v>
      </c>
      <c r="D8246">
        <v>0</v>
      </c>
      <c r="E8246" t="s">
        <v>380</v>
      </c>
    </row>
    <row r="8247" spans="1:5" x14ac:dyDescent="0.25">
      <c r="A8247" s="279">
        <v>39266</v>
      </c>
      <c r="B8247" t="s">
        <v>338</v>
      </c>
      <c r="C8247" t="s">
        <v>67</v>
      </c>
      <c r="D8247">
        <v>0</v>
      </c>
      <c r="E8247" t="s">
        <v>378</v>
      </c>
    </row>
    <row r="8248" spans="1:5" x14ac:dyDescent="0.25">
      <c r="A8248" s="279">
        <v>39266</v>
      </c>
      <c r="B8248" t="s">
        <v>338</v>
      </c>
      <c r="C8248" t="s">
        <v>68</v>
      </c>
      <c r="D8248">
        <v>0</v>
      </c>
      <c r="E8248" t="s">
        <v>380</v>
      </c>
    </row>
    <row r="8249" spans="1:5" x14ac:dyDescent="0.25">
      <c r="A8249" s="279">
        <v>39266</v>
      </c>
      <c r="B8249" t="s">
        <v>338</v>
      </c>
      <c r="C8249" t="s">
        <v>69</v>
      </c>
      <c r="D8249">
        <v>0</v>
      </c>
      <c r="E8249" t="s">
        <v>379</v>
      </c>
    </row>
    <row r="8250" spans="1:5" x14ac:dyDescent="0.25">
      <c r="A8250" s="279">
        <v>39266</v>
      </c>
      <c r="B8250" t="s">
        <v>338</v>
      </c>
      <c r="C8250" t="s">
        <v>70</v>
      </c>
      <c r="D8250">
        <v>0</v>
      </c>
      <c r="E8250" t="s">
        <v>379</v>
      </c>
    </row>
    <row r="8251" spans="1:5" x14ac:dyDescent="0.25">
      <c r="A8251" s="279">
        <v>39266</v>
      </c>
      <c r="B8251" t="s">
        <v>338</v>
      </c>
      <c r="C8251" t="s">
        <v>80</v>
      </c>
      <c r="D8251">
        <v>186</v>
      </c>
      <c r="E8251" t="s">
        <v>379</v>
      </c>
    </row>
    <row r="8252" spans="1:5" x14ac:dyDescent="0.25">
      <c r="A8252" s="279">
        <v>39266</v>
      </c>
      <c r="B8252" t="s">
        <v>339</v>
      </c>
      <c r="C8252" t="s">
        <v>71</v>
      </c>
      <c r="D8252">
        <v>1905</v>
      </c>
      <c r="E8252" t="s">
        <v>378</v>
      </c>
    </row>
    <row r="8253" spans="1:5" x14ac:dyDescent="0.25">
      <c r="A8253" s="279">
        <v>39266</v>
      </c>
      <c r="B8253" t="s">
        <v>339</v>
      </c>
      <c r="C8253" t="s">
        <v>72</v>
      </c>
      <c r="D8253">
        <v>0</v>
      </c>
      <c r="E8253" t="s">
        <v>380</v>
      </c>
    </row>
    <row r="8254" spans="1:5" x14ac:dyDescent="0.25">
      <c r="A8254" s="279">
        <v>39266</v>
      </c>
      <c r="B8254" t="s">
        <v>339</v>
      </c>
      <c r="C8254" t="s">
        <v>73</v>
      </c>
      <c r="D8254">
        <v>20633</v>
      </c>
      <c r="E8254" t="s">
        <v>378</v>
      </c>
    </row>
    <row r="8255" spans="1:5" x14ac:dyDescent="0.25">
      <c r="A8255" s="279">
        <v>39266</v>
      </c>
      <c r="B8255" t="s">
        <v>339</v>
      </c>
      <c r="C8255" t="s">
        <v>74</v>
      </c>
      <c r="D8255">
        <v>0</v>
      </c>
      <c r="E8255" t="s">
        <v>380</v>
      </c>
    </row>
    <row r="8256" spans="1:5" x14ac:dyDescent="0.25">
      <c r="A8256" s="279">
        <v>39266</v>
      </c>
      <c r="B8256" t="s">
        <v>339</v>
      </c>
      <c r="C8256" t="s">
        <v>75</v>
      </c>
      <c r="D8256">
        <v>15198</v>
      </c>
      <c r="E8256" t="s">
        <v>378</v>
      </c>
    </row>
    <row r="8257" spans="1:5" x14ac:dyDescent="0.25">
      <c r="A8257" s="279">
        <v>39266</v>
      </c>
      <c r="B8257" t="s">
        <v>339</v>
      </c>
      <c r="C8257" t="s">
        <v>76</v>
      </c>
      <c r="D8257">
        <v>0</v>
      </c>
      <c r="E8257" t="s">
        <v>380</v>
      </c>
    </row>
    <row r="8258" spans="1:5" x14ac:dyDescent="0.25">
      <c r="A8258" s="279">
        <v>39266</v>
      </c>
      <c r="B8258" t="s">
        <v>339</v>
      </c>
      <c r="C8258" t="s">
        <v>77</v>
      </c>
      <c r="D8258">
        <v>7247</v>
      </c>
      <c r="E8258" t="s">
        <v>378</v>
      </c>
    </row>
    <row r="8259" spans="1:5" x14ac:dyDescent="0.25">
      <c r="A8259" s="279">
        <v>39266</v>
      </c>
      <c r="B8259" t="s">
        <v>339</v>
      </c>
      <c r="C8259" t="s">
        <v>78</v>
      </c>
      <c r="D8259">
        <v>0</v>
      </c>
      <c r="E8259" t="s">
        <v>380</v>
      </c>
    </row>
    <row r="8260" spans="1:5" x14ac:dyDescent="0.25">
      <c r="A8260" s="279">
        <v>39266</v>
      </c>
      <c r="B8260" t="s">
        <v>339</v>
      </c>
      <c r="C8260" t="s">
        <v>79</v>
      </c>
      <c r="D8260">
        <v>96729</v>
      </c>
      <c r="E8260" t="s">
        <v>379</v>
      </c>
    </row>
    <row r="8261" spans="1:5" x14ac:dyDescent="0.25">
      <c r="A8261" s="279">
        <v>39266</v>
      </c>
      <c r="B8261" t="s">
        <v>339</v>
      </c>
      <c r="C8261" t="s">
        <v>70</v>
      </c>
      <c r="D8261">
        <v>0</v>
      </c>
      <c r="E8261" t="s">
        <v>379</v>
      </c>
    </row>
    <row r="8262" spans="1:5" x14ac:dyDescent="0.25">
      <c r="A8262" s="279">
        <v>39266</v>
      </c>
      <c r="B8262" t="s">
        <v>339</v>
      </c>
      <c r="C8262" t="s">
        <v>63</v>
      </c>
      <c r="D8262">
        <v>17253</v>
      </c>
      <c r="E8262" t="s">
        <v>378</v>
      </c>
    </row>
    <row r="8263" spans="1:5" x14ac:dyDescent="0.25">
      <c r="A8263" s="279">
        <v>39266</v>
      </c>
      <c r="B8263" t="s">
        <v>339</v>
      </c>
      <c r="C8263" t="s">
        <v>80</v>
      </c>
      <c r="D8263">
        <v>934</v>
      </c>
      <c r="E8263" t="s">
        <v>379</v>
      </c>
    </row>
    <row r="8264" spans="1:5" x14ac:dyDescent="0.25">
      <c r="A8264" s="279">
        <v>39267</v>
      </c>
      <c r="B8264" t="s">
        <v>338</v>
      </c>
      <c r="C8264" t="s">
        <v>59</v>
      </c>
      <c r="D8264">
        <v>2578</v>
      </c>
      <c r="E8264" t="s">
        <v>378</v>
      </c>
    </row>
    <row r="8265" spans="1:5" x14ac:dyDescent="0.25">
      <c r="A8265" s="279">
        <v>39267</v>
      </c>
      <c r="B8265" t="s">
        <v>338</v>
      </c>
      <c r="C8265" t="s">
        <v>60</v>
      </c>
      <c r="D8265">
        <v>0</v>
      </c>
      <c r="E8265" t="s">
        <v>379</v>
      </c>
    </row>
    <row r="8266" spans="1:5" x14ac:dyDescent="0.25">
      <c r="A8266" s="279">
        <v>39267</v>
      </c>
      <c r="B8266" t="s">
        <v>338</v>
      </c>
      <c r="C8266" t="s">
        <v>61</v>
      </c>
      <c r="D8266">
        <v>13220</v>
      </c>
      <c r="E8266" t="s">
        <v>378</v>
      </c>
    </row>
    <row r="8267" spans="1:5" x14ac:dyDescent="0.25">
      <c r="A8267" s="279">
        <v>39267</v>
      </c>
      <c r="B8267" t="s">
        <v>338</v>
      </c>
      <c r="C8267" t="s">
        <v>62</v>
      </c>
      <c r="D8267">
        <v>0</v>
      </c>
      <c r="E8267" t="s">
        <v>380</v>
      </c>
    </row>
    <row r="8268" spans="1:5" x14ac:dyDescent="0.25">
      <c r="A8268" s="279">
        <v>39267</v>
      </c>
      <c r="B8268" t="s">
        <v>338</v>
      </c>
      <c r="C8268" t="s">
        <v>63</v>
      </c>
      <c r="D8268">
        <v>0</v>
      </c>
      <c r="E8268" t="s">
        <v>378</v>
      </c>
    </row>
    <row r="8269" spans="1:5" x14ac:dyDescent="0.25">
      <c r="A8269" s="279">
        <v>39267</v>
      </c>
      <c r="B8269" t="s">
        <v>338</v>
      </c>
      <c r="C8269" t="s">
        <v>64</v>
      </c>
      <c r="D8269">
        <v>0</v>
      </c>
      <c r="E8269" t="s">
        <v>380</v>
      </c>
    </row>
    <row r="8270" spans="1:5" x14ac:dyDescent="0.25">
      <c r="A8270" s="279">
        <v>39267</v>
      </c>
      <c r="B8270" t="s">
        <v>338</v>
      </c>
      <c r="C8270" t="s">
        <v>65</v>
      </c>
      <c r="D8270">
        <v>0</v>
      </c>
      <c r="E8270" t="s">
        <v>378</v>
      </c>
    </row>
    <row r="8271" spans="1:5" x14ac:dyDescent="0.25">
      <c r="A8271" s="279">
        <v>39267</v>
      </c>
      <c r="B8271" t="s">
        <v>338</v>
      </c>
      <c r="C8271" t="s">
        <v>66</v>
      </c>
      <c r="D8271">
        <v>0</v>
      </c>
      <c r="E8271" t="s">
        <v>380</v>
      </c>
    </row>
    <row r="8272" spans="1:5" x14ac:dyDescent="0.25">
      <c r="A8272" s="279">
        <v>39267</v>
      </c>
      <c r="B8272" t="s">
        <v>338</v>
      </c>
      <c r="C8272" t="s">
        <v>120</v>
      </c>
      <c r="D8272">
        <v>6779</v>
      </c>
      <c r="E8272" t="s">
        <v>378</v>
      </c>
    </row>
    <row r="8273" spans="1:5" x14ac:dyDescent="0.25">
      <c r="A8273" s="279">
        <v>39267</v>
      </c>
      <c r="B8273" t="s">
        <v>338</v>
      </c>
      <c r="C8273" t="s">
        <v>121</v>
      </c>
      <c r="D8273">
        <v>0</v>
      </c>
      <c r="E8273" t="s">
        <v>380</v>
      </c>
    </row>
    <row r="8274" spans="1:5" x14ac:dyDescent="0.25">
      <c r="A8274" s="279">
        <v>39267</v>
      </c>
      <c r="B8274" t="s">
        <v>338</v>
      </c>
      <c r="C8274" t="s">
        <v>67</v>
      </c>
      <c r="D8274">
        <v>0</v>
      </c>
      <c r="E8274" t="s">
        <v>378</v>
      </c>
    </row>
    <row r="8275" spans="1:5" x14ac:dyDescent="0.25">
      <c r="A8275" s="279">
        <v>39267</v>
      </c>
      <c r="B8275" t="s">
        <v>338</v>
      </c>
      <c r="C8275" t="s">
        <v>68</v>
      </c>
      <c r="D8275">
        <v>0</v>
      </c>
      <c r="E8275" t="s">
        <v>380</v>
      </c>
    </row>
    <row r="8276" spans="1:5" x14ac:dyDescent="0.25">
      <c r="A8276" s="279">
        <v>39267</v>
      </c>
      <c r="B8276" t="s">
        <v>338</v>
      </c>
      <c r="C8276" t="s">
        <v>69</v>
      </c>
      <c r="D8276">
        <v>0</v>
      </c>
      <c r="E8276" t="s">
        <v>379</v>
      </c>
    </row>
    <row r="8277" spans="1:5" x14ac:dyDescent="0.25">
      <c r="A8277" s="279">
        <v>39267</v>
      </c>
      <c r="B8277" t="s">
        <v>338</v>
      </c>
      <c r="C8277" t="s">
        <v>70</v>
      </c>
      <c r="D8277">
        <v>0</v>
      </c>
      <c r="E8277" t="s">
        <v>379</v>
      </c>
    </row>
    <row r="8278" spans="1:5" x14ac:dyDescent="0.25">
      <c r="A8278" s="279">
        <v>39267</v>
      </c>
      <c r="B8278" t="s">
        <v>338</v>
      </c>
      <c r="C8278" t="s">
        <v>80</v>
      </c>
      <c r="D8278">
        <v>186</v>
      </c>
      <c r="E8278" t="s">
        <v>379</v>
      </c>
    </row>
    <row r="8279" spans="1:5" x14ac:dyDescent="0.25">
      <c r="A8279" s="279">
        <v>39267</v>
      </c>
      <c r="B8279" t="s">
        <v>339</v>
      </c>
      <c r="C8279" t="s">
        <v>71</v>
      </c>
      <c r="D8279">
        <v>1910</v>
      </c>
      <c r="E8279" t="s">
        <v>378</v>
      </c>
    </row>
    <row r="8280" spans="1:5" x14ac:dyDescent="0.25">
      <c r="A8280" s="279">
        <v>39267</v>
      </c>
      <c r="B8280" t="s">
        <v>339</v>
      </c>
      <c r="C8280" t="s">
        <v>72</v>
      </c>
      <c r="D8280">
        <v>0</v>
      </c>
      <c r="E8280" t="s">
        <v>380</v>
      </c>
    </row>
    <row r="8281" spans="1:5" x14ac:dyDescent="0.25">
      <c r="A8281" s="279">
        <v>39267</v>
      </c>
      <c r="B8281" t="s">
        <v>339</v>
      </c>
      <c r="C8281" t="s">
        <v>73</v>
      </c>
      <c r="D8281">
        <v>18321</v>
      </c>
      <c r="E8281" t="s">
        <v>378</v>
      </c>
    </row>
    <row r="8282" spans="1:5" x14ac:dyDescent="0.25">
      <c r="A8282" s="279">
        <v>39267</v>
      </c>
      <c r="B8282" t="s">
        <v>339</v>
      </c>
      <c r="C8282" t="s">
        <v>74</v>
      </c>
      <c r="D8282">
        <v>0</v>
      </c>
      <c r="E8282" t="s">
        <v>380</v>
      </c>
    </row>
    <row r="8283" spans="1:5" x14ac:dyDescent="0.25">
      <c r="A8283" s="279">
        <v>39267</v>
      </c>
      <c r="B8283" t="s">
        <v>339</v>
      </c>
      <c r="C8283" t="s">
        <v>75</v>
      </c>
      <c r="D8283">
        <v>15242</v>
      </c>
      <c r="E8283" t="s">
        <v>378</v>
      </c>
    </row>
    <row r="8284" spans="1:5" x14ac:dyDescent="0.25">
      <c r="A8284" s="279">
        <v>39267</v>
      </c>
      <c r="B8284" t="s">
        <v>339</v>
      </c>
      <c r="C8284" t="s">
        <v>76</v>
      </c>
      <c r="D8284">
        <v>0</v>
      </c>
      <c r="E8284" t="s">
        <v>380</v>
      </c>
    </row>
    <row r="8285" spans="1:5" x14ac:dyDescent="0.25">
      <c r="A8285" s="279">
        <v>39267</v>
      </c>
      <c r="B8285" t="s">
        <v>339</v>
      </c>
      <c r="C8285" t="s">
        <v>77</v>
      </c>
      <c r="D8285">
        <v>7268</v>
      </c>
      <c r="E8285" t="s">
        <v>378</v>
      </c>
    </row>
    <row r="8286" spans="1:5" x14ac:dyDescent="0.25">
      <c r="A8286" s="279">
        <v>39267</v>
      </c>
      <c r="B8286" t="s">
        <v>339</v>
      </c>
      <c r="C8286" t="s">
        <v>78</v>
      </c>
      <c r="D8286">
        <v>0</v>
      </c>
      <c r="E8286" t="s">
        <v>380</v>
      </c>
    </row>
    <row r="8287" spans="1:5" x14ac:dyDescent="0.25">
      <c r="A8287" s="279">
        <v>39267</v>
      </c>
      <c r="B8287" t="s">
        <v>339</v>
      </c>
      <c r="C8287" t="s">
        <v>79</v>
      </c>
      <c r="D8287">
        <v>97009</v>
      </c>
      <c r="E8287" t="s">
        <v>379</v>
      </c>
    </row>
    <row r="8288" spans="1:5" x14ac:dyDescent="0.25">
      <c r="A8288" s="279">
        <v>39267</v>
      </c>
      <c r="B8288" t="s">
        <v>339</v>
      </c>
      <c r="C8288" t="s">
        <v>70</v>
      </c>
      <c r="D8288">
        <v>0</v>
      </c>
      <c r="E8288" t="s">
        <v>379</v>
      </c>
    </row>
    <row r="8289" spans="1:5" x14ac:dyDescent="0.25">
      <c r="A8289" s="279">
        <v>39267</v>
      </c>
      <c r="B8289" t="s">
        <v>339</v>
      </c>
      <c r="C8289" t="s">
        <v>63</v>
      </c>
      <c r="D8289">
        <v>17303</v>
      </c>
      <c r="E8289" t="s">
        <v>378</v>
      </c>
    </row>
    <row r="8290" spans="1:5" x14ac:dyDescent="0.25">
      <c r="A8290" s="279">
        <v>39267</v>
      </c>
      <c r="B8290" t="s">
        <v>339</v>
      </c>
      <c r="C8290" t="s">
        <v>80</v>
      </c>
      <c r="D8290">
        <v>847</v>
      </c>
      <c r="E8290" t="s">
        <v>379</v>
      </c>
    </row>
    <row r="8291" spans="1:5" x14ac:dyDescent="0.25">
      <c r="A8291" s="279">
        <v>39268</v>
      </c>
      <c r="B8291" t="s">
        <v>338</v>
      </c>
      <c r="C8291" t="s">
        <v>59</v>
      </c>
      <c r="D8291">
        <v>2578</v>
      </c>
      <c r="E8291" t="s">
        <v>378</v>
      </c>
    </row>
    <row r="8292" spans="1:5" x14ac:dyDescent="0.25">
      <c r="A8292" s="279">
        <v>39268</v>
      </c>
      <c r="B8292" t="s">
        <v>338</v>
      </c>
      <c r="C8292" t="s">
        <v>60</v>
      </c>
      <c r="D8292">
        <v>0</v>
      </c>
      <c r="E8292" t="s">
        <v>379</v>
      </c>
    </row>
    <row r="8293" spans="1:5" x14ac:dyDescent="0.25">
      <c r="A8293" s="279">
        <v>39268</v>
      </c>
      <c r="B8293" t="s">
        <v>338</v>
      </c>
      <c r="C8293" t="s">
        <v>61</v>
      </c>
      <c r="D8293">
        <v>13175</v>
      </c>
      <c r="E8293" t="s">
        <v>378</v>
      </c>
    </row>
    <row r="8294" spans="1:5" x14ac:dyDescent="0.25">
      <c r="A8294" s="279">
        <v>39268</v>
      </c>
      <c r="B8294" t="s">
        <v>338</v>
      </c>
      <c r="C8294" t="s">
        <v>62</v>
      </c>
      <c r="D8294">
        <v>0</v>
      </c>
      <c r="E8294" t="s">
        <v>380</v>
      </c>
    </row>
    <row r="8295" spans="1:5" x14ac:dyDescent="0.25">
      <c r="A8295" s="279">
        <v>39268</v>
      </c>
      <c r="B8295" t="s">
        <v>338</v>
      </c>
      <c r="C8295" t="s">
        <v>63</v>
      </c>
      <c r="D8295">
        <v>0</v>
      </c>
      <c r="E8295" t="s">
        <v>378</v>
      </c>
    </row>
    <row r="8296" spans="1:5" x14ac:dyDescent="0.25">
      <c r="A8296" s="279">
        <v>39268</v>
      </c>
      <c r="B8296" t="s">
        <v>338</v>
      </c>
      <c r="C8296" t="s">
        <v>64</v>
      </c>
      <c r="D8296">
        <v>0</v>
      </c>
      <c r="E8296" t="s">
        <v>380</v>
      </c>
    </row>
    <row r="8297" spans="1:5" x14ac:dyDescent="0.25">
      <c r="A8297" s="279">
        <v>39268</v>
      </c>
      <c r="B8297" t="s">
        <v>338</v>
      </c>
      <c r="C8297" t="s">
        <v>65</v>
      </c>
      <c r="D8297">
        <v>0</v>
      </c>
      <c r="E8297" t="s">
        <v>378</v>
      </c>
    </row>
    <row r="8298" spans="1:5" x14ac:dyDescent="0.25">
      <c r="A8298" s="279">
        <v>39268</v>
      </c>
      <c r="B8298" t="s">
        <v>338</v>
      </c>
      <c r="C8298" t="s">
        <v>66</v>
      </c>
      <c r="D8298">
        <v>0</v>
      </c>
      <c r="E8298" t="s">
        <v>380</v>
      </c>
    </row>
    <row r="8299" spans="1:5" x14ac:dyDescent="0.25">
      <c r="A8299" s="279">
        <v>39268</v>
      </c>
      <c r="B8299" t="s">
        <v>338</v>
      </c>
      <c r="C8299" t="s">
        <v>120</v>
      </c>
      <c r="D8299">
        <v>6794</v>
      </c>
      <c r="E8299" t="s">
        <v>378</v>
      </c>
    </row>
    <row r="8300" spans="1:5" x14ac:dyDescent="0.25">
      <c r="A8300" s="279">
        <v>39268</v>
      </c>
      <c r="B8300" t="s">
        <v>338</v>
      </c>
      <c r="C8300" t="s">
        <v>121</v>
      </c>
      <c r="D8300">
        <v>0</v>
      </c>
      <c r="E8300" t="s">
        <v>380</v>
      </c>
    </row>
    <row r="8301" spans="1:5" x14ac:dyDescent="0.25">
      <c r="A8301" s="279">
        <v>39268</v>
      </c>
      <c r="B8301" t="s">
        <v>338</v>
      </c>
      <c r="C8301" t="s">
        <v>67</v>
      </c>
      <c r="D8301">
        <v>0</v>
      </c>
      <c r="E8301" t="s">
        <v>378</v>
      </c>
    </row>
    <row r="8302" spans="1:5" x14ac:dyDescent="0.25">
      <c r="A8302" s="279">
        <v>39268</v>
      </c>
      <c r="B8302" t="s">
        <v>338</v>
      </c>
      <c r="C8302" t="s">
        <v>68</v>
      </c>
      <c r="D8302">
        <v>0</v>
      </c>
      <c r="E8302" t="s">
        <v>380</v>
      </c>
    </row>
    <row r="8303" spans="1:5" x14ac:dyDescent="0.25">
      <c r="A8303" s="279">
        <v>39268</v>
      </c>
      <c r="B8303" t="s">
        <v>338</v>
      </c>
      <c r="C8303" t="s">
        <v>69</v>
      </c>
      <c r="D8303">
        <v>0</v>
      </c>
      <c r="E8303" t="s">
        <v>379</v>
      </c>
    </row>
    <row r="8304" spans="1:5" x14ac:dyDescent="0.25">
      <c r="A8304" s="279">
        <v>39268</v>
      </c>
      <c r="B8304" t="s">
        <v>338</v>
      </c>
      <c r="C8304" t="s">
        <v>70</v>
      </c>
      <c r="D8304">
        <v>0</v>
      </c>
      <c r="E8304" t="s">
        <v>379</v>
      </c>
    </row>
    <row r="8305" spans="1:5" x14ac:dyDescent="0.25">
      <c r="A8305" s="279">
        <v>39268</v>
      </c>
      <c r="B8305" t="s">
        <v>338</v>
      </c>
      <c r="C8305" t="s">
        <v>80</v>
      </c>
      <c r="D8305">
        <v>186</v>
      </c>
      <c r="E8305" t="s">
        <v>379</v>
      </c>
    </row>
    <row r="8306" spans="1:5" x14ac:dyDescent="0.25">
      <c r="A8306" s="279">
        <v>39268</v>
      </c>
      <c r="B8306" t="s">
        <v>339</v>
      </c>
      <c r="C8306" t="s">
        <v>71</v>
      </c>
      <c r="D8306">
        <v>1914</v>
      </c>
      <c r="E8306" t="s">
        <v>378</v>
      </c>
    </row>
    <row r="8307" spans="1:5" x14ac:dyDescent="0.25">
      <c r="A8307" s="279">
        <v>39268</v>
      </c>
      <c r="B8307" t="s">
        <v>339</v>
      </c>
      <c r="C8307" t="s">
        <v>72</v>
      </c>
      <c r="D8307">
        <v>0</v>
      </c>
      <c r="E8307" t="s">
        <v>380</v>
      </c>
    </row>
    <row r="8308" spans="1:5" x14ac:dyDescent="0.25">
      <c r="A8308" s="279">
        <v>39268</v>
      </c>
      <c r="B8308" t="s">
        <v>339</v>
      </c>
      <c r="C8308" t="s">
        <v>73</v>
      </c>
      <c r="D8308">
        <v>17012</v>
      </c>
      <c r="E8308" t="s">
        <v>378</v>
      </c>
    </row>
    <row r="8309" spans="1:5" x14ac:dyDescent="0.25">
      <c r="A8309" s="279">
        <v>39268</v>
      </c>
      <c r="B8309" t="s">
        <v>339</v>
      </c>
      <c r="C8309" t="s">
        <v>74</v>
      </c>
      <c r="D8309">
        <v>0</v>
      </c>
      <c r="E8309" t="s">
        <v>380</v>
      </c>
    </row>
    <row r="8310" spans="1:5" x14ac:dyDescent="0.25">
      <c r="A8310" s="279">
        <v>39268</v>
      </c>
      <c r="B8310" t="s">
        <v>339</v>
      </c>
      <c r="C8310" t="s">
        <v>75</v>
      </c>
      <c r="D8310">
        <v>15272</v>
      </c>
      <c r="E8310" t="s">
        <v>378</v>
      </c>
    </row>
    <row r="8311" spans="1:5" x14ac:dyDescent="0.25">
      <c r="A8311" s="279">
        <v>39268</v>
      </c>
      <c r="B8311" t="s">
        <v>339</v>
      </c>
      <c r="C8311" t="s">
        <v>76</v>
      </c>
      <c r="D8311">
        <v>0</v>
      </c>
      <c r="E8311" t="s">
        <v>380</v>
      </c>
    </row>
    <row r="8312" spans="1:5" x14ac:dyDescent="0.25">
      <c r="A8312" s="279">
        <v>39268</v>
      </c>
      <c r="B8312" t="s">
        <v>339</v>
      </c>
      <c r="C8312" t="s">
        <v>77</v>
      </c>
      <c r="D8312">
        <v>7282</v>
      </c>
      <c r="E8312" t="s">
        <v>378</v>
      </c>
    </row>
    <row r="8313" spans="1:5" x14ac:dyDescent="0.25">
      <c r="A8313" s="279">
        <v>39268</v>
      </c>
      <c r="B8313" t="s">
        <v>339</v>
      </c>
      <c r="C8313" t="s">
        <v>78</v>
      </c>
      <c r="D8313">
        <v>2431</v>
      </c>
      <c r="E8313" t="s">
        <v>380</v>
      </c>
    </row>
    <row r="8314" spans="1:5" x14ac:dyDescent="0.25">
      <c r="A8314" s="279">
        <v>39268</v>
      </c>
      <c r="B8314" t="s">
        <v>339</v>
      </c>
      <c r="C8314" t="s">
        <v>79</v>
      </c>
      <c r="D8314">
        <v>97196</v>
      </c>
      <c r="E8314" t="s">
        <v>379</v>
      </c>
    </row>
    <row r="8315" spans="1:5" x14ac:dyDescent="0.25">
      <c r="A8315" s="279">
        <v>39268</v>
      </c>
      <c r="B8315" t="s">
        <v>339</v>
      </c>
      <c r="C8315" t="s">
        <v>70</v>
      </c>
      <c r="D8315">
        <v>0</v>
      </c>
      <c r="E8315" t="s">
        <v>379</v>
      </c>
    </row>
    <row r="8316" spans="1:5" x14ac:dyDescent="0.25">
      <c r="A8316" s="279">
        <v>39268</v>
      </c>
      <c r="B8316" t="s">
        <v>339</v>
      </c>
      <c r="C8316" t="s">
        <v>63</v>
      </c>
      <c r="D8316">
        <v>17336</v>
      </c>
      <c r="E8316" t="s">
        <v>378</v>
      </c>
    </row>
    <row r="8317" spans="1:5" x14ac:dyDescent="0.25">
      <c r="A8317" s="279">
        <v>39268</v>
      </c>
      <c r="B8317" t="s">
        <v>339</v>
      </c>
      <c r="C8317" t="s">
        <v>80</v>
      </c>
      <c r="D8317">
        <v>798</v>
      </c>
      <c r="E8317" t="s">
        <v>379</v>
      </c>
    </row>
    <row r="8318" spans="1:5" x14ac:dyDescent="0.25">
      <c r="A8318" s="279">
        <v>39269</v>
      </c>
      <c r="B8318" t="s">
        <v>338</v>
      </c>
      <c r="C8318" t="s">
        <v>59</v>
      </c>
      <c r="D8318">
        <v>2575</v>
      </c>
      <c r="E8318" t="s">
        <v>378</v>
      </c>
    </row>
    <row r="8319" spans="1:5" x14ac:dyDescent="0.25">
      <c r="A8319" s="279">
        <v>39269</v>
      </c>
      <c r="B8319" t="s">
        <v>338</v>
      </c>
      <c r="C8319" t="s">
        <v>60</v>
      </c>
      <c r="D8319">
        <v>0</v>
      </c>
      <c r="E8319" t="s">
        <v>379</v>
      </c>
    </row>
    <row r="8320" spans="1:5" x14ac:dyDescent="0.25">
      <c r="A8320" s="279">
        <v>39269</v>
      </c>
      <c r="B8320" t="s">
        <v>338</v>
      </c>
      <c r="C8320" t="s">
        <v>61</v>
      </c>
      <c r="D8320">
        <v>13162</v>
      </c>
      <c r="E8320" t="s">
        <v>378</v>
      </c>
    </row>
    <row r="8321" spans="1:5" x14ac:dyDescent="0.25">
      <c r="A8321" s="279">
        <v>39269</v>
      </c>
      <c r="B8321" t="s">
        <v>338</v>
      </c>
      <c r="C8321" t="s">
        <v>62</v>
      </c>
      <c r="D8321">
        <v>0</v>
      </c>
      <c r="E8321" t="s">
        <v>380</v>
      </c>
    </row>
    <row r="8322" spans="1:5" x14ac:dyDescent="0.25">
      <c r="A8322" s="279">
        <v>39269</v>
      </c>
      <c r="B8322" t="s">
        <v>338</v>
      </c>
      <c r="C8322" t="s">
        <v>63</v>
      </c>
      <c r="D8322">
        <v>0</v>
      </c>
      <c r="E8322" t="s">
        <v>378</v>
      </c>
    </row>
    <row r="8323" spans="1:5" x14ac:dyDescent="0.25">
      <c r="A8323" s="279">
        <v>39269</v>
      </c>
      <c r="B8323" t="s">
        <v>338</v>
      </c>
      <c r="C8323" t="s">
        <v>64</v>
      </c>
      <c r="D8323">
        <v>0</v>
      </c>
      <c r="E8323" t="s">
        <v>380</v>
      </c>
    </row>
    <row r="8324" spans="1:5" x14ac:dyDescent="0.25">
      <c r="A8324" s="279">
        <v>39269</v>
      </c>
      <c r="B8324" t="s">
        <v>338</v>
      </c>
      <c r="C8324" t="s">
        <v>65</v>
      </c>
      <c r="D8324">
        <v>0</v>
      </c>
      <c r="E8324" t="s">
        <v>378</v>
      </c>
    </row>
    <row r="8325" spans="1:5" x14ac:dyDescent="0.25">
      <c r="A8325" s="279">
        <v>39269</v>
      </c>
      <c r="B8325" t="s">
        <v>338</v>
      </c>
      <c r="C8325" t="s">
        <v>66</v>
      </c>
      <c r="D8325">
        <v>0</v>
      </c>
      <c r="E8325" t="s">
        <v>380</v>
      </c>
    </row>
    <row r="8326" spans="1:5" x14ac:dyDescent="0.25">
      <c r="A8326" s="279">
        <v>39269</v>
      </c>
      <c r="B8326" t="s">
        <v>338</v>
      </c>
      <c r="C8326" t="s">
        <v>120</v>
      </c>
      <c r="D8326">
        <v>6836</v>
      </c>
      <c r="E8326" t="s">
        <v>378</v>
      </c>
    </row>
    <row r="8327" spans="1:5" x14ac:dyDescent="0.25">
      <c r="A8327" s="279">
        <v>39269</v>
      </c>
      <c r="B8327" t="s">
        <v>338</v>
      </c>
      <c r="C8327" t="s">
        <v>121</v>
      </c>
      <c r="D8327">
        <v>0</v>
      </c>
      <c r="E8327" t="s">
        <v>380</v>
      </c>
    </row>
    <row r="8328" spans="1:5" x14ac:dyDescent="0.25">
      <c r="A8328" s="279">
        <v>39269</v>
      </c>
      <c r="B8328" t="s">
        <v>338</v>
      </c>
      <c r="C8328" t="s">
        <v>67</v>
      </c>
      <c r="D8328">
        <v>0</v>
      </c>
      <c r="E8328" t="s">
        <v>378</v>
      </c>
    </row>
    <row r="8329" spans="1:5" x14ac:dyDescent="0.25">
      <c r="A8329" s="279">
        <v>39269</v>
      </c>
      <c r="B8329" t="s">
        <v>338</v>
      </c>
      <c r="C8329" t="s">
        <v>68</v>
      </c>
      <c r="D8329">
        <v>0</v>
      </c>
      <c r="E8329" t="s">
        <v>380</v>
      </c>
    </row>
    <row r="8330" spans="1:5" x14ac:dyDescent="0.25">
      <c r="A8330" s="279">
        <v>39269</v>
      </c>
      <c r="B8330" t="s">
        <v>338</v>
      </c>
      <c r="C8330" t="s">
        <v>69</v>
      </c>
      <c r="D8330">
        <v>0</v>
      </c>
      <c r="E8330" t="s">
        <v>379</v>
      </c>
    </row>
    <row r="8331" spans="1:5" x14ac:dyDescent="0.25">
      <c r="A8331" s="279">
        <v>39269</v>
      </c>
      <c r="B8331" t="s">
        <v>338</v>
      </c>
      <c r="C8331" t="s">
        <v>70</v>
      </c>
      <c r="D8331">
        <v>0</v>
      </c>
      <c r="E8331" t="s">
        <v>379</v>
      </c>
    </row>
    <row r="8332" spans="1:5" x14ac:dyDescent="0.25">
      <c r="A8332" s="279">
        <v>39269</v>
      </c>
      <c r="B8332" t="s">
        <v>338</v>
      </c>
      <c r="C8332" t="s">
        <v>80</v>
      </c>
      <c r="D8332">
        <v>186</v>
      </c>
      <c r="E8332" t="s">
        <v>379</v>
      </c>
    </row>
    <row r="8333" spans="1:5" x14ac:dyDescent="0.25">
      <c r="A8333" s="279">
        <v>39269</v>
      </c>
      <c r="B8333" t="s">
        <v>339</v>
      </c>
      <c r="C8333" t="s">
        <v>71</v>
      </c>
      <c r="D8333">
        <v>1912</v>
      </c>
      <c r="E8333" t="s">
        <v>378</v>
      </c>
    </row>
    <row r="8334" spans="1:5" x14ac:dyDescent="0.25">
      <c r="A8334" s="279">
        <v>39269</v>
      </c>
      <c r="B8334" t="s">
        <v>339</v>
      </c>
      <c r="C8334" t="s">
        <v>72</v>
      </c>
      <c r="D8334">
        <v>0</v>
      </c>
      <c r="E8334" t="s">
        <v>380</v>
      </c>
    </row>
    <row r="8335" spans="1:5" x14ac:dyDescent="0.25">
      <c r="A8335" s="279">
        <v>39269</v>
      </c>
      <c r="B8335" t="s">
        <v>339</v>
      </c>
      <c r="C8335" t="s">
        <v>73</v>
      </c>
      <c r="D8335">
        <v>16996</v>
      </c>
      <c r="E8335" t="s">
        <v>378</v>
      </c>
    </row>
    <row r="8336" spans="1:5" x14ac:dyDescent="0.25">
      <c r="A8336" s="279">
        <v>39269</v>
      </c>
      <c r="B8336" t="s">
        <v>339</v>
      </c>
      <c r="C8336" t="s">
        <v>74</v>
      </c>
      <c r="D8336">
        <v>0</v>
      </c>
      <c r="E8336" t="s">
        <v>380</v>
      </c>
    </row>
    <row r="8337" spans="1:5" x14ac:dyDescent="0.25">
      <c r="A8337" s="279">
        <v>39269</v>
      </c>
      <c r="B8337" t="s">
        <v>339</v>
      </c>
      <c r="C8337" t="s">
        <v>75</v>
      </c>
      <c r="D8337">
        <v>15257</v>
      </c>
      <c r="E8337" t="s">
        <v>378</v>
      </c>
    </row>
    <row r="8338" spans="1:5" x14ac:dyDescent="0.25">
      <c r="A8338" s="279">
        <v>39269</v>
      </c>
      <c r="B8338" t="s">
        <v>339</v>
      </c>
      <c r="C8338" t="s">
        <v>76</v>
      </c>
      <c r="D8338">
        <v>0</v>
      </c>
      <c r="E8338" t="s">
        <v>380</v>
      </c>
    </row>
    <row r="8339" spans="1:5" x14ac:dyDescent="0.25">
      <c r="A8339" s="279">
        <v>39269</v>
      </c>
      <c r="B8339" t="s">
        <v>339</v>
      </c>
      <c r="C8339" t="s">
        <v>77</v>
      </c>
      <c r="D8339">
        <v>7275</v>
      </c>
      <c r="E8339" t="s">
        <v>378</v>
      </c>
    </row>
    <row r="8340" spans="1:5" x14ac:dyDescent="0.25">
      <c r="A8340" s="279">
        <v>39269</v>
      </c>
      <c r="B8340" t="s">
        <v>339</v>
      </c>
      <c r="C8340" t="s">
        <v>78</v>
      </c>
      <c r="D8340">
        <v>4337</v>
      </c>
      <c r="E8340" t="s">
        <v>380</v>
      </c>
    </row>
    <row r="8341" spans="1:5" x14ac:dyDescent="0.25">
      <c r="A8341" s="279">
        <v>39269</v>
      </c>
      <c r="B8341" t="s">
        <v>339</v>
      </c>
      <c r="C8341" t="s">
        <v>79</v>
      </c>
      <c r="D8341">
        <v>92763</v>
      </c>
      <c r="E8341" t="s">
        <v>379</v>
      </c>
    </row>
    <row r="8342" spans="1:5" x14ac:dyDescent="0.25">
      <c r="A8342" s="279">
        <v>39269</v>
      </c>
      <c r="B8342" t="s">
        <v>339</v>
      </c>
      <c r="C8342" t="s">
        <v>70</v>
      </c>
      <c r="D8342">
        <v>0</v>
      </c>
      <c r="E8342" t="s">
        <v>379</v>
      </c>
    </row>
    <row r="8343" spans="1:5" x14ac:dyDescent="0.25">
      <c r="A8343" s="279">
        <v>39269</v>
      </c>
      <c r="B8343" t="s">
        <v>339</v>
      </c>
      <c r="C8343" t="s">
        <v>63</v>
      </c>
      <c r="D8343">
        <v>17319</v>
      </c>
      <c r="E8343" t="s">
        <v>378</v>
      </c>
    </row>
    <row r="8344" spans="1:5" x14ac:dyDescent="0.25">
      <c r="A8344" s="279">
        <v>39269</v>
      </c>
      <c r="B8344" t="s">
        <v>339</v>
      </c>
      <c r="C8344" t="s">
        <v>80</v>
      </c>
      <c r="D8344">
        <v>797</v>
      </c>
      <c r="E8344" t="s">
        <v>379</v>
      </c>
    </row>
    <row r="8345" spans="1:5" x14ac:dyDescent="0.25">
      <c r="A8345" s="279">
        <v>39270</v>
      </c>
      <c r="B8345" t="s">
        <v>338</v>
      </c>
      <c r="C8345" t="s">
        <v>59</v>
      </c>
      <c r="D8345">
        <v>2580</v>
      </c>
      <c r="E8345" t="s">
        <v>378</v>
      </c>
    </row>
    <row r="8346" spans="1:5" x14ac:dyDescent="0.25">
      <c r="A8346" s="279">
        <v>39270</v>
      </c>
      <c r="B8346" t="s">
        <v>338</v>
      </c>
      <c r="C8346" t="s">
        <v>60</v>
      </c>
      <c r="D8346">
        <v>0</v>
      </c>
      <c r="E8346" t="s">
        <v>379</v>
      </c>
    </row>
    <row r="8347" spans="1:5" x14ac:dyDescent="0.25">
      <c r="A8347" s="279">
        <v>39270</v>
      </c>
      <c r="B8347" t="s">
        <v>338</v>
      </c>
      <c r="C8347" t="s">
        <v>61</v>
      </c>
      <c r="D8347">
        <v>13188</v>
      </c>
      <c r="E8347" t="s">
        <v>378</v>
      </c>
    </row>
    <row r="8348" spans="1:5" x14ac:dyDescent="0.25">
      <c r="A8348" s="279">
        <v>39270</v>
      </c>
      <c r="B8348" t="s">
        <v>338</v>
      </c>
      <c r="C8348" t="s">
        <v>62</v>
      </c>
      <c r="D8348">
        <v>0</v>
      </c>
      <c r="E8348" t="s">
        <v>380</v>
      </c>
    </row>
    <row r="8349" spans="1:5" x14ac:dyDescent="0.25">
      <c r="A8349" s="279">
        <v>39270</v>
      </c>
      <c r="B8349" t="s">
        <v>338</v>
      </c>
      <c r="C8349" t="s">
        <v>63</v>
      </c>
      <c r="D8349">
        <v>0</v>
      </c>
      <c r="E8349" t="s">
        <v>378</v>
      </c>
    </row>
    <row r="8350" spans="1:5" x14ac:dyDescent="0.25">
      <c r="A8350" s="279">
        <v>39270</v>
      </c>
      <c r="B8350" t="s">
        <v>338</v>
      </c>
      <c r="C8350" t="s">
        <v>64</v>
      </c>
      <c r="D8350">
        <v>0</v>
      </c>
      <c r="E8350" t="s">
        <v>380</v>
      </c>
    </row>
    <row r="8351" spans="1:5" x14ac:dyDescent="0.25">
      <c r="A8351" s="279">
        <v>39270</v>
      </c>
      <c r="B8351" t="s">
        <v>338</v>
      </c>
      <c r="C8351" t="s">
        <v>65</v>
      </c>
      <c r="D8351">
        <v>0</v>
      </c>
      <c r="E8351" t="s">
        <v>378</v>
      </c>
    </row>
    <row r="8352" spans="1:5" x14ac:dyDescent="0.25">
      <c r="A8352" s="279">
        <v>39270</v>
      </c>
      <c r="B8352" t="s">
        <v>338</v>
      </c>
      <c r="C8352" t="s">
        <v>66</v>
      </c>
      <c r="D8352">
        <v>0</v>
      </c>
      <c r="E8352" t="s">
        <v>380</v>
      </c>
    </row>
    <row r="8353" spans="1:5" x14ac:dyDescent="0.25">
      <c r="A8353" s="279">
        <v>39270</v>
      </c>
      <c r="B8353" t="s">
        <v>338</v>
      </c>
      <c r="C8353" t="s">
        <v>120</v>
      </c>
      <c r="D8353">
        <v>6880</v>
      </c>
      <c r="E8353" t="s">
        <v>378</v>
      </c>
    </row>
    <row r="8354" spans="1:5" x14ac:dyDescent="0.25">
      <c r="A8354" s="279">
        <v>39270</v>
      </c>
      <c r="B8354" t="s">
        <v>338</v>
      </c>
      <c r="C8354" t="s">
        <v>121</v>
      </c>
      <c r="D8354">
        <v>0</v>
      </c>
      <c r="E8354" t="s">
        <v>380</v>
      </c>
    </row>
    <row r="8355" spans="1:5" x14ac:dyDescent="0.25">
      <c r="A8355" s="279">
        <v>39270</v>
      </c>
      <c r="B8355" t="s">
        <v>338</v>
      </c>
      <c r="C8355" t="s">
        <v>67</v>
      </c>
      <c r="D8355">
        <v>0</v>
      </c>
      <c r="E8355" t="s">
        <v>378</v>
      </c>
    </row>
    <row r="8356" spans="1:5" x14ac:dyDescent="0.25">
      <c r="A8356" s="279">
        <v>39270</v>
      </c>
      <c r="B8356" t="s">
        <v>338</v>
      </c>
      <c r="C8356" t="s">
        <v>68</v>
      </c>
      <c r="D8356">
        <v>0</v>
      </c>
      <c r="E8356" t="s">
        <v>380</v>
      </c>
    </row>
    <row r="8357" spans="1:5" x14ac:dyDescent="0.25">
      <c r="A8357" s="279">
        <v>39270</v>
      </c>
      <c r="B8357" t="s">
        <v>338</v>
      </c>
      <c r="C8357" t="s">
        <v>69</v>
      </c>
      <c r="D8357">
        <v>0</v>
      </c>
      <c r="E8357" t="s">
        <v>379</v>
      </c>
    </row>
    <row r="8358" spans="1:5" x14ac:dyDescent="0.25">
      <c r="A8358" s="279">
        <v>39270</v>
      </c>
      <c r="B8358" t="s">
        <v>338</v>
      </c>
      <c r="C8358" t="s">
        <v>70</v>
      </c>
      <c r="D8358">
        <v>0</v>
      </c>
      <c r="E8358" t="s">
        <v>379</v>
      </c>
    </row>
    <row r="8359" spans="1:5" x14ac:dyDescent="0.25">
      <c r="A8359" s="279">
        <v>39270</v>
      </c>
      <c r="B8359" t="s">
        <v>338</v>
      </c>
      <c r="C8359" t="s">
        <v>80</v>
      </c>
      <c r="D8359">
        <v>187</v>
      </c>
      <c r="E8359" t="s">
        <v>379</v>
      </c>
    </row>
    <row r="8360" spans="1:5" x14ac:dyDescent="0.25">
      <c r="A8360" s="279">
        <v>39270</v>
      </c>
      <c r="B8360" t="s">
        <v>339</v>
      </c>
      <c r="C8360" t="s">
        <v>71</v>
      </c>
      <c r="D8360">
        <v>1914</v>
      </c>
      <c r="E8360" t="s">
        <v>378</v>
      </c>
    </row>
    <row r="8361" spans="1:5" x14ac:dyDescent="0.25">
      <c r="A8361" s="279">
        <v>39270</v>
      </c>
      <c r="B8361" t="s">
        <v>339</v>
      </c>
      <c r="C8361" t="s">
        <v>72</v>
      </c>
      <c r="D8361">
        <v>0</v>
      </c>
      <c r="E8361" t="s">
        <v>380</v>
      </c>
    </row>
    <row r="8362" spans="1:5" x14ac:dyDescent="0.25">
      <c r="A8362" s="279">
        <v>39270</v>
      </c>
      <c r="B8362" t="s">
        <v>339</v>
      </c>
      <c r="C8362" t="s">
        <v>73</v>
      </c>
      <c r="D8362">
        <v>17012</v>
      </c>
      <c r="E8362" t="s">
        <v>378</v>
      </c>
    </row>
    <row r="8363" spans="1:5" x14ac:dyDescent="0.25">
      <c r="A8363" s="279">
        <v>39270</v>
      </c>
      <c r="B8363" t="s">
        <v>339</v>
      </c>
      <c r="C8363" t="s">
        <v>74</v>
      </c>
      <c r="D8363">
        <v>0</v>
      </c>
      <c r="E8363" t="s">
        <v>380</v>
      </c>
    </row>
    <row r="8364" spans="1:5" x14ac:dyDescent="0.25">
      <c r="A8364" s="279">
        <v>39270</v>
      </c>
      <c r="B8364" t="s">
        <v>339</v>
      </c>
      <c r="C8364" t="s">
        <v>75</v>
      </c>
      <c r="D8364">
        <v>15272</v>
      </c>
      <c r="E8364" t="s">
        <v>378</v>
      </c>
    </row>
    <row r="8365" spans="1:5" x14ac:dyDescent="0.25">
      <c r="A8365" s="279">
        <v>39270</v>
      </c>
      <c r="B8365" t="s">
        <v>339</v>
      </c>
      <c r="C8365" t="s">
        <v>76</v>
      </c>
      <c r="D8365">
        <v>0</v>
      </c>
      <c r="E8365" t="s">
        <v>380</v>
      </c>
    </row>
    <row r="8366" spans="1:5" x14ac:dyDescent="0.25">
      <c r="A8366" s="279">
        <v>39270</v>
      </c>
      <c r="B8366" t="s">
        <v>339</v>
      </c>
      <c r="C8366" t="s">
        <v>77</v>
      </c>
      <c r="D8366">
        <v>7282</v>
      </c>
      <c r="E8366" t="s">
        <v>378</v>
      </c>
    </row>
    <row r="8367" spans="1:5" x14ac:dyDescent="0.25">
      <c r="A8367" s="279">
        <v>39270</v>
      </c>
      <c r="B8367" t="s">
        <v>339</v>
      </c>
      <c r="C8367" t="s">
        <v>78</v>
      </c>
      <c r="D8367">
        <v>7282</v>
      </c>
      <c r="E8367" t="s">
        <v>380</v>
      </c>
    </row>
    <row r="8368" spans="1:5" x14ac:dyDescent="0.25">
      <c r="A8368" s="279">
        <v>39270</v>
      </c>
      <c r="B8368" t="s">
        <v>339</v>
      </c>
      <c r="C8368" t="s">
        <v>79</v>
      </c>
      <c r="D8368">
        <v>92852</v>
      </c>
      <c r="E8368" t="s">
        <v>379</v>
      </c>
    </row>
    <row r="8369" spans="1:5" x14ac:dyDescent="0.25">
      <c r="A8369" s="279">
        <v>39270</v>
      </c>
      <c r="B8369" t="s">
        <v>339</v>
      </c>
      <c r="C8369" t="s">
        <v>70</v>
      </c>
      <c r="D8369">
        <v>0</v>
      </c>
      <c r="E8369" t="s">
        <v>379</v>
      </c>
    </row>
    <row r="8370" spans="1:5" x14ac:dyDescent="0.25">
      <c r="A8370" s="279">
        <v>39270</v>
      </c>
      <c r="B8370" t="s">
        <v>339</v>
      </c>
      <c r="C8370" t="s">
        <v>63</v>
      </c>
      <c r="D8370">
        <v>17336</v>
      </c>
      <c r="E8370" t="s">
        <v>378</v>
      </c>
    </row>
    <row r="8371" spans="1:5" x14ac:dyDescent="0.25">
      <c r="A8371" s="279">
        <v>39270</v>
      </c>
      <c r="B8371" t="s">
        <v>339</v>
      </c>
      <c r="C8371" t="s">
        <v>80</v>
      </c>
      <c r="D8371">
        <v>798</v>
      </c>
      <c r="E8371" t="s">
        <v>379</v>
      </c>
    </row>
    <row r="8372" spans="1:5" x14ac:dyDescent="0.25">
      <c r="A8372" s="279">
        <v>39271</v>
      </c>
      <c r="B8372" t="s">
        <v>338</v>
      </c>
      <c r="C8372" t="s">
        <v>59</v>
      </c>
      <c r="D8372">
        <v>2565</v>
      </c>
      <c r="E8372" t="s">
        <v>378</v>
      </c>
    </row>
    <row r="8373" spans="1:5" x14ac:dyDescent="0.25">
      <c r="A8373" s="279">
        <v>39271</v>
      </c>
      <c r="B8373" t="s">
        <v>338</v>
      </c>
      <c r="C8373" t="s">
        <v>60</v>
      </c>
      <c r="D8373">
        <v>0</v>
      </c>
      <c r="E8373" t="s">
        <v>379</v>
      </c>
    </row>
    <row r="8374" spans="1:5" x14ac:dyDescent="0.25">
      <c r="A8374" s="279">
        <v>39271</v>
      </c>
      <c r="B8374" t="s">
        <v>338</v>
      </c>
      <c r="C8374" t="s">
        <v>61</v>
      </c>
      <c r="D8374">
        <v>13112</v>
      </c>
      <c r="E8374" t="s">
        <v>378</v>
      </c>
    </row>
    <row r="8375" spans="1:5" x14ac:dyDescent="0.25">
      <c r="A8375" s="279">
        <v>39271</v>
      </c>
      <c r="B8375" t="s">
        <v>338</v>
      </c>
      <c r="C8375" t="s">
        <v>62</v>
      </c>
      <c r="D8375">
        <v>0</v>
      </c>
      <c r="E8375" t="s">
        <v>380</v>
      </c>
    </row>
    <row r="8376" spans="1:5" x14ac:dyDescent="0.25">
      <c r="A8376" s="279">
        <v>39271</v>
      </c>
      <c r="B8376" t="s">
        <v>338</v>
      </c>
      <c r="C8376" t="s">
        <v>63</v>
      </c>
      <c r="D8376">
        <v>0</v>
      </c>
      <c r="E8376" t="s">
        <v>378</v>
      </c>
    </row>
    <row r="8377" spans="1:5" x14ac:dyDescent="0.25">
      <c r="A8377" s="279">
        <v>39271</v>
      </c>
      <c r="B8377" t="s">
        <v>338</v>
      </c>
      <c r="C8377" t="s">
        <v>64</v>
      </c>
      <c r="D8377">
        <v>0</v>
      </c>
      <c r="E8377" t="s">
        <v>380</v>
      </c>
    </row>
    <row r="8378" spans="1:5" x14ac:dyDescent="0.25">
      <c r="A8378" s="279">
        <v>39271</v>
      </c>
      <c r="B8378" t="s">
        <v>338</v>
      </c>
      <c r="C8378" t="s">
        <v>65</v>
      </c>
      <c r="D8378">
        <v>0</v>
      </c>
      <c r="E8378" t="s">
        <v>378</v>
      </c>
    </row>
    <row r="8379" spans="1:5" x14ac:dyDescent="0.25">
      <c r="A8379" s="279">
        <v>39271</v>
      </c>
      <c r="B8379" t="s">
        <v>338</v>
      </c>
      <c r="C8379" t="s">
        <v>66</v>
      </c>
      <c r="D8379">
        <v>0</v>
      </c>
      <c r="E8379" t="s">
        <v>380</v>
      </c>
    </row>
    <row r="8380" spans="1:5" x14ac:dyDescent="0.25">
      <c r="A8380" s="279">
        <v>39271</v>
      </c>
      <c r="B8380" t="s">
        <v>338</v>
      </c>
      <c r="C8380" t="s">
        <v>120</v>
      </c>
      <c r="D8380">
        <v>6840</v>
      </c>
      <c r="E8380" t="s">
        <v>378</v>
      </c>
    </row>
    <row r="8381" spans="1:5" x14ac:dyDescent="0.25">
      <c r="A8381" s="279">
        <v>39271</v>
      </c>
      <c r="B8381" t="s">
        <v>338</v>
      </c>
      <c r="C8381" t="s">
        <v>121</v>
      </c>
      <c r="D8381">
        <v>0</v>
      </c>
      <c r="E8381" t="s">
        <v>380</v>
      </c>
    </row>
    <row r="8382" spans="1:5" x14ac:dyDescent="0.25">
      <c r="A8382" s="279">
        <v>39271</v>
      </c>
      <c r="B8382" t="s">
        <v>338</v>
      </c>
      <c r="C8382" t="s">
        <v>67</v>
      </c>
      <c r="D8382">
        <v>0</v>
      </c>
      <c r="E8382" t="s">
        <v>378</v>
      </c>
    </row>
    <row r="8383" spans="1:5" x14ac:dyDescent="0.25">
      <c r="A8383" s="279">
        <v>39271</v>
      </c>
      <c r="B8383" t="s">
        <v>338</v>
      </c>
      <c r="C8383" t="s">
        <v>68</v>
      </c>
      <c r="D8383">
        <v>0</v>
      </c>
      <c r="E8383" t="s">
        <v>380</v>
      </c>
    </row>
    <row r="8384" spans="1:5" x14ac:dyDescent="0.25">
      <c r="A8384" s="279">
        <v>39271</v>
      </c>
      <c r="B8384" t="s">
        <v>338</v>
      </c>
      <c r="C8384" t="s">
        <v>69</v>
      </c>
      <c r="D8384">
        <v>0</v>
      </c>
      <c r="E8384" t="s">
        <v>379</v>
      </c>
    </row>
    <row r="8385" spans="1:5" x14ac:dyDescent="0.25">
      <c r="A8385" s="279">
        <v>39271</v>
      </c>
      <c r="B8385" t="s">
        <v>338</v>
      </c>
      <c r="C8385" t="s">
        <v>70</v>
      </c>
      <c r="D8385">
        <v>0</v>
      </c>
      <c r="E8385" t="s">
        <v>379</v>
      </c>
    </row>
    <row r="8386" spans="1:5" x14ac:dyDescent="0.25">
      <c r="A8386" s="279">
        <v>39271</v>
      </c>
      <c r="B8386" t="s">
        <v>338</v>
      </c>
      <c r="C8386" t="s">
        <v>80</v>
      </c>
      <c r="D8386">
        <v>186</v>
      </c>
      <c r="E8386" t="s">
        <v>379</v>
      </c>
    </row>
    <row r="8387" spans="1:5" x14ac:dyDescent="0.25">
      <c r="A8387" s="279">
        <v>39271</v>
      </c>
      <c r="B8387" t="s">
        <v>339</v>
      </c>
      <c r="C8387" t="s">
        <v>71</v>
      </c>
      <c r="D8387">
        <v>1916</v>
      </c>
      <c r="E8387" t="s">
        <v>378</v>
      </c>
    </row>
    <row r="8388" spans="1:5" x14ac:dyDescent="0.25">
      <c r="A8388" s="279">
        <v>39271</v>
      </c>
      <c r="B8388" t="s">
        <v>339</v>
      </c>
      <c r="C8388" t="s">
        <v>72</v>
      </c>
      <c r="D8388">
        <v>0</v>
      </c>
      <c r="E8388" t="s">
        <v>380</v>
      </c>
    </row>
    <row r="8389" spans="1:5" x14ac:dyDescent="0.25">
      <c r="A8389" s="279">
        <v>39271</v>
      </c>
      <c r="B8389" t="s">
        <v>339</v>
      </c>
      <c r="C8389" t="s">
        <v>73</v>
      </c>
      <c r="D8389">
        <v>17029</v>
      </c>
      <c r="E8389" t="s">
        <v>378</v>
      </c>
    </row>
    <row r="8390" spans="1:5" x14ac:dyDescent="0.25">
      <c r="A8390" s="279">
        <v>39271</v>
      </c>
      <c r="B8390" t="s">
        <v>339</v>
      </c>
      <c r="C8390" t="s">
        <v>74</v>
      </c>
      <c r="D8390">
        <v>0</v>
      </c>
      <c r="E8390" t="s">
        <v>380</v>
      </c>
    </row>
    <row r="8391" spans="1:5" x14ac:dyDescent="0.25">
      <c r="A8391" s="279">
        <v>39271</v>
      </c>
      <c r="B8391" t="s">
        <v>339</v>
      </c>
      <c r="C8391" t="s">
        <v>75</v>
      </c>
      <c r="D8391">
        <v>15287</v>
      </c>
      <c r="E8391" t="s">
        <v>378</v>
      </c>
    </row>
    <row r="8392" spans="1:5" x14ac:dyDescent="0.25">
      <c r="A8392" s="279">
        <v>39271</v>
      </c>
      <c r="B8392" t="s">
        <v>339</v>
      </c>
      <c r="C8392" t="s">
        <v>76</v>
      </c>
      <c r="D8392">
        <v>0</v>
      </c>
      <c r="E8392" t="s">
        <v>380</v>
      </c>
    </row>
    <row r="8393" spans="1:5" x14ac:dyDescent="0.25">
      <c r="A8393" s="279">
        <v>39271</v>
      </c>
      <c r="B8393" t="s">
        <v>339</v>
      </c>
      <c r="C8393" t="s">
        <v>77</v>
      </c>
      <c r="D8393">
        <v>7289</v>
      </c>
      <c r="E8393" t="s">
        <v>378</v>
      </c>
    </row>
    <row r="8394" spans="1:5" x14ac:dyDescent="0.25">
      <c r="A8394" s="279">
        <v>39271</v>
      </c>
      <c r="B8394" t="s">
        <v>339</v>
      </c>
      <c r="C8394" t="s">
        <v>78</v>
      </c>
      <c r="D8394">
        <v>6720</v>
      </c>
      <c r="E8394" t="s">
        <v>380</v>
      </c>
    </row>
    <row r="8395" spans="1:5" x14ac:dyDescent="0.25">
      <c r="A8395" s="279">
        <v>39271</v>
      </c>
      <c r="B8395" t="s">
        <v>339</v>
      </c>
      <c r="C8395" t="s">
        <v>79</v>
      </c>
      <c r="D8395">
        <v>92942</v>
      </c>
      <c r="E8395" t="s">
        <v>379</v>
      </c>
    </row>
    <row r="8396" spans="1:5" x14ac:dyDescent="0.25">
      <c r="A8396" s="279">
        <v>39271</v>
      </c>
      <c r="B8396" t="s">
        <v>339</v>
      </c>
      <c r="C8396" t="s">
        <v>70</v>
      </c>
      <c r="D8396">
        <v>0</v>
      </c>
      <c r="E8396" t="s">
        <v>379</v>
      </c>
    </row>
    <row r="8397" spans="1:5" x14ac:dyDescent="0.25">
      <c r="A8397" s="279">
        <v>39271</v>
      </c>
      <c r="B8397" t="s">
        <v>339</v>
      </c>
      <c r="C8397" t="s">
        <v>63</v>
      </c>
      <c r="D8397">
        <v>17353</v>
      </c>
      <c r="E8397" t="s">
        <v>378</v>
      </c>
    </row>
    <row r="8398" spans="1:5" x14ac:dyDescent="0.25">
      <c r="A8398" s="279">
        <v>39271</v>
      </c>
      <c r="B8398" t="s">
        <v>339</v>
      </c>
      <c r="C8398" t="s">
        <v>80</v>
      </c>
      <c r="D8398">
        <v>798</v>
      </c>
      <c r="E8398" t="s">
        <v>379</v>
      </c>
    </row>
    <row r="8399" spans="1:5" x14ac:dyDescent="0.25">
      <c r="A8399" s="279">
        <v>39272</v>
      </c>
      <c r="B8399" t="s">
        <v>338</v>
      </c>
      <c r="C8399" t="s">
        <v>59</v>
      </c>
      <c r="D8399">
        <v>2573</v>
      </c>
      <c r="E8399" t="s">
        <v>378</v>
      </c>
    </row>
    <row r="8400" spans="1:5" x14ac:dyDescent="0.25">
      <c r="A8400" s="279">
        <v>39272</v>
      </c>
      <c r="B8400" t="s">
        <v>338</v>
      </c>
      <c r="C8400" t="s">
        <v>60</v>
      </c>
      <c r="D8400">
        <v>0</v>
      </c>
      <c r="E8400" t="s">
        <v>379</v>
      </c>
    </row>
    <row r="8401" spans="1:5" x14ac:dyDescent="0.25">
      <c r="A8401" s="279">
        <v>39272</v>
      </c>
      <c r="B8401" t="s">
        <v>338</v>
      </c>
      <c r="C8401" t="s">
        <v>61</v>
      </c>
      <c r="D8401">
        <v>13150</v>
      </c>
      <c r="E8401" t="s">
        <v>378</v>
      </c>
    </row>
    <row r="8402" spans="1:5" x14ac:dyDescent="0.25">
      <c r="A8402" s="279">
        <v>39272</v>
      </c>
      <c r="B8402" t="s">
        <v>338</v>
      </c>
      <c r="C8402" t="s">
        <v>62</v>
      </c>
      <c r="D8402">
        <v>0</v>
      </c>
      <c r="E8402" t="s">
        <v>380</v>
      </c>
    </row>
    <row r="8403" spans="1:5" x14ac:dyDescent="0.25">
      <c r="A8403" s="279">
        <v>39272</v>
      </c>
      <c r="B8403" t="s">
        <v>338</v>
      </c>
      <c r="C8403" t="s">
        <v>63</v>
      </c>
      <c r="D8403">
        <v>0</v>
      </c>
      <c r="E8403" t="s">
        <v>378</v>
      </c>
    </row>
    <row r="8404" spans="1:5" x14ac:dyDescent="0.25">
      <c r="A8404" s="279">
        <v>39272</v>
      </c>
      <c r="B8404" t="s">
        <v>338</v>
      </c>
      <c r="C8404" t="s">
        <v>64</v>
      </c>
      <c r="D8404">
        <v>0</v>
      </c>
      <c r="E8404" t="s">
        <v>380</v>
      </c>
    </row>
    <row r="8405" spans="1:5" x14ac:dyDescent="0.25">
      <c r="A8405" s="279">
        <v>39272</v>
      </c>
      <c r="B8405" t="s">
        <v>338</v>
      </c>
      <c r="C8405" t="s">
        <v>65</v>
      </c>
      <c r="D8405">
        <v>0</v>
      </c>
      <c r="E8405" t="s">
        <v>378</v>
      </c>
    </row>
    <row r="8406" spans="1:5" x14ac:dyDescent="0.25">
      <c r="A8406" s="279">
        <v>39272</v>
      </c>
      <c r="B8406" t="s">
        <v>338</v>
      </c>
      <c r="C8406" t="s">
        <v>66</v>
      </c>
      <c r="D8406">
        <v>0</v>
      </c>
      <c r="E8406" t="s">
        <v>380</v>
      </c>
    </row>
    <row r="8407" spans="1:5" x14ac:dyDescent="0.25">
      <c r="A8407" s="279">
        <v>39272</v>
      </c>
      <c r="B8407" t="s">
        <v>338</v>
      </c>
      <c r="C8407" t="s">
        <v>120</v>
      </c>
      <c r="D8407">
        <v>6810</v>
      </c>
      <c r="E8407" t="s">
        <v>378</v>
      </c>
    </row>
    <row r="8408" spans="1:5" x14ac:dyDescent="0.25">
      <c r="A8408" s="279">
        <v>39272</v>
      </c>
      <c r="B8408" t="s">
        <v>338</v>
      </c>
      <c r="C8408" t="s">
        <v>121</v>
      </c>
      <c r="D8408">
        <v>0</v>
      </c>
      <c r="E8408" t="s">
        <v>380</v>
      </c>
    </row>
    <row r="8409" spans="1:5" x14ac:dyDescent="0.25">
      <c r="A8409" s="279">
        <v>39272</v>
      </c>
      <c r="B8409" t="s">
        <v>338</v>
      </c>
      <c r="C8409" t="s">
        <v>67</v>
      </c>
      <c r="D8409">
        <v>0</v>
      </c>
      <c r="E8409" t="s">
        <v>378</v>
      </c>
    </row>
    <row r="8410" spans="1:5" x14ac:dyDescent="0.25">
      <c r="A8410" s="279">
        <v>39272</v>
      </c>
      <c r="B8410" t="s">
        <v>338</v>
      </c>
      <c r="C8410" t="s">
        <v>68</v>
      </c>
      <c r="D8410">
        <v>0</v>
      </c>
      <c r="E8410" t="s">
        <v>380</v>
      </c>
    </row>
    <row r="8411" spans="1:5" x14ac:dyDescent="0.25">
      <c r="A8411" s="279">
        <v>39272</v>
      </c>
      <c r="B8411" t="s">
        <v>338</v>
      </c>
      <c r="C8411" t="s">
        <v>69</v>
      </c>
      <c r="D8411">
        <v>0</v>
      </c>
      <c r="E8411" t="s">
        <v>379</v>
      </c>
    </row>
    <row r="8412" spans="1:5" x14ac:dyDescent="0.25">
      <c r="A8412" s="279">
        <v>39272</v>
      </c>
      <c r="B8412" t="s">
        <v>338</v>
      </c>
      <c r="C8412" t="s">
        <v>70</v>
      </c>
      <c r="D8412">
        <v>0</v>
      </c>
      <c r="E8412" t="s">
        <v>379</v>
      </c>
    </row>
    <row r="8413" spans="1:5" x14ac:dyDescent="0.25">
      <c r="A8413" s="279">
        <v>39272</v>
      </c>
      <c r="B8413" t="s">
        <v>338</v>
      </c>
      <c r="C8413" t="s">
        <v>80</v>
      </c>
      <c r="D8413">
        <v>186</v>
      </c>
      <c r="E8413" t="s">
        <v>379</v>
      </c>
    </row>
    <row r="8414" spans="1:5" x14ac:dyDescent="0.25">
      <c r="A8414" s="279">
        <v>39272</v>
      </c>
      <c r="B8414" t="s">
        <v>339</v>
      </c>
      <c r="C8414" t="s">
        <v>71</v>
      </c>
      <c r="D8414">
        <v>1912</v>
      </c>
      <c r="E8414" t="s">
        <v>378</v>
      </c>
    </row>
    <row r="8415" spans="1:5" x14ac:dyDescent="0.25">
      <c r="A8415" s="279">
        <v>39272</v>
      </c>
      <c r="B8415" t="s">
        <v>339</v>
      </c>
      <c r="C8415" t="s">
        <v>72</v>
      </c>
      <c r="D8415">
        <v>0</v>
      </c>
      <c r="E8415" t="s">
        <v>380</v>
      </c>
    </row>
    <row r="8416" spans="1:5" x14ac:dyDescent="0.25">
      <c r="A8416" s="279">
        <v>39272</v>
      </c>
      <c r="B8416" t="s">
        <v>339</v>
      </c>
      <c r="C8416" t="s">
        <v>73</v>
      </c>
      <c r="D8416">
        <v>16996</v>
      </c>
      <c r="E8416" t="s">
        <v>378</v>
      </c>
    </row>
    <row r="8417" spans="1:5" x14ac:dyDescent="0.25">
      <c r="A8417" s="279">
        <v>39272</v>
      </c>
      <c r="B8417" t="s">
        <v>339</v>
      </c>
      <c r="C8417" t="s">
        <v>74</v>
      </c>
      <c r="D8417">
        <v>0</v>
      </c>
      <c r="E8417" t="s">
        <v>380</v>
      </c>
    </row>
    <row r="8418" spans="1:5" x14ac:dyDescent="0.25">
      <c r="A8418" s="279">
        <v>39272</v>
      </c>
      <c r="B8418" t="s">
        <v>339</v>
      </c>
      <c r="C8418" t="s">
        <v>75</v>
      </c>
      <c r="D8418">
        <v>15257</v>
      </c>
      <c r="E8418" t="s">
        <v>378</v>
      </c>
    </row>
    <row r="8419" spans="1:5" x14ac:dyDescent="0.25">
      <c r="A8419" s="279">
        <v>39272</v>
      </c>
      <c r="B8419" t="s">
        <v>339</v>
      </c>
      <c r="C8419" t="s">
        <v>76</v>
      </c>
      <c r="D8419">
        <v>0</v>
      </c>
      <c r="E8419" t="s">
        <v>380</v>
      </c>
    </row>
    <row r="8420" spans="1:5" x14ac:dyDescent="0.25">
      <c r="A8420" s="279">
        <v>39272</v>
      </c>
      <c r="B8420" t="s">
        <v>339</v>
      </c>
      <c r="C8420" t="s">
        <v>77</v>
      </c>
      <c r="D8420">
        <v>7275</v>
      </c>
      <c r="E8420" t="s">
        <v>378</v>
      </c>
    </row>
    <row r="8421" spans="1:5" x14ac:dyDescent="0.25">
      <c r="A8421" s="279">
        <v>39272</v>
      </c>
      <c r="B8421" t="s">
        <v>339</v>
      </c>
      <c r="C8421" t="s">
        <v>78</v>
      </c>
      <c r="D8421">
        <v>4002</v>
      </c>
      <c r="E8421" t="s">
        <v>380</v>
      </c>
    </row>
    <row r="8422" spans="1:5" x14ac:dyDescent="0.25">
      <c r="A8422" s="279">
        <v>39272</v>
      </c>
      <c r="B8422" t="s">
        <v>339</v>
      </c>
      <c r="C8422" t="s">
        <v>79</v>
      </c>
      <c r="D8422">
        <v>92763</v>
      </c>
      <c r="E8422" t="s">
        <v>379</v>
      </c>
    </row>
    <row r="8423" spans="1:5" x14ac:dyDescent="0.25">
      <c r="A8423" s="279">
        <v>39272</v>
      </c>
      <c r="B8423" t="s">
        <v>339</v>
      </c>
      <c r="C8423" t="s">
        <v>70</v>
      </c>
      <c r="D8423">
        <v>0</v>
      </c>
      <c r="E8423" t="s">
        <v>379</v>
      </c>
    </row>
    <row r="8424" spans="1:5" x14ac:dyDescent="0.25">
      <c r="A8424" s="279">
        <v>39272</v>
      </c>
      <c r="B8424" t="s">
        <v>339</v>
      </c>
      <c r="C8424" t="s">
        <v>63</v>
      </c>
      <c r="D8424">
        <v>17319</v>
      </c>
      <c r="E8424" t="s">
        <v>378</v>
      </c>
    </row>
    <row r="8425" spans="1:5" x14ac:dyDescent="0.25">
      <c r="A8425" s="279">
        <v>39272</v>
      </c>
      <c r="B8425" t="s">
        <v>339</v>
      </c>
      <c r="C8425" t="s">
        <v>80</v>
      </c>
      <c r="D8425">
        <v>797</v>
      </c>
      <c r="E8425" t="s">
        <v>379</v>
      </c>
    </row>
    <row r="8426" spans="1:5" x14ac:dyDescent="0.25">
      <c r="A8426" s="279">
        <v>39273</v>
      </c>
      <c r="B8426" t="s">
        <v>338</v>
      </c>
      <c r="C8426" t="s">
        <v>59</v>
      </c>
      <c r="D8426">
        <v>2568</v>
      </c>
      <c r="E8426" t="s">
        <v>378</v>
      </c>
    </row>
    <row r="8427" spans="1:5" x14ac:dyDescent="0.25">
      <c r="A8427" s="279">
        <v>39273</v>
      </c>
      <c r="B8427" t="s">
        <v>338</v>
      </c>
      <c r="C8427" t="s">
        <v>60</v>
      </c>
      <c r="D8427">
        <v>0</v>
      </c>
      <c r="E8427" t="s">
        <v>379</v>
      </c>
    </row>
    <row r="8428" spans="1:5" x14ac:dyDescent="0.25">
      <c r="A8428" s="279">
        <v>39273</v>
      </c>
      <c r="B8428" t="s">
        <v>338</v>
      </c>
      <c r="C8428" t="s">
        <v>61</v>
      </c>
      <c r="D8428">
        <v>13124</v>
      </c>
      <c r="E8428" t="s">
        <v>378</v>
      </c>
    </row>
    <row r="8429" spans="1:5" x14ac:dyDescent="0.25">
      <c r="A8429" s="279">
        <v>39273</v>
      </c>
      <c r="B8429" t="s">
        <v>338</v>
      </c>
      <c r="C8429" t="s">
        <v>62</v>
      </c>
      <c r="D8429">
        <v>0</v>
      </c>
      <c r="E8429" t="s">
        <v>380</v>
      </c>
    </row>
    <row r="8430" spans="1:5" x14ac:dyDescent="0.25">
      <c r="A8430" s="279">
        <v>39273</v>
      </c>
      <c r="B8430" t="s">
        <v>338</v>
      </c>
      <c r="C8430" t="s">
        <v>63</v>
      </c>
      <c r="D8430">
        <v>0</v>
      </c>
      <c r="E8430" t="s">
        <v>378</v>
      </c>
    </row>
    <row r="8431" spans="1:5" x14ac:dyDescent="0.25">
      <c r="A8431" s="279">
        <v>39273</v>
      </c>
      <c r="B8431" t="s">
        <v>338</v>
      </c>
      <c r="C8431" t="s">
        <v>64</v>
      </c>
      <c r="D8431">
        <v>0</v>
      </c>
      <c r="E8431" t="s">
        <v>380</v>
      </c>
    </row>
    <row r="8432" spans="1:5" x14ac:dyDescent="0.25">
      <c r="A8432" s="279">
        <v>39273</v>
      </c>
      <c r="B8432" t="s">
        <v>338</v>
      </c>
      <c r="C8432" t="s">
        <v>65</v>
      </c>
      <c r="D8432">
        <v>0</v>
      </c>
      <c r="E8432" t="s">
        <v>378</v>
      </c>
    </row>
    <row r="8433" spans="1:5" x14ac:dyDescent="0.25">
      <c r="A8433" s="279">
        <v>39273</v>
      </c>
      <c r="B8433" t="s">
        <v>338</v>
      </c>
      <c r="C8433" t="s">
        <v>66</v>
      </c>
      <c r="D8433">
        <v>0</v>
      </c>
      <c r="E8433" t="s">
        <v>380</v>
      </c>
    </row>
    <row r="8434" spans="1:5" x14ac:dyDescent="0.25">
      <c r="A8434" s="279">
        <v>39273</v>
      </c>
      <c r="B8434" t="s">
        <v>338</v>
      </c>
      <c r="C8434" t="s">
        <v>120</v>
      </c>
      <c r="D8434">
        <v>6796</v>
      </c>
      <c r="E8434" t="s">
        <v>378</v>
      </c>
    </row>
    <row r="8435" spans="1:5" x14ac:dyDescent="0.25">
      <c r="A8435" s="279">
        <v>39273</v>
      </c>
      <c r="B8435" t="s">
        <v>338</v>
      </c>
      <c r="C8435" t="s">
        <v>121</v>
      </c>
      <c r="D8435">
        <v>0</v>
      </c>
      <c r="E8435" t="s">
        <v>380</v>
      </c>
    </row>
    <row r="8436" spans="1:5" x14ac:dyDescent="0.25">
      <c r="A8436" s="279">
        <v>39273</v>
      </c>
      <c r="B8436" t="s">
        <v>338</v>
      </c>
      <c r="C8436" t="s">
        <v>67</v>
      </c>
      <c r="D8436">
        <v>0</v>
      </c>
      <c r="E8436" t="s">
        <v>378</v>
      </c>
    </row>
    <row r="8437" spans="1:5" x14ac:dyDescent="0.25">
      <c r="A8437" s="279">
        <v>39273</v>
      </c>
      <c r="B8437" t="s">
        <v>338</v>
      </c>
      <c r="C8437" t="s">
        <v>68</v>
      </c>
      <c r="D8437">
        <v>0</v>
      </c>
      <c r="E8437" t="s">
        <v>380</v>
      </c>
    </row>
    <row r="8438" spans="1:5" x14ac:dyDescent="0.25">
      <c r="A8438" s="279">
        <v>39273</v>
      </c>
      <c r="B8438" t="s">
        <v>338</v>
      </c>
      <c r="C8438" t="s">
        <v>69</v>
      </c>
      <c r="D8438">
        <v>0</v>
      </c>
      <c r="E8438" t="s">
        <v>379</v>
      </c>
    </row>
    <row r="8439" spans="1:5" x14ac:dyDescent="0.25">
      <c r="A8439" s="279">
        <v>39273</v>
      </c>
      <c r="B8439" t="s">
        <v>338</v>
      </c>
      <c r="C8439" t="s">
        <v>70</v>
      </c>
      <c r="D8439">
        <v>0</v>
      </c>
      <c r="E8439" t="s">
        <v>379</v>
      </c>
    </row>
    <row r="8440" spans="1:5" x14ac:dyDescent="0.25">
      <c r="A8440" s="279">
        <v>39273</v>
      </c>
      <c r="B8440" t="s">
        <v>338</v>
      </c>
      <c r="C8440" t="s">
        <v>80</v>
      </c>
      <c r="D8440">
        <v>186</v>
      </c>
      <c r="E8440" t="s">
        <v>379</v>
      </c>
    </row>
    <row r="8441" spans="1:5" x14ac:dyDescent="0.25">
      <c r="A8441" s="279">
        <v>39273</v>
      </c>
      <c r="B8441" t="s">
        <v>339</v>
      </c>
      <c r="C8441" t="s">
        <v>71</v>
      </c>
      <c r="D8441">
        <v>1914</v>
      </c>
      <c r="E8441" t="s">
        <v>378</v>
      </c>
    </row>
    <row r="8442" spans="1:5" x14ac:dyDescent="0.25">
      <c r="A8442" s="279">
        <v>39273</v>
      </c>
      <c r="B8442" t="s">
        <v>339</v>
      </c>
      <c r="C8442" t="s">
        <v>72</v>
      </c>
      <c r="D8442">
        <v>0</v>
      </c>
      <c r="E8442" t="s">
        <v>380</v>
      </c>
    </row>
    <row r="8443" spans="1:5" x14ac:dyDescent="0.25">
      <c r="A8443" s="279">
        <v>39273</v>
      </c>
      <c r="B8443" t="s">
        <v>339</v>
      </c>
      <c r="C8443" t="s">
        <v>73</v>
      </c>
      <c r="D8443">
        <v>17012</v>
      </c>
      <c r="E8443" t="s">
        <v>378</v>
      </c>
    </row>
    <row r="8444" spans="1:5" x14ac:dyDescent="0.25">
      <c r="A8444" s="279">
        <v>39273</v>
      </c>
      <c r="B8444" t="s">
        <v>339</v>
      </c>
      <c r="C8444" t="s">
        <v>74</v>
      </c>
      <c r="D8444">
        <v>0</v>
      </c>
      <c r="E8444" t="s">
        <v>380</v>
      </c>
    </row>
    <row r="8445" spans="1:5" x14ac:dyDescent="0.25">
      <c r="A8445" s="279">
        <v>39273</v>
      </c>
      <c r="B8445" t="s">
        <v>339</v>
      </c>
      <c r="C8445" t="s">
        <v>75</v>
      </c>
      <c r="D8445">
        <v>15272</v>
      </c>
      <c r="E8445" t="s">
        <v>378</v>
      </c>
    </row>
    <row r="8446" spans="1:5" x14ac:dyDescent="0.25">
      <c r="A8446" s="279">
        <v>39273</v>
      </c>
      <c r="B8446" t="s">
        <v>339</v>
      </c>
      <c r="C8446" t="s">
        <v>76</v>
      </c>
      <c r="D8446">
        <v>0</v>
      </c>
      <c r="E8446" t="s">
        <v>380</v>
      </c>
    </row>
    <row r="8447" spans="1:5" x14ac:dyDescent="0.25">
      <c r="A8447" s="279">
        <v>39273</v>
      </c>
      <c r="B8447" t="s">
        <v>339</v>
      </c>
      <c r="C8447" t="s">
        <v>77</v>
      </c>
      <c r="D8447">
        <v>7282</v>
      </c>
      <c r="E8447" t="s">
        <v>378</v>
      </c>
    </row>
    <row r="8448" spans="1:5" x14ac:dyDescent="0.25">
      <c r="A8448" s="279">
        <v>39273</v>
      </c>
      <c r="B8448" t="s">
        <v>339</v>
      </c>
      <c r="C8448" t="s">
        <v>78</v>
      </c>
      <c r="D8448">
        <v>4443</v>
      </c>
      <c r="E8448" t="s">
        <v>380</v>
      </c>
    </row>
    <row r="8449" spans="1:5" x14ac:dyDescent="0.25">
      <c r="A8449" s="279">
        <v>39273</v>
      </c>
      <c r="B8449" t="s">
        <v>339</v>
      </c>
      <c r="C8449" t="s">
        <v>79</v>
      </c>
      <c r="D8449">
        <v>92852</v>
      </c>
      <c r="E8449" t="s">
        <v>379</v>
      </c>
    </row>
    <row r="8450" spans="1:5" x14ac:dyDescent="0.25">
      <c r="A8450" s="279">
        <v>39273</v>
      </c>
      <c r="B8450" t="s">
        <v>339</v>
      </c>
      <c r="C8450" t="s">
        <v>70</v>
      </c>
      <c r="D8450">
        <v>0</v>
      </c>
      <c r="E8450" t="s">
        <v>379</v>
      </c>
    </row>
    <row r="8451" spans="1:5" x14ac:dyDescent="0.25">
      <c r="A8451" s="279">
        <v>39273</v>
      </c>
      <c r="B8451" t="s">
        <v>339</v>
      </c>
      <c r="C8451" t="s">
        <v>63</v>
      </c>
      <c r="D8451">
        <v>17336</v>
      </c>
      <c r="E8451" t="s">
        <v>378</v>
      </c>
    </row>
    <row r="8452" spans="1:5" x14ac:dyDescent="0.25">
      <c r="A8452" s="279">
        <v>39273</v>
      </c>
      <c r="B8452" t="s">
        <v>339</v>
      </c>
      <c r="C8452" t="s">
        <v>80</v>
      </c>
      <c r="D8452">
        <v>798</v>
      </c>
      <c r="E8452" t="s">
        <v>379</v>
      </c>
    </row>
    <row r="8453" spans="1:5" x14ac:dyDescent="0.25">
      <c r="A8453" s="279">
        <v>39274</v>
      </c>
      <c r="B8453" t="s">
        <v>338</v>
      </c>
      <c r="C8453" t="s">
        <v>59</v>
      </c>
      <c r="D8453">
        <v>2560</v>
      </c>
      <c r="E8453" t="s">
        <v>378</v>
      </c>
    </row>
    <row r="8454" spans="1:5" x14ac:dyDescent="0.25">
      <c r="A8454" s="279">
        <v>39274</v>
      </c>
      <c r="B8454" t="s">
        <v>338</v>
      </c>
      <c r="C8454" t="s">
        <v>60</v>
      </c>
      <c r="D8454">
        <v>0</v>
      </c>
      <c r="E8454" t="s">
        <v>379</v>
      </c>
    </row>
    <row r="8455" spans="1:5" x14ac:dyDescent="0.25">
      <c r="A8455" s="279">
        <v>39274</v>
      </c>
      <c r="B8455" t="s">
        <v>338</v>
      </c>
      <c r="C8455" t="s">
        <v>61</v>
      </c>
      <c r="D8455">
        <v>13086</v>
      </c>
      <c r="E8455" t="s">
        <v>378</v>
      </c>
    </row>
    <row r="8456" spans="1:5" x14ac:dyDescent="0.25">
      <c r="A8456" s="279">
        <v>39274</v>
      </c>
      <c r="B8456" t="s">
        <v>338</v>
      </c>
      <c r="C8456" t="s">
        <v>62</v>
      </c>
      <c r="D8456">
        <v>0</v>
      </c>
      <c r="E8456" t="s">
        <v>380</v>
      </c>
    </row>
    <row r="8457" spans="1:5" x14ac:dyDescent="0.25">
      <c r="A8457" s="279">
        <v>39274</v>
      </c>
      <c r="B8457" t="s">
        <v>338</v>
      </c>
      <c r="C8457" t="s">
        <v>63</v>
      </c>
      <c r="D8457">
        <v>0</v>
      </c>
      <c r="E8457" t="s">
        <v>378</v>
      </c>
    </row>
    <row r="8458" spans="1:5" x14ac:dyDescent="0.25">
      <c r="A8458" s="279">
        <v>39274</v>
      </c>
      <c r="B8458" t="s">
        <v>338</v>
      </c>
      <c r="C8458" t="s">
        <v>64</v>
      </c>
      <c r="D8458">
        <v>0</v>
      </c>
      <c r="E8458" t="s">
        <v>380</v>
      </c>
    </row>
    <row r="8459" spans="1:5" x14ac:dyDescent="0.25">
      <c r="A8459" s="279">
        <v>39274</v>
      </c>
      <c r="B8459" t="s">
        <v>338</v>
      </c>
      <c r="C8459" t="s">
        <v>65</v>
      </c>
      <c r="D8459">
        <v>0</v>
      </c>
      <c r="E8459" t="s">
        <v>378</v>
      </c>
    </row>
    <row r="8460" spans="1:5" x14ac:dyDescent="0.25">
      <c r="A8460" s="279">
        <v>39274</v>
      </c>
      <c r="B8460" t="s">
        <v>338</v>
      </c>
      <c r="C8460" t="s">
        <v>66</v>
      </c>
      <c r="D8460">
        <v>0</v>
      </c>
      <c r="E8460" t="s">
        <v>380</v>
      </c>
    </row>
    <row r="8461" spans="1:5" x14ac:dyDescent="0.25">
      <c r="A8461" s="279">
        <v>39274</v>
      </c>
      <c r="B8461" t="s">
        <v>338</v>
      </c>
      <c r="C8461" t="s">
        <v>120</v>
      </c>
      <c r="D8461">
        <v>6786</v>
      </c>
      <c r="E8461" t="s">
        <v>378</v>
      </c>
    </row>
    <row r="8462" spans="1:5" x14ac:dyDescent="0.25">
      <c r="A8462" s="279">
        <v>39274</v>
      </c>
      <c r="B8462" t="s">
        <v>338</v>
      </c>
      <c r="C8462" t="s">
        <v>121</v>
      </c>
      <c r="D8462">
        <v>0</v>
      </c>
      <c r="E8462" t="s">
        <v>380</v>
      </c>
    </row>
    <row r="8463" spans="1:5" x14ac:dyDescent="0.25">
      <c r="A8463" s="279">
        <v>39274</v>
      </c>
      <c r="B8463" t="s">
        <v>338</v>
      </c>
      <c r="C8463" t="s">
        <v>67</v>
      </c>
      <c r="D8463">
        <v>0</v>
      </c>
      <c r="E8463" t="s">
        <v>378</v>
      </c>
    </row>
    <row r="8464" spans="1:5" x14ac:dyDescent="0.25">
      <c r="A8464" s="279">
        <v>39274</v>
      </c>
      <c r="B8464" t="s">
        <v>338</v>
      </c>
      <c r="C8464" t="s">
        <v>68</v>
      </c>
      <c r="D8464">
        <v>0</v>
      </c>
      <c r="E8464" t="s">
        <v>380</v>
      </c>
    </row>
    <row r="8465" spans="1:5" x14ac:dyDescent="0.25">
      <c r="A8465" s="279">
        <v>39274</v>
      </c>
      <c r="B8465" t="s">
        <v>338</v>
      </c>
      <c r="C8465" t="s">
        <v>69</v>
      </c>
      <c r="D8465">
        <v>0</v>
      </c>
      <c r="E8465" t="s">
        <v>379</v>
      </c>
    </row>
    <row r="8466" spans="1:5" x14ac:dyDescent="0.25">
      <c r="A8466" s="279">
        <v>39274</v>
      </c>
      <c r="B8466" t="s">
        <v>338</v>
      </c>
      <c r="C8466" t="s">
        <v>70</v>
      </c>
      <c r="D8466">
        <v>0</v>
      </c>
      <c r="E8466" t="s">
        <v>379</v>
      </c>
    </row>
    <row r="8467" spans="1:5" x14ac:dyDescent="0.25">
      <c r="A8467" s="279">
        <v>39274</v>
      </c>
      <c r="B8467" t="s">
        <v>338</v>
      </c>
      <c r="C8467" t="s">
        <v>80</v>
      </c>
      <c r="D8467">
        <v>185</v>
      </c>
      <c r="E8467" t="s">
        <v>379</v>
      </c>
    </row>
    <row r="8468" spans="1:5" x14ac:dyDescent="0.25">
      <c r="A8468" s="279">
        <v>39274</v>
      </c>
      <c r="B8468" t="s">
        <v>339</v>
      </c>
      <c r="C8468" t="s">
        <v>71</v>
      </c>
      <c r="D8468">
        <v>1910</v>
      </c>
      <c r="E8468" t="s">
        <v>378</v>
      </c>
    </row>
    <row r="8469" spans="1:5" x14ac:dyDescent="0.25">
      <c r="A8469" s="279">
        <v>39274</v>
      </c>
      <c r="B8469" t="s">
        <v>339</v>
      </c>
      <c r="C8469" t="s">
        <v>72</v>
      </c>
      <c r="D8469">
        <v>0</v>
      </c>
      <c r="E8469" t="s">
        <v>380</v>
      </c>
    </row>
    <row r="8470" spans="1:5" x14ac:dyDescent="0.25">
      <c r="A8470" s="279">
        <v>39274</v>
      </c>
      <c r="B8470" t="s">
        <v>339</v>
      </c>
      <c r="C8470" t="s">
        <v>73</v>
      </c>
      <c r="D8470">
        <v>16979</v>
      </c>
      <c r="E8470" t="s">
        <v>378</v>
      </c>
    </row>
    <row r="8471" spans="1:5" x14ac:dyDescent="0.25">
      <c r="A8471" s="279">
        <v>39274</v>
      </c>
      <c r="B8471" t="s">
        <v>339</v>
      </c>
      <c r="C8471" t="s">
        <v>74</v>
      </c>
      <c r="D8471">
        <v>0</v>
      </c>
      <c r="E8471" t="s">
        <v>380</v>
      </c>
    </row>
    <row r="8472" spans="1:5" x14ac:dyDescent="0.25">
      <c r="A8472" s="279">
        <v>39274</v>
      </c>
      <c r="B8472" t="s">
        <v>339</v>
      </c>
      <c r="C8472" t="s">
        <v>75</v>
      </c>
      <c r="D8472">
        <v>15242</v>
      </c>
      <c r="E8472" t="s">
        <v>378</v>
      </c>
    </row>
    <row r="8473" spans="1:5" x14ac:dyDescent="0.25">
      <c r="A8473" s="279">
        <v>39274</v>
      </c>
      <c r="B8473" t="s">
        <v>339</v>
      </c>
      <c r="C8473" t="s">
        <v>76</v>
      </c>
      <c r="D8473">
        <v>0</v>
      </c>
      <c r="E8473" t="s">
        <v>380</v>
      </c>
    </row>
    <row r="8474" spans="1:5" x14ac:dyDescent="0.25">
      <c r="A8474" s="279">
        <v>39274</v>
      </c>
      <c r="B8474" t="s">
        <v>339</v>
      </c>
      <c r="C8474" t="s">
        <v>77</v>
      </c>
      <c r="D8474">
        <v>7268</v>
      </c>
      <c r="E8474" t="s">
        <v>378</v>
      </c>
    </row>
    <row r="8475" spans="1:5" x14ac:dyDescent="0.25">
      <c r="A8475" s="279">
        <v>39274</v>
      </c>
      <c r="B8475" t="s">
        <v>339</v>
      </c>
      <c r="C8475" t="s">
        <v>78</v>
      </c>
      <c r="D8475">
        <v>6025</v>
      </c>
      <c r="E8475" t="s">
        <v>380</v>
      </c>
    </row>
    <row r="8476" spans="1:5" x14ac:dyDescent="0.25">
      <c r="A8476" s="279">
        <v>39274</v>
      </c>
      <c r="B8476" t="s">
        <v>339</v>
      </c>
      <c r="C8476" t="s">
        <v>79</v>
      </c>
      <c r="D8476">
        <v>92673</v>
      </c>
      <c r="E8476" t="s">
        <v>379</v>
      </c>
    </row>
    <row r="8477" spans="1:5" x14ac:dyDescent="0.25">
      <c r="A8477" s="279">
        <v>39274</v>
      </c>
      <c r="B8477" t="s">
        <v>339</v>
      </c>
      <c r="C8477" t="s">
        <v>70</v>
      </c>
      <c r="D8477">
        <v>0</v>
      </c>
      <c r="E8477" t="s">
        <v>379</v>
      </c>
    </row>
    <row r="8478" spans="1:5" x14ac:dyDescent="0.25">
      <c r="A8478" s="279">
        <v>39274</v>
      </c>
      <c r="B8478" t="s">
        <v>339</v>
      </c>
      <c r="C8478" t="s">
        <v>63</v>
      </c>
      <c r="D8478">
        <v>17303</v>
      </c>
      <c r="E8478" t="s">
        <v>378</v>
      </c>
    </row>
    <row r="8479" spans="1:5" x14ac:dyDescent="0.25">
      <c r="A8479" s="279">
        <v>39274</v>
      </c>
      <c r="B8479" t="s">
        <v>339</v>
      </c>
      <c r="C8479" t="s">
        <v>80</v>
      </c>
      <c r="D8479">
        <v>796</v>
      </c>
      <c r="E8479" t="s">
        <v>379</v>
      </c>
    </row>
    <row r="8480" spans="1:5" x14ac:dyDescent="0.25">
      <c r="A8480" s="279">
        <v>39275</v>
      </c>
      <c r="B8480" t="s">
        <v>338</v>
      </c>
      <c r="C8480" t="s">
        <v>59</v>
      </c>
      <c r="D8480">
        <v>2578</v>
      </c>
      <c r="E8480" t="s">
        <v>378</v>
      </c>
    </row>
    <row r="8481" spans="1:5" x14ac:dyDescent="0.25">
      <c r="A8481" s="279">
        <v>39275</v>
      </c>
      <c r="B8481" t="s">
        <v>338</v>
      </c>
      <c r="C8481" t="s">
        <v>60</v>
      </c>
      <c r="D8481">
        <v>0</v>
      </c>
      <c r="E8481" t="s">
        <v>379</v>
      </c>
    </row>
    <row r="8482" spans="1:5" x14ac:dyDescent="0.25">
      <c r="A8482" s="279">
        <v>39275</v>
      </c>
      <c r="B8482" t="s">
        <v>338</v>
      </c>
      <c r="C8482" t="s">
        <v>61</v>
      </c>
      <c r="D8482">
        <v>13175</v>
      </c>
      <c r="E8482" t="s">
        <v>378</v>
      </c>
    </row>
    <row r="8483" spans="1:5" x14ac:dyDescent="0.25">
      <c r="A8483" s="279">
        <v>39275</v>
      </c>
      <c r="B8483" t="s">
        <v>338</v>
      </c>
      <c r="C8483" t="s">
        <v>62</v>
      </c>
      <c r="D8483">
        <v>0</v>
      </c>
      <c r="E8483" t="s">
        <v>380</v>
      </c>
    </row>
    <row r="8484" spans="1:5" x14ac:dyDescent="0.25">
      <c r="A8484" s="279">
        <v>39275</v>
      </c>
      <c r="B8484" t="s">
        <v>338</v>
      </c>
      <c r="C8484" t="s">
        <v>63</v>
      </c>
      <c r="D8484">
        <v>0</v>
      </c>
      <c r="E8484" t="s">
        <v>378</v>
      </c>
    </row>
    <row r="8485" spans="1:5" x14ac:dyDescent="0.25">
      <c r="A8485" s="279">
        <v>39275</v>
      </c>
      <c r="B8485" t="s">
        <v>338</v>
      </c>
      <c r="C8485" t="s">
        <v>64</v>
      </c>
      <c r="D8485">
        <v>0</v>
      </c>
      <c r="E8485" t="s">
        <v>380</v>
      </c>
    </row>
    <row r="8486" spans="1:5" x14ac:dyDescent="0.25">
      <c r="A8486" s="279">
        <v>39275</v>
      </c>
      <c r="B8486" t="s">
        <v>338</v>
      </c>
      <c r="C8486" t="s">
        <v>65</v>
      </c>
      <c r="D8486">
        <v>0</v>
      </c>
      <c r="E8486" t="s">
        <v>378</v>
      </c>
    </row>
    <row r="8487" spans="1:5" x14ac:dyDescent="0.25">
      <c r="A8487" s="279">
        <v>39275</v>
      </c>
      <c r="B8487" t="s">
        <v>338</v>
      </c>
      <c r="C8487" t="s">
        <v>66</v>
      </c>
      <c r="D8487">
        <v>0</v>
      </c>
      <c r="E8487" t="s">
        <v>380</v>
      </c>
    </row>
    <row r="8488" spans="1:5" x14ac:dyDescent="0.25">
      <c r="A8488" s="279">
        <v>39275</v>
      </c>
      <c r="B8488" t="s">
        <v>338</v>
      </c>
      <c r="C8488" t="s">
        <v>120</v>
      </c>
      <c r="D8488">
        <v>6814</v>
      </c>
      <c r="E8488" t="s">
        <v>378</v>
      </c>
    </row>
    <row r="8489" spans="1:5" x14ac:dyDescent="0.25">
      <c r="A8489" s="279">
        <v>39275</v>
      </c>
      <c r="B8489" t="s">
        <v>338</v>
      </c>
      <c r="C8489" t="s">
        <v>121</v>
      </c>
      <c r="D8489">
        <v>0</v>
      </c>
      <c r="E8489" t="s">
        <v>380</v>
      </c>
    </row>
    <row r="8490" spans="1:5" x14ac:dyDescent="0.25">
      <c r="A8490" s="279">
        <v>39275</v>
      </c>
      <c r="B8490" t="s">
        <v>338</v>
      </c>
      <c r="C8490" t="s">
        <v>67</v>
      </c>
      <c r="D8490">
        <v>0</v>
      </c>
      <c r="E8490" t="s">
        <v>378</v>
      </c>
    </row>
    <row r="8491" spans="1:5" x14ac:dyDescent="0.25">
      <c r="A8491" s="279">
        <v>39275</v>
      </c>
      <c r="B8491" t="s">
        <v>338</v>
      </c>
      <c r="C8491" t="s">
        <v>68</v>
      </c>
      <c r="D8491">
        <v>0</v>
      </c>
      <c r="E8491" t="s">
        <v>380</v>
      </c>
    </row>
    <row r="8492" spans="1:5" x14ac:dyDescent="0.25">
      <c r="A8492" s="279">
        <v>39275</v>
      </c>
      <c r="B8492" t="s">
        <v>338</v>
      </c>
      <c r="C8492" t="s">
        <v>69</v>
      </c>
      <c r="D8492">
        <v>0</v>
      </c>
      <c r="E8492" t="s">
        <v>379</v>
      </c>
    </row>
    <row r="8493" spans="1:5" x14ac:dyDescent="0.25">
      <c r="A8493" s="279">
        <v>39275</v>
      </c>
      <c r="B8493" t="s">
        <v>338</v>
      </c>
      <c r="C8493" t="s">
        <v>70</v>
      </c>
      <c r="D8493">
        <v>0</v>
      </c>
      <c r="E8493" t="s">
        <v>379</v>
      </c>
    </row>
    <row r="8494" spans="1:5" x14ac:dyDescent="0.25">
      <c r="A8494" s="279">
        <v>39275</v>
      </c>
      <c r="B8494" t="s">
        <v>338</v>
      </c>
      <c r="C8494" t="s">
        <v>80</v>
      </c>
      <c r="D8494">
        <v>186</v>
      </c>
      <c r="E8494" t="s">
        <v>379</v>
      </c>
    </row>
    <row r="8495" spans="1:5" x14ac:dyDescent="0.25">
      <c r="A8495" s="279">
        <v>39275</v>
      </c>
      <c r="B8495" t="s">
        <v>339</v>
      </c>
      <c r="C8495" t="s">
        <v>71</v>
      </c>
      <c r="D8495">
        <v>1908</v>
      </c>
      <c r="E8495" t="s">
        <v>378</v>
      </c>
    </row>
    <row r="8496" spans="1:5" x14ac:dyDescent="0.25">
      <c r="A8496" s="279">
        <v>39275</v>
      </c>
      <c r="B8496" t="s">
        <v>339</v>
      </c>
      <c r="C8496" t="s">
        <v>72</v>
      </c>
      <c r="D8496">
        <v>0</v>
      </c>
      <c r="E8496" t="s">
        <v>380</v>
      </c>
    </row>
    <row r="8497" spans="1:5" x14ac:dyDescent="0.25">
      <c r="A8497" s="279">
        <v>39275</v>
      </c>
      <c r="B8497" t="s">
        <v>339</v>
      </c>
      <c r="C8497" t="s">
        <v>73</v>
      </c>
      <c r="D8497">
        <v>16963</v>
      </c>
      <c r="E8497" t="s">
        <v>378</v>
      </c>
    </row>
    <row r="8498" spans="1:5" x14ac:dyDescent="0.25">
      <c r="A8498" s="279">
        <v>39275</v>
      </c>
      <c r="B8498" t="s">
        <v>339</v>
      </c>
      <c r="C8498" t="s">
        <v>74</v>
      </c>
      <c r="D8498">
        <v>0</v>
      </c>
      <c r="E8498" t="s">
        <v>380</v>
      </c>
    </row>
    <row r="8499" spans="1:5" x14ac:dyDescent="0.25">
      <c r="A8499" s="279">
        <v>39275</v>
      </c>
      <c r="B8499" t="s">
        <v>339</v>
      </c>
      <c r="C8499" t="s">
        <v>75</v>
      </c>
      <c r="D8499">
        <v>15228</v>
      </c>
      <c r="E8499" t="s">
        <v>378</v>
      </c>
    </row>
    <row r="8500" spans="1:5" x14ac:dyDescent="0.25">
      <c r="A8500" s="279">
        <v>39275</v>
      </c>
      <c r="B8500" t="s">
        <v>339</v>
      </c>
      <c r="C8500" t="s">
        <v>76</v>
      </c>
      <c r="D8500">
        <v>1206</v>
      </c>
      <c r="E8500" t="s">
        <v>380</v>
      </c>
    </row>
    <row r="8501" spans="1:5" x14ac:dyDescent="0.25">
      <c r="A8501" s="279">
        <v>39275</v>
      </c>
      <c r="B8501" t="s">
        <v>339</v>
      </c>
      <c r="C8501" t="s">
        <v>77</v>
      </c>
      <c r="D8501">
        <v>7261</v>
      </c>
      <c r="E8501" t="s">
        <v>378</v>
      </c>
    </row>
    <row r="8502" spans="1:5" x14ac:dyDescent="0.25">
      <c r="A8502" s="279">
        <v>39275</v>
      </c>
      <c r="B8502" t="s">
        <v>339</v>
      </c>
      <c r="C8502" t="s">
        <v>78</v>
      </c>
      <c r="D8502">
        <v>6982</v>
      </c>
      <c r="E8502" t="s">
        <v>380</v>
      </c>
    </row>
    <row r="8503" spans="1:5" x14ac:dyDescent="0.25">
      <c r="A8503" s="279">
        <v>39275</v>
      </c>
      <c r="B8503" t="s">
        <v>339</v>
      </c>
      <c r="C8503" t="s">
        <v>79</v>
      </c>
      <c r="D8503">
        <v>92584</v>
      </c>
      <c r="E8503" t="s">
        <v>379</v>
      </c>
    </row>
    <row r="8504" spans="1:5" x14ac:dyDescent="0.25">
      <c r="A8504" s="279">
        <v>39275</v>
      </c>
      <c r="B8504" t="s">
        <v>339</v>
      </c>
      <c r="C8504" t="s">
        <v>70</v>
      </c>
      <c r="D8504">
        <v>0</v>
      </c>
      <c r="E8504" t="s">
        <v>379</v>
      </c>
    </row>
    <row r="8505" spans="1:5" x14ac:dyDescent="0.25">
      <c r="A8505" s="279">
        <v>39275</v>
      </c>
      <c r="B8505" t="s">
        <v>339</v>
      </c>
      <c r="C8505" t="s">
        <v>63</v>
      </c>
      <c r="D8505">
        <v>17286</v>
      </c>
      <c r="E8505" t="s">
        <v>378</v>
      </c>
    </row>
    <row r="8506" spans="1:5" x14ac:dyDescent="0.25">
      <c r="A8506" s="279">
        <v>39275</v>
      </c>
      <c r="B8506" t="s">
        <v>339</v>
      </c>
      <c r="C8506" t="s">
        <v>80</v>
      </c>
      <c r="D8506">
        <v>795</v>
      </c>
      <c r="E8506" t="s">
        <v>379</v>
      </c>
    </row>
    <row r="8507" spans="1:5" x14ac:dyDescent="0.25">
      <c r="A8507" s="279">
        <v>39276</v>
      </c>
      <c r="B8507" t="s">
        <v>338</v>
      </c>
      <c r="C8507" t="s">
        <v>59</v>
      </c>
      <c r="D8507">
        <v>2580</v>
      </c>
      <c r="E8507" t="s">
        <v>378</v>
      </c>
    </row>
    <row r="8508" spans="1:5" x14ac:dyDescent="0.25">
      <c r="A8508" s="279">
        <v>39276</v>
      </c>
      <c r="B8508" t="s">
        <v>338</v>
      </c>
      <c r="C8508" t="s">
        <v>60</v>
      </c>
      <c r="D8508">
        <v>0</v>
      </c>
      <c r="E8508" t="s">
        <v>379</v>
      </c>
    </row>
    <row r="8509" spans="1:5" x14ac:dyDescent="0.25">
      <c r="A8509" s="279">
        <v>39276</v>
      </c>
      <c r="B8509" t="s">
        <v>338</v>
      </c>
      <c r="C8509" t="s">
        <v>61</v>
      </c>
      <c r="D8509">
        <v>13188</v>
      </c>
      <c r="E8509" t="s">
        <v>378</v>
      </c>
    </row>
    <row r="8510" spans="1:5" x14ac:dyDescent="0.25">
      <c r="A8510" s="279">
        <v>39276</v>
      </c>
      <c r="B8510" t="s">
        <v>338</v>
      </c>
      <c r="C8510" t="s">
        <v>62</v>
      </c>
      <c r="D8510">
        <v>0</v>
      </c>
      <c r="E8510" t="s">
        <v>380</v>
      </c>
    </row>
    <row r="8511" spans="1:5" x14ac:dyDescent="0.25">
      <c r="A8511" s="279">
        <v>39276</v>
      </c>
      <c r="B8511" t="s">
        <v>338</v>
      </c>
      <c r="C8511" t="s">
        <v>63</v>
      </c>
      <c r="D8511">
        <v>0</v>
      </c>
      <c r="E8511" t="s">
        <v>378</v>
      </c>
    </row>
    <row r="8512" spans="1:5" x14ac:dyDescent="0.25">
      <c r="A8512" s="279">
        <v>39276</v>
      </c>
      <c r="B8512" t="s">
        <v>338</v>
      </c>
      <c r="C8512" t="s">
        <v>64</v>
      </c>
      <c r="D8512">
        <v>0</v>
      </c>
      <c r="E8512" t="s">
        <v>380</v>
      </c>
    </row>
    <row r="8513" spans="1:5" x14ac:dyDescent="0.25">
      <c r="A8513" s="279">
        <v>39276</v>
      </c>
      <c r="B8513" t="s">
        <v>338</v>
      </c>
      <c r="C8513" t="s">
        <v>65</v>
      </c>
      <c r="D8513">
        <v>0</v>
      </c>
      <c r="E8513" t="s">
        <v>378</v>
      </c>
    </row>
    <row r="8514" spans="1:5" x14ac:dyDescent="0.25">
      <c r="A8514" s="279">
        <v>39276</v>
      </c>
      <c r="B8514" t="s">
        <v>338</v>
      </c>
      <c r="C8514" t="s">
        <v>66</v>
      </c>
      <c r="D8514">
        <v>0</v>
      </c>
      <c r="E8514" t="s">
        <v>380</v>
      </c>
    </row>
    <row r="8515" spans="1:5" x14ac:dyDescent="0.25">
      <c r="A8515" s="279">
        <v>39276</v>
      </c>
      <c r="B8515" t="s">
        <v>338</v>
      </c>
      <c r="C8515" t="s">
        <v>120</v>
      </c>
      <c r="D8515">
        <v>6830</v>
      </c>
      <c r="E8515" t="s">
        <v>378</v>
      </c>
    </row>
    <row r="8516" spans="1:5" x14ac:dyDescent="0.25">
      <c r="A8516" s="279">
        <v>39276</v>
      </c>
      <c r="B8516" t="s">
        <v>338</v>
      </c>
      <c r="C8516" t="s">
        <v>121</v>
      </c>
      <c r="D8516">
        <v>0</v>
      </c>
      <c r="E8516" t="s">
        <v>380</v>
      </c>
    </row>
    <row r="8517" spans="1:5" x14ac:dyDescent="0.25">
      <c r="A8517" s="279">
        <v>39276</v>
      </c>
      <c r="B8517" t="s">
        <v>338</v>
      </c>
      <c r="C8517" t="s">
        <v>67</v>
      </c>
      <c r="D8517">
        <v>0</v>
      </c>
      <c r="E8517" t="s">
        <v>378</v>
      </c>
    </row>
    <row r="8518" spans="1:5" x14ac:dyDescent="0.25">
      <c r="A8518" s="279">
        <v>39276</v>
      </c>
      <c r="B8518" t="s">
        <v>338</v>
      </c>
      <c r="C8518" t="s">
        <v>68</v>
      </c>
      <c r="D8518">
        <v>0</v>
      </c>
      <c r="E8518" t="s">
        <v>380</v>
      </c>
    </row>
    <row r="8519" spans="1:5" x14ac:dyDescent="0.25">
      <c r="A8519" s="279">
        <v>39276</v>
      </c>
      <c r="B8519" t="s">
        <v>338</v>
      </c>
      <c r="C8519" t="s">
        <v>69</v>
      </c>
      <c r="D8519">
        <v>0</v>
      </c>
      <c r="E8519" t="s">
        <v>379</v>
      </c>
    </row>
    <row r="8520" spans="1:5" x14ac:dyDescent="0.25">
      <c r="A8520" s="279">
        <v>39276</v>
      </c>
      <c r="B8520" t="s">
        <v>338</v>
      </c>
      <c r="C8520" t="s">
        <v>70</v>
      </c>
      <c r="D8520">
        <v>0</v>
      </c>
      <c r="E8520" t="s">
        <v>379</v>
      </c>
    </row>
    <row r="8521" spans="1:5" x14ac:dyDescent="0.25">
      <c r="A8521" s="279">
        <v>39276</v>
      </c>
      <c r="B8521" t="s">
        <v>338</v>
      </c>
      <c r="C8521" t="s">
        <v>80</v>
      </c>
      <c r="D8521">
        <v>187</v>
      </c>
      <c r="E8521" t="s">
        <v>379</v>
      </c>
    </row>
    <row r="8522" spans="1:5" x14ac:dyDescent="0.25">
      <c r="A8522" s="279">
        <v>39276</v>
      </c>
      <c r="B8522" t="s">
        <v>339</v>
      </c>
      <c r="C8522" t="s">
        <v>71</v>
      </c>
      <c r="D8522">
        <v>1912</v>
      </c>
      <c r="E8522" t="s">
        <v>378</v>
      </c>
    </row>
    <row r="8523" spans="1:5" x14ac:dyDescent="0.25">
      <c r="A8523" s="279">
        <v>39276</v>
      </c>
      <c r="B8523" t="s">
        <v>339</v>
      </c>
      <c r="C8523" t="s">
        <v>72</v>
      </c>
      <c r="D8523">
        <v>0</v>
      </c>
      <c r="E8523" t="s">
        <v>380</v>
      </c>
    </row>
    <row r="8524" spans="1:5" x14ac:dyDescent="0.25">
      <c r="A8524" s="279">
        <v>39276</v>
      </c>
      <c r="B8524" t="s">
        <v>339</v>
      </c>
      <c r="C8524" t="s">
        <v>73</v>
      </c>
      <c r="D8524">
        <v>16996</v>
      </c>
      <c r="E8524" t="s">
        <v>378</v>
      </c>
    </row>
    <row r="8525" spans="1:5" x14ac:dyDescent="0.25">
      <c r="A8525" s="279">
        <v>39276</v>
      </c>
      <c r="B8525" t="s">
        <v>339</v>
      </c>
      <c r="C8525" t="s">
        <v>74</v>
      </c>
      <c r="D8525">
        <v>0</v>
      </c>
      <c r="E8525" t="s">
        <v>380</v>
      </c>
    </row>
    <row r="8526" spans="1:5" x14ac:dyDescent="0.25">
      <c r="A8526" s="279">
        <v>39276</v>
      </c>
      <c r="B8526" t="s">
        <v>339</v>
      </c>
      <c r="C8526" t="s">
        <v>75</v>
      </c>
      <c r="D8526">
        <v>15257</v>
      </c>
      <c r="E8526" t="s">
        <v>378</v>
      </c>
    </row>
    <row r="8527" spans="1:5" x14ac:dyDescent="0.25">
      <c r="A8527" s="279">
        <v>39276</v>
      </c>
      <c r="B8527" t="s">
        <v>339</v>
      </c>
      <c r="C8527" t="s">
        <v>76</v>
      </c>
      <c r="D8527">
        <v>0</v>
      </c>
      <c r="E8527" t="s">
        <v>380</v>
      </c>
    </row>
    <row r="8528" spans="1:5" x14ac:dyDescent="0.25">
      <c r="A8528" s="279">
        <v>39276</v>
      </c>
      <c r="B8528" t="s">
        <v>339</v>
      </c>
      <c r="C8528" t="s">
        <v>77</v>
      </c>
      <c r="D8528">
        <v>7275</v>
      </c>
      <c r="E8528" t="s">
        <v>378</v>
      </c>
    </row>
    <row r="8529" spans="1:5" x14ac:dyDescent="0.25">
      <c r="A8529" s="279">
        <v>39276</v>
      </c>
      <c r="B8529" t="s">
        <v>339</v>
      </c>
      <c r="C8529" t="s">
        <v>78</v>
      </c>
      <c r="D8529">
        <v>4240</v>
      </c>
      <c r="E8529" t="s">
        <v>380</v>
      </c>
    </row>
    <row r="8530" spans="1:5" x14ac:dyDescent="0.25">
      <c r="A8530" s="279">
        <v>39276</v>
      </c>
      <c r="B8530" t="s">
        <v>339</v>
      </c>
      <c r="C8530" t="s">
        <v>79</v>
      </c>
      <c r="D8530">
        <v>92763</v>
      </c>
      <c r="E8530" t="s">
        <v>379</v>
      </c>
    </row>
    <row r="8531" spans="1:5" x14ac:dyDescent="0.25">
      <c r="A8531" s="279">
        <v>39276</v>
      </c>
      <c r="B8531" t="s">
        <v>339</v>
      </c>
      <c r="C8531" t="s">
        <v>70</v>
      </c>
      <c r="D8531">
        <v>0</v>
      </c>
      <c r="E8531" t="s">
        <v>379</v>
      </c>
    </row>
    <row r="8532" spans="1:5" x14ac:dyDescent="0.25">
      <c r="A8532" s="279">
        <v>39276</v>
      </c>
      <c r="B8532" t="s">
        <v>339</v>
      </c>
      <c r="C8532" t="s">
        <v>63</v>
      </c>
      <c r="D8532">
        <v>17319</v>
      </c>
      <c r="E8532" t="s">
        <v>378</v>
      </c>
    </row>
    <row r="8533" spans="1:5" x14ac:dyDescent="0.25">
      <c r="A8533" s="279">
        <v>39276</v>
      </c>
      <c r="B8533" t="s">
        <v>339</v>
      </c>
      <c r="C8533" t="s">
        <v>80</v>
      </c>
      <c r="D8533">
        <v>797</v>
      </c>
      <c r="E8533" t="s">
        <v>379</v>
      </c>
    </row>
    <row r="8534" spans="1:5" x14ac:dyDescent="0.25">
      <c r="A8534" s="279">
        <v>39277</v>
      </c>
      <c r="B8534" t="s">
        <v>338</v>
      </c>
      <c r="C8534" t="s">
        <v>59</v>
      </c>
      <c r="D8534">
        <v>2578</v>
      </c>
      <c r="E8534" t="s">
        <v>378</v>
      </c>
    </row>
    <row r="8535" spans="1:5" x14ac:dyDescent="0.25">
      <c r="A8535" s="279">
        <v>39277</v>
      </c>
      <c r="B8535" t="s">
        <v>338</v>
      </c>
      <c r="C8535" t="s">
        <v>60</v>
      </c>
      <c r="D8535">
        <v>0</v>
      </c>
      <c r="E8535" t="s">
        <v>379</v>
      </c>
    </row>
    <row r="8536" spans="1:5" x14ac:dyDescent="0.25">
      <c r="A8536" s="279">
        <v>39277</v>
      </c>
      <c r="B8536" t="s">
        <v>338</v>
      </c>
      <c r="C8536" t="s">
        <v>61</v>
      </c>
      <c r="D8536">
        <v>13175</v>
      </c>
      <c r="E8536" t="s">
        <v>378</v>
      </c>
    </row>
    <row r="8537" spans="1:5" x14ac:dyDescent="0.25">
      <c r="A8537" s="279">
        <v>39277</v>
      </c>
      <c r="B8537" t="s">
        <v>338</v>
      </c>
      <c r="C8537" t="s">
        <v>62</v>
      </c>
      <c r="D8537">
        <v>0</v>
      </c>
      <c r="E8537" t="s">
        <v>380</v>
      </c>
    </row>
    <row r="8538" spans="1:5" x14ac:dyDescent="0.25">
      <c r="A8538" s="279">
        <v>39277</v>
      </c>
      <c r="B8538" t="s">
        <v>338</v>
      </c>
      <c r="C8538" t="s">
        <v>63</v>
      </c>
      <c r="D8538">
        <v>0</v>
      </c>
      <c r="E8538" t="s">
        <v>378</v>
      </c>
    </row>
    <row r="8539" spans="1:5" x14ac:dyDescent="0.25">
      <c r="A8539" s="279">
        <v>39277</v>
      </c>
      <c r="B8539" t="s">
        <v>338</v>
      </c>
      <c r="C8539" t="s">
        <v>64</v>
      </c>
      <c r="D8539">
        <v>0</v>
      </c>
      <c r="E8539" t="s">
        <v>380</v>
      </c>
    </row>
    <row r="8540" spans="1:5" x14ac:dyDescent="0.25">
      <c r="A8540" s="279">
        <v>39277</v>
      </c>
      <c r="B8540" t="s">
        <v>338</v>
      </c>
      <c r="C8540" t="s">
        <v>65</v>
      </c>
      <c r="D8540">
        <v>0</v>
      </c>
      <c r="E8540" t="s">
        <v>378</v>
      </c>
    </row>
    <row r="8541" spans="1:5" x14ac:dyDescent="0.25">
      <c r="A8541" s="279">
        <v>39277</v>
      </c>
      <c r="B8541" t="s">
        <v>338</v>
      </c>
      <c r="C8541" t="s">
        <v>66</v>
      </c>
      <c r="D8541">
        <v>0</v>
      </c>
      <c r="E8541" t="s">
        <v>380</v>
      </c>
    </row>
    <row r="8542" spans="1:5" x14ac:dyDescent="0.25">
      <c r="A8542" s="279">
        <v>39277</v>
      </c>
      <c r="B8542" t="s">
        <v>338</v>
      </c>
      <c r="C8542" t="s">
        <v>120</v>
      </c>
      <c r="D8542">
        <v>6853</v>
      </c>
      <c r="E8542" t="s">
        <v>378</v>
      </c>
    </row>
    <row r="8543" spans="1:5" x14ac:dyDescent="0.25">
      <c r="A8543" s="279">
        <v>39277</v>
      </c>
      <c r="B8543" t="s">
        <v>338</v>
      </c>
      <c r="C8543" t="s">
        <v>121</v>
      </c>
      <c r="D8543">
        <v>0</v>
      </c>
      <c r="E8543" t="s">
        <v>380</v>
      </c>
    </row>
    <row r="8544" spans="1:5" x14ac:dyDescent="0.25">
      <c r="A8544" s="279">
        <v>39277</v>
      </c>
      <c r="B8544" t="s">
        <v>338</v>
      </c>
      <c r="C8544" t="s">
        <v>67</v>
      </c>
      <c r="D8544">
        <v>0</v>
      </c>
      <c r="E8544" t="s">
        <v>378</v>
      </c>
    </row>
    <row r="8545" spans="1:5" x14ac:dyDescent="0.25">
      <c r="A8545" s="279">
        <v>39277</v>
      </c>
      <c r="B8545" t="s">
        <v>338</v>
      </c>
      <c r="C8545" t="s">
        <v>68</v>
      </c>
      <c r="D8545">
        <v>0</v>
      </c>
      <c r="E8545" t="s">
        <v>380</v>
      </c>
    </row>
    <row r="8546" spans="1:5" x14ac:dyDescent="0.25">
      <c r="A8546" s="279">
        <v>39277</v>
      </c>
      <c r="B8546" t="s">
        <v>338</v>
      </c>
      <c r="C8546" t="s">
        <v>69</v>
      </c>
      <c r="D8546">
        <v>0</v>
      </c>
      <c r="E8546" t="s">
        <v>379</v>
      </c>
    </row>
    <row r="8547" spans="1:5" x14ac:dyDescent="0.25">
      <c r="A8547" s="279">
        <v>39277</v>
      </c>
      <c r="B8547" t="s">
        <v>338</v>
      </c>
      <c r="C8547" t="s">
        <v>70</v>
      </c>
      <c r="D8547">
        <v>0</v>
      </c>
      <c r="E8547" t="s">
        <v>379</v>
      </c>
    </row>
    <row r="8548" spans="1:5" x14ac:dyDescent="0.25">
      <c r="A8548" s="279">
        <v>39277</v>
      </c>
      <c r="B8548" t="s">
        <v>338</v>
      </c>
      <c r="C8548" t="s">
        <v>80</v>
      </c>
      <c r="D8548">
        <v>187</v>
      </c>
      <c r="E8548" t="s">
        <v>379</v>
      </c>
    </row>
    <row r="8549" spans="1:5" x14ac:dyDescent="0.25">
      <c r="A8549" s="279">
        <v>39277</v>
      </c>
      <c r="B8549" t="s">
        <v>339</v>
      </c>
      <c r="C8549" t="s">
        <v>71</v>
      </c>
      <c r="D8549">
        <v>1912</v>
      </c>
      <c r="E8549" t="s">
        <v>378</v>
      </c>
    </row>
    <row r="8550" spans="1:5" x14ac:dyDescent="0.25">
      <c r="A8550" s="279">
        <v>39277</v>
      </c>
      <c r="B8550" t="s">
        <v>339</v>
      </c>
      <c r="C8550" t="s">
        <v>72</v>
      </c>
      <c r="D8550">
        <v>0</v>
      </c>
      <c r="E8550" t="s">
        <v>380</v>
      </c>
    </row>
    <row r="8551" spans="1:5" x14ac:dyDescent="0.25">
      <c r="A8551" s="279">
        <v>39277</v>
      </c>
      <c r="B8551" t="s">
        <v>339</v>
      </c>
      <c r="C8551" t="s">
        <v>73</v>
      </c>
      <c r="D8551">
        <v>16996</v>
      </c>
      <c r="E8551" t="s">
        <v>378</v>
      </c>
    </row>
    <row r="8552" spans="1:5" x14ac:dyDescent="0.25">
      <c r="A8552" s="279">
        <v>39277</v>
      </c>
      <c r="B8552" t="s">
        <v>339</v>
      </c>
      <c r="C8552" t="s">
        <v>74</v>
      </c>
      <c r="D8552">
        <v>0</v>
      </c>
      <c r="E8552" t="s">
        <v>380</v>
      </c>
    </row>
    <row r="8553" spans="1:5" x14ac:dyDescent="0.25">
      <c r="A8553" s="279">
        <v>39277</v>
      </c>
      <c r="B8553" t="s">
        <v>339</v>
      </c>
      <c r="C8553" t="s">
        <v>75</v>
      </c>
      <c r="D8553">
        <v>15257</v>
      </c>
      <c r="E8553" t="s">
        <v>378</v>
      </c>
    </row>
    <row r="8554" spans="1:5" x14ac:dyDescent="0.25">
      <c r="A8554" s="279">
        <v>39277</v>
      </c>
      <c r="B8554" t="s">
        <v>339</v>
      </c>
      <c r="C8554" t="s">
        <v>76</v>
      </c>
      <c r="D8554">
        <v>3811</v>
      </c>
      <c r="E8554" t="s">
        <v>380</v>
      </c>
    </row>
    <row r="8555" spans="1:5" x14ac:dyDescent="0.25">
      <c r="A8555" s="279">
        <v>39277</v>
      </c>
      <c r="B8555" t="s">
        <v>339</v>
      </c>
      <c r="C8555" t="s">
        <v>77</v>
      </c>
      <c r="D8555">
        <v>7275</v>
      </c>
      <c r="E8555" t="s">
        <v>378</v>
      </c>
    </row>
    <row r="8556" spans="1:5" x14ac:dyDescent="0.25">
      <c r="A8556" s="279">
        <v>39277</v>
      </c>
      <c r="B8556" t="s">
        <v>339</v>
      </c>
      <c r="C8556" t="s">
        <v>78</v>
      </c>
      <c r="D8556">
        <v>0</v>
      </c>
      <c r="E8556" t="s">
        <v>380</v>
      </c>
    </row>
    <row r="8557" spans="1:5" x14ac:dyDescent="0.25">
      <c r="A8557" s="279">
        <v>39277</v>
      </c>
      <c r="B8557" t="s">
        <v>339</v>
      </c>
      <c r="C8557" t="s">
        <v>79</v>
      </c>
      <c r="D8557">
        <v>92763</v>
      </c>
      <c r="E8557" t="s">
        <v>379</v>
      </c>
    </row>
    <row r="8558" spans="1:5" x14ac:dyDescent="0.25">
      <c r="A8558" s="279">
        <v>39277</v>
      </c>
      <c r="B8558" t="s">
        <v>339</v>
      </c>
      <c r="C8558" t="s">
        <v>70</v>
      </c>
      <c r="D8558">
        <v>0</v>
      </c>
      <c r="E8558" t="s">
        <v>379</v>
      </c>
    </row>
    <row r="8559" spans="1:5" x14ac:dyDescent="0.25">
      <c r="A8559" s="279">
        <v>39277</v>
      </c>
      <c r="B8559" t="s">
        <v>339</v>
      </c>
      <c r="C8559" t="s">
        <v>63</v>
      </c>
      <c r="D8559">
        <v>17319</v>
      </c>
      <c r="E8559" t="s">
        <v>378</v>
      </c>
    </row>
    <row r="8560" spans="1:5" x14ac:dyDescent="0.25">
      <c r="A8560" s="279">
        <v>39277</v>
      </c>
      <c r="B8560" t="s">
        <v>339</v>
      </c>
      <c r="C8560" t="s">
        <v>80</v>
      </c>
      <c r="D8560">
        <v>797</v>
      </c>
      <c r="E8560" t="s">
        <v>379</v>
      </c>
    </row>
    <row r="8561" spans="1:5" x14ac:dyDescent="0.25">
      <c r="A8561" s="279">
        <v>39278</v>
      </c>
      <c r="B8561" t="s">
        <v>338</v>
      </c>
      <c r="C8561" t="s">
        <v>59</v>
      </c>
      <c r="D8561">
        <v>2578</v>
      </c>
      <c r="E8561" t="s">
        <v>378</v>
      </c>
    </row>
    <row r="8562" spans="1:5" x14ac:dyDescent="0.25">
      <c r="A8562" s="279">
        <v>39278</v>
      </c>
      <c r="B8562" t="s">
        <v>338</v>
      </c>
      <c r="C8562" t="s">
        <v>60</v>
      </c>
      <c r="D8562">
        <v>0</v>
      </c>
      <c r="E8562" t="s">
        <v>379</v>
      </c>
    </row>
    <row r="8563" spans="1:5" x14ac:dyDescent="0.25">
      <c r="A8563" s="279">
        <v>39278</v>
      </c>
      <c r="B8563" t="s">
        <v>338</v>
      </c>
      <c r="C8563" t="s">
        <v>61</v>
      </c>
      <c r="D8563">
        <v>13175</v>
      </c>
      <c r="E8563" t="s">
        <v>378</v>
      </c>
    </row>
    <row r="8564" spans="1:5" x14ac:dyDescent="0.25">
      <c r="A8564" s="279">
        <v>39278</v>
      </c>
      <c r="B8564" t="s">
        <v>338</v>
      </c>
      <c r="C8564" t="s">
        <v>62</v>
      </c>
      <c r="D8564">
        <v>0</v>
      </c>
      <c r="E8564" t="s">
        <v>380</v>
      </c>
    </row>
    <row r="8565" spans="1:5" x14ac:dyDescent="0.25">
      <c r="A8565" s="279">
        <v>39278</v>
      </c>
      <c r="B8565" t="s">
        <v>338</v>
      </c>
      <c r="C8565" t="s">
        <v>63</v>
      </c>
      <c r="D8565">
        <v>0</v>
      </c>
      <c r="E8565" t="s">
        <v>378</v>
      </c>
    </row>
    <row r="8566" spans="1:5" x14ac:dyDescent="0.25">
      <c r="A8566" s="279">
        <v>39278</v>
      </c>
      <c r="B8566" t="s">
        <v>338</v>
      </c>
      <c r="C8566" t="s">
        <v>64</v>
      </c>
      <c r="D8566">
        <v>0</v>
      </c>
      <c r="E8566" t="s">
        <v>380</v>
      </c>
    </row>
    <row r="8567" spans="1:5" x14ac:dyDescent="0.25">
      <c r="A8567" s="279">
        <v>39278</v>
      </c>
      <c r="B8567" t="s">
        <v>338</v>
      </c>
      <c r="C8567" t="s">
        <v>65</v>
      </c>
      <c r="D8567">
        <v>0</v>
      </c>
      <c r="E8567" t="s">
        <v>378</v>
      </c>
    </row>
    <row r="8568" spans="1:5" x14ac:dyDescent="0.25">
      <c r="A8568" s="279">
        <v>39278</v>
      </c>
      <c r="B8568" t="s">
        <v>338</v>
      </c>
      <c r="C8568" t="s">
        <v>66</v>
      </c>
      <c r="D8568">
        <v>0</v>
      </c>
      <c r="E8568" t="s">
        <v>380</v>
      </c>
    </row>
    <row r="8569" spans="1:5" x14ac:dyDescent="0.25">
      <c r="A8569" s="279">
        <v>39278</v>
      </c>
      <c r="B8569" t="s">
        <v>338</v>
      </c>
      <c r="C8569" t="s">
        <v>120</v>
      </c>
      <c r="D8569">
        <v>6853</v>
      </c>
      <c r="E8569" t="s">
        <v>378</v>
      </c>
    </row>
    <row r="8570" spans="1:5" x14ac:dyDescent="0.25">
      <c r="A8570" s="279">
        <v>39278</v>
      </c>
      <c r="B8570" t="s">
        <v>338</v>
      </c>
      <c r="C8570" t="s">
        <v>121</v>
      </c>
      <c r="D8570">
        <v>0</v>
      </c>
      <c r="E8570" t="s">
        <v>380</v>
      </c>
    </row>
    <row r="8571" spans="1:5" x14ac:dyDescent="0.25">
      <c r="A8571" s="279">
        <v>39278</v>
      </c>
      <c r="B8571" t="s">
        <v>338</v>
      </c>
      <c r="C8571" t="s">
        <v>67</v>
      </c>
      <c r="D8571">
        <v>0</v>
      </c>
      <c r="E8571" t="s">
        <v>378</v>
      </c>
    </row>
    <row r="8572" spans="1:5" x14ac:dyDescent="0.25">
      <c r="A8572" s="279">
        <v>39278</v>
      </c>
      <c r="B8572" t="s">
        <v>338</v>
      </c>
      <c r="C8572" t="s">
        <v>68</v>
      </c>
      <c r="D8572">
        <v>0</v>
      </c>
      <c r="E8572" t="s">
        <v>380</v>
      </c>
    </row>
    <row r="8573" spans="1:5" x14ac:dyDescent="0.25">
      <c r="A8573" s="279">
        <v>39278</v>
      </c>
      <c r="B8573" t="s">
        <v>338</v>
      </c>
      <c r="C8573" t="s">
        <v>69</v>
      </c>
      <c r="D8573">
        <v>0</v>
      </c>
      <c r="E8573" t="s">
        <v>379</v>
      </c>
    </row>
    <row r="8574" spans="1:5" x14ac:dyDescent="0.25">
      <c r="A8574" s="279">
        <v>39278</v>
      </c>
      <c r="B8574" t="s">
        <v>338</v>
      </c>
      <c r="C8574" t="s">
        <v>70</v>
      </c>
      <c r="D8574">
        <v>0</v>
      </c>
      <c r="E8574" t="s">
        <v>379</v>
      </c>
    </row>
    <row r="8575" spans="1:5" x14ac:dyDescent="0.25">
      <c r="A8575" s="279">
        <v>39278</v>
      </c>
      <c r="B8575" t="s">
        <v>338</v>
      </c>
      <c r="C8575" t="s">
        <v>80</v>
      </c>
      <c r="D8575">
        <v>187</v>
      </c>
      <c r="E8575" t="s">
        <v>379</v>
      </c>
    </row>
    <row r="8576" spans="1:5" x14ac:dyDescent="0.25">
      <c r="A8576" s="279">
        <v>39278</v>
      </c>
      <c r="B8576" t="s">
        <v>339</v>
      </c>
      <c r="C8576" t="s">
        <v>71</v>
      </c>
      <c r="D8576">
        <v>1910</v>
      </c>
      <c r="E8576" t="s">
        <v>378</v>
      </c>
    </row>
    <row r="8577" spans="1:5" x14ac:dyDescent="0.25">
      <c r="A8577" s="279">
        <v>39278</v>
      </c>
      <c r="B8577" t="s">
        <v>339</v>
      </c>
      <c r="C8577" t="s">
        <v>72</v>
      </c>
      <c r="D8577">
        <v>0</v>
      </c>
      <c r="E8577" t="s">
        <v>380</v>
      </c>
    </row>
    <row r="8578" spans="1:5" x14ac:dyDescent="0.25">
      <c r="A8578" s="279">
        <v>39278</v>
      </c>
      <c r="B8578" t="s">
        <v>339</v>
      </c>
      <c r="C8578" t="s">
        <v>73</v>
      </c>
      <c r="D8578">
        <v>16979</v>
      </c>
      <c r="E8578" t="s">
        <v>378</v>
      </c>
    </row>
    <row r="8579" spans="1:5" x14ac:dyDescent="0.25">
      <c r="A8579" s="279">
        <v>39278</v>
      </c>
      <c r="B8579" t="s">
        <v>339</v>
      </c>
      <c r="C8579" t="s">
        <v>74</v>
      </c>
      <c r="D8579">
        <v>0</v>
      </c>
      <c r="E8579" t="s">
        <v>380</v>
      </c>
    </row>
    <row r="8580" spans="1:5" x14ac:dyDescent="0.25">
      <c r="A8580" s="279">
        <v>39278</v>
      </c>
      <c r="B8580" t="s">
        <v>339</v>
      </c>
      <c r="C8580" t="s">
        <v>75</v>
      </c>
      <c r="D8580">
        <v>15242</v>
      </c>
      <c r="E8580" t="s">
        <v>378</v>
      </c>
    </row>
    <row r="8581" spans="1:5" x14ac:dyDescent="0.25">
      <c r="A8581" s="279">
        <v>39278</v>
      </c>
      <c r="B8581" t="s">
        <v>339</v>
      </c>
      <c r="C8581" t="s">
        <v>76</v>
      </c>
      <c r="D8581">
        <v>5590</v>
      </c>
      <c r="E8581" t="s">
        <v>380</v>
      </c>
    </row>
    <row r="8582" spans="1:5" x14ac:dyDescent="0.25">
      <c r="A8582" s="279">
        <v>39278</v>
      </c>
      <c r="B8582" t="s">
        <v>339</v>
      </c>
      <c r="C8582" t="s">
        <v>77</v>
      </c>
      <c r="D8582">
        <v>7268</v>
      </c>
      <c r="E8582" t="s">
        <v>378</v>
      </c>
    </row>
    <row r="8583" spans="1:5" x14ac:dyDescent="0.25">
      <c r="A8583" s="279">
        <v>39278</v>
      </c>
      <c r="B8583" t="s">
        <v>339</v>
      </c>
      <c r="C8583" t="s">
        <v>78</v>
      </c>
      <c r="D8583">
        <v>0</v>
      </c>
      <c r="E8583" t="s">
        <v>380</v>
      </c>
    </row>
    <row r="8584" spans="1:5" x14ac:dyDescent="0.25">
      <c r="A8584" s="279">
        <v>39278</v>
      </c>
      <c r="B8584" t="s">
        <v>339</v>
      </c>
      <c r="C8584" t="s">
        <v>79</v>
      </c>
      <c r="D8584">
        <v>92673</v>
      </c>
      <c r="E8584" t="s">
        <v>379</v>
      </c>
    </row>
    <row r="8585" spans="1:5" x14ac:dyDescent="0.25">
      <c r="A8585" s="279">
        <v>39278</v>
      </c>
      <c r="B8585" t="s">
        <v>339</v>
      </c>
      <c r="C8585" t="s">
        <v>70</v>
      </c>
      <c r="D8585">
        <v>0</v>
      </c>
      <c r="E8585" t="s">
        <v>379</v>
      </c>
    </row>
    <row r="8586" spans="1:5" x14ac:dyDescent="0.25">
      <c r="A8586" s="279">
        <v>39278</v>
      </c>
      <c r="B8586" t="s">
        <v>339</v>
      </c>
      <c r="C8586" t="s">
        <v>63</v>
      </c>
      <c r="D8586">
        <v>17303</v>
      </c>
      <c r="E8586" t="s">
        <v>378</v>
      </c>
    </row>
    <row r="8587" spans="1:5" x14ac:dyDescent="0.25">
      <c r="A8587" s="279">
        <v>39278</v>
      </c>
      <c r="B8587" t="s">
        <v>339</v>
      </c>
      <c r="C8587" t="s">
        <v>80</v>
      </c>
      <c r="D8587">
        <v>796</v>
      </c>
      <c r="E8587" t="s">
        <v>379</v>
      </c>
    </row>
    <row r="8588" spans="1:5" x14ac:dyDescent="0.25">
      <c r="A8588" s="279">
        <v>39279</v>
      </c>
      <c r="B8588" t="s">
        <v>338</v>
      </c>
      <c r="C8588" t="s">
        <v>59</v>
      </c>
      <c r="D8588">
        <v>2580</v>
      </c>
      <c r="E8588" t="s">
        <v>378</v>
      </c>
    </row>
    <row r="8589" spans="1:5" x14ac:dyDescent="0.25">
      <c r="A8589" s="279">
        <v>39279</v>
      </c>
      <c r="B8589" t="s">
        <v>338</v>
      </c>
      <c r="C8589" t="s">
        <v>60</v>
      </c>
      <c r="D8589">
        <v>0</v>
      </c>
      <c r="E8589" t="s">
        <v>379</v>
      </c>
    </row>
    <row r="8590" spans="1:5" x14ac:dyDescent="0.25">
      <c r="A8590" s="279">
        <v>39279</v>
      </c>
      <c r="B8590" t="s">
        <v>338</v>
      </c>
      <c r="C8590" t="s">
        <v>61</v>
      </c>
      <c r="D8590">
        <v>13188</v>
      </c>
      <c r="E8590" t="s">
        <v>378</v>
      </c>
    </row>
    <row r="8591" spans="1:5" x14ac:dyDescent="0.25">
      <c r="A8591" s="279">
        <v>39279</v>
      </c>
      <c r="B8591" t="s">
        <v>338</v>
      </c>
      <c r="C8591" t="s">
        <v>62</v>
      </c>
      <c r="D8591">
        <v>0</v>
      </c>
      <c r="E8591" t="s">
        <v>380</v>
      </c>
    </row>
    <row r="8592" spans="1:5" x14ac:dyDescent="0.25">
      <c r="A8592" s="279">
        <v>39279</v>
      </c>
      <c r="B8592" t="s">
        <v>338</v>
      </c>
      <c r="C8592" t="s">
        <v>63</v>
      </c>
      <c r="D8592">
        <v>0</v>
      </c>
      <c r="E8592" t="s">
        <v>378</v>
      </c>
    </row>
    <row r="8593" spans="1:5" x14ac:dyDescent="0.25">
      <c r="A8593" s="279">
        <v>39279</v>
      </c>
      <c r="B8593" t="s">
        <v>338</v>
      </c>
      <c r="C8593" t="s">
        <v>64</v>
      </c>
      <c r="D8593">
        <v>0</v>
      </c>
      <c r="E8593" t="s">
        <v>380</v>
      </c>
    </row>
    <row r="8594" spans="1:5" x14ac:dyDescent="0.25">
      <c r="A8594" s="279">
        <v>39279</v>
      </c>
      <c r="B8594" t="s">
        <v>338</v>
      </c>
      <c r="C8594" t="s">
        <v>65</v>
      </c>
      <c r="D8594">
        <v>0</v>
      </c>
      <c r="E8594" t="s">
        <v>378</v>
      </c>
    </row>
    <row r="8595" spans="1:5" x14ac:dyDescent="0.25">
      <c r="A8595" s="279">
        <v>39279</v>
      </c>
      <c r="B8595" t="s">
        <v>338</v>
      </c>
      <c r="C8595" t="s">
        <v>66</v>
      </c>
      <c r="D8595">
        <v>0</v>
      </c>
      <c r="E8595" t="s">
        <v>380</v>
      </c>
    </row>
    <row r="8596" spans="1:5" x14ac:dyDescent="0.25">
      <c r="A8596" s="279">
        <v>39279</v>
      </c>
      <c r="B8596" t="s">
        <v>338</v>
      </c>
      <c r="C8596" t="s">
        <v>120</v>
      </c>
      <c r="D8596">
        <v>6821</v>
      </c>
      <c r="E8596" t="s">
        <v>378</v>
      </c>
    </row>
    <row r="8597" spans="1:5" x14ac:dyDescent="0.25">
      <c r="A8597" s="279">
        <v>39279</v>
      </c>
      <c r="B8597" t="s">
        <v>338</v>
      </c>
      <c r="C8597" t="s">
        <v>121</v>
      </c>
      <c r="D8597">
        <v>0</v>
      </c>
      <c r="E8597" t="s">
        <v>380</v>
      </c>
    </row>
    <row r="8598" spans="1:5" x14ac:dyDescent="0.25">
      <c r="A8598" s="279">
        <v>39279</v>
      </c>
      <c r="B8598" t="s">
        <v>338</v>
      </c>
      <c r="C8598" t="s">
        <v>67</v>
      </c>
      <c r="D8598">
        <v>0</v>
      </c>
      <c r="E8598" t="s">
        <v>378</v>
      </c>
    </row>
    <row r="8599" spans="1:5" x14ac:dyDescent="0.25">
      <c r="A8599" s="279">
        <v>39279</v>
      </c>
      <c r="B8599" t="s">
        <v>338</v>
      </c>
      <c r="C8599" t="s">
        <v>68</v>
      </c>
      <c r="D8599">
        <v>0</v>
      </c>
      <c r="E8599" t="s">
        <v>380</v>
      </c>
    </row>
    <row r="8600" spans="1:5" x14ac:dyDescent="0.25">
      <c r="A8600" s="279">
        <v>39279</v>
      </c>
      <c r="B8600" t="s">
        <v>338</v>
      </c>
      <c r="C8600" t="s">
        <v>69</v>
      </c>
      <c r="D8600">
        <v>0</v>
      </c>
      <c r="E8600" t="s">
        <v>379</v>
      </c>
    </row>
    <row r="8601" spans="1:5" x14ac:dyDescent="0.25">
      <c r="A8601" s="279">
        <v>39279</v>
      </c>
      <c r="B8601" t="s">
        <v>338</v>
      </c>
      <c r="C8601" t="s">
        <v>70</v>
      </c>
      <c r="D8601">
        <v>0</v>
      </c>
      <c r="E8601" t="s">
        <v>379</v>
      </c>
    </row>
    <row r="8602" spans="1:5" x14ac:dyDescent="0.25">
      <c r="A8602" s="279">
        <v>39279</v>
      </c>
      <c r="B8602" t="s">
        <v>338</v>
      </c>
      <c r="C8602" t="s">
        <v>80</v>
      </c>
      <c r="D8602">
        <v>186</v>
      </c>
      <c r="E8602" t="s">
        <v>379</v>
      </c>
    </row>
    <row r="8603" spans="1:5" x14ac:dyDescent="0.25">
      <c r="A8603" s="279">
        <v>39279</v>
      </c>
      <c r="B8603" t="s">
        <v>339</v>
      </c>
      <c r="C8603" t="s">
        <v>71</v>
      </c>
      <c r="D8603">
        <v>1910</v>
      </c>
      <c r="E8603" t="s">
        <v>378</v>
      </c>
    </row>
    <row r="8604" spans="1:5" x14ac:dyDescent="0.25">
      <c r="A8604" s="279">
        <v>39279</v>
      </c>
      <c r="B8604" t="s">
        <v>339</v>
      </c>
      <c r="C8604" t="s">
        <v>72</v>
      </c>
      <c r="D8604">
        <v>0</v>
      </c>
      <c r="E8604" t="s">
        <v>380</v>
      </c>
    </row>
    <row r="8605" spans="1:5" x14ac:dyDescent="0.25">
      <c r="A8605" s="279">
        <v>39279</v>
      </c>
      <c r="B8605" t="s">
        <v>339</v>
      </c>
      <c r="C8605" t="s">
        <v>73</v>
      </c>
      <c r="D8605">
        <v>16979</v>
      </c>
      <c r="E8605" t="s">
        <v>378</v>
      </c>
    </row>
    <row r="8606" spans="1:5" x14ac:dyDescent="0.25">
      <c r="A8606" s="279">
        <v>39279</v>
      </c>
      <c r="B8606" t="s">
        <v>339</v>
      </c>
      <c r="C8606" t="s">
        <v>74</v>
      </c>
      <c r="D8606">
        <v>0</v>
      </c>
      <c r="E8606" t="s">
        <v>380</v>
      </c>
    </row>
    <row r="8607" spans="1:5" x14ac:dyDescent="0.25">
      <c r="A8607" s="279">
        <v>39279</v>
      </c>
      <c r="B8607" t="s">
        <v>339</v>
      </c>
      <c r="C8607" t="s">
        <v>75</v>
      </c>
      <c r="D8607">
        <v>15242</v>
      </c>
      <c r="E8607" t="s">
        <v>378</v>
      </c>
    </row>
    <row r="8608" spans="1:5" x14ac:dyDescent="0.25">
      <c r="A8608" s="279">
        <v>39279</v>
      </c>
      <c r="B8608" t="s">
        <v>339</v>
      </c>
      <c r="C8608" t="s">
        <v>76</v>
      </c>
      <c r="D8608">
        <v>6048</v>
      </c>
      <c r="E8608" t="s">
        <v>380</v>
      </c>
    </row>
    <row r="8609" spans="1:5" x14ac:dyDescent="0.25">
      <c r="A8609" s="279">
        <v>39279</v>
      </c>
      <c r="B8609" t="s">
        <v>339</v>
      </c>
      <c r="C8609" t="s">
        <v>77</v>
      </c>
      <c r="D8609">
        <v>7268</v>
      </c>
      <c r="E8609" t="s">
        <v>378</v>
      </c>
    </row>
    <row r="8610" spans="1:5" x14ac:dyDescent="0.25">
      <c r="A8610" s="279">
        <v>39279</v>
      </c>
      <c r="B8610" t="s">
        <v>339</v>
      </c>
      <c r="C8610" t="s">
        <v>78</v>
      </c>
      <c r="D8610">
        <v>0</v>
      </c>
      <c r="E8610" t="s">
        <v>380</v>
      </c>
    </row>
    <row r="8611" spans="1:5" x14ac:dyDescent="0.25">
      <c r="A8611" s="279">
        <v>39279</v>
      </c>
      <c r="B8611" t="s">
        <v>339</v>
      </c>
      <c r="C8611" t="s">
        <v>79</v>
      </c>
      <c r="D8611">
        <v>92673</v>
      </c>
      <c r="E8611" t="s">
        <v>379</v>
      </c>
    </row>
    <row r="8612" spans="1:5" x14ac:dyDescent="0.25">
      <c r="A8612" s="279">
        <v>39279</v>
      </c>
      <c r="B8612" t="s">
        <v>339</v>
      </c>
      <c r="C8612" t="s">
        <v>70</v>
      </c>
      <c r="D8612">
        <v>0</v>
      </c>
      <c r="E8612" t="s">
        <v>379</v>
      </c>
    </row>
    <row r="8613" spans="1:5" x14ac:dyDescent="0.25">
      <c r="A8613" s="279">
        <v>39279</v>
      </c>
      <c r="B8613" t="s">
        <v>339</v>
      </c>
      <c r="C8613" t="s">
        <v>63</v>
      </c>
      <c r="D8613">
        <v>17303</v>
      </c>
      <c r="E8613" t="s">
        <v>378</v>
      </c>
    </row>
    <row r="8614" spans="1:5" x14ac:dyDescent="0.25">
      <c r="A8614" s="279">
        <v>39279</v>
      </c>
      <c r="B8614" t="s">
        <v>339</v>
      </c>
      <c r="C8614" t="s">
        <v>80</v>
      </c>
      <c r="D8614">
        <v>796</v>
      </c>
      <c r="E8614" t="s">
        <v>379</v>
      </c>
    </row>
    <row r="8615" spans="1:5" x14ac:dyDescent="0.25">
      <c r="A8615" s="279">
        <v>39280</v>
      </c>
      <c r="B8615" t="s">
        <v>338</v>
      </c>
      <c r="C8615" t="s">
        <v>59</v>
      </c>
      <c r="D8615">
        <v>2580</v>
      </c>
      <c r="E8615" t="s">
        <v>378</v>
      </c>
    </row>
    <row r="8616" spans="1:5" x14ac:dyDescent="0.25">
      <c r="A8616" s="279">
        <v>39280</v>
      </c>
      <c r="B8616" t="s">
        <v>338</v>
      </c>
      <c r="C8616" t="s">
        <v>60</v>
      </c>
      <c r="D8616">
        <v>0</v>
      </c>
      <c r="E8616" t="s">
        <v>379</v>
      </c>
    </row>
    <row r="8617" spans="1:5" x14ac:dyDescent="0.25">
      <c r="A8617" s="279">
        <v>39280</v>
      </c>
      <c r="B8617" t="s">
        <v>338</v>
      </c>
      <c r="C8617" t="s">
        <v>61</v>
      </c>
      <c r="D8617">
        <v>13188</v>
      </c>
      <c r="E8617" t="s">
        <v>378</v>
      </c>
    </row>
    <row r="8618" spans="1:5" x14ac:dyDescent="0.25">
      <c r="A8618" s="279">
        <v>39280</v>
      </c>
      <c r="B8618" t="s">
        <v>338</v>
      </c>
      <c r="C8618" t="s">
        <v>62</v>
      </c>
      <c r="D8618">
        <v>0</v>
      </c>
      <c r="E8618" t="s">
        <v>380</v>
      </c>
    </row>
    <row r="8619" spans="1:5" x14ac:dyDescent="0.25">
      <c r="A8619" s="279">
        <v>39280</v>
      </c>
      <c r="B8619" t="s">
        <v>338</v>
      </c>
      <c r="C8619" t="s">
        <v>63</v>
      </c>
      <c r="D8619">
        <v>0</v>
      </c>
      <c r="E8619" t="s">
        <v>378</v>
      </c>
    </row>
    <row r="8620" spans="1:5" x14ac:dyDescent="0.25">
      <c r="A8620" s="279">
        <v>39280</v>
      </c>
      <c r="B8620" t="s">
        <v>338</v>
      </c>
      <c r="C8620" t="s">
        <v>64</v>
      </c>
      <c r="D8620">
        <v>0</v>
      </c>
      <c r="E8620" t="s">
        <v>380</v>
      </c>
    </row>
    <row r="8621" spans="1:5" x14ac:dyDescent="0.25">
      <c r="A8621" s="279">
        <v>39280</v>
      </c>
      <c r="B8621" t="s">
        <v>338</v>
      </c>
      <c r="C8621" t="s">
        <v>65</v>
      </c>
      <c r="D8621">
        <v>0</v>
      </c>
      <c r="E8621" t="s">
        <v>378</v>
      </c>
    </row>
    <row r="8622" spans="1:5" x14ac:dyDescent="0.25">
      <c r="A8622" s="279">
        <v>39280</v>
      </c>
      <c r="B8622" t="s">
        <v>338</v>
      </c>
      <c r="C8622" t="s">
        <v>66</v>
      </c>
      <c r="D8622">
        <v>0</v>
      </c>
      <c r="E8622" t="s">
        <v>380</v>
      </c>
    </row>
    <row r="8623" spans="1:5" x14ac:dyDescent="0.25">
      <c r="A8623" s="279">
        <v>39280</v>
      </c>
      <c r="B8623" t="s">
        <v>338</v>
      </c>
      <c r="C8623" t="s">
        <v>120</v>
      </c>
      <c r="D8623">
        <v>6811</v>
      </c>
      <c r="E8623" t="s">
        <v>378</v>
      </c>
    </row>
    <row r="8624" spans="1:5" x14ac:dyDescent="0.25">
      <c r="A8624" s="279">
        <v>39280</v>
      </c>
      <c r="B8624" t="s">
        <v>338</v>
      </c>
      <c r="C8624" t="s">
        <v>121</v>
      </c>
      <c r="D8624">
        <v>0</v>
      </c>
      <c r="E8624" t="s">
        <v>380</v>
      </c>
    </row>
    <row r="8625" spans="1:5" x14ac:dyDescent="0.25">
      <c r="A8625" s="279">
        <v>39280</v>
      </c>
      <c r="B8625" t="s">
        <v>338</v>
      </c>
      <c r="C8625" t="s">
        <v>67</v>
      </c>
      <c r="D8625">
        <v>0</v>
      </c>
      <c r="E8625" t="s">
        <v>378</v>
      </c>
    </row>
    <row r="8626" spans="1:5" x14ac:dyDescent="0.25">
      <c r="A8626" s="279">
        <v>39280</v>
      </c>
      <c r="B8626" t="s">
        <v>338</v>
      </c>
      <c r="C8626" t="s">
        <v>68</v>
      </c>
      <c r="D8626">
        <v>0</v>
      </c>
      <c r="E8626" t="s">
        <v>380</v>
      </c>
    </row>
    <row r="8627" spans="1:5" x14ac:dyDescent="0.25">
      <c r="A8627" s="279">
        <v>39280</v>
      </c>
      <c r="B8627" t="s">
        <v>338</v>
      </c>
      <c r="C8627" t="s">
        <v>69</v>
      </c>
      <c r="D8627">
        <v>0</v>
      </c>
      <c r="E8627" t="s">
        <v>379</v>
      </c>
    </row>
    <row r="8628" spans="1:5" x14ac:dyDescent="0.25">
      <c r="A8628" s="279">
        <v>39280</v>
      </c>
      <c r="B8628" t="s">
        <v>338</v>
      </c>
      <c r="C8628" t="s">
        <v>70</v>
      </c>
      <c r="D8628">
        <v>0</v>
      </c>
      <c r="E8628" t="s">
        <v>379</v>
      </c>
    </row>
    <row r="8629" spans="1:5" x14ac:dyDescent="0.25">
      <c r="A8629" s="279">
        <v>39280</v>
      </c>
      <c r="B8629" t="s">
        <v>338</v>
      </c>
      <c r="C8629" t="s">
        <v>80</v>
      </c>
      <c r="D8629">
        <v>186</v>
      </c>
      <c r="E8629" t="s">
        <v>379</v>
      </c>
    </row>
    <row r="8630" spans="1:5" x14ac:dyDescent="0.25">
      <c r="A8630" s="279">
        <v>39280</v>
      </c>
      <c r="B8630" t="s">
        <v>339</v>
      </c>
      <c r="C8630" t="s">
        <v>71</v>
      </c>
      <c r="D8630">
        <v>1912</v>
      </c>
      <c r="E8630" t="s">
        <v>378</v>
      </c>
    </row>
    <row r="8631" spans="1:5" x14ac:dyDescent="0.25">
      <c r="A8631" s="279">
        <v>39280</v>
      </c>
      <c r="B8631" t="s">
        <v>339</v>
      </c>
      <c r="C8631" t="s">
        <v>72</v>
      </c>
      <c r="D8631">
        <v>0</v>
      </c>
      <c r="E8631" t="s">
        <v>380</v>
      </c>
    </row>
    <row r="8632" spans="1:5" x14ac:dyDescent="0.25">
      <c r="A8632" s="279">
        <v>39280</v>
      </c>
      <c r="B8632" t="s">
        <v>339</v>
      </c>
      <c r="C8632" t="s">
        <v>73</v>
      </c>
      <c r="D8632">
        <v>16996</v>
      </c>
      <c r="E8632" t="s">
        <v>378</v>
      </c>
    </row>
    <row r="8633" spans="1:5" x14ac:dyDescent="0.25">
      <c r="A8633" s="279">
        <v>39280</v>
      </c>
      <c r="B8633" t="s">
        <v>339</v>
      </c>
      <c r="C8633" t="s">
        <v>74</v>
      </c>
      <c r="D8633">
        <v>0</v>
      </c>
      <c r="E8633" t="s">
        <v>380</v>
      </c>
    </row>
    <row r="8634" spans="1:5" x14ac:dyDescent="0.25">
      <c r="A8634" s="279">
        <v>39280</v>
      </c>
      <c r="B8634" t="s">
        <v>339</v>
      </c>
      <c r="C8634" t="s">
        <v>75</v>
      </c>
      <c r="D8634">
        <v>15257</v>
      </c>
      <c r="E8634" t="s">
        <v>378</v>
      </c>
    </row>
    <row r="8635" spans="1:5" x14ac:dyDescent="0.25">
      <c r="A8635" s="279">
        <v>39280</v>
      </c>
      <c r="B8635" t="s">
        <v>339</v>
      </c>
      <c r="C8635" t="s">
        <v>76</v>
      </c>
      <c r="D8635">
        <v>4572</v>
      </c>
      <c r="E8635" t="s">
        <v>380</v>
      </c>
    </row>
    <row r="8636" spans="1:5" x14ac:dyDescent="0.25">
      <c r="A8636" s="279">
        <v>39280</v>
      </c>
      <c r="B8636" t="s">
        <v>339</v>
      </c>
      <c r="C8636" t="s">
        <v>77</v>
      </c>
      <c r="D8636">
        <v>7275</v>
      </c>
      <c r="E8636" t="s">
        <v>378</v>
      </c>
    </row>
    <row r="8637" spans="1:5" x14ac:dyDescent="0.25">
      <c r="A8637" s="279">
        <v>39280</v>
      </c>
      <c r="B8637" t="s">
        <v>339</v>
      </c>
      <c r="C8637" t="s">
        <v>78</v>
      </c>
      <c r="D8637">
        <v>0</v>
      </c>
      <c r="E8637" t="s">
        <v>380</v>
      </c>
    </row>
    <row r="8638" spans="1:5" x14ac:dyDescent="0.25">
      <c r="A8638" s="279">
        <v>39280</v>
      </c>
      <c r="B8638" t="s">
        <v>339</v>
      </c>
      <c r="C8638" t="s">
        <v>79</v>
      </c>
      <c r="D8638">
        <v>92763</v>
      </c>
      <c r="E8638" t="s">
        <v>379</v>
      </c>
    </row>
    <row r="8639" spans="1:5" x14ac:dyDescent="0.25">
      <c r="A8639" s="279">
        <v>39280</v>
      </c>
      <c r="B8639" t="s">
        <v>339</v>
      </c>
      <c r="C8639" t="s">
        <v>70</v>
      </c>
      <c r="D8639">
        <v>0</v>
      </c>
      <c r="E8639" t="s">
        <v>379</v>
      </c>
    </row>
    <row r="8640" spans="1:5" x14ac:dyDescent="0.25">
      <c r="A8640" s="279">
        <v>39280</v>
      </c>
      <c r="B8640" t="s">
        <v>339</v>
      </c>
      <c r="C8640" t="s">
        <v>63</v>
      </c>
      <c r="D8640">
        <v>17319</v>
      </c>
      <c r="E8640" t="s">
        <v>378</v>
      </c>
    </row>
    <row r="8641" spans="1:5" x14ac:dyDescent="0.25">
      <c r="A8641" s="279">
        <v>39280</v>
      </c>
      <c r="B8641" t="s">
        <v>339</v>
      </c>
      <c r="C8641" t="s">
        <v>80</v>
      </c>
      <c r="D8641">
        <v>797</v>
      </c>
      <c r="E8641" t="s">
        <v>379</v>
      </c>
    </row>
    <row r="8642" spans="1:5" x14ac:dyDescent="0.25">
      <c r="A8642" s="279">
        <v>39281</v>
      </c>
      <c r="B8642" t="s">
        <v>338</v>
      </c>
      <c r="C8642" t="s">
        <v>59</v>
      </c>
      <c r="D8642">
        <v>2575</v>
      </c>
      <c r="E8642" t="s">
        <v>378</v>
      </c>
    </row>
    <row r="8643" spans="1:5" x14ac:dyDescent="0.25">
      <c r="A8643" s="279">
        <v>39281</v>
      </c>
      <c r="B8643" t="s">
        <v>338</v>
      </c>
      <c r="C8643" t="s">
        <v>60</v>
      </c>
      <c r="D8643">
        <v>0</v>
      </c>
      <c r="E8643" t="s">
        <v>379</v>
      </c>
    </row>
    <row r="8644" spans="1:5" x14ac:dyDescent="0.25">
      <c r="A8644" s="279">
        <v>39281</v>
      </c>
      <c r="B8644" t="s">
        <v>338</v>
      </c>
      <c r="C8644" t="s">
        <v>61</v>
      </c>
      <c r="D8644">
        <v>13162</v>
      </c>
      <c r="E8644" t="s">
        <v>378</v>
      </c>
    </row>
    <row r="8645" spans="1:5" x14ac:dyDescent="0.25">
      <c r="A8645" s="279">
        <v>39281</v>
      </c>
      <c r="B8645" t="s">
        <v>338</v>
      </c>
      <c r="C8645" t="s">
        <v>62</v>
      </c>
      <c r="D8645">
        <v>0</v>
      </c>
      <c r="E8645" t="s">
        <v>380</v>
      </c>
    </row>
    <row r="8646" spans="1:5" x14ac:dyDescent="0.25">
      <c r="A8646" s="279">
        <v>39281</v>
      </c>
      <c r="B8646" t="s">
        <v>338</v>
      </c>
      <c r="C8646" t="s">
        <v>63</v>
      </c>
      <c r="D8646">
        <v>0</v>
      </c>
      <c r="E8646" t="s">
        <v>378</v>
      </c>
    </row>
    <row r="8647" spans="1:5" x14ac:dyDescent="0.25">
      <c r="A8647" s="279">
        <v>39281</v>
      </c>
      <c r="B8647" t="s">
        <v>338</v>
      </c>
      <c r="C8647" t="s">
        <v>64</v>
      </c>
      <c r="D8647">
        <v>0</v>
      </c>
      <c r="E8647" t="s">
        <v>380</v>
      </c>
    </row>
    <row r="8648" spans="1:5" x14ac:dyDescent="0.25">
      <c r="A8648" s="279">
        <v>39281</v>
      </c>
      <c r="B8648" t="s">
        <v>338</v>
      </c>
      <c r="C8648" t="s">
        <v>65</v>
      </c>
      <c r="D8648">
        <v>0</v>
      </c>
      <c r="E8648" t="s">
        <v>378</v>
      </c>
    </row>
    <row r="8649" spans="1:5" x14ac:dyDescent="0.25">
      <c r="A8649" s="279">
        <v>39281</v>
      </c>
      <c r="B8649" t="s">
        <v>338</v>
      </c>
      <c r="C8649" t="s">
        <v>66</v>
      </c>
      <c r="D8649">
        <v>0</v>
      </c>
      <c r="E8649" t="s">
        <v>380</v>
      </c>
    </row>
    <row r="8650" spans="1:5" x14ac:dyDescent="0.25">
      <c r="A8650" s="279">
        <v>39281</v>
      </c>
      <c r="B8650" t="s">
        <v>338</v>
      </c>
      <c r="C8650" t="s">
        <v>120</v>
      </c>
      <c r="D8650">
        <v>6807</v>
      </c>
      <c r="E8650" t="s">
        <v>378</v>
      </c>
    </row>
    <row r="8651" spans="1:5" x14ac:dyDescent="0.25">
      <c r="A8651" s="279">
        <v>39281</v>
      </c>
      <c r="B8651" t="s">
        <v>338</v>
      </c>
      <c r="C8651" t="s">
        <v>121</v>
      </c>
      <c r="D8651">
        <v>0</v>
      </c>
      <c r="E8651" t="s">
        <v>380</v>
      </c>
    </row>
    <row r="8652" spans="1:5" x14ac:dyDescent="0.25">
      <c r="A8652" s="279">
        <v>39281</v>
      </c>
      <c r="B8652" t="s">
        <v>338</v>
      </c>
      <c r="C8652" t="s">
        <v>67</v>
      </c>
      <c r="D8652">
        <v>0</v>
      </c>
      <c r="E8652" t="s">
        <v>378</v>
      </c>
    </row>
    <row r="8653" spans="1:5" x14ac:dyDescent="0.25">
      <c r="A8653" s="279">
        <v>39281</v>
      </c>
      <c r="B8653" t="s">
        <v>338</v>
      </c>
      <c r="C8653" t="s">
        <v>68</v>
      </c>
      <c r="D8653">
        <v>0</v>
      </c>
      <c r="E8653" t="s">
        <v>380</v>
      </c>
    </row>
    <row r="8654" spans="1:5" x14ac:dyDescent="0.25">
      <c r="A8654" s="279">
        <v>39281</v>
      </c>
      <c r="B8654" t="s">
        <v>338</v>
      </c>
      <c r="C8654" t="s">
        <v>69</v>
      </c>
      <c r="D8654">
        <v>0</v>
      </c>
      <c r="E8654" t="s">
        <v>379</v>
      </c>
    </row>
    <row r="8655" spans="1:5" x14ac:dyDescent="0.25">
      <c r="A8655" s="279">
        <v>39281</v>
      </c>
      <c r="B8655" t="s">
        <v>338</v>
      </c>
      <c r="C8655" t="s">
        <v>70</v>
      </c>
      <c r="D8655">
        <v>0</v>
      </c>
      <c r="E8655" t="s">
        <v>379</v>
      </c>
    </row>
    <row r="8656" spans="1:5" x14ac:dyDescent="0.25">
      <c r="A8656" s="279">
        <v>39281</v>
      </c>
      <c r="B8656" t="s">
        <v>338</v>
      </c>
      <c r="C8656" t="s">
        <v>80</v>
      </c>
      <c r="D8656">
        <v>186</v>
      </c>
      <c r="E8656" t="s">
        <v>379</v>
      </c>
    </row>
    <row r="8657" spans="1:5" x14ac:dyDescent="0.25">
      <c r="A8657" s="279">
        <v>39281</v>
      </c>
      <c r="B8657" t="s">
        <v>339</v>
      </c>
      <c r="C8657" t="s">
        <v>71</v>
      </c>
      <c r="D8657">
        <v>1910</v>
      </c>
      <c r="E8657" t="s">
        <v>378</v>
      </c>
    </row>
    <row r="8658" spans="1:5" x14ac:dyDescent="0.25">
      <c r="A8658" s="279">
        <v>39281</v>
      </c>
      <c r="B8658" t="s">
        <v>339</v>
      </c>
      <c r="C8658" t="s">
        <v>72</v>
      </c>
      <c r="D8658">
        <v>0</v>
      </c>
      <c r="E8658" t="s">
        <v>380</v>
      </c>
    </row>
    <row r="8659" spans="1:5" x14ac:dyDescent="0.25">
      <c r="A8659" s="279">
        <v>39281</v>
      </c>
      <c r="B8659" t="s">
        <v>339</v>
      </c>
      <c r="C8659" t="s">
        <v>73</v>
      </c>
      <c r="D8659">
        <v>16979</v>
      </c>
      <c r="E8659" t="s">
        <v>378</v>
      </c>
    </row>
    <row r="8660" spans="1:5" x14ac:dyDescent="0.25">
      <c r="A8660" s="279">
        <v>39281</v>
      </c>
      <c r="B8660" t="s">
        <v>339</v>
      </c>
      <c r="C8660" t="s">
        <v>74</v>
      </c>
      <c r="D8660">
        <v>0</v>
      </c>
      <c r="E8660" t="s">
        <v>380</v>
      </c>
    </row>
    <row r="8661" spans="1:5" x14ac:dyDescent="0.25">
      <c r="A8661" s="279">
        <v>39281</v>
      </c>
      <c r="B8661" t="s">
        <v>339</v>
      </c>
      <c r="C8661" t="s">
        <v>75</v>
      </c>
      <c r="D8661">
        <v>15242</v>
      </c>
      <c r="E8661" t="s">
        <v>378</v>
      </c>
    </row>
    <row r="8662" spans="1:5" x14ac:dyDescent="0.25">
      <c r="A8662" s="279">
        <v>39281</v>
      </c>
      <c r="B8662" t="s">
        <v>339</v>
      </c>
      <c r="C8662" t="s">
        <v>76</v>
      </c>
      <c r="D8662">
        <v>5117</v>
      </c>
      <c r="E8662" t="s">
        <v>380</v>
      </c>
    </row>
    <row r="8663" spans="1:5" x14ac:dyDescent="0.25">
      <c r="A8663" s="279">
        <v>39281</v>
      </c>
      <c r="B8663" t="s">
        <v>339</v>
      </c>
      <c r="C8663" t="s">
        <v>77</v>
      </c>
      <c r="D8663">
        <v>7268</v>
      </c>
      <c r="E8663" t="s">
        <v>378</v>
      </c>
    </row>
    <row r="8664" spans="1:5" x14ac:dyDescent="0.25">
      <c r="A8664" s="279">
        <v>39281</v>
      </c>
      <c r="B8664" t="s">
        <v>339</v>
      </c>
      <c r="C8664" t="s">
        <v>78</v>
      </c>
      <c r="D8664">
        <v>0</v>
      </c>
      <c r="E8664" t="s">
        <v>380</v>
      </c>
    </row>
    <row r="8665" spans="1:5" x14ac:dyDescent="0.25">
      <c r="A8665" s="279">
        <v>39281</v>
      </c>
      <c r="B8665" t="s">
        <v>339</v>
      </c>
      <c r="C8665" t="s">
        <v>79</v>
      </c>
      <c r="D8665">
        <v>92673</v>
      </c>
      <c r="E8665" t="s">
        <v>379</v>
      </c>
    </row>
    <row r="8666" spans="1:5" x14ac:dyDescent="0.25">
      <c r="A8666" s="279">
        <v>39281</v>
      </c>
      <c r="B8666" t="s">
        <v>339</v>
      </c>
      <c r="C8666" t="s">
        <v>70</v>
      </c>
      <c r="D8666">
        <v>0</v>
      </c>
      <c r="E8666" t="s">
        <v>379</v>
      </c>
    </row>
    <row r="8667" spans="1:5" x14ac:dyDescent="0.25">
      <c r="A8667" s="279">
        <v>39281</v>
      </c>
      <c r="B8667" t="s">
        <v>339</v>
      </c>
      <c r="C8667" t="s">
        <v>63</v>
      </c>
      <c r="D8667">
        <v>17303</v>
      </c>
      <c r="E8667" t="s">
        <v>378</v>
      </c>
    </row>
    <row r="8668" spans="1:5" x14ac:dyDescent="0.25">
      <c r="A8668" s="279">
        <v>39281</v>
      </c>
      <c r="B8668" t="s">
        <v>339</v>
      </c>
      <c r="C8668" t="s">
        <v>80</v>
      </c>
      <c r="D8668">
        <v>796</v>
      </c>
      <c r="E8668" t="s">
        <v>379</v>
      </c>
    </row>
    <row r="8669" spans="1:5" x14ac:dyDescent="0.25">
      <c r="A8669" s="279">
        <v>39282</v>
      </c>
      <c r="B8669" t="s">
        <v>338</v>
      </c>
      <c r="C8669" t="s">
        <v>59</v>
      </c>
      <c r="D8669">
        <v>2578</v>
      </c>
      <c r="E8669" t="s">
        <v>378</v>
      </c>
    </row>
    <row r="8670" spans="1:5" x14ac:dyDescent="0.25">
      <c r="A8670" s="279">
        <v>39282</v>
      </c>
      <c r="B8670" t="s">
        <v>338</v>
      </c>
      <c r="C8670" t="s">
        <v>60</v>
      </c>
      <c r="D8670">
        <v>0</v>
      </c>
      <c r="E8670" t="s">
        <v>379</v>
      </c>
    </row>
    <row r="8671" spans="1:5" x14ac:dyDescent="0.25">
      <c r="A8671" s="279">
        <v>39282</v>
      </c>
      <c r="B8671" t="s">
        <v>338</v>
      </c>
      <c r="C8671" t="s">
        <v>61</v>
      </c>
      <c r="D8671">
        <v>13175</v>
      </c>
      <c r="E8671" t="s">
        <v>378</v>
      </c>
    </row>
    <row r="8672" spans="1:5" x14ac:dyDescent="0.25">
      <c r="A8672" s="279">
        <v>39282</v>
      </c>
      <c r="B8672" t="s">
        <v>338</v>
      </c>
      <c r="C8672" t="s">
        <v>62</v>
      </c>
      <c r="D8672">
        <v>0</v>
      </c>
      <c r="E8672" t="s">
        <v>380</v>
      </c>
    </row>
    <row r="8673" spans="1:5" x14ac:dyDescent="0.25">
      <c r="A8673" s="279">
        <v>39282</v>
      </c>
      <c r="B8673" t="s">
        <v>338</v>
      </c>
      <c r="C8673" t="s">
        <v>63</v>
      </c>
      <c r="D8673">
        <v>0</v>
      </c>
      <c r="E8673" t="s">
        <v>378</v>
      </c>
    </row>
    <row r="8674" spans="1:5" x14ac:dyDescent="0.25">
      <c r="A8674" s="279">
        <v>39282</v>
      </c>
      <c r="B8674" t="s">
        <v>338</v>
      </c>
      <c r="C8674" t="s">
        <v>64</v>
      </c>
      <c r="D8674">
        <v>0</v>
      </c>
      <c r="E8674" t="s">
        <v>380</v>
      </c>
    </row>
    <row r="8675" spans="1:5" x14ac:dyDescent="0.25">
      <c r="A8675" s="279">
        <v>39282</v>
      </c>
      <c r="B8675" t="s">
        <v>338</v>
      </c>
      <c r="C8675" t="s">
        <v>65</v>
      </c>
      <c r="D8675">
        <v>0</v>
      </c>
      <c r="E8675" t="s">
        <v>378</v>
      </c>
    </row>
    <row r="8676" spans="1:5" x14ac:dyDescent="0.25">
      <c r="A8676" s="279">
        <v>39282</v>
      </c>
      <c r="B8676" t="s">
        <v>338</v>
      </c>
      <c r="C8676" t="s">
        <v>66</v>
      </c>
      <c r="D8676">
        <v>0</v>
      </c>
      <c r="E8676" t="s">
        <v>380</v>
      </c>
    </row>
    <row r="8677" spans="1:5" x14ac:dyDescent="0.25">
      <c r="A8677" s="279">
        <v>39282</v>
      </c>
      <c r="B8677" t="s">
        <v>338</v>
      </c>
      <c r="C8677" t="s">
        <v>120</v>
      </c>
      <c r="D8677">
        <v>6824</v>
      </c>
      <c r="E8677" t="s">
        <v>378</v>
      </c>
    </row>
    <row r="8678" spans="1:5" x14ac:dyDescent="0.25">
      <c r="A8678" s="279">
        <v>39282</v>
      </c>
      <c r="B8678" t="s">
        <v>338</v>
      </c>
      <c r="C8678" t="s">
        <v>121</v>
      </c>
      <c r="D8678">
        <v>0</v>
      </c>
      <c r="E8678" t="s">
        <v>380</v>
      </c>
    </row>
    <row r="8679" spans="1:5" x14ac:dyDescent="0.25">
      <c r="A8679" s="279">
        <v>39282</v>
      </c>
      <c r="B8679" t="s">
        <v>338</v>
      </c>
      <c r="C8679" t="s">
        <v>67</v>
      </c>
      <c r="D8679">
        <v>0</v>
      </c>
      <c r="E8679" t="s">
        <v>378</v>
      </c>
    </row>
    <row r="8680" spans="1:5" x14ac:dyDescent="0.25">
      <c r="A8680" s="279">
        <v>39282</v>
      </c>
      <c r="B8680" t="s">
        <v>338</v>
      </c>
      <c r="C8680" t="s">
        <v>68</v>
      </c>
      <c r="D8680">
        <v>0</v>
      </c>
      <c r="E8680" t="s">
        <v>380</v>
      </c>
    </row>
    <row r="8681" spans="1:5" x14ac:dyDescent="0.25">
      <c r="A8681" s="279">
        <v>39282</v>
      </c>
      <c r="B8681" t="s">
        <v>338</v>
      </c>
      <c r="C8681" t="s">
        <v>69</v>
      </c>
      <c r="D8681">
        <v>0</v>
      </c>
      <c r="E8681" t="s">
        <v>379</v>
      </c>
    </row>
    <row r="8682" spans="1:5" x14ac:dyDescent="0.25">
      <c r="A8682" s="279">
        <v>39282</v>
      </c>
      <c r="B8682" t="s">
        <v>338</v>
      </c>
      <c r="C8682" t="s">
        <v>70</v>
      </c>
      <c r="D8682">
        <v>0</v>
      </c>
      <c r="E8682" t="s">
        <v>379</v>
      </c>
    </row>
    <row r="8683" spans="1:5" x14ac:dyDescent="0.25">
      <c r="A8683" s="279">
        <v>39282</v>
      </c>
      <c r="B8683" t="s">
        <v>338</v>
      </c>
      <c r="C8683" t="s">
        <v>80</v>
      </c>
      <c r="D8683">
        <v>186</v>
      </c>
      <c r="E8683" t="s">
        <v>379</v>
      </c>
    </row>
    <row r="8684" spans="1:5" x14ac:dyDescent="0.25">
      <c r="A8684" s="279">
        <v>39282</v>
      </c>
      <c r="B8684" t="s">
        <v>339</v>
      </c>
      <c r="C8684" t="s">
        <v>71</v>
      </c>
      <c r="D8684">
        <v>1912</v>
      </c>
      <c r="E8684" t="s">
        <v>378</v>
      </c>
    </row>
    <row r="8685" spans="1:5" x14ac:dyDescent="0.25">
      <c r="A8685" s="279">
        <v>39282</v>
      </c>
      <c r="B8685" t="s">
        <v>339</v>
      </c>
      <c r="C8685" t="s">
        <v>72</v>
      </c>
      <c r="D8685">
        <v>0</v>
      </c>
      <c r="E8685" t="s">
        <v>380</v>
      </c>
    </row>
    <row r="8686" spans="1:5" x14ac:dyDescent="0.25">
      <c r="A8686" s="279">
        <v>39282</v>
      </c>
      <c r="B8686" t="s">
        <v>339</v>
      </c>
      <c r="C8686" t="s">
        <v>73</v>
      </c>
      <c r="D8686">
        <v>16996</v>
      </c>
      <c r="E8686" t="s">
        <v>378</v>
      </c>
    </row>
    <row r="8687" spans="1:5" x14ac:dyDescent="0.25">
      <c r="A8687" s="279">
        <v>39282</v>
      </c>
      <c r="B8687" t="s">
        <v>339</v>
      </c>
      <c r="C8687" t="s">
        <v>74</v>
      </c>
      <c r="D8687">
        <v>0</v>
      </c>
      <c r="E8687" t="s">
        <v>380</v>
      </c>
    </row>
    <row r="8688" spans="1:5" x14ac:dyDescent="0.25">
      <c r="A8688" s="279">
        <v>39282</v>
      </c>
      <c r="B8688" t="s">
        <v>339</v>
      </c>
      <c r="C8688" t="s">
        <v>75</v>
      </c>
      <c r="D8688">
        <v>15257</v>
      </c>
      <c r="E8688" t="s">
        <v>378</v>
      </c>
    </row>
    <row r="8689" spans="1:5" x14ac:dyDescent="0.25">
      <c r="A8689" s="279">
        <v>39282</v>
      </c>
      <c r="B8689" t="s">
        <v>339</v>
      </c>
      <c r="C8689" t="s">
        <v>76</v>
      </c>
      <c r="D8689">
        <v>4764</v>
      </c>
      <c r="E8689" t="s">
        <v>380</v>
      </c>
    </row>
    <row r="8690" spans="1:5" x14ac:dyDescent="0.25">
      <c r="A8690" s="279">
        <v>39282</v>
      </c>
      <c r="B8690" t="s">
        <v>339</v>
      </c>
      <c r="C8690" t="s">
        <v>77</v>
      </c>
      <c r="D8690">
        <v>7275</v>
      </c>
      <c r="E8690" t="s">
        <v>378</v>
      </c>
    </row>
    <row r="8691" spans="1:5" x14ac:dyDescent="0.25">
      <c r="A8691" s="279">
        <v>39282</v>
      </c>
      <c r="B8691" t="s">
        <v>339</v>
      </c>
      <c r="C8691" t="s">
        <v>78</v>
      </c>
      <c r="D8691">
        <v>0</v>
      </c>
      <c r="E8691" t="s">
        <v>380</v>
      </c>
    </row>
    <row r="8692" spans="1:5" x14ac:dyDescent="0.25">
      <c r="A8692" s="279">
        <v>39282</v>
      </c>
      <c r="B8692" t="s">
        <v>339</v>
      </c>
      <c r="C8692" t="s">
        <v>79</v>
      </c>
      <c r="D8692">
        <v>92281</v>
      </c>
      <c r="E8692" t="s">
        <v>379</v>
      </c>
    </row>
    <row r="8693" spans="1:5" x14ac:dyDescent="0.25">
      <c r="A8693" s="279">
        <v>39282</v>
      </c>
      <c r="B8693" t="s">
        <v>339</v>
      </c>
      <c r="C8693" t="s">
        <v>70</v>
      </c>
      <c r="D8693">
        <v>0</v>
      </c>
      <c r="E8693" t="s">
        <v>379</v>
      </c>
    </row>
    <row r="8694" spans="1:5" x14ac:dyDescent="0.25">
      <c r="A8694" s="279">
        <v>39282</v>
      </c>
      <c r="B8694" t="s">
        <v>339</v>
      </c>
      <c r="C8694" t="s">
        <v>63</v>
      </c>
      <c r="D8694">
        <v>17319</v>
      </c>
      <c r="E8694" t="s">
        <v>378</v>
      </c>
    </row>
    <row r="8695" spans="1:5" x14ac:dyDescent="0.25">
      <c r="A8695" s="279">
        <v>39282</v>
      </c>
      <c r="B8695" t="s">
        <v>339</v>
      </c>
      <c r="C8695" t="s">
        <v>80</v>
      </c>
      <c r="D8695">
        <v>797</v>
      </c>
      <c r="E8695" t="s">
        <v>379</v>
      </c>
    </row>
    <row r="8696" spans="1:5" x14ac:dyDescent="0.25">
      <c r="A8696" s="279">
        <v>39283</v>
      </c>
      <c r="B8696" t="s">
        <v>338</v>
      </c>
      <c r="C8696" t="s">
        <v>59</v>
      </c>
      <c r="D8696">
        <v>2578</v>
      </c>
      <c r="E8696" t="s">
        <v>378</v>
      </c>
    </row>
    <row r="8697" spans="1:5" x14ac:dyDescent="0.25">
      <c r="A8697" s="279">
        <v>39283</v>
      </c>
      <c r="B8697" t="s">
        <v>338</v>
      </c>
      <c r="C8697" t="s">
        <v>60</v>
      </c>
      <c r="D8697">
        <v>0</v>
      </c>
      <c r="E8697" t="s">
        <v>379</v>
      </c>
    </row>
    <row r="8698" spans="1:5" x14ac:dyDescent="0.25">
      <c r="A8698" s="279">
        <v>39283</v>
      </c>
      <c r="B8698" t="s">
        <v>338</v>
      </c>
      <c r="C8698" t="s">
        <v>61</v>
      </c>
      <c r="D8698">
        <v>13175</v>
      </c>
      <c r="E8698" t="s">
        <v>378</v>
      </c>
    </row>
    <row r="8699" spans="1:5" x14ac:dyDescent="0.25">
      <c r="A8699" s="279">
        <v>39283</v>
      </c>
      <c r="B8699" t="s">
        <v>338</v>
      </c>
      <c r="C8699" t="s">
        <v>62</v>
      </c>
      <c r="D8699">
        <v>0</v>
      </c>
      <c r="E8699" t="s">
        <v>380</v>
      </c>
    </row>
    <row r="8700" spans="1:5" x14ac:dyDescent="0.25">
      <c r="A8700" s="279">
        <v>39283</v>
      </c>
      <c r="B8700" t="s">
        <v>338</v>
      </c>
      <c r="C8700" t="s">
        <v>63</v>
      </c>
      <c r="D8700">
        <v>0</v>
      </c>
      <c r="E8700" t="s">
        <v>378</v>
      </c>
    </row>
    <row r="8701" spans="1:5" x14ac:dyDescent="0.25">
      <c r="A8701" s="279">
        <v>39283</v>
      </c>
      <c r="B8701" t="s">
        <v>338</v>
      </c>
      <c r="C8701" t="s">
        <v>64</v>
      </c>
      <c r="D8701">
        <v>0</v>
      </c>
      <c r="E8701" t="s">
        <v>380</v>
      </c>
    </row>
    <row r="8702" spans="1:5" x14ac:dyDescent="0.25">
      <c r="A8702" s="279">
        <v>39283</v>
      </c>
      <c r="B8702" t="s">
        <v>338</v>
      </c>
      <c r="C8702" t="s">
        <v>65</v>
      </c>
      <c r="D8702">
        <v>0</v>
      </c>
      <c r="E8702" t="s">
        <v>378</v>
      </c>
    </row>
    <row r="8703" spans="1:5" x14ac:dyDescent="0.25">
      <c r="A8703" s="279">
        <v>39283</v>
      </c>
      <c r="B8703" t="s">
        <v>338</v>
      </c>
      <c r="C8703" t="s">
        <v>66</v>
      </c>
      <c r="D8703">
        <v>0</v>
      </c>
      <c r="E8703" t="s">
        <v>380</v>
      </c>
    </row>
    <row r="8704" spans="1:5" x14ac:dyDescent="0.25">
      <c r="A8704" s="279">
        <v>39283</v>
      </c>
      <c r="B8704" t="s">
        <v>338</v>
      </c>
      <c r="C8704" t="s">
        <v>120</v>
      </c>
      <c r="D8704">
        <v>6833</v>
      </c>
      <c r="E8704" t="s">
        <v>378</v>
      </c>
    </row>
    <row r="8705" spans="1:5" x14ac:dyDescent="0.25">
      <c r="A8705" s="279">
        <v>39283</v>
      </c>
      <c r="B8705" t="s">
        <v>338</v>
      </c>
      <c r="C8705" t="s">
        <v>121</v>
      </c>
      <c r="D8705">
        <v>0</v>
      </c>
      <c r="E8705" t="s">
        <v>380</v>
      </c>
    </row>
    <row r="8706" spans="1:5" x14ac:dyDescent="0.25">
      <c r="A8706" s="279">
        <v>39283</v>
      </c>
      <c r="B8706" t="s">
        <v>338</v>
      </c>
      <c r="C8706" t="s">
        <v>67</v>
      </c>
      <c r="D8706">
        <v>0</v>
      </c>
      <c r="E8706" t="s">
        <v>378</v>
      </c>
    </row>
    <row r="8707" spans="1:5" x14ac:dyDescent="0.25">
      <c r="A8707" s="279">
        <v>39283</v>
      </c>
      <c r="B8707" t="s">
        <v>338</v>
      </c>
      <c r="C8707" t="s">
        <v>68</v>
      </c>
      <c r="D8707">
        <v>0</v>
      </c>
      <c r="E8707" t="s">
        <v>380</v>
      </c>
    </row>
    <row r="8708" spans="1:5" x14ac:dyDescent="0.25">
      <c r="A8708" s="279">
        <v>39283</v>
      </c>
      <c r="B8708" t="s">
        <v>338</v>
      </c>
      <c r="C8708" t="s">
        <v>69</v>
      </c>
      <c r="D8708">
        <v>0</v>
      </c>
      <c r="E8708" t="s">
        <v>379</v>
      </c>
    </row>
    <row r="8709" spans="1:5" x14ac:dyDescent="0.25">
      <c r="A8709" s="279">
        <v>39283</v>
      </c>
      <c r="B8709" t="s">
        <v>338</v>
      </c>
      <c r="C8709" t="s">
        <v>70</v>
      </c>
      <c r="D8709">
        <v>0</v>
      </c>
      <c r="E8709" t="s">
        <v>379</v>
      </c>
    </row>
    <row r="8710" spans="1:5" x14ac:dyDescent="0.25">
      <c r="A8710" s="279">
        <v>39283</v>
      </c>
      <c r="B8710" t="s">
        <v>338</v>
      </c>
      <c r="C8710" t="s">
        <v>80</v>
      </c>
      <c r="D8710">
        <v>186</v>
      </c>
      <c r="E8710" t="s">
        <v>379</v>
      </c>
    </row>
    <row r="8711" spans="1:5" x14ac:dyDescent="0.25">
      <c r="A8711" s="279">
        <v>39283</v>
      </c>
      <c r="B8711" t="s">
        <v>339</v>
      </c>
      <c r="C8711" t="s">
        <v>71</v>
      </c>
      <c r="D8711">
        <v>1910</v>
      </c>
      <c r="E8711" t="s">
        <v>378</v>
      </c>
    </row>
    <row r="8712" spans="1:5" x14ac:dyDescent="0.25">
      <c r="A8712" s="279">
        <v>39283</v>
      </c>
      <c r="B8712" t="s">
        <v>339</v>
      </c>
      <c r="C8712" t="s">
        <v>72</v>
      </c>
      <c r="D8712">
        <v>0</v>
      </c>
      <c r="E8712" t="s">
        <v>380</v>
      </c>
    </row>
    <row r="8713" spans="1:5" x14ac:dyDescent="0.25">
      <c r="A8713" s="279">
        <v>39283</v>
      </c>
      <c r="B8713" t="s">
        <v>339</v>
      </c>
      <c r="C8713" t="s">
        <v>73</v>
      </c>
      <c r="D8713">
        <v>16979</v>
      </c>
      <c r="E8713" t="s">
        <v>378</v>
      </c>
    </row>
    <row r="8714" spans="1:5" x14ac:dyDescent="0.25">
      <c r="A8714" s="279">
        <v>39283</v>
      </c>
      <c r="B8714" t="s">
        <v>339</v>
      </c>
      <c r="C8714" t="s">
        <v>74</v>
      </c>
      <c r="D8714">
        <v>0</v>
      </c>
      <c r="E8714" t="s">
        <v>380</v>
      </c>
    </row>
    <row r="8715" spans="1:5" x14ac:dyDescent="0.25">
      <c r="A8715" s="279">
        <v>39283</v>
      </c>
      <c r="B8715" t="s">
        <v>339</v>
      </c>
      <c r="C8715" t="s">
        <v>75</v>
      </c>
      <c r="D8715">
        <v>15242</v>
      </c>
      <c r="E8715" t="s">
        <v>378</v>
      </c>
    </row>
    <row r="8716" spans="1:5" x14ac:dyDescent="0.25">
      <c r="A8716" s="279">
        <v>39283</v>
      </c>
      <c r="B8716" t="s">
        <v>339</v>
      </c>
      <c r="C8716" t="s">
        <v>76</v>
      </c>
      <c r="D8716">
        <v>5396</v>
      </c>
      <c r="E8716" t="s">
        <v>380</v>
      </c>
    </row>
    <row r="8717" spans="1:5" x14ac:dyDescent="0.25">
      <c r="A8717" s="279">
        <v>39283</v>
      </c>
      <c r="B8717" t="s">
        <v>339</v>
      </c>
      <c r="C8717" t="s">
        <v>77</v>
      </c>
      <c r="D8717">
        <v>7268</v>
      </c>
      <c r="E8717" t="s">
        <v>378</v>
      </c>
    </row>
    <row r="8718" spans="1:5" x14ac:dyDescent="0.25">
      <c r="A8718" s="279">
        <v>39283</v>
      </c>
      <c r="B8718" t="s">
        <v>339</v>
      </c>
      <c r="C8718" t="s">
        <v>78</v>
      </c>
      <c r="D8718">
        <v>0</v>
      </c>
      <c r="E8718" t="s">
        <v>380</v>
      </c>
    </row>
    <row r="8719" spans="1:5" x14ac:dyDescent="0.25">
      <c r="A8719" s="279">
        <v>39283</v>
      </c>
      <c r="B8719" t="s">
        <v>339</v>
      </c>
      <c r="C8719" t="s">
        <v>79</v>
      </c>
      <c r="D8719">
        <v>92192</v>
      </c>
      <c r="E8719" t="s">
        <v>379</v>
      </c>
    </row>
    <row r="8720" spans="1:5" x14ac:dyDescent="0.25">
      <c r="A8720" s="279">
        <v>39283</v>
      </c>
      <c r="B8720" t="s">
        <v>339</v>
      </c>
      <c r="C8720" t="s">
        <v>70</v>
      </c>
      <c r="D8720">
        <v>0</v>
      </c>
      <c r="E8720" t="s">
        <v>379</v>
      </c>
    </row>
    <row r="8721" spans="1:5" x14ac:dyDescent="0.25">
      <c r="A8721" s="279">
        <v>39283</v>
      </c>
      <c r="B8721" t="s">
        <v>339</v>
      </c>
      <c r="C8721" t="s">
        <v>63</v>
      </c>
      <c r="D8721">
        <v>17303</v>
      </c>
      <c r="E8721" t="s">
        <v>378</v>
      </c>
    </row>
    <row r="8722" spans="1:5" x14ac:dyDescent="0.25">
      <c r="A8722" s="279">
        <v>39283</v>
      </c>
      <c r="B8722" t="s">
        <v>339</v>
      </c>
      <c r="C8722" t="s">
        <v>80</v>
      </c>
      <c r="D8722">
        <v>796</v>
      </c>
      <c r="E8722" t="s">
        <v>379</v>
      </c>
    </row>
    <row r="8723" spans="1:5" x14ac:dyDescent="0.25">
      <c r="A8723" s="279">
        <v>39284</v>
      </c>
      <c r="B8723" t="s">
        <v>338</v>
      </c>
      <c r="C8723" t="s">
        <v>59</v>
      </c>
      <c r="D8723">
        <v>2578</v>
      </c>
      <c r="E8723" t="s">
        <v>378</v>
      </c>
    </row>
    <row r="8724" spans="1:5" x14ac:dyDescent="0.25">
      <c r="A8724" s="279">
        <v>39284</v>
      </c>
      <c r="B8724" t="s">
        <v>338</v>
      </c>
      <c r="C8724" t="s">
        <v>60</v>
      </c>
      <c r="D8724">
        <v>0</v>
      </c>
      <c r="E8724" t="s">
        <v>379</v>
      </c>
    </row>
    <row r="8725" spans="1:5" x14ac:dyDescent="0.25">
      <c r="A8725" s="279">
        <v>39284</v>
      </c>
      <c r="B8725" t="s">
        <v>338</v>
      </c>
      <c r="C8725" t="s">
        <v>61</v>
      </c>
      <c r="D8725">
        <v>13175</v>
      </c>
      <c r="E8725" t="s">
        <v>378</v>
      </c>
    </row>
    <row r="8726" spans="1:5" x14ac:dyDescent="0.25">
      <c r="A8726" s="279">
        <v>39284</v>
      </c>
      <c r="B8726" t="s">
        <v>338</v>
      </c>
      <c r="C8726" t="s">
        <v>62</v>
      </c>
      <c r="D8726">
        <v>0</v>
      </c>
      <c r="E8726" t="s">
        <v>380</v>
      </c>
    </row>
    <row r="8727" spans="1:5" x14ac:dyDescent="0.25">
      <c r="A8727" s="279">
        <v>39284</v>
      </c>
      <c r="B8727" t="s">
        <v>338</v>
      </c>
      <c r="C8727" t="s">
        <v>63</v>
      </c>
      <c r="D8727">
        <v>0</v>
      </c>
      <c r="E8727" t="s">
        <v>378</v>
      </c>
    </row>
    <row r="8728" spans="1:5" x14ac:dyDescent="0.25">
      <c r="A8728" s="279">
        <v>39284</v>
      </c>
      <c r="B8728" t="s">
        <v>338</v>
      </c>
      <c r="C8728" t="s">
        <v>64</v>
      </c>
      <c r="D8728">
        <v>0</v>
      </c>
      <c r="E8728" t="s">
        <v>380</v>
      </c>
    </row>
    <row r="8729" spans="1:5" x14ac:dyDescent="0.25">
      <c r="A8729" s="279">
        <v>39284</v>
      </c>
      <c r="B8729" t="s">
        <v>338</v>
      </c>
      <c r="C8729" t="s">
        <v>65</v>
      </c>
      <c r="D8729">
        <v>0</v>
      </c>
      <c r="E8729" t="s">
        <v>378</v>
      </c>
    </row>
    <row r="8730" spans="1:5" x14ac:dyDescent="0.25">
      <c r="A8730" s="279">
        <v>39284</v>
      </c>
      <c r="B8730" t="s">
        <v>338</v>
      </c>
      <c r="C8730" t="s">
        <v>66</v>
      </c>
      <c r="D8730">
        <v>0</v>
      </c>
      <c r="E8730" t="s">
        <v>380</v>
      </c>
    </row>
    <row r="8731" spans="1:5" x14ac:dyDescent="0.25">
      <c r="A8731" s="279">
        <v>39284</v>
      </c>
      <c r="B8731" t="s">
        <v>338</v>
      </c>
      <c r="C8731" t="s">
        <v>120</v>
      </c>
      <c r="D8731">
        <v>6863</v>
      </c>
      <c r="E8731" t="s">
        <v>378</v>
      </c>
    </row>
    <row r="8732" spans="1:5" x14ac:dyDescent="0.25">
      <c r="A8732" s="279">
        <v>39284</v>
      </c>
      <c r="B8732" t="s">
        <v>338</v>
      </c>
      <c r="C8732" t="s">
        <v>121</v>
      </c>
      <c r="D8732">
        <v>0</v>
      </c>
      <c r="E8732" t="s">
        <v>380</v>
      </c>
    </row>
    <row r="8733" spans="1:5" x14ac:dyDescent="0.25">
      <c r="A8733" s="279">
        <v>39284</v>
      </c>
      <c r="B8733" t="s">
        <v>338</v>
      </c>
      <c r="C8733" t="s">
        <v>67</v>
      </c>
      <c r="D8733">
        <v>0</v>
      </c>
      <c r="E8733" t="s">
        <v>378</v>
      </c>
    </row>
    <row r="8734" spans="1:5" x14ac:dyDescent="0.25">
      <c r="A8734" s="279">
        <v>39284</v>
      </c>
      <c r="B8734" t="s">
        <v>338</v>
      </c>
      <c r="C8734" t="s">
        <v>68</v>
      </c>
      <c r="D8734">
        <v>0</v>
      </c>
      <c r="E8734" t="s">
        <v>380</v>
      </c>
    </row>
    <row r="8735" spans="1:5" x14ac:dyDescent="0.25">
      <c r="A8735" s="279">
        <v>39284</v>
      </c>
      <c r="B8735" t="s">
        <v>338</v>
      </c>
      <c r="C8735" t="s">
        <v>69</v>
      </c>
      <c r="D8735">
        <v>0</v>
      </c>
      <c r="E8735" t="s">
        <v>379</v>
      </c>
    </row>
    <row r="8736" spans="1:5" x14ac:dyDescent="0.25">
      <c r="A8736" s="279">
        <v>39284</v>
      </c>
      <c r="B8736" t="s">
        <v>338</v>
      </c>
      <c r="C8736" t="s">
        <v>70</v>
      </c>
      <c r="D8736">
        <v>0</v>
      </c>
      <c r="E8736" t="s">
        <v>379</v>
      </c>
    </row>
    <row r="8737" spans="1:5" x14ac:dyDescent="0.25">
      <c r="A8737" s="279">
        <v>39284</v>
      </c>
      <c r="B8737" t="s">
        <v>338</v>
      </c>
      <c r="C8737" t="s">
        <v>80</v>
      </c>
      <c r="D8737">
        <v>187</v>
      </c>
      <c r="E8737" t="s">
        <v>379</v>
      </c>
    </row>
    <row r="8738" spans="1:5" x14ac:dyDescent="0.25">
      <c r="A8738" s="279">
        <v>39284</v>
      </c>
      <c r="B8738" t="s">
        <v>339</v>
      </c>
      <c r="C8738" t="s">
        <v>71</v>
      </c>
      <c r="D8738">
        <v>1914</v>
      </c>
      <c r="E8738" t="s">
        <v>378</v>
      </c>
    </row>
    <row r="8739" spans="1:5" x14ac:dyDescent="0.25">
      <c r="A8739" s="279">
        <v>39284</v>
      </c>
      <c r="B8739" t="s">
        <v>339</v>
      </c>
      <c r="C8739" t="s">
        <v>72</v>
      </c>
      <c r="D8739">
        <v>0</v>
      </c>
      <c r="E8739" t="s">
        <v>380</v>
      </c>
    </row>
    <row r="8740" spans="1:5" x14ac:dyDescent="0.25">
      <c r="A8740" s="279">
        <v>39284</v>
      </c>
      <c r="B8740" t="s">
        <v>339</v>
      </c>
      <c r="C8740" t="s">
        <v>73</v>
      </c>
      <c r="D8740">
        <v>17012</v>
      </c>
      <c r="E8740" t="s">
        <v>378</v>
      </c>
    </row>
    <row r="8741" spans="1:5" x14ac:dyDescent="0.25">
      <c r="A8741" s="279">
        <v>39284</v>
      </c>
      <c r="B8741" t="s">
        <v>339</v>
      </c>
      <c r="C8741" t="s">
        <v>74</v>
      </c>
      <c r="D8741">
        <v>0</v>
      </c>
      <c r="E8741" t="s">
        <v>380</v>
      </c>
    </row>
    <row r="8742" spans="1:5" x14ac:dyDescent="0.25">
      <c r="A8742" s="279">
        <v>39284</v>
      </c>
      <c r="B8742" t="s">
        <v>339</v>
      </c>
      <c r="C8742" t="s">
        <v>75</v>
      </c>
      <c r="D8742">
        <v>15272</v>
      </c>
      <c r="E8742" t="s">
        <v>378</v>
      </c>
    </row>
    <row r="8743" spans="1:5" x14ac:dyDescent="0.25">
      <c r="A8743" s="279">
        <v>39284</v>
      </c>
      <c r="B8743" t="s">
        <v>339</v>
      </c>
      <c r="C8743" t="s">
        <v>76</v>
      </c>
      <c r="D8743">
        <v>6295</v>
      </c>
      <c r="E8743" t="s">
        <v>380</v>
      </c>
    </row>
    <row r="8744" spans="1:5" x14ac:dyDescent="0.25">
      <c r="A8744" s="279">
        <v>39284</v>
      </c>
      <c r="B8744" t="s">
        <v>339</v>
      </c>
      <c r="C8744" t="s">
        <v>77</v>
      </c>
      <c r="D8744">
        <v>7282</v>
      </c>
      <c r="E8744" t="s">
        <v>378</v>
      </c>
    </row>
    <row r="8745" spans="1:5" x14ac:dyDescent="0.25">
      <c r="A8745" s="279">
        <v>39284</v>
      </c>
      <c r="B8745" t="s">
        <v>339</v>
      </c>
      <c r="C8745" t="s">
        <v>78</v>
      </c>
      <c r="D8745">
        <v>0</v>
      </c>
      <c r="E8745" t="s">
        <v>380</v>
      </c>
    </row>
    <row r="8746" spans="1:5" x14ac:dyDescent="0.25">
      <c r="A8746" s="279">
        <v>39284</v>
      </c>
      <c r="B8746" t="s">
        <v>339</v>
      </c>
      <c r="C8746" t="s">
        <v>79</v>
      </c>
      <c r="D8746">
        <v>92370</v>
      </c>
      <c r="E8746" t="s">
        <v>379</v>
      </c>
    </row>
    <row r="8747" spans="1:5" x14ac:dyDescent="0.25">
      <c r="A8747" s="279">
        <v>39284</v>
      </c>
      <c r="B8747" t="s">
        <v>339</v>
      </c>
      <c r="C8747" t="s">
        <v>70</v>
      </c>
      <c r="D8747">
        <v>0</v>
      </c>
      <c r="E8747" t="s">
        <v>379</v>
      </c>
    </row>
    <row r="8748" spans="1:5" x14ac:dyDescent="0.25">
      <c r="A8748" s="279">
        <v>39284</v>
      </c>
      <c r="B8748" t="s">
        <v>339</v>
      </c>
      <c r="C8748" t="s">
        <v>63</v>
      </c>
      <c r="D8748">
        <v>17336</v>
      </c>
      <c r="E8748" t="s">
        <v>378</v>
      </c>
    </row>
    <row r="8749" spans="1:5" x14ac:dyDescent="0.25">
      <c r="A8749" s="279">
        <v>39284</v>
      </c>
      <c r="B8749" t="s">
        <v>339</v>
      </c>
      <c r="C8749" t="s">
        <v>80</v>
      </c>
      <c r="D8749">
        <v>798</v>
      </c>
      <c r="E8749" t="s">
        <v>379</v>
      </c>
    </row>
    <row r="8750" spans="1:5" x14ac:dyDescent="0.25">
      <c r="A8750" s="279">
        <v>39285</v>
      </c>
      <c r="B8750" t="s">
        <v>338</v>
      </c>
      <c r="C8750" t="s">
        <v>59</v>
      </c>
      <c r="D8750">
        <v>2578</v>
      </c>
      <c r="E8750" t="s">
        <v>378</v>
      </c>
    </row>
    <row r="8751" spans="1:5" x14ac:dyDescent="0.25">
      <c r="A8751" s="279">
        <v>39285</v>
      </c>
      <c r="B8751" t="s">
        <v>338</v>
      </c>
      <c r="C8751" t="s">
        <v>60</v>
      </c>
      <c r="D8751">
        <v>0</v>
      </c>
      <c r="E8751" t="s">
        <v>379</v>
      </c>
    </row>
    <row r="8752" spans="1:5" x14ac:dyDescent="0.25">
      <c r="A8752" s="279">
        <v>39285</v>
      </c>
      <c r="B8752" t="s">
        <v>338</v>
      </c>
      <c r="C8752" t="s">
        <v>61</v>
      </c>
      <c r="D8752">
        <v>13175</v>
      </c>
      <c r="E8752" t="s">
        <v>378</v>
      </c>
    </row>
    <row r="8753" spans="1:5" x14ac:dyDescent="0.25">
      <c r="A8753" s="279">
        <v>39285</v>
      </c>
      <c r="B8753" t="s">
        <v>338</v>
      </c>
      <c r="C8753" t="s">
        <v>62</v>
      </c>
      <c r="D8753">
        <v>0</v>
      </c>
      <c r="E8753" t="s">
        <v>380</v>
      </c>
    </row>
    <row r="8754" spans="1:5" x14ac:dyDescent="0.25">
      <c r="A8754" s="279">
        <v>39285</v>
      </c>
      <c r="B8754" t="s">
        <v>338</v>
      </c>
      <c r="C8754" t="s">
        <v>63</v>
      </c>
      <c r="D8754">
        <v>0</v>
      </c>
      <c r="E8754" t="s">
        <v>378</v>
      </c>
    </row>
    <row r="8755" spans="1:5" x14ac:dyDescent="0.25">
      <c r="A8755" s="279">
        <v>39285</v>
      </c>
      <c r="B8755" t="s">
        <v>338</v>
      </c>
      <c r="C8755" t="s">
        <v>64</v>
      </c>
      <c r="D8755">
        <v>0</v>
      </c>
      <c r="E8755" t="s">
        <v>380</v>
      </c>
    </row>
    <row r="8756" spans="1:5" x14ac:dyDescent="0.25">
      <c r="A8756" s="279">
        <v>39285</v>
      </c>
      <c r="B8756" t="s">
        <v>338</v>
      </c>
      <c r="C8756" t="s">
        <v>65</v>
      </c>
      <c r="D8756">
        <v>0</v>
      </c>
      <c r="E8756" t="s">
        <v>378</v>
      </c>
    </row>
    <row r="8757" spans="1:5" x14ac:dyDescent="0.25">
      <c r="A8757" s="279">
        <v>39285</v>
      </c>
      <c r="B8757" t="s">
        <v>338</v>
      </c>
      <c r="C8757" t="s">
        <v>66</v>
      </c>
      <c r="D8757">
        <v>0</v>
      </c>
      <c r="E8757" t="s">
        <v>380</v>
      </c>
    </row>
    <row r="8758" spans="1:5" x14ac:dyDescent="0.25">
      <c r="A8758" s="279">
        <v>39285</v>
      </c>
      <c r="B8758" t="s">
        <v>338</v>
      </c>
      <c r="C8758" t="s">
        <v>120</v>
      </c>
      <c r="D8758">
        <v>6853</v>
      </c>
      <c r="E8758" t="s">
        <v>378</v>
      </c>
    </row>
    <row r="8759" spans="1:5" x14ac:dyDescent="0.25">
      <c r="A8759" s="279">
        <v>39285</v>
      </c>
      <c r="B8759" t="s">
        <v>338</v>
      </c>
      <c r="C8759" t="s">
        <v>121</v>
      </c>
      <c r="D8759">
        <v>0</v>
      </c>
      <c r="E8759" t="s">
        <v>380</v>
      </c>
    </row>
    <row r="8760" spans="1:5" x14ac:dyDescent="0.25">
      <c r="A8760" s="279">
        <v>39285</v>
      </c>
      <c r="B8760" t="s">
        <v>338</v>
      </c>
      <c r="C8760" t="s">
        <v>67</v>
      </c>
      <c r="D8760">
        <v>0</v>
      </c>
      <c r="E8760" t="s">
        <v>378</v>
      </c>
    </row>
    <row r="8761" spans="1:5" x14ac:dyDescent="0.25">
      <c r="A8761" s="279">
        <v>39285</v>
      </c>
      <c r="B8761" t="s">
        <v>338</v>
      </c>
      <c r="C8761" t="s">
        <v>68</v>
      </c>
      <c r="D8761">
        <v>0</v>
      </c>
      <c r="E8761" t="s">
        <v>380</v>
      </c>
    </row>
    <row r="8762" spans="1:5" x14ac:dyDescent="0.25">
      <c r="A8762" s="279">
        <v>39285</v>
      </c>
      <c r="B8762" t="s">
        <v>338</v>
      </c>
      <c r="C8762" t="s">
        <v>69</v>
      </c>
      <c r="D8762">
        <v>0</v>
      </c>
      <c r="E8762" t="s">
        <v>379</v>
      </c>
    </row>
    <row r="8763" spans="1:5" x14ac:dyDescent="0.25">
      <c r="A8763" s="279">
        <v>39285</v>
      </c>
      <c r="B8763" t="s">
        <v>338</v>
      </c>
      <c r="C8763" t="s">
        <v>70</v>
      </c>
      <c r="D8763">
        <v>0</v>
      </c>
      <c r="E8763" t="s">
        <v>379</v>
      </c>
    </row>
    <row r="8764" spans="1:5" x14ac:dyDescent="0.25">
      <c r="A8764" s="279">
        <v>39285</v>
      </c>
      <c r="B8764" t="s">
        <v>338</v>
      </c>
      <c r="C8764" t="s">
        <v>80</v>
      </c>
      <c r="D8764">
        <v>187</v>
      </c>
      <c r="E8764" t="s">
        <v>379</v>
      </c>
    </row>
    <row r="8765" spans="1:5" x14ac:dyDescent="0.25">
      <c r="A8765" s="279">
        <v>39285</v>
      </c>
      <c r="B8765" t="s">
        <v>339</v>
      </c>
      <c r="C8765" t="s">
        <v>71</v>
      </c>
      <c r="D8765">
        <v>1914</v>
      </c>
      <c r="E8765" t="s">
        <v>378</v>
      </c>
    </row>
    <row r="8766" spans="1:5" x14ac:dyDescent="0.25">
      <c r="A8766" s="279">
        <v>39285</v>
      </c>
      <c r="B8766" t="s">
        <v>339</v>
      </c>
      <c r="C8766" t="s">
        <v>72</v>
      </c>
      <c r="D8766">
        <v>0</v>
      </c>
      <c r="E8766" t="s">
        <v>380</v>
      </c>
    </row>
    <row r="8767" spans="1:5" x14ac:dyDescent="0.25">
      <c r="A8767" s="279">
        <v>39285</v>
      </c>
      <c r="B8767" t="s">
        <v>339</v>
      </c>
      <c r="C8767" t="s">
        <v>73</v>
      </c>
      <c r="D8767">
        <v>17012</v>
      </c>
      <c r="E8767" t="s">
        <v>378</v>
      </c>
    </row>
    <row r="8768" spans="1:5" x14ac:dyDescent="0.25">
      <c r="A8768" s="279">
        <v>39285</v>
      </c>
      <c r="B8768" t="s">
        <v>339</v>
      </c>
      <c r="C8768" t="s">
        <v>74</v>
      </c>
      <c r="D8768">
        <v>0</v>
      </c>
      <c r="E8768" t="s">
        <v>380</v>
      </c>
    </row>
    <row r="8769" spans="1:5" x14ac:dyDescent="0.25">
      <c r="A8769" s="279">
        <v>39285</v>
      </c>
      <c r="B8769" t="s">
        <v>339</v>
      </c>
      <c r="C8769" t="s">
        <v>75</v>
      </c>
      <c r="D8769">
        <v>15272</v>
      </c>
      <c r="E8769" t="s">
        <v>378</v>
      </c>
    </row>
    <row r="8770" spans="1:5" x14ac:dyDescent="0.25">
      <c r="A8770" s="279">
        <v>39285</v>
      </c>
      <c r="B8770" t="s">
        <v>339</v>
      </c>
      <c r="C8770" t="s">
        <v>76</v>
      </c>
      <c r="D8770">
        <v>8244</v>
      </c>
      <c r="E8770" t="s">
        <v>380</v>
      </c>
    </row>
    <row r="8771" spans="1:5" x14ac:dyDescent="0.25">
      <c r="A8771" s="279">
        <v>39285</v>
      </c>
      <c r="B8771" t="s">
        <v>339</v>
      </c>
      <c r="C8771" t="s">
        <v>77</v>
      </c>
      <c r="D8771">
        <v>7282</v>
      </c>
      <c r="E8771" t="s">
        <v>378</v>
      </c>
    </row>
    <row r="8772" spans="1:5" x14ac:dyDescent="0.25">
      <c r="A8772" s="279">
        <v>39285</v>
      </c>
      <c r="B8772" t="s">
        <v>339</v>
      </c>
      <c r="C8772" t="s">
        <v>78</v>
      </c>
      <c r="D8772">
        <v>0</v>
      </c>
      <c r="E8772" t="s">
        <v>380</v>
      </c>
    </row>
    <row r="8773" spans="1:5" x14ac:dyDescent="0.25">
      <c r="A8773" s="279">
        <v>39285</v>
      </c>
      <c r="B8773" t="s">
        <v>339</v>
      </c>
      <c r="C8773" t="s">
        <v>79</v>
      </c>
      <c r="D8773">
        <v>92370</v>
      </c>
      <c r="E8773" t="s">
        <v>379</v>
      </c>
    </row>
    <row r="8774" spans="1:5" x14ac:dyDescent="0.25">
      <c r="A8774" s="279">
        <v>39285</v>
      </c>
      <c r="B8774" t="s">
        <v>339</v>
      </c>
      <c r="C8774" t="s">
        <v>70</v>
      </c>
      <c r="D8774">
        <v>0</v>
      </c>
      <c r="E8774" t="s">
        <v>379</v>
      </c>
    </row>
    <row r="8775" spans="1:5" x14ac:dyDescent="0.25">
      <c r="A8775" s="279">
        <v>39285</v>
      </c>
      <c r="B8775" t="s">
        <v>339</v>
      </c>
      <c r="C8775" t="s">
        <v>63</v>
      </c>
      <c r="D8775">
        <v>17336</v>
      </c>
      <c r="E8775" t="s">
        <v>378</v>
      </c>
    </row>
    <row r="8776" spans="1:5" x14ac:dyDescent="0.25">
      <c r="A8776" s="279">
        <v>39285</v>
      </c>
      <c r="B8776" t="s">
        <v>339</v>
      </c>
      <c r="C8776" t="s">
        <v>80</v>
      </c>
      <c r="D8776">
        <v>798</v>
      </c>
      <c r="E8776" t="s">
        <v>379</v>
      </c>
    </row>
    <row r="8777" spans="1:5" x14ac:dyDescent="0.25">
      <c r="A8777" s="279">
        <v>39286</v>
      </c>
      <c r="B8777" t="s">
        <v>338</v>
      </c>
      <c r="C8777" t="s">
        <v>59</v>
      </c>
      <c r="D8777">
        <v>2583</v>
      </c>
      <c r="E8777" t="s">
        <v>378</v>
      </c>
    </row>
    <row r="8778" spans="1:5" x14ac:dyDescent="0.25">
      <c r="A8778" s="279">
        <v>39286</v>
      </c>
      <c r="B8778" t="s">
        <v>338</v>
      </c>
      <c r="C8778" t="s">
        <v>60</v>
      </c>
      <c r="D8778">
        <v>0</v>
      </c>
      <c r="E8778" t="s">
        <v>379</v>
      </c>
    </row>
    <row r="8779" spans="1:5" x14ac:dyDescent="0.25">
      <c r="A8779" s="279">
        <v>39286</v>
      </c>
      <c r="B8779" t="s">
        <v>338</v>
      </c>
      <c r="C8779" t="s">
        <v>61</v>
      </c>
      <c r="D8779">
        <v>13201</v>
      </c>
      <c r="E8779" t="s">
        <v>378</v>
      </c>
    </row>
    <row r="8780" spans="1:5" x14ac:dyDescent="0.25">
      <c r="A8780" s="279">
        <v>39286</v>
      </c>
      <c r="B8780" t="s">
        <v>338</v>
      </c>
      <c r="C8780" t="s">
        <v>62</v>
      </c>
      <c r="D8780">
        <v>0</v>
      </c>
      <c r="E8780" t="s">
        <v>380</v>
      </c>
    </row>
    <row r="8781" spans="1:5" x14ac:dyDescent="0.25">
      <c r="A8781" s="279">
        <v>39286</v>
      </c>
      <c r="B8781" t="s">
        <v>338</v>
      </c>
      <c r="C8781" t="s">
        <v>63</v>
      </c>
      <c r="D8781">
        <v>0</v>
      </c>
      <c r="E8781" t="s">
        <v>378</v>
      </c>
    </row>
    <row r="8782" spans="1:5" x14ac:dyDescent="0.25">
      <c r="A8782" s="279">
        <v>39286</v>
      </c>
      <c r="B8782" t="s">
        <v>338</v>
      </c>
      <c r="C8782" t="s">
        <v>64</v>
      </c>
      <c r="D8782">
        <v>0</v>
      </c>
      <c r="E8782" t="s">
        <v>380</v>
      </c>
    </row>
    <row r="8783" spans="1:5" x14ac:dyDescent="0.25">
      <c r="A8783" s="279">
        <v>39286</v>
      </c>
      <c r="B8783" t="s">
        <v>338</v>
      </c>
      <c r="C8783" t="s">
        <v>65</v>
      </c>
      <c r="D8783">
        <v>0</v>
      </c>
      <c r="E8783" t="s">
        <v>378</v>
      </c>
    </row>
    <row r="8784" spans="1:5" x14ac:dyDescent="0.25">
      <c r="A8784" s="279">
        <v>39286</v>
      </c>
      <c r="B8784" t="s">
        <v>338</v>
      </c>
      <c r="C8784" t="s">
        <v>66</v>
      </c>
      <c r="D8784">
        <v>0</v>
      </c>
      <c r="E8784" t="s">
        <v>380</v>
      </c>
    </row>
    <row r="8785" spans="1:5" x14ac:dyDescent="0.25">
      <c r="A8785" s="279">
        <v>39286</v>
      </c>
      <c r="B8785" t="s">
        <v>338</v>
      </c>
      <c r="C8785" t="s">
        <v>120</v>
      </c>
      <c r="D8785">
        <v>6788</v>
      </c>
      <c r="E8785" t="s">
        <v>378</v>
      </c>
    </row>
    <row r="8786" spans="1:5" x14ac:dyDescent="0.25">
      <c r="A8786" s="279">
        <v>39286</v>
      </c>
      <c r="B8786" t="s">
        <v>338</v>
      </c>
      <c r="C8786" t="s">
        <v>121</v>
      </c>
      <c r="D8786">
        <v>0</v>
      </c>
      <c r="E8786" t="s">
        <v>380</v>
      </c>
    </row>
    <row r="8787" spans="1:5" x14ac:dyDescent="0.25">
      <c r="A8787" s="279">
        <v>39286</v>
      </c>
      <c r="B8787" t="s">
        <v>338</v>
      </c>
      <c r="C8787" t="s">
        <v>67</v>
      </c>
      <c r="D8787">
        <v>0</v>
      </c>
      <c r="E8787" t="s">
        <v>378</v>
      </c>
    </row>
    <row r="8788" spans="1:5" x14ac:dyDescent="0.25">
      <c r="A8788" s="279">
        <v>39286</v>
      </c>
      <c r="B8788" t="s">
        <v>338</v>
      </c>
      <c r="C8788" t="s">
        <v>68</v>
      </c>
      <c r="D8788">
        <v>0</v>
      </c>
      <c r="E8788" t="s">
        <v>380</v>
      </c>
    </row>
    <row r="8789" spans="1:5" x14ac:dyDescent="0.25">
      <c r="A8789" s="279">
        <v>39286</v>
      </c>
      <c r="B8789" t="s">
        <v>338</v>
      </c>
      <c r="C8789" t="s">
        <v>69</v>
      </c>
      <c r="D8789">
        <v>0</v>
      </c>
      <c r="E8789" t="s">
        <v>379</v>
      </c>
    </row>
    <row r="8790" spans="1:5" x14ac:dyDescent="0.25">
      <c r="A8790" s="279">
        <v>39286</v>
      </c>
      <c r="B8790" t="s">
        <v>338</v>
      </c>
      <c r="C8790" t="s">
        <v>70</v>
      </c>
      <c r="D8790">
        <v>0</v>
      </c>
      <c r="E8790" t="s">
        <v>379</v>
      </c>
    </row>
    <row r="8791" spans="1:5" x14ac:dyDescent="0.25">
      <c r="A8791" s="279">
        <v>39286</v>
      </c>
      <c r="B8791" t="s">
        <v>338</v>
      </c>
      <c r="C8791" t="s">
        <v>80</v>
      </c>
      <c r="D8791">
        <v>186</v>
      </c>
      <c r="E8791" t="s">
        <v>379</v>
      </c>
    </row>
    <row r="8792" spans="1:5" x14ac:dyDescent="0.25">
      <c r="A8792" s="279">
        <v>39286</v>
      </c>
      <c r="B8792" t="s">
        <v>339</v>
      </c>
      <c r="C8792" t="s">
        <v>71</v>
      </c>
      <c r="D8792">
        <v>1916</v>
      </c>
      <c r="E8792" t="s">
        <v>378</v>
      </c>
    </row>
    <row r="8793" spans="1:5" x14ac:dyDescent="0.25">
      <c r="A8793" s="279">
        <v>39286</v>
      </c>
      <c r="B8793" t="s">
        <v>339</v>
      </c>
      <c r="C8793" t="s">
        <v>72</v>
      </c>
      <c r="D8793">
        <v>0</v>
      </c>
      <c r="E8793" t="s">
        <v>380</v>
      </c>
    </row>
    <row r="8794" spans="1:5" x14ac:dyDescent="0.25">
      <c r="A8794" s="279">
        <v>39286</v>
      </c>
      <c r="B8794" t="s">
        <v>339</v>
      </c>
      <c r="C8794" t="s">
        <v>73</v>
      </c>
      <c r="D8794">
        <v>17029</v>
      </c>
      <c r="E8794" t="s">
        <v>378</v>
      </c>
    </row>
    <row r="8795" spans="1:5" x14ac:dyDescent="0.25">
      <c r="A8795" s="279">
        <v>39286</v>
      </c>
      <c r="B8795" t="s">
        <v>339</v>
      </c>
      <c r="C8795" t="s">
        <v>74</v>
      </c>
      <c r="D8795">
        <v>0</v>
      </c>
      <c r="E8795" t="s">
        <v>380</v>
      </c>
    </row>
    <row r="8796" spans="1:5" x14ac:dyDescent="0.25">
      <c r="A8796" s="279">
        <v>39286</v>
      </c>
      <c r="B8796" t="s">
        <v>339</v>
      </c>
      <c r="C8796" t="s">
        <v>75</v>
      </c>
      <c r="D8796">
        <v>15287</v>
      </c>
      <c r="E8796" t="s">
        <v>378</v>
      </c>
    </row>
    <row r="8797" spans="1:5" x14ac:dyDescent="0.25">
      <c r="A8797" s="279">
        <v>39286</v>
      </c>
      <c r="B8797" t="s">
        <v>339</v>
      </c>
      <c r="C8797" t="s">
        <v>76</v>
      </c>
      <c r="D8797">
        <v>8452</v>
      </c>
      <c r="E8797" t="s">
        <v>380</v>
      </c>
    </row>
    <row r="8798" spans="1:5" x14ac:dyDescent="0.25">
      <c r="A8798" s="279">
        <v>39286</v>
      </c>
      <c r="B8798" t="s">
        <v>339</v>
      </c>
      <c r="C8798" t="s">
        <v>77</v>
      </c>
      <c r="D8798">
        <v>7289</v>
      </c>
      <c r="E8798" t="s">
        <v>378</v>
      </c>
    </row>
    <row r="8799" spans="1:5" x14ac:dyDescent="0.25">
      <c r="A8799" s="279">
        <v>39286</v>
      </c>
      <c r="B8799" t="s">
        <v>339</v>
      </c>
      <c r="C8799" t="s">
        <v>78</v>
      </c>
      <c r="D8799">
        <v>0</v>
      </c>
      <c r="E8799" t="s">
        <v>380</v>
      </c>
    </row>
    <row r="8800" spans="1:5" x14ac:dyDescent="0.25">
      <c r="A8800" s="279">
        <v>39286</v>
      </c>
      <c r="B8800" t="s">
        <v>339</v>
      </c>
      <c r="C8800" t="s">
        <v>79</v>
      </c>
      <c r="D8800">
        <v>92459</v>
      </c>
      <c r="E8800" t="s">
        <v>379</v>
      </c>
    </row>
    <row r="8801" spans="1:5" x14ac:dyDescent="0.25">
      <c r="A8801" s="279">
        <v>39286</v>
      </c>
      <c r="B8801" t="s">
        <v>339</v>
      </c>
      <c r="C8801" t="s">
        <v>70</v>
      </c>
      <c r="D8801">
        <v>0</v>
      </c>
      <c r="E8801" t="s">
        <v>379</v>
      </c>
    </row>
    <row r="8802" spans="1:5" x14ac:dyDescent="0.25">
      <c r="A8802" s="279">
        <v>39286</v>
      </c>
      <c r="B8802" t="s">
        <v>339</v>
      </c>
      <c r="C8802" t="s">
        <v>63</v>
      </c>
      <c r="D8802">
        <v>17353</v>
      </c>
      <c r="E8802" t="s">
        <v>378</v>
      </c>
    </row>
    <row r="8803" spans="1:5" x14ac:dyDescent="0.25">
      <c r="A8803" s="279">
        <v>39286</v>
      </c>
      <c r="B8803" t="s">
        <v>339</v>
      </c>
      <c r="C8803" t="s">
        <v>80</v>
      </c>
      <c r="D8803">
        <v>798</v>
      </c>
      <c r="E8803" t="s">
        <v>379</v>
      </c>
    </row>
    <row r="8804" spans="1:5" x14ac:dyDescent="0.25">
      <c r="A8804" s="279">
        <v>39287</v>
      </c>
      <c r="B8804" t="s">
        <v>338</v>
      </c>
      <c r="C8804" t="s">
        <v>59</v>
      </c>
      <c r="D8804">
        <v>2583</v>
      </c>
      <c r="E8804" t="s">
        <v>378</v>
      </c>
    </row>
    <row r="8805" spans="1:5" x14ac:dyDescent="0.25">
      <c r="A8805" s="279">
        <v>39287</v>
      </c>
      <c r="B8805" t="s">
        <v>338</v>
      </c>
      <c r="C8805" t="s">
        <v>60</v>
      </c>
      <c r="D8805">
        <v>0</v>
      </c>
      <c r="E8805" t="s">
        <v>379</v>
      </c>
    </row>
    <row r="8806" spans="1:5" x14ac:dyDescent="0.25">
      <c r="A8806" s="279">
        <v>39287</v>
      </c>
      <c r="B8806" t="s">
        <v>338</v>
      </c>
      <c r="C8806" t="s">
        <v>61</v>
      </c>
      <c r="D8806">
        <v>13201</v>
      </c>
      <c r="E8806" t="s">
        <v>378</v>
      </c>
    </row>
    <row r="8807" spans="1:5" x14ac:dyDescent="0.25">
      <c r="A8807" s="279">
        <v>39287</v>
      </c>
      <c r="B8807" t="s">
        <v>338</v>
      </c>
      <c r="C8807" t="s">
        <v>62</v>
      </c>
      <c r="D8807">
        <v>0</v>
      </c>
      <c r="E8807" t="s">
        <v>380</v>
      </c>
    </row>
    <row r="8808" spans="1:5" x14ac:dyDescent="0.25">
      <c r="A8808" s="279">
        <v>39287</v>
      </c>
      <c r="B8808" t="s">
        <v>338</v>
      </c>
      <c r="C8808" t="s">
        <v>63</v>
      </c>
      <c r="D8808">
        <v>0</v>
      </c>
      <c r="E8808" t="s">
        <v>378</v>
      </c>
    </row>
    <row r="8809" spans="1:5" x14ac:dyDescent="0.25">
      <c r="A8809" s="279">
        <v>39287</v>
      </c>
      <c r="B8809" t="s">
        <v>338</v>
      </c>
      <c r="C8809" t="s">
        <v>64</v>
      </c>
      <c r="D8809">
        <v>0</v>
      </c>
      <c r="E8809" t="s">
        <v>380</v>
      </c>
    </row>
    <row r="8810" spans="1:5" x14ac:dyDescent="0.25">
      <c r="A8810" s="279">
        <v>39287</v>
      </c>
      <c r="B8810" t="s">
        <v>338</v>
      </c>
      <c r="C8810" t="s">
        <v>65</v>
      </c>
      <c r="D8810">
        <v>0</v>
      </c>
      <c r="E8810" t="s">
        <v>378</v>
      </c>
    </row>
    <row r="8811" spans="1:5" x14ac:dyDescent="0.25">
      <c r="A8811" s="279">
        <v>39287</v>
      </c>
      <c r="B8811" t="s">
        <v>338</v>
      </c>
      <c r="C8811" t="s">
        <v>66</v>
      </c>
      <c r="D8811">
        <v>0</v>
      </c>
      <c r="E8811" t="s">
        <v>380</v>
      </c>
    </row>
    <row r="8812" spans="1:5" x14ac:dyDescent="0.25">
      <c r="A8812" s="279">
        <v>39287</v>
      </c>
      <c r="B8812" t="s">
        <v>338</v>
      </c>
      <c r="C8812" t="s">
        <v>120</v>
      </c>
      <c r="D8812">
        <v>6818</v>
      </c>
      <c r="E8812" t="s">
        <v>378</v>
      </c>
    </row>
    <row r="8813" spans="1:5" x14ac:dyDescent="0.25">
      <c r="A8813" s="279">
        <v>39287</v>
      </c>
      <c r="B8813" t="s">
        <v>338</v>
      </c>
      <c r="C8813" t="s">
        <v>121</v>
      </c>
      <c r="D8813">
        <v>0</v>
      </c>
      <c r="E8813" t="s">
        <v>380</v>
      </c>
    </row>
    <row r="8814" spans="1:5" x14ac:dyDescent="0.25">
      <c r="A8814" s="279">
        <v>39287</v>
      </c>
      <c r="B8814" t="s">
        <v>338</v>
      </c>
      <c r="C8814" t="s">
        <v>67</v>
      </c>
      <c r="D8814">
        <v>0</v>
      </c>
      <c r="E8814" t="s">
        <v>378</v>
      </c>
    </row>
    <row r="8815" spans="1:5" x14ac:dyDescent="0.25">
      <c r="A8815" s="279">
        <v>39287</v>
      </c>
      <c r="B8815" t="s">
        <v>338</v>
      </c>
      <c r="C8815" t="s">
        <v>68</v>
      </c>
      <c r="D8815">
        <v>0</v>
      </c>
      <c r="E8815" t="s">
        <v>380</v>
      </c>
    </row>
    <row r="8816" spans="1:5" x14ac:dyDescent="0.25">
      <c r="A8816" s="279">
        <v>39287</v>
      </c>
      <c r="B8816" t="s">
        <v>338</v>
      </c>
      <c r="C8816" t="s">
        <v>69</v>
      </c>
      <c r="D8816">
        <v>0</v>
      </c>
      <c r="E8816" t="s">
        <v>379</v>
      </c>
    </row>
    <row r="8817" spans="1:5" x14ac:dyDescent="0.25">
      <c r="A8817" s="279">
        <v>39287</v>
      </c>
      <c r="B8817" t="s">
        <v>338</v>
      </c>
      <c r="C8817" t="s">
        <v>70</v>
      </c>
      <c r="D8817">
        <v>0</v>
      </c>
      <c r="E8817" t="s">
        <v>379</v>
      </c>
    </row>
    <row r="8818" spans="1:5" x14ac:dyDescent="0.25">
      <c r="A8818" s="279">
        <v>39287</v>
      </c>
      <c r="B8818" t="s">
        <v>338</v>
      </c>
      <c r="C8818" t="s">
        <v>80</v>
      </c>
      <c r="D8818">
        <v>187</v>
      </c>
      <c r="E8818" t="s">
        <v>379</v>
      </c>
    </row>
    <row r="8819" spans="1:5" x14ac:dyDescent="0.25">
      <c r="A8819" s="279">
        <v>39287</v>
      </c>
      <c r="B8819" t="s">
        <v>339</v>
      </c>
      <c r="C8819" t="s">
        <v>71</v>
      </c>
      <c r="D8819">
        <v>1918</v>
      </c>
      <c r="E8819" t="s">
        <v>378</v>
      </c>
    </row>
    <row r="8820" spans="1:5" x14ac:dyDescent="0.25">
      <c r="A8820" s="279">
        <v>39287</v>
      </c>
      <c r="B8820" t="s">
        <v>339</v>
      </c>
      <c r="C8820" t="s">
        <v>72</v>
      </c>
      <c r="D8820">
        <v>0</v>
      </c>
      <c r="E8820" t="s">
        <v>380</v>
      </c>
    </row>
    <row r="8821" spans="1:5" x14ac:dyDescent="0.25">
      <c r="A8821" s="279">
        <v>39287</v>
      </c>
      <c r="B8821" t="s">
        <v>339</v>
      </c>
      <c r="C8821" t="s">
        <v>73</v>
      </c>
      <c r="D8821">
        <v>17045</v>
      </c>
      <c r="E8821" t="s">
        <v>378</v>
      </c>
    </row>
    <row r="8822" spans="1:5" x14ac:dyDescent="0.25">
      <c r="A8822" s="279">
        <v>39287</v>
      </c>
      <c r="B8822" t="s">
        <v>339</v>
      </c>
      <c r="C8822" t="s">
        <v>74</v>
      </c>
      <c r="D8822">
        <v>0</v>
      </c>
      <c r="E8822" t="s">
        <v>380</v>
      </c>
    </row>
    <row r="8823" spans="1:5" x14ac:dyDescent="0.25">
      <c r="A8823" s="279">
        <v>39287</v>
      </c>
      <c r="B8823" t="s">
        <v>339</v>
      </c>
      <c r="C8823" t="s">
        <v>75</v>
      </c>
      <c r="D8823">
        <v>15301</v>
      </c>
      <c r="E8823" t="s">
        <v>378</v>
      </c>
    </row>
    <row r="8824" spans="1:5" x14ac:dyDescent="0.25">
      <c r="A8824" s="279">
        <v>39287</v>
      </c>
      <c r="B8824" t="s">
        <v>339</v>
      </c>
      <c r="C8824" t="s">
        <v>76</v>
      </c>
      <c r="D8824">
        <v>6657</v>
      </c>
      <c r="E8824" t="s">
        <v>380</v>
      </c>
    </row>
    <row r="8825" spans="1:5" x14ac:dyDescent="0.25">
      <c r="A8825" s="279">
        <v>39287</v>
      </c>
      <c r="B8825" t="s">
        <v>339</v>
      </c>
      <c r="C8825" t="s">
        <v>77</v>
      </c>
      <c r="D8825">
        <v>7296</v>
      </c>
      <c r="E8825" t="s">
        <v>378</v>
      </c>
    </row>
    <row r="8826" spans="1:5" x14ac:dyDescent="0.25">
      <c r="A8826" s="279">
        <v>39287</v>
      </c>
      <c r="B8826" t="s">
        <v>339</v>
      </c>
      <c r="C8826" t="s">
        <v>78</v>
      </c>
      <c r="D8826">
        <v>0</v>
      </c>
      <c r="E8826" t="s">
        <v>380</v>
      </c>
    </row>
    <row r="8827" spans="1:5" x14ac:dyDescent="0.25">
      <c r="A8827" s="279">
        <v>39287</v>
      </c>
      <c r="B8827" t="s">
        <v>339</v>
      </c>
      <c r="C8827" t="s">
        <v>79</v>
      </c>
      <c r="D8827">
        <v>92065</v>
      </c>
      <c r="E8827" t="s">
        <v>379</v>
      </c>
    </row>
    <row r="8828" spans="1:5" x14ac:dyDescent="0.25">
      <c r="A8828" s="279">
        <v>39287</v>
      </c>
      <c r="B8828" t="s">
        <v>339</v>
      </c>
      <c r="C8828" t="s">
        <v>70</v>
      </c>
      <c r="D8828">
        <v>0</v>
      </c>
      <c r="E8828" t="s">
        <v>379</v>
      </c>
    </row>
    <row r="8829" spans="1:5" x14ac:dyDescent="0.25">
      <c r="A8829" s="279">
        <v>39287</v>
      </c>
      <c r="B8829" t="s">
        <v>339</v>
      </c>
      <c r="C8829" t="s">
        <v>63</v>
      </c>
      <c r="D8829">
        <v>17369</v>
      </c>
      <c r="E8829" t="s">
        <v>378</v>
      </c>
    </row>
    <row r="8830" spans="1:5" x14ac:dyDescent="0.25">
      <c r="A8830" s="279">
        <v>39287</v>
      </c>
      <c r="B8830" t="s">
        <v>339</v>
      </c>
      <c r="C8830" t="s">
        <v>80</v>
      </c>
      <c r="D8830">
        <v>799</v>
      </c>
      <c r="E8830" t="s">
        <v>379</v>
      </c>
    </row>
    <row r="8831" spans="1:5" x14ac:dyDescent="0.25">
      <c r="A8831" s="279">
        <v>39288</v>
      </c>
      <c r="B8831" t="s">
        <v>338</v>
      </c>
      <c r="C8831" t="s">
        <v>59</v>
      </c>
      <c r="D8831">
        <v>2585</v>
      </c>
      <c r="E8831" t="s">
        <v>378</v>
      </c>
    </row>
    <row r="8832" spans="1:5" x14ac:dyDescent="0.25">
      <c r="A8832" s="279">
        <v>39288</v>
      </c>
      <c r="B8832" t="s">
        <v>338</v>
      </c>
      <c r="C8832" t="s">
        <v>60</v>
      </c>
      <c r="D8832">
        <v>0</v>
      </c>
      <c r="E8832" t="s">
        <v>379</v>
      </c>
    </row>
    <row r="8833" spans="1:5" x14ac:dyDescent="0.25">
      <c r="A8833" s="279">
        <v>39288</v>
      </c>
      <c r="B8833" t="s">
        <v>338</v>
      </c>
      <c r="C8833" t="s">
        <v>61</v>
      </c>
      <c r="D8833">
        <v>13214</v>
      </c>
      <c r="E8833" t="s">
        <v>378</v>
      </c>
    </row>
    <row r="8834" spans="1:5" x14ac:dyDescent="0.25">
      <c r="A8834" s="279">
        <v>39288</v>
      </c>
      <c r="B8834" t="s">
        <v>338</v>
      </c>
      <c r="C8834" t="s">
        <v>62</v>
      </c>
      <c r="D8834">
        <v>0</v>
      </c>
      <c r="E8834" t="s">
        <v>380</v>
      </c>
    </row>
    <row r="8835" spans="1:5" x14ac:dyDescent="0.25">
      <c r="A8835" s="279">
        <v>39288</v>
      </c>
      <c r="B8835" t="s">
        <v>338</v>
      </c>
      <c r="C8835" t="s">
        <v>63</v>
      </c>
      <c r="D8835">
        <v>0</v>
      </c>
      <c r="E8835" t="s">
        <v>378</v>
      </c>
    </row>
    <row r="8836" spans="1:5" x14ac:dyDescent="0.25">
      <c r="A8836" s="279">
        <v>39288</v>
      </c>
      <c r="B8836" t="s">
        <v>338</v>
      </c>
      <c r="C8836" t="s">
        <v>64</v>
      </c>
      <c r="D8836">
        <v>0</v>
      </c>
      <c r="E8836" t="s">
        <v>380</v>
      </c>
    </row>
    <row r="8837" spans="1:5" x14ac:dyDescent="0.25">
      <c r="A8837" s="279">
        <v>39288</v>
      </c>
      <c r="B8837" t="s">
        <v>338</v>
      </c>
      <c r="C8837" t="s">
        <v>65</v>
      </c>
      <c r="D8837">
        <v>0</v>
      </c>
      <c r="E8837" t="s">
        <v>378</v>
      </c>
    </row>
    <row r="8838" spans="1:5" x14ac:dyDescent="0.25">
      <c r="A8838" s="279">
        <v>39288</v>
      </c>
      <c r="B8838" t="s">
        <v>338</v>
      </c>
      <c r="C8838" t="s">
        <v>66</v>
      </c>
      <c r="D8838">
        <v>0</v>
      </c>
      <c r="E8838" t="s">
        <v>380</v>
      </c>
    </row>
    <row r="8839" spans="1:5" x14ac:dyDescent="0.25">
      <c r="A8839" s="279">
        <v>39288</v>
      </c>
      <c r="B8839" t="s">
        <v>338</v>
      </c>
      <c r="C8839" t="s">
        <v>120</v>
      </c>
      <c r="D8839">
        <v>6845</v>
      </c>
      <c r="E8839" t="s">
        <v>378</v>
      </c>
    </row>
    <row r="8840" spans="1:5" x14ac:dyDescent="0.25">
      <c r="A8840" s="279">
        <v>39288</v>
      </c>
      <c r="B8840" t="s">
        <v>338</v>
      </c>
      <c r="C8840" t="s">
        <v>121</v>
      </c>
      <c r="D8840">
        <v>0</v>
      </c>
      <c r="E8840" t="s">
        <v>380</v>
      </c>
    </row>
    <row r="8841" spans="1:5" x14ac:dyDescent="0.25">
      <c r="A8841" s="279">
        <v>39288</v>
      </c>
      <c r="B8841" t="s">
        <v>338</v>
      </c>
      <c r="C8841" t="s">
        <v>67</v>
      </c>
      <c r="D8841">
        <v>0</v>
      </c>
      <c r="E8841" t="s">
        <v>378</v>
      </c>
    </row>
    <row r="8842" spans="1:5" x14ac:dyDescent="0.25">
      <c r="A8842" s="279">
        <v>39288</v>
      </c>
      <c r="B8842" t="s">
        <v>338</v>
      </c>
      <c r="C8842" t="s">
        <v>68</v>
      </c>
      <c r="D8842">
        <v>0</v>
      </c>
      <c r="E8842" t="s">
        <v>380</v>
      </c>
    </row>
    <row r="8843" spans="1:5" x14ac:dyDescent="0.25">
      <c r="A8843" s="279">
        <v>39288</v>
      </c>
      <c r="B8843" t="s">
        <v>338</v>
      </c>
      <c r="C8843" t="s">
        <v>69</v>
      </c>
      <c r="D8843">
        <v>0</v>
      </c>
      <c r="E8843" t="s">
        <v>379</v>
      </c>
    </row>
    <row r="8844" spans="1:5" x14ac:dyDescent="0.25">
      <c r="A8844" s="279">
        <v>39288</v>
      </c>
      <c r="B8844" t="s">
        <v>338</v>
      </c>
      <c r="C8844" t="s">
        <v>70</v>
      </c>
      <c r="D8844">
        <v>0</v>
      </c>
      <c r="E8844" t="s">
        <v>379</v>
      </c>
    </row>
    <row r="8845" spans="1:5" x14ac:dyDescent="0.25">
      <c r="A8845" s="279">
        <v>39288</v>
      </c>
      <c r="B8845" t="s">
        <v>338</v>
      </c>
      <c r="C8845" t="s">
        <v>80</v>
      </c>
      <c r="D8845">
        <v>187</v>
      </c>
      <c r="E8845" t="s">
        <v>379</v>
      </c>
    </row>
    <row r="8846" spans="1:5" x14ac:dyDescent="0.25">
      <c r="A8846" s="279">
        <v>39288</v>
      </c>
      <c r="B8846" t="s">
        <v>339</v>
      </c>
      <c r="C8846" t="s">
        <v>71</v>
      </c>
      <c r="D8846">
        <v>1916</v>
      </c>
      <c r="E8846" t="s">
        <v>378</v>
      </c>
    </row>
    <row r="8847" spans="1:5" x14ac:dyDescent="0.25">
      <c r="A8847" s="279">
        <v>39288</v>
      </c>
      <c r="B8847" t="s">
        <v>339</v>
      </c>
      <c r="C8847" t="s">
        <v>72</v>
      </c>
      <c r="D8847">
        <v>0</v>
      </c>
      <c r="E8847" t="s">
        <v>380</v>
      </c>
    </row>
    <row r="8848" spans="1:5" x14ac:dyDescent="0.25">
      <c r="A8848" s="279">
        <v>39288</v>
      </c>
      <c r="B8848" t="s">
        <v>339</v>
      </c>
      <c r="C8848" t="s">
        <v>73</v>
      </c>
      <c r="D8848">
        <v>17029</v>
      </c>
      <c r="E8848" t="s">
        <v>378</v>
      </c>
    </row>
    <row r="8849" spans="1:5" x14ac:dyDescent="0.25">
      <c r="A8849" s="279">
        <v>39288</v>
      </c>
      <c r="B8849" t="s">
        <v>339</v>
      </c>
      <c r="C8849" t="s">
        <v>74</v>
      </c>
      <c r="D8849">
        <v>0</v>
      </c>
      <c r="E8849" t="s">
        <v>380</v>
      </c>
    </row>
    <row r="8850" spans="1:5" x14ac:dyDescent="0.25">
      <c r="A8850" s="279">
        <v>39288</v>
      </c>
      <c r="B8850" t="s">
        <v>339</v>
      </c>
      <c r="C8850" t="s">
        <v>75</v>
      </c>
      <c r="D8850">
        <v>15287</v>
      </c>
      <c r="E8850" t="s">
        <v>378</v>
      </c>
    </row>
    <row r="8851" spans="1:5" x14ac:dyDescent="0.25">
      <c r="A8851" s="279">
        <v>39288</v>
      </c>
      <c r="B8851" t="s">
        <v>339</v>
      </c>
      <c r="C8851" t="s">
        <v>76</v>
      </c>
      <c r="D8851">
        <v>6320</v>
      </c>
      <c r="E8851" t="s">
        <v>380</v>
      </c>
    </row>
    <row r="8852" spans="1:5" x14ac:dyDescent="0.25">
      <c r="A8852" s="279">
        <v>39288</v>
      </c>
      <c r="B8852" t="s">
        <v>339</v>
      </c>
      <c r="C8852" t="s">
        <v>77</v>
      </c>
      <c r="D8852">
        <v>7289</v>
      </c>
      <c r="E8852" t="s">
        <v>378</v>
      </c>
    </row>
    <row r="8853" spans="1:5" x14ac:dyDescent="0.25">
      <c r="A8853" s="279">
        <v>39288</v>
      </c>
      <c r="B8853" t="s">
        <v>339</v>
      </c>
      <c r="C8853" t="s">
        <v>78</v>
      </c>
      <c r="D8853">
        <v>0</v>
      </c>
      <c r="E8853" t="s">
        <v>380</v>
      </c>
    </row>
    <row r="8854" spans="1:5" x14ac:dyDescent="0.25">
      <c r="A8854" s="279">
        <v>39288</v>
      </c>
      <c r="B8854" t="s">
        <v>339</v>
      </c>
      <c r="C8854" t="s">
        <v>79</v>
      </c>
      <c r="D8854">
        <v>91976</v>
      </c>
      <c r="E8854" t="s">
        <v>379</v>
      </c>
    </row>
    <row r="8855" spans="1:5" x14ac:dyDescent="0.25">
      <c r="A8855" s="279">
        <v>39288</v>
      </c>
      <c r="B8855" t="s">
        <v>339</v>
      </c>
      <c r="C8855" t="s">
        <v>70</v>
      </c>
      <c r="D8855">
        <v>0</v>
      </c>
      <c r="E8855" t="s">
        <v>379</v>
      </c>
    </row>
    <row r="8856" spans="1:5" x14ac:dyDescent="0.25">
      <c r="A8856" s="279">
        <v>39288</v>
      </c>
      <c r="B8856" t="s">
        <v>339</v>
      </c>
      <c r="C8856" t="s">
        <v>63</v>
      </c>
      <c r="D8856">
        <v>17353</v>
      </c>
      <c r="E8856" t="s">
        <v>378</v>
      </c>
    </row>
    <row r="8857" spans="1:5" x14ac:dyDescent="0.25">
      <c r="A8857" s="279">
        <v>39288</v>
      </c>
      <c r="B8857" t="s">
        <v>339</v>
      </c>
      <c r="C8857" t="s">
        <v>80</v>
      </c>
      <c r="D8857">
        <v>798</v>
      </c>
      <c r="E8857" t="s">
        <v>379</v>
      </c>
    </row>
    <row r="8858" spans="1:5" x14ac:dyDescent="0.25">
      <c r="A8858" s="279">
        <v>39289</v>
      </c>
      <c r="B8858" t="s">
        <v>338</v>
      </c>
      <c r="C8858" t="s">
        <v>59</v>
      </c>
      <c r="D8858">
        <v>2578</v>
      </c>
      <c r="E8858" t="s">
        <v>378</v>
      </c>
    </row>
    <row r="8859" spans="1:5" x14ac:dyDescent="0.25">
      <c r="A8859" s="279">
        <v>39289</v>
      </c>
      <c r="B8859" t="s">
        <v>338</v>
      </c>
      <c r="C8859" t="s">
        <v>60</v>
      </c>
      <c r="D8859">
        <v>0</v>
      </c>
      <c r="E8859" t="s">
        <v>379</v>
      </c>
    </row>
    <row r="8860" spans="1:5" x14ac:dyDescent="0.25">
      <c r="A8860" s="279">
        <v>39289</v>
      </c>
      <c r="B8860" t="s">
        <v>338</v>
      </c>
      <c r="C8860" t="s">
        <v>61</v>
      </c>
      <c r="D8860">
        <v>13175</v>
      </c>
      <c r="E8860" t="s">
        <v>378</v>
      </c>
    </row>
    <row r="8861" spans="1:5" x14ac:dyDescent="0.25">
      <c r="A8861" s="279">
        <v>39289</v>
      </c>
      <c r="B8861" t="s">
        <v>338</v>
      </c>
      <c r="C8861" t="s">
        <v>62</v>
      </c>
      <c r="D8861">
        <v>0</v>
      </c>
      <c r="E8861" t="s">
        <v>380</v>
      </c>
    </row>
    <row r="8862" spans="1:5" x14ac:dyDescent="0.25">
      <c r="A8862" s="279">
        <v>39289</v>
      </c>
      <c r="B8862" t="s">
        <v>338</v>
      </c>
      <c r="C8862" t="s">
        <v>63</v>
      </c>
      <c r="D8862">
        <v>0</v>
      </c>
      <c r="E8862" t="s">
        <v>378</v>
      </c>
    </row>
    <row r="8863" spans="1:5" x14ac:dyDescent="0.25">
      <c r="A8863" s="279">
        <v>39289</v>
      </c>
      <c r="B8863" t="s">
        <v>338</v>
      </c>
      <c r="C8863" t="s">
        <v>64</v>
      </c>
      <c r="D8863">
        <v>0</v>
      </c>
      <c r="E8863" t="s">
        <v>380</v>
      </c>
    </row>
    <row r="8864" spans="1:5" x14ac:dyDescent="0.25">
      <c r="A8864" s="279">
        <v>39289</v>
      </c>
      <c r="B8864" t="s">
        <v>338</v>
      </c>
      <c r="C8864" t="s">
        <v>65</v>
      </c>
      <c r="D8864">
        <v>0</v>
      </c>
      <c r="E8864" t="s">
        <v>378</v>
      </c>
    </row>
    <row r="8865" spans="1:5" x14ac:dyDescent="0.25">
      <c r="A8865" s="279">
        <v>39289</v>
      </c>
      <c r="B8865" t="s">
        <v>338</v>
      </c>
      <c r="C8865" t="s">
        <v>66</v>
      </c>
      <c r="D8865">
        <v>0</v>
      </c>
      <c r="E8865" t="s">
        <v>380</v>
      </c>
    </row>
    <row r="8866" spans="1:5" x14ac:dyDescent="0.25">
      <c r="A8866" s="279">
        <v>39289</v>
      </c>
      <c r="B8866" t="s">
        <v>338</v>
      </c>
      <c r="C8866" t="s">
        <v>120</v>
      </c>
      <c r="D8866">
        <v>6824</v>
      </c>
      <c r="E8866" t="s">
        <v>378</v>
      </c>
    </row>
    <row r="8867" spans="1:5" x14ac:dyDescent="0.25">
      <c r="A8867" s="279">
        <v>39289</v>
      </c>
      <c r="B8867" t="s">
        <v>338</v>
      </c>
      <c r="C8867" t="s">
        <v>121</v>
      </c>
      <c r="D8867">
        <v>0</v>
      </c>
      <c r="E8867" t="s">
        <v>380</v>
      </c>
    </row>
    <row r="8868" spans="1:5" x14ac:dyDescent="0.25">
      <c r="A8868" s="279">
        <v>39289</v>
      </c>
      <c r="B8868" t="s">
        <v>338</v>
      </c>
      <c r="C8868" t="s">
        <v>67</v>
      </c>
      <c r="D8868">
        <v>0</v>
      </c>
      <c r="E8868" t="s">
        <v>378</v>
      </c>
    </row>
    <row r="8869" spans="1:5" x14ac:dyDescent="0.25">
      <c r="A8869" s="279">
        <v>39289</v>
      </c>
      <c r="B8869" t="s">
        <v>338</v>
      </c>
      <c r="C8869" t="s">
        <v>68</v>
      </c>
      <c r="D8869">
        <v>0</v>
      </c>
      <c r="E8869" t="s">
        <v>380</v>
      </c>
    </row>
    <row r="8870" spans="1:5" x14ac:dyDescent="0.25">
      <c r="A8870" s="279">
        <v>39289</v>
      </c>
      <c r="B8870" t="s">
        <v>338</v>
      </c>
      <c r="C8870" t="s">
        <v>69</v>
      </c>
      <c r="D8870">
        <v>0</v>
      </c>
      <c r="E8870" t="s">
        <v>379</v>
      </c>
    </row>
    <row r="8871" spans="1:5" x14ac:dyDescent="0.25">
      <c r="A8871" s="279">
        <v>39289</v>
      </c>
      <c r="B8871" t="s">
        <v>338</v>
      </c>
      <c r="C8871" t="s">
        <v>70</v>
      </c>
      <c r="D8871">
        <v>0</v>
      </c>
      <c r="E8871" t="s">
        <v>379</v>
      </c>
    </row>
    <row r="8872" spans="1:5" x14ac:dyDescent="0.25">
      <c r="A8872" s="279">
        <v>39289</v>
      </c>
      <c r="B8872" t="s">
        <v>338</v>
      </c>
      <c r="C8872" t="s">
        <v>80</v>
      </c>
      <c r="D8872">
        <v>186</v>
      </c>
      <c r="E8872" t="s">
        <v>379</v>
      </c>
    </row>
    <row r="8873" spans="1:5" x14ac:dyDescent="0.25">
      <c r="A8873" s="279">
        <v>39289</v>
      </c>
      <c r="B8873" t="s">
        <v>339</v>
      </c>
      <c r="C8873" t="s">
        <v>71</v>
      </c>
      <c r="D8873">
        <v>1918</v>
      </c>
      <c r="E8873" t="s">
        <v>378</v>
      </c>
    </row>
    <row r="8874" spans="1:5" x14ac:dyDescent="0.25">
      <c r="A8874" s="279">
        <v>39289</v>
      </c>
      <c r="B8874" t="s">
        <v>339</v>
      </c>
      <c r="C8874" t="s">
        <v>72</v>
      </c>
      <c r="D8874">
        <v>0</v>
      </c>
      <c r="E8874" t="s">
        <v>380</v>
      </c>
    </row>
    <row r="8875" spans="1:5" x14ac:dyDescent="0.25">
      <c r="A8875" s="279">
        <v>39289</v>
      </c>
      <c r="B8875" t="s">
        <v>339</v>
      </c>
      <c r="C8875" t="s">
        <v>73</v>
      </c>
      <c r="D8875">
        <v>17045</v>
      </c>
      <c r="E8875" t="s">
        <v>378</v>
      </c>
    </row>
    <row r="8876" spans="1:5" x14ac:dyDescent="0.25">
      <c r="A8876" s="279">
        <v>39289</v>
      </c>
      <c r="B8876" t="s">
        <v>339</v>
      </c>
      <c r="C8876" t="s">
        <v>74</v>
      </c>
      <c r="D8876">
        <v>0</v>
      </c>
      <c r="E8876" t="s">
        <v>380</v>
      </c>
    </row>
    <row r="8877" spans="1:5" x14ac:dyDescent="0.25">
      <c r="A8877" s="279">
        <v>39289</v>
      </c>
      <c r="B8877" t="s">
        <v>339</v>
      </c>
      <c r="C8877" t="s">
        <v>75</v>
      </c>
      <c r="D8877">
        <v>15301</v>
      </c>
      <c r="E8877" t="s">
        <v>378</v>
      </c>
    </row>
    <row r="8878" spans="1:5" x14ac:dyDescent="0.25">
      <c r="A8878" s="279">
        <v>39289</v>
      </c>
      <c r="B8878" t="s">
        <v>339</v>
      </c>
      <c r="C8878" t="s">
        <v>76</v>
      </c>
      <c r="D8878">
        <v>4530</v>
      </c>
      <c r="E8878" t="s">
        <v>380</v>
      </c>
    </row>
    <row r="8879" spans="1:5" x14ac:dyDescent="0.25">
      <c r="A8879" s="279">
        <v>39289</v>
      </c>
      <c r="B8879" t="s">
        <v>339</v>
      </c>
      <c r="C8879" t="s">
        <v>77</v>
      </c>
      <c r="D8879">
        <v>7296</v>
      </c>
      <c r="E8879" t="s">
        <v>378</v>
      </c>
    </row>
    <row r="8880" spans="1:5" x14ac:dyDescent="0.25">
      <c r="A8880" s="279">
        <v>39289</v>
      </c>
      <c r="B8880" t="s">
        <v>339</v>
      </c>
      <c r="C8880" t="s">
        <v>78</v>
      </c>
      <c r="D8880">
        <v>0</v>
      </c>
      <c r="E8880" t="s">
        <v>380</v>
      </c>
    </row>
    <row r="8881" spans="1:5" x14ac:dyDescent="0.25">
      <c r="A8881" s="279">
        <v>39289</v>
      </c>
      <c r="B8881" t="s">
        <v>339</v>
      </c>
      <c r="C8881" t="s">
        <v>79</v>
      </c>
      <c r="D8881">
        <v>92065</v>
      </c>
      <c r="E8881" t="s">
        <v>379</v>
      </c>
    </row>
    <row r="8882" spans="1:5" x14ac:dyDescent="0.25">
      <c r="A8882" s="279">
        <v>39289</v>
      </c>
      <c r="B8882" t="s">
        <v>339</v>
      </c>
      <c r="C8882" t="s">
        <v>70</v>
      </c>
      <c r="D8882">
        <v>0</v>
      </c>
      <c r="E8882" t="s">
        <v>379</v>
      </c>
    </row>
    <row r="8883" spans="1:5" x14ac:dyDescent="0.25">
      <c r="A8883" s="279">
        <v>39289</v>
      </c>
      <c r="B8883" t="s">
        <v>339</v>
      </c>
      <c r="C8883" t="s">
        <v>63</v>
      </c>
      <c r="D8883">
        <v>17369</v>
      </c>
      <c r="E8883" t="s">
        <v>378</v>
      </c>
    </row>
    <row r="8884" spans="1:5" x14ac:dyDescent="0.25">
      <c r="A8884" s="279">
        <v>39289</v>
      </c>
      <c r="B8884" t="s">
        <v>339</v>
      </c>
      <c r="C8884" t="s">
        <v>80</v>
      </c>
      <c r="D8884">
        <v>799</v>
      </c>
      <c r="E8884" t="s">
        <v>379</v>
      </c>
    </row>
    <row r="8885" spans="1:5" x14ac:dyDescent="0.25">
      <c r="A8885" s="279">
        <v>39290</v>
      </c>
      <c r="B8885" t="s">
        <v>338</v>
      </c>
      <c r="C8885" t="s">
        <v>59</v>
      </c>
      <c r="D8885">
        <v>2570</v>
      </c>
      <c r="E8885" t="s">
        <v>378</v>
      </c>
    </row>
    <row r="8886" spans="1:5" x14ac:dyDescent="0.25">
      <c r="A8886" s="279">
        <v>39290</v>
      </c>
      <c r="B8886" t="s">
        <v>338</v>
      </c>
      <c r="C8886" t="s">
        <v>60</v>
      </c>
      <c r="D8886">
        <v>0</v>
      </c>
      <c r="E8886" t="s">
        <v>379</v>
      </c>
    </row>
    <row r="8887" spans="1:5" x14ac:dyDescent="0.25">
      <c r="A8887" s="279">
        <v>39290</v>
      </c>
      <c r="B8887" t="s">
        <v>338</v>
      </c>
      <c r="C8887" t="s">
        <v>61</v>
      </c>
      <c r="D8887">
        <v>13137</v>
      </c>
      <c r="E8887" t="s">
        <v>378</v>
      </c>
    </row>
    <row r="8888" spans="1:5" x14ac:dyDescent="0.25">
      <c r="A8888" s="279">
        <v>39290</v>
      </c>
      <c r="B8888" t="s">
        <v>338</v>
      </c>
      <c r="C8888" t="s">
        <v>62</v>
      </c>
      <c r="D8888">
        <v>0</v>
      </c>
      <c r="E8888" t="s">
        <v>380</v>
      </c>
    </row>
    <row r="8889" spans="1:5" x14ac:dyDescent="0.25">
      <c r="A8889" s="279">
        <v>39290</v>
      </c>
      <c r="B8889" t="s">
        <v>338</v>
      </c>
      <c r="C8889" t="s">
        <v>63</v>
      </c>
      <c r="D8889">
        <v>0</v>
      </c>
      <c r="E8889" t="s">
        <v>378</v>
      </c>
    </row>
    <row r="8890" spans="1:5" x14ac:dyDescent="0.25">
      <c r="A8890" s="279">
        <v>39290</v>
      </c>
      <c r="B8890" t="s">
        <v>338</v>
      </c>
      <c r="C8890" t="s">
        <v>64</v>
      </c>
      <c r="D8890">
        <v>0</v>
      </c>
      <c r="E8890" t="s">
        <v>380</v>
      </c>
    </row>
    <row r="8891" spans="1:5" x14ac:dyDescent="0.25">
      <c r="A8891" s="279">
        <v>39290</v>
      </c>
      <c r="B8891" t="s">
        <v>338</v>
      </c>
      <c r="C8891" t="s">
        <v>65</v>
      </c>
      <c r="D8891">
        <v>0</v>
      </c>
      <c r="E8891" t="s">
        <v>378</v>
      </c>
    </row>
    <row r="8892" spans="1:5" x14ac:dyDescent="0.25">
      <c r="A8892" s="279">
        <v>39290</v>
      </c>
      <c r="B8892" t="s">
        <v>338</v>
      </c>
      <c r="C8892" t="s">
        <v>66</v>
      </c>
      <c r="D8892">
        <v>0</v>
      </c>
      <c r="E8892" t="s">
        <v>380</v>
      </c>
    </row>
    <row r="8893" spans="1:5" x14ac:dyDescent="0.25">
      <c r="A8893" s="279">
        <v>39290</v>
      </c>
      <c r="B8893" t="s">
        <v>338</v>
      </c>
      <c r="C8893" t="s">
        <v>120</v>
      </c>
      <c r="D8893">
        <v>6823</v>
      </c>
      <c r="E8893" t="s">
        <v>378</v>
      </c>
    </row>
    <row r="8894" spans="1:5" x14ac:dyDescent="0.25">
      <c r="A8894" s="279">
        <v>39290</v>
      </c>
      <c r="B8894" t="s">
        <v>338</v>
      </c>
      <c r="C8894" t="s">
        <v>121</v>
      </c>
      <c r="D8894">
        <v>0</v>
      </c>
      <c r="E8894" t="s">
        <v>380</v>
      </c>
    </row>
    <row r="8895" spans="1:5" x14ac:dyDescent="0.25">
      <c r="A8895" s="279">
        <v>39290</v>
      </c>
      <c r="B8895" t="s">
        <v>338</v>
      </c>
      <c r="C8895" t="s">
        <v>67</v>
      </c>
      <c r="D8895">
        <v>0</v>
      </c>
      <c r="E8895" t="s">
        <v>378</v>
      </c>
    </row>
    <row r="8896" spans="1:5" x14ac:dyDescent="0.25">
      <c r="A8896" s="279">
        <v>39290</v>
      </c>
      <c r="B8896" t="s">
        <v>338</v>
      </c>
      <c r="C8896" t="s">
        <v>68</v>
      </c>
      <c r="D8896">
        <v>0</v>
      </c>
      <c r="E8896" t="s">
        <v>380</v>
      </c>
    </row>
    <row r="8897" spans="1:5" x14ac:dyDescent="0.25">
      <c r="A8897" s="279">
        <v>39290</v>
      </c>
      <c r="B8897" t="s">
        <v>338</v>
      </c>
      <c r="C8897" t="s">
        <v>69</v>
      </c>
      <c r="D8897">
        <v>0</v>
      </c>
      <c r="E8897" t="s">
        <v>379</v>
      </c>
    </row>
    <row r="8898" spans="1:5" x14ac:dyDescent="0.25">
      <c r="A8898" s="279">
        <v>39290</v>
      </c>
      <c r="B8898" t="s">
        <v>338</v>
      </c>
      <c r="C8898" t="s">
        <v>70</v>
      </c>
      <c r="D8898">
        <v>0</v>
      </c>
      <c r="E8898" t="s">
        <v>379</v>
      </c>
    </row>
    <row r="8899" spans="1:5" x14ac:dyDescent="0.25">
      <c r="A8899" s="279">
        <v>39290</v>
      </c>
      <c r="B8899" t="s">
        <v>338</v>
      </c>
      <c r="C8899" t="s">
        <v>80</v>
      </c>
      <c r="D8899">
        <v>186</v>
      </c>
      <c r="E8899" t="s">
        <v>379</v>
      </c>
    </row>
    <row r="8900" spans="1:5" x14ac:dyDescent="0.25">
      <c r="A8900" s="279">
        <v>39290</v>
      </c>
      <c r="B8900" t="s">
        <v>339</v>
      </c>
      <c r="C8900" t="s">
        <v>71</v>
      </c>
      <c r="D8900">
        <v>1918</v>
      </c>
      <c r="E8900" t="s">
        <v>378</v>
      </c>
    </row>
    <row r="8901" spans="1:5" x14ac:dyDescent="0.25">
      <c r="A8901" s="279">
        <v>39290</v>
      </c>
      <c r="B8901" t="s">
        <v>339</v>
      </c>
      <c r="C8901" t="s">
        <v>72</v>
      </c>
      <c r="D8901">
        <v>0</v>
      </c>
      <c r="E8901" t="s">
        <v>380</v>
      </c>
    </row>
    <row r="8902" spans="1:5" x14ac:dyDescent="0.25">
      <c r="A8902" s="279">
        <v>39290</v>
      </c>
      <c r="B8902" t="s">
        <v>339</v>
      </c>
      <c r="C8902" t="s">
        <v>73</v>
      </c>
      <c r="D8902">
        <v>17045</v>
      </c>
      <c r="E8902" t="s">
        <v>378</v>
      </c>
    </row>
    <row r="8903" spans="1:5" x14ac:dyDescent="0.25">
      <c r="A8903" s="279">
        <v>39290</v>
      </c>
      <c r="B8903" t="s">
        <v>339</v>
      </c>
      <c r="C8903" t="s">
        <v>74</v>
      </c>
      <c r="D8903">
        <v>0</v>
      </c>
      <c r="E8903" t="s">
        <v>380</v>
      </c>
    </row>
    <row r="8904" spans="1:5" x14ac:dyDescent="0.25">
      <c r="A8904" s="279">
        <v>39290</v>
      </c>
      <c r="B8904" t="s">
        <v>339</v>
      </c>
      <c r="C8904" t="s">
        <v>75</v>
      </c>
      <c r="D8904">
        <v>15301</v>
      </c>
      <c r="E8904" t="s">
        <v>378</v>
      </c>
    </row>
    <row r="8905" spans="1:5" x14ac:dyDescent="0.25">
      <c r="A8905" s="279">
        <v>39290</v>
      </c>
      <c r="B8905" t="s">
        <v>339</v>
      </c>
      <c r="C8905" t="s">
        <v>76</v>
      </c>
      <c r="D8905">
        <v>2659</v>
      </c>
      <c r="E8905" t="s">
        <v>380</v>
      </c>
    </row>
    <row r="8906" spans="1:5" x14ac:dyDescent="0.25">
      <c r="A8906" s="279">
        <v>39290</v>
      </c>
      <c r="B8906" t="s">
        <v>339</v>
      </c>
      <c r="C8906" t="s">
        <v>77</v>
      </c>
      <c r="D8906">
        <v>7296</v>
      </c>
      <c r="E8906" t="s">
        <v>378</v>
      </c>
    </row>
    <row r="8907" spans="1:5" x14ac:dyDescent="0.25">
      <c r="A8907" s="279">
        <v>39290</v>
      </c>
      <c r="B8907" t="s">
        <v>339</v>
      </c>
      <c r="C8907" t="s">
        <v>78</v>
      </c>
      <c r="D8907">
        <v>0</v>
      </c>
      <c r="E8907" t="s">
        <v>380</v>
      </c>
    </row>
    <row r="8908" spans="1:5" x14ac:dyDescent="0.25">
      <c r="A8908" s="279">
        <v>39290</v>
      </c>
      <c r="B8908" t="s">
        <v>339</v>
      </c>
      <c r="C8908" t="s">
        <v>79</v>
      </c>
      <c r="D8908">
        <v>92065</v>
      </c>
      <c r="E8908" t="s">
        <v>379</v>
      </c>
    </row>
    <row r="8909" spans="1:5" x14ac:dyDescent="0.25">
      <c r="A8909" s="279">
        <v>39290</v>
      </c>
      <c r="B8909" t="s">
        <v>339</v>
      </c>
      <c r="C8909" t="s">
        <v>70</v>
      </c>
      <c r="D8909">
        <v>0</v>
      </c>
      <c r="E8909" t="s">
        <v>379</v>
      </c>
    </row>
    <row r="8910" spans="1:5" x14ac:dyDescent="0.25">
      <c r="A8910" s="279">
        <v>39290</v>
      </c>
      <c r="B8910" t="s">
        <v>339</v>
      </c>
      <c r="C8910" t="s">
        <v>63</v>
      </c>
      <c r="D8910">
        <v>17369</v>
      </c>
      <c r="E8910" t="s">
        <v>378</v>
      </c>
    </row>
    <row r="8911" spans="1:5" x14ac:dyDescent="0.25">
      <c r="A8911" s="279">
        <v>39290</v>
      </c>
      <c r="B8911" t="s">
        <v>339</v>
      </c>
      <c r="C8911" t="s">
        <v>80</v>
      </c>
      <c r="D8911">
        <v>799</v>
      </c>
      <c r="E8911" t="s">
        <v>379</v>
      </c>
    </row>
    <row r="8912" spans="1:5" x14ac:dyDescent="0.25">
      <c r="A8912" s="279">
        <v>39291</v>
      </c>
      <c r="B8912" t="s">
        <v>338</v>
      </c>
      <c r="C8912" t="s">
        <v>59</v>
      </c>
      <c r="D8912">
        <v>2570</v>
      </c>
      <c r="E8912" t="s">
        <v>378</v>
      </c>
    </row>
    <row r="8913" spans="1:5" x14ac:dyDescent="0.25">
      <c r="A8913" s="279">
        <v>39291</v>
      </c>
      <c r="B8913" t="s">
        <v>338</v>
      </c>
      <c r="C8913" t="s">
        <v>60</v>
      </c>
      <c r="D8913">
        <v>0</v>
      </c>
      <c r="E8913" t="s">
        <v>379</v>
      </c>
    </row>
    <row r="8914" spans="1:5" x14ac:dyDescent="0.25">
      <c r="A8914" s="279">
        <v>39291</v>
      </c>
      <c r="B8914" t="s">
        <v>338</v>
      </c>
      <c r="C8914" t="s">
        <v>61</v>
      </c>
      <c r="D8914">
        <v>13137</v>
      </c>
      <c r="E8914" t="s">
        <v>378</v>
      </c>
    </row>
    <row r="8915" spans="1:5" x14ac:dyDescent="0.25">
      <c r="A8915" s="279">
        <v>39291</v>
      </c>
      <c r="B8915" t="s">
        <v>338</v>
      </c>
      <c r="C8915" t="s">
        <v>62</v>
      </c>
      <c r="D8915">
        <v>0</v>
      </c>
      <c r="E8915" t="s">
        <v>380</v>
      </c>
    </row>
    <row r="8916" spans="1:5" x14ac:dyDescent="0.25">
      <c r="A8916" s="279">
        <v>39291</v>
      </c>
      <c r="B8916" t="s">
        <v>338</v>
      </c>
      <c r="C8916" t="s">
        <v>63</v>
      </c>
      <c r="D8916">
        <v>0</v>
      </c>
      <c r="E8916" t="s">
        <v>378</v>
      </c>
    </row>
    <row r="8917" spans="1:5" x14ac:dyDescent="0.25">
      <c r="A8917" s="279">
        <v>39291</v>
      </c>
      <c r="B8917" t="s">
        <v>338</v>
      </c>
      <c r="C8917" t="s">
        <v>64</v>
      </c>
      <c r="D8917">
        <v>0</v>
      </c>
      <c r="E8917" t="s">
        <v>380</v>
      </c>
    </row>
    <row r="8918" spans="1:5" x14ac:dyDescent="0.25">
      <c r="A8918" s="279">
        <v>39291</v>
      </c>
      <c r="B8918" t="s">
        <v>338</v>
      </c>
      <c r="C8918" t="s">
        <v>65</v>
      </c>
      <c r="D8918">
        <v>0</v>
      </c>
      <c r="E8918" t="s">
        <v>378</v>
      </c>
    </row>
    <row r="8919" spans="1:5" x14ac:dyDescent="0.25">
      <c r="A8919" s="279">
        <v>39291</v>
      </c>
      <c r="B8919" t="s">
        <v>338</v>
      </c>
      <c r="C8919" t="s">
        <v>66</v>
      </c>
      <c r="D8919">
        <v>0</v>
      </c>
      <c r="E8919" t="s">
        <v>380</v>
      </c>
    </row>
    <row r="8920" spans="1:5" x14ac:dyDescent="0.25">
      <c r="A8920" s="279">
        <v>39291</v>
      </c>
      <c r="B8920" t="s">
        <v>338</v>
      </c>
      <c r="C8920" t="s">
        <v>120</v>
      </c>
      <c r="D8920">
        <v>6853</v>
      </c>
      <c r="E8920" t="s">
        <v>378</v>
      </c>
    </row>
    <row r="8921" spans="1:5" x14ac:dyDescent="0.25">
      <c r="A8921" s="279">
        <v>39291</v>
      </c>
      <c r="B8921" t="s">
        <v>338</v>
      </c>
      <c r="C8921" t="s">
        <v>121</v>
      </c>
      <c r="D8921">
        <v>0</v>
      </c>
      <c r="E8921" t="s">
        <v>380</v>
      </c>
    </row>
    <row r="8922" spans="1:5" x14ac:dyDescent="0.25">
      <c r="A8922" s="279">
        <v>39291</v>
      </c>
      <c r="B8922" t="s">
        <v>338</v>
      </c>
      <c r="C8922" t="s">
        <v>67</v>
      </c>
      <c r="D8922">
        <v>0</v>
      </c>
      <c r="E8922" t="s">
        <v>378</v>
      </c>
    </row>
    <row r="8923" spans="1:5" x14ac:dyDescent="0.25">
      <c r="A8923" s="279">
        <v>39291</v>
      </c>
      <c r="B8923" t="s">
        <v>338</v>
      </c>
      <c r="C8923" t="s">
        <v>68</v>
      </c>
      <c r="D8923">
        <v>0</v>
      </c>
      <c r="E8923" t="s">
        <v>380</v>
      </c>
    </row>
    <row r="8924" spans="1:5" x14ac:dyDescent="0.25">
      <c r="A8924" s="279">
        <v>39291</v>
      </c>
      <c r="B8924" t="s">
        <v>338</v>
      </c>
      <c r="C8924" t="s">
        <v>69</v>
      </c>
      <c r="D8924">
        <v>0</v>
      </c>
      <c r="E8924" t="s">
        <v>379</v>
      </c>
    </row>
    <row r="8925" spans="1:5" x14ac:dyDescent="0.25">
      <c r="A8925" s="279">
        <v>39291</v>
      </c>
      <c r="B8925" t="s">
        <v>338</v>
      </c>
      <c r="C8925" t="s">
        <v>70</v>
      </c>
      <c r="D8925">
        <v>0</v>
      </c>
      <c r="E8925" t="s">
        <v>379</v>
      </c>
    </row>
    <row r="8926" spans="1:5" x14ac:dyDescent="0.25">
      <c r="A8926" s="279">
        <v>39291</v>
      </c>
      <c r="B8926" t="s">
        <v>338</v>
      </c>
      <c r="C8926" t="s">
        <v>80</v>
      </c>
      <c r="D8926">
        <v>186</v>
      </c>
      <c r="E8926" t="s">
        <v>379</v>
      </c>
    </row>
    <row r="8927" spans="1:5" x14ac:dyDescent="0.25">
      <c r="A8927" s="279">
        <v>39291</v>
      </c>
      <c r="B8927" t="s">
        <v>339</v>
      </c>
      <c r="C8927" t="s">
        <v>71</v>
      </c>
      <c r="D8927">
        <v>1923</v>
      </c>
      <c r="E8927" t="s">
        <v>378</v>
      </c>
    </row>
    <row r="8928" spans="1:5" x14ac:dyDescent="0.25">
      <c r="A8928" s="279">
        <v>39291</v>
      </c>
      <c r="B8928" t="s">
        <v>339</v>
      </c>
      <c r="C8928" t="s">
        <v>72</v>
      </c>
      <c r="D8928">
        <v>0</v>
      </c>
      <c r="E8928" t="s">
        <v>380</v>
      </c>
    </row>
    <row r="8929" spans="1:5" x14ac:dyDescent="0.25">
      <c r="A8929" s="279">
        <v>39291</v>
      </c>
      <c r="B8929" t="s">
        <v>339</v>
      </c>
      <c r="C8929" t="s">
        <v>73</v>
      </c>
      <c r="D8929">
        <v>17095</v>
      </c>
      <c r="E8929" t="s">
        <v>378</v>
      </c>
    </row>
    <row r="8930" spans="1:5" x14ac:dyDescent="0.25">
      <c r="A8930" s="279">
        <v>39291</v>
      </c>
      <c r="B8930" t="s">
        <v>339</v>
      </c>
      <c r="C8930" t="s">
        <v>74</v>
      </c>
      <c r="D8930">
        <v>0</v>
      </c>
      <c r="E8930" t="s">
        <v>380</v>
      </c>
    </row>
    <row r="8931" spans="1:5" x14ac:dyDescent="0.25">
      <c r="A8931" s="279">
        <v>39291</v>
      </c>
      <c r="B8931" t="s">
        <v>339</v>
      </c>
      <c r="C8931" t="s">
        <v>75</v>
      </c>
      <c r="D8931">
        <v>15346</v>
      </c>
      <c r="E8931" t="s">
        <v>378</v>
      </c>
    </row>
    <row r="8932" spans="1:5" x14ac:dyDescent="0.25">
      <c r="A8932" s="279">
        <v>39291</v>
      </c>
      <c r="B8932" t="s">
        <v>339</v>
      </c>
      <c r="C8932" t="s">
        <v>76</v>
      </c>
      <c r="D8932">
        <v>4009</v>
      </c>
      <c r="E8932" t="s">
        <v>380</v>
      </c>
    </row>
    <row r="8933" spans="1:5" x14ac:dyDescent="0.25">
      <c r="A8933" s="279">
        <v>39291</v>
      </c>
      <c r="B8933" t="s">
        <v>339</v>
      </c>
      <c r="C8933" t="s">
        <v>77</v>
      </c>
      <c r="D8933">
        <v>7317</v>
      </c>
      <c r="E8933" t="s">
        <v>378</v>
      </c>
    </row>
    <row r="8934" spans="1:5" x14ac:dyDescent="0.25">
      <c r="A8934" s="279">
        <v>39291</v>
      </c>
      <c r="B8934" t="s">
        <v>339</v>
      </c>
      <c r="C8934" t="s">
        <v>78</v>
      </c>
      <c r="D8934">
        <v>0</v>
      </c>
      <c r="E8934" t="s">
        <v>380</v>
      </c>
    </row>
    <row r="8935" spans="1:5" x14ac:dyDescent="0.25">
      <c r="A8935" s="279">
        <v>39291</v>
      </c>
      <c r="B8935" t="s">
        <v>339</v>
      </c>
      <c r="C8935" t="s">
        <v>79</v>
      </c>
      <c r="D8935">
        <v>92333</v>
      </c>
      <c r="E8935" t="s">
        <v>379</v>
      </c>
    </row>
    <row r="8936" spans="1:5" x14ac:dyDescent="0.25">
      <c r="A8936" s="279">
        <v>39291</v>
      </c>
      <c r="B8936" t="s">
        <v>339</v>
      </c>
      <c r="C8936" t="s">
        <v>70</v>
      </c>
      <c r="D8936">
        <v>0</v>
      </c>
      <c r="E8936" t="s">
        <v>379</v>
      </c>
    </row>
    <row r="8937" spans="1:5" x14ac:dyDescent="0.25">
      <c r="A8937" s="279">
        <v>39291</v>
      </c>
      <c r="B8937" t="s">
        <v>339</v>
      </c>
      <c r="C8937" t="s">
        <v>63</v>
      </c>
      <c r="D8937">
        <v>17420</v>
      </c>
      <c r="E8937" t="s">
        <v>378</v>
      </c>
    </row>
    <row r="8938" spans="1:5" x14ac:dyDescent="0.25">
      <c r="A8938" s="279">
        <v>39291</v>
      </c>
      <c r="B8938" t="s">
        <v>339</v>
      </c>
      <c r="C8938" t="s">
        <v>80</v>
      </c>
      <c r="D8938">
        <v>801</v>
      </c>
      <c r="E8938" t="s">
        <v>379</v>
      </c>
    </row>
    <row r="8939" spans="1:5" x14ac:dyDescent="0.25">
      <c r="A8939" s="279">
        <v>39292</v>
      </c>
      <c r="B8939" t="s">
        <v>338</v>
      </c>
      <c r="C8939" t="s">
        <v>59</v>
      </c>
      <c r="D8939">
        <v>2580</v>
      </c>
      <c r="E8939" t="s">
        <v>378</v>
      </c>
    </row>
    <row r="8940" spans="1:5" x14ac:dyDescent="0.25">
      <c r="A8940" s="279">
        <v>39292</v>
      </c>
      <c r="B8940" t="s">
        <v>338</v>
      </c>
      <c r="C8940" t="s">
        <v>60</v>
      </c>
      <c r="D8940">
        <v>0</v>
      </c>
      <c r="E8940" t="s">
        <v>379</v>
      </c>
    </row>
    <row r="8941" spans="1:5" x14ac:dyDescent="0.25">
      <c r="A8941" s="279">
        <v>39292</v>
      </c>
      <c r="B8941" t="s">
        <v>338</v>
      </c>
      <c r="C8941" t="s">
        <v>61</v>
      </c>
      <c r="D8941">
        <v>13188</v>
      </c>
      <c r="E8941" t="s">
        <v>378</v>
      </c>
    </row>
    <row r="8942" spans="1:5" x14ac:dyDescent="0.25">
      <c r="A8942" s="279">
        <v>39292</v>
      </c>
      <c r="B8942" t="s">
        <v>338</v>
      </c>
      <c r="C8942" t="s">
        <v>62</v>
      </c>
      <c r="D8942">
        <v>0</v>
      </c>
      <c r="E8942" t="s">
        <v>380</v>
      </c>
    </row>
    <row r="8943" spans="1:5" x14ac:dyDescent="0.25">
      <c r="A8943" s="279">
        <v>39292</v>
      </c>
      <c r="B8943" t="s">
        <v>338</v>
      </c>
      <c r="C8943" t="s">
        <v>63</v>
      </c>
      <c r="D8943">
        <v>0</v>
      </c>
      <c r="E8943" t="s">
        <v>378</v>
      </c>
    </row>
    <row r="8944" spans="1:5" x14ac:dyDescent="0.25">
      <c r="A8944" s="279">
        <v>39292</v>
      </c>
      <c r="B8944" t="s">
        <v>338</v>
      </c>
      <c r="C8944" t="s">
        <v>64</v>
      </c>
      <c r="D8944">
        <v>0</v>
      </c>
      <c r="E8944" t="s">
        <v>380</v>
      </c>
    </row>
    <row r="8945" spans="1:5" x14ac:dyDescent="0.25">
      <c r="A8945" s="279">
        <v>39292</v>
      </c>
      <c r="B8945" t="s">
        <v>338</v>
      </c>
      <c r="C8945" t="s">
        <v>65</v>
      </c>
      <c r="D8945">
        <v>0</v>
      </c>
      <c r="E8945" t="s">
        <v>378</v>
      </c>
    </row>
    <row r="8946" spans="1:5" x14ac:dyDescent="0.25">
      <c r="A8946" s="279">
        <v>39292</v>
      </c>
      <c r="B8946" t="s">
        <v>338</v>
      </c>
      <c r="C8946" t="s">
        <v>66</v>
      </c>
      <c r="D8946">
        <v>0</v>
      </c>
      <c r="E8946" t="s">
        <v>380</v>
      </c>
    </row>
    <row r="8947" spans="1:5" x14ac:dyDescent="0.25">
      <c r="A8947" s="279">
        <v>39292</v>
      </c>
      <c r="B8947" t="s">
        <v>338</v>
      </c>
      <c r="C8947" t="s">
        <v>120</v>
      </c>
      <c r="D8947">
        <v>6860</v>
      </c>
      <c r="E8947" t="s">
        <v>378</v>
      </c>
    </row>
    <row r="8948" spans="1:5" x14ac:dyDescent="0.25">
      <c r="A8948" s="279">
        <v>39292</v>
      </c>
      <c r="B8948" t="s">
        <v>338</v>
      </c>
      <c r="C8948" t="s">
        <v>121</v>
      </c>
      <c r="D8948">
        <v>0</v>
      </c>
      <c r="E8948" t="s">
        <v>380</v>
      </c>
    </row>
    <row r="8949" spans="1:5" x14ac:dyDescent="0.25">
      <c r="A8949" s="279">
        <v>39292</v>
      </c>
      <c r="B8949" t="s">
        <v>338</v>
      </c>
      <c r="C8949" t="s">
        <v>67</v>
      </c>
      <c r="D8949">
        <v>0</v>
      </c>
      <c r="E8949" t="s">
        <v>378</v>
      </c>
    </row>
    <row r="8950" spans="1:5" x14ac:dyDescent="0.25">
      <c r="A8950" s="279">
        <v>39292</v>
      </c>
      <c r="B8950" t="s">
        <v>338</v>
      </c>
      <c r="C8950" t="s">
        <v>68</v>
      </c>
      <c r="D8950">
        <v>0</v>
      </c>
      <c r="E8950" t="s">
        <v>380</v>
      </c>
    </row>
    <row r="8951" spans="1:5" x14ac:dyDescent="0.25">
      <c r="A8951" s="279">
        <v>39292</v>
      </c>
      <c r="B8951" t="s">
        <v>338</v>
      </c>
      <c r="C8951" t="s">
        <v>69</v>
      </c>
      <c r="D8951">
        <v>0</v>
      </c>
      <c r="E8951" t="s">
        <v>379</v>
      </c>
    </row>
    <row r="8952" spans="1:5" x14ac:dyDescent="0.25">
      <c r="A8952" s="279">
        <v>39292</v>
      </c>
      <c r="B8952" t="s">
        <v>338</v>
      </c>
      <c r="C8952" t="s">
        <v>70</v>
      </c>
      <c r="D8952">
        <v>0</v>
      </c>
      <c r="E8952" t="s">
        <v>379</v>
      </c>
    </row>
    <row r="8953" spans="1:5" x14ac:dyDescent="0.25">
      <c r="A8953" s="279">
        <v>39292</v>
      </c>
      <c r="B8953" t="s">
        <v>338</v>
      </c>
      <c r="C8953" t="s">
        <v>80</v>
      </c>
      <c r="D8953">
        <v>187</v>
      </c>
      <c r="E8953" t="s">
        <v>379</v>
      </c>
    </row>
    <row r="8954" spans="1:5" x14ac:dyDescent="0.25">
      <c r="A8954" s="279">
        <v>39292</v>
      </c>
      <c r="B8954" t="s">
        <v>339</v>
      </c>
      <c r="C8954" t="s">
        <v>71</v>
      </c>
      <c r="D8954">
        <v>1916</v>
      </c>
      <c r="E8954" t="s">
        <v>378</v>
      </c>
    </row>
    <row r="8955" spans="1:5" x14ac:dyDescent="0.25">
      <c r="A8955" s="279">
        <v>39292</v>
      </c>
      <c r="B8955" t="s">
        <v>339</v>
      </c>
      <c r="C8955" t="s">
        <v>72</v>
      </c>
      <c r="D8955">
        <v>0</v>
      </c>
      <c r="E8955" t="s">
        <v>380</v>
      </c>
    </row>
    <row r="8956" spans="1:5" x14ac:dyDescent="0.25">
      <c r="A8956" s="279">
        <v>39292</v>
      </c>
      <c r="B8956" t="s">
        <v>339</v>
      </c>
      <c r="C8956" t="s">
        <v>73</v>
      </c>
      <c r="D8956">
        <v>17029</v>
      </c>
      <c r="E8956" t="s">
        <v>378</v>
      </c>
    </row>
    <row r="8957" spans="1:5" x14ac:dyDescent="0.25">
      <c r="A8957" s="279">
        <v>39292</v>
      </c>
      <c r="B8957" t="s">
        <v>339</v>
      </c>
      <c r="C8957" t="s">
        <v>74</v>
      </c>
      <c r="D8957">
        <v>0</v>
      </c>
      <c r="E8957" t="s">
        <v>380</v>
      </c>
    </row>
    <row r="8958" spans="1:5" x14ac:dyDescent="0.25">
      <c r="A8958" s="279">
        <v>39292</v>
      </c>
      <c r="B8958" t="s">
        <v>339</v>
      </c>
      <c r="C8958" t="s">
        <v>75</v>
      </c>
      <c r="D8958">
        <v>15287</v>
      </c>
      <c r="E8958" t="s">
        <v>378</v>
      </c>
    </row>
    <row r="8959" spans="1:5" x14ac:dyDescent="0.25">
      <c r="A8959" s="279">
        <v>39292</v>
      </c>
      <c r="B8959" t="s">
        <v>339</v>
      </c>
      <c r="C8959" t="s">
        <v>76</v>
      </c>
      <c r="D8959">
        <v>7522</v>
      </c>
      <c r="E8959" t="s">
        <v>380</v>
      </c>
    </row>
    <row r="8960" spans="1:5" x14ac:dyDescent="0.25">
      <c r="A8960" s="279">
        <v>39292</v>
      </c>
      <c r="B8960" t="s">
        <v>339</v>
      </c>
      <c r="C8960" t="s">
        <v>77</v>
      </c>
      <c r="D8960">
        <v>7289</v>
      </c>
      <c r="E8960" t="s">
        <v>378</v>
      </c>
    </row>
    <row r="8961" spans="1:5" x14ac:dyDescent="0.25">
      <c r="A8961" s="279">
        <v>39292</v>
      </c>
      <c r="B8961" t="s">
        <v>339</v>
      </c>
      <c r="C8961" t="s">
        <v>78</v>
      </c>
      <c r="D8961">
        <v>0</v>
      </c>
      <c r="E8961" t="s">
        <v>380</v>
      </c>
    </row>
    <row r="8962" spans="1:5" x14ac:dyDescent="0.25">
      <c r="A8962" s="279">
        <v>39292</v>
      </c>
      <c r="B8962" t="s">
        <v>339</v>
      </c>
      <c r="C8962" t="s">
        <v>79</v>
      </c>
      <c r="D8962">
        <v>91976</v>
      </c>
      <c r="E8962" t="s">
        <v>379</v>
      </c>
    </row>
    <row r="8963" spans="1:5" x14ac:dyDescent="0.25">
      <c r="A8963" s="279">
        <v>39292</v>
      </c>
      <c r="B8963" t="s">
        <v>339</v>
      </c>
      <c r="C8963" t="s">
        <v>70</v>
      </c>
      <c r="D8963">
        <v>0</v>
      </c>
      <c r="E8963" t="s">
        <v>379</v>
      </c>
    </row>
    <row r="8964" spans="1:5" x14ac:dyDescent="0.25">
      <c r="A8964" s="279">
        <v>39292</v>
      </c>
      <c r="B8964" t="s">
        <v>339</v>
      </c>
      <c r="C8964" t="s">
        <v>63</v>
      </c>
      <c r="D8964">
        <v>17353</v>
      </c>
      <c r="E8964" t="s">
        <v>378</v>
      </c>
    </row>
    <row r="8965" spans="1:5" x14ac:dyDescent="0.25">
      <c r="A8965" s="279">
        <v>39292</v>
      </c>
      <c r="B8965" t="s">
        <v>339</v>
      </c>
      <c r="C8965" t="s">
        <v>80</v>
      </c>
      <c r="D8965">
        <v>798</v>
      </c>
      <c r="E8965" t="s">
        <v>379</v>
      </c>
    </row>
    <row r="8966" spans="1:5" x14ac:dyDescent="0.25">
      <c r="A8966" s="279">
        <v>39293</v>
      </c>
      <c r="B8966" t="s">
        <v>338</v>
      </c>
      <c r="C8966" t="s">
        <v>59</v>
      </c>
      <c r="D8966">
        <v>2580</v>
      </c>
      <c r="E8966" t="s">
        <v>378</v>
      </c>
    </row>
    <row r="8967" spans="1:5" x14ac:dyDescent="0.25">
      <c r="A8967" s="279">
        <v>39293</v>
      </c>
      <c r="B8967" t="s">
        <v>338</v>
      </c>
      <c r="C8967" t="s">
        <v>60</v>
      </c>
      <c r="D8967">
        <v>0</v>
      </c>
      <c r="E8967" t="s">
        <v>379</v>
      </c>
    </row>
    <row r="8968" spans="1:5" x14ac:dyDescent="0.25">
      <c r="A8968" s="279">
        <v>39293</v>
      </c>
      <c r="B8968" t="s">
        <v>338</v>
      </c>
      <c r="C8968" t="s">
        <v>61</v>
      </c>
      <c r="D8968">
        <v>13188</v>
      </c>
      <c r="E8968" t="s">
        <v>378</v>
      </c>
    </row>
    <row r="8969" spans="1:5" x14ac:dyDescent="0.25">
      <c r="A8969" s="279">
        <v>39293</v>
      </c>
      <c r="B8969" t="s">
        <v>338</v>
      </c>
      <c r="C8969" t="s">
        <v>62</v>
      </c>
      <c r="D8969">
        <v>0</v>
      </c>
      <c r="E8969" t="s">
        <v>380</v>
      </c>
    </row>
    <row r="8970" spans="1:5" x14ac:dyDescent="0.25">
      <c r="A8970" s="279">
        <v>39293</v>
      </c>
      <c r="B8970" t="s">
        <v>338</v>
      </c>
      <c r="C8970" t="s">
        <v>63</v>
      </c>
      <c r="D8970">
        <v>0</v>
      </c>
      <c r="E8970" t="s">
        <v>378</v>
      </c>
    </row>
    <row r="8971" spans="1:5" x14ac:dyDescent="0.25">
      <c r="A8971" s="279">
        <v>39293</v>
      </c>
      <c r="B8971" t="s">
        <v>338</v>
      </c>
      <c r="C8971" t="s">
        <v>64</v>
      </c>
      <c r="D8971">
        <v>0</v>
      </c>
      <c r="E8971" t="s">
        <v>380</v>
      </c>
    </row>
    <row r="8972" spans="1:5" x14ac:dyDescent="0.25">
      <c r="A8972" s="279">
        <v>39293</v>
      </c>
      <c r="B8972" t="s">
        <v>338</v>
      </c>
      <c r="C8972" t="s">
        <v>65</v>
      </c>
      <c r="D8972">
        <v>0</v>
      </c>
      <c r="E8972" t="s">
        <v>378</v>
      </c>
    </row>
    <row r="8973" spans="1:5" x14ac:dyDescent="0.25">
      <c r="A8973" s="279">
        <v>39293</v>
      </c>
      <c r="B8973" t="s">
        <v>338</v>
      </c>
      <c r="C8973" t="s">
        <v>66</v>
      </c>
      <c r="D8973">
        <v>0</v>
      </c>
      <c r="E8973" t="s">
        <v>380</v>
      </c>
    </row>
    <row r="8974" spans="1:5" x14ac:dyDescent="0.25">
      <c r="A8974" s="279">
        <v>39293</v>
      </c>
      <c r="B8974" t="s">
        <v>338</v>
      </c>
      <c r="C8974" t="s">
        <v>120</v>
      </c>
      <c r="D8974">
        <v>6821</v>
      </c>
      <c r="E8974" t="s">
        <v>378</v>
      </c>
    </row>
    <row r="8975" spans="1:5" x14ac:dyDescent="0.25">
      <c r="A8975" s="279">
        <v>39293</v>
      </c>
      <c r="B8975" t="s">
        <v>338</v>
      </c>
      <c r="C8975" t="s">
        <v>121</v>
      </c>
      <c r="D8975">
        <v>0</v>
      </c>
      <c r="E8975" t="s">
        <v>380</v>
      </c>
    </row>
    <row r="8976" spans="1:5" x14ac:dyDescent="0.25">
      <c r="A8976" s="279">
        <v>39293</v>
      </c>
      <c r="B8976" t="s">
        <v>338</v>
      </c>
      <c r="C8976" t="s">
        <v>67</v>
      </c>
      <c r="D8976">
        <v>0</v>
      </c>
      <c r="E8976" t="s">
        <v>378</v>
      </c>
    </row>
    <row r="8977" spans="1:5" x14ac:dyDescent="0.25">
      <c r="A8977" s="279">
        <v>39293</v>
      </c>
      <c r="B8977" t="s">
        <v>338</v>
      </c>
      <c r="C8977" t="s">
        <v>68</v>
      </c>
      <c r="D8977">
        <v>0</v>
      </c>
      <c r="E8977" t="s">
        <v>380</v>
      </c>
    </row>
    <row r="8978" spans="1:5" x14ac:dyDescent="0.25">
      <c r="A8978" s="279">
        <v>39293</v>
      </c>
      <c r="B8978" t="s">
        <v>338</v>
      </c>
      <c r="C8978" t="s">
        <v>69</v>
      </c>
      <c r="D8978">
        <v>0</v>
      </c>
      <c r="E8978" t="s">
        <v>379</v>
      </c>
    </row>
    <row r="8979" spans="1:5" x14ac:dyDescent="0.25">
      <c r="A8979" s="279">
        <v>39293</v>
      </c>
      <c r="B8979" t="s">
        <v>338</v>
      </c>
      <c r="C8979" t="s">
        <v>70</v>
      </c>
      <c r="D8979">
        <v>0</v>
      </c>
      <c r="E8979" t="s">
        <v>379</v>
      </c>
    </row>
    <row r="8980" spans="1:5" x14ac:dyDescent="0.25">
      <c r="A8980" s="279">
        <v>39293</v>
      </c>
      <c r="B8980" t="s">
        <v>338</v>
      </c>
      <c r="C8980" t="s">
        <v>80</v>
      </c>
      <c r="D8980">
        <v>186</v>
      </c>
      <c r="E8980" t="s">
        <v>379</v>
      </c>
    </row>
    <row r="8981" spans="1:5" x14ac:dyDescent="0.25">
      <c r="A8981" s="279">
        <v>39293</v>
      </c>
      <c r="B8981" t="s">
        <v>339</v>
      </c>
      <c r="C8981" t="s">
        <v>71</v>
      </c>
      <c r="D8981">
        <v>1919</v>
      </c>
      <c r="E8981" t="s">
        <v>378</v>
      </c>
    </row>
    <row r="8982" spans="1:5" x14ac:dyDescent="0.25">
      <c r="A8982" s="279">
        <v>39293</v>
      </c>
      <c r="B8982" t="s">
        <v>339</v>
      </c>
      <c r="C8982" t="s">
        <v>72</v>
      </c>
      <c r="D8982">
        <v>0</v>
      </c>
      <c r="E8982" t="s">
        <v>380</v>
      </c>
    </row>
    <row r="8983" spans="1:5" x14ac:dyDescent="0.25">
      <c r="A8983" s="279">
        <v>39293</v>
      </c>
      <c r="B8983" t="s">
        <v>339</v>
      </c>
      <c r="C8983" t="s">
        <v>73</v>
      </c>
      <c r="D8983">
        <v>17062</v>
      </c>
      <c r="E8983" t="s">
        <v>378</v>
      </c>
    </row>
    <row r="8984" spans="1:5" x14ac:dyDescent="0.25">
      <c r="A8984" s="279">
        <v>39293</v>
      </c>
      <c r="B8984" t="s">
        <v>339</v>
      </c>
      <c r="C8984" t="s">
        <v>74</v>
      </c>
      <c r="D8984">
        <v>0</v>
      </c>
      <c r="E8984" t="s">
        <v>380</v>
      </c>
    </row>
    <row r="8985" spans="1:5" x14ac:dyDescent="0.25">
      <c r="A8985" s="279">
        <v>39293</v>
      </c>
      <c r="B8985" t="s">
        <v>339</v>
      </c>
      <c r="C8985" t="s">
        <v>75</v>
      </c>
      <c r="D8985">
        <v>15316</v>
      </c>
      <c r="E8985" t="s">
        <v>378</v>
      </c>
    </row>
    <row r="8986" spans="1:5" x14ac:dyDescent="0.25">
      <c r="A8986" s="279">
        <v>39293</v>
      </c>
      <c r="B8986" t="s">
        <v>339</v>
      </c>
      <c r="C8986" t="s">
        <v>76</v>
      </c>
      <c r="D8986">
        <v>5726</v>
      </c>
      <c r="E8986" t="s">
        <v>380</v>
      </c>
    </row>
    <row r="8987" spans="1:5" x14ac:dyDescent="0.25">
      <c r="A8987" s="279">
        <v>39293</v>
      </c>
      <c r="B8987" t="s">
        <v>339</v>
      </c>
      <c r="C8987" t="s">
        <v>77</v>
      </c>
      <c r="D8987">
        <v>7303</v>
      </c>
      <c r="E8987" t="s">
        <v>378</v>
      </c>
    </row>
    <row r="8988" spans="1:5" x14ac:dyDescent="0.25">
      <c r="A8988" s="279">
        <v>39293</v>
      </c>
      <c r="B8988" t="s">
        <v>339</v>
      </c>
      <c r="C8988" t="s">
        <v>78</v>
      </c>
      <c r="D8988">
        <v>0</v>
      </c>
      <c r="E8988" t="s">
        <v>380</v>
      </c>
    </row>
    <row r="8989" spans="1:5" x14ac:dyDescent="0.25">
      <c r="A8989" s="279">
        <v>39293</v>
      </c>
      <c r="B8989" t="s">
        <v>339</v>
      </c>
      <c r="C8989" t="s">
        <v>79</v>
      </c>
      <c r="D8989">
        <v>92154</v>
      </c>
      <c r="E8989" t="s">
        <v>379</v>
      </c>
    </row>
    <row r="8990" spans="1:5" x14ac:dyDescent="0.25">
      <c r="A8990" s="279">
        <v>39293</v>
      </c>
      <c r="B8990" t="s">
        <v>339</v>
      </c>
      <c r="C8990" t="s">
        <v>70</v>
      </c>
      <c r="D8990">
        <v>0</v>
      </c>
      <c r="E8990" t="s">
        <v>379</v>
      </c>
    </row>
    <row r="8991" spans="1:5" x14ac:dyDescent="0.25">
      <c r="A8991" s="279">
        <v>39293</v>
      </c>
      <c r="B8991" t="s">
        <v>339</v>
      </c>
      <c r="C8991" t="s">
        <v>63</v>
      </c>
      <c r="D8991">
        <v>17386</v>
      </c>
      <c r="E8991" t="s">
        <v>378</v>
      </c>
    </row>
    <row r="8992" spans="1:5" x14ac:dyDescent="0.25">
      <c r="A8992" s="279">
        <v>39293</v>
      </c>
      <c r="B8992" t="s">
        <v>339</v>
      </c>
      <c r="C8992" t="s">
        <v>80</v>
      </c>
      <c r="D8992">
        <v>800</v>
      </c>
      <c r="E8992" t="s">
        <v>379</v>
      </c>
    </row>
    <row r="8993" spans="1:5" x14ac:dyDescent="0.25">
      <c r="A8993" s="279">
        <v>39294</v>
      </c>
      <c r="B8993" t="s">
        <v>338</v>
      </c>
      <c r="C8993" t="s">
        <v>59</v>
      </c>
      <c r="D8993">
        <v>2583</v>
      </c>
      <c r="E8993" t="s">
        <v>378</v>
      </c>
    </row>
    <row r="8994" spans="1:5" x14ac:dyDescent="0.25">
      <c r="A8994" s="279">
        <v>39294</v>
      </c>
      <c r="B8994" t="s">
        <v>338</v>
      </c>
      <c r="C8994" t="s">
        <v>60</v>
      </c>
      <c r="D8994">
        <v>0</v>
      </c>
      <c r="E8994" t="s">
        <v>379</v>
      </c>
    </row>
    <row r="8995" spans="1:5" x14ac:dyDescent="0.25">
      <c r="A8995" s="279">
        <v>39294</v>
      </c>
      <c r="B8995" t="s">
        <v>338</v>
      </c>
      <c r="C8995" t="s">
        <v>61</v>
      </c>
      <c r="D8995">
        <v>13201</v>
      </c>
      <c r="E8995" t="s">
        <v>378</v>
      </c>
    </row>
    <row r="8996" spans="1:5" x14ac:dyDescent="0.25">
      <c r="A8996" s="279">
        <v>39294</v>
      </c>
      <c r="B8996" t="s">
        <v>338</v>
      </c>
      <c r="C8996" t="s">
        <v>62</v>
      </c>
      <c r="D8996">
        <v>0</v>
      </c>
      <c r="E8996" t="s">
        <v>380</v>
      </c>
    </row>
    <row r="8997" spans="1:5" x14ac:dyDescent="0.25">
      <c r="A8997" s="279">
        <v>39294</v>
      </c>
      <c r="B8997" t="s">
        <v>338</v>
      </c>
      <c r="C8997" t="s">
        <v>63</v>
      </c>
      <c r="D8997">
        <v>0</v>
      </c>
      <c r="E8997" t="s">
        <v>378</v>
      </c>
    </row>
    <row r="8998" spans="1:5" x14ac:dyDescent="0.25">
      <c r="A8998" s="279">
        <v>39294</v>
      </c>
      <c r="B8998" t="s">
        <v>338</v>
      </c>
      <c r="C8998" t="s">
        <v>64</v>
      </c>
      <c r="D8998">
        <v>0</v>
      </c>
      <c r="E8998" t="s">
        <v>380</v>
      </c>
    </row>
    <row r="8999" spans="1:5" x14ac:dyDescent="0.25">
      <c r="A8999" s="279">
        <v>39294</v>
      </c>
      <c r="B8999" t="s">
        <v>338</v>
      </c>
      <c r="C8999" t="s">
        <v>65</v>
      </c>
      <c r="D8999">
        <v>0</v>
      </c>
      <c r="E8999" t="s">
        <v>378</v>
      </c>
    </row>
    <row r="9000" spans="1:5" x14ac:dyDescent="0.25">
      <c r="A9000" s="279">
        <v>39294</v>
      </c>
      <c r="B9000" t="s">
        <v>338</v>
      </c>
      <c r="C9000" t="s">
        <v>66</v>
      </c>
      <c r="D9000">
        <v>0</v>
      </c>
      <c r="E9000" t="s">
        <v>380</v>
      </c>
    </row>
    <row r="9001" spans="1:5" x14ac:dyDescent="0.25">
      <c r="A9001" s="279">
        <v>39294</v>
      </c>
      <c r="B9001" t="s">
        <v>338</v>
      </c>
      <c r="C9001" t="s">
        <v>120</v>
      </c>
      <c r="D9001">
        <v>6838</v>
      </c>
      <c r="E9001" t="s">
        <v>378</v>
      </c>
    </row>
    <row r="9002" spans="1:5" x14ac:dyDescent="0.25">
      <c r="A9002" s="279">
        <v>39294</v>
      </c>
      <c r="B9002" t="s">
        <v>338</v>
      </c>
      <c r="C9002" t="s">
        <v>121</v>
      </c>
      <c r="D9002">
        <v>0</v>
      </c>
      <c r="E9002" t="s">
        <v>380</v>
      </c>
    </row>
    <row r="9003" spans="1:5" x14ac:dyDescent="0.25">
      <c r="A9003" s="279">
        <v>39294</v>
      </c>
      <c r="B9003" t="s">
        <v>338</v>
      </c>
      <c r="C9003" t="s">
        <v>67</v>
      </c>
      <c r="D9003">
        <v>0</v>
      </c>
      <c r="E9003" t="s">
        <v>378</v>
      </c>
    </row>
    <row r="9004" spans="1:5" x14ac:dyDescent="0.25">
      <c r="A9004" s="279">
        <v>39294</v>
      </c>
      <c r="B9004" t="s">
        <v>338</v>
      </c>
      <c r="C9004" t="s">
        <v>68</v>
      </c>
      <c r="D9004">
        <v>0</v>
      </c>
      <c r="E9004" t="s">
        <v>380</v>
      </c>
    </row>
    <row r="9005" spans="1:5" x14ac:dyDescent="0.25">
      <c r="A9005" s="279">
        <v>39294</v>
      </c>
      <c r="B9005" t="s">
        <v>338</v>
      </c>
      <c r="C9005" t="s">
        <v>69</v>
      </c>
      <c r="D9005">
        <v>0</v>
      </c>
      <c r="E9005" t="s">
        <v>379</v>
      </c>
    </row>
    <row r="9006" spans="1:5" x14ac:dyDescent="0.25">
      <c r="A9006" s="279">
        <v>39294</v>
      </c>
      <c r="B9006" t="s">
        <v>338</v>
      </c>
      <c r="C9006" t="s">
        <v>70</v>
      </c>
      <c r="D9006">
        <v>0</v>
      </c>
      <c r="E9006" t="s">
        <v>379</v>
      </c>
    </row>
    <row r="9007" spans="1:5" x14ac:dyDescent="0.25">
      <c r="A9007" s="279">
        <v>39294</v>
      </c>
      <c r="B9007" t="s">
        <v>338</v>
      </c>
      <c r="C9007" t="s">
        <v>80</v>
      </c>
      <c r="D9007">
        <v>187</v>
      </c>
      <c r="E9007" t="s">
        <v>379</v>
      </c>
    </row>
    <row r="9008" spans="1:5" x14ac:dyDescent="0.25">
      <c r="A9008" s="279">
        <v>39294</v>
      </c>
      <c r="B9008" t="s">
        <v>339</v>
      </c>
      <c r="C9008" t="s">
        <v>71</v>
      </c>
      <c r="D9008">
        <v>1914</v>
      </c>
      <c r="E9008" t="s">
        <v>378</v>
      </c>
    </row>
    <row r="9009" spans="1:5" x14ac:dyDescent="0.25">
      <c r="A9009" s="279">
        <v>39294</v>
      </c>
      <c r="B9009" t="s">
        <v>339</v>
      </c>
      <c r="C9009" t="s">
        <v>72</v>
      </c>
      <c r="D9009">
        <v>0</v>
      </c>
      <c r="E9009" t="s">
        <v>380</v>
      </c>
    </row>
    <row r="9010" spans="1:5" x14ac:dyDescent="0.25">
      <c r="A9010" s="279">
        <v>39294</v>
      </c>
      <c r="B9010" t="s">
        <v>339</v>
      </c>
      <c r="C9010" t="s">
        <v>73</v>
      </c>
      <c r="D9010">
        <v>17012</v>
      </c>
      <c r="E9010" t="s">
        <v>378</v>
      </c>
    </row>
    <row r="9011" spans="1:5" x14ac:dyDescent="0.25">
      <c r="A9011" s="279">
        <v>39294</v>
      </c>
      <c r="B9011" t="s">
        <v>339</v>
      </c>
      <c r="C9011" t="s">
        <v>74</v>
      </c>
      <c r="D9011">
        <v>0</v>
      </c>
      <c r="E9011" t="s">
        <v>380</v>
      </c>
    </row>
    <row r="9012" spans="1:5" x14ac:dyDescent="0.25">
      <c r="A9012" s="279">
        <v>39294</v>
      </c>
      <c r="B9012" t="s">
        <v>339</v>
      </c>
      <c r="C9012" t="s">
        <v>75</v>
      </c>
      <c r="D9012">
        <v>15272</v>
      </c>
      <c r="E9012" t="s">
        <v>378</v>
      </c>
    </row>
    <row r="9013" spans="1:5" x14ac:dyDescent="0.25">
      <c r="A9013" s="279">
        <v>39294</v>
      </c>
      <c r="B9013" t="s">
        <v>339</v>
      </c>
      <c r="C9013" t="s">
        <v>76</v>
      </c>
      <c r="D9013">
        <v>3980</v>
      </c>
      <c r="E9013" t="s">
        <v>380</v>
      </c>
    </row>
    <row r="9014" spans="1:5" x14ac:dyDescent="0.25">
      <c r="A9014" s="279">
        <v>39294</v>
      </c>
      <c r="B9014" t="s">
        <v>339</v>
      </c>
      <c r="C9014" t="s">
        <v>77</v>
      </c>
      <c r="D9014">
        <v>7282</v>
      </c>
      <c r="E9014" t="s">
        <v>378</v>
      </c>
    </row>
    <row r="9015" spans="1:5" x14ac:dyDescent="0.25">
      <c r="A9015" s="279">
        <v>39294</v>
      </c>
      <c r="B9015" t="s">
        <v>339</v>
      </c>
      <c r="C9015" t="s">
        <v>78</v>
      </c>
      <c r="D9015">
        <v>0</v>
      </c>
      <c r="E9015" t="s">
        <v>380</v>
      </c>
    </row>
    <row r="9016" spans="1:5" x14ac:dyDescent="0.25">
      <c r="A9016" s="279">
        <v>39294</v>
      </c>
      <c r="B9016" t="s">
        <v>339</v>
      </c>
      <c r="C9016" t="s">
        <v>79</v>
      </c>
      <c r="D9016">
        <v>91887</v>
      </c>
      <c r="E9016" t="s">
        <v>379</v>
      </c>
    </row>
    <row r="9017" spans="1:5" x14ac:dyDescent="0.25">
      <c r="A9017" s="279">
        <v>39294</v>
      </c>
      <c r="B9017" t="s">
        <v>339</v>
      </c>
      <c r="C9017" t="s">
        <v>70</v>
      </c>
      <c r="D9017">
        <v>0</v>
      </c>
      <c r="E9017" t="s">
        <v>379</v>
      </c>
    </row>
    <row r="9018" spans="1:5" x14ac:dyDescent="0.25">
      <c r="A9018" s="279">
        <v>39294</v>
      </c>
      <c r="B9018" t="s">
        <v>339</v>
      </c>
      <c r="C9018" t="s">
        <v>63</v>
      </c>
      <c r="D9018">
        <v>17336</v>
      </c>
      <c r="E9018" t="s">
        <v>378</v>
      </c>
    </row>
    <row r="9019" spans="1:5" x14ac:dyDescent="0.25">
      <c r="A9019" s="279">
        <v>39294</v>
      </c>
      <c r="B9019" t="s">
        <v>339</v>
      </c>
      <c r="C9019" t="s">
        <v>80</v>
      </c>
      <c r="D9019">
        <v>798</v>
      </c>
      <c r="E9019" t="s">
        <v>379</v>
      </c>
    </row>
    <row r="9020" spans="1:5" x14ac:dyDescent="0.25">
      <c r="A9020" s="279">
        <v>39295</v>
      </c>
      <c r="B9020" t="s">
        <v>338</v>
      </c>
      <c r="C9020" t="s">
        <v>59</v>
      </c>
      <c r="D9020">
        <v>2580</v>
      </c>
      <c r="E9020" t="s">
        <v>378</v>
      </c>
    </row>
    <row r="9021" spans="1:5" x14ac:dyDescent="0.25">
      <c r="A9021" s="279">
        <v>39295</v>
      </c>
      <c r="B9021" t="s">
        <v>338</v>
      </c>
      <c r="C9021" t="s">
        <v>60</v>
      </c>
      <c r="D9021">
        <v>0</v>
      </c>
      <c r="E9021" t="s">
        <v>379</v>
      </c>
    </row>
    <row r="9022" spans="1:5" x14ac:dyDescent="0.25">
      <c r="A9022" s="279">
        <v>39295</v>
      </c>
      <c r="B9022" t="s">
        <v>338</v>
      </c>
      <c r="C9022" t="s">
        <v>61</v>
      </c>
      <c r="D9022">
        <v>7741</v>
      </c>
      <c r="E9022" t="s">
        <v>378</v>
      </c>
    </row>
    <row r="9023" spans="1:5" x14ac:dyDescent="0.25">
      <c r="A9023" s="279">
        <v>39295</v>
      </c>
      <c r="B9023" t="s">
        <v>338</v>
      </c>
      <c r="C9023" t="s">
        <v>62</v>
      </c>
      <c r="D9023">
        <v>0</v>
      </c>
      <c r="E9023" t="s">
        <v>380</v>
      </c>
    </row>
    <row r="9024" spans="1:5" x14ac:dyDescent="0.25">
      <c r="A9024" s="279">
        <v>39295</v>
      </c>
      <c r="B9024" t="s">
        <v>338</v>
      </c>
      <c r="C9024" t="s">
        <v>63</v>
      </c>
      <c r="D9024">
        <v>0</v>
      </c>
      <c r="E9024" t="s">
        <v>378</v>
      </c>
    </row>
    <row r="9025" spans="1:5" x14ac:dyDescent="0.25">
      <c r="A9025" s="279">
        <v>39295</v>
      </c>
      <c r="B9025" t="s">
        <v>338</v>
      </c>
      <c r="C9025" t="s">
        <v>64</v>
      </c>
      <c r="D9025">
        <v>0</v>
      </c>
      <c r="E9025" t="s">
        <v>380</v>
      </c>
    </row>
    <row r="9026" spans="1:5" x14ac:dyDescent="0.25">
      <c r="A9026" s="279">
        <v>39295</v>
      </c>
      <c r="B9026" t="s">
        <v>338</v>
      </c>
      <c r="C9026" t="s">
        <v>65</v>
      </c>
      <c r="D9026">
        <v>0</v>
      </c>
      <c r="E9026" t="s">
        <v>378</v>
      </c>
    </row>
    <row r="9027" spans="1:5" x14ac:dyDescent="0.25">
      <c r="A9027" s="279">
        <v>39295</v>
      </c>
      <c r="B9027" t="s">
        <v>338</v>
      </c>
      <c r="C9027" t="s">
        <v>66</v>
      </c>
      <c r="D9027">
        <v>0</v>
      </c>
      <c r="E9027" t="s">
        <v>380</v>
      </c>
    </row>
    <row r="9028" spans="1:5" x14ac:dyDescent="0.25">
      <c r="A9028" s="279">
        <v>39295</v>
      </c>
      <c r="B9028" t="s">
        <v>338</v>
      </c>
      <c r="C9028" t="s">
        <v>120</v>
      </c>
      <c r="D9028">
        <v>12268</v>
      </c>
      <c r="E9028" t="s">
        <v>378</v>
      </c>
    </row>
    <row r="9029" spans="1:5" x14ac:dyDescent="0.25">
      <c r="A9029" s="279">
        <v>39295</v>
      </c>
      <c r="B9029" t="s">
        <v>338</v>
      </c>
      <c r="C9029" t="s">
        <v>121</v>
      </c>
      <c r="D9029">
        <v>0</v>
      </c>
      <c r="E9029" t="s">
        <v>380</v>
      </c>
    </row>
    <row r="9030" spans="1:5" x14ac:dyDescent="0.25">
      <c r="A9030" s="279">
        <v>39295</v>
      </c>
      <c r="B9030" t="s">
        <v>338</v>
      </c>
      <c r="C9030" t="s">
        <v>67</v>
      </c>
      <c r="D9030">
        <v>0</v>
      </c>
      <c r="E9030" t="s">
        <v>378</v>
      </c>
    </row>
    <row r="9031" spans="1:5" x14ac:dyDescent="0.25">
      <c r="A9031" s="279">
        <v>39295</v>
      </c>
      <c r="B9031" t="s">
        <v>338</v>
      </c>
      <c r="C9031" t="s">
        <v>68</v>
      </c>
      <c r="D9031">
        <v>0</v>
      </c>
      <c r="E9031" t="s">
        <v>380</v>
      </c>
    </row>
    <row r="9032" spans="1:5" x14ac:dyDescent="0.25">
      <c r="A9032" s="279">
        <v>39295</v>
      </c>
      <c r="B9032" t="s">
        <v>338</v>
      </c>
      <c r="C9032" t="s">
        <v>69</v>
      </c>
      <c r="D9032">
        <v>0</v>
      </c>
      <c r="E9032" t="s">
        <v>379</v>
      </c>
    </row>
    <row r="9033" spans="1:5" x14ac:dyDescent="0.25">
      <c r="A9033" s="279">
        <v>39295</v>
      </c>
      <c r="B9033" t="s">
        <v>338</v>
      </c>
      <c r="C9033" t="s">
        <v>70</v>
      </c>
      <c r="D9033">
        <v>0</v>
      </c>
      <c r="E9033" t="s">
        <v>379</v>
      </c>
    </row>
    <row r="9034" spans="1:5" x14ac:dyDescent="0.25">
      <c r="A9034" s="279">
        <v>39295</v>
      </c>
      <c r="B9034" t="s">
        <v>338</v>
      </c>
      <c r="C9034" t="s">
        <v>80</v>
      </c>
      <c r="D9034">
        <v>186</v>
      </c>
      <c r="E9034" t="s">
        <v>379</v>
      </c>
    </row>
    <row r="9035" spans="1:5" x14ac:dyDescent="0.25">
      <c r="A9035" s="279">
        <v>39295</v>
      </c>
      <c r="B9035" t="s">
        <v>339</v>
      </c>
      <c r="C9035" t="s">
        <v>71</v>
      </c>
      <c r="D9035">
        <v>1916</v>
      </c>
      <c r="E9035" t="s">
        <v>378</v>
      </c>
    </row>
    <row r="9036" spans="1:5" x14ac:dyDescent="0.25">
      <c r="A9036" s="279">
        <v>39295</v>
      </c>
      <c r="B9036" t="s">
        <v>339</v>
      </c>
      <c r="C9036" t="s">
        <v>72</v>
      </c>
      <c r="D9036">
        <v>0</v>
      </c>
      <c r="E9036" t="s">
        <v>380</v>
      </c>
    </row>
    <row r="9037" spans="1:5" x14ac:dyDescent="0.25">
      <c r="A9037" s="279">
        <v>39295</v>
      </c>
      <c r="B9037" t="s">
        <v>339</v>
      </c>
      <c r="C9037" t="s">
        <v>73</v>
      </c>
      <c r="D9037">
        <v>17029</v>
      </c>
      <c r="E9037" t="s">
        <v>378</v>
      </c>
    </row>
    <row r="9038" spans="1:5" x14ac:dyDescent="0.25">
      <c r="A9038" s="279">
        <v>39295</v>
      </c>
      <c r="B9038" t="s">
        <v>339</v>
      </c>
      <c r="C9038" t="s">
        <v>74</v>
      </c>
      <c r="D9038">
        <v>0</v>
      </c>
      <c r="E9038" t="s">
        <v>380</v>
      </c>
    </row>
    <row r="9039" spans="1:5" x14ac:dyDescent="0.25">
      <c r="A9039" s="279">
        <v>39295</v>
      </c>
      <c r="B9039" t="s">
        <v>339</v>
      </c>
      <c r="C9039" t="s">
        <v>75</v>
      </c>
      <c r="D9039">
        <v>15287</v>
      </c>
      <c r="E9039" t="s">
        <v>378</v>
      </c>
    </row>
    <row r="9040" spans="1:5" x14ac:dyDescent="0.25">
      <c r="A9040" s="279">
        <v>39295</v>
      </c>
      <c r="B9040" t="s">
        <v>339</v>
      </c>
      <c r="C9040" t="s">
        <v>76</v>
      </c>
      <c r="D9040">
        <v>8562</v>
      </c>
      <c r="E9040" t="s">
        <v>380</v>
      </c>
    </row>
    <row r="9041" spans="1:5" x14ac:dyDescent="0.25">
      <c r="A9041" s="279">
        <v>39295</v>
      </c>
      <c r="B9041" t="s">
        <v>339</v>
      </c>
      <c r="C9041" t="s">
        <v>77</v>
      </c>
      <c r="D9041">
        <v>7289</v>
      </c>
      <c r="E9041" t="s">
        <v>378</v>
      </c>
    </row>
    <row r="9042" spans="1:5" x14ac:dyDescent="0.25">
      <c r="A9042" s="279">
        <v>39295</v>
      </c>
      <c r="B9042" t="s">
        <v>339</v>
      </c>
      <c r="C9042" t="s">
        <v>78</v>
      </c>
      <c r="D9042">
        <v>0</v>
      </c>
      <c r="E9042" t="s">
        <v>380</v>
      </c>
    </row>
    <row r="9043" spans="1:5" x14ac:dyDescent="0.25">
      <c r="A9043" s="279">
        <v>39295</v>
      </c>
      <c r="B9043" t="s">
        <v>339</v>
      </c>
      <c r="C9043" t="s">
        <v>79</v>
      </c>
      <c r="D9043">
        <v>87350</v>
      </c>
      <c r="E9043" t="s">
        <v>379</v>
      </c>
    </row>
    <row r="9044" spans="1:5" x14ac:dyDescent="0.25">
      <c r="A9044" s="279">
        <v>39295</v>
      </c>
      <c r="B9044" t="s">
        <v>339</v>
      </c>
      <c r="C9044" t="s">
        <v>70</v>
      </c>
      <c r="D9044">
        <v>0</v>
      </c>
      <c r="E9044" t="s">
        <v>379</v>
      </c>
    </row>
    <row r="9045" spans="1:5" x14ac:dyDescent="0.25">
      <c r="A9045" s="279">
        <v>39295</v>
      </c>
      <c r="B9045" t="s">
        <v>339</v>
      </c>
      <c r="C9045" t="s">
        <v>63</v>
      </c>
      <c r="D9045">
        <v>17353</v>
      </c>
      <c r="E9045" t="s">
        <v>378</v>
      </c>
    </row>
    <row r="9046" spans="1:5" x14ac:dyDescent="0.25">
      <c r="A9046" s="279">
        <v>39295</v>
      </c>
      <c r="B9046" t="s">
        <v>339</v>
      </c>
      <c r="C9046" t="s">
        <v>80</v>
      </c>
      <c r="D9046">
        <v>798</v>
      </c>
      <c r="E9046" t="s">
        <v>379</v>
      </c>
    </row>
    <row r="9047" spans="1:5" x14ac:dyDescent="0.25">
      <c r="A9047" s="279">
        <v>39296</v>
      </c>
      <c r="B9047" t="s">
        <v>338</v>
      </c>
      <c r="C9047" t="s">
        <v>59</v>
      </c>
      <c r="D9047">
        <v>2580</v>
      </c>
      <c r="E9047" t="s">
        <v>378</v>
      </c>
    </row>
    <row r="9048" spans="1:5" x14ac:dyDescent="0.25">
      <c r="A9048" s="279">
        <v>39296</v>
      </c>
      <c r="B9048" t="s">
        <v>338</v>
      </c>
      <c r="C9048" t="s">
        <v>60</v>
      </c>
      <c r="D9048">
        <v>0</v>
      </c>
      <c r="E9048" t="s">
        <v>379</v>
      </c>
    </row>
    <row r="9049" spans="1:5" x14ac:dyDescent="0.25">
      <c r="A9049" s="279">
        <v>39296</v>
      </c>
      <c r="B9049" t="s">
        <v>338</v>
      </c>
      <c r="C9049" t="s">
        <v>61</v>
      </c>
      <c r="D9049">
        <v>7760</v>
      </c>
      <c r="E9049" t="s">
        <v>378</v>
      </c>
    </row>
    <row r="9050" spans="1:5" x14ac:dyDescent="0.25">
      <c r="A9050" s="279">
        <v>39296</v>
      </c>
      <c r="B9050" t="s">
        <v>338</v>
      </c>
      <c r="C9050" t="s">
        <v>62</v>
      </c>
      <c r="D9050">
        <v>0</v>
      </c>
      <c r="E9050" t="s">
        <v>380</v>
      </c>
    </row>
    <row r="9051" spans="1:5" x14ac:dyDescent="0.25">
      <c r="A9051" s="279">
        <v>39296</v>
      </c>
      <c r="B9051" t="s">
        <v>338</v>
      </c>
      <c r="C9051" t="s">
        <v>63</v>
      </c>
      <c r="D9051">
        <v>0</v>
      </c>
      <c r="E9051" t="s">
        <v>378</v>
      </c>
    </row>
    <row r="9052" spans="1:5" x14ac:dyDescent="0.25">
      <c r="A9052" s="279">
        <v>39296</v>
      </c>
      <c r="B9052" t="s">
        <v>338</v>
      </c>
      <c r="C9052" t="s">
        <v>64</v>
      </c>
      <c r="D9052">
        <v>0</v>
      </c>
      <c r="E9052" t="s">
        <v>380</v>
      </c>
    </row>
    <row r="9053" spans="1:5" x14ac:dyDescent="0.25">
      <c r="A9053" s="279">
        <v>39296</v>
      </c>
      <c r="B9053" t="s">
        <v>338</v>
      </c>
      <c r="C9053" t="s">
        <v>65</v>
      </c>
      <c r="D9053">
        <v>0</v>
      </c>
      <c r="E9053" t="s">
        <v>378</v>
      </c>
    </row>
    <row r="9054" spans="1:5" x14ac:dyDescent="0.25">
      <c r="A9054" s="279">
        <v>39296</v>
      </c>
      <c r="B9054" t="s">
        <v>338</v>
      </c>
      <c r="C9054" t="s">
        <v>66</v>
      </c>
      <c r="D9054">
        <v>0</v>
      </c>
      <c r="E9054" t="s">
        <v>380</v>
      </c>
    </row>
    <row r="9055" spans="1:5" x14ac:dyDescent="0.25">
      <c r="A9055" s="279">
        <v>39296</v>
      </c>
      <c r="B9055" t="s">
        <v>338</v>
      </c>
      <c r="C9055" t="s">
        <v>120</v>
      </c>
      <c r="D9055">
        <v>12268</v>
      </c>
      <c r="E9055" t="s">
        <v>378</v>
      </c>
    </row>
    <row r="9056" spans="1:5" x14ac:dyDescent="0.25">
      <c r="A9056" s="279">
        <v>39296</v>
      </c>
      <c r="B9056" t="s">
        <v>338</v>
      </c>
      <c r="C9056" t="s">
        <v>121</v>
      </c>
      <c r="D9056">
        <v>0</v>
      </c>
      <c r="E9056" t="s">
        <v>380</v>
      </c>
    </row>
    <row r="9057" spans="1:5" x14ac:dyDescent="0.25">
      <c r="A9057" s="279">
        <v>39296</v>
      </c>
      <c r="B9057" t="s">
        <v>338</v>
      </c>
      <c r="C9057" t="s">
        <v>67</v>
      </c>
      <c r="D9057">
        <v>0</v>
      </c>
      <c r="E9057" t="s">
        <v>378</v>
      </c>
    </row>
    <row r="9058" spans="1:5" x14ac:dyDescent="0.25">
      <c r="A9058" s="279">
        <v>39296</v>
      </c>
      <c r="B9058" t="s">
        <v>338</v>
      </c>
      <c r="C9058" t="s">
        <v>68</v>
      </c>
      <c r="D9058">
        <v>0</v>
      </c>
      <c r="E9058" t="s">
        <v>380</v>
      </c>
    </row>
    <row r="9059" spans="1:5" x14ac:dyDescent="0.25">
      <c r="A9059" s="279">
        <v>39296</v>
      </c>
      <c r="B9059" t="s">
        <v>338</v>
      </c>
      <c r="C9059" t="s">
        <v>69</v>
      </c>
      <c r="D9059">
        <v>0</v>
      </c>
      <c r="E9059" t="s">
        <v>379</v>
      </c>
    </row>
    <row r="9060" spans="1:5" x14ac:dyDescent="0.25">
      <c r="A9060" s="279">
        <v>39296</v>
      </c>
      <c r="B9060" t="s">
        <v>338</v>
      </c>
      <c r="C9060" t="s">
        <v>70</v>
      </c>
      <c r="D9060">
        <v>0</v>
      </c>
      <c r="E9060" t="s">
        <v>379</v>
      </c>
    </row>
    <row r="9061" spans="1:5" x14ac:dyDescent="0.25">
      <c r="A9061" s="279">
        <v>39296</v>
      </c>
      <c r="B9061" t="s">
        <v>338</v>
      </c>
      <c r="C9061" t="s">
        <v>80</v>
      </c>
      <c r="D9061">
        <v>187</v>
      </c>
      <c r="E9061" t="s">
        <v>379</v>
      </c>
    </row>
    <row r="9062" spans="1:5" x14ac:dyDescent="0.25">
      <c r="A9062" s="279">
        <v>39296</v>
      </c>
      <c r="B9062" t="s">
        <v>339</v>
      </c>
      <c r="C9062" t="s">
        <v>71</v>
      </c>
      <c r="D9062">
        <v>1916</v>
      </c>
      <c r="E9062" t="s">
        <v>378</v>
      </c>
    </row>
    <row r="9063" spans="1:5" x14ac:dyDescent="0.25">
      <c r="A9063" s="279">
        <v>39296</v>
      </c>
      <c r="B9063" t="s">
        <v>339</v>
      </c>
      <c r="C9063" t="s">
        <v>72</v>
      </c>
      <c r="D9063">
        <v>0</v>
      </c>
      <c r="E9063" t="s">
        <v>380</v>
      </c>
    </row>
    <row r="9064" spans="1:5" x14ac:dyDescent="0.25">
      <c r="A9064" s="279">
        <v>39296</v>
      </c>
      <c r="B9064" t="s">
        <v>339</v>
      </c>
      <c r="C9064" t="s">
        <v>73</v>
      </c>
      <c r="D9064">
        <v>17029</v>
      </c>
      <c r="E9064" t="s">
        <v>378</v>
      </c>
    </row>
    <row r="9065" spans="1:5" x14ac:dyDescent="0.25">
      <c r="A9065" s="279">
        <v>39296</v>
      </c>
      <c r="B9065" t="s">
        <v>339</v>
      </c>
      <c r="C9065" t="s">
        <v>74</v>
      </c>
      <c r="D9065">
        <v>0</v>
      </c>
      <c r="E9065" t="s">
        <v>380</v>
      </c>
    </row>
    <row r="9066" spans="1:5" x14ac:dyDescent="0.25">
      <c r="A9066" s="279">
        <v>39296</v>
      </c>
      <c r="B9066" t="s">
        <v>339</v>
      </c>
      <c r="C9066" t="s">
        <v>75</v>
      </c>
      <c r="D9066">
        <v>15287</v>
      </c>
      <c r="E9066" t="s">
        <v>378</v>
      </c>
    </row>
    <row r="9067" spans="1:5" x14ac:dyDescent="0.25">
      <c r="A9067" s="279">
        <v>39296</v>
      </c>
      <c r="B9067" t="s">
        <v>339</v>
      </c>
      <c r="C9067" t="s">
        <v>76</v>
      </c>
      <c r="D9067">
        <v>7927</v>
      </c>
      <c r="E9067" t="s">
        <v>380</v>
      </c>
    </row>
    <row r="9068" spans="1:5" x14ac:dyDescent="0.25">
      <c r="A9068" s="279">
        <v>39296</v>
      </c>
      <c r="B9068" t="s">
        <v>339</v>
      </c>
      <c r="C9068" t="s">
        <v>77</v>
      </c>
      <c r="D9068">
        <v>7289</v>
      </c>
      <c r="E9068" t="s">
        <v>378</v>
      </c>
    </row>
    <row r="9069" spans="1:5" x14ac:dyDescent="0.25">
      <c r="A9069" s="279">
        <v>39296</v>
      </c>
      <c r="B9069" t="s">
        <v>339</v>
      </c>
      <c r="C9069" t="s">
        <v>78</v>
      </c>
      <c r="D9069">
        <v>0</v>
      </c>
      <c r="E9069" t="s">
        <v>380</v>
      </c>
    </row>
    <row r="9070" spans="1:5" x14ac:dyDescent="0.25">
      <c r="A9070" s="279">
        <v>39296</v>
      </c>
      <c r="B9070" t="s">
        <v>339</v>
      </c>
      <c r="C9070" t="s">
        <v>79</v>
      </c>
      <c r="D9070">
        <v>87350</v>
      </c>
      <c r="E9070" t="s">
        <v>379</v>
      </c>
    </row>
    <row r="9071" spans="1:5" x14ac:dyDescent="0.25">
      <c r="A9071" s="279">
        <v>39296</v>
      </c>
      <c r="B9071" t="s">
        <v>339</v>
      </c>
      <c r="C9071" t="s">
        <v>70</v>
      </c>
      <c r="D9071">
        <v>0</v>
      </c>
      <c r="E9071" t="s">
        <v>379</v>
      </c>
    </row>
    <row r="9072" spans="1:5" x14ac:dyDescent="0.25">
      <c r="A9072" s="279">
        <v>39296</v>
      </c>
      <c r="B9072" t="s">
        <v>339</v>
      </c>
      <c r="C9072" t="s">
        <v>63</v>
      </c>
      <c r="D9072">
        <v>17353</v>
      </c>
      <c r="E9072" t="s">
        <v>378</v>
      </c>
    </row>
    <row r="9073" spans="1:5" x14ac:dyDescent="0.25">
      <c r="A9073" s="279">
        <v>39296</v>
      </c>
      <c r="B9073" t="s">
        <v>339</v>
      </c>
      <c r="C9073" t="s">
        <v>80</v>
      </c>
      <c r="D9073">
        <v>798</v>
      </c>
      <c r="E9073" t="s">
        <v>379</v>
      </c>
    </row>
    <row r="9074" spans="1:5" x14ac:dyDescent="0.25">
      <c r="A9074" s="279">
        <v>39297</v>
      </c>
      <c r="B9074" t="s">
        <v>338</v>
      </c>
      <c r="C9074" t="s">
        <v>59</v>
      </c>
      <c r="D9074">
        <v>2580</v>
      </c>
      <c r="E9074" t="s">
        <v>378</v>
      </c>
    </row>
    <row r="9075" spans="1:5" x14ac:dyDescent="0.25">
      <c r="A9075" s="279">
        <v>39297</v>
      </c>
      <c r="B9075" t="s">
        <v>338</v>
      </c>
      <c r="C9075" t="s">
        <v>60</v>
      </c>
      <c r="D9075">
        <v>0</v>
      </c>
      <c r="E9075" t="s">
        <v>379</v>
      </c>
    </row>
    <row r="9076" spans="1:5" x14ac:dyDescent="0.25">
      <c r="A9076" s="279">
        <v>39297</v>
      </c>
      <c r="B9076" t="s">
        <v>338</v>
      </c>
      <c r="C9076" t="s">
        <v>61</v>
      </c>
      <c r="D9076">
        <v>7771</v>
      </c>
      <c r="E9076" t="s">
        <v>378</v>
      </c>
    </row>
    <row r="9077" spans="1:5" x14ac:dyDescent="0.25">
      <c r="A9077" s="279">
        <v>39297</v>
      </c>
      <c r="B9077" t="s">
        <v>338</v>
      </c>
      <c r="C9077" t="s">
        <v>62</v>
      </c>
      <c r="D9077">
        <v>0</v>
      </c>
      <c r="E9077" t="s">
        <v>380</v>
      </c>
    </row>
    <row r="9078" spans="1:5" x14ac:dyDescent="0.25">
      <c r="A9078" s="279">
        <v>39297</v>
      </c>
      <c r="B9078" t="s">
        <v>338</v>
      </c>
      <c r="C9078" t="s">
        <v>63</v>
      </c>
      <c r="D9078">
        <v>0</v>
      </c>
      <c r="E9078" t="s">
        <v>378</v>
      </c>
    </row>
    <row r="9079" spans="1:5" x14ac:dyDescent="0.25">
      <c r="A9079" s="279">
        <v>39297</v>
      </c>
      <c r="B9079" t="s">
        <v>338</v>
      </c>
      <c r="C9079" t="s">
        <v>64</v>
      </c>
      <c r="D9079">
        <v>0</v>
      </c>
      <c r="E9079" t="s">
        <v>380</v>
      </c>
    </row>
    <row r="9080" spans="1:5" x14ac:dyDescent="0.25">
      <c r="A9080" s="279">
        <v>39297</v>
      </c>
      <c r="B9080" t="s">
        <v>338</v>
      </c>
      <c r="C9080" t="s">
        <v>65</v>
      </c>
      <c r="D9080">
        <v>0</v>
      </c>
      <c r="E9080" t="s">
        <v>378</v>
      </c>
    </row>
    <row r="9081" spans="1:5" x14ac:dyDescent="0.25">
      <c r="A9081" s="279">
        <v>39297</v>
      </c>
      <c r="B9081" t="s">
        <v>338</v>
      </c>
      <c r="C9081" t="s">
        <v>66</v>
      </c>
      <c r="D9081">
        <v>0</v>
      </c>
      <c r="E9081" t="s">
        <v>380</v>
      </c>
    </row>
    <row r="9082" spans="1:5" x14ac:dyDescent="0.25">
      <c r="A9082" s="279">
        <v>39297</v>
      </c>
      <c r="B9082" t="s">
        <v>338</v>
      </c>
      <c r="C9082" t="s">
        <v>120</v>
      </c>
      <c r="D9082">
        <v>12268</v>
      </c>
      <c r="E9082" t="s">
        <v>378</v>
      </c>
    </row>
    <row r="9083" spans="1:5" x14ac:dyDescent="0.25">
      <c r="A9083" s="279">
        <v>39297</v>
      </c>
      <c r="B9083" t="s">
        <v>338</v>
      </c>
      <c r="C9083" t="s">
        <v>121</v>
      </c>
      <c r="D9083">
        <v>0</v>
      </c>
      <c r="E9083" t="s">
        <v>380</v>
      </c>
    </row>
    <row r="9084" spans="1:5" x14ac:dyDescent="0.25">
      <c r="A9084" s="279">
        <v>39297</v>
      </c>
      <c r="B9084" t="s">
        <v>338</v>
      </c>
      <c r="C9084" t="s">
        <v>67</v>
      </c>
      <c r="D9084">
        <v>0</v>
      </c>
      <c r="E9084" t="s">
        <v>378</v>
      </c>
    </row>
    <row r="9085" spans="1:5" x14ac:dyDescent="0.25">
      <c r="A9085" s="279">
        <v>39297</v>
      </c>
      <c r="B9085" t="s">
        <v>338</v>
      </c>
      <c r="C9085" t="s">
        <v>68</v>
      </c>
      <c r="D9085">
        <v>0</v>
      </c>
      <c r="E9085" t="s">
        <v>380</v>
      </c>
    </row>
    <row r="9086" spans="1:5" x14ac:dyDescent="0.25">
      <c r="A9086" s="279">
        <v>39297</v>
      </c>
      <c r="B9086" t="s">
        <v>338</v>
      </c>
      <c r="C9086" t="s">
        <v>69</v>
      </c>
      <c r="D9086">
        <v>0</v>
      </c>
      <c r="E9086" t="s">
        <v>379</v>
      </c>
    </row>
    <row r="9087" spans="1:5" x14ac:dyDescent="0.25">
      <c r="A9087" s="279">
        <v>39297</v>
      </c>
      <c r="B9087" t="s">
        <v>338</v>
      </c>
      <c r="C9087" t="s">
        <v>70</v>
      </c>
      <c r="D9087">
        <v>0</v>
      </c>
      <c r="E9087" t="s">
        <v>379</v>
      </c>
    </row>
    <row r="9088" spans="1:5" x14ac:dyDescent="0.25">
      <c r="A9088" s="279">
        <v>39297</v>
      </c>
      <c r="B9088" t="s">
        <v>338</v>
      </c>
      <c r="C9088" t="s">
        <v>80</v>
      </c>
      <c r="D9088">
        <v>187</v>
      </c>
      <c r="E9088" t="s">
        <v>379</v>
      </c>
    </row>
    <row r="9089" spans="1:5" x14ac:dyDescent="0.25">
      <c r="A9089" s="279">
        <v>39297</v>
      </c>
      <c r="B9089" t="s">
        <v>339</v>
      </c>
      <c r="C9089" t="s">
        <v>71</v>
      </c>
      <c r="D9089">
        <v>1921</v>
      </c>
      <c r="E9089" t="s">
        <v>378</v>
      </c>
    </row>
    <row r="9090" spans="1:5" x14ac:dyDescent="0.25">
      <c r="A9090" s="279">
        <v>39297</v>
      </c>
      <c r="B9090" t="s">
        <v>339</v>
      </c>
      <c r="C9090" t="s">
        <v>72</v>
      </c>
      <c r="D9090">
        <v>0</v>
      </c>
      <c r="E9090" t="s">
        <v>380</v>
      </c>
    </row>
    <row r="9091" spans="1:5" x14ac:dyDescent="0.25">
      <c r="A9091" s="279">
        <v>39297</v>
      </c>
      <c r="B9091" t="s">
        <v>339</v>
      </c>
      <c r="C9091" t="s">
        <v>73</v>
      </c>
      <c r="D9091">
        <v>17078</v>
      </c>
      <c r="E9091" t="s">
        <v>378</v>
      </c>
    </row>
    <row r="9092" spans="1:5" x14ac:dyDescent="0.25">
      <c r="A9092" s="279">
        <v>39297</v>
      </c>
      <c r="B9092" t="s">
        <v>339</v>
      </c>
      <c r="C9092" t="s">
        <v>74</v>
      </c>
      <c r="D9092">
        <v>0</v>
      </c>
      <c r="E9092" t="s">
        <v>380</v>
      </c>
    </row>
    <row r="9093" spans="1:5" x14ac:dyDescent="0.25">
      <c r="A9093" s="279">
        <v>39297</v>
      </c>
      <c r="B9093" t="s">
        <v>339</v>
      </c>
      <c r="C9093" t="s">
        <v>75</v>
      </c>
      <c r="D9093">
        <v>15331</v>
      </c>
      <c r="E9093" t="s">
        <v>378</v>
      </c>
    </row>
    <row r="9094" spans="1:5" x14ac:dyDescent="0.25">
      <c r="A9094" s="279">
        <v>39297</v>
      </c>
      <c r="B9094" t="s">
        <v>339</v>
      </c>
      <c r="C9094" t="s">
        <v>76</v>
      </c>
      <c r="D9094">
        <v>5490</v>
      </c>
      <c r="E9094" t="s">
        <v>380</v>
      </c>
    </row>
    <row r="9095" spans="1:5" x14ac:dyDescent="0.25">
      <c r="A9095" s="279">
        <v>39297</v>
      </c>
      <c r="B9095" t="s">
        <v>339</v>
      </c>
      <c r="C9095" t="s">
        <v>77</v>
      </c>
      <c r="D9095">
        <v>7310</v>
      </c>
      <c r="E9095" t="s">
        <v>378</v>
      </c>
    </row>
    <row r="9096" spans="1:5" x14ac:dyDescent="0.25">
      <c r="A9096" s="279">
        <v>39297</v>
      </c>
      <c r="B9096" t="s">
        <v>339</v>
      </c>
      <c r="C9096" t="s">
        <v>78</v>
      </c>
      <c r="D9096">
        <v>0</v>
      </c>
      <c r="E9096" t="s">
        <v>380</v>
      </c>
    </row>
    <row r="9097" spans="1:5" x14ac:dyDescent="0.25">
      <c r="A9097" s="279">
        <v>39297</v>
      </c>
      <c r="B9097" t="s">
        <v>339</v>
      </c>
      <c r="C9097" t="s">
        <v>79</v>
      </c>
      <c r="D9097">
        <v>87604</v>
      </c>
      <c r="E9097" t="s">
        <v>379</v>
      </c>
    </row>
    <row r="9098" spans="1:5" x14ac:dyDescent="0.25">
      <c r="A9098" s="279">
        <v>39297</v>
      </c>
      <c r="B9098" t="s">
        <v>339</v>
      </c>
      <c r="C9098" t="s">
        <v>70</v>
      </c>
      <c r="D9098">
        <v>0</v>
      </c>
      <c r="E9098" t="s">
        <v>379</v>
      </c>
    </row>
    <row r="9099" spans="1:5" x14ac:dyDescent="0.25">
      <c r="A9099" s="279">
        <v>39297</v>
      </c>
      <c r="B9099" t="s">
        <v>339</v>
      </c>
      <c r="C9099" t="s">
        <v>63</v>
      </c>
      <c r="D9099">
        <v>17403</v>
      </c>
      <c r="E9099" t="s">
        <v>378</v>
      </c>
    </row>
    <row r="9100" spans="1:5" x14ac:dyDescent="0.25">
      <c r="A9100" s="279">
        <v>39297</v>
      </c>
      <c r="B9100" t="s">
        <v>339</v>
      </c>
      <c r="C9100" t="s">
        <v>80</v>
      </c>
      <c r="D9100">
        <v>801</v>
      </c>
      <c r="E9100" t="s">
        <v>379</v>
      </c>
    </row>
    <row r="9101" spans="1:5" x14ac:dyDescent="0.25">
      <c r="A9101" s="279">
        <v>39298</v>
      </c>
      <c r="B9101" t="s">
        <v>338</v>
      </c>
      <c r="C9101" t="s">
        <v>59</v>
      </c>
      <c r="D9101">
        <v>2585</v>
      </c>
      <c r="E9101" t="s">
        <v>378</v>
      </c>
    </row>
    <row r="9102" spans="1:5" x14ac:dyDescent="0.25">
      <c r="A9102" s="279">
        <v>39298</v>
      </c>
      <c r="B9102" t="s">
        <v>338</v>
      </c>
      <c r="C9102" t="s">
        <v>60</v>
      </c>
      <c r="D9102">
        <v>0</v>
      </c>
      <c r="E9102" t="s">
        <v>379</v>
      </c>
    </row>
    <row r="9103" spans="1:5" x14ac:dyDescent="0.25">
      <c r="A9103" s="279">
        <v>39298</v>
      </c>
      <c r="B9103" t="s">
        <v>338</v>
      </c>
      <c r="C9103" t="s">
        <v>61</v>
      </c>
      <c r="D9103">
        <v>7805</v>
      </c>
      <c r="E9103" t="s">
        <v>378</v>
      </c>
    </row>
    <row r="9104" spans="1:5" x14ac:dyDescent="0.25">
      <c r="A9104" s="279">
        <v>39298</v>
      </c>
      <c r="B9104" t="s">
        <v>338</v>
      </c>
      <c r="C9104" t="s">
        <v>62</v>
      </c>
      <c r="D9104">
        <v>0</v>
      </c>
      <c r="E9104" t="s">
        <v>380</v>
      </c>
    </row>
    <row r="9105" spans="1:5" x14ac:dyDescent="0.25">
      <c r="A9105" s="279">
        <v>39298</v>
      </c>
      <c r="B9105" t="s">
        <v>338</v>
      </c>
      <c r="C9105" t="s">
        <v>63</v>
      </c>
      <c r="D9105">
        <v>0</v>
      </c>
      <c r="E9105" t="s">
        <v>378</v>
      </c>
    </row>
    <row r="9106" spans="1:5" x14ac:dyDescent="0.25">
      <c r="A9106" s="279">
        <v>39298</v>
      </c>
      <c r="B9106" t="s">
        <v>338</v>
      </c>
      <c r="C9106" t="s">
        <v>64</v>
      </c>
      <c r="D9106">
        <v>0</v>
      </c>
      <c r="E9106" t="s">
        <v>380</v>
      </c>
    </row>
    <row r="9107" spans="1:5" x14ac:dyDescent="0.25">
      <c r="A9107" s="279">
        <v>39298</v>
      </c>
      <c r="B9107" t="s">
        <v>338</v>
      </c>
      <c r="C9107" t="s">
        <v>65</v>
      </c>
      <c r="D9107">
        <v>0</v>
      </c>
      <c r="E9107" t="s">
        <v>378</v>
      </c>
    </row>
    <row r="9108" spans="1:5" x14ac:dyDescent="0.25">
      <c r="A9108" s="279">
        <v>39298</v>
      </c>
      <c r="B9108" t="s">
        <v>338</v>
      </c>
      <c r="C9108" t="s">
        <v>66</v>
      </c>
      <c r="D9108">
        <v>0</v>
      </c>
      <c r="E9108" t="s">
        <v>380</v>
      </c>
    </row>
    <row r="9109" spans="1:5" x14ac:dyDescent="0.25">
      <c r="A9109" s="279">
        <v>39298</v>
      </c>
      <c r="B9109" t="s">
        <v>338</v>
      </c>
      <c r="C9109" t="s">
        <v>120</v>
      </c>
      <c r="D9109">
        <v>12290</v>
      </c>
      <c r="E9109" t="s">
        <v>378</v>
      </c>
    </row>
    <row r="9110" spans="1:5" x14ac:dyDescent="0.25">
      <c r="A9110" s="279">
        <v>39298</v>
      </c>
      <c r="B9110" t="s">
        <v>338</v>
      </c>
      <c r="C9110" t="s">
        <v>121</v>
      </c>
      <c r="D9110">
        <v>0</v>
      </c>
      <c r="E9110" t="s">
        <v>380</v>
      </c>
    </row>
    <row r="9111" spans="1:5" x14ac:dyDescent="0.25">
      <c r="A9111" s="279">
        <v>39298</v>
      </c>
      <c r="B9111" t="s">
        <v>338</v>
      </c>
      <c r="C9111" t="s">
        <v>67</v>
      </c>
      <c r="D9111">
        <v>0</v>
      </c>
      <c r="E9111" t="s">
        <v>378</v>
      </c>
    </row>
    <row r="9112" spans="1:5" x14ac:dyDescent="0.25">
      <c r="A9112" s="279">
        <v>39298</v>
      </c>
      <c r="B9112" t="s">
        <v>338</v>
      </c>
      <c r="C9112" t="s">
        <v>68</v>
      </c>
      <c r="D9112">
        <v>0</v>
      </c>
      <c r="E9112" t="s">
        <v>380</v>
      </c>
    </row>
    <row r="9113" spans="1:5" x14ac:dyDescent="0.25">
      <c r="A9113" s="279">
        <v>39298</v>
      </c>
      <c r="B9113" t="s">
        <v>338</v>
      </c>
      <c r="C9113" t="s">
        <v>69</v>
      </c>
      <c r="D9113">
        <v>0</v>
      </c>
      <c r="E9113" t="s">
        <v>379</v>
      </c>
    </row>
    <row r="9114" spans="1:5" x14ac:dyDescent="0.25">
      <c r="A9114" s="279">
        <v>39298</v>
      </c>
      <c r="B9114" t="s">
        <v>338</v>
      </c>
      <c r="C9114" t="s">
        <v>70</v>
      </c>
      <c r="D9114">
        <v>0</v>
      </c>
      <c r="E9114" t="s">
        <v>379</v>
      </c>
    </row>
    <row r="9115" spans="1:5" x14ac:dyDescent="0.25">
      <c r="A9115" s="279">
        <v>39298</v>
      </c>
      <c r="B9115" t="s">
        <v>338</v>
      </c>
      <c r="C9115" t="s">
        <v>80</v>
      </c>
      <c r="D9115">
        <v>187</v>
      </c>
      <c r="E9115" t="s">
        <v>379</v>
      </c>
    </row>
    <row r="9116" spans="1:5" x14ac:dyDescent="0.25">
      <c r="A9116" s="279">
        <v>39298</v>
      </c>
      <c r="B9116" t="s">
        <v>339</v>
      </c>
      <c r="C9116" t="s">
        <v>71</v>
      </c>
      <c r="D9116">
        <v>1914</v>
      </c>
      <c r="E9116" t="s">
        <v>378</v>
      </c>
    </row>
    <row r="9117" spans="1:5" x14ac:dyDescent="0.25">
      <c r="A9117" s="279">
        <v>39298</v>
      </c>
      <c r="B9117" t="s">
        <v>339</v>
      </c>
      <c r="C9117" t="s">
        <v>72</v>
      </c>
      <c r="D9117">
        <v>0</v>
      </c>
      <c r="E9117" t="s">
        <v>380</v>
      </c>
    </row>
    <row r="9118" spans="1:5" x14ac:dyDescent="0.25">
      <c r="A9118" s="279">
        <v>39298</v>
      </c>
      <c r="B9118" t="s">
        <v>339</v>
      </c>
      <c r="C9118" t="s">
        <v>73</v>
      </c>
      <c r="D9118">
        <v>17012</v>
      </c>
      <c r="E9118" t="s">
        <v>378</v>
      </c>
    </row>
    <row r="9119" spans="1:5" x14ac:dyDescent="0.25">
      <c r="A9119" s="279">
        <v>39298</v>
      </c>
      <c r="B9119" t="s">
        <v>339</v>
      </c>
      <c r="C9119" t="s">
        <v>74</v>
      </c>
      <c r="D9119">
        <v>0</v>
      </c>
      <c r="E9119" t="s">
        <v>380</v>
      </c>
    </row>
    <row r="9120" spans="1:5" x14ac:dyDescent="0.25">
      <c r="A9120" s="279">
        <v>39298</v>
      </c>
      <c r="B9120" t="s">
        <v>339</v>
      </c>
      <c r="C9120" t="s">
        <v>75</v>
      </c>
      <c r="D9120">
        <v>15272</v>
      </c>
      <c r="E9120" t="s">
        <v>378</v>
      </c>
    </row>
    <row r="9121" spans="1:5" x14ac:dyDescent="0.25">
      <c r="A9121" s="279">
        <v>39298</v>
      </c>
      <c r="B9121" t="s">
        <v>339</v>
      </c>
      <c r="C9121" t="s">
        <v>76</v>
      </c>
      <c r="D9121">
        <v>8069</v>
      </c>
      <c r="E9121" t="s">
        <v>380</v>
      </c>
    </row>
    <row r="9122" spans="1:5" x14ac:dyDescent="0.25">
      <c r="A9122" s="279">
        <v>39298</v>
      </c>
      <c r="B9122" t="s">
        <v>339</v>
      </c>
      <c r="C9122" t="s">
        <v>77</v>
      </c>
      <c r="D9122">
        <v>7282</v>
      </c>
      <c r="E9122" t="s">
        <v>378</v>
      </c>
    </row>
    <row r="9123" spans="1:5" x14ac:dyDescent="0.25">
      <c r="A9123" s="279">
        <v>39298</v>
      </c>
      <c r="B9123" t="s">
        <v>339</v>
      </c>
      <c r="C9123" t="s">
        <v>78</v>
      </c>
      <c r="D9123">
        <v>0</v>
      </c>
      <c r="E9123" t="s">
        <v>380</v>
      </c>
    </row>
    <row r="9124" spans="1:5" x14ac:dyDescent="0.25">
      <c r="A9124" s="279">
        <v>39298</v>
      </c>
      <c r="B9124" t="s">
        <v>339</v>
      </c>
      <c r="C9124" t="s">
        <v>79</v>
      </c>
      <c r="D9124">
        <v>87265</v>
      </c>
      <c r="E9124" t="s">
        <v>379</v>
      </c>
    </row>
    <row r="9125" spans="1:5" x14ac:dyDescent="0.25">
      <c r="A9125" s="279">
        <v>39298</v>
      </c>
      <c r="B9125" t="s">
        <v>339</v>
      </c>
      <c r="C9125" t="s">
        <v>70</v>
      </c>
      <c r="D9125">
        <v>0</v>
      </c>
      <c r="E9125" t="s">
        <v>379</v>
      </c>
    </row>
    <row r="9126" spans="1:5" x14ac:dyDescent="0.25">
      <c r="A9126" s="279">
        <v>39298</v>
      </c>
      <c r="B9126" t="s">
        <v>339</v>
      </c>
      <c r="C9126" t="s">
        <v>63</v>
      </c>
      <c r="D9126">
        <v>17336</v>
      </c>
      <c r="E9126" t="s">
        <v>378</v>
      </c>
    </row>
    <row r="9127" spans="1:5" x14ac:dyDescent="0.25">
      <c r="A9127" s="279">
        <v>39298</v>
      </c>
      <c r="B9127" t="s">
        <v>339</v>
      </c>
      <c r="C9127" t="s">
        <v>80</v>
      </c>
      <c r="D9127">
        <v>798</v>
      </c>
      <c r="E9127" t="s">
        <v>379</v>
      </c>
    </row>
    <row r="9128" spans="1:5" x14ac:dyDescent="0.25">
      <c r="A9128" s="279">
        <v>39299</v>
      </c>
      <c r="B9128" t="s">
        <v>338</v>
      </c>
      <c r="C9128" t="s">
        <v>59</v>
      </c>
      <c r="D9128">
        <v>2585</v>
      </c>
      <c r="E9128" t="s">
        <v>378</v>
      </c>
    </row>
    <row r="9129" spans="1:5" x14ac:dyDescent="0.25">
      <c r="A9129" s="279">
        <v>39299</v>
      </c>
      <c r="B9129" t="s">
        <v>338</v>
      </c>
      <c r="C9129" t="s">
        <v>60</v>
      </c>
      <c r="D9129">
        <v>0</v>
      </c>
      <c r="E9129" t="s">
        <v>379</v>
      </c>
    </row>
    <row r="9130" spans="1:5" x14ac:dyDescent="0.25">
      <c r="A9130" s="279">
        <v>39299</v>
      </c>
      <c r="B9130" t="s">
        <v>338</v>
      </c>
      <c r="C9130" t="s">
        <v>61</v>
      </c>
      <c r="D9130">
        <v>7806</v>
      </c>
      <c r="E9130" t="s">
        <v>378</v>
      </c>
    </row>
    <row r="9131" spans="1:5" x14ac:dyDescent="0.25">
      <c r="A9131" s="279">
        <v>39299</v>
      </c>
      <c r="B9131" t="s">
        <v>338</v>
      </c>
      <c r="C9131" t="s">
        <v>62</v>
      </c>
      <c r="D9131">
        <v>0</v>
      </c>
      <c r="E9131" t="s">
        <v>380</v>
      </c>
    </row>
    <row r="9132" spans="1:5" x14ac:dyDescent="0.25">
      <c r="A9132" s="279">
        <v>39299</v>
      </c>
      <c r="B9132" t="s">
        <v>338</v>
      </c>
      <c r="C9132" t="s">
        <v>63</v>
      </c>
      <c r="D9132">
        <v>0</v>
      </c>
      <c r="E9132" t="s">
        <v>378</v>
      </c>
    </row>
    <row r="9133" spans="1:5" x14ac:dyDescent="0.25">
      <c r="A9133" s="279">
        <v>39299</v>
      </c>
      <c r="B9133" t="s">
        <v>338</v>
      </c>
      <c r="C9133" t="s">
        <v>64</v>
      </c>
      <c r="D9133">
        <v>0</v>
      </c>
      <c r="E9133" t="s">
        <v>380</v>
      </c>
    </row>
    <row r="9134" spans="1:5" x14ac:dyDescent="0.25">
      <c r="A9134" s="279">
        <v>39299</v>
      </c>
      <c r="B9134" t="s">
        <v>338</v>
      </c>
      <c r="C9134" t="s">
        <v>65</v>
      </c>
      <c r="D9134">
        <v>0</v>
      </c>
      <c r="E9134" t="s">
        <v>378</v>
      </c>
    </row>
    <row r="9135" spans="1:5" x14ac:dyDescent="0.25">
      <c r="A9135" s="279">
        <v>39299</v>
      </c>
      <c r="B9135" t="s">
        <v>338</v>
      </c>
      <c r="C9135" t="s">
        <v>66</v>
      </c>
      <c r="D9135">
        <v>0</v>
      </c>
      <c r="E9135" t="s">
        <v>380</v>
      </c>
    </row>
    <row r="9136" spans="1:5" x14ac:dyDescent="0.25">
      <c r="A9136" s="279">
        <v>39299</v>
      </c>
      <c r="B9136" t="s">
        <v>338</v>
      </c>
      <c r="C9136" t="s">
        <v>120</v>
      </c>
      <c r="D9136">
        <v>12291</v>
      </c>
      <c r="E9136" t="s">
        <v>378</v>
      </c>
    </row>
    <row r="9137" spans="1:5" x14ac:dyDescent="0.25">
      <c r="A9137" s="279">
        <v>39299</v>
      </c>
      <c r="B9137" t="s">
        <v>338</v>
      </c>
      <c r="C9137" t="s">
        <v>121</v>
      </c>
      <c r="D9137">
        <v>0</v>
      </c>
      <c r="E9137" t="s">
        <v>380</v>
      </c>
    </row>
    <row r="9138" spans="1:5" x14ac:dyDescent="0.25">
      <c r="A9138" s="279">
        <v>39299</v>
      </c>
      <c r="B9138" t="s">
        <v>338</v>
      </c>
      <c r="C9138" t="s">
        <v>67</v>
      </c>
      <c r="D9138">
        <v>0</v>
      </c>
      <c r="E9138" t="s">
        <v>378</v>
      </c>
    </row>
    <row r="9139" spans="1:5" x14ac:dyDescent="0.25">
      <c r="A9139" s="279">
        <v>39299</v>
      </c>
      <c r="B9139" t="s">
        <v>338</v>
      </c>
      <c r="C9139" t="s">
        <v>68</v>
      </c>
      <c r="D9139">
        <v>0</v>
      </c>
      <c r="E9139" t="s">
        <v>380</v>
      </c>
    </row>
    <row r="9140" spans="1:5" x14ac:dyDescent="0.25">
      <c r="A9140" s="279">
        <v>39299</v>
      </c>
      <c r="B9140" t="s">
        <v>338</v>
      </c>
      <c r="C9140" t="s">
        <v>69</v>
      </c>
      <c r="D9140">
        <v>0</v>
      </c>
      <c r="E9140" t="s">
        <v>379</v>
      </c>
    </row>
    <row r="9141" spans="1:5" x14ac:dyDescent="0.25">
      <c r="A9141" s="279">
        <v>39299</v>
      </c>
      <c r="B9141" t="s">
        <v>338</v>
      </c>
      <c r="C9141" t="s">
        <v>70</v>
      </c>
      <c r="D9141">
        <v>0</v>
      </c>
      <c r="E9141" t="s">
        <v>379</v>
      </c>
    </row>
    <row r="9142" spans="1:5" x14ac:dyDescent="0.25">
      <c r="A9142" s="279">
        <v>39299</v>
      </c>
      <c r="B9142" t="s">
        <v>338</v>
      </c>
      <c r="C9142" t="s">
        <v>80</v>
      </c>
      <c r="D9142">
        <v>187</v>
      </c>
      <c r="E9142" t="s">
        <v>379</v>
      </c>
    </row>
    <row r="9143" spans="1:5" x14ac:dyDescent="0.25">
      <c r="A9143" s="279">
        <v>39299</v>
      </c>
      <c r="B9143" t="s">
        <v>339</v>
      </c>
      <c r="C9143" t="s">
        <v>71</v>
      </c>
      <c r="D9143">
        <v>1914</v>
      </c>
      <c r="E9143" t="s">
        <v>378</v>
      </c>
    </row>
    <row r="9144" spans="1:5" x14ac:dyDescent="0.25">
      <c r="A9144" s="279">
        <v>39299</v>
      </c>
      <c r="B9144" t="s">
        <v>339</v>
      </c>
      <c r="C9144" t="s">
        <v>72</v>
      </c>
      <c r="D9144">
        <v>0</v>
      </c>
      <c r="E9144" t="s">
        <v>380</v>
      </c>
    </row>
    <row r="9145" spans="1:5" x14ac:dyDescent="0.25">
      <c r="A9145" s="279">
        <v>39299</v>
      </c>
      <c r="B9145" t="s">
        <v>339</v>
      </c>
      <c r="C9145" t="s">
        <v>73</v>
      </c>
      <c r="D9145">
        <v>17012</v>
      </c>
      <c r="E9145" t="s">
        <v>378</v>
      </c>
    </row>
    <row r="9146" spans="1:5" x14ac:dyDescent="0.25">
      <c r="A9146" s="279">
        <v>39299</v>
      </c>
      <c r="B9146" t="s">
        <v>339</v>
      </c>
      <c r="C9146" t="s">
        <v>74</v>
      </c>
      <c r="D9146">
        <v>0</v>
      </c>
      <c r="E9146" t="s">
        <v>380</v>
      </c>
    </row>
    <row r="9147" spans="1:5" x14ac:dyDescent="0.25">
      <c r="A9147" s="279">
        <v>39299</v>
      </c>
      <c r="B9147" t="s">
        <v>339</v>
      </c>
      <c r="C9147" t="s">
        <v>75</v>
      </c>
      <c r="D9147">
        <v>15272</v>
      </c>
      <c r="E9147" t="s">
        <v>378</v>
      </c>
    </row>
    <row r="9148" spans="1:5" x14ac:dyDescent="0.25">
      <c r="A9148" s="279">
        <v>39299</v>
      </c>
      <c r="B9148" t="s">
        <v>339</v>
      </c>
      <c r="C9148" t="s">
        <v>76</v>
      </c>
      <c r="D9148">
        <v>8986</v>
      </c>
      <c r="E9148" t="s">
        <v>380</v>
      </c>
    </row>
    <row r="9149" spans="1:5" x14ac:dyDescent="0.25">
      <c r="A9149" s="279">
        <v>39299</v>
      </c>
      <c r="B9149" t="s">
        <v>339</v>
      </c>
      <c r="C9149" t="s">
        <v>77</v>
      </c>
      <c r="D9149">
        <v>7282</v>
      </c>
      <c r="E9149" t="s">
        <v>378</v>
      </c>
    </row>
    <row r="9150" spans="1:5" x14ac:dyDescent="0.25">
      <c r="A9150" s="279">
        <v>39299</v>
      </c>
      <c r="B9150" t="s">
        <v>339</v>
      </c>
      <c r="C9150" t="s">
        <v>78</v>
      </c>
      <c r="D9150">
        <v>0</v>
      </c>
      <c r="E9150" t="s">
        <v>380</v>
      </c>
    </row>
    <row r="9151" spans="1:5" x14ac:dyDescent="0.25">
      <c r="A9151" s="279">
        <v>39299</v>
      </c>
      <c r="B9151" t="s">
        <v>339</v>
      </c>
      <c r="C9151" t="s">
        <v>79</v>
      </c>
      <c r="D9151">
        <v>87265</v>
      </c>
      <c r="E9151" t="s">
        <v>379</v>
      </c>
    </row>
    <row r="9152" spans="1:5" x14ac:dyDescent="0.25">
      <c r="A9152" s="279">
        <v>39299</v>
      </c>
      <c r="B9152" t="s">
        <v>339</v>
      </c>
      <c r="C9152" t="s">
        <v>70</v>
      </c>
      <c r="D9152">
        <v>0</v>
      </c>
      <c r="E9152" t="s">
        <v>379</v>
      </c>
    </row>
    <row r="9153" spans="1:5" x14ac:dyDescent="0.25">
      <c r="A9153" s="279">
        <v>39299</v>
      </c>
      <c r="B9153" t="s">
        <v>339</v>
      </c>
      <c r="C9153" t="s">
        <v>63</v>
      </c>
      <c r="D9153">
        <v>17336</v>
      </c>
      <c r="E9153" t="s">
        <v>378</v>
      </c>
    </row>
    <row r="9154" spans="1:5" x14ac:dyDescent="0.25">
      <c r="A9154" s="279">
        <v>39299</v>
      </c>
      <c r="B9154" t="s">
        <v>339</v>
      </c>
      <c r="C9154" t="s">
        <v>80</v>
      </c>
      <c r="D9154">
        <v>798</v>
      </c>
      <c r="E9154" t="s">
        <v>379</v>
      </c>
    </row>
    <row r="9155" spans="1:5" x14ac:dyDescent="0.25">
      <c r="A9155" s="279">
        <v>39300</v>
      </c>
      <c r="B9155" t="s">
        <v>338</v>
      </c>
      <c r="C9155" t="s">
        <v>59</v>
      </c>
      <c r="D9155">
        <v>2580</v>
      </c>
      <c r="E9155" t="s">
        <v>378</v>
      </c>
    </row>
    <row r="9156" spans="1:5" x14ac:dyDescent="0.25">
      <c r="A9156" s="279">
        <v>39300</v>
      </c>
      <c r="B9156" t="s">
        <v>338</v>
      </c>
      <c r="C9156" t="s">
        <v>60</v>
      </c>
      <c r="D9156">
        <v>0</v>
      </c>
      <c r="E9156" t="s">
        <v>379</v>
      </c>
    </row>
    <row r="9157" spans="1:5" x14ac:dyDescent="0.25">
      <c r="A9157" s="279">
        <v>39300</v>
      </c>
      <c r="B9157" t="s">
        <v>338</v>
      </c>
      <c r="C9157" t="s">
        <v>61</v>
      </c>
      <c r="D9157">
        <v>7761</v>
      </c>
      <c r="E9157" t="s">
        <v>378</v>
      </c>
    </row>
    <row r="9158" spans="1:5" x14ac:dyDescent="0.25">
      <c r="A9158" s="279">
        <v>39300</v>
      </c>
      <c r="B9158" t="s">
        <v>338</v>
      </c>
      <c r="C9158" t="s">
        <v>62</v>
      </c>
      <c r="D9158">
        <v>0</v>
      </c>
      <c r="E9158" t="s">
        <v>380</v>
      </c>
    </row>
    <row r="9159" spans="1:5" x14ac:dyDescent="0.25">
      <c r="A9159" s="279">
        <v>39300</v>
      </c>
      <c r="B9159" t="s">
        <v>338</v>
      </c>
      <c r="C9159" t="s">
        <v>63</v>
      </c>
      <c r="D9159">
        <v>0</v>
      </c>
      <c r="E9159" t="s">
        <v>378</v>
      </c>
    </row>
    <row r="9160" spans="1:5" x14ac:dyDescent="0.25">
      <c r="A9160" s="279">
        <v>39300</v>
      </c>
      <c r="B9160" t="s">
        <v>338</v>
      </c>
      <c r="C9160" t="s">
        <v>64</v>
      </c>
      <c r="D9160">
        <v>0</v>
      </c>
      <c r="E9160" t="s">
        <v>380</v>
      </c>
    </row>
    <row r="9161" spans="1:5" x14ac:dyDescent="0.25">
      <c r="A9161" s="279">
        <v>39300</v>
      </c>
      <c r="B9161" t="s">
        <v>338</v>
      </c>
      <c r="C9161" t="s">
        <v>65</v>
      </c>
      <c r="D9161">
        <v>0</v>
      </c>
      <c r="E9161" t="s">
        <v>378</v>
      </c>
    </row>
    <row r="9162" spans="1:5" x14ac:dyDescent="0.25">
      <c r="A9162" s="279">
        <v>39300</v>
      </c>
      <c r="B9162" t="s">
        <v>338</v>
      </c>
      <c r="C9162" t="s">
        <v>66</v>
      </c>
      <c r="D9162">
        <v>0</v>
      </c>
      <c r="E9162" t="s">
        <v>380</v>
      </c>
    </row>
    <row r="9163" spans="1:5" x14ac:dyDescent="0.25">
      <c r="A9163" s="279">
        <v>39300</v>
      </c>
      <c r="B9163" t="s">
        <v>338</v>
      </c>
      <c r="C9163" t="s">
        <v>120</v>
      </c>
      <c r="D9163">
        <v>12268</v>
      </c>
      <c r="E9163" t="s">
        <v>378</v>
      </c>
    </row>
    <row r="9164" spans="1:5" x14ac:dyDescent="0.25">
      <c r="A9164" s="279">
        <v>39300</v>
      </c>
      <c r="B9164" t="s">
        <v>338</v>
      </c>
      <c r="C9164" t="s">
        <v>121</v>
      </c>
      <c r="D9164">
        <v>0</v>
      </c>
      <c r="E9164" t="s">
        <v>380</v>
      </c>
    </row>
    <row r="9165" spans="1:5" x14ac:dyDescent="0.25">
      <c r="A9165" s="279">
        <v>39300</v>
      </c>
      <c r="B9165" t="s">
        <v>338</v>
      </c>
      <c r="C9165" t="s">
        <v>67</v>
      </c>
      <c r="D9165">
        <v>0</v>
      </c>
      <c r="E9165" t="s">
        <v>378</v>
      </c>
    </row>
    <row r="9166" spans="1:5" x14ac:dyDescent="0.25">
      <c r="A9166" s="279">
        <v>39300</v>
      </c>
      <c r="B9166" t="s">
        <v>338</v>
      </c>
      <c r="C9166" t="s">
        <v>68</v>
      </c>
      <c r="D9166">
        <v>0</v>
      </c>
      <c r="E9166" t="s">
        <v>380</v>
      </c>
    </row>
    <row r="9167" spans="1:5" x14ac:dyDescent="0.25">
      <c r="A9167" s="279">
        <v>39300</v>
      </c>
      <c r="B9167" t="s">
        <v>338</v>
      </c>
      <c r="C9167" t="s">
        <v>69</v>
      </c>
      <c r="D9167">
        <v>0</v>
      </c>
      <c r="E9167" t="s">
        <v>379</v>
      </c>
    </row>
    <row r="9168" spans="1:5" x14ac:dyDescent="0.25">
      <c r="A9168" s="279">
        <v>39300</v>
      </c>
      <c r="B9168" t="s">
        <v>338</v>
      </c>
      <c r="C9168" t="s">
        <v>70</v>
      </c>
      <c r="D9168">
        <v>0</v>
      </c>
      <c r="E9168" t="s">
        <v>379</v>
      </c>
    </row>
    <row r="9169" spans="1:5" x14ac:dyDescent="0.25">
      <c r="A9169" s="279">
        <v>39300</v>
      </c>
      <c r="B9169" t="s">
        <v>338</v>
      </c>
      <c r="C9169" t="s">
        <v>80</v>
      </c>
      <c r="D9169">
        <v>187</v>
      </c>
      <c r="E9169" t="s">
        <v>379</v>
      </c>
    </row>
    <row r="9170" spans="1:5" x14ac:dyDescent="0.25">
      <c r="A9170" s="279">
        <v>39300</v>
      </c>
      <c r="B9170" t="s">
        <v>339</v>
      </c>
      <c r="C9170" t="s">
        <v>71</v>
      </c>
      <c r="D9170">
        <v>1912</v>
      </c>
      <c r="E9170" t="s">
        <v>378</v>
      </c>
    </row>
    <row r="9171" spans="1:5" x14ac:dyDescent="0.25">
      <c r="A9171" s="279">
        <v>39300</v>
      </c>
      <c r="B9171" t="s">
        <v>339</v>
      </c>
      <c r="C9171" t="s">
        <v>72</v>
      </c>
      <c r="D9171">
        <v>0</v>
      </c>
      <c r="E9171" t="s">
        <v>380</v>
      </c>
    </row>
    <row r="9172" spans="1:5" x14ac:dyDescent="0.25">
      <c r="A9172" s="279">
        <v>39300</v>
      </c>
      <c r="B9172" t="s">
        <v>339</v>
      </c>
      <c r="C9172" t="s">
        <v>73</v>
      </c>
      <c r="D9172">
        <v>16996</v>
      </c>
      <c r="E9172" t="s">
        <v>378</v>
      </c>
    </row>
    <row r="9173" spans="1:5" x14ac:dyDescent="0.25">
      <c r="A9173" s="279">
        <v>39300</v>
      </c>
      <c r="B9173" t="s">
        <v>339</v>
      </c>
      <c r="C9173" t="s">
        <v>74</v>
      </c>
      <c r="D9173">
        <v>0</v>
      </c>
      <c r="E9173" t="s">
        <v>380</v>
      </c>
    </row>
    <row r="9174" spans="1:5" x14ac:dyDescent="0.25">
      <c r="A9174" s="279">
        <v>39300</v>
      </c>
      <c r="B9174" t="s">
        <v>339</v>
      </c>
      <c r="C9174" t="s">
        <v>75</v>
      </c>
      <c r="D9174">
        <v>15257</v>
      </c>
      <c r="E9174" t="s">
        <v>378</v>
      </c>
    </row>
    <row r="9175" spans="1:5" x14ac:dyDescent="0.25">
      <c r="A9175" s="279">
        <v>39300</v>
      </c>
      <c r="B9175" t="s">
        <v>339</v>
      </c>
      <c r="C9175" t="s">
        <v>76</v>
      </c>
      <c r="D9175">
        <v>7716</v>
      </c>
      <c r="E9175" t="s">
        <v>380</v>
      </c>
    </row>
    <row r="9176" spans="1:5" x14ac:dyDescent="0.25">
      <c r="A9176" s="279">
        <v>39300</v>
      </c>
      <c r="B9176" t="s">
        <v>339</v>
      </c>
      <c r="C9176" t="s">
        <v>77</v>
      </c>
      <c r="D9176">
        <v>7275</v>
      </c>
      <c r="E9176" t="s">
        <v>378</v>
      </c>
    </row>
    <row r="9177" spans="1:5" x14ac:dyDescent="0.25">
      <c r="A9177" s="279">
        <v>39300</v>
      </c>
      <c r="B9177" t="s">
        <v>339</v>
      </c>
      <c r="C9177" t="s">
        <v>78</v>
      </c>
      <c r="D9177">
        <v>0</v>
      </c>
      <c r="E9177" t="s">
        <v>380</v>
      </c>
    </row>
    <row r="9178" spans="1:5" x14ac:dyDescent="0.25">
      <c r="A9178" s="279">
        <v>39300</v>
      </c>
      <c r="B9178" t="s">
        <v>339</v>
      </c>
      <c r="C9178" t="s">
        <v>79</v>
      </c>
      <c r="D9178">
        <v>87181</v>
      </c>
      <c r="E9178" t="s">
        <v>379</v>
      </c>
    </row>
    <row r="9179" spans="1:5" x14ac:dyDescent="0.25">
      <c r="A9179" s="279">
        <v>39300</v>
      </c>
      <c r="B9179" t="s">
        <v>339</v>
      </c>
      <c r="C9179" t="s">
        <v>70</v>
      </c>
      <c r="D9179">
        <v>0</v>
      </c>
      <c r="E9179" t="s">
        <v>379</v>
      </c>
    </row>
    <row r="9180" spans="1:5" x14ac:dyDescent="0.25">
      <c r="A9180" s="279">
        <v>39300</v>
      </c>
      <c r="B9180" t="s">
        <v>339</v>
      </c>
      <c r="C9180" t="s">
        <v>63</v>
      </c>
      <c r="D9180">
        <v>17319</v>
      </c>
      <c r="E9180" t="s">
        <v>378</v>
      </c>
    </row>
    <row r="9181" spans="1:5" x14ac:dyDescent="0.25">
      <c r="A9181" s="279">
        <v>39300</v>
      </c>
      <c r="B9181" t="s">
        <v>339</v>
      </c>
      <c r="C9181" t="s">
        <v>80</v>
      </c>
      <c r="D9181">
        <v>797</v>
      </c>
      <c r="E9181" t="s">
        <v>379</v>
      </c>
    </row>
    <row r="9182" spans="1:5" x14ac:dyDescent="0.25">
      <c r="A9182" s="279">
        <v>39301</v>
      </c>
      <c r="B9182" t="s">
        <v>338</v>
      </c>
      <c r="C9182" t="s">
        <v>59</v>
      </c>
      <c r="D9182">
        <v>2580</v>
      </c>
      <c r="E9182" t="s">
        <v>378</v>
      </c>
    </row>
    <row r="9183" spans="1:5" x14ac:dyDescent="0.25">
      <c r="A9183" s="279">
        <v>39301</v>
      </c>
      <c r="B9183" t="s">
        <v>338</v>
      </c>
      <c r="C9183" t="s">
        <v>60</v>
      </c>
      <c r="D9183">
        <v>0</v>
      </c>
      <c r="E9183" t="s">
        <v>379</v>
      </c>
    </row>
    <row r="9184" spans="1:5" x14ac:dyDescent="0.25">
      <c r="A9184" s="279">
        <v>39301</v>
      </c>
      <c r="B9184" t="s">
        <v>338</v>
      </c>
      <c r="C9184" t="s">
        <v>61</v>
      </c>
      <c r="D9184">
        <v>7761</v>
      </c>
      <c r="E9184" t="s">
        <v>378</v>
      </c>
    </row>
    <row r="9185" spans="1:5" x14ac:dyDescent="0.25">
      <c r="A9185" s="279">
        <v>39301</v>
      </c>
      <c r="B9185" t="s">
        <v>338</v>
      </c>
      <c r="C9185" t="s">
        <v>62</v>
      </c>
      <c r="D9185">
        <v>0</v>
      </c>
      <c r="E9185" t="s">
        <v>380</v>
      </c>
    </row>
    <row r="9186" spans="1:5" x14ac:dyDescent="0.25">
      <c r="A9186" s="279">
        <v>39301</v>
      </c>
      <c r="B9186" t="s">
        <v>338</v>
      </c>
      <c r="C9186" t="s">
        <v>63</v>
      </c>
      <c r="D9186">
        <v>0</v>
      </c>
      <c r="E9186" t="s">
        <v>378</v>
      </c>
    </row>
    <row r="9187" spans="1:5" x14ac:dyDescent="0.25">
      <c r="A9187" s="279">
        <v>39301</v>
      </c>
      <c r="B9187" t="s">
        <v>338</v>
      </c>
      <c r="C9187" t="s">
        <v>64</v>
      </c>
      <c r="D9187">
        <v>0</v>
      </c>
      <c r="E9187" t="s">
        <v>380</v>
      </c>
    </row>
    <row r="9188" spans="1:5" x14ac:dyDescent="0.25">
      <c r="A9188" s="279">
        <v>39301</v>
      </c>
      <c r="B9188" t="s">
        <v>338</v>
      </c>
      <c r="C9188" t="s">
        <v>65</v>
      </c>
      <c r="D9188">
        <v>0</v>
      </c>
      <c r="E9188" t="s">
        <v>378</v>
      </c>
    </row>
    <row r="9189" spans="1:5" x14ac:dyDescent="0.25">
      <c r="A9189" s="279">
        <v>39301</v>
      </c>
      <c r="B9189" t="s">
        <v>338</v>
      </c>
      <c r="C9189" t="s">
        <v>66</v>
      </c>
      <c r="D9189">
        <v>0</v>
      </c>
      <c r="E9189" t="s">
        <v>380</v>
      </c>
    </row>
    <row r="9190" spans="1:5" x14ac:dyDescent="0.25">
      <c r="A9190" s="279">
        <v>39301</v>
      </c>
      <c r="B9190" t="s">
        <v>338</v>
      </c>
      <c r="C9190" t="s">
        <v>120</v>
      </c>
      <c r="D9190">
        <v>12268</v>
      </c>
      <c r="E9190" t="s">
        <v>378</v>
      </c>
    </row>
    <row r="9191" spans="1:5" x14ac:dyDescent="0.25">
      <c r="A9191" s="279">
        <v>39301</v>
      </c>
      <c r="B9191" t="s">
        <v>338</v>
      </c>
      <c r="C9191" t="s">
        <v>121</v>
      </c>
      <c r="D9191">
        <v>0</v>
      </c>
      <c r="E9191" t="s">
        <v>380</v>
      </c>
    </row>
    <row r="9192" spans="1:5" x14ac:dyDescent="0.25">
      <c r="A9192" s="279">
        <v>39301</v>
      </c>
      <c r="B9192" t="s">
        <v>338</v>
      </c>
      <c r="C9192" t="s">
        <v>67</v>
      </c>
      <c r="D9192">
        <v>0</v>
      </c>
      <c r="E9192" t="s">
        <v>378</v>
      </c>
    </row>
    <row r="9193" spans="1:5" x14ac:dyDescent="0.25">
      <c r="A9193" s="279">
        <v>39301</v>
      </c>
      <c r="B9193" t="s">
        <v>338</v>
      </c>
      <c r="C9193" t="s">
        <v>68</v>
      </c>
      <c r="D9193">
        <v>0</v>
      </c>
      <c r="E9193" t="s">
        <v>380</v>
      </c>
    </row>
    <row r="9194" spans="1:5" x14ac:dyDescent="0.25">
      <c r="A9194" s="279">
        <v>39301</v>
      </c>
      <c r="B9194" t="s">
        <v>338</v>
      </c>
      <c r="C9194" t="s">
        <v>69</v>
      </c>
      <c r="D9194">
        <v>0</v>
      </c>
      <c r="E9194" t="s">
        <v>379</v>
      </c>
    </row>
    <row r="9195" spans="1:5" x14ac:dyDescent="0.25">
      <c r="A9195" s="279">
        <v>39301</v>
      </c>
      <c r="B9195" t="s">
        <v>338</v>
      </c>
      <c r="C9195" t="s">
        <v>70</v>
      </c>
      <c r="D9195">
        <v>0</v>
      </c>
      <c r="E9195" t="s">
        <v>379</v>
      </c>
    </row>
    <row r="9196" spans="1:5" x14ac:dyDescent="0.25">
      <c r="A9196" s="279">
        <v>39301</v>
      </c>
      <c r="B9196" t="s">
        <v>338</v>
      </c>
      <c r="C9196" t="s">
        <v>80</v>
      </c>
      <c r="D9196">
        <v>187</v>
      </c>
      <c r="E9196" t="s">
        <v>379</v>
      </c>
    </row>
    <row r="9197" spans="1:5" x14ac:dyDescent="0.25">
      <c r="A9197" s="279">
        <v>39301</v>
      </c>
      <c r="B9197" t="s">
        <v>339</v>
      </c>
      <c r="C9197" t="s">
        <v>71</v>
      </c>
      <c r="D9197">
        <v>1914</v>
      </c>
      <c r="E9197" t="s">
        <v>378</v>
      </c>
    </row>
    <row r="9198" spans="1:5" x14ac:dyDescent="0.25">
      <c r="A9198" s="279">
        <v>39301</v>
      </c>
      <c r="B9198" t="s">
        <v>339</v>
      </c>
      <c r="C9198" t="s">
        <v>72</v>
      </c>
      <c r="D9198">
        <v>0</v>
      </c>
      <c r="E9198" t="s">
        <v>380</v>
      </c>
    </row>
    <row r="9199" spans="1:5" x14ac:dyDescent="0.25">
      <c r="A9199" s="279">
        <v>39301</v>
      </c>
      <c r="B9199" t="s">
        <v>339</v>
      </c>
      <c r="C9199" t="s">
        <v>73</v>
      </c>
      <c r="D9199">
        <v>17012</v>
      </c>
      <c r="E9199" t="s">
        <v>378</v>
      </c>
    </row>
    <row r="9200" spans="1:5" x14ac:dyDescent="0.25">
      <c r="A9200" s="279">
        <v>39301</v>
      </c>
      <c r="B9200" t="s">
        <v>339</v>
      </c>
      <c r="C9200" t="s">
        <v>74</v>
      </c>
      <c r="D9200">
        <v>0</v>
      </c>
      <c r="E9200" t="s">
        <v>380</v>
      </c>
    </row>
    <row r="9201" spans="1:5" x14ac:dyDescent="0.25">
      <c r="A9201" s="279">
        <v>39301</v>
      </c>
      <c r="B9201" t="s">
        <v>339</v>
      </c>
      <c r="C9201" t="s">
        <v>75</v>
      </c>
      <c r="D9201">
        <v>15272</v>
      </c>
      <c r="E9201" t="s">
        <v>378</v>
      </c>
    </row>
    <row r="9202" spans="1:5" x14ac:dyDescent="0.25">
      <c r="A9202" s="279">
        <v>39301</v>
      </c>
      <c r="B9202" t="s">
        <v>339</v>
      </c>
      <c r="C9202" t="s">
        <v>76</v>
      </c>
      <c r="D9202">
        <v>6474</v>
      </c>
      <c r="E9202" t="s">
        <v>380</v>
      </c>
    </row>
    <row r="9203" spans="1:5" x14ac:dyDescent="0.25">
      <c r="A9203" s="279">
        <v>39301</v>
      </c>
      <c r="B9203" t="s">
        <v>339</v>
      </c>
      <c r="C9203" t="s">
        <v>77</v>
      </c>
      <c r="D9203">
        <v>7282</v>
      </c>
      <c r="E9203" t="s">
        <v>378</v>
      </c>
    </row>
    <row r="9204" spans="1:5" x14ac:dyDescent="0.25">
      <c r="A9204" s="279">
        <v>39301</v>
      </c>
      <c r="B9204" t="s">
        <v>339</v>
      </c>
      <c r="C9204" t="s">
        <v>78</v>
      </c>
      <c r="D9204">
        <v>0</v>
      </c>
      <c r="E9204" t="s">
        <v>380</v>
      </c>
    </row>
    <row r="9205" spans="1:5" x14ac:dyDescent="0.25">
      <c r="A9205" s="279">
        <v>39301</v>
      </c>
      <c r="B9205" t="s">
        <v>339</v>
      </c>
      <c r="C9205" t="s">
        <v>79</v>
      </c>
      <c r="D9205">
        <v>87265</v>
      </c>
      <c r="E9205" t="s">
        <v>379</v>
      </c>
    </row>
    <row r="9206" spans="1:5" x14ac:dyDescent="0.25">
      <c r="A9206" s="279">
        <v>39301</v>
      </c>
      <c r="B9206" t="s">
        <v>339</v>
      </c>
      <c r="C9206" t="s">
        <v>70</v>
      </c>
      <c r="D9206">
        <v>0</v>
      </c>
      <c r="E9206" t="s">
        <v>379</v>
      </c>
    </row>
    <row r="9207" spans="1:5" x14ac:dyDescent="0.25">
      <c r="A9207" s="279">
        <v>39301</v>
      </c>
      <c r="B9207" t="s">
        <v>339</v>
      </c>
      <c r="C9207" t="s">
        <v>63</v>
      </c>
      <c r="D9207">
        <v>17336</v>
      </c>
      <c r="E9207" t="s">
        <v>378</v>
      </c>
    </row>
    <row r="9208" spans="1:5" x14ac:dyDescent="0.25">
      <c r="A9208" s="279">
        <v>39301</v>
      </c>
      <c r="B9208" t="s">
        <v>339</v>
      </c>
      <c r="C9208" t="s">
        <v>80</v>
      </c>
      <c r="D9208">
        <v>798</v>
      </c>
      <c r="E9208" t="s">
        <v>379</v>
      </c>
    </row>
    <row r="9209" spans="1:5" x14ac:dyDescent="0.25">
      <c r="A9209" s="279">
        <v>39302</v>
      </c>
      <c r="B9209" t="s">
        <v>338</v>
      </c>
      <c r="C9209" t="s">
        <v>59</v>
      </c>
      <c r="D9209">
        <v>2580</v>
      </c>
      <c r="E9209" t="s">
        <v>378</v>
      </c>
    </row>
    <row r="9210" spans="1:5" x14ac:dyDescent="0.25">
      <c r="A9210" s="279">
        <v>39302</v>
      </c>
      <c r="B9210" t="s">
        <v>338</v>
      </c>
      <c r="C9210" t="s">
        <v>60</v>
      </c>
      <c r="D9210">
        <v>0</v>
      </c>
      <c r="E9210" t="s">
        <v>379</v>
      </c>
    </row>
    <row r="9211" spans="1:5" x14ac:dyDescent="0.25">
      <c r="A9211" s="279">
        <v>39302</v>
      </c>
      <c r="B9211" t="s">
        <v>338</v>
      </c>
      <c r="C9211" t="s">
        <v>61</v>
      </c>
      <c r="D9211">
        <v>7761</v>
      </c>
      <c r="E9211" t="s">
        <v>378</v>
      </c>
    </row>
    <row r="9212" spans="1:5" x14ac:dyDescent="0.25">
      <c r="A9212" s="279">
        <v>39302</v>
      </c>
      <c r="B9212" t="s">
        <v>338</v>
      </c>
      <c r="C9212" t="s">
        <v>62</v>
      </c>
      <c r="D9212">
        <v>0</v>
      </c>
      <c r="E9212" t="s">
        <v>380</v>
      </c>
    </row>
    <row r="9213" spans="1:5" x14ac:dyDescent="0.25">
      <c r="A9213" s="279">
        <v>39302</v>
      </c>
      <c r="B9213" t="s">
        <v>338</v>
      </c>
      <c r="C9213" t="s">
        <v>63</v>
      </c>
      <c r="D9213">
        <v>0</v>
      </c>
      <c r="E9213" t="s">
        <v>378</v>
      </c>
    </row>
    <row r="9214" spans="1:5" x14ac:dyDescent="0.25">
      <c r="A9214" s="279">
        <v>39302</v>
      </c>
      <c r="B9214" t="s">
        <v>338</v>
      </c>
      <c r="C9214" t="s">
        <v>64</v>
      </c>
      <c r="D9214">
        <v>0</v>
      </c>
      <c r="E9214" t="s">
        <v>380</v>
      </c>
    </row>
    <row r="9215" spans="1:5" x14ac:dyDescent="0.25">
      <c r="A9215" s="279">
        <v>39302</v>
      </c>
      <c r="B9215" t="s">
        <v>338</v>
      </c>
      <c r="C9215" t="s">
        <v>65</v>
      </c>
      <c r="D9215">
        <v>0</v>
      </c>
      <c r="E9215" t="s">
        <v>378</v>
      </c>
    </row>
    <row r="9216" spans="1:5" x14ac:dyDescent="0.25">
      <c r="A9216" s="279">
        <v>39302</v>
      </c>
      <c r="B9216" t="s">
        <v>338</v>
      </c>
      <c r="C9216" t="s">
        <v>66</v>
      </c>
      <c r="D9216">
        <v>0</v>
      </c>
      <c r="E9216" t="s">
        <v>380</v>
      </c>
    </row>
    <row r="9217" spans="1:5" x14ac:dyDescent="0.25">
      <c r="A9217" s="279">
        <v>39302</v>
      </c>
      <c r="B9217" t="s">
        <v>338</v>
      </c>
      <c r="C9217" t="s">
        <v>120</v>
      </c>
      <c r="D9217">
        <v>12268</v>
      </c>
      <c r="E9217" t="s">
        <v>378</v>
      </c>
    </row>
    <row r="9218" spans="1:5" x14ac:dyDescent="0.25">
      <c r="A9218" s="279">
        <v>39302</v>
      </c>
      <c r="B9218" t="s">
        <v>338</v>
      </c>
      <c r="C9218" t="s">
        <v>121</v>
      </c>
      <c r="D9218">
        <v>0</v>
      </c>
      <c r="E9218" t="s">
        <v>380</v>
      </c>
    </row>
    <row r="9219" spans="1:5" x14ac:dyDescent="0.25">
      <c r="A9219" s="279">
        <v>39302</v>
      </c>
      <c r="B9219" t="s">
        <v>338</v>
      </c>
      <c r="C9219" t="s">
        <v>67</v>
      </c>
      <c r="D9219">
        <v>0</v>
      </c>
      <c r="E9219" t="s">
        <v>378</v>
      </c>
    </row>
    <row r="9220" spans="1:5" x14ac:dyDescent="0.25">
      <c r="A9220" s="279">
        <v>39302</v>
      </c>
      <c r="B9220" t="s">
        <v>338</v>
      </c>
      <c r="C9220" t="s">
        <v>68</v>
      </c>
      <c r="D9220">
        <v>0</v>
      </c>
      <c r="E9220" t="s">
        <v>380</v>
      </c>
    </row>
    <row r="9221" spans="1:5" x14ac:dyDescent="0.25">
      <c r="A9221" s="279">
        <v>39302</v>
      </c>
      <c r="B9221" t="s">
        <v>338</v>
      </c>
      <c r="C9221" t="s">
        <v>69</v>
      </c>
      <c r="D9221">
        <v>0</v>
      </c>
      <c r="E9221" t="s">
        <v>379</v>
      </c>
    </row>
    <row r="9222" spans="1:5" x14ac:dyDescent="0.25">
      <c r="A9222" s="279">
        <v>39302</v>
      </c>
      <c r="B9222" t="s">
        <v>338</v>
      </c>
      <c r="C9222" t="s">
        <v>70</v>
      </c>
      <c r="D9222">
        <v>0</v>
      </c>
      <c r="E9222" t="s">
        <v>379</v>
      </c>
    </row>
    <row r="9223" spans="1:5" x14ac:dyDescent="0.25">
      <c r="A9223" s="279">
        <v>39302</v>
      </c>
      <c r="B9223" t="s">
        <v>338</v>
      </c>
      <c r="C9223" t="s">
        <v>80</v>
      </c>
      <c r="D9223">
        <v>187</v>
      </c>
      <c r="E9223" t="s">
        <v>379</v>
      </c>
    </row>
    <row r="9224" spans="1:5" x14ac:dyDescent="0.25">
      <c r="A9224" s="279">
        <v>39302</v>
      </c>
      <c r="B9224" t="s">
        <v>339</v>
      </c>
      <c r="C9224" t="s">
        <v>71</v>
      </c>
      <c r="D9224">
        <v>1910</v>
      </c>
      <c r="E9224" t="s">
        <v>378</v>
      </c>
    </row>
    <row r="9225" spans="1:5" x14ac:dyDescent="0.25">
      <c r="A9225" s="279">
        <v>39302</v>
      </c>
      <c r="B9225" t="s">
        <v>339</v>
      </c>
      <c r="C9225" t="s">
        <v>72</v>
      </c>
      <c r="D9225">
        <v>0</v>
      </c>
      <c r="E9225" t="s">
        <v>380</v>
      </c>
    </row>
    <row r="9226" spans="1:5" x14ac:dyDescent="0.25">
      <c r="A9226" s="279">
        <v>39302</v>
      </c>
      <c r="B9226" t="s">
        <v>339</v>
      </c>
      <c r="C9226" t="s">
        <v>73</v>
      </c>
      <c r="D9226">
        <v>16979</v>
      </c>
      <c r="E9226" t="s">
        <v>378</v>
      </c>
    </row>
    <row r="9227" spans="1:5" x14ac:dyDescent="0.25">
      <c r="A9227" s="279">
        <v>39302</v>
      </c>
      <c r="B9227" t="s">
        <v>339</v>
      </c>
      <c r="C9227" t="s">
        <v>74</v>
      </c>
      <c r="D9227">
        <v>0</v>
      </c>
      <c r="E9227" t="s">
        <v>380</v>
      </c>
    </row>
    <row r="9228" spans="1:5" x14ac:dyDescent="0.25">
      <c r="A9228" s="279">
        <v>39302</v>
      </c>
      <c r="B9228" t="s">
        <v>339</v>
      </c>
      <c r="C9228" t="s">
        <v>75</v>
      </c>
      <c r="D9228">
        <v>15242</v>
      </c>
      <c r="E9228" t="s">
        <v>378</v>
      </c>
    </row>
    <row r="9229" spans="1:5" x14ac:dyDescent="0.25">
      <c r="A9229" s="279">
        <v>39302</v>
      </c>
      <c r="B9229" t="s">
        <v>339</v>
      </c>
      <c r="C9229" t="s">
        <v>76</v>
      </c>
      <c r="D9229">
        <v>7491</v>
      </c>
      <c r="E9229" t="s">
        <v>380</v>
      </c>
    </row>
    <row r="9230" spans="1:5" x14ac:dyDescent="0.25">
      <c r="A9230" s="279">
        <v>39302</v>
      </c>
      <c r="B9230" t="s">
        <v>339</v>
      </c>
      <c r="C9230" t="s">
        <v>77</v>
      </c>
      <c r="D9230">
        <v>7268</v>
      </c>
      <c r="E9230" t="s">
        <v>378</v>
      </c>
    </row>
    <row r="9231" spans="1:5" x14ac:dyDescent="0.25">
      <c r="A9231" s="279">
        <v>39302</v>
      </c>
      <c r="B9231" t="s">
        <v>339</v>
      </c>
      <c r="C9231" t="s">
        <v>78</v>
      </c>
      <c r="D9231">
        <v>0</v>
      </c>
      <c r="E9231" t="s">
        <v>380</v>
      </c>
    </row>
    <row r="9232" spans="1:5" x14ac:dyDescent="0.25">
      <c r="A9232" s="279">
        <v>39302</v>
      </c>
      <c r="B9232" t="s">
        <v>339</v>
      </c>
      <c r="C9232" t="s">
        <v>79</v>
      </c>
      <c r="D9232">
        <v>87097</v>
      </c>
      <c r="E9232" t="s">
        <v>379</v>
      </c>
    </row>
    <row r="9233" spans="1:5" x14ac:dyDescent="0.25">
      <c r="A9233" s="279">
        <v>39302</v>
      </c>
      <c r="B9233" t="s">
        <v>339</v>
      </c>
      <c r="C9233" t="s">
        <v>70</v>
      </c>
      <c r="D9233">
        <v>0</v>
      </c>
      <c r="E9233" t="s">
        <v>379</v>
      </c>
    </row>
    <row r="9234" spans="1:5" x14ac:dyDescent="0.25">
      <c r="A9234" s="279">
        <v>39302</v>
      </c>
      <c r="B9234" t="s">
        <v>339</v>
      </c>
      <c r="C9234" t="s">
        <v>63</v>
      </c>
      <c r="D9234">
        <v>17303</v>
      </c>
      <c r="E9234" t="s">
        <v>378</v>
      </c>
    </row>
    <row r="9235" spans="1:5" x14ac:dyDescent="0.25">
      <c r="A9235" s="279">
        <v>39302</v>
      </c>
      <c r="B9235" t="s">
        <v>339</v>
      </c>
      <c r="C9235" t="s">
        <v>80</v>
      </c>
      <c r="D9235">
        <v>796</v>
      </c>
      <c r="E9235" t="s">
        <v>379</v>
      </c>
    </row>
    <row r="9236" spans="1:5" x14ac:dyDescent="0.25">
      <c r="A9236" s="279">
        <v>39303</v>
      </c>
      <c r="B9236" t="s">
        <v>338</v>
      </c>
      <c r="C9236" t="s">
        <v>59</v>
      </c>
      <c r="D9236">
        <v>2580</v>
      </c>
      <c r="E9236" t="s">
        <v>378</v>
      </c>
    </row>
    <row r="9237" spans="1:5" x14ac:dyDescent="0.25">
      <c r="A9237" s="279">
        <v>39303</v>
      </c>
      <c r="B9237" t="s">
        <v>338</v>
      </c>
      <c r="C9237" t="s">
        <v>60</v>
      </c>
      <c r="D9237">
        <v>0</v>
      </c>
      <c r="E9237" t="s">
        <v>379</v>
      </c>
    </row>
    <row r="9238" spans="1:5" x14ac:dyDescent="0.25">
      <c r="A9238" s="279">
        <v>39303</v>
      </c>
      <c r="B9238" t="s">
        <v>338</v>
      </c>
      <c r="C9238" t="s">
        <v>61</v>
      </c>
      <c r="D9238">
        <v>7761</v>
      </c>
      <c r="E9238" t="s">
        <v>378</v>
      </c>
    </row>
    <row r="9239" spans="1:5" x14ac:dyDescent="0.25">
      <c r="A9239" s="279">
        <v>39303</v>
      </c>
      <c r="B9239" t="s">
        <v>338</v>
      </c>
      <c r="C9239" t="s">
        <v>62</v>
      </c>
      <c r="D9239">
        <v>0</v>
      </c>
      <c r="E9239" t="s">
        <v>380</v>
      </c>
    </row>
    <row r="9240" spans="1:5" x14ac:dyDescent="0.25">
      <c r="A9240" s="279">
        <v>39303</v>
      </c>
      <c r="B9240" t="s">
        <v>338</v>
      </c>
      <c r="C9240" t="s">
        <v>63</v>
      </c>
      <c r="D9240">
        <v>0</v>
      </c>
      <c r="E9240" t="s">
        <v>378</v>
      </c>
    </row>
    <row r="9241" spans="1:5" x14ac:dyDescent="0.25">
      <c r="A9241" s="279">
        <v>39303</v>
      </c>
      <c r="B9241" t="s">
        <v>338</v>
      </c>
      <c r="C9241" t="s">
        <v>64</v>
      </c>
      <c r="D9241">
        <v>0</v>
      </c>
      <c r="E9241" t="s">
        <v>380</v>
      </c>
    </row>
    <row r="9242" spans="1:5" x14ac:dyDescent="0.25">
      <c r="A9242" s="279">
        <v>39303</v>
      </c>
      <c r="B9242" t="s">
        <v>338</v>
      </c>
      <c r="C9242" t="s">
        <v>65</v>
      </c>
      <c r="D9242">
        <v>0</v>
      </c>
      <c r="E9242" t="s">
        <v>378</v>
      </c>
    </row>
    <row r="9243" spans="1:5" x14ac:dyDescent="0.25">
      <c r="A9243" s="279">
        <v>39303</v>
      </c>
      <c r="B9243" t="s">
        <v>338</v>
      </c>
      <c r="C9243" t="s">
        <v>66</v>
      </c>
      <c r="D9243">
        <v>0</v>
      </c>
      <c r="E9243" t="s">
        <v>380</v>
      </c>
    </row>
    <row r="9244" spans="1:5" x14ac:dyDescent="0.25">
      <c r="A9244" s="279">
        <v>39303</v>
      </c>
      <c r="B9244" t="s">
        <v>338</v>
      </c>
      <c r="C9244" t="s">
        <v>120</v>
      </c>
      <c r="D9244">
        <v>12268</v>
      </c>
      <c r="E9244" t="s">
        <v>378</v>
      </c>
    </row>
    <row r="9245" spans="1:5" x14ac:dyDescent="0.25">
      <c r="A9245" s="279">
        <v>39303</v>
      </c>
      <c r="B9245" t="s">
        <v>338</v>
      </c>
      <c r="C9245" t="s">
        <v>121</v>
      </c>
      <c r="D9245">
        <v>0</v>
      </c>
      <c r="E9245" t="s">
        <v>380</v>
      </c>
    </row>
    <row r="9246" spans="1:5" x14ac:dyDescent="0.25">
      <c r="A9246" s="279">
        <v>39303</v>
      </c>
      <c r="B9246" t="s">
        <v>338</v>
      </c>
      <c r="C9246" t="s">
        <v>67</v>
      </c>
      <c r="D9246">
        <v>0</v>
      </c>
      <c r="E9246" t="s">
        <v>378</v>
      </c>
    </row>
    <row r="9247" spans="1:5" x14ac:dyDescent="0.25">
      <c r="A9247" s="279">
        <v>39303</v>
      </c>
      <c r="B9247" t="s">
        <v>338</v>
      </c>
      <c r="C9247" t="s">
        <v>68</v>
      </c>
      <c r="D9247">
        <v>0</v>
      </c>
      <c r="E9247" t="s">
        <v>380</v>
      </c>
    </row>
    <row r="9248" spans="1:5" x14ac:dyDescent="0.25">
      <c r="A9248" s="279">
        <v>39303</v>
      </c>
      <c r="B9248" t="s">
        <v>338</v>
      </c>
      <c r="C9248" t="s">
        <v>69</v>
      </c>
      <c r="D9248">
        <v>0</v>
      </c>
      <c r="E9248" t="s">
        <v>379</v>
      </c>
    </row>
    <row r="9249" spans="1:5" x14ac:dyDescent="0.25">
      <c r="A9249" s="279">
        <v>39303</v>
      </c>
      <c r="B9249" t="s">
        <v>338</v>
      </c>
      <c r="C9249" t="s">
        <v>70</v>
      </c>
      <c r="D9249">
        <v>0</v>
      </c>
      <c r="E9249" t="s">
        <v>379</v>
      </c>
    </row>
    <row r="9250" spans="1:5" x14ac:dyDescent="0.25">
      <c r="A9250" s="279">
        <v>39303</v>
      </c>
      <c r="B9250" t="s">
        <v>338</v>
      </c>
      <c r="C9250" t="s">
        <v>80</v>
      </c>
      <c r="D9250">
        <v>187</v>
      </c>
      <c r="E9250" t="s">
        <v>379</v>
      </c>
    </row>
    <row r="9251" spans="1:5" x14ac:dyDescent="0.25">
      <c r="A9251" s="279">
        <v>39303</v>
      </c>
      <c r="B9251" t="s">
        <v>339</v>
      </c>
      <c r="C9251" t="s">
        <v>71</v>
      </c>
      <c r="D9251">
        <v>1907</v>
      </c>
      <c r="E9251" t="s">
        <v>378</v>
      </c>
    </row>
    <row r="9252" spans="1:5" x14ac:dyDescent="0.25">
      <c r="A9252" s="279">
        <v>39303</v>
      </c>
      <c r="B9252" t="s">
        <v>339</v>
      </c>
      <c r="C9252" t="s">
        <v>72</v>
      </c>
      <c r="D9252">
        <v>0</v>
      </c>
      <c r="E9252" t="s">
        <v>380</v>
      </c>
    </row>
    <row r="9253" spans="1:5" x14ac:dyDescent="0.25">
      <c r="A9253" s="279">
        <v>39303</v>
      </c>
      <c r="B9253" t="s">
        <v>339</v>
      </c>
      <c r="C9253" t="s">
        <v>73</v>
      </c>
      <c r="D9253">
        <v>16947</v>
      </c>
      <c r="E9253" t="s">
        <v>378</v>
      </c>
    </row>
    <row r="9254" spans="1:5" x14ac:dyDescent="0.25">
      <c r="A9254" s="279">
        <v>39303</v>
      </c>
      <c r="B9254" t="s">
        <v>339</v>
      </c>
      <c r="C9254" t="s">
        <v>74</v>
      </c>
      <c r="D9254">
        <v>0</v>
      </c>
      <c r="E9254" t="s">
        <v>380</v>
      </c>
    </row>
    <row r="9255" spans="1:5" x14ac:dyDescent="0.25">
      <c r="A9255" s="279">
        <v>39303</v>
      </c>
      <c r="B9255" t="s">
        <v>339</v>
      </c>
      <c r="C9255" t="s">
        <v>75</v>
      </c>
      <c r="D9255">
        <v>15213</v>
      </c>
      <c r="E9255" t="s">
        <v>378</v>
      </c>
    </row>
    <row r="9256" spans="1:5" x14ac:dyDescent="0.25">
      <c r="A9256" s="279">
        <v>39303</v>
      </c>
      <c r="B9256" t="s">
        <v>339</v>
      </c>
      <c r="C9256" t="s">
        <v>76</v>
      </c>
      <c r="D9256">
        <v>6925</v>
      </c>
      <c r="E9256" t="s">
        <v>380</v>
      </c>
    </row>
    <row r="9257" spans="1:5" x14ac:dyDescent="0.25">
      <c r="A9257" s="279">
        <v>39303</v>
      </c>
      <c r="B9257" t="s">
        <v>339</v>
      </c>
      <c r="C9257" t="s">
        <v>77</v>
      </c>
      <c r="D9257">
        <v>7254</v>
      </c>
      <c r="E9257" t="s">
        <v>378</v>
      </c>
    </row>
    <row r="9258" spans="1:5" x14ac:dyDescent="0.25">
      <c r="A9258" s="279">
        <v>39303</v>
      </c>
      <c r="B9258" t="s">
        <v>339</v>
      </c>
      <c r="C9258" t="s">
        <v>78</v>
      </c>
      <c r="D9258">
        <v>0</v>
      </c>
      <c r="E9258" t="s">
        <v>380</v>
      </c>
    </row>
    <row r="9259" spans="1:5" x14ac:dyDescent="0.25">
      <c r="A9259" s="279">
        <v>39303</v>
      </c>
      <c r="B9259" t="s">
        <v>339</v>
      </c>
      <c r="C9259" t="s">
        <v>79</v>
      </c>
      <c r="D9259">
        <v>86930</v>
      </c>
      <c r="E9259" t="s">
        <v>379</v>
      </c>
    </row>
    <row r="9260" spans="1:5" x14ac:dyDescent="0.25">
      <c r="A9260" s="279">
        <v>39303</v>
      </c>
      <c r="B9260" t="s">
        <v>339</v>
      </c>
      <c r="C9260" t="s">
        <v>70</v>
      </c>
      <c r="D9260">
        <v>0</v>
      </c>
      <c r="E9260" t="s">
        <v>379</v>
      </c>
    </row>
    <row r="9261" spans="1:5" x14ac:dyDescent="0.25">
      <c r="A9261" s="279">
        <v>39303</v>
      </c>
      <c r="B9261" t="s">
        <v>339</v>
      </c>
      <c r="C9261" t="s">
        <v>63</v>
      </c>
      <c r="D9261">
        <v>17269</v>
      </c>
      <c r="E9261" t="s">
        <v>378</v>
      </c>
    </row>
    <row r="9262" spans="1:5" x14ac:dyDescent="0.25">
      <c r="A9262" s="279">
        <v>39303</v>
      </c>
      <c r="B9262" t="s">
        <v>339</v>
      </c>
      <c r="C9262" t="s">
        <v>80</v>
      </c>
      <c r="D9262">
        <v>794</v>
      </c>
      <c r="E9262" t="s">
        <v>379</v>
      </c>
    </row>
    <row r="9263" spans="1:5" x14ac:dyDescent="0.25">
      <c r="A9263" s="279">
        <v>39304</v>
      </c>
      <c r="B9263" t="s">
        <v>338</v>
      </c>
      <c r="C9263" t="s">
        <v>59</v>
      </c>
      <c r="D9263">
        <v>2580</v>
      </c>
      <c r="E9263" t="s">
        <v>378</v>
      </c>
    </row>
    <row r="9264" spans="1:5" x14ac:dyDescent="0.25">
      <c r="A9264" s="279">
        <v>39304</v>
      </c>
      <c r="B9264" t="s">
        <v>338</v>
      </c>
      <c r="C9264" t="s">
        <v>60</v>
      </c>
      <c r="D9264">
        <v>0</v>
      </c>
      <c r="E9264" t="s">
        <v>379</v>
      </c>
    </row>
    <row r="9265" spans="1:5" x14ac:dyDescent="0.25">
      <c r="A9265" s="279">
        <v>39304</v>
      </c>
      <c r="B9265" t="s">
        <v>338</v>
      </c>
      <c r="C9265" t="s">
        <v>61</v>
      </c>
      <c r="D9265">
        <v>7751</v>
      </c>
      <c r="E9265" t="s">
        <v>378</v>
      </c>
    </row>
    <row r="9266" spans="1:5" x14ac:dyDescent="0.25">
      <c r="A9266" s="279">
        <v>39304</v>
      </c>
      <c r="B9266" t="s">
        <v>338</v>
      </c>
      <c r="C9266" t="s">
        <v>62</v>
      </c>
      <c r="D9266">
        <v>0</v>
      </c>
      <c r="E9266" t="s">
        <v>380</v>
      </c>
    </row>
    <row r="9267" spans="1:5" x14ac:dyDescent="0.25">
      <c r="A9267" s="279">
        <v>39304</v>
      </c>
      <c r="B9267" t="s">
        <v>338</v>
      </c>
      <c r="C9267" t="s">
        <v>63</v>
      </c>
      <c r="D9267">
        <v>0</v>
      </c>
      <c r="E9267" t="s">
        <v>378</v>
      </c>
    </row>
    <row r="9268" spans="1:5" x14ac:dyDescent="0.25">
      <c r="A9268" s="279">
        <v>39304</v>
      </c>
      <c r="B9268" t="s">
        <v>338</v>
      </c>
      <c r="C9268" t="s">
        <v>64</v>
      </c>
      <c r="D9268">
        <v>0</v>
      </c>
      <c r="E9268" t="s">
        <v>380</v>
      </c>
    </row>
    <row r="9269" spans="1:5" x14ac:dyDescent="0.25">
      <c r="A9269" s="279">
        <v>39304</v>
      </c>
      <c r="B9269" t="s">
        <v>338</v>
      </c>
      <c r="C9269" t="s">
        <v>65</v>
      </c>
      <c r="D9269">
        <v>0</v>
      </c>
      <c r="E9269" t="s">
        <v>378</v>
      </c>
    </row>
    <row r="9270" spans="1:5" x14ac:dyDescent="0.25">
      <c r="A9270" s="279">
        <v>39304</v>
      </c>
      <c r="B9270" t="s">
        <v>338</v>
      </c>
      <c r="C9270" t="s">
        <v>66</v>
      </c>
      <c r="D9270">
        <v>0</v>
      </c>
      <c r="E9270" t="s">
        <v>380</v>
      </c>
    </row>
    <row r="9271" spans="1:5" x14ac:dyDescent="0.25">
      <c r="A9271" s="279">
        <v>39304</v>
      </c>
      <c r="B9271" t="s">
        <v>338</v>
      </c>
      <c r="C9271" t="s">
        <v>120</v>
      </c>
      <c r="D9271">
        <v>12268</v>
      </c>
      <c r="E9271" t="s">
        <v>378</v>
      </c>
    </row>
    <row r="9272" spans="1:5" x14ac:dyDescent="0.25">
      <c r="A9272" s="279">
        <v>39304</v>
      </c>
      <c r="B9272" t="s">
        <v>338</v>
      </c>
      <c r="C9272" t="s">
        <v>121</v>
      </c>
      <c r="D9272">
        <v>0</v>
      </c>
      <c r="E9272" t="s">
        <v>380</v>
      </c>
    </row>
    <row r="9273" spans="1:5" x14ac:dyDescent="0.25">
      <c r="A9273" s="279">
        <v>39304</v>
      </c>
      <c r="B9273" t="s">
        <v>338</v>
      </c>
      <c r="C9273" t="s">
        <v>67</v>
      </c>
      <c r="D9273">
        <v>0</v>
      </c>
      <c r="E9273" t="s">
        <v>378</v>
      </c>
    </row>
    <row r="9274" spans="1:5" x14ac:dyDescent="0.25">
      <c r="A9274" s="279">
        <v>39304</v>
      </c>
      <c r="B9274" t="s">
        <v>338</v>
      </c>
      <c r="C9274" t="s">
        <v>68</v>
      </c>
      <c r="D9274">
        <v>0</v>
      </c>
      <c r="E9274" t="s">
        <v>380</v>
      </c>
    </row>
    <row r="9275" spans="1:5" x14ac:dyDescent="0.25">
      <c r="A9275" s="279">
        <v>39304</v>
      </c>
      <c r="B9275" t="s">
        <v>338</v>
      </c>
      <c r="C9275" t="s">
        <v>69</v>
      </c>
      <c r="D9275">
        <v>0</v>
      </c>
      <c r="E9275" t="s">
        <v>379</v>
      </c>
    </row>
    <row r="9276" spans="1:5" x14ac:dyDescent="0.25">
      <c r="A9276" s="279">
        <v>39304</v>
      </c>
      <c r="B9276" t="s">
        <v>338</v>
      </c>
      <c r="C9276" t="s">
        <v>70</v>
      </c>
      <c r="D9276">
        <v>0</v>
      </c>
      <c r="E9276" t="s">
        <v>379</v>
      </c>
    </row>
    <row r="9277" spans="1:5" x14ac:dyDescent="0.25">
      <c r="A9277" s="279">
        <v>39304</v>
      </c>
      <c r="B9277" t="s">
        <v>338</v>
      </c>
      <c r="C9277" t="s">
        <v>80</v>
      </c>
      <c r="D9277">
        <v>187</v>
      </c>
      <c r="E9277" t="s">
        <v>379</v>
      </c>
    </row>
    <row r="9278" spans="1:5" x14ac:dyDescent="0.25">
      <c r="A9278" s="279">
        <v>39304</v>
      </c>
      <c r="B9278" t="s">
        <v>339</v>
      </c>
      <c r="C9278" t="s">
        <v>71</v>
      </c>
      <c r="D9278">
        <v>1910</v>
      </c>
      <c r="E9278" t="s">
        <v>378</v>
      </c>
    </row>
    <row r="9279" spans="1:5" x14ac:dyDescent="0.25">
      <c r="A9279" s="279">
        <v>39304</v>
      </c>
      <c r="B9279" t="s">
        <v>339</v>
      </c>
      <c r="C9279" t="s">
        <v>72</v>
      </c>
      <c r="D9279">
        <v>0</v>
      </c>
      <c r="E9279" t="s">
        <v>380</v>
      </c>
    </row>
    <row r="9280" spans="1:5" x14ac:dyDescent="0.25">
      <c r="A9280" s="279">
        <v>39304</v>
      </c>
      <c r="B9280" t="s">
        <v>339</v>
      </c>
      <c r="C9280" t="s">
        <v>73</v>
      </c>
      <c r="D9280">
        <v>16979</v>
      </c>
      <c r="E9280" t="s">
        <v>378</v>
      </c>
    </row>
    <row r="9281" spans="1:5" x14ac:dyDescent="0.25">
      <c r="A9281" s="279">
        <v>39304</v>
      </c>
      <c r="B9281" t="s">
        <v>339</v>
      </c>
      <c r="C9281" t="s">
        <v>74</v>
      </c>
      <c r="D9281">
        <v>0</v>
      </c>
      <c r="E9281" t="s">
        <v>380</v>
      </c>
    </row>
    <row r="9282" spans="1:5" x14ac:dyDescent="0.25">
      <c r="A9282" s="279">
        <v>39304</v>
      </c>
      <c r="B9282" t="s">
        <v>339</v>
      </c>
      <c r="C9282" t="s">
        <v>75</v>
      </c>
      <c r="D9282">
        <v>15242</v>
      </c>
      <c r="E9282" t="s">
        <v>378</v>
      </c>
    </row>
    <row r="9283" spans="1:5" x14ac:dyDescent="0.25">
      <c r="A9283" s="279">
        <v>39304</v>
      </c>
      <c r="B9283" t="s">
        <v>339</v>
      </c>
      <c r="C9283" t="s">
        <v>76</v>
      </c>
      <c r="D9283">
        <v>9349</v>
      </c>
      <c r="E9283" t="s">
        <v>380</v>
      </c>
    </row>
    <row r="9284" spans="1:5" x14ac:dyDescent="0.25">
      <c r="A9284" s="279">
        <v>39304</v>
      </c>
      <c r="B9284" t="s">
        <v>339</v>
      </c>
      <c r="C9284" t="s">
        <v>77</v>
      </c>
      <c r="D9284">
        <v>7268</v>
      </c>
      <c r="E9284" t="s">
        <v>378</v>
      </c>
    </row>
    <row r="9285" spans="1:5" x14ac:dyDescent="0.25">
      <c r="A9285" s="279">
        <v>39304</v>
      </c>
      <c r="B9285" t="s">
        <v>339</v>
      </c>
      <c r="C9285" t="s">
        <v>78</v>
      </c>
      <c r="D9285">
        <v>0</v>
      </c>
      <c r="E9285" t="s">
        <v>380</v>
      </c>
    </row>
    <row r="9286" spans="1:5" x14ac:dyDescent="0.25">
      <c r="A9286" s="279">
        <v>39304</v>
      </c>
      <c r="B9286" t="s">
        <v>339</v>
      </c>
      <c r="C9286" t="s">
        <v>79</v>
      </c>
      <c r="D9286">
        <v>87097</v>
      </c>
      <c r="E9286" t="s">
        <v>379</v>
      </c>
    </row>
    <row r="9287" spans="1:5" x14ac:dyDescent="0.25">
      <c r="A9287" s="279">
        <v>39304</v>
      </c>
      <c r="B9287" t="s">
        <v>339</v>
      </c>
      <c r="C9287" t="s">
        <v>70</v>
      </c>
      <c r="D9287">
        <v>0</v>
      </c>
      <c r="E9287" t="s">
        <v>379</v>
      </c>
    </row>
    <row r="9288" spans="1:5" x14ac:dyDescent="0.25">
      <c r="A9288" s="279">
        <v>39304</v>
      </c>
      <c r="B9288" t="s">
        <v>339</v>
      </c>
      <c r="C9288" t="s">
        <v>63</v>
      </c>
      <c r="D9288">
        <v>17303</v>
      </c>
      <c r="E9288" t="s">
        <v>378</v>
      </c>
    </row>
    <row r="9289" spans="1:5" x14ac:dyDescent="0.25">
      <c r="A9289" s="279">
        <v>39304</v>
      </c>
      <c r="B9289" t="s">
        <v>339</v>
      </c>
      <c r="C9289" t="s">
        <v>80</v>
      </c>
      <c r="D9289">
        <v>796</v>
      </c>
      <c r="E9289" t="s">
        <v>379</v>
      </c>
    </row>
    <row r="9290" spans="1:5" x14ac:dyDescent="0.25">
      <c r="A9290" s="279">
        <v>39305</v>
      </c>
      <c r="B9290" t="s">
        <v>338</v>
      </c>
      <c r="C9290" t="s">
        <v>59</v>
      </c>
      <c r="D9290">
        <v>2578</v>
      </c>
      <c r="E9290" t="s">
        <v>378</v>
      </c>
    </row>
    <row r="9291" spans="1:5" x14ac:dyDescent="0.25">
      <c r="A9291" s="279">
        <v>39305</v>
      </c>
      <c r="B9291" t="s">
        <v>338</v>
      </c>
      <c r="C9291" t="s">
        <v>60</v>
      </c>
      <c r="D9291">
        <v>0</v>
      </c>
      <c r="E9291" t="s">
        <v>379</v>
      </c>
    </row>
    <row r="9292" spans="1:5" x14ac:dyDescent="0.25">
      <c r="A9292" s="279">
        <v>39305</v>
      </c>
      <c r="B9292" t="s">
        <v>338</v>
      </c>
      <c r="C9292" t="s">
        <v>61</v>
      </c>
      <c r="D9292">
        <v>7782</v>
      </c>
      <c r="E9292" t="s">
        <v>378</v>
      </c>
    </row>
    <row r="9293" spans="1:5" x14ac:dyDescent="0.25">
      <c r="A9293" s="279">
        <v>39305</v>
      </c>
      <c r="B9293" t="s">
        <v>338</v>
      </c>
      <c r="C9293" t="s">
        <v>62</v>
      </c>
      <c r="D9293">
        <v>0</v>
      </c>
      <c r="E9293" t="s">
        <v>380</v>
      </c>
    </row>
    <row r="9294" spans="1:5" x14ac:dyDescent="0.25">
      <c r="A9294" s="279">
        <v>39305</v>
      </c>
      <c r="B9294" t="s">
        <v>338</v>
      </c>
      <c r="C9294" t="s">
        <v>63</v>
      </c>
      <c r="D9294">
        <v>0</v>
      </c>
      <c r="E9294" t="s">
        <v>378</v>
      </c>
    </row>
    <row r="9295" spans="1:5" x14ac:dyDescent="0.25">
      <c r="A9295" s="279">
        <v>39305</v>
      </c>
      <c r="B9295" t="s">
        <v>338</v>
      </c>
      <c r="C9295" t="s">
        <v>64</v>
      </c>
      <c r="D9295">
        <v>0</v>
      </c>
      <c r="E9295" t="s">
        <v>380</v>
      </c>
    </row>
    <row r="9296" spans="1:5" x14ac:dyDescent="0.25">
      <c r="A9296" s="279">
        <v>39305</v>
      </c>
      <c r="B9296" t="s">
        <v>338</v>
      </c>
      <c r="C9296" t="s">
        <v>65</v>
      </c>
      <c r="D9296">
        <v>0</v>
      </c>
      <c r="E9296" t="s">
        <v>378</v>
      </c>
    </row>
    <row r="9297" spans="1:5" x14ac:dyDescent="0.25">
      <c r="A9297" s="279">
        <v>39305</v>
      </c>
      <c r="B9297" t="s">
        <v>338</v>
      </c>
      <c r="C9297" t="s">
        <v>66</v>
      </c>
      <c r="D9297">
        <v>0</v>
      </c>
      <c r="E9297" t="s">
        <v>380</v>
      </c>
    </row>
    <row r="9298" spans="1:5" x14ac:dyDescent="0.25">
      <c r="A9298" s="279">
        <v>39305</v>
      </c>
      <c r="B9298" t="s">
        <v>338</v>
      </c>
      <c r="C9298" t="s">
        <v>120</v>
      </c>
      <c r="D9298">
        <v>12256</v>
      </c>
      <c r="E9298" t="s">
        <v>378</v>
      </c>
    </row>
    <row r="9299" spans="1:5" x14ac:dyDescent="0.25">
      <c r="A9299" s="279">
        <v>39305</v>
      </c>
      <c r="B9299" t="s">
        <v>338</v>
      </c>
      <c r="C9299" t="s">
        <v>121</v>
      </c>
      <c r="D9299">
        <v>0</v>
      </c>
      <c r="E9299" t="s">
        <v>380</v>
      </c>
    </row>
    <row r="9300" spans="1:5" x14ac:dyDescent="0.25">
      <c r="A9300" s="279">
        <v>39305</v>
      </c>
      <c r="B9300" t="s">
        <v>338</v>
      </c>
      <c r="C9300" t="s">
        <v>67</v>
      </c>
      <c r="D9300">
        <v>0</v>
      </c>
      <c r="E9300" t="s">
        <v>378</v>
      </c>
    </row>
    <row r="9301" spans="1:5" x14ac:dyDescent="0.25">
      <c r="A9301" s="279">
        <v>39305</v>
      </c>
      <c r="B9301" t="s">
        <v>338</v>
      </c>
      <c r="C9301" t="s">
        <v>68</v>
      </c>
      <c r="D9301">
        <v>0</v>
      </c>
      <c r="E9301" t="s">
        <v>380</v>
      </c>
    </row>
    <row r="9302" spans="1:5" x14ac:dyDescent="0.25">
      <c r="A9302" s="279">
        <v>39305</v>
      </c>
      <c r="B9302" t="s">
        <v>338</v>
      </c>
      <c r="C9302" t="s">
        <v>69</v>
      </c>
      <c r="D9302">
        <v>0</v>
      </c>
      <c r="E9302" t="s">
        <v>379</v>
      </c>
    </row>
    <row r="9303" spans="1:5" x14ac:dyDescent="0.25">
      <c r="A9303" s="279">
        <v>39305</v>
      </c>
      <c r="B9303" t="s">
        <v>338</v>
      </c>
      <c r="C9303" t="s">
        <v>70</v>
      </c>
      <c r="D9303">
        <v>0</v>
      </c>
      <c r="E9303" t="s">
        <v>379</v>
      </c>
    </row>
    <row r="9304" spans="1:5" x14ac:dyDescent="0.25">
      <c r="A9304" s="279">
        <v>39305</v>
      </c>
      <c r="B9304" t="s">
        <v>338</v>
      </c>
      <c r="C9304" t="s">
        <v>80</v>
      </c>
      <c r="D9304">
        <v>187</v>
      </c>
      <c r="E9304" t="s">
        <v>379</v>
      </c>
    </row>
    <row r="9305" spans="1:5" x14ac:dyDescent="0.25">
      <c r="A9305" s="279">
        <v>39305</v>
      </c>
      <c r="B9305" t="s">
        <v>339</v>
      </c>
      <c r="C9305" t="s">
        <v>71</v>
      </c>
      <c r="D9305">
        <v>1897</v>
      </c>
      <c r="E9305" t="s">
        <v>378</v>
      </c>
    </row>
    <row r="9306" spans="1:5" x14ac:dyDescent="0.25">
      <c r="A9306" s="279">
        <v>39305</v>
      </c>
      <c r="B9306" t="s">
        <v>339</v>
      </c>
      <c r="C9306" t="s">
        <v>72</v>
      </c>
      <c r="D9306">
        <v>0</v>
      </c>
      <c r="E9306" t="s">
        <v>380</v>
      </c>
    </row>
    <row r="9307" spans="1:5" x14ac:dyDescent="0.25">
      <c r="A9307" s="279">
        <v>39305</v>
      </c>
      <c r="B9307" t="s">
        <v>339</v>
      </c>
      <c r="C9307" t="s">
        <v>73</v>
      </c>
      <c r="D9307">
        <v>16866</v>
      </c>
      <c r="E9307" t="s">
        <v>378</v>
      </c>
    </row>
    <row r="9308" spans="1:5" x14ac:dyDescent="0.25">
      <c r="A9308" s="279">
        <v>39305</v>
      </c>
      <c r="B9308" t="s">
        <v>339</v>
      </c>
      <c r="C9308" t="s">
        <v>74</v>
      </c>
      <c r="D9308">
        <v>0</v>
      </c>
      <c r="E9308" t="s">
        <v>380</v>
      </c>
    </row>
    <row r="9309" spans="1:5" x14ac:dyDescent="0.25">
      <c r="A9309" s="279">
        <v>39305</v>
      </c>
      <c r="B9309" t="s">
        <v>339</v>
      </c>
      <c r="C9309" t="s">
        <v>75</v>
      </c>
      <c r="D9309">
        <v>15140</v>
      </c>
      <c r="E9309" t="s">
        <v>378</v>
      </c>
    </row>
    <row r="9310" spans="1:5" x14ac:dyDescent="0.25">
      <c r="A9310" s="279">
        <v>39305</v>
      </c>
      <c r="B9310" t="s">
        <v>339</v>
      </c>
      <c r="C9310" t="s">
        <v>76</v>
      </c>
      <c r="D9310">
        <v>10595</v>
      </c>
      <c r="E9310" t="s">
        <v>380</v>
      </c>
    </row>
    <row r="9311" spans="1:5" x14ac:dyDescent="0.25">
      <c r="A9311" s="279">
        <v>39305</v>
      </c>
      <c r="B9311" t="s">
        <v>339</v>
      </c>
      <c r="C9311" t="s">
        <v>77</v>
      </c>
      <c r="D9311">
        <v>7219</v>
      </c>
      <c r="E9311" t="s">
        <v>378</v>
      </c>
    </row>
    <row r="9312" spans="1:5" x14ac:dyDescent="0.25">
      <c r="A9312" s="279">
        <v>39305</v>
      </c>
      <c r="B9312" t="s">
        <v>339</v>
      </c>
      <c r="C9312" t="s">
        <v>78</v>
      </c>
      <c r="D9312">
        <v>0</v>
      </c>
      <c r="E9312" t="s">
        <v>380</v>
      </c>
    </row>
    <row r="9313" spans="1:5" x14ac:dyDescent="0.25">
      <c r="A9313" s="279">
        <v>39305</v>
      </c>
      <c r="B9313" t="s">
        <v>339</v>
      </c>
      <c r="C9313" t="s">
        <v>79</v>
      </c>
      <c r="D9313">
        <v>86514</v>
      </c>
      <c r="E9313" t="s">
        <v>379</v>
      </c>
    </row>
    <row r="9314" spans="1:5" x14ac:dyDescent="0.25">
      <c r="A9314" s="279">
        <v>39305</v>
      </c>
      <c r="B9314" t="s">
        <v>339</v>
      </c>
      <c r="C9314" t="s">
        <v>70</v>
      </c>
      <c r="D9314">
        <v>0</v>
      </c>
      <c r="E9314" t="s">
        <v>379</v>
      </c>
    </row>
    <row r="9315" spans="1:5" x14ac:dyDescent="0.25">
      <c r="A9315" s="279">
        <v>39305</v>
      </c>
      <c r="B9315" t="s">
        <v>339</v>
      </c>
      <c r="C9315" t="s">
        <v>63</v>
      </c>
      <c r="D9315">
        <v>17187</v>
      </c>
      <c r="E9315" t="s">
        <v>378</v>
      </c>
    </row>
    <row r="9316" spans="1:5" x14ac:dyDescent="0.25">
      <c r="A9316" s="279">
        <v>39305</v>
      </c>
      <c r="B9316" t="s">
        <v>339</v>
      </c>
      <c r="C9316" t="s">
        <v>80</v>
      </c>
      <c r="D9316">
        <v>791</v>
      </c>
      <c r="E9316" t="s">
        <v>379</v>
      </c>
    </row>
    <row r="9317" spans="1:5" x14ac:dyDescent="0.25">
      <c r="A9317" s="279">
        <v>39306</v>
      </c>
      <c r="B9317" t="s">
        <v>338</v>
      </c>
      <c r="C9317" t="s">
        <v>59</v>
      </c>
      <c r="D9317">
        <v>2578</v>
      </c>
      <c r="E9317" t="s">
        <v>378</v>
      </c>
    </row>
    <row r="9318" spans="1:5" x14ac:dyDescent="0.25">
      <c r="A9318" s="279">
        <v>39306</v>
      </c>
      <c r="B9318" t="s">
        <v>338</v>
      </c>
      <c r="C9318" t="s">
        <v>60</v>
      </c>
      <c r="D9318">
        <v>0</v>
      </c>
      <c r="E9318" t="s">
        <v>379</v>
      </c>
    </row>
    <row r="9319" spans="1:5" x14ac:dyDescent="0.25">
      <c r="A9319" s="279">
        <v>39306</v>
      </c>
      <c r="B9319" t="s">
        <v>338</v>
      </c>
      <c r="C9319" t="s">
        <v>61</v>
      </c>
      <c r="D9319">
        <v>7782</v>
      </c>
      <c r="E9319" t="s">
        <v>378</v>
      </c>
    </row>
    <row r="9320" spans="1:5" x14ac:dyDescent="0.25">
      <c r="A9320" s="279">
        <v>39306</v>
      </c>
      <c r="B9320" t="s">
        <v>338</v>
      </c>
      <c r="C9320" t="s">
        <v>62</v>
      </c>
      <c r="D9320">
        <v>0</v>
      </c>
      <c r="E9320" t="s">
        <v>380</v>
      </c>
    </row>
    <row r="9321" spans="1:5" x14ac:dyDescent="0.25">
      <c r="A9321" s="279">
        <v>39306</v>
      </c>
      <c r="B9321" t="s">
        <v>338</v>
      </c>
      <c r="C9321" t="s">
        <v>63</v>
      </c>
      <c r="D9321">
        <v>0</v>
      </c>
      <c r="E9321" t="s">
        <v>378</v>
      </c>
    </row>
    <row r="9322" spans="1:5" x14ac:dyDescent="0.25">
      <c r="A9322" s="279">
        <v>39306</v>
      </c>
      <c r="B9322" t="s">
        <v>338</v>
      </c>
      <c r="C9322" t="s">
        <v>64</v>
      </c>
      <c r="D9322">
        <v>0</v>
      </c>
      <c r="E9322" t="s">
        <v>380</v>
      </c>
    </row>
    <row r="9323" spans="1:5" x14ac:dyDescent="0.25">
      <c r="A9323" s="279">
        <v>39306</v>
      </c>
      <c r="B9323" t="s">
        <v>338</v>
      </c>
      <c r="C9323" t="s">
        <v>65</v>
      </c>
      <c r="D9323">
        <v>0</v>
      </c>
      <c r="E9323" t="s">
        <v>378</v>
      </c>
    </row>
    <row r="9324" spans="1:5" x14ac:dyDescent="0.25">
      <c r="A9324" s="279">
        <v>39306</v>
      </c>
      <c r="B9324" t="s">
        <v>338</v>
      </c>
      <c r="C9324" t="s">
        <v>66</v>
      </c>
      <c r="D9324">
        <v>0</v>
      </c>
      <c r="E9324" t="s">
        <v>380</v>
      </c>
    </row>
    <row r="9325" spans="1:5" x14ac:dyDescent="0.25">
      <c r="A9325" s="279">
        <v>39306</v>
      </c>
      <c r="B9325" t="s">
        <v>338</v>
      </c>
      <c r="C9325" t="s">
        <v>120</v>
      </c>
      <c r="D9325">
        <v>12256</v>
      </c>
      <c r="E9325" t="s">
        <v>378</v>
      </c>
    </row>
    <row r="9326" spans="1:5" x14ac:dyDescent="0.25">
      <c r="A9326" s="279">
        <v>39306</v>
      </c>
      <c r="B9326" t="s">
        <v>338</v>
      </c>
      <c r="C9326" t="s">
        <v>121</v>
      </c>
      <c r="D9326">
        <v>0</v>
      </c>
      <c r="E9326" t="s">
        <v>380</v>
      </c>
    </row>
    <row r="9327" spans="1:5" x14ac:dyDescent="0.25">
      <c r="A9327" s="279">
        <v>39306</v>
      </c>
      <c r="B9327" t="s">
        <v>338</v>
      </c>
      <c r="C9327" t="s">
        <v>67</v>
      </c>
      <c r="D9327">
        <v>0</v>
      </c>
      <c r="E9327" t="s">
        <v>378</v>
      </c>
    </row>
    <row r="9328" spans="1:5" x14ac:dyDescent="0.25">
      <c r="A9328" s="279">
        <v>39306</v>
      </c>
      <c r="B9328" t="s">
        <v>338</v>
      </c>
      <c r="C9328" t="s">
        <v>68</v>
      </c>
      <c r="D9328">
        <v>0</v>
      </c>
      <c r="E9328" t="s">
        <v>380</v>
      </c>
    </row>
    <row r="9329" spans="1:5" x14ac:dyDescent="0.25">
      <c r="A9329" s="279">
        <v>39306</v>
      </c>
      <c r="B9329" t="s">
        <v>338</v>
      </c>
      <c r="C9329" t="s">
        <v>69</v>
      </c>
      <c r="D9329">
        <v>0</v>
      </c>
      <c r="E9329" t="s">
        <v>379</v>
      </c>
    </row>
    <row r="9330" spans="1:5" x14ac:dyDescent="0.25">
      <c r="A9330" s="279">
        <v>39306</v>
      </c>
      <c r="B9330" t="s">
        <v>338</v>
      </c>
      <c r="C9330" t="s">
        <v>70</v>
      </c>
      <c r="D9330">
        <v>0</v>
      </c>
      <c r="E9330" t="s">
        <v>379</v>
      </c>
    </row>
    <row r="9331" spans="1:5" x14ac:dyDescent="0.25">
      <c r="A9331" s="279">
        <v>39306</v>
      </c>
      <c r="B9331" t="s">
        <v>338</v>
      </c>
      <c r="C9331" t="s">
        <v>80</v>
      </c>
      <c r="D9331">
        <v>187</v>
      </c>
      <c r="E9331" t="s">
        <v>379</v>
      </c>
    </row>
    <row r="9332" spans="1:5" x14ac:dyDescent="0.25">
      <c r="A9332" s="279">
        <v>39306</v>
      </c>
      <c r="B9332" t="s">
        <v>339</v>
      </c>
      <c r="C9332" t="s">
        <v>71</v>
      </c>
      <c r="D9332">
        <v>1899</v>
      </c>
      <c r="E9332" t="s">
        <v>378</v>
      </c>
    </row>
    <row r="9333" spans="1:5" x14ac:dyDescent="0.25">
      <c r="A9333" s="279">
        <v>39306</v>
      </c>
      <c r="B9333" t="s">
        <v>339</v>
      </c>
      <c r="C9333" t="s">
        <v>72</v>
      </c>
      <c r="D9333">
        <v>0</v>
      </c>
      <c r="E9333" t="s">
        <v>380</v>
      </c>
    </row>
    <row r="9334" spans="1:5" x14ac:dyDescent="0.25">
      <c r="A9334" s="279">
        <v>39306</v>
      </c>
      <c r="B9334" t="s">
        <v>339</v>
      </c>
      <c r="C9334" t="s">
        <v>73</v>
      </c>
      <c r="D9334">
        <v>16882</v>
      </c>
      <c r="E9334" t="s">
        <v>378</v>
      </c>
    </row>
    <row r="9335" spans="1:5" x14ac:dyDescent="0.25">
      <c r="A9335" s="279">
        <v>39306</v>
      </c>
      <c r="B9335" t="s">
        <v>339</v>
      </c>
      <c r="C9335" t="s">
        <v>74</v>
      </c>
      <c r="D9335">
        <v>0</v>
      </c>
      <c r="E9335" t="s">
        <v>380</v>
      </c>
    </row>
    <row r="9336" spans="1:5" x14ac:dyDescent="0.25">
      <c r="A9336" s="279">
        <v>39306</v>
      </c>
      <c r="B9336" t="s">
        <v>339</v>
      </c>
      <c r="C9336" t="s">
        <v>75</v>
      </c>
      <c r="D9336">
        <v>15155</v>
      </c>
      <c r="E9336" t="s">
        <v>378</v>
      </c>
    </row>
    <row r="9337" spans="1:5" x14ac:dyDescent="0.25">
      <c r="A9337" s="279">
        <v>39306</v>
      </c>
      <c r="B9337" t="s">
        <v>339</v>
      </c>
      <c r="C9337" t="s">
        <v>76</v>
      </c>
      <c r="D9337">
        <v>9872</v>
      </c>
      <c r="E9337" t="s">
        <v>380</v>
      </c>
    </row>
    <row r="9338" spans="1:5" x14ac:dyDescent="0.25">
      <c r="A9338" s="279">
        <v>39306</v>
      </c>
      <c r="B9338" t="s">
        <v>339</v>
      </c>
      <c r="C9338" t="s">
        <v>77</v>
      </c>
      <c r="D9338">
        <v>7226</v>
      </c>
      <c r="E9338" t="s">
        <v>378</v>
      </c>
    </row>
    <row r="9339" spans="1:5" x14ac:dyDescent="0.25">
      <c r="A9339" s="279">
        <v>39306</v>
      </c>
      <c r="B9339" t="s">
        <v>339</v>
      </c>
      <c r="C9339" t="s">
        <v>78</v>
      </c>
      <c r="D9339">
        <v>0</v>
      </c>
      <c r="E9339" t="s">
        <v>380</v>
      </c>
    </row>
    <row r="9340" spans="1:5" x14ac:dyDescent="0.25">
      <c r="A9340" s="279">
        <v>39306</v>
      </c>
      <c r="B9340" t="s">
        <v>339</v>
      </c>
      <c r="C9340" t="s">
        <v>79</v>
      </c>
      <c r="D9340">
        <v>86597</v>
      </c>
      <c r="E9340" t="s">
        <v>379</v>
      </c>
    </row>
    <row r="9341" spans="1:5" x14ac:dyDescent="0.25">
      <c r="A9341" s="279">
        <v>39306</v>
      </c>
      <c r="B9341" t="s">
        <v>339</v>
      </c>
      <c r="C9341" t="s">
        <v>70</v>
      </c>
      <c r="D9341">
        <v>0</v>
      </c>
      <c r="E9341" t="s">
        <v>379</v>
      </c>
    </row>
    <row r="9342" spans="1:5" x14ac:dyDescent="0.25">
      <c r="A9342" s="279">
        <v>39306</v>
      </c>
      <c r="B9342" t="s">
        <v>339</v>
      </c>
      <c r="C9342" t="s">
        <v>63</v>
      </c>
      <c r="D9342">
        <v>17203</v>
      </c>
      <c r="E9342" t="s">
        <v>378</v>
      </c>
    </row>
    <row r="9343" spans="1:5" x14ac:dyDescent="0.25">
      <c r="A9343" s="279">
        <v>39306</v>
      </c>
      <c r="B9343" t="s">
        <v>339</v>
      </c>
      <c r="C9343" t="s">
        <v>80</v>
      </c>
      <c r="D9343">
        <v>791</v>
      </c>
      <c r="E9343" t="s">
        <v>379</v>
      </c>
    </row>
    <row r="9344" spans="1:5" x14ac:dyDescent="0.25">
      <c r="A9344" s="279">
        <v>39307</v>
      </c>
      <c r="B9344" t="s">
        <v>338</v>
      </c>
      <c r="C9344" t="s">
        <v>59</v>
      </c>
      <c r="D9344">
        <v>2578</v>
      </c>
      <c r="E9344" t="s">
        <v>378</v>
      </c>
    </row>
    <row r="9345" spans="1:5" x14ac:dyDescent="0.25">
      <c r="A9345" s="279">
        <v>39307</v>
      </c>
      <c r="B9345" t="s">
        <v>338</v>
      </c>
      <c r="C9345" t="s">
        <v>60</v>
      </c>
      <c r="D9345">
        <v>0</v>
      </c>
      <c r="E9345" t="s">
        <v>379</v>
      </c>
    </row>
    <row r="9346" spans="1:5" x14ac:dyDescent="0.25">
      <c r="A9346" s="279">
        <v>39307</v>
      </c>
      <c r="B9346" t="s">
        <v>338</v>
      </c>
      <c r="C9346" t="s">
        <v>61</v>
      </c>
      <c r="D9346">
        <v>7753</v>
      </c>
      <c r="E9346" t="s">
        <v>378</v>
      </c>
    </row>
    <row r="9347" spans="1:5" x14ac:dyDescent="0.25">
      <c r="A9347" s="279">
        <v>39307</v>
      </c>
      <c r="B9347" t="s">
        <v>338</v>
      </c>
      <c r="C9347" t="s">
        <v>62</v>
      </c>
      <c r="D9347">
        <v>0</v>
      </c>
      <c r="E9347" t="s">
        <v>380</v>
      </c>
    </row>
    <row r="9348" spans="1:5" x14ac:dyDescent="0.25">
      <c r="A9348" s="279">
        <v>39307</v>
      </c>
      <c r="B9348" t="s">
        <v>338</v>
      </c>
      <c r="C9348" t="s">
        <v>63</v>
      </c>
      <c r="D9348">
        <v>0</v>
      </c>
      <c r="E9348" t="s">
        <v>378</v>
      </c>
    </row>
    <row r="9349" spans="1:5" x14ac:dyDescent="0.25">
      <c r="A9349" s="279">
        <v>39307</v>
      </c>
      <c r="B9349" t="s">
        <v>338</v>
      </c>
      <c r="C9349" t="s">
        <v>64</v>
      </c>
      <c r="D9349">
        <v>0</v>
      </c>
      <c r="E9349" t="s">
        <v>380</v>
      </c>
    </row>
    <row r="9350" spans="1:5" x14ac:dyDescent="0.25">
      <c r="A9350" s="279">
        <v>39307</v>
      </c>
      <c r="B9350" t="s">
        <v>338</v>
      </c>
      <c r="C9350" t="s">
        <v>65</v>
      </c>
      <c r="D9350">
        <v>0</v>
      </c>
      <c r="E9350" t="s">
        <v>378</v>
      </c>
    </row>
    <row r="9351" spans="1:5" x14ac:dyDescent="0.25">
      <c r="A9351" s="279">
        <v>39307</v>
      </c>
      <c r="B9351" t="s">
        <v>338</v>
      </c>
      <c r="C9351" t="s">
        <v>66</v>
      </c>
      <c r="D9351">
        <v>0</v>
      </c>
      <c r="E9351" t="s">
        <v>380</v>
      </c>
    </row>
    <row r="9352" spans="1:5" x14ac:dyDescent="0.25">
      <c r="A9352" s="279">
        <v>39307</v>
      </c>
      <c r="B9352" t="s">
        <v>338</v>
      </c>
      <c r="C9352" t="s">
        <v>120</v>
      </c>
      <c r="D9352">
        <v>12256</v>
      </c>
      <c r="E9352" t="s">
        <v>378</v>
      </c>
    </row>
    <row r="9353" spans="1:5" x14ac:dyDescent="0.25">
      <c r="A9353" s="279">
        <v>39307</v>
      </c>
      <c r="B9353" t="s">
        <v>338</v>
      </c>
      <c r="C9353" t="s">
        <v>121</v>
      </c>
      <c r="D9353">
        <v>0</v>
      </c>
      <c r="E9353" t="s">
        <v>380</v>
      </c>
    </row>
    <row r="9354" spans="1:5" x14ac:dyDescent="0.25">
      <c r="A9354" s="279">
        <v>39307</v>
      </c>
      <c r="B9354" t="s">
        <v>338</v>
      </c>
      <c r="C9354" t="s">
        <v>67</v>
      </c>
      <c r="D9354">
        <v>0</v>
      </c>
      <c r="E9354" t="s">
        <v>378</v>
      </c>
    </row>
    <row r="9355" spans="1:5" x14ac:dyDescent="0.25">
      <c r="A9355" s="279">
        <v>39307</v>
      </c>
      <c r="B9355" t="s">
        <v>338</v>
      </c>
      <c r="C9355" t="s">
        <v>68</v>
      </c>
      <c r="D9355">
        <v>0</v>
      </c>
      <c r="E9355" t="s">
        <v>380</v>
      </c>
    </row>
    <row r="9356" spans="1:5" x14ac:dyDescent="0.25">
      <c r="A9356" s="279">
        <v>39307</v>
      </c>
      <c r="B9356" t="s">
        <v>338</v>
      </c>
      <c r="C9356" t="s">
        <v>69</v>
      </c>
      <c r="D9356">
        <v>0</v>
      </c>
      <c r="E9356" t="s">
        <v>379</v>
      </c>
    </row>
    <row r="9357" spans="1:5" x14ac:dyDescent="0.25">
      <c r="A9357" s="279">
        <v>39307</v>
      </c>
      <c r="B9357" t="s">
        <v>338</v>
      </c>
      <c r="C9357" t="s">
        <v>70</v>
      </c>
      <c r="D9357">
        <v>0</v>
      </c>
      <c r="E9357" t="s">
        <v>379</v>
      </c>
    </row>
    <row r="9358" spans="1:5" x14ac:dyDescent="0.25">
      <c r="A9358" s="279">
        <v>39307</v>
      </c>
      <c r="B9358" t="s">
        <v>338</v>
      </c>
      <c r="C9358" t="s">
        <v>80</v>
      </c>
      <c r="D9358">
        <v>186</v>
      </c>
      <c r="E9358" t="s">
        <v>379</v>
      </c>
    </row>
    <row r="9359" spans="1:5" x14ac:dyDescent="0.25">
      <c r="A9359" s="279">
        <v>39307</v>
      </c>
      <c r="B9359" t="s">
        <v>339</v>
      </c>
      <c r="C9359" t="s">
        <v>71</v>
      </c>
      <c r="D9359">
        <v>1896</v>
      </c>
      <c r="E9359" t="s">
        <v>378</v>
      </c>
    </row>
    <row r="9360" spans="1:5" x14ac:dyDescent="0.25">
      <c r="A9360" s="279">
        <v>39307</v>
      </c>
      <c r="B9360" t="s">
        <v>339</v>
      </c>
      <c r="C9360" t="s">
        <v>72</v>
      </c>
      <c r="D9360">
        <v>0</v>
      </c>
      <c r="E9360" t="s">
        <v>380</v>
      </c>
    </row>
    <row r="9361" spans="1:5" x14ac:dyDescent="0.25">
      <c r="A9361" s="279">
        <v>39307</v>
      </c>
      <c r="B9361" t="s">
        <v>339</v>
      </c>
      <c r="C9361" t="s">
        <v>73</v>
      </c>
      <c r="D9361">
        <v>16850</v>
      </c>
      <c r="E9361" t="s">
        <v>378</v>
      </c>
    </row>
    <row r="9362" spans="1:5" x14ac:dyDescent="0.25">
      <c r="A9362" s="279">
        <v>39307</v>
      </c>
      <c r="B9362" t="s">
        <v>339</v>
      </c>
      <c r="C9362" t="s">
        <v>74</v>
      </c>
      <c r="D9362">
        <v>0</v>
      </c>
      <c r="E9362" t="s">
        <v>380</v>
      </c>
    </row>
    <row r="9363" spans="1:5" x14ac:dyDescent="0.25">
      <c r="A9363" s="279">
        <v>39307</v>
      </c>
      <c r="B9363" t="s">
        <v>339</v>
      </c>
      <c r="C9363" t="s">
        <v>75</v>
      </c>
      <c r="D9363">
        <v>15126</v>
      </c>
      <c r="E9363" t="s">
        <v>378</v>
      </c>
    </row>
    <row r="9364" spans="1:5" x14ac:dyDescent="0.25">
      <c r="A9364" s="279">
        <v>39307</v>
      </c>
      <c r="B9364" t="s">
        <v>339</v>
      </c>
      <c r="C9364" t="s">
        <v>76</v>
      </c>
      <c r="D9364">
        <v>10966</v>
      </c>
      <c r="E9364" t="s">
        <v>380</v>
      </c>
    </row>
    <row r="9365" spans="1:5" x14ac:dyDescent="0.25">
      <c r="A9365" s="279">
        <v>39307</v>
      </c>
      <c r="B9365" t="s">
        <v>339</v>
      </c>
      <c r="C9365" t="s">
        <v>77</v>
      </c>
      <c r="D9365">
        <v>7212</v>
      </c>
      <c r="E9365" t="s">
        <v>378</v>
      </c>
    </row>
    <row r="9366" spans="1:5" x14ac:dyDescent="0.25">
      <c r="A9366" s="279">
        <v>39307</v>
      </c>
      <c r="B9366" t="s">
        <v>339</v>
      </c>
      <c r="C9366" t="s">
        <v>78</v>
      </c>
      <c r="D9366">
        <v>0</v>
      </c>
      <c r="E9366" t="s">
        <v>380</v>
      </c>
    </row>
    <row r="9367" spans="1:5" x14ac:dyDescent="0.25">
      <c r="A9367" s="279">
        <v>39307</v>
      </c>
      <c r="B9367" t="s">
        <v>339</v>
      </c>
      <c r="C9367" t="s">
        <v>79</v>
      </c>
      <c r="D9367">
        <v>86431</v>
      </c>
      <c r="E9367" t="s">
        <v>379</v>
      </c>
    </row>
    <row r="9368" spans="1:5" x14ac:dyDescent="0.25">
      <c r="A9368" s="279">
        <v>39307</v>
      </c>
      <c r="B9368" t="s">
        <v>339</v>
      </c>
      <c r="C9368" t="s">
        <v>70</v>
      </c>
      <c r="D9368">
        <v>0</v>
      </c>
      <c r="E9368" t="s">
        <v>379</v>
      </c>
    </row>
    <row r="9369" spans="1:5" x14ac:dyDescent="0.25">
      <c r="A9369" s="279">
        <v>39307</v>
      </c>
      <c r="B9369" t="s">
        <v>339</v>
      </c>
      <c r="C9369" t="s">
        <v>63</v>
      </c>
      <c r="D9369">
        <v>17170</v>
      </c>
      <c r="E9369" t="s">
        <v>378</v>
      </c>
    </row>
    <row r="9370" spans="1:5" x14ac:dyDescent="0.25">
      <c r="A9370" s="279">
        <v>39307</v>
      </c>
      <c r="B9370" t="s">
        <v>339</v>
      </c>
      <c r="C9370" t="s">
        <v>80</v>
      </c>
      <c r="D9370">
        <v>790</v>
      </c>
      <c r="E9370" t="s">
        <v>379</v>
      </c>
    </row>
    <row r="9371" spans="1:5" x14ac:dyDescent="0.25">
      <c r="A9371" s="279">
        <v>39308</v>
      </c>
      <c r="B9371" t="s">
        <v>338</v>
      </c>
      <c r="C9371" t="s">
        <v>59</v>
      </c>
      <c r="D9371">
        <v>2575</v>
      </c>
      <c r="E9371" t="s">
        <v>378</v>
      </c>
    </row>
    <row r="9372" spans="1:5" x14ac:dyDescent="0.25">
      <c r="A9372" s="279">
        <v>39308</v>
      </c>
      <c r="B9372" t="s">
        <v>338</v>
      </c>
      <c r="C9372" t="s">
        <v>60</v>
      </c>
      <c r="D9372">
        <v>0</v>
      </c>
      <c r="E9372" t="s">
        <v>379</v>
      </c>
    </row>
    <row r="9373" spans="1:5" x14ac:dyDescent="0.25">
      <c r="A9373" s="279">
        <v>39308</v>
      </c>
      <c r="B9373" t="s">
        <v>338</v>
      </c>
      <c r="C9373" t="s">
        <v>61</v>
      </c>
      <c r="D9373">
        <v>7623</v>
      </c>
      <c r="E9373" t="s">
        <v>378</v>
      </c>
    </row>
    <row r="9374" spans="1:5" x14ac:dyDescent="0.25">
      <c r="A9374" s="279">
        <v>39308</v>
      </c>
      <c r="B9374" t="s">
        <v>338</v>
      </c>
      <c r="C9374" t="s">
        <v>62</v>
      </c>
      <c r="D9374">
        <v>0</v>
      </c>
      <c r="E9374" t="s">
        <v>380</v>
      </c>
    </row>
    <row r="9375" spans="1:5" x14ac:dyDescent="0.25">
      <c r="A9375" s="279">
        <v>39308</v>
      </c>
      <c r="B9375" t="s">
        <v>338</v>
      </c>
      <c r="C9375" t="s">
        <v>63</v>
      </c>
      <c r="D9375">
        <v>0</v>
      </c>
      <c r="E9375" t="s">
        <v>378</v>
      </c>
    </row>
    <row r="9376" spans="1:5" x14ac:dyDescent="0.25">
      <c r="A9376" s="279">
        <v>39308</v>
      </c>
      <c r="B9376" t="s">
        <v>338</v>
      </c>
      <c r="C9376" t="s">
        <v>64</v>
      </c>
      <c r="D9376">
        <v>0</v>
      </c>
      <c r="E9376" t="s">
        <v>380</v>
      </c>
    </row>
    <row r="9377" spans="1:5" x14ac:dyDescent="0.25">
      <c r="A9377" s="279">
        <v>39308</v>
      </c>
      <c r="B9377" t="s">
        <v>338</v>
      </c>
      <c r="C9377" t="s">
        <v>65</v>
      </c>
      <c r="D9377">
        <v>0</v>
      </c>
      <c r="E9377" t="s">
        <v>378</v>
      </c>
    </row>
    <row r="9378" spans="1:5" x14ac:dyDescent="0.25">
      <c r="A9378" s="279">
        <v>39308</v>
      </c>
      <c r="B9378" t="s">
        <v>338</v>
      </c>
      <c r="C9378" t="s">
        <v>66</v>
      </c>
      <c r="D9378">
        <v>0</v>
      </c>
      <c r="E9378" t="s">
        <v>380</v>
      </c>
    </row>
    <row r="9379" spans="1:5" x14ac:dyDescent="0.25">
      <c r="A9379" s="279">
        <v>39308</v>
      </c>
      <c r="B9379" t="s">
        <v>338</v>
      </c>
      <c r="C9379" t="s">
        <v>120</v>
      </c>
      <c r="D9379">
        <v>12244</v>
      </c>
      <c r="E9379" t="s">
        <v>378</v>
      </c>
    </row>
    <row r="9380" spans="1:5" x14ac:dyDescent="0.25">
      <c r="A9380" s="279">
        <v>39308</v>
      </c>
      <c r="B9380" t="s">
        <v>338</v>
      </c>
      <c r="C9380" t="s">
        <v>121</v>
      </c>
      <c r="D9380">
        <v>0</v>
      </c>
      <c r="E9380" t="s">
        <v>380</v>
      </c>
    </row>
    <row r="9381" spans="1:5" x14ac:dyDescent="0.25">
      <c r="A9381" s="279">
        <v>39308</v>
      </c>
      <c r="B9381" t="s">
        <v>338</v>
      </c>
      <c r="C9381" t="s">
        <v>67</v>
      </c>
      <c r="D9381">
        <v>0</v>
      </c>
      <c r="E9381" t="s">
        <v>378</v>
      </c>
    </row>
    <row r="9382" spans="1:5" x14ac:dyDescent="0.25">
      <c r="A9382" s="279">
        <v>39308</v>
      </c>
      <c r="B9382" t="s">
        <v>338</v>
      </c>
      <c r="C9382" t="s">
        <v>68</v>
      </c>
      <c r="D9382">
        <v>0</v>
      </c>
      <c r="E9382" t="s">
        <v>380</v>
      </c>
    </row>
    <row r="9383" spans="1:5" x14ac:dyDescent="0.25">
      <c r="A9383" s="279">
        <v>39308</v>
      </c>
      <c r="B9383" t="s">
        <v>338</v>
      </c>
      <c r="C9383" t="s">
        <v>69</v>
      </c>
      <c r="D9383">
        <v>0</v>
      </c>
      <c r="E9383" t="s">
        <v>379</v>
      </c>
    </row>
    <row r="9384" spans="1:5" x14ac:dyDescent="0.25">
      <c r="A9384" s="279">
        <v>39308</v>
      </c>
      <c r="B9384" t="s">
        <v>338</v>
      </c>
      <c r="C9384" t="s">
        <v>70</v>
      </c>
      <c r="D9384">
        <v>0</v>
      </c>
      <c r="E9384" t="s">
        <v>379</v>
      </c>
    </row>
    <row r="9385" spans="1:5" x14ac:dyDescent="0.25">
      <c r="A9385" s="279">
        <v>39308</v>
      </c>
      <c r="B9385" t="s">
        <v>338</v>
      </c>
      <c r="C9385" t="s">
        <v>80</v>
      </c>
      <c r="D9385">
        <v>185</v>
      </c>
      <c r="E9385" t="s">
        <v>379</v>
      </c>
    </row>
    <row r="9386" spans="1:5" x14ac:dyDescent="0.25">
      <c r="A9386" s="279">
        <v>39308</v>
      </c>
      <c r="B9386" t="s">
        <v>339</v>
      </c>
      <c r="C9386" t="s">
        <v>71</v>
      </c>
      <c r="D9386">
        <v>1919</v>
      </c>
      <c r="E9386" t="s">
        <v>378</v>
      </c>
    </row>
    <row r="9387" spans="1:5" x14ac:dyDescent="0.25">
      <c r="A9387" s="279">
        <v>39308</v>
      </c>
      <c r="B9387" t="s">
        <v>339</v>
      </c>
      <c r="C9387" t="s">
        <v>72</v>
      </c>
      <c r="D9387">
        <v>0</v>
      </c>
      <c r="E9387" t="s">
        <v>380</v>
      </c>
    </row>
    <row r="9388" spans="1:5" x14ac:dyDescent="0.25">
      <c r="A9388" s="279">
        <v>39308</v>
      </c>
      <c r="B9388" t="s">
        <v>339</v>
      </c>
      <c r="C9388" t="s">
        <v>73</v>
      </c>
      <c r="D9388">
        <v>17062</v>
      </c>
      <c r="E9388" t="s">
        <v>378</v>
      </c>
    </row>
    <row r="9389" spans="1:5" x14ac:dyDescent="0.25">
      <c r="A9389" s="279">
        <v>39308</v>
      </c>
      <c r="B9389" t="s">
        <v>339</v>
      </c>
      <c r="C9389" t="s">
        <v>74</v>
      </c>
      <c r="D9389">
        <v>0</v>
      </c>
      <c r="E9389" t="s">
        <v>380</v>
      </c>
    </row>
    <row r="9390" spans="1:5" x14ac:dyDescent="0.25">
      <c r="A9390" s="279">
        <v>39308</v>
      </c>
      <c r="B9390" t="s">
        <v>339</v>
      </c>
      <c r="C9390" t="s">
        <v>75</v>
      </c>
      <c r="D9390">
        <v>15316</v>
      </c>
      <c r="E9390" t="s">
        <v>378</v>
      </c>
    </row>
    <row r="9391" spans="1:5" x14ac:dyDescent="0.25">
      <c r="A9391" s="279">
        <v>39308</v>
      </c>
      <c r="B9391" t="s">
        <v>339</v>
      </c>
      <c r="C9391" t="s">
        <v>76</v>
      </c>
      <c r="D9391">
        <v>11078</v>
      </c>
      <c r="E9391" t="s">
        <v>380</v>
      </c>
    </row>
    <row r="9392" spans="1:5" x14ac:dyDescent="0.25">
      <c r="A9392" s="279">
        <v>39308</v>
      </c>
      <c r="B9392" t="s">
        <v>339</v>
      </c>
      <c r="C9392" t="s">
        <v>77</v>
      </c>
      <c r="D9392">
        <v>7303</v>
      </c>
      <c r="E9392" t="s">
        <v>378</v>
      </c>
    </row>
    <row r="9393" spans="1:5" x14ac:dyDescent="0.25">
      <c r="A9393" s="279">
        <v>39308</v>
      </c>
      <c r="B9393" t="s">
        <v>339</v>
      </c>
      <c r="C9393" t="s">
        <v>78</v>
      </c>
      <c r="D9393">
        <v>0</v>
      </c>
      <c r="E9393" t="s">
        <v>380</v>
      </c>
    </row>
    <row r="9394" spans="1:5" x14ac:dyDescent="0.25">
      <c r="A9394" s="279">
        <v>39308</v>
      </c>
      <c r="B9394" t="s">
        <v>339</v>
      </c>
      <c r="C9394" t="s">
        <v>79</v>
      </c>
      <c r="D9394">
        <v>87519</v>
      </c>
      <c r="E9394" t="s">
        <v>379</v>
      </c>
    </row>
    <row r="9395" spans="1:5" x14ac:dyDescent="0.25">
      <c r="A9395" s="279">
        <v>39308</v>
      </c>
      <c r="B9395" t="s">
        <v>339</v>
      </c>
      <c r="C9395" t="s">
        <v>70</v>
      </c>
      <c r="D9395">
        <v>0</v>
      </c>
      <c r="E9395" t="s">
        <v>379</v>
      </c>
    </row>
    <row r="9396" spans="1:5" x14ac:dyDescent="0.25">
      <c r="A9396" s="279">
        <v>39308</v>
      </c>
      <c r="B9396" t="s">
        <v>339</v>
      </c>
      <c r="C9396" t="s">
        <v>63</v>
      </c>
      <c r="D9396">
        <v>17386</v>
      </c>
      <c r="E9396" t="s">
        <v>378</v>
      </c>
    </row>
    <row r="9397" spans="1:5" x14ac:dyDescent="0.25">
      <c r="A9397" s="279">
        <v>39308</v>
      </c>
      <c r="B9397" t="s">
        <v>339</v>
      </c>
      <c r="C9397" t="s">
        <v>80</v>
      </c>
      <c r="D9397">
        <v>800</v>
      </c>
      <c r="E9397" t="s">
        <v>379</v>
      </c>
    </row>
    <row r="9398" spans="1:5" x14ac:dyDescent="0.25">
      <c r="A9398" s="279">
        <v>39309</v>
      </c>
      <c r="B9398" t="s">
        <v>338</v>
      </c>
      <c r="C9398" t="s">
        <v>59</v>
      </c>
      <c r="D9398">
        <v>2575</v>
      </c>
      <c r="E9398" t="s">
        <v>378</v>
      </c>
    </row>
    <row r="9399" spans="1:5" x14ac:dyDescent="0.25">
      <c r="A9399" s="279">
        <v>39309</v>
      </c>
      <c r="B9399" t="s">
        <v>338</v>
      </c>
      <c r="C9399" t="s">
        <v>60</v>
      </c>
      <c r="D9399">
        <v>0</v>
      </c>
      <c r="E9399" t="s">
        <v>379</v>
      </c>
    </row>
    <row r="9400" spans="1:5" x14ac:dyDescent="0.25">
      <c r="A9400" s="279">
        <v>39309</v>
      </c>
      <c r="B9400" t="s">
        <v>338</v>
      </c>
      <c r="C9400" t="s">
        <v>61</v>
      </c>
      <c r="D9400">
        <v>7633</v>
      </c>
      <c r="E9400" t="s">
        <v>378</v>
      </c>
    </row>
    <row r="9401" spans="1:5" x14ac:dyDescent="0.25">
      <c r="A9401" s="279">
        <v>39309</v>
      </c>
      <c r="B9401" t="s">
        <v>338</v>
      </c>
      <c r="C9401" t="s">
        <v>62</v>
      </c>
      <c r="D9401">
        <v>0</v>
      </c>
      <c r="E9401" t="s">
        <v>380</v>
      </c>
    </row>
    <row r="9402" spans="1:5" x14ac:dyDescent="0.25">
      <c r="A9402" s="279">
        <v>39309</v>
      </c>
      <c r="B9402" t="s">
        <v>338</v>
      </c>
      <c r="C9402" t="s">
        <v>63</v>
      </c>
      <c r="D9402">
        <v>0</v>
      </c>
      <c r="E9402" t="s">
        <v>378</v>
      </c>
    </row>
    <row r="9403" spans="1:5" x14ac:dyDescent="0.25">
      <c r="A9403" s="279">
        <v>39309</v>
      </c>
      <c r="B9403" t="s">
        <v>338</v>
      </c>
      <c r="C9403" t="s">
        <v>64</v>
      </c>
      <c r="D9403">
        <v>0</v>
      </c>
      <c r="E9403" t="s">
        <v>380</v>
      </c>
    </row>
    <row r="9404" spans="1:5" x14ac:dyDescent="0.25">
      <c r="A9404" s="279">
        <v>39309</v>
      </c>
      <c r="B9404" t="s">
        <v>338</v>
      </c>
      <c r="C9404" t="s">
        <v>65</v>
      </c>
      <c r="D9404">
        <v>0</v>
      </c>
      <c r="E9404" t="s">
        <v>378</v>
      </c>
    </row>
    <row r="9405" spans="1:5" x14ac:dyDescent="0.25">
      <c r="A9405" s="279">
        <v>39309</v>
      </c>
      <c r="B9405" t="s">
        <v>338</v>
      </c>
      <c r="C9405" t="s">
        <v>66</v>
      </c>
      <c r="D9405">
        <v>0</v>
      </c>
      <c r="E9405" t="s">
        <v>380</v>
      </c>
    </row>
    <row r="9406" spans="1:5" x14ac:dyDescent="0.25">
      <c r="A9406" s="279">
        <v>39309</v>
      </c>
      <c r="B9406" t="s">
        <v>338</v>
      </c>
      <c r="C9406" t="s">
        <v>120</v>
      </c>
      <c r="D9406">
        <v>12244</v>
      </c>
      <c r="E9406" t="s">
        <v>378</v>
      </c>
    </row>
    <row r="9407" spans="1:5" x14ac:dyDescent="0.25">
      <c r="A9407" s="279">
        <v>39309</v>
      </c>
      <c r="B9407" t="s">
        <v>338</v>
      </c>
      <c r="C9407" t="s">
        <v>121</v>
      </c>
      <c r="D9407">
        <v>0</v>
      </c>
      <c r="E9407" t="s">
        <v>380</v>
      </c>
    </row>
    <row r="9408" spans="1:5" x14ac:dyDescent="0.25">
      <c r="A9408" s="279">
        <v>39309</v>
      </c>
      <c r="B9408" t="s">
        <v>338</v>
      </c>
      <c r="C9408" t="s">
        <v>67</v>
      </c>
      <c r="D9408">
        <v>0</v>
      </c>
      <c r="E9408" t="s">
        <v>378</v>
      </c>
    </row>
    <row r="9409" spans="1:5" x14ac:dyDescent="0.25">
      <c r="A9409" s="279">
        <v>39309</v>
      </c>
      <c r="B9409" t="s">
        <v>338</v>
      </c>
      <c r="C9409" t="s">
        <v>68</v>
      </c>
      <c r="D9409">
        <v>0</v>
      </c>
      <c r="E9409" t="s">
        <v>380</v>
      </c>
    </row>
    <row r="9410" spans="1:5" x14ac:dyDescent="0.25">
      <c r="A9410" s="279">
        <v>39309</v>
      </c>
      <c r="B9410" t="s">
        <v>338</v>
      </c>
      <c r="C9410" t="s">
        <v>69</v>
      </c>
      <c r="D9410">
        <v>0</v>
      </c>
      <c r="E9410" t="s">
        <v>379</v>
      </c>
    </row>
    <row r="9411" spans="1:5" x14ac:dyDescent="0.25">
      <c r="A9411" s="279">
        <v>39309</v>
      </c>
      <c r="B9411" t="s">
        <v>338</v>
      </c>
      <c r="C9411" t="s">
        <v>70</v>
      </c>
      <c r="D9411">
        <v>0</v>
      </c>
      <c r="E9411" t="s">
        <v>379</v>
      </c>
    </row>
    <row r="9412" spans="1:5" x14ac:dyDescent="0.25">
      <c r="A9412" s="279">
        <v>39309</v>
      </c>
      <c r="B9412" t="s">
        <v>338</v>
      </c>
      <c r="C9412" t="s">
        <v>80</v>
      </c>
      <c r="D9412">
        <v>185</v>
      </c>
      <c r="E9412" t="s">
        <v>379</v>
      </c>
    </row>
    <row r="9413" spans="1:5" x14ac:dyDescent="0.25">
      <c r="A9413" s="279">
        <v>39309</v>
      </c>
      <c r="B9413" t="s">
        <v>339</v>
      </c>
      <c r="C9413" t="s">
        <v>71</v>
      </c>
      <c r="D9413">
        <v>1892</v>
      </c>
      <c r="E9413" t="s">
        <v>378</v>
      </c>
    </row>
    <row r="9414" spans="1:5" x14ac:dyDescent="0.25">
      <c r="A9414" s="279">
        <v>39309</v>
      </c>
      <c r="B9414" t="s">
        <v>339</v>
      </c>
      <c r="C9414" t="s">
        <v>72</v>
      </c>
      <c r="D9414">
        <v>0</v>
      </c>
      <c r="E9414" t="s">
        <v>380</v>
      </c>
    </row>
    <row r="9415" spans="1:5" x14ac:dyDescent="0.25">
      <c r="A9415" s="279">
        <v>39309</v>
      </c>
      <c r="B9415" t="s">
        <v>339</v>
      </c>
      <c r="C9415" t="s">
        <v>73</v>
      </c>
      <c r="D9415">
        <v>16817</v>
      </c>
      <c r="E9415" t="s">
        <v>378</v>
      </c>
    </row>
    <row r="9416" spans="1:5" x14ac:dyDescent="0.25">
      <c r="A9416" s="279">
        <v>39309</v>
      </c>
      <c r="B9416" t="s">
        <v>339</v>
      </c>
      <c r="C9416" t="s">
        <v>74</v>
      </c>
      <c r="D9416">
        <v>0</v>
      </c>
      <c r="E9416" t="s">
        <v>380</v>
      </c>
    </row>
    <row r="9417" spans="1:5" x14ac:dyDescent="0.25">
      <c r="A9417" s="279">
        <v>39309</v>
      </c>
      <c r="B9417" t="s">
        <v>339</v>
      </c>
      <c r="C9417" t="s">
        <v>75</v>
      </c>
      <c r="D9417">
        <v>15097</v>
      </c>
      <c r="E9417" t="s">
        <v>378</v>
      </c>
    </row>
    <row r="9418" spans="1:5" x14ac:dyDescent="0.25">
      <c r="A9418" s="279">
        <v>39309</v>
      </c>
      <c r="B9418" t="s">
        <v>339</v>
      </c>
      <c r="C9418" t="s">
        <v>76</v>
      </c>
      <c r="D9418">
        <v>10816</v>
      </c>
      <c r="E9418" t="s">
        <v>380</v>
      </c>
    </row>
    <row r="9419" spans="1:5" x14ac:dyDescent="0.25">
      <c r="A9419" s="279">
        <v>39309</v>
      </c>
      <c r="B9419" t="s">
        <v>339</v>
      </c>
      <c r="C9419" t="s">
        <v>77</v>
      </c>
      <c r="D9419">
        <v>7198</v>
      </c>
      <c r="E9419" t="s">
        <v>378</v>
      </c>
    </row>
    <row r="9420" spans="1:5" x14ac:dyDescent="0.25">
      <c r="A9420" s="279">
        <v>39309</v>
      </c>
      <c r="B9420" t="s">
        <v>339</v>
      </c>
      <c r="C9420" t="s">
        <v>78</v>
      </c>
      <c r="D9420">
        <v>0</v>
      </c>
      <c r="E9420" t="s">
        <v>380</v>
      </c>
    </row>
    <row r="9421" spans="1:5" x14ac:dyDescent="0.25">
      <c r="A9421" s="279">
        <v>39309</v>
      </c>
      <c r="B9421" t="s">
        <v>339</v>
      </c>
      <c r="C9421" t="s">
        <v>79</v>
      </c>
      <c r="D9421">
        <v>86266</v>
      </c>
      <c r="E9421" t="s">
        <v>379</v>
      </c>
    </row>
    <row r="9422" spans="1:5" x14ac:dyDescent="0.25">
      <c r="A9422" s="279">
        <v>39309</v>
      </c>
      <c r="B9422" t="s">
        <v>339</v>
      </c>
      <c r="C9422" t="s">
        <v>70</v>
      </c>
      <c r="D9422">
        <v>0</v>
      </c>
      <c r="E9422" t="s">
        <v>379</v>
      </c>
    </row>
    <row r="9423" spans="1:5" x14ac:dyDescent="0.25">
      <c r="A9423" s="279">
        <v>39309</v>
      </c>
      <c r="B9423" t="s">
        <v>339</v>
      </c>
      <c r="C9423" t="s">
        <v>63</v>
      </c>
      <c r="D9423">
        <v>17137</v>
      </c>
      <c r="E9423" t="s">
        <v>378</v>
      </c>
    </row>
    <row r="9424" spans="1:5" x14ac:dyDescent="0.25">
      <c r="A9424" s="279">
        <v>39309</v>
      </c>
      <c r="B9424" t="s">
        <v>339</v>
      </c>
      <c r="C9424" t="s">
        <v>80</v>
      </c>
      <c r="D9424">
        <v>788</v>
      </c>
      <c r="E9424" t="s">
        <v>379</v>
      </c>
    </row>
    <row r="9425" spans="1:5" x14ac:dyDescent="0.25">
      <c r="A9425" s="279">
        <v>39310</v>
      </c>
      <c r="B9425" t="s">
        <v>338</v>
      </c>
      <c r="C9425" t="s">
        <v>59</v>
      </c>
      <c r="D9425">
        <v>2570</v>
      </c>
      <c r="E9425" t="s">
        <v>378</v>
      </c>
    </row>
    <row r="9426" spans="1:5" x14ac:dyDescent="0.25">
      <c r="A9426" s="279">
        <v>39310</v>
      </c>
      <c r="B9426" t="s">
        <v>338</v>
      </c>
      <c r="C9426" t="s">
        <v>60</v>
      </c>
      <c r="D9426">
        <v>0</v>
      </c>
      <c r="E9426" t="s">
        <v>379</v>
      </c>
    </row>
    <row r="9427" spans="1:5" x14ac:dyDescent="0.25">
      <c r="A9427" s="279">
        <v>39310</v>
      </c>
      <c r="B9427" t="s">
        <v>338</v>
      </c>
      <c r="C9427" t="s">
        <v>61</v>
      </c>
      <c r="D9427">
        <v>7609</v>
      </c>
      <c r="E9427" t="s">
        <v>378</v>
      </c>
    </row>
    <row r="9428" spans="1:5" x14ac:dyDescent="0.25">
      <c r="A9428" s="279">
        <v>39310</v>
      </c>
      <c r="B9428" t="s">
        <v>338</v>
      </c>
      <c r="C9428" t="s">
        <v>62</v>
      </c>
      <c r="D9428">
        <v>0</v>
      </c>
      <c r="E9428" t="s">
        <v>380</v>
      </c>
    </row>
    <row r="9429" spans="1:5" x14ac:dyDescent="0.25">
      <c r="A9429" s="279">
        <v>39310</v>
      </c>
      <c r="B9429" t="s">
        <v>338</v>
      </c>
      <c r="C9429" t="s">
        <v>63</v>
      </c>
      <c r="D9429">
        <v>0</v>
      </c>
      <c r="E9429" t="s">
        <v>378</v>
      </c>
    </row>
    <row r="9430" spans="1:5" x14ac:dyDescent="0.25">
      <c r="A9430" s="279">
        <v>39310</v>
      </c>
      <c r="B9430" t="s">
        <v>338</v>
      </c>
      <c r="C9430" t="s">
        <v>64</v>
      </c>
      <c r="D9430">
        <v>0</v>
      </c>
      <c r="E9430" t="s">
        <v>380</v>
      </c>
    </row>
    <row r="9431" spans="1:5" x14ac:dyDescent="0.25">
      <c r="A9431" s="279">
        <v>39310</v>
      </c>
      <c r="B9431" t="s">
        <v>338</v>
      </c>
      <c r="C9431" t="s">
        <v>65</v>
      </c>
      <c r="D9431">
        <v>0</v>
      </c>
      <c r="E9431" t="s">
        <v>378</v>
      </c>
    </row>
    <row r="9432" spans="1:5" x14ac:dyDescent="0.25">
      <c r="A9432" s="279">
        <v>39310</v>
      </c>
      <c r="B9432" t="s">
        <v>338</v>
      </c>
      <c r="C9432" t="s">
        <v>66</v>
      </c>
      <c r="D9432">
        <v>0</v>
      </c>
      <c r="E9432" t="s">
        <v>380</v>
      </c>
    </row>
    <row r="9433" spans="1:5" x14ac:dyDescent="0.25">
      <c r="A9433" s="279">
        <v>39310</v>
      </c>
      <c r="B9433" t="s">
        <v>338</v>
      </c>
      <c r="C9433" t="s">
        <v>120</v>
      </c>
      <c r="D9433">
        <v>12220</v>
      </c>
      <c r="E9433" t="s">
        <v>378</v>
      </c>
    </row>
    <row r="9434" spans="1:5" x14ac:dyDescent="0.25">
      <c r="A9434" s="279">
        <v>39310</v>
      </c>
      <c r="B9434" t="s">
        <v>338</v>
      </c>
      <c r="C9434" t="s">
        <v>121</v>
      </c>
      <c r="D9434">
        <v>0</v>
      </c>
      <c r="E9434" t="s">
        <v>380</v>
      </c>
    </row>
    <row r="9435" spans="1:5" x14ac:dyDescent="0.25">
      <c r="A9435" s="279">
        <v>39310</v>
      </c>
      <c r="B9435" t="s">
        <v>338</v>
      </c>
      <c r="C9435" t="s">
        <v>67</v>
      </c>
      <c r="D9435">
        <v>0</v>
      </c>
      <c r="E9435" t="s">
        <v>378</v>
      </c>
    </row>
    <row r="9436" spans="1:5" x14ac:dyDescent="0.25">
      <c r="A9436" s="279">
        <v>39310</v>
      </c>
      <c r="B9436" t="s">
        <v>338</v>
      </c>
      <c r="C9436" t="s">
        <v>68</v>
      </c>
      <c r="D9436">
        <v>0</v>
      </c>
      <c r="E9436" t="s">
        <v>380</v>
      </c>
    </row>
    <row r="9437" spans="1:5" x14ac:dyDescent="0.25">
      <c r="A9437" s="279">
        <v>39310</v>
      </c>
      <c r="B9437" t="s">
        <v>338</v>
      </c>
      <c r="C9437" t="s">
        <v>69</v>
      </c>
      <c r="D9437">
        <v>0</v>
      </c>
      <c r="E9437" t="s">
        <v>379</v>
      </c>
    </row>
    <row r="9438" spans="1:5" x14ac:dyDescent="0.25">
      <c r="A9438" s="279">
        <v>39310</v>
      </c>
      <c r="B9438" t="s">
        <v>338</v>
      </c>
      <c r="C9438" t="s">
        <v>70</v>
      </c>
      <c r="D9438">
        <v>0</v>
      </c>
      <c r="E9438" t="s">
        <v>379</v>
      </c>
    </row>
    <row r="9439" spans="1:5" x14ac:dyDescent="0.25">
      <c r="A9439" s="279">
        <v>39310</v>
      </c>
      <c r="B9439" t="s">
        <v>338</v>
      </c>
      <c r="C9439" t="s">
        <v>80</v>
      </c>
      <c r="D9439">
        <v>185</v>
      </c>
      <c r="E9439" t="s">
        <v>379</v>
      </c>
    </row>
    <row r="9440" spans="1:5" x14ac:dyDescent="0.25">
      <c r="A9440" s="279">
        <v>39310</v>
      </c>
      <c r="B9440" t="s">
        <v>339</v>
      </c>
      <c r="C9440" t="s">
        <v>71</v>
      </c>
      <c r="D9440">
        <v>1921</v>
      </c>
      <c r="E9440" t="s">
        <v>378</v>
      </c>
    </row>
    <row r="9441" spans="1:5" x14ac:dyDescent="0.25">
      <c r="A9441" s="279">
        <v>39310</v>
      </c>
      <c r="B9441" t="s">
        <v>339</v>
      </c>
      <c r="C9441" t="s">
        <v>72</v>
      </c>
      <c r="D9441">
        <v>0</v>
      </c>
      <c r="E9441" t="s">
        <v>380</v>
      </c>
    </row>
    <row r="9442" spans="1:5" x14ac:dyDescent="0.25">
      <c r="A9442" s="279">
        <v>39310</v>
      </c>
      <c r="B9442" t="s">
        <v>339</v>
      </c>
      <c r="C9442" t="s">
        <v>73</v>
      </c>
      <c r="D9442">
        <v>17078</v>
      </c>
      <c r="E9442" t="s">
        <v>378</v>
      </c>
    </row>
    <row r="9443" spans="1:5" x14ac:dyDescent="0.25">
      <c r="A9443" s="279">
        <v>39310</v>
      </c>
      <c r="B9443" t="s">
        <v>339</v>
      </c>
      <c r="C9443" t="s">
        <v>74</v>
      </c>
      <c r="D9443">
        <v>0</v>
      </c>
      <c r="E9443" t="s">
        <v>380</v>
      </c>
    </row>
    <row r="9444" spans="1:5" x14ac:dyDescent="0.25">
      <c r="A9444" s="279">
        <v>39310</v>
      </c>
      <c r="B9444" t="s">
        <v>339</v>
      </c>
      <c r="C9444" t="s">
        <v>75</v>
      </c>
      <c r="D9444">
        <v>15331</v>
      </c>
      <c r="E9444" t="s">
        <v>378</v>
      </c>
    </row>
    <row r="9445" spans="1:5" x14ac:dyDescent="0.25">
      <c r="A9445" s="279">
        <v>39310</v>
      </c>
      <c r="B9445" t="s">
        <v>339</v>
      </c>
      <c r="C9445" t="s">
        <v>76</v>
      </c>
      <c r="D9445">
        <v>8690</v>
      </c>
      <c r="E9445" t="s">
        <v>380</v>
      </c>
    </row>
    <row r="9446" spans="1:5" x14ac:dyDescent="0.25">
      <c r="A9446" s="279">
        <v>39310</v>
      </c>
      <c r="B9446" t="s">
        <v>339</v>
      </c>
      <c r="C9446" t="s">
        <v>77</v>
      </c>
      <c r="D9446">
        <v>7310</v>
      </c>
      <c r="E9446" t="s">
        <v>378</v>
      </c>
    </row>
    <row r="9447" spans="1:5" x14ac:dyDescent="0.25">
      <c r="A9447" s="279">
        <v>39310</v>
      </c>
      <c r="B9447" t="s">
        <v>339</v>
      </c>
      <c r="C9447" t="s">
        <v>78</v>
      </c>
      <c r="D9447">
        <v>0</v>
      </c>
      <c r="E9447" t="s">
        <v>380</v>
      </c>
    </row>
    <row r="9448" spans="1:5" x14ac:dyDescent="0.25">
      <c r="A9448" s="279">
        <v>39310</v>
      </c>
      <c r="B9448" t="s">
        <v>339</v>
      </c>
      <c r="C9448" t="s">
        <v>79</v>
      </c>
      <c r="D9448">
        <v>87604</v>
      </c>
      <c r="E9448" t="s">
        <v>379</v>
      </c>
    </row>
    <row r="9449" spans="1:5" x14ac:dyDescent="0.25">
      <c r="A9449" s="279">
        <v>39310</v>
      </c>
      <c r="B9449" t="s">
        <v>339</v>
      </c>
      <c r="C9449" t="s">
        <v>70</v>
      </c>
      <c r="D9449">
        <v>0</v>
      </c>
      <c r="E9449" t="s">
        <v>379</v>
      </c>
    </row>
    <row r="9450" spans="1:5" x14ac:dyDescent="0.25">
      <c r="A9450" s="279">
        <v>39310</v>
      </c>
      <c r="B9450" t="s">
        <v>339</v>
      </c>
      <c r="C9450" t="s">
        <v>63</v>
      </c>
      <c r="D9450">
        <v>17403</v>
      </c>
      <c r="E9450" t="s">
        <v>378</v>
      </c>
    </row>
    <row r="9451" spans="1:5" x14ac:dyDescent="0.25">
      <c r="A9451" s="279">
        <v>39310</v>
      </c>
      <c r="B9451" t="s">
        <v>339</v>
      </c>
      <c r="C9451" t="s">
        <v>80</v>
      </c>
      <c r="D9451">
        <v>801</v>
      </c>
      <c r="E9451" t="s">
        <v>379</v>
      </c>
    </row>
    <row r="9452" spans="1:5" x14ac:dyDescent="0.25">
      <c r="A9452" s="279">
        <v>39311</v>
      </c>
      <c r="B9452" t="s">
        <v>338</v>
      </c>
      <c r="C9452" t="s">
        <v>59</v>
      </c>
      <c r="D9452">
        <v>2575</v>
      </c>
      <c r="E9452" t="s">
        <v>378</v>
      </c>
    </row>
    <row r="9453" spans="1:5" x14ac:dyDescent="0.25">
      <c r="A9453" s="279">
        <v>39311</v>
      </c>
      <c r="B9453" t="s">
        <v>338</v>
      </c>
      <c r="C9453" t="s">
        <v>60</v>
      </c>
      <c r="D9453">
        <v>0</v>
      </c>
      <c r="E9453" t="s">
        <v>379</v>
      </c>
    </row>
    <row r="9454" spans="1:5" x14ac:dyDescent="0.25">
      <c r="A9454" s="279">
        <v>39311</v>
      </c>
      <c r="B9454" t="s">
        <v>338</v>
      </c>
      <c r="C9454" t="s">
        <v>61</v>
      </c>
      <c r="D9454">
        <v>7633</v>
      </c>
      <c r="E9454" t="s">
        <v>378</v>
      </c>
    </row>
    <row r="9455" spans="1:5" x14ac:dyDescent="0.25">
      <c r="A9455" s="279">
        <v>39311</v>
      </c>
      <c r="B9455" t="s">
        <v>338</v>
      </c>
      <c r="C9455" t="s">
        <v>62</v>
      </c>
      <c r="D9455">
        <v>0</v>
      </c>
      <c r="E9455" t="s">
        <v>380</v>
      </c>
    </row>
    <row r="9456" spans="1:5" x14ac:dyDescent="0.25">
      <c r="A9456" s="279">
        <v>39311</v>
      </c>
      <c r="B9456" t="s">
        <v>338</v>
      </c>
      <c r="C9456" t="s">
        <v>63</v>
      </c>
      <c r="D9456">
        <v>0</v>
      </c>
      <c r="E9456" t="s">
        <v>378</v>
      </c>
    </row>
    <row r="9457" spans="1:5" x14ac:dyDescent="0.25">
      <c r="A9457" s="279">
        <v>39311</v>
      </c>
      <c r="B9457" t="s">
        <v>338</v>
      </c>
      <c r="C9457" t="s">
        <v>64</v>
      </c>
      <c r="D9457">
        <v>0</v>
      </c>
      <c r="E9457" t="s">
        <v>380</v>
      </c>
    </row>
    <row r="9458" spans="1:5" x14ac:dyDescent="0.25">
      <c r="A9458" s="279">
        <v>39311</v>
      </c>
      <c r="B9458" t="s">
        <v>338</v>
      </c>
      <c r="C9458" t="s">
        <v>65</v>
      </c>
      <c r="D9458">
        <v>0</v>
      </c>
      <c r="E9458" t="s">
        <v>378</v>
      </c>
    </row>
    <row r="9459" spans="1:5" x14ac:dyDescent="0.25">
      <c r="A9459" s="279">
        <v>39311</v>
      </c>
      <c r="B9459" t="s">
        <v>338</v>
      </c>
      <c r="C9459" t="s">
        <v>66</v>
      </c>
      <c r="D9459">
        <v>0</v>
      </c>
      <c r="E9459" t="s">
        <v>380</v>
      </c>
    </row>
    <row r="9460" spans="1:5" x14ac:dyDescent="0.25">
      <c r="A9460" s="279">
        <v>39311</v>
      </c>
      <c r="B9460" t="s">
        <v>338</v>
      </c>
      <c r="C9460" t="s">
        <v>120</v>
      </c>
      <c r="D9460">
        <v>12244</v>
      </c>
      <c r="E9460" t="s">
        <v>378</v>
      </c>
    </row>
    <row r="9461" spans="1:5" x14ac:dyDescent="0.25">
      <c r="A9461" s="279">
        <v>39311</v>
      </c>
      <c r="B9461" t="s">
        <v>338</v>
      </c>
      <c r="C9461" t="s">
        <v>121</v>
      </c>
      <c r="D9461">
        <v>0</v>
      </c>
      <c r="E9461" t="s">
        <v>380</v>
      </c>
    </row>
    <row r="9462" spans="1:5" x14ac:dyDescent="0.25">
      <c r="A9462" s="279">
        <v>39311</v>
      </c>
      <c r="B9462" t="s">
        <v>338</v>
      </c>
      <c r="C9462" t="s">
        <v>67</v>
      </c>
      <c r="D9462">
        <v>0</v>
      </c>
      <c r="E9462" t="s">
        <v>378</v>
      </c>
    </row>
    <row r="9463" spans="1:5" x14ac:dyDescent="0.25">
      <c r="A9463" s="279">
        <v>39311</v>
      </c>
      <c r="B9463" t="s">
        <v>338</v>
      </c>
      <c r="C9463" t="s">
        <v>68</v>
      </c>
      <c r="D9463">
        <v>0</v>
      </c>
      <c r="E9463" t="s">
        <v>380</v>
      </c>
    </row>
    <row r="9464" spans="1:5" x14ac:dyDescent="0.25">
      <c r="A9464" s="279">
        <v>39311</v>
      </c>
      <c r="B9464" t="s">
        <v>338</v>
      </c>
      <c r="C9464" t="s">
        <v>69</v>
      </c>
      <c r="D9464">
        <v>0</v>
      </c>
      <c r="E9464" t="s">
        <v>379</v>
      </c>
    </row>
    <row r="9465" spans="1:5" x14ac:dyDescent="0.25">
      <c r="A9465" s="279">
        <v>39311</v>
      </c>
      <c r="B9465" t="s">
        <v>338</v>
      </c>
      <c r="C9465" t="s">
        <v>70</v>
      </c>
      <c r="D9465">
        <v>0</v>
      </c>
      <c r="E9465" t="s">
        <v>379</v>
      </c>
    </row>
    <row r="9466" spans="1:5" x14ac:dyDescent="0.25">
      <c r="A9466" s="279">
        <v>39311</v>
      </c>
      <c r="B9466" t="s">
        <v>338</v>
      </c>
      <c r="C9466" t="s">
        <v>80</v>
      </c>
      <c r="D9466">
        <v>185</v>
      </c>
      <c r="E9466" t="s">
        <v>379</v>
      </c>
    </row>
    <row r="9467" spans="1:5" x14ac:dyDescent="0.25">
      <c r="A9467" s="279">
        <v>39311</v>
      </c>
      <c r="B9467" t="s">
        <v>339</v>
      </c>
      <c r="C9467" t="s">
        <v>71</v>
      </c>
      <c r="D9467">
        <v>1892</v>
      </c>
      <c r="E9467" t="s">
        <v>378</v>
      </c>
    </row>
    <row r="9468" spans="1:5" x14ac:dyDescent="0.25">
      <c r="A9468" s="279">
        <v>39311</v>
      </c>
      <c r="B9468" t="s">
        <v>339</v>
      </c>
      <c r="C9468" t="s">
        <v>72</v>
      </c>
      <c r="D9468">
        <v>0</v>
      </c>
      <c r="E9468" t="s">
        <v>380</v>
      </c>
    </row>
    <row r="9469" spans="1:5" x14ac:dyDescent="0.25">
      <c r="A9469" s="279">
        <v>39311</v>
      </c>
      <c r="B9469" t="s">
        <v>339</v>
      </c>
      <c r="C9469" t="s">
        <v>73</v>
      </c>
      <c r="D9469">
        <v>16817</v>
      </c>
      <c r="E9469" t="s">
        <v>378</v>
      </c>
    </row>
    <row r="9470" spans="1:5" x14ac:dyDescent="0.25">
      <c r="A9470" s="279">
        <v>39311</v>
      </c>
      <c r="B9470" t="s">
        <v>339</v>
      </c>
      <c r="C9470" t="s">
        <v>74</v>
      </c>
      <c r="D9470">
        <v>0</v>
      </c>
      <c r="E9470" t="s">
        <v>380</v>
      </c>
    </row>
    <row r="9471" spans="1:5" x14ac:dyDescent="0.25">
      <c r="A9471" s="279">
        <v>39311</v>
      </c>
      <c r="B9471" t="s">
        <v>339</v>
      </c>
      <c r="C9471" t="s">
        <v>75</v>
      </c>
      <c r="D9471">
        <v>15097</v>
      </c>
      <c r="E9471" t="s">
        <v>378</v>
      </c>
    </row>
    <row r="9472" spans="1:5" x14ac:dyDescent="0.25">
      <c r="A9472" s="279">
        <v>39311</v>
      </c>
      <c r="B9472" t="s">
        <v>339</v>
      </c>
      <c r="C9472" t="s">
        <v>76</v>
      </c>
      <c r="D9472">
        <v>8499</v>
      </c>
      <c r="E9472" t="s">
        <v>380</v>
      </c>
    </row>
    <row r="9473" spans="1:5" x14ac:dyDescent="0.25">
      <c r="A9473" s="279">
        <v>39311</v>
      </c>
      <c r="B9473" t="s">
        <v>339</v>
      </c>
      <c r="C9473" t="s">
        <v>77</v>
      </c>
      <c r="D9473">
        <v>7198</v>
      </c>
      <c r="E9473" t="s">
        <v>378</v>
      </c>
    </row>
    <row r="9474" spans="1:5" x14ac:dyDescent="0.25">
      <c r="A9474" s="279">
        <v>39311</v>
      </c>
      <c r="B9474" t="s">
        <v>339</v>
      </c>
      <c r="C9474" t="s">
        <v>78</v>
      </c>
      <c r="D9474">
        <v>0</v>
      </c>
      <c r="E9474" t="s">
        <v>380</v>
      </c>
    </row>
    <row r="9475" spans="1:5" x14ac:dyDescent="0.25">
      <c r="A9475" s="279">
        <v>39311</v>
      </c>
      <c r="B9475" t="s">
        <v>339</v>
      </c>
      <c r="C9475" t="s">
        <v>79</v>
      </c>
      <c r="D9475">
        <v>86266</v>
      </c>
      <c r="E9475" t="s">
        <v>379</v>
      </c>
    </row>
    <row r="9476" spans="1:5" x14ac:dyDescent="0.25">
      <c r="A9476" s="279">
        <v>39311</v>
      </c>
      <c r="B9476" t="s">
        <v>339</v>
      </c>
      <c r="C9476" t="s">
        <v>70</v>
      </c>
      <c r="D9476">
        <v>0</v>
      </c>
      <c r="E9476" t="s">
        <v>379</v>
      </c>
    </row>
    <row r="9477" spans="1:5" x14ac:dyDescent="0.25">
      <c r="A9477" s="279">
        <v>39311</v>
      </c>
      <c r="B9477" t="s">
        <v>339</v>
      </c>
      <c r="C9477" t="s">
        <v>63</v>
      </c>
      <c r="D9477">
        <v>17137</v>
      </c>
      <c r="E9477" t="s">
        <v>378</v>
      </c>
    </row>
    <row r="9478" spans="1:5" x14ac:dyDescent="0.25">
      <c r="A9478" s="279">
        <v>39311</v>
      </c>
      <c r="B9478" t="s">
        <v>339</v>
      </c>
      <c r="C9478" t="s">
        <v>80</v>
      </c>
      <c r="D9478">
        <v>788</v>
      </c>
      <c r="E9478" t="s">
        <v>379</v>
      </c>
    </row>
    <row r="9479" spans="1:5" x14ac:dyDescent="0.25">
      <c r="A9479" s="279">
        <v>39312</v>
      </c>
      <c r="B9479" t="s">
        <v>338</v>
      </c>
      <c r="C9479" t="s">
        <v>59</v>
      </c>
      <c r="D9479">
        <v>2583</v>
      </c>
      <c r="E9479" t="s">
        <v>378</v>
      </c>
    </row>
    <row r="9480" spans="1:5" x14ac:dyDescent="0.25">
      <c r="A9480" s="279">
        <v>39312</v>
      </c>
      <c r="B9480" t="s">
        <v>338</v>
      </c>
      <c r="C9480" t="s">
        <v>60</v>
      </c>
      <c r="D9480">
        <v>0</v>
      </c>
      <c r="E9480" t="s">
        <v>379</v>
      </c>
    </row>
    <row r="9481" spans="1:5" x14ac:dyDescent="0.25">
      <c r="A9481" s="279">
        <v>39312</v>
      </c>
      <c r="B9481" t="s">
        <v>338</v>
      </c>
      <c r="C9481" t="s">
        <v>61</v>
      </c>
      <c r="D9481">
        <v>7676</v>
      </c>
      <c r="E9481" t="s">
        <v>378</v>
      </c>
    </row>
    <row r="9482" spans="1:5" x14ac:dyDescent="0.25">
      <c r="A9482" s="279">
        <v>39312</v>
      </c>
      <c r="B9482" t="s">
        <v>338</v>
      </c>
      <c r="C9482" t="s">
        <v>62</v>
      </c>
      <c r="D9482">
        <v>0</v>
      </c>
      <c r="E9482" t="s">
        <v>380</v>
      </c>
    </row>
    <row r="9483" spans="1:5" x14ac:dyDescent="0.25">
      <c r="A9483" s="279">
        <v>39312</v>
      </c>
      <c r="B9483" t="s">
        <v>338</v>
      </c>
      <c r="C9483" t="s">
        <v>63</v>
      </c>
      <c r="D9483">
        <v>0</v>
      </c>
      <c r="E9483" t="s">
        <v>378</v>
      </c>
    </row>
    <row r="9484" spans="1:5" x14ac:dyDescent="0.25">
      <c r="A9484" s="279">
        <v>39312</v>
      </c>
      <c r="B9484" t="s">
        <v>338</v>
      </c>
      <c r="C9484" t="s">
        <v>64</v>
      </c>
      <c r="D9484">
        <v>0</v>
      </c>
      <c r="E9484" t="s">
        <v>380</v>
      </c>
    </row>
    <row r="9485" spans="1:5" x14ac:dyDescent="0.25">
      <c r="A9485" s="279">
        <v>39312</v>
      </c>
      <c r="B9485" t="s">
        <v>338</v>
      </c>
      <c r="C9485" t="s">
        <v>65</v>
      </c>
      <c r="D9485">
        <v>0</v>
      </c>
      <c r="E9485" t="s">
        <v>378</v>
      </c>
    </row>
    <row r="9486" spans="1:5" x14ac:dyDescent="0.25">
      <c r="A9486" s="279">
        <v>39312</v>
      </c>
      <c r="B9486" t="s">
        <v>338</v>
      </c>
      <c r="C9486" t="s">
        <v>66</v>
      </c>
      <c r="D9486">
        <v>0</v>
      </c>
      <c r="E9486" t="s">
        <v>380</v>
      </c>
    </row>
    <row r="9487" spans="1:5" x14ac:dyDescent="0.25">
      <c r="A9487" s="279">
        <v>39312</v>
      </c>
      <c r="B9487" t="s">
        <v>338</v>
      </c>
      <c r="C9487" t="s">
        <v>120</v>
      </c>
      <c r="D9487">
        <v>12280</v>
      </c>
      <c r="E9487" t="s">
        <v>378</v>
      </c>
    </row>
    <row r="9488" spans="1:5" x14ac:dyDescent="0.25">
      <c r="A9488" s="279">
        <v>39312</v>
      </c>
      <c r="B9488" t="s">
        <v>338</v>
      </c>
      <c r="C9488" t="s">
        <v>121</v>
      </c>
      <c r="D9488">
        <v>0</v>
      </c>
      <c r="E9488" t="s">
        <v>380</v>
      </c>
    </row>
    <row r="9489" spans="1:5" x14ac:dyDescent="0.25">
      <c r="A9489" s="279">
        <v>39312</v>
      </c>
      <c r="B9489" t="s">
        <v>338</v>
      </c>
      <c r="C9489" t="s">
        <v>67</v>
      </c>
      <c r="D9489">
        <v>0</v>
      </c>
      <c r="E9489" t="s">
        <v>378</v>
      </c>
    </row>
    <row r="9490" spans="1:5" x14ac:dyDescent="0.25">
      <c r="A9490" s="279">
        <v>39312</v>
      </c>
      <c r="B9490" t="s">
        <v>338</v>
      </c>
      <c r="C9490" t="s">
        <v>68</v>
      </c>
      <c r="D9490">
        <v>0</v>
      </c>
      <c r="E9490" t="s">
        <v>380</v>
      </c>
    </row>
    <row r="9491" spans="1:5" x14ac:dyDescent="0.25">
      <c r="A9491" s="279">
        <v>39312</v>
      </c>
      <c r="B9491" t="s">
        <v>338</v>
      </c>
      <c r="C9491" t="s">
        <v>69</v>
      </c>
      <c r="D9491">
        <v>0</v>
      </c>
      <c r="E9491" t="s">
        <v>379</v>
      </c>
    </row>
    <row r="9492" spans="1:5" x14ac:dyDescent="0.25">
      <c r="A9492" s="279">
        <v>39312</v>
      </c>
      <c r="B9492" t="s">
        <v>338</v>
      </c>
      <c r="C9492" t="s">
        <v>70</v>
      </c>
      <c r="D9492">
        <v>0</v>
      </c>
      <c r="E9492" t="s">
        <v>379</v>
      </c>
    </row>
    <row r="9493" spans="1:5" x14ac:dyDescent="0.25">
      <c r="A9493" s="279">
        <v>39312</v>
      </c>
      <c r="B9493" t="s">
        <v>338</v>
      </c>
      <c r="C9493" t="s">
        <v>80</v>
      </c>
      <c r="D9493">
        <v>186</v>
      </c>
      <c r="E9493" t="s">
        <v>379</v>
      </c>
    </row>
    <row r="9494" spans="1:5" x14ac:dyDescent="0.25">
      <c r="A9494" s="279">
        <v>39312</v>
      </c>
      <c r="B9494" t="s">
        <v>339</v>
      </c>
      <c r="C9494" t="s">
        <v>71</v>
      </c>
      <c r="D9494">
        <v>1916</v>
      </c>
      <c r="E9494" t="s">
        <v>378</v>
      </c>
    </row>
    <row r="9495" spans="1:5" x14ac:dyDescent="0.25">
      <c r="A9495" s="279">
        <v>39312</v>
      </c>
      <c r="B9495" t="s">
        <v>339</v>
      </c>
      <c r="C9495" t="s">
        <v>72</v>
      </c>
      <c r="D9495">
        <v>0</v>
      </c>
      <c r="E9495" t="s">
        <v>380</v>
      </c>
    </row>
    <row r="9496" spans="1:5" x14ac:dyDescent="0.25">
      <c r="A9496" s="279">
        <v>39312</v>
      </c>
      <c r="B9496" t="s">
        <v>339</v>
      </c>
      <c r="C9496" t="s">
        <v>73</v>
      </c>
      <c r="D9496">
        <v>17029</v>
      </c>
      <c r="E9496" t="s">
        <v>378</v>
      </c>
    </row>
    <row r="9497" spans="1:5" x14ac:dyDescent="0.25">
      <c r="A9497" s="279">
        <v>39312</v>
      </c>
      <c r="B9497" t="s">
        <v>339</v>
      </c>
      <c r="C9497" t="s">
        <v>74</v>
      </c>
      <c r="D9497">
        <v>0</v>
      </c>
      <c r="E9497" t="s">
        <v>380</v>
      </c>
    </row>
    <row r="9498" spans="1:5" x14ac:dyDescent="0.25">
      <c r="A9498" s="279">
        <v>39312</v>
      </c>
      <c r="B9498" t="s">
        <v>339</v>
      </c>
      <c r="C9498" t="s">
        <v>75</v>
      </c>
      <c r="D9498">
        <v>15287</v>
      </c>
      <c r="E9498" t="s">
        <v>378</v>
      </c>
    </row>
    <row r="9499" spans="1:5" x14ac:dyDescent="0.25">
      <c r="A9499" s="279">
        <v>39312</v>
      </c>
      <c r="B9499" t="s">
        <v>339</v>
      </c>
      <c r="C9499" t="s">
        <v>76</v>
      </c>
      <c r="D9499">
        <v>10401</v>
      </c>
      <c r="E9499" t="s">
        <v>380</v>
      </c>
    </row>
    <row r="9500" spans="1:5" x14ac:dyDescent="0.25">
      <c r="A9500" s="279">
        <v>39312</v>
      </c>
      <c r="B9500" t="s">
        <v>339</v>
      </c>
      <c r="C9500" t="s">
        <v>77</v>
      </c>
      <c r="D9500">
        <v>7289</v>
      </c>
      <c r="E9500" t="s">
        <v>378</v>
      </c>
    </row>
    <row r="9501" spans="1:5" x14ac:dyDescent="0.25">
      <c r="A9501" s="279">
        <v>39312</v>
      </c>
      <c r="B9501" t="s">
        <v>339</v>
      </c>
      <c r="C9501" t="s">
        <v>78</v>
      </c>
      <c r="D9501">
        <v>0</v>
      </c>
      <c r="E9501" t="s">
        <v>380</v>
      </c>
    </row>
    <row r="9502" spans="1:5" x14ac:dyDescent="0.25">
      <c r="A9502" s="279">
        <v>39312</v>
      </c>
      <c r="B9502" t="s">
        <v>339</v>
      </c>
      <c r="C9502" t="s">
        <v>79</v>
      </c>
      <c r="D9502">
        <v>87350</v>
      </c>
      <c r="E9502" t="s">
        <v>379</v>
      </c>
    </row>
    <row r="9503" spans="1:5" x14ac:dyDescent="0.25">
      <c r="A9503" s="279">
        <v>39312</v>
      </c>
      <c r="B9503" t="s">
        <v>339</v>
      </c>
      <c r="C9503" t="s">
        <v>70</v>
      </c>
      <c r="D9503">
        <v>0</v>
      </c>
      <c r="E9503" t="s">
        <v>379</v>
      </c>
    </row>
    <row r="9504" spans="1:5" x14ac:dyDescent="0.25">
      <c r="A9504" s="279">
        <v>39312</v>
      </c>
      <c r="B9504" t="s">
        <v>339</v>
      </c>
      <c r="C9504" t="s">
        <v>63</v>
      </c>
      <c r="D9504">
        <v>17353</v>
      </c>
      <c r="E9504" t="s">
        <v>378</v>
      </c>
    </row>
    <row r="9505" spans="1:5" x14ac:dyDescent="0.25">
      <c r="A9505" s="279">
        <v>39312</v>
      </c>
      <c r="B9505" t="s">
        <v>339</v>
      </c>
      <c r="C9505" t="s">
        <v>80</v>
      </c>
      <c r="D9505">
        <v>798</v>
      </c>
      <c r="E9505" t="s">
        <v>379</v>
      </c>
    </row>
    <row r="9506" spans="1:5" x14ac:dyDescent="0.25">
      <c r="A9506" s="279">
        <v>39313</v>
      </c>
      <c r="B9506" t="s">
        <v>338</v>
      </c>
      <c r="C9506" t="s">
        <v>59</v>
      </c>
      <c r="D9506">
        <v>2578</v>
      </c>
      <c r="E9506" t="s">
        <v>378</v>
      </c>
    </row>
    <row r="9507" spans="1:5" x14ac:dyDescent="0.25">
      <c r="A9507" s="279">
        <v>39313</v>
      </c>
      <c r="B9507" t="s">
        <v>338</v>
      </c>
      <c r="C9507" t="s">
        <v>60</v>
      </c>
      <c r="D9507">
        <v>0</v>
      </c>
      <c r="E9507" t="s">
        <v>379</v>
      </c>
    </row>
    <row r="9508" spans="1:5" x14ac:dyDescent="0.25">
      <c r="A9508" s="279">
        <v>39313</v>
      </c>
      <c r="B9508" t="s">
        <v>338</v>
      </c>
      <c r="C9508" t="s">
        <v>61</v>
      </c>
      <c r="D9508">
        <v>7631</v>
      </c>
      <c r="E9508" t="s">
        <v>378</v>
      </c>
    </row>
    <row r="9509" spans="1:5" x14ac:dyDescent="0.25">
      <c r="A9509" s="279">
        <v>39313</v>
      </c>
      <c r="B9509" t="s">
        <v>338</v>
      </c>
      <c r="C9509" t="s">
        <v>62</v>
      </c>
      <c r="D9509">
        <v>0</v>
      </c>
      <c r="E9509" t="s">
        <v>380</v>
      </c>
    </row>
    <row r="9510" spans="1:5" x14ac:dyDescent="0.25">
      <c r="A9510" s="279">
        <v>39313</v>
      </c>
      <c r="B9510" t="s">
        <v>338</v>
      </c>
      <c r="C9510" t="s">
        <v>63</v>
      </c>
      <c r="D9510">
        <v>0</v>
      </c>
      <c r="E9510" t="s">
        <v>378</v>
      </c>
    </row>
    <row r="9511" spans="1:5" x14ac:dyDescent="0.25">
      <c r="A9511" s="279">
        <v>39313</v>
      </c>
      <c r="B9511" t="s">
        <v>338</v>
      </c>
      <c r="C9511" t="s">
        <v>64</v>
      </c>
      <c r="D9511">
        <v>0</v>
      </c>
      <c r="E9511" t="s">
        <v>380</v>
      </c>
    </row>
    <row r="9512" spans="1:5" x14ac:dyDescent="0.25">
      <c r="A9512" s="279">
        <v>39313</v>
      </c>
      <c r="B9512" t="s">
        <v>338</v>
      </c>
      <c r="C9512" t="s">
        <v>65</v>
      </c>
      <c r="D9512">
        <v>0</v>
      </c>
      <c r="E9512" t="s">
        <v>378</v>
      </c>
    </row>
    <row r="9513" spans="1:5" x14ac:dyDescent="0.25">
      <c r="A9513" s="279">
        <v>39313</v>
      </c>
      <c r="B9513" t="s">
        <v>338</v>
      </c>
      <c r="C9513" t="s">
        <v>66</v>
      </c>
      <c r="D9513">
        <v>0</v>
      </c>
      <c r="E9513" t="s">
        <v>380</v>
      </c>
    </row>
    <row r="9514" spans="1:5" x14ac:dyDescent="0.25">
      <c r="A9514" s="279">
        <v>39313</v>
      </c>
      <c r="B9514" t="s">
        <v>338</v>
      </c>
      <c r="C9514" t="s">
        <v>120</v>
      </c>
      <c r="D9514">
        <v>12256</v>
      </c>
      <c r="E9514" t="s">
        <v>378</v>
      </c>
    </row>
    <row r="9515" spans="1:5" x14ac:dyDescent="0.25">
      <c r="A9515" s="279">
        <v>39313</v>
      </c>
      <c r="B9515" t="s">
        <v>338</v>
      </c>
      <c r="C9515" t="s">
        <v>121</v>
      </c>
      <c r="D9515">
        <v>0</v>
      </c>
      <c r="E9515" t="s">
        <v>380</v>
      </c>
    </row>
    <row r="9516" spans="1:5" x14ac:dyDescent="0.25">
      <c r="A9516" s="279">
        <v>39313</v>
      </c>
      <c r="B9516" t="s">
        <v>338</v>
      </c>
      <c r="C9516" t="s">
        <v>67</v>
      </c>
      <c r="D9516">
        <v>0</v>
      </c>
      <c r="E9516" t="s">
        <v>378</v>
      </c>
    </row>
    <row r="9517" spans="1:5" x14ac:dyDescent="0.25">
      <c r="A9517" s="279">
        <v>39313</v>
      </c>
      <c r="B9517" t="s">
        <v>338</v>
      </c>
      <c r="C9517" t="s">
        <v>68</v>
      </c>
      <c r="D9517">
        <v>0</v>
      </c>
      <c r="E9517" t="s">
        <v>380</v>
      </c>
    </row>
    <row r="9518" spans="1:5" x14ac:dyDescent="0.25">
      <c r="A9518" s="279">
        <v>39313</v>
      </c>
      <c r="B9518" t="s">
        <v>338</v>
      </c>
      <c r="C9518" t="s">
        <v>69</v>
      </c>
      <c r="D9518">
        <v>0</v>
      </c>
      <c r="E9518" t="s">
        <v>379</v>
      </c>
    </row>
    <row r="9519" spans="1:5" x14ac:dyDescent="0.25">
      <c r="A9519" s="279">
        <v>39313</v>
      </c>
      <c r="B9519" t="s">
        <v>338</v>
      </c>
      <c r="C9519" t="s">
        <v>70</v>
      </c>
      <c r="D9519">
        <v>0</v>
      </c>
      <c r="E9519" t="s">
        <v>379</v>
      </c>
    </row>
    <row r="9520" spans="1:5" x14ac:dyDescent="0.25">
      <c r="A9520" s="279">
        <v>39313</v>
      </c>
      <c r="B9520" t="s">
        <v>338</v>
      </c>
      <c r="C9520" t="s">
        <v>80</v>
      </c>
      <c r="D9520">
        <v>185</v>
      </c>
      <c r="E9520" t="s">
        <v>379</v>
      </c>
    </row>
    <row r="9521" spans="1:5" x14ac:dyDescent="0.25">
      <c r="A9521" s="279">
        <v>39313</v>
      </c>
      <c r="B9521" t="s">
        <v>339</v>
      </c>
      <c r="C9521" t="s">
        <v>71</v>
      </c>
      <c r="D9521">
        <v>1916</v>
      </c>
      <c r="E9521" t="s">
        <v>378</v>
      </c>
    </row>
    <row r="9522" spans="1:5" x14ac:dyDescent="0.25">
      <c r="A9522" s="279">
        <v>39313</v>
      </c>
      <c r="B9522" t="s">
        <v>339</v>
      </c>
      <c r="C9522" t="s">
        <v>72</v>
      </c>
      <c r="D9522">
        <v>0</v>
      </c>
      <c r="E9522" t="s">
        <v>380</v>
      </c>
    </row>
    <row r="9523" spans="1:5" x14ac:dyDescent="0.25">
      <c r="A9523" s="279">
        <v>39313</v>
      </c>
      <c r="B9523" t="s">
        <v>339</v>
      </c>
      <c r="C9523" t="s">
        <v>73</v>
      </c>
      <c r="D9523">
        <v>17029</v>
      </c>
      <c r="E9523" t="s">
        <v>378</v>
      </c>
    </row>
    <row r="9524" spans="1:5" x14ac:dyDescent="0.25">
      <c r="A9524" s="279">
        <v>39313</v>
      </c>
      <c r="B9524" t="s">
        <v>339</v>
      </c>
      <c r="C9524" t="s">
        <v>74</v>
      </c>
      <c r="D9524">
        <v>0</v>
      </c>
      <c r="E9524" t="s">
        <v>380</v>
      </c>
    </row>
    <row r="9525" spans="1:5" x14ac:dyDescent="0.25">
      <c r="A9525" s="279">
        <v>39313</v>
      </c>
      <c r="B9525" t="s">
        <v>339</v>
      </c>
      <c r="C9525" t="s">
        <v>75</v>
      </c>
      <c r="D9525">
        <v>15287</v>
      </c>
      <c r="E9525" t="s">
        <v>378</v>
      </c>
    </row>
    <row r="9526" spans="1:5" x14ac:dyDescent="0.25">
      <c r="A9526" s="279">
        <v>39313</v>
      </c>
      <c r="B9526" t="s">
        <v>339</v>
      </c>
      <c r="C9526" t="s">
        <v>76</v>
      </c>
      <c r="D9526">
        <v>11903</v>
      </c>
      <c r="E9526" t="s">
        <v>380</v>
      </c>
    </row>
    <row r="9527" spans="1:5" x14ac:dyDescent="0.25">
      <c r="A9527" s="279">
        <v>39313</v>
      </c>
      <c r="B9527" t="s">
        <v>339</v>
      </c>
      <c r="C9527" t="s">
        <v>77</v>
      </c>
      <c r="D9527">
        <v>7289</v>
      </c>
      <c r="E9527" t="s">
        <v>378</v>
      </c>
    </row>
    <row r="9528" spans="1:5" x14ac:dyDescent="0.25">
      <c r="A9528" s="279">
        <v>39313</v>
      </c>
      <c r="B9528" t="s">
        <v>339</v>
      </c>
      <c r="C9528" t="s">
        <v>78</v>
      </c>
      <c r="D9528">
        <v>0</v>
      </c>
      <c r="E9528" t="s">
        <v>380</v>
      </c>
    </row>
    <row r="9529" spans="1:5" x14ac:dyDescent="0.25">
      <c r="A9529" s="279">
        <v>39313</v>
      </c>
      <c r="B9529" t="s">
        <v>339</v>
      </c>
      <c r="C9529" t="s">
        <v>79</v>
      </c>
      <c r="D9529">
        <v>87350</v>
      </c>
      <c r="E9529" t="s">
        <v>379</v>
      </c>
    </row>
    <row r="9530" spans="1:5" x14ac:dyDescent="0.25">
      <c r="A9530" s="279">
        <v>39313</v>
      </c>
      <c r="B9530" t="s">
        <v>339</v>
      </c>
      <c r="C9530" t="s">
        <v>70</v>
      </c>
      <c r="D9530">
        <v>0</v>
      </c>
      <c r="E9530" t="s">
        <v>379</v>
      </c>
    </row>
    <row r="9531" spans="1:5" x14ac:dyDescent="0.25">
      <c r="A9531" s="279">
        <v>39313</v>
      </c>
      <c r="B9531" t="s">
        <v>339</v>
      </c>
      <c r="C9531" t="s">
        <v>63</v>
      </c>
      <c r="D9531">
        <v>17353</v>
      </c>
      <c r="E9531" t="s">
        <v>378</v>
      </c>
    </row>
    <row r="9532" spans="1:5" x14ac:dyDescent="0.25">
      <c r="A9532" s="279">
        <v>39313</v>
      </c>
      <c r="B9532" t="s">
        <v>339</v>
      </c>
      <c r="C9532" t="s">
        <v>80</v>
      </c>
      <c r="D9532">
        <v>798</v>
      </c>
      <c r="E9532" t="s">
        <v>379</v>
      </c>
    </row>
    <row r="9533" spans="1:5" x14ac:dyDescent="0.25">
      <c r="A9533" s="279">
        <v>39314</v>
      </c>
      <c r="B9533" t="s">
        <v>338</v>
      </c>
      <c r="C9533" t="s">
        <v>59</v>
      </c>
      <c r="D9533">
        <v>2578</v>
      </c>
      <c r="E9533" t="s">
        <v>378</v>
      </c>
    </row>
    <row r="9534" spans="1:5" x14ac:dyDescent="0.25">
      <c r="A9534" s="279">
        <v>39314</v>
      </c>
      <c r="B9534" t="s">
        <v>338</v>
      </c>
      <c r="C9534" t="s">
        <v>60</v>
      </c>
      <c r="D9534">
        <v>0</v>
      </c>
      <c r="E9534" t="s">
        <v>379</v>
      </c>
    </row>
    <row r="9535" spans="1:5" x14ac:dyDescent="0.25">
      <c r="A9535" s="279">
        <v>39314</v>
      </c>
      <c r="B9535" t="s">
        <v>338</v>
      </c>
      <c r="C9535" t="s">
        <v>61</v>
      </c>
      <c r="D9535">
        <v>7582</v>
      </c>
      <c r="E9535" t="s">
        <v>378</v>
      </c>
    </row>
    <row r="9536" spans="1:5" x14ac:dyDescent="0.25">
      <c r="A9536" s="279">
        <v>39314</v>
      </c>
      <c r="B9536" t="s">
        <v>338</v>
      </c>
      <c r="C9536" t="s">
        <v>62</v>
      </c>
      <c r="D9536">
        <v>0</v>
      </c>
      <c r="E9536" t="s">
        <v>380</v>
      </c>
    </row>
    <row r="9537" spans="1:5" x14ac:dyDescent="0.25">
      <c r="A9537" s="279">
        <v>39314</v>
      </c>
      <c r="B9537" t="s">
        <v>338</v>
      </c>
      <c r="C9537" t="s">
        <v>63</v>
      </c>
      <c r="D9537">
        <v>0</v>
      </c>
      <c r="E9537" t="s">
        <v>378</v>
      </c>
    </row>
    <row r="9538" spans="1:5" x14ac:dyDescent="0.25">
      <c r="A9538" s="279">
        <v>39314</v>
      </c>
      <c r="B9538" t="s">
        <v>338</v>
      </c>
      <c r="C9538" t="s">
        <v>64</v>
      </c>
      <c r="D9538">
        <v>0</v>
      </c>
      <c r="E9538" t="s">
        <v>380</v>
      </c>
    </row>
    <row r="9539" spans="1:5" x14ac:dyDescent="0.25">
      <c r="A9539" s="279">
        <v>39314</v>
      </c>
      <c r="B9539" t="s">
        <v>338</v>
      </c>
      <c r="C9539" t="s">
        <v>65</v>
      </c>
      <c r="D9539">
        <v>0</v>
      </c>
      <c r="E9539" t="s">
        <v>378</v>
      </c>
    </row>
    <row r="9540" spans="1:5" x14ac:dyDescent="0.25">
      <c r="A9540" s="279">
        <v>39314</v>
      </c>
      <c r="B9540" t="s">
        <v>338</v>
      </c>
      <c r="C9540" t="s">
        <v>66</v>
      </c>
      <c r="D9540">
        <v>0</v>
      </c>
      <c r="E9540" t="s">
        <v>380</v>
      </c>
    </row>
    <row r="9541" spans="1:5" x14ac:dyDescent="0.25">
      <c r="A9541" s="279">
        <v>39314</v>
      </c>
      <c r="B9541" t="s">
        <v>338</v>
      </c>
      <c r="C9541" t="s">
        <v>120</v>
      </c>
      <c r="D9541">
        <v>12256</v>
      </c>
      <c r="E9541" t="s">
        <v>378</v>
      </c>
    </row>
    <row r="9542" spans="1:5" x14ac:dyDescent="0.25">
      <c r="A9542" s="279">
        <v>39314</v>
      </c>
      <c r="B9542" t="s">
        <v>338</v>
      </c>
      <c r="C9542" t="s">
        <v>121</v>
      </c>
      <c r="D9542">
        <v>0</v>
      </c>
      <c r="E9542" t="s">
        <v>380</v>
      </c>
    </row>
    <row r="9543" spans="1:5" x14ac:dyDescent="0.25">
      <c r="A9543" s="279">
        <v>39314</v>
      </c>
      <c r="B9543" t="s">
        <v>338</v>
      </c>
      <c r="C9543" t="s">
        <v>67</v>
      </c>
      <c r="D9543">
        <v>0</v>
      </c>
      <c r="E9543" t="s">
        <v>378</v>
      </c>
    </row>
    <row r="9544" spans="1:5" x14ac:dyDescent="0.25">
      <c r="A9544" s="279">
        <v>39314</v>
      </c>
      <c r="B9544" t="s">
        <v>338</v>
      </c>
      <c r="C9544" t="s">
        <v>68</v>
      </c>
      <c r="D9544">
        <v>0</v>
      </c>
      <c r="E9544" t="s">
        <v>380</v>
      </c>
    </row>
    <row r="9545" spans="1:5" x14ac:dyDescent="0.25">
      <c r="A9545" s="279">
        <v>39314</v>
      </c>
      <c r="B9545" t="s">
        <v>338</v>
      </c>
      <c r="C9545" t="s">
        <v>69</v>
      </c>
      <c r="D9545">
        <v>0</v>
      </c>
      <c r="E9545" t="s">
        <v>379</v>
      </c>
    </row>
    <row r="9546" spans="1:5" x14ac:dyDescent="0.25">
      <c r="A9546" s="279">
        <v>39314</v>
      </c>
      <c r="B9546" t="s">
        <v>338</v>
      </c>
      <c r="C9546" t="s">
        <v>70</v>
      </c>
      <c r="D9546">
        <v>0</v>
      </c>
      <c r="E9546" t="s">
        <v>379</v>
      </c>
    </row>
    <row r="9547" spans="1:5" x14ac:dyDescent="0.25">
      <c r="A9547" s="279">
        <v>39314</v>
      </c>
      <c r="B9547" t="s">
        <v>338</v>
      </c>
      <c r="C9547" t="s">
        <v>80</v>
      </c>
      <c r="D9547">
        <v>185</v>
      </c>
      <c r="E9547" t="s">
        <v>379</v>
      </c>
    </row>
    <row r="9548" spans="1:5" x14ac:dyDescent="0.25">
      <c r="A9548" s="279">
        <v>39314</v>
      </c>
      <c r="B9548" t="s">
        <v>339</v>
      </c>
      <c r="C9548" t="s">
        <v>71</v>
      </c>
      <c r="D9548">
        <v>1918</v>
      </c>
      <c r="E9548" t="s">
        <v>378</v>
      </c>
    </row>
    <row r="9549" spans="1:5" x14ac:dyDescent="0.25">
      <c r="A9549" s="279">
        <v>39314</v>
      </c>
      <c r="B9549" t="s">
        <v>339</v>
      </c>
      <c r="C9549" t="s">
        <v>72</v>
      </c>
      <c r="D9549">
        <v>0</v>
      </c>
      <c r="E9549" t="s">
        <v>380</v>
      </c>
    </row>
    <row r="9550" spans="1:5" x14ac:dyDescent="0.25">
      <c r="A9550" s="279">
        <v>39314</v>
      </c>
      <c r="B9550" t="s">
        <v>339</v>
      </c>
      <c r="C9550" t="s">
        <v>73</v>
      </c>
      <c r="D9550">
        <v>17045</v>
      </c>
      <c r="E9550" t="s">
        <v>378</v>
      </c>
    </row>
    <row r="9551" spans="1:5" x14ac:dyDescent="0.25">
      <c r="A9551" s="279">
        <v>39314</v>
      </c>
      <c r="B9551" t="s">
        <v>339</v>
      </c>
      <c r="C9551" t="s">
        <v>74</v>
      </c>
      <c r="D9551">
        <v>0</v>
      </c>
      <c r="E9551" t="s">
        <v>380</v>
      </c>
    </row>
    <row r="9552" spans="1:5" x14ac:dyDescent="0.25">
      <c r="A9552" s="279">
        <v>39314</v>
      </c>
      <c r="B9552" t="s">
        <v>339</v>
      </c>
      <c r="C9552" t="s">
        <v>75</v>
      </c>
      <c r="D9552">
        <v>15301</v>
      </c>
      <c r="E9552" t="s">
        <v>378</v>
      </c>
    </row>
    <row r="9553" spans="1:5" x14ac:dyDescent="0.25">
      <c r="A9553" s="279">
        <v>39314</v>
      </c>
      <c r="B9553" t="s">
        <v>339</v>
      </c>
      <c r="C9553" t="s">
        <v>76</v>
      </c>
      <c r="D9553">
        <v>12838</v>
      </c>
      <c r="E9553" t="s">
        <v>380</v>
      </c>
    </row>
    <row r="9554" spans="1:5" x14ac:dyDescent="0.25">
      <c r="A9554" s="279">
        <v>39314</v>
      </c>
      <c r="B9554" t="s">
        <v>339</v>
      </c>
      <c r="C9554" t="s">
        <v>77</v>
      </c>
      <c r="D9554">
        <v>7296</v>
      </c>
      <c r="E9554" t="s">
        <v>378</v>
      </c>
    </row>
    <row r="9555" spans="1:5" x14ac:dyDescent="0.25">
      <c r="A9555" s="279">
        <v>39314</v>
      </c>
      <c r="B9555" t="s">
        <v>339</v>
      </c>
      <c r="C9555" t="s">
        <v>78</v>
      </c>
      <c r="D9555">
        <v>0</v>
      </c>
      <c r="E9555" t="s">
        <v>380</v>
      </c>
    </row>
    <row r="9556" spans="1:5" x14ac:dyDescent="0.25">
      <c r="A9556" s="279">
        <v>39314</v>
      </c>
      <c r="B9556" t="s">
        <v>339</v>
      </c>
      <c r="C9556" t="s">
        <v>79</v>
      </c>
      <c r="D9556">
        <v>87434</v>
      </c>
      <c r="E9556" t="s">
        <v>379</v>
      </c>
    </row>
    <row r="9557" spans="1:5" x14ac:dyDescent="0.25">
      <c r="A9557" s="279">
        <v>39314</v>
      </c>
      <c r="B9557" t="s">
        <v>339</v>
      </c>
      <c r="C9557" t="s">
        <v>70</v>
      </c>
      <c r="D9557">
        <v>0</v>
      </c>
      <c r="E9557" t="s">
        <v>379</v>
      </c>
    </row>
    <row r="9558" spans="1:5" x14ac:dyDescent="0.25">
      <c r="A9558" s="279">
        <v>39314</v>
      </c>
      <c r="B9558" t="s">
        <v>339</v>
      </c>
      <c r="C9558" t="s">
        <v>63</v>
      </c>
      <c r="D9558">
        <v>17369</v>
      </c>
      <c r="E9558" t="s">
        <v>378</v>
      </c>
    </row>
    <row r="9559" spans="1:5" x14ac:dyDescent="0.25">
      <c r="A9559" s="279">
        <v>39314</v>
      </c>
      <c r="B9559" t="s">
        <v>339</v>
      </c>
      <c r="C9559" t="s">
        <v>80</v>
      </c>
      <c r="D9559">
        <v>799</v>
      </c>
      <c r="E9559" t="s">
        <v>379</v>
      </c>
    </row>
    <row r="9560" spans="1:5" x14ac:dyDescent="0.25">
      <c r="A9560" s="279">
        <v>39315</v>
      </c>
      <c r="B9560" t="s">
        <v>338</v>
      </c>
      <c r="C9560" t="s">
        <v>59</v>
      </c>
      <c r="D9560">
        <v>2560</v>
      </c>
      <c r="E9560" t="s">
        <v>378</v>
      </c>
    </row>
    <row r="9561" spans="1:5" x14ac:dyDescent="0.25">
      <c r="A9561" s="279">
        <v>39315</v>
      </c>
      <c r="B9561" t="s">
        <v>338</v>
      </c>
      <c r="C9561" t="s">
        <v>60</v>
      </c>
      <c r="D9561">
        <v>0</v>
      </c>
      <c r="E9561" t="s">
        <v>379</v>
      </c>
    </row>
    <row r="9562" spans="1:5" x14ac:dyDescent="0.25">
      <c r="A9562" s="279">
        <v>39315</v>
      </c>
      <c r="B9562" t="s">
        <v>338</v>
      </c>
      <c r="C9562" t="s">
        <v>61</v>
      </c>
      <c r="D9562">
        <v>7498</v>
      </c>
      <c r="E9562" t="s">
        <v>378</v>
      </c>
    </row>
    <row r="9563" spans="1:5" x14ac:dyDescent="0.25">
      <c r="A9563" s="279">
        <v>39315</v>
      </c>
      <c r="B9563" t="s">
        <v>338</v>
      </c>
      <c r="C9563" t="s">
        <v>62</v>
      </c>
      <c r="D9563">
        <v>0</v>
      </c>
      <c r="E9563" t="s">
        <v>380</v>
      </c>
    </row>
    <row r="9564" spans="1:5" x14ac:dyDescent="0.25">
      <c r="A9564" s="279">
        <v>39315</v>
      </c>
      <c r="B9564" t="s">
        <v>338</v>
      </c>
      <c r="C9564" t="s">
        <v>63</v>
      </c>
      <c r="D9564">
        <v>0</v>
      </c>
      <c r="E9564" t="s">
        <v>378</v>
      </c>
    </row>
    <row r="9565" spans="1:5" x14ac:dyDescent="0.25">
      <c r="A9565" s="279">
        <v>39315</v>
      </c>
      <c r="B9565" t="s">
        <v>338</v>
      </c>
      <c r="C9565" t="s">
        <v>64</v>
      </c>
      <c r="D9565">
        <v>0</v>
      </c>
      <c r="E9565" t="s">
        <v>380</v>
      </c>
    </row>
    <row r="9566" spans="1:5" x14ac:dyDescent="0.25">
      <c r="A9566" s="279">
        <v>39315</v>
      </c>
      <c r="B9566" t="s">
        <v>338</v>
      </c>
      <c r="C9566" t="s">
        <v>65</v>
      </c>
      <c r="D9566">
        <v>0</v>
      </c>
      <c r="E9566" t="s">
        <v>378</v>
      </c>
    </row>
    <row r="9567" spans="1:5" x14ac:dyDescent="0.25">
      <c r="A9567" s="279">
        <v>39315</v>
      </c>
      <c r="B9567" t="s">
        <v>338</v>
      </c>
      <c r="C9567" t="s">
        <v>66</v>
      </c>
      <c r="D9567">
        <v>0</v>
      </c>
      <c r="E9567" t="s">
        <v>380</v>
      </c>
    </row>
    <row r="9568" spans="1:5" x14ac:dyDescent="0.25">
      <c r="A9568" s="279">
        <v>39315</v>
      </c>
      <c r="B9568" t="s">
        <v>338</v>
      </c>
      <c r="C9568" t="s">
        <v>120</v>
      </c>
      <c r="D9568">
        <v>12173</v>
      </c>
      <c r="E9568" t="s">
        <v>378</v>
      </c>
    </row>
    <row r="9569" spans="1:5" x14ac:dyDescent="0.25">
      <c r="A9569" s="279">
        <v>39315</v>
      </c>
      <c r="B9569" t="s">
        <v>338</v>
      </c>
      <c r="C9569" t="s">
        <v>121</v>
      </c>
      <c r="D9569">
        <v>0</v>
      </c>
      <c r="E9569" t="s">
        <v>380</v>
      </c>
    </row>
    <row r="9570" spans="1:5" x14ac:dyDescent="0.25">
      <c r="A9570" s="279">
        <v>39315</v>
      </c>
      <c r="B9570" t="s">
        <v>338</v>
      </c>
      <c r="C9570" t="s">
        <v>67</v>
      </c>
      <c r="D9570">
        <v>0</v>
      </c>
      <c r="E9570" t="s">
        <v>378</v>
      </c>
    </row>
    <row r="9571" spans="1:5" x14ac:dyDescent="0.25">
      <c r="A9571" s="279">
        <v>39315</v>
      </c>
      <c r="B9571" t="s">
        <v>338</v>
      </c>
      <c r="C9571" t="s">
        <v>68</v>
      </c>
      <c r="D9571">
        <v>0</v>
      </c>
      <c r="E9571" t="s">
        <v>380</v>
      </c>
    </row>
    <row r="9572" spans="1:5" x14ac:dyDescent="0.25">
      <c r="A9572" s="279">
        <v>39315</v>
      </c>
      <c r="B9572" t="s">
        <v>338</v>
      </c>
      <c r="C9572" t="s">
        <v>69</v>
      </c>
      <c r="D9572">
        <v>0</v>
      </c>
      <c r="E9572" t="s">
        <v>379</v>
      </c>
    </row>
    <row r="9573" spans="1:5" x14ac:dyDescent="0.25">
      <c r="A9573" s="279">
        <v>39315</v>
      </c>
      <c r="B9573" t="s">
        <v>338</v>
      </c>
      <c r="C9573" t="s">
        <v>70</v>
      </c>
      <c r="D9573">
        <v>0</v>
      </c>
      <c r="E9573" t="s">
        <v>379</v>
      </c>
    </row>
    <row r="9574" spans="1:5" x14ac:dyDescent="0.25">
      <c r="A9574" s="279">
        <v>39315</v>
      </c>
      <c r="B9574" t="s">
        <v>338</v>
      </c>
      <c r="C9574" t="s">
        <v>80</v>
      </c>
      <c r="D9574">
        <v>183</v>
      </c>
      <c r="E9574" t="s">
        <v>379</v>
      </c>
    </row>
    <row r="9575" spans="1:5" x14ac:dyDescent="0.25">
      <c r="A9575" s="279">
        <v>39315</v>
      </c>
      <c r="B9575" t="s">
        <v>339</v>
      </c>
      <c r="C9575" t="s">
        <v>71</v>
      </c>
      <c r="D9575">
        <v>1910</v>
      </c>
      <c r="E9575" t="s">
        <v>378</v>
      </c>
    </row>
    <row r="9576" spans="1:5" x14ac:dyDescent="0.25">
      <c r="A9576" s="279">
        <v>39315</v>
      </c>
      <c r="B9576" t="s">
        <v>339</v>
      </c>
      <c r="C9576" t="s">
        <v>72</v>
      </c>
      <c r="D9576">
        <v>0</v>
      </c>
      <c r="E9576" t="s">
        <v>380</v>
      </c>
    </row>
    <row r="9577" spans="1:5" x14ac:dyDescent="0.25">
      <c r="A9577" s="279">
        <v>39315</v>
      </c>
      <c r="B9577" t="s">
        <v>339</v>
      </c>
      <c r="C9577" t="s">
        <v>73</v>
      </c>
      <c r="D9577">
        <v>16979</v>
      </c>
      <c r="E9577" t="s">
        <v>378</v>
      </c>
    </row>
    <row r="9578" spans="1:5" x14ac:dyDescent="0.25">
      <c r="A9578" s="279">
        <v>39315</v>
      </c>
      <c r="B9578" t="s">
        <v>339</v>
      </c>
      <c r="C9578" t="s">
        <v>74</v>
      </c>
      <c r="D9578">
        <v>0</v>
      </c>
      <c r="E9578" t="s">
        <v>380</v>
      </c>
    </row>
    <row r="9579" spans="1:5" x14ac:dyDescent="0.25">
      <c r="A9579" s="279">
        <v>39315</v>
      </c>
      <c r="B9579" t="s">
        <v>339</v>
      </c>
      <c r="C9579" t="s">
        <v>75</v>
      </c>
      <c r="D9579">
        <v>15242</v>
      </c>
      <c r="E9579" t="s">
        <v>378</v>
      </c>
    </row>
    <row r="9580" spans="1:5" x14ac:dyDescent="0.25">
      <c r="A9580" s="279">
        <v>39315</v>
      </c>
      <c r="B9580" t="s">
        <v>339</v>
      </c>
      <c r="C9580" t="s">
        <v>76</v>
      </c>
      <c r="D9580">
        <v>14662</v>
      </c>
      <c r="E9580" t="s">
        <v>380</v>
      </c>
    </row>
    <row r="9581" spans="1:5" x14ac:dyDescent="0.25">
      <c r="A9581" s="279">
        <v>39315</v>
      </c>
      <c r="B9581" t="s">
        <v>339</v>
      </c>
      <c r="C9581" t="s">
        <v>77</v>
      </c>
      <c r="D9581">
        <v>7268</v>
      </c>
      <c r="E9581" t="s">
        <v>378</v>
      </c>
    </row>
    <row r="9582" spans="1:5" x14ac:dyDescent="0.25">
      <c r="A9582" s="279">
        <v>39315</v>
      </c>
      <c r="B9582" t="s">
        <v>339</v>
      </c>
      <c r="C9582" t="s">
        <v>78</v>
      </c>
      <c r="D9582">
        <v>0</v>
      </c>
      <c r="E9582" t="s">
        <v>380</v>
      </c>
    </row>
    <row r="9583" spans="1:5" x14ac:dyDescent="0.25">
      <c r="A9583" s="279">
        <v>39315</v>
      </c>
      <c r="B9583" t="s">
        <v>339</v>
      </c>
      <c r="C9583" t="s">
        <v>79</v>
      </c>
      <c r="D9583">
        <v>87097</v>
      </c>
      <c r="E9583" t="s">
        <v>379</v>
      </c>
    </row>
    <row r="9584" spans="1:5" x14ac:dyDescent="0.25">
      <c r="A9584" s="279">
        <v>39315</v>
      </c>
      <c r="B9584" t="s">
        <v>339</v>
      </c>
      <c r="C9584" t="s">
        <v>70</v>
      </c>
      <c r="D9584">
        <v>0</v>
      </c>
      <c r="E9584" t="s">
        <v>379</v>
      </c>
    </row>
    <row r="9585" spans="1:5" x14ac:dyDescent="0.25">
      <c r="A9585" s="279">
        <v>39315</v>
      </c>
      <c r="B9585" t="s">
        <v>339</v>
      </c>
      <c r="C9585" t="s">
        <v>63</v>
      </c>
      <c r="D9585">
        <v>17303</v>
      </c>
      <c r="E9585" t="s">
        <v>378</v>
      </c>
    </row>
    <row r="9586" spans="1:5" x14ac:dyDescent="0.25">
      <c r="A9586" s="279">
        <v>39315</v>
      </c>
      <c r="B9586" t="s">
        <v>339</v>
      </c>
      <c r="C9586" t="s">
        <v>80</v>
      </c>
      <c r="D9586">
        <v>796</v>
      </c>
      <c r="E9586" t="s">
        <v>379</v>
      </c>
    </row>
    <row r="9587" spans="1:5" x14ac:dyDescent="0.25">
      <c r="A9587" s="279">
        <v>39316</v>
      </c>
      <c r="B9587" t="s">
        <v>338</v>
      </c>
      <c r="C9587" t="s">
        <v>59</v>
      </c>
      <c r="D9587">
        <v>2580</v>
      </c>
      <c r="E9587" t="s">
        <v>378</v>
      </c>
    </row>
    <row r="9588" spans="1:5" x14ac:dyDescent="0.25">
      <c r="A9588" s="279">
        <v>39316</v>
      </c>
      <c r="B9588" t="s">
        <v>338</v>
      </c>
      <c r="C9588" t="s">
        <v>60</v>
      </c>
      <c r="D9588">
        <v>0</v>
      </c>
      <c r="E9588" t="s">
        <v>379</v>
      </c>
    </row>
    <row r="9589" spans="1:5" x14ac:dyDescent="0.25">
      <c r="A9589" s="279">
        <v>39316</v>
      </c>
      <c r="B9589" t="s">
        <v>338</v>
      </c>
      <c r="C9589" t="s">
        <v>61</v>
      </c>
      <c r="D9589">
        <v>7569</v>
      </c>
      <c r="E9589" t="s">
        <v>378</v>
      </c>
    </row>
    <row r="9590" spans="1:5" x14ac:dyDescent="0.25">
      <c r="A9590" s="279">
        <v>39316</v>
      </c>
      <c r="B9590" t="s">
        <v>338</v>
      </c>
      <c r="C9590" t="s">
        <v>62</v>
      </c>
      <c r="D9590">
        <v>0</v>
      </c>
      <c r="E9590" t="s">
        <v>380</v>
      </c>
    </row>
    <row r="9591" spans="1:5" x14ac:dyDescent="0.25">
      <c r="A9591" s="279">
        <v>39316</v>
      </c>
      <c r="B9591" t="s">
        <v>338</v>
      </c>
      <c r="C9591" t="s">
        <v>63</v>
      </c>
      <c r="D9591">
        <v>0</v>
      </c>
      <c r="E9591" t="s">
        <v>378</v>
      </c>
    </row>
    <row r="9592" spans="1:5" x14ac:dyDescent="0.25">
      <c r="A9592" s="279">
        <v>39316</v>
      </c>
      <c r="B9592" t="s">
        <v>338</v>
      </c>
      <c r="C9592" t="s">
        <v>64</v>
      </c>
      <c r="D9592">
        <v>0</v>
      </c>
      <c r="E9592" t="s">
        <v>380</v>
      </c>
    </row>
    <row r="9593" spans="1:5" x14ac:dyDescent="0.25">
      <c r="A9593" s="279">
        <v>39316</v>
      </c>
      <c r="B9593" t="s">
        <v>338</v>
      </c>
      <c r="C9593" t="s">
        <v>65</v>
      </c>
      <c r="D9593">
        <v>0</v>
      </c>
      <c r="E9593" t="s">
        <v>378</v>
      </c>
    </row>
    <row r="9594" spans="1:5" x14ac:dyDescent="0.25">
      <c r="A9594" s="279">
        <v>39316</v>
      </c>
      <c r="B9594" t="s">
        <v>338</v>
      </c>
      <c r="C9594" t="s">
        <v>66</v>
      </c>
      <c r="D9594">
        <v>0</v>
      </c>
      <c r="E9594" t="s">
        <v>380</v>
      </c>
    </row>
    <row r="9595" spans="1:5" x14ac:dyDescent="0.25">
      <c r="A9595" s="279">
        <v>39316</v>
      </c>
      <c r="B9595" t="s">
        <v>338</v>
      </c>
      <c r="C9595" t="s">
        <v>120</v>
      </c>
      <c r="D9595">
        <v>12268</v>
      </c>
      <c r="E9595" t="s">
        <v>378</v>
      </c>
    </row>
    <row r="9596" spans="1:5" x14ac:dyDescent="0.25">
      <c r="A9596" s="279">
        <v>39316</v>
      </c>
      <c r="B9596" t="s">
        <v>338</v>
      </c>
      <c r="C9596" t="s">
        <v>121</v>
      </c>
      <c r="D9596">
        <v>0</v>
      </c>
      <c r="E9596" t="s">
        <v>380</v>
      </c>
    </row>
    <row r="9597" spans="1:5" x14ac:dyDescent="0.25">
      <c r="A9597" s="279">
        <v>39316</v>
      </c>
      <c r="B9597" t="s">
        <v>338</v>
      </c>
      <c r="C9597" t="s">
        <v>67</v>
      </c>
      <c r="D9597">
        <v>0</v>
      </c>
      <c r="E9597" t="s">
        <v>378</v>
      </c>
    </row>
    <row r="9598" spans="1:5" x14ac:dyDescent="0.25">
      <c r="A9598" s="279">
        <v>39316</v>
      </c>
      <c r="B9598" t="s">
        <v>338</v>
      </c>
      <c r="C9598" t="s">
        <v>68</v>
      </c>
      <c r="D9598">
        <v>0</v>
      </c>
      <c r="E9598" t="s">
        <v>380</v>
      </c>
    </row>
    <row r="9599" spans="1:5" x14ac:dyDescent="0.25">
      <c r="A9599" s="279">
        <v>39316</v>
      </c>
      <c r="B9599" t="s">
        <v>338</v>
      </c>
      <c r="C9599" t="s">
        <v>69</v>
      </c>
      <c r="D9599">
        <v>0</v>
      </c>
      <c r="E9599" t="s">
        <v>379</v>
      </c>
    </row>
    <row r="9600" spans="1:5" x14ac:dyDescent="0.25">
      <c r="A9600" s="279">
        <v>39316</v>
      </c>
      <c r="B9600" t="s">
        <v>338</v>
      </c>
      <c r="C9600" t="s">
        <v>70</v>
      </c>
      <c r="D9600">
        <v>0</v>
      </c>
      <c r="E9600" t="s">
        <v>379</v>
      </c>
    </row>
    <row r="9601" spans="1:5" x14ac:dyDescent="0.25">
      <c r="A9601" s="279">
        <v>39316</v>
      </c>
      <c r="B9601" t="s">
        <v>338</v>
      </c>
      <c r="C9601" t="s">
        <v>80</v>
      </c>
      <c r="D9601">
        <v>185</v>
      </c>
      <c r="E9601" t="s">
        <v>379</v>
      </c>
    </row>
    <row r="9602" spans="1:5" x14ac:dyDescent="0.25">
      <c r="A9602" s="279">
        <v>39316</v>
      </c>
      <c r="B9602" t="s">
        <v>339</v>
      </c>
      <c r="C9602" t="s">
        <v>71</v>
      </c>
      <c r="D9602">
        <v>1908</v>
      </c>
      <c r="E9602" t="s">
        <v>378</v>
      </c>
    </row>
    <row r="9603" spans="1:5" x14ac:dyDescent="0.25">
      <c r="A9603" s="279">
        <v>39316</v>
      </c>
      <c r="B9603" t="s">
        <v>339</v>
      </c>
      <c r="C9603" t="s">
        <v>72</v>
      </c>
      <c r="D9603">
        <v>0</v>
      </c>
      <c r="E9603" t="s">
        <v>380</v>
      </c>
    </row>
    <row r="9604" spans="1:5" x14ac:dyDescent="0.25">
      <c r="A9604" s="279">
        <v>39316</v>
      </c>
      <c r="B9604" t="s">
        <v>339</v>
      </c>
      <c r="C9604" t="s">
        <v>73</v>
      </c>
      <c r="D9604">
        <v>16963</v>
      </c>
      <c r="E9604" t="s">
        <v>378</v>
      </c>
    </row>
    <row r="9605" spans="1:5" x14ac:dyDescent="0.25">
      <c r="A9605" s="279">
        <v>39316</v>
      </c>
      <c r="B9605" t="s">
        <v>339</v>
      </c>
      <c r="C9605" t="s">
        <v>74</v>
      </c>
      <c r="D9605">
        <v>0</v>
      </c>
      <c r="E9605" t="s">
        <v>380</v>
      </c>
    </row>
    <row r="9606" spans="1:5" x14ac:dyDescent="0.25">
      <c r="A9606" s="279">
        <v>39316</v>
      </c>
      <c r="B9606" t="s">
        <v>339</v>
      </c>
      <c r="C9606" t="s">
        <v>75</v>
      </c>
      <c r="D9606">
        <v>15228</v>
      </c>
      <c r="E9606" t="s">
        <v>378</v>
      </c>
    </row>
    <row r="9607" spans="1:5" x14ac:dyDescent="0.25">
      <c r="A9607" s="279">
        <v>39316</v>
      </c>
      <c r="B9607" t="s">
        <v>339</v>
      </c>
      <c r="C9607" t="s">
        <v>76</v>
      </c>
      <c r="D9607">
        <v>14626</v>
      </c>
      <c r="E9607" t="s">
        <v>380</v>
      </c>
    </row>
    <row r="9608" spans="1:5" x14ac:dyDescent="0.25">
      <c r="A9608" s="279">
        <v>39316</v>
      </c>
      <c r="B9608" t="s">
        <v>339</v>
      </c>
      <c r="C9608" t="s">
        <v>77</v>
      </c>
      <c r="D9608">
        <v>7261</v>
      </c>
      <c r="E9608" t="s">
        <v>378</v>
      </c>
    </row>
    <row r="9609" spans="1:5" x14ac:dyDescent="0.25">
      <c r="A9609" s="279">
        <v>39316</v>
      </c>
      <c r="B9609" t="s">
        <v>339</v>
      </c>
      <c r="C9609" t="s">
        <v>78</v>
      </c>
      <c r="D9609">
        <v>0</v>
      </c>
      <c r="E9609" t="s">
        <v>380</v>
      </c>
    </row>
    <row r="9610" spans="1:5" x14ac:dyDescent="0.25">
      <c r="A9610" s="279">
        <v>39316</v>
      </c>
      <c r="B9610" t="s">
        <v>339</v>
      </c>
      <c r="C9610" t="s">
        <v>79</v>
      </c>
      <c r="D9610">
        <v>88253</v>
      </c>
      <c r="E9610" t="s">
        <v>379</v>
      </c>
    </row>
    <row r="9611" spans="1:5" x14ac:dyDescent="0.25">
      <c r="A9611" s="279">
        <v>39316</v>
      </c>
      <c r="B9611" t="s">
        <v>339</v>
      </c>
      <c r="C9611" t="s">
        <v>70</v>
      </c>
      <c r="D9611">
        <v>0</v>
      </c>
      <c r="E9611" t="s">
        <v>379</v>
      </c>
    </row>
    <row r="9612" spans="1:5" x14ac:dyDescent="0.25">
      <c r="A9612" s="279">
        <v>39316</v>
      </c>
      <c r="B9612" t="s">
        <v>339</v>
      </c>
      <c r="C9612" t="s">
        <v>63</v>
      </c>
      <c r="D9612">
        <v>17286</v>
      </c>
      <c r="E9612" t="s">
        <v>378</v>
      </c>
    </row>
    <row r="9613" spans="1:5" x14ac:dyDescent="0.25">
      <c r="A9613" s="279">
        <v>39316</v>
      </c>
      <c r="B9613" t="s">
        <v>339</v>
      </c>
      <c r="C9613" t="s">
        <v>80</v>
      </c>
      <c r="D9613">
        <v>795</v>
      </c>
      <c r="E9613" t="s">
        <v>379</v>
      </c>
    </row>
    <row r="9614" spans="1:5" x14ac:dyDescent="0.25">
      <c r="A9614" s="279">
        <v>39317</v>
      </c>
      <c r="B9614" t="s">
        <v>338</v>
      </c>
      <c r="C9614" t="s">
        <v>59</v>
      </c>
      <c r="D9614">
        <v>2578</v>
      </c>
      <c r="E9614" t="s">
        <v>378</v>
      </c>
    </row>
    <row r="9615" spans="1:5" x14ac:dyDescent="0.25">
      <c r="A9615" s="279">
        <v>39317</v>
      </c>
      <c r="B9615" t="s">
        <v>338</v>
      </c>
      <c r="C9615" t="s">
        <v>60</v>
      </c>
      <c r="D9615">
        <v>0</v>
      </c>
      <c r="E9615" t="s">
        <v>379</v>
      </c>
    </row>
    <row r="9616" spans="1:5" x14ac:dyDescent="0.25">
      <c r="A9616" s="279">
        <v>39317</v>
      </c>
      <c r="B9616" t="s">
        <v>338</v>
      </c>
      <c r="C9616" t="s">
        <v>61</v>
      </c>
      <c r="D9616">
        <v>7601</v>
      </c>
      <c r="E9616" t="s">
        <v>378</v>
      </c>
    </row>
    <row r="9617" spans="1:5" x14ac:dyDescent="0.25">
      <c r="A9617" s="279">
        <v>39317</v>
      </c>
      <c r="B9617" t="s">
        <v>338</v>
      </c>
      <c r="C9617" t="s">
        <v>62</v>
      </c>
      <c r="D9617">
        <v>0</v>
      </c>
      <c r="E9617" t="s">
        <v>380</v>
      </c>
    </row>
    <row r="9618" spans="1:5" x14ac:dyDescent="0.25">
      <c r="A9618" s="279">
        <v>39317</v>
      </c>
      <c r="B9618" t="s">
        <v>338</v>
      </c>
      <c r="C9618" t="s">
        <v>63</v>
      </c>
      <c r="D9618">
        <v>0</v>
      </c>
      <c r="E9618" t="s">
        <v>378</v>
      </c>
    </row>
    <row r="9619" spans="1:5" x14ac:dyDescent="0.25">
      <c r="A9619" s="279">
        <v>39317</v>
      </c>
      <c r="B9619" t="s">
        <v>338</v>
      </c>
      <c r="C9619" t="s">
        <v>64</v>
      </c>
      <c r="D9619">
        <v>0</v>
      </c>
      <c r="E9619" t="s">
        <v>380</v>
      </c>
    </row>
    <row r="9620" spans="1:5" x14ac:dyDescent="0.25">
      <c r="A9620" s="279">
        <v>39317</v>
      </c>
      <c r="B9620" t="s">
        <v>338</v>
      </c>
      <c r="C9620" t="s">
        <v>65</v>
      </c>
      <c r="D9620">
        <v>0</v>
      </c>
      <c r="E9620" t="s">
        <v>378</v>
      </c>
    </row>
    <row r="9621" spans="1:5" x14ac:dyDescent="0.25">
      <c r="A9621" s="279">
        <v>39317</v>
      </c>
      <c r="B9621" t="s">
        <v>338</v>
      </c>
      <c r="C9621" t="s">
        <v>66</v>
      </c>
      <c r="D9621">
        <v>0</v>
      </c>
      <c r="E9621" t="s">
        <v>380</v>
      </c>
    </row>
    <row r="9622" spans="1:5" x14ac:dyDescent="0.25">
      <c r="A9622" s="279">
        <v>39317</v>
      </c>
      <c r="B9622" t="s">
        <v>338</v>
      </c>
      <c r="C9622" t="s">
        <v>120</v>
      </c>
      <c r="D9622">
        <v>12256</v>
      </c>
      <c r="E9622" t="s">
        <v>378</v>
      </c>
    </row>
    <row r="9623" spans="1:5" x14ac:dyDescent="0.25">
      <c r="A9623" s="279">
        <v>39317</v>
      </c>
      <c r="B9623" t="s">
        <v>338</v>
      </c>
      <c r="C9623" t="s">
        <v>121</v>
      </c>
      <c r="D9623">
        <v>0</v>
      </c>
      <c r="E9623" t="s">
        <v>380</v>
      </c>
    </row>
    <row r="9624" spans="1:5" x14ac:dyDescent="0.25">
      <c r="A9624" s="279">
        <v>39317</v>
      </c>
      <c r="B9624" t="s">
        <v>338</v>
      </c>
      <c r="C9624" t="s">
        <v>67</v>
      </c>
      <c r="D9624">
        <v>0</v>
      </c>
      <c r="E9624" t="s">
        <v>378</v>
      </c>
    </row>
    <row r="9625" spans="1:5" x14ac:dyDescent="0.25">
      <c r="A9625" s="279">
        <v>39317</v>
      </c>
      <c r="B9625" t="s">
        <v>338</v>
      </c>
      <c r="C9625" t="s">
        <v>68</v>
      </c>
      <c r="D9625">
        <v>0</v>
      </c>
      <c r="E9625" t="s">
        <v>380</v>
      </c>
    </row>
    <row r="9626" spans="1:5" x14ac:dyDescent="0.25">
      <c r="A9626" s="279">
        <v>39317</v>
      </c>
      <c r="B9626" t="s">
        <v>338</v>
      </c>
      <c r="C9626" t="s">
        <v>69</v>
      </c>
      <c r="D9626">
        <v>0</v>
      </c>
      <c r="E9626" t="s">
        <v>379</v>
      </c>
    </row>
    <row r="9627" spans="1:5" x14ac:dyDescent="0.25">
      <c r="A9627" s="279">
        <v>39317</v>
      </c>
      <c r="B9627" t="s">
        <v>338</v>
      </c>
      <c r="C9627" t="s">
        <v>70</v>
      </c>
      <c r="D9627">
        <v>0</v>
      </c>
      <c r="E9627" t="s">
        <v>379</v>
      </c>
    </row>
    <row r="9628" spans="1:5" x14ac:dyDescent="0.25">
      <c r="A9628" s="279">
        <v>39317</v>
      </c>
      <c r="B9628" t="s">
        <v>338</v>
      </c>
      <c r="C9628" t="s">
        <v>80</v>
      </c>
      <c r="D9628">
        <v>185</v>
      </c>
      <c r="E9628" t="s">
        <v>379</v>
      </c>
    </row>
    <row r="9629" spans="1:5" x14ac:dyDescent="0.25">
      <c r="A9629" s="279">
        <v>39317</v>
      </c>
      <c r="B9629" t="s">
        <v>339</v>
      </c>
      <c r="C9629" t="s">
        <v>71</v>
      </c>
      <c r="D9629">
        <v>1899</v>
      </c>
      <c r="E9629" t="s">
        <v>378</v>
      </c>
    </row>
    <row r="9630" spans="1:5" x14ac:dyDescent="0.25">
      <c r="A9630" s="279">
        <v>39317</v>
      </c>
      <c r="B9630" t="s">
        <v>339</v>
      </c>
      <c r="C9630" t="s">
        <v>72</v>
      </c>
      <c r="D9630">
        <v>0</v>
      </c>
      <c r="E9630" t="s">
        <v>380</v>
      </c>
    </row>
    <row r="9631" spans="1:5" x14ac:dyDescent="0.25">
      <c r="A9631" s="279">
        <v>39317</v>
      </c>
      <c r="B9631" t="s">
        <v>339</v>
      </c>
      <c r="C9631" t="s">
        <v>73</v>
      </c>
      <c r="D9631">
        <v>16882</v>
      </c>
      <c r="E9631" t="s">
        <v>378</v>
      </c>
    </row>
    <row r="9632" spans="1:5" x14ac:dyDescent="0.25">
      <c r="A9632" s="279">
        <v>39317</v>
      </c>
      <c r="B9632" t="s">
        <v>339</v>
      </c>
      <c r="C9632" t="s">
        <v>74</v>
      </c>
      <c r="D9632">
        <v>0</v>
      </c>
      <c r="E9632" t="s">
        <v>380</v>
      </c>
    </row>
    <row r="9633" spans="1:5" x14ac:dyDescent="0.25">
      <c r="A9633" s="279">
        <v>39317</v>
      </c>
      <c r="B9633" t="s">
        <v>339</v>
      </c>
      <c r="C9633" t="s">
        <v>75</v>
      </c>
      <c r="D9633">
        <v>15155</v>
      </c>
      <c r="E9633" t="s">
        <v>378</v>
      </c>
    </row>
    <row r="9634" spans="1:5" x14ac:dyDescent="0.25">
      <c r="A9634" s="279">
        <v>39317</v>
      </c>
      <c r="B9634" t="s">
        <v>339</v>
      </c>
      <c r="C9634" t="s">
        <v>76</v>
      </c>
      <c r="D9634">
        <v>12936</v>
      </c>
      <c r="E9634" t="s">
        <v>380</v>
      </c>
    </row>
    <row r="9635" spans="1:5" x14ac:dyDescent="0.25">
      <c r="A9635" s="279">
        <v>39317</v>
      </c>
      <c r="B9635" t="s">
        <v>339</v>
      </c>
      <c r="C9635" t="s">
        <v>77</v>
      </c>
      <c r="D9635">
        <v>7226</v>
      </c>
      <c r="E9635" t="s">
        <v>378</v>
      </c>
    </row>
    <row r="9636" spans="1:5" x14ac:dyDescent="0.25">
      <c r="A9636" s="279">
        <v>39317</v>
      </c>
      <c r="B9636" t="s">
        <v>339</v>
      </c>
      <c r="C9636" t="s">
        <v>78</v>
      </c>
      <c r="D9636">
        <v>0</v>
      </c>
      <c r="E9636" t="s">
        <v>380</v>
      </c>
    </row>
    <row r="9637" spans="1:5" x14ac:dyDescent="0.25">
      <c r="A9637" s="279">
        <v>39317</v>
      </c>
      <c r="B9637" t="s">
        <v>339</v>
      </c>
      <c r="C9637" t="s">
        <v>79</v>
      </c>
      <c r="D9637">
        <v>87830</v>
      </c>
      <c r="E9637" t="s">
        <v>379</v>
      </c>
    </row>
    <row r="9638" spans="1:5" x14ac:dyDescent="0.25">
      <c r="A9638" s="279">
        <v>39317</v>
      </c>
      <c r="B9638" t="s">
        <v>339</v>
      </c>
      <c r="C9638" t="s">
        <v>70</v>
      </c>
      <c r="D9638">
        <v>0</v>
      </c>
      <c r="E9638" t="s">
        <v>379</v>
      </c>
    </row>
    <row r="9639" spans="1:5" x14ac:dyDescent="0.25">
      <c r="A9639" s="279">
        <v>39317</v>
      </c>
      <c r="B9639" t="s">
        <v>339</v>
      </c>
      <c r="C9639" t="s">
        <v>63</v>
      </c>
      <c r="D9639">
        <v>17203</v>
      </c>
      <c r="E9639" t="s">
        <v>378</v>
      </c>
    </row>
    <row r="9640" spans="1:5" x14ac:dyDescent="0.25">
      <c r="A9640" s="279">
        <v>39317</v>
      </c>
      <c r="B9640" t="s">
        <v>339</v>
      </c>
      <c r="C9640" t="s">
        <v>80</v>
      </c>
      <c r="D9640">
        <v>791</v>
      </c>
      <c r="E9640" t="s">
        <v>379</v>
      </c>
    </row>
    <row r="9641" spans="1:5" x14ac:dyDescent="0.25">
      <c r="A9641" s="279">
        <v>39318</v>
      </c>
      <c r="B9641" t="s">
        <v>338</v>
      </c>
      <c r="C9641" t="s">
        <v>59</v>
      </c>
      <c r="D9641">
        <v>2580</v>
      </c>
      <c r="E9641" t="s">
        <v>378</v>
      </c>
    </row>
    <row r="9642" spans="1:5" x14ac:dyDescent="0.25">
      <c r="A9642" s="279">
        <v>39318</v>
      </c>
      <c r="B9642" t="s">
        <v>338</v>
      </c>
      <c r="C9642" t="s">
        <v>60</v>
      </c>
      <c r="D9642">
        <v>0</v>
      </c>
      <c r="E9642" t="s">
        <v>379</v>
      </c>
    </row>
    <row r="9643" spans="1:5" x14ac:dyDescent="0.25">
      <c r="A9643" s="279">
        <v>39318</v>
      </c>
      <c r="B9643" t="s">
        <v>338</v>
      </c>
      <c r="C9643" t="s">
        <v>61</v>
      </c>
      <c r="D9643">
        <v>7638</v>
      </c>
      <c r="E9643" t="s">
        <v>378</v>
      </c>
    </row>
    <row r="9644" spans="1:5" x14ac:dyDescent="0.25">
      <c r="A9644" s="279">
        <v>39318</v>
      </c>
      <c r="B9644" t="s">
        <v>338</v>
      </c>
      <c r="C9644" t="s">
        <v>62</v>
      </c>
      <c r="D9644">
        <v>0</v>
      </c>
      <c r="E9644" t="s">
        <v>380</v>
      </c>
    </row>
    <row r="9645" spans="1:5" x14ac:dyDescent="0.25">
      <c r="A9645" s="279">
        <v>39318</v>
      </c>
      <c r="B9645" t="s">
        <v>338</v>
      </c>
      <c r="C9645" t="s">
        <v>63</v>
      </c>
      <c r="D9645">
        <v>0</v>
      </c>
      <c r="E9645" t="s">
        <v>378</v>
      </c>
    </row>
    <row r="9646" spans="1:5" x14ac:dyDescent="0.25">
      <c r="A9646" s="279">
        <v>39318</v>
      </c>
      <c r="B9646" t="s">
        <v>338</v>
      </c>
      <c r="C9646" t="s">
        <v>64</v>
      </c>
      <c r="D9646">
        <v>0</v>
      </c>
      <c r="E9646" t="s">
        <v>380</v>
      </c>
    </row>
    <row r="9647" spans="1:5" x14ac:dyDescent="0.25">
      <c r="A9647" s="279">
        <v>39318</v>
      </c>
      <c r="B9647" t="s">
        <v>338</v>
      </c>
      <c r="C9647" t="s">
        <v>65</v>
      </c>
      <c r="D9647">
        <v>0</v>
      </c>
      <c r="E9647" t="s">
        <v>378</v>
      </c>
    </row>
    <row r="9648" spans="1:5" x14ac:dyDescent="0.25">
      <c r="A9648" s="279">
        <v>39318</v>
      </c>
      <c r="B9648" t="s">
        <v>338</v>
      </c>
      <c r="C9648" t="s">
        <v>66</v>
      </c>
      <c r="D9648">
        <v>0</v>
      </c>
      <c r="E9648" t="s">
        <v>380</v>
      </c>
    </row>
    <row r="9649" spans="1:5" x14ac:dyDescent="0.25">
      <c r="A9649" s="279">
        <v>39318</v>
      </c>
      <c r="B9649" t="s">
        <v>338</v>
      </c>
      <c r="C9649" t="s">
        <v>120</v>
      </c>
      <c r="D9649">
        <v>12268</v>
      </c>
      <c r="E9649" t="s">
        <v>378</v>
      </c>
    </row>
    <row r="9650" spans="1:5" x14ac:dyDescent="0.25">
      <c r="A9650" s="279">
        <v>39318</v>
      </c>
      <c r="B9650" t="s">
        <v>338</v>
      </c>
      <c r="C9650" t="s">
        <v>121</v>
      </c>
      <c r="D9650">
        <v>0</v>
      </c>
      <c r="E9650" t="s">
        <v>380</v>
      </c>
    </row>
    <row r="9651" spans="1:5" x14ac:dyDescent="0.25">
      <c r="A9651" s="279">
        <v>39318</v>
      </c>
      <c r="B9651" t="s">
        <v>338</v>
      </c>
      <c r="C9651" t="s">
        <v>67</v>
      </c>
      <c r="D9651">
        <v>0</v>
      </c>
      <c r="E9651" t="s">
        <v>378</v>
      </c>
    </row>
    <row r="9652" spans="1:5" x14ac:dyDescent="0.25">
      <c r="A9652" s="279">
        <v>39318</v>
      </c>
      <c r="B9652" t="s">
        <v>338</v>
      </c>
      <c r="C9652" t="s">
        <v>68</v>
      </c>
      <c r="D9652">
        <v>0</v>
      </c>
      <c r="E9652" t="s">
        <v>380</v>
      </c>
    </row>
    <row r="9653" spans="1:5" x14ac:dyDescent="0.25">
      <c r="A9653" s="279">
        <v>39318</v>
      </c>
      <c r="B9653" t="s">
        <v>338</v>
      </c>
      <c r="C9653" t="s">
        <v>69</v>
      </c>
      <c r="D9653">
        <v>0</v>
      </c>
      <c r="E9653" t="s">
        <v>379</v>
      </c>
    </row>
    <row r="9654" spans="1:5" x14ac:dyDescent="0.25">
      <c r="A9654" s="279">
        <v>39318</v>
      </c>
      <c r="B9654" t="s">
        <v>338</v>
      </c>
      <c r="C9654" t="s">
        <v>70</v>
      </c>
      <c r="D9654">
        <v>0</v>
      </c>
      <c r="E9654" t="s">
        <v>379</v>
      </c>
    </row>
    <row r="9655" spans="1:5" x14ac:dyDescent="0.25">
      <c r="A9655" s="279">
        <v>39318</v>
      </c>
      <c r="B9655" t="s">
        <v>338</v>
      </c>
      <c r="C9655" t="s">
        <v>80</v>
      </c>
      <c r="D9655">
        <v>186</v>
      </c>
      <c r="E9655" t="s">
        <v>379</v>
      </c>
    </row>
    <row r="9656" spans="1:5" x14ac:dyDescent="0.25">
      <c r="A9656" s="279">
        <v>39318</v>
      </c>
      <c r="B9656" t="s">
        <v>339</v>
      </c>
      <c r="C9656" t="s">
        <v>71</v>
      </c>
      <c r="D9656">
        <v>1912</v>
      </c>
      <c r="E9656" t="s">
        <v>378</v>
      </c>
    </row>
    <row r="9657" spans="1:5" x14ac:dyDescent="0.25">
      <c r="A9657" s="279">
        <v>39318</v>
      </c>
      <c r="B9657" t="s">
        <v>339</v>
      </c>
      <c r="C9657" t="s">
        <v>72</v>
      </c>
      <c r="D9657">
        <v>0</v>
      </c>
      <c r="E9657" t="s">
        <v>380</v>
      </c>
    </row>
    <row r="9658" spans="1:5" x14ac:dyDescent="0.25">
      <c r="A9658" s="279">
        <v>39318</v>
      </c>
      <c r="B9658" t="s">
        <v>339</v>
      </c>
      <c r="C9658" t="s">
        <v>73</v>
      </c>
      <c r="D9658">
        <v>16996</v>
      </c>
      <c r="E9658" t="s">
        <v>378</v>
      </c>
    </row>
    <row r="9659" spans="1:5" x14ac:dyDescent="0.25">
      <c r="A9659" s="279">
        <v>39318</v>
      </c>
      <c r="B9659" t="s">
        <v>339</v>
      </c>
      <c r="C9659" t="s">
        <v>74</v>
      </c>
      <c r="D9659">
        <v>0</v>
      </c>
      <c r="E9659" t="s">
        <v>380</v>
      </c>
    </row>
    <row r="9660" spans="1:5" x14ac:dyDescent="0.25">
      <c r="A9660" s="279">
        <v>39318</v>
      </c>
      <c r="B9660" t="s">
        <v>339</v>
      </c>
      <c r="C9660" t="s">
        <v>75</v>
      </c>
      <c r="D9660">
        <v>15257</v>
      </c>
      <c r="E9660" t="s">
        <v>378</v>
      </c>
    </row>
    <row r="9661" spans="1:5" x14ac:dyDescent="0.25">
      <c r="A9661" s="279">
        <v>39318</v>
      </c>
      <c r="B9661" t="s">
        <v>339</v>
      </c>
      <c r="C9661" t="s">
        <v>76</v>
      </c>
      <c r="D9661">
        <v>8749</v>
      </c>
      <c r="E9661" t="s">
        <v>380</v>
      </c>
    </row>
    <row r="9662" spans="1:5" x14ac:dyDescent="0.25">
      <c r="A9662" s="279">
        <v>39318</v>
      </c>
      <c r="B9662" t="s">
        <v>339</v>
      </c>
      <c r="C9662" t="s">
        <v>77</v>
      </c>
      <c r="D9662">
        <v>7275</v>
      </c>
      <c r="E9662" t="s">
        <v>378</v>
      </c>
    </row>
    <row r="9663" spans="1:5" x14ac:dyDescent="0.25">
      <c r="A9663" s="279">
        <v>39318</v>
      </c>
      <c r="B9663" t="s">
        <v>339</v>
      </c>
      <c r="C9663" t="s">
        <v>78</v>
      </c>
      <c r="D9663">
        <v>0</v>
      </c>
      <c r="E9663" t="s">
        <v>380</v>
      </c>
    </row>
    <row r="9664" spans="1:5" x14ac:dyDescent="0.25">
      <c r="A9664" s="279">
        <v>39318</v>
      </c>
      <c r="B9664" t="s">
        <v>339</v>
      </c>
      <c r="C9664" t="s">
        <v>79</v>
      </c>
      <c r="D9664">
        <v>88423</v>
      </c>
      <c r="E9664" t="s">
        <v>379</v>
      </c>
    </row>
    <row r="9665" spans="1:5" x14ac:dyDescent="0.25">
      <c r="A9665" s="279">
        <v>39318</v>
      </c>
      <c r="B9665" t="s">
        <v>339</v>
      </c>
      <c r="C9665" t="s">
        <v>70</v>
      </c>
      <c r="D9665">
        <v>0</v>
      </c>
      <c r="E9665" t="s">
        <v>379</v>
      </c>
    </row>
    <row r="9666" spans="1:5" x14ac:dyDescent="0.25">
      <c r="A9666" s="279">
        <v>39318</v>
      </c>
      <c r="B9666" t="s">
        <v>339</v>
      </c>
      <c r="C9666" t="s">
        <v>63</v>
      </c>
      <c r="D9666">
        <v>17319</v>
      </c>
      <c r="E9666" t="s">
        <v>378</v>
      </c>
    </row>
    <row r="9667" spans="1:5" x14ac:dyDescent="0.25">
      <c r="A9667" s="279">
        <v>39318</v>
      </c>
      <c r="B9667" t="s">
        <v>339</v>
      </c>
      <c r="C9667" t="s">
        <v>80</v>
      </c>
      <c r="D9667">
        <v>797</v>
      </c>
      <c r="E9667" t="s">
        <v>379</v>
      </c>
    </row>
    <row r="9668" spans="1:5" x14ac:dyDescent="0.25">
      <c r="A9668" s="279">
        <v>39319</v>
      </c>
      <c r="B9668" t="s">
        <v>338</v>
      </c>
      <c r="C9668" t="s">
        <v>59</v>
      </c>
      <c r="D9668">
        <v>2580</v>
      </c>
      <c r="E9668" t="s">
        <v>378</v>
      </c>
    </row>
    <row r="9669" spans="1:5" x14ac:dyDescent="0.25">
      <c r="A9669" s="279">
        <v>39319</v>
      </c>
      <c r="B9669" t="s">
        <v>338</v>
      </c>
      <c r="C9669" t="s">
        <v>60</v>
      </c>
      <c r="D9669">
        <v>0</v>
      </c>
      <c r="E9669" t="s">
        <v>379</v>
      </c>
    </row>
    <row r="9670" spans="1:5" x14ac:dyDescent="0.25">
      <c r="A9670" s="279">
        <v>39319</v>
      </c>
      <c r="B9670" t="s">
        <v>338</v>
      </c>
      <c r="C9670" t="s">
        <v>61</v>
      </c>
      <c r="D9670">
        <v>7679</v>
      </c>
      <c r="E9670" t="s">
        <v>378</v>
      </c>
    </row>
    <row r="9671" spans="1:5" x14ac:dyDescent="0.25">
      <c r="A9671" s="279">
        <v>39319</v>
      </c>
      <c r="B9671" t="s">
        <v>338</v>
      </c>
      <c r="C9671" t="s">
        <v>62</v>
      </c>
      <c r="D9671">
        <v>0</v>
      </c>
      <c r="E9671" t="s">
        <v>380</v>
      </c>
    </row>
    <row r="9672" spans="1:5" x14ac:dyDescent="0.25">
      <c r="A9672" s="279">
        <v>39319</v>
      </c>
      <c r="B9672" t="s">
        <v>338</v>
      </c>
      <c r="C9672" t="s">
        <v>63</v>
      </c>
      <c r="D9672">
        <v>0</v>
      </c>
      <c r="E9672" t="s">
        <v>378</v>
      </c>
    </row>
    <row r="9673" spans="1:5" x14ac:dyDescent="0.25">
      <c r="A9673" s="279">
        <v>39319</v>
      </c>
      <c r="B9673" t="s">
        <v>338</v>
      </c>
      <c r="C9673" t="s">
        <v>64</v>
      </c>
      <c r="D9673">
        <v>0</v>
      </c>
      <c r="E9673" t="s">
        <v>380</v>
      </c>
    </row>
    <row r="9674" spans="1:5" x14ac:dyDescent="0.25">
      <c r="A9674" s="279">
        <v>39319</v>
      </c>
      <c r="B9674" t="s">
        <v>338</v>
      </c>
      <c r="C9674" t="s">
        <v>65</v>
      </c>
      <c r="D9674">
        <v>0</v>
      </c>
      <c r="E9674" t="s">
        <v>378</v>
      </c>
    </row>
    <row r="9675" spans="1:5" x14ac:dyDescent="0.25">
      <c r="A9675" s="279">
        <v>39319</v>
      </c>
      <c r="B9675" t="s">
        <v>338</v>
      </c>
      <c r="C9675" t="s">
        <v>66</v>
      </c>
      <c r="D9675">
        <v>0</v>
      </c>
      <c r="E9675" t="s">
        <v>380</v>
      </c>
    </row>
    <row r="9676" spans="1:5" x14ac:dyDescent="0.25">
      <c r="A9676" s="279">
        <v>39319</v>
      </c>
      <c r="B9676" t="s">
        <v>338</v>
      </c>
      <c r="C9676" t="s">
        <v>120</v>
      </c>
      <c r="D9676">
        <v>12268</v>
      </c>
      <c r="E9676" t="s">
        <v>378</v>
      </c>
    </row>
    <row r="9677" spans="1:5" x14ac:dyDescent="0.25">
      <c r="A9677" s="279">
        <v>39319</v>
      </c>
      <c r="B9677" t="s">
        <v>338</v>
      </c>
      <c r="C9677" t="s">
        <v>121</v>
      </c>
      <c r="D9677">
        <v>0</v>
      </c>
      <c r="E9677" t="s">
        <v>380</v>
      </c>
    </row>
    <row r="9678" spans="1:5" x14ac:dyDescent="0.25">
      <c r="A9678" s="279">
        <v>39319</v>
      </c>
      <c r="B9678" t="s">
        <v>338</v>
      </c>
      <c r="C9678" t="s">
        <v>67</v>
      </c>
      <c r="D9678">
        <v>0</v>
      </c>
      <c r="E9678" t="s">
        <v>378</v>
      </c>
    </row>
    <row r="9679" spans="1:5" x14ac:dyDescent="0.25">
      <c r="A9679" s="279">
        <v>39319</v>
      </c>
      <c r="B9679" t="s">
        <v>338</v>
      </c>
      <c r="C9679" t="s">
        <v>68</v>
      </c>
      <c r="D9679">
        <v>0</v>
      </c>
      <c r="E9679" t="s">
        <v>380</v>
      </c>
    </row>
    <row r="9680" spans="1:5" x14ac:dyDescent="0.25">
      <c r="A9680" s="279">
        <v>39319</v>
      </c>
      <c r="B9680" t="s">
        <v>338</v>
      </c>
      <c r="C9680" t="s">
        <v>69</v>
      </c>
      <c r="D9680">
        <v>0</v>
      </c>
      <c r="E9680" t="s">
        <v>379</v>
      </c>
    </row>
    <row r="9681" spans="1:5" x14ac:dyDescent="0.25">
      <c r="A9681" s="279">
        <v>39319</v>
      </c>
      <c r="B9681" t="s">
        <v>338</v>
      </c>
      <c r="C9681" t="s">
        <v>70</v>
      </c>
      <c r="D9681">
        <v>0</v>
      </c>
      <c r="E9681" t="s">
        <v>379</v>
      </c>
    </row>
    <row r="9682" spans="1:5" x14ac:dyDescent="0.25">
      <c r="A9682" s="279">
        <v>39319</v>
      </c>
      <c r="B9682" t="s">
        <v>338</v>
      </c>
      <c r="C9682" t="s">
        <v>80</v>
      </c>
      <c r="D9682">
        <v>186</v>
      </c>
      <c r="E9682" t="s">
        <v>379</v>
      </c>
    </row>
    <row r="9683" spans="1:5" x14ac:dyDescent="0.25">
      <c r="A9683" s="279">
        <v>39319</v>
      </c>
      <c r="B9683" t="s">
        <v>339</v>
      </c>
      <c r="C9683" t="s">
        <v>71</v>
      </c>
      <c r="D9683">
        <v>1908</v>
      </c>
      <c r="E9683" t="s">
        <v>378</v>
      </c>
    </row>
    <row r="9684" spans="1:5" x14ac:dyDescent="0.25">
      <c r="A9684" s="279">
        <v>39319</v>
      </c>
      <c r="B9684" t="s">
        <v>339</v>
      </c>
      <c r="C9684" t="s">
        <v>72</v>
      </c>
      <c r="D9684">
        <v>0</v>
      </c>
      <c r="E9684" t="s">
        <v>380</v>
      </c>
    </row>
    <row r="9685" spans="1:5" x14ac:dyDescent="0.25">
      <c r="A9685" s="279">
        <v>39319</v>
      </c>
      <c r="B9685" t="s">
        <v>339</v>
      </c>
      <c r="C9685" t="s">
        <v>73</v>
      </c>
      <c r="D9685">
        <v>16963</v>
      </c>
      <c r="E9685" t="s">
        <v>378</v>
      </c>
    </row>
    <row r="9686" spans="1:5" x14ac:dyDescent="0.25">
      <c r="A9686" s="279">
        <v>39319</v>
      </c>
      <c r="B9686" t="s">
        <v>339</v>
      </c>
      <c r="C9686" t="s">
        <v>74</v>
      </c>
      <c r="D9686">
        <v>0</v>
      </c>
      <c r="E9686" t="s">
        <v>380</v>
      </c>
    </row>
    <row r="9687" spans="1:5" x14ac:dyDescent="0.25">
      <c r="A9687" s="279">
        <v>39319</v>
      </c>
      <c r="B9687" t="s">
        <v>339</v>
      </c>
      <c r="C9687" t="s">
        <v>75</v>
      </c>
      <c r="D9687">
        <v>15228</v>
      </c>
      <c r="E9687" t="s">
        <v>378</v>
      </c>
    </row>
    <row r="9688" spans="1:5" x14ac:dyDescent="0.25">
      <c r="A9688" s="279">
        <v>39319</v>
      </c>
      <c r="B9688" t="s">
        <v>339</v>
      </c>
      <c r="C9688" t="s">
        <v>76</v>
      </c>
      <c r="D9688">
        <v>7785</v>
      </c>
      <c r="E9688" t="s">
        <v>380</v>
      </c>
    </row>
    <row r="9689" spans="1:5" x14ac:dyDescent="0.25">
      <c r="A9689" s="279">
        <v>39319</v>
      </c>
      <c r="B9689" t="s">
        <v>339</v>
      </c>
      <c r="C9689" t="s">
        <v>77</v>
      </c>
      <c r="D9689">
        <v>7261</v>
      </c>
      <c r="E9689" t="s">
        <v>378</v>
      </c>
    </row>
    <row r="9690" spans="1:5" x14ac:dyDescent="0.25">
      <c r="A9690" s="279">
        <v>39319</v>
      </c>
      <c r="B9690" t="s">
        <v>339</v>
      </c>
      <c r="C9690" t="s">
        <v>78</v>
      </c>
      <c r="D9690">
        <v>0</v>
      </c>
      <c r="E9690" t="s">
        <v>380</v>
      </c>
    </row>
    <row r="9691" spans="1:5" x14ac:dyDescent="0.25">
      <c r="A9691" s="279">
        <v>39319</v>
      </c>
      <c r="B9691" t="s">
        <v>339</v>
      </c>
      <c r="C9691" t="s">
        <v>79</v>
      </c>
      <c r="D9691">
        <v>88253</v>
      </c>
      <c r="E9691" t="s">
        <v>379</v>
      </c>
    </row>
    <row r="9692" spans="1:5" x14ac:dyDescent="0.25">
      <c r="A9692" s="279">
        <v>39319</v>
      </c>
      <c r="B9692" t="s">
        <v>339</v>
      </c>
      <c r="C9692" t="s">
        <v>70</v>
      </c>
      <c r="D9692">
        <v>0</v>
      </c>
      <c r="E9692" t="s">
        <v>379</v>
      </c>
    </row>
    <row r="9693" spans="1:5" x14ac:dyDescent="0.25">
      <c r="A9693" s="279">
        <v>39319</v>
      </c>
      <c r="B9693" t="s">
        <v>339</v>
      </c>
      <c r="C9693" t="s">
        <v>63</v>
      </c>
      <c r="D9693">
        <v>17286</v>
      </c>
      <c r="E9693" t="s">
        <v>378</v>
      </c>
    </row>
    <row r="9694" spans="1:5" x14ac:dyDescent="0.25">
      <c r="A9694" s="279">
        <v>39319</v>
      </c>
      <c r="B9694" t="s">
        <v>339</v>
      </c>
      <c r="C9694" t="s">
        <v>80</v>
      </c>
      <c r="D9694">
        <v>795</v>
      </c>
      <c r="E9694" t="s">
        <v>379</v>
      </c>
    </row>
    <row r="9695" spans="1:5" x14ac:dyDescent="0.25">
      <c r="A9695" s="279">
        <v>39320</v>
      </c>
      <c r="B9695" t="s">
        <v>338</v>
      </c>
      <c r="C9695" t="s">
        <v>59</v>
      </c>
      <c r="D9695">
        <v>2575</v>
      </c>
      <c r="E9695" t="s">
        <v>378</v>
      </c>
    </row>
    <row r="9696" spans="1:5" x14ac:dyDescent="0.25">
      <c r="A9696" s="279">
        <v>39320</v>
      </c>
      <c r="B9696" t="s">
        <v>338</v>
      </c>
      <c r="C9696" t="s">
        <v>60</v>
      </c>
      <c r="D9696">
        <v>0</v>
      </c>
      <c r="E9696" t="s">
        <v>379</v>
      </c>
    </row>
    <row r="9697" spans="1:5" x14ac:dyDescent="0.25">
      <c r="A9697" s="279">
        <v>39320</v>
      </c>
      <c r="B9697" t="s">
        <v>338</v>
      </c>
      <c r="C9697" t="s">
        <v>61</v>
      </c>
      <c r="D9697">
        <v>7644</v>
      </c>
      <c r="E9697" t="s">
        <v>378</v>
      </c>
    </row>
    <row r="9698" spans="1:5" x14ac:dyDescent="0.25">
      <c r="A9698" s="279">
        <v>39320</v>
      </c>
      <c r="B9698" t="s">
        <v>338</v>
      </c>
      <c r="C9698" t="s">
        <v>62</v>
      </c>
      <c r="D9698">
        <v>0</v>
      </c>
      <c r="E9698" t="s">
        <v>380</v>
      </c>
    </row>
    <row r="9699" spans="1:5" x14ac:dyDescent="0.25">
      <c r="A9699" s="279">
        <v>39320</v>
      </c>
      <c r="B9699" t="s">
        <v>338</v>
      </c>
      <c r="C9699" t="s">
        <v>63</v>
      </c>
      <c r="D9699">
        <v>0</v>
      </c>
      <c r="E9699" t="s">
        <v>378</v>
      </c>
    </row>
    <row r="9700" spans="1:5" x14ac:dyDescent="0.25">
      <c r="A9700" s="279">
        <v>39320</v>
      </c>
      <c r="B9700" t="s">
        <v>338</v>
      </c>
      <c r="C9700" t="s">
        <v>64</v>
      </c>
      <c r="D9700">
        <v>0</v>
      </c>
      <c r="E9700" t="s">
        <v>380</v>
      </c>
    </row>
    <row r="9701" spans="1:5" x14ac:dyDescent="0.25">
      <c r="A9701" s="279">
        <v>39320</v>
      </c>
      <c r="B9701" t="s">
        <v>338</v>
      </c>
      <c r="C9701" t="s">
        <v>65</v>
      </c>
      <c r="D9701">
        <v>0</v>
      </c>
      <c r="E9701" t="s">
        <v>378</v>
      </c>
    </row>
    <row r="9702" spans="1:5" x14ac:dyDescent="0.25">
      <c r="A9702" s="279">
        <v>39320</v>
      </c>
      <c r="B9702" t="s">
        <v>338</v>
      </c>
      <c r="C9702" t="s">
        <v>66</v>
      </c>
      <c r="D9702">
        <v>0</v>
      </c>
      <c r="E9702" t="s">
        <v>380</v>
      </c>
    </row>
    <row r="9703" spans="1:5" x14ac:dyDescent="0.25">
      <c r="A9703" s="279">
        <v>39320</v>
      </c>
      <c r="B9703" t="s">
        <v>338</v>
      </c>
      <c r="C9703" t="s">
        <v>120</v>
      </c>
      <c r="D9703">
        <v>12244</v>
      </c>
      <c r="E9703" t="s">
        <v>378</v>
      </c>
    </row>
    <row r="9704" spans="1:5" x14ac:dyDescent="0.25">
      <c r="A9704" s="279">
        <v>39320</v>
      </c>
      <c r="B9704" t="s">
        <v>338</v>
      </c>
      <c r="C9704" t="s">
        <v>121</v>
      </c>
      <c r="D9704">
        <v>0</v>
      </c>
      <c r="E9704" t="s">
        <v>380</v>
      </c>
    </row>
    <row r="9705" spans="1:5" x14ac:dyDescent="0.25">
      <c r="A9705" s="279">
        <v>39320</v>
      </c>
      <c r="B9705" t="s">
        <v>338</v>
      </c>
      <c r="C9705" t="s">
        <v>67</v>
      </c>
      <c r="D9705">
        <v>0</v>
      </c>
      <c r="E9705" t="s">
        <v>378</v>
      </c>
    </row>
    <row r="9706" spans="1:5" x14ac:dyDescent="0.25">
      <c r="A9706" s="279">
        <v>39320</v>
      </c>
      <c r="B9706" t="s">
        <v>338</v>
      </c>
      <c r="C9706" t="s">
        <v>68</v>
      </c>
      <c r="D9706">
        <v>0</v>
      </c>
      <c r="E9706" t="s">
        <v>380</v>
      </c>
    </row>
    <row r="9707" spans="1:5" x14ac:dyDescent="0.25">
      <c r="A9707" s="279">
        <v>39320</v>
      </c>
      <c r="B9707" t="s">
        <v>338</v>
      </c>
      <c r="C9707" t="s">
        <v>69</v>
      </c>
      <c r="D9707">
        <v>0</v>
      </c>
      <c r="E9707" t="s">
        <v>379</v>
      </c>
    </row>
    <row r="9708" spans="1:5" x14ac:dyDescent="0.25">
      <c r="A9708" s="279">
        <v>39320</v>
      </c>
      <c r="B9708" t="s">
        <v>338</v>
      </c>
      <c r="C9708" t="s">
        <v>70</v>
      </c>
      <c r="D9708">
        <v>0</v>
      </c>
      <c r="E9708" t="s">
        <v>379</v>
      </c>
    </row>
    <row r="9709" spans="1:5" x14ac:dyDescent="0.25">
      <c r="A9709" s="279">
        <v>39320</v>
      </c>
      <c r="B9709" t="s">
        <v>338</v>
      </c>
      <c r="C9709" t="s">
        <v>80</v>
      </c>
      <c r="D9709">
        <v>185</v>
      </c>
      <c r="E9709" t="s">
        <v>379</v>
      </c>
    </row>
    <row r="9710" spans="1:5" x14ac:dyDescent="0.25">
      <c r="A9710" s="279">
        <v>39320</v>
      </c>
      <c r="B9710" t="s">
        <v>339</v>
      </c>
      <c r="C9710" t="s">
        <v>71</v>
      </c>
      <c r="D9710">
        <v>1916</v>
      </c>
      <c r="E9710" t="s">
        <v>378</v>
      </c>
    </row>
    <row r="9711" spans="1:5" x14ac:dyDescent="0.25">
      <c r="A9711" s="279">
        <v>39320</v>
      </c>
      <c r="B9711" t="s">
        <v>339</v>
      </c>
      <c r="C9711" t="s">
        <v>72</v>
      </c>
      <c r="D9711">
        <v>0</v>
      </c>
      <c r="E9711" t="s">
        <v>380</v>
      </c>
    </row>
    <row r="9712" spans="1:5" x14ac:dyDescent="0.25">
      <c r="A9712" s="279">
        <v>39320</v>
      </c>
      <c r="B9712" t="s">
        <v>339</v>
      </c>
      <c r="C9712" t="s">
        <v>73</v>
      </c>
      <c r="D9712">
        <v>17029</v>
      </c>
      <c r="E9712" t="s">
        <v>378</v>
      </c>
    </row>
    <row r="9713" spans="1:5" x14ac:dyDescent="0.25">
      <c r="A9713" s="279">
        <v>39320</v>
      </c>
      <c r="B9713" t="s">
        <v>339</v>
      </c>
      <c r="C9713" t="s">
        <v>74</v>
      </c>
      <c r="D9713">
        <v>0</v>
      </c>
      <c r="E9713" t="s">
        <v>380</v>
      </c>
    </row>
    <row r="9714" spans="1:5" x14ac:dyDescent="0.25">
      <c r="A9714" s="279">
        <v>39320</v>
      </c>
      <c r="B9714" t="s">
        <v>339</v>
      </c>
      <c r="C9714" t="s">
        <v>75</v>
      </c>
      <c r="D9714">
        <v>15287</v>
      </c>
      <c r="E9714" t="s">
        <v>378</v>
      </c>
    </row>
    <row r="9715" spans="1:5" x14ac:dyDescent="0.25">
      <c r="A9715" s="279">
        <v>39320</v>
      </c>
      <c r="B9715" t="s">
        <v>339</v>
      </c>
      <c r="C9715" t="s">
        <v>76</v>
      </c>
      <c r="D9715">
        <v>12354</v>
      </c>
      <c r="E9715" t="s">
        <v>380</v>
      </c>
    </row>
    <row r="9716" spans="1:5" x14ac:dyDescent="0.25">
      <c r="A9716" s="279">
        <v>39320</v>
      </c>
      <c r="B9716" t="s">
        <v>339</v>
      </c>
      <c r="C9716" t="s">
        <v>77</v>
      </c>
      <c r="D9716">
        <v>7289</v>
      </c>
      <c r="E9716" t="s">
        <v>378</v>
      </c>
    </row>
    <row r="9717" spans="1:5" x14ac:dyDescent="0.25">
      <c r="A9717" s="279">
        <v>39320</v>
      </c>
      <c r="B9717" t="s">
        <v>339</v>
      </c>
      <c r="C9717" t="s">
        <v>78</v>
      </c>
      <c r="D9717">
        <v>0</v>
      </c>
      <c r="E9717" t="s">
        <v>380</v>
      </c>
    </row>
    <row r="9718" spans="1:5" x14ac:dyDescent="0.25">
      <c r="A9718" s="279">
        <v>39320</v>
      </c>
      <c r="B9718" t="s">
        <v>339</v>
      </c>
      <c r="C9718" t="s">
        <v>79</v>
      </c>
      <c r="D9718">
        <v>88594</v>
      </c>
      <c r="E9718" t="s">
        <v>379</v>
      </c>
    </row>
    <row r="9719" spans="1:5" x14ac:dyDescent="0.25">
      <c r="A9719" s="279">
        <v>39320</v>
      </c>
      <c r="B9719" t="s">
        <v>339</v>
      </c>
      <c r="C9719" t="s">
        <v>70</v>
      </c>
      <c r="D9719">
        <v>0</v>
      </c>
      <c r="E9719" t="s">
        <v>379</v>
      </c>
    </row>
    <row r="9720" spans="1:5" x14ac:dyDescent="0.25">
      <c r="A9720" s="279">
        <v>39320</v>
      </c>
      <c r="B9720" t="s">
        <v>339</v>
      </c>
      <c r="C9720" t="s">
        <v>63</v>
      </c>
      <c r="D9720">
        <v>17353</v>
      </c>
      <c r="E9720" t="s">
        <v>378</v>
      </c>
    </row>
    <row r="9721" spans="1:5" x14ac:dyDescent="0.25">
      <c r="A9721" s="279">
        <v>39320</v>
      </c>
      <c r="B9721" t="s">
        <v>339</v>
      </c>
      <c r="C9721" t="s">
        <v>80</v>
      </c>
      <c r="D9721">
        <v>798</v>
      </c>
      <c r="E9721" t="s">
        <v>379</v>
      </c>
    </row>
    <row r="9722" spans="1:5" x14ac:dyDescent="0.25">
      <c r="A9722" s="279">
        <v>39321</v>
      </c>
      <c r="B9722" t="s">
        <v>338</v>
      </c>
      <c r="C9722" t="s">
        <v>59</v>
      </c>
      <c r="D9722">
        <v>2578</v>
      </c>
      <c r="E9722" t="s">
        <v>378</v>
      </c>
    </row>
    <row r="9723" spans="1:5" x14ac:dyDescent="0.25">
      <c r="A9723" s="279">
        <v>39321</v>
      </c>
      <c r="B9723" t="s">
        <v>338</v>
      </c>
      <c r="C9723" t="s">
        <v>60</v>
      </c>
      <c r="D9723">
        <v>0</v>
      </c>
      <c r="E9723" t="s">
        <v>379</v>
      </c>
    </row>
    <row r="9724" spans="1:5" x14ac:dyDescent="0.25">
      <c r="A9724" s="279">
        <v>39321</v>
      </c>
      <c r="B9724" t="s">
        <v>338</v>
      </c>
      <c r="C9724" t="s">
        <v>61</v>
      </c>
      <c r="D9724">
        <v>7612</v>
      </c>
      <c r="E9724" t="s">
        <v>378</v>
      </c>
    </row>
    <row r="9725" spans="1:5" x14ac:dyDescent="0.25">
      <c r="A9725" s="279">
        <v>39321</v>
      </c>
      <c r="B9725" t="s">
        <v>338</v>
      </c>
      <c r="C9725" t="s">
        <v>62</v>
      </c>
      <c r="D9725">
        <v>0</v>
      </c>
      <c r="E9725" t="s">
        <v>380</v>
      </c>
    </row>
    <row r="9726" spans="1:5" x14ac:dyDescent="0.25">
      <c r="A9726" s="279">
        <v>39321</v>
      </c>
      <c r="B9726" t="s">
        <v>338</v>
      </c>
      <c r="C9726" t="s">
        <v>63</v>
      </c>
      <c r="D9726">
        <v>0</v>
      </c>
      <c r="E9726" t="s">
        <v>378</v>
      </c>
    </row>
    <row r="9727" spans="1:5" x14ac:dyDescent="0.25">
      <c r="A9727" s="279">
        <v>39321</v>
      </c>
      <c r="B9727" t="s">
        <v>338</v>
      </c>
      <c r="C9727" t="s">
        <v>64</v>
      </c>
      <c r="D9727">
        <v>0</v>
      </c>
      <c r="E9727" t="s">
        <v>380</v>
      </c>
    </row>
    <row r="9728" spans="1:5" x14ac:dyDescent="0.25">
      <c r="A9728" s="279">
        <v>39321</v>
      </c>
      <c r="B9728" t="s">
        <v>338</v>
      </c>
      <c r="C9728" t="s">
        <v>65</v>
      </c>
      <c r="D9728">
        <v>0</v>
      </c>
      <c r="E9728" t="s">
        <v>378</v>
      </c>
    </row>
    <row r="9729" spans="1:5" x14ac:dyDescent="0.25">
      <c r="A9729" s="279">
        <v>39321</v>
      </c>
      <c r="B9729" t="s">
        <v>338</v>
      </c>
      <c r="C9729" t="s">
        <v>66</v>
      </c>
      <c r="D9729">
        <v>0</v>
      </c>
      <c r="E9729" t="s">
        <v>380</v>
      </c>
    </row>
    <row r="9730" spans="1:5" x14ac:dyDescent="0.25">
      <c r="A9730" s="279">
        <v>39321</v>
      </c>
      <c r="B9730" t="s">
        <v>338</v>
      </c>
      <c r="C9730" t="s">
        <v>120</v>
      </c>
      <c r="D9730">
        <v>12256</v>
      </c>
      <c r="E9730" t="s">
        <v>378</v>
      </c>
    </row>
    <row r="9731" spans="1:5" x14ac:dyDescent="0.25">
      <c r="A9731" s="279">
        <v>39321</v>
      </c>
      <c r="B9731" t="s">
        <v>338</v>
      </c>
      <c r="C9731" t="s">
        <v>121</v>
      </c>
      <c r="D9731">
        <v>0</v>
      </c>
      <c r="E9731" t="s">
        <v>380</v>
      </c>
    </row>
    <row r="9732" spans="1:5" x14ac:dyDescent="0.25">
      <c r="A9732" s="279">
        <v>39321</v>
      </c>
      <c r="B9732" t="s">
        <v>338</v>
      </c>
      <c r="C9732" t="s">
        <v>67</v>
      </c>
      <c r="D9732">
        <v>0</v>
      </c>
      <c r="E9732" t="s">
        <v>378</v>
      </c>
    </row>
    <row r="9733" spans="1:5" x14ac:dyDescent="0.25">
      <c r="A9733" s="279">
        <v>39321</v>
      </c>
      <c r="B9733" t="s">
        <v>338</v>
      </c>
      <c r="C9733" t="s">
        <v>68</v>
      </c>
      <c r="D9733">
        <v>0</v>
      </c>
      <c r="E9733" t="s">
        <v>380</v>
      </c>
    </row>
    <row r="9734" spans="1:5" x14ac:dyDescent="0.25">
      <c r="A9734" s="279">
        <v>39321</v>
      </c>
      <c r="B9734" t="s">
        <v>338</v>
      </c>
      <c r="C9734" t="s">
        <v>69</v>
      </c>
      <c r="D9734">
        <v>0</v>
      </c>
      <c r="E9734" t="s">
        <v>379</v>
      </c>
    </row>
    <row r="9735" spans="1:5" x14ac:dyDescent="0.25">
      <c r="A9735" s="279">
        <v>39321</v>
      </c>
      <c r="B9735" t="s">
        <v>338</v>
      </c>
      <c r="C9735" t="s">
        <v>70</v>
      </c>
      <c r="D9735">
        <v>0</v>
      </c>
      <c r="E9735" t="s">
        <v>379</v>
      </c>
    </row>
    <row r="9736" spans="1:5" x14ac:dyDescent="0.25">
      <c r="A9736" s="279">
        <v>39321</v>
      </c>
      <c r="B9736" t="s">
        <v>338</v>
      </c>
      <c r="C9736" t="s">
        <v>80</v>
      </c>
      <c r="D9736">
        <v>185</v>
      </c>
      <c r="E9736" t="s">
        <v>379</v>
      </c>
    </row>
    <row r="9737" spans="1:5" x14ac:dyDescent="0.25">
      <c r="A9737" s="279">
        <v>39321</v>
      </c>
      <c r="B9737" t="s">
        <v>339</v>
      </c>
      <c r="C9737" t="s">
        <v>71</v>
      </c>
      <c r="D9737">
        <v>1914</v>
      </c>
      <c r="E9737" t="s">
        <v>378</v>
      </c>
    </row>
    <row r="9738" spans="1:5" x14ac:dyDescent="0.25">
      <c r="A9738" s="279">
        <v>39321</v>
      </c>
      <c r="B9738" t="s">
        <v>339</v>
      </c>
      <c r="C9738" t="s">
        <v>72</v>
      </c>
      <c r="D9738">
        <v>0</v>
      </c>
      <c r="E9738" t="s">
        <v>380</v>
      </c>
    </row>
    <row r="9739" spans="1:5" x14ac:dyDescent="0.25">
      <c r="A9739" s="279">
        <v>39321</v>
      </c>
      <c r="B9739" t="s">
        <v>339</v>
      </c>
      <c r="C9739" t="s">
        <v>73</v>
      </c>
      <c r="D9739">
        <v>17012</v>
      </c>
      <c r="E9739" t="s">
        <v>378</v>
      </c>
    </row>
    <row r="9740" spans="1:5" x14ac:dyDescent="0.25">
      <c r="A9740" s="279">
        <v>39321</v>
      </c>
      <c r="B9740" t="s">
        <v>339</v>
      </c>
      <c r="C9740" t="s">
        <v>74</v>
      </c>
      <c r="D9740">
        <v>0</v>
      </c>
      <c r="E9740" t="s">
        <v>380</v>
      </c>
    </row>
    <row r="9741" spans="1:5" x14ac:dyDescent="0.25">
      <c r="A9741" s="279">
        <v>39321</v>
      </c>
      <c r="B9741" t="s">
        <v>339</v>
      </c>
      <c r="C9741" t="s">
        <v>75</v>
      </c>
      <c r="D9741">
        <v>15272</v>
      </c>
      <c r="E9741" t="s">
        <v>378</v>
      </c>
    </row>
    <row r="9742" spans="1:5" x14ac:dyDescent="0.25">
      <c r="A9742" s="279">
        <v>39321</v>
      </c>
      <c r="B9742" t="s">
        <v>339</v>
      </c>
      <c r="C9742" t="s">
        <v>76</v>
      </c>
      <c r="D9742">
        <v>11269</v>
      </c>
      <c r="E9742" t="s">
        <v>380</v>
      </c>
    </row>
    <row r="9743" spans="1:5" x14ac:dyDescent="0.25">
      <c r="A9743" s="279">
        <v>39321</v>
      </c>
      <c r="B9743" t="s">
        <v>339</v>
      </c>
      <c r="C9743" t="s">
        <v>77</v>
      </c>
      <c r="D9743">
        <v>7282</v>
      </c>
      <c r="E9743" t="s">
        <v>378</v>
      </c>
    </row>
    <row r="9744" spans="1:5" x14ac:dyDescent="0.25">
      <c r="A9744" s="279">
        <v>39321</v>
      </c>
      <c r="B9744" t="s">
        <v>339</v>
      </c>
      <c r="C9744" t="s">
        <v>78</v>
      </c>
      <c r="D9744">
        <v>0</v>
      </c>
      <c r="E9744" t="s">
        <v>380</v>
      </c>
    </row>
    <row r="9745" spans="1:5" x14ac:dyDescent="0.25">
      <c r="A9745" s="279">
        <v>39321</v>
      </c>
      <c r="B9745" t="s">
        <v>339</v>
      </c>
      <c r="C9745" t="s">
        <v>79</v>
      </c>
      <c r="D9745">
        <v>88509</v>
      </c>
      <c r="E9745" t="s">
        <v>379</v>
      </c>
    </row>
    <row r="9746" spans="1:5" x14ac:dyDescent="0.25">
      <c r="A9746" s="279">
        <v>39321</v>
      </c>
      <c r="B9746" t="s">
        <v>339</v>
      </c>
      <c r="C9746" t="s">
        <v>70</v>
      </c>
      <c r="D9746">
        <v>0</v>
      </c>
      <c r="E9746" t="s">
        <v>379</v>
      </c>
    </row>
    <row r="9747" spans="1:5" x14ac:dyDescent="0.25">
      <c r="A9747" s="279">
        <v>39321</v>
      </c>
      <c r="B9747" t="s">
        <v>339</v>
      </c>
      <c r="C9747" t="s">
        <v>63</v>
      </c>
      <c r="D9747">
        <v>17336</v>
      </c>
      <c r="E9747" t="s">
        <v>378</v>
      </c>
    </row>
    <row r="9748" spans="1:5" x14ac:dyDescent="0.25">
      <c r="A9748" s="279">
        <v>39321</v>
      </c>
      <c r="B9748" t="s">
        <v>339</v>
      </c>
      <c r="C9748" t="s">
        <v>80</v>
      </c>
      <c r="D9748">
        <v>798</v>
      </c>
      <c r="E9748" t="s">
        <v>379</v>
      </c>
    </row>
    <row r="9749" spans="1:5" x14ac:dyDescent="0.25">
      <c r="A9749" s="279">
        <v>39322</v>
      </c>
      <c r="B9749" t="s">
        <v>338</v>
      </c>
      <c r="C9749" t="s">
        <v>59</v>
      </c>
      <c r="D9749">
        <v>2578</v>
      </c>
      <c r="E9749" t="s">
        <v>378</v>
      </c>
    </row>
    <row r="9750" spans="1:5" x14ac:dyDescent="0.25">
      <c r="A9750" s="279">
        <v>39322</v>
      </c>
      <c r="B9750" t="s">
        <v>338</v>
      </c>
      <c r="C9750" t="s">
        <v>60</v>
      </c>
      <c r="D9750">
        <v>0</v>
      </c>
      <c r="E9750" t="s">
        <v>379</v>
      </c>
    </row>
    <row r="9751" spans="1:5" x14ac:dyDescent="0.25">
      <c r="A9751" s="279">
        <v>39322</v>
      </c>
      <c r="B9751" t="s">
        <v>338</v>
      </c>
      <c r="C9751" t="s">
        <v>61</v>
      </c>
      <c r="D9751">
        <v>7612</v>
      </c>
      <c r="E9751" t="s">
        <v>378</v>
      </c>
    </row>
    <row r="9752" spans="1:5" x14ac:dyDescent="0.25">
      <c r="A9752" s="279">
        <v>39322</v>
      </c>
      <c r="B9752" t="s">
        <v>338</v>
      </c>
      <c r="C9752" t="s">
        <v>62</v>
      </c>
      <c r="D9752">
        <v>0</v>
      </c>
      <c r="E9752" t="s">
        <v>380</v>
      </c>
    </row>
    <row r="9753" spans="1:5" x14ac:dyDescent="0.25">
      <c r="A9753" s="279">
        <v>39322</v>
      </c>
      <c r="B9753" t="s">
        <v>338</v>
      </c>
      <c r="C9753" t="s">
        <v>63</v>
      </c>
      <c r="D9753">
        <v>0</v>
      </c>
      <c r="E9753" t="s">
        <v>378</v>
      </c>
    </row>
    <row r="9754" spans="1:5" x14ac:dyDescent="0.25">
      <c r="A9754" s="279">
        <v>39322</v>
      </c>
      <c r="B9754" t="s">
        <v>338</v>
      </c>
      <c r="C9754" t="s">
        <v>64</v>
      </c>
      <c r="D9754">
        <v>0</v>
      </c>
      <c r="E9754" t="s">
        <v>380</v>
      </c>
    </row>
    <row r="9755" spans="1:5" x14ac:dyDescent="0.25">
      <c r="A9755" s="279">
        <v>39322</v>
      </c>
      <c r="B9755" t="s">
        <v>338</v>
      </c>
      <c r="C9755" t="s">
        <v>65</v>
      </c>
      <c r="D9755">
        <v>0</v>
      </c>
      <c r="E9755" t="s">
        <v>378</v>
      </c>
    </row>
    <row r="9756" spans="1:5" x14ac:dyDescent="0.25">
      <c r="A9756" s="279">
        <v>39322</v>
      </c>
      <c r="B9756" t="s">
        <v>338</v>
      </c>
      <c r="C9756" t="s">
        <v>66</v>
      </c>
      <c r="D9756">
        <v>0</v>
      </c>
      <c r="E9756" t="s">
        <v>380</v>
      </c>
    </row>
    <row r="9757" spans="1:5" x14ac:dyDescent="0.25">
      <c r="A9757" s="279">
        <v>39322</v>
      </c>
      <c r="B9757" t="s">
        <v>338</v>
      </c>
      <c r="C9757" t="s">
        <v>120</v>
      </c>
      <c r="D9757">
        <v>12256</v>
      </c>
      <c r="E9757" t="s">
        <v>378</v>
      </c>
    </row>
    <row r="9758" spans="1:5" x14ac:dyDescent="0.25">
      <c r="A9758" s="279">
        <v>39322</v>
      </c>
      <c r="B9758" t="s">
        <v>338</v>
      </c>
      <c r="C9758" t="s">
        <v>121</v>
      </c>
      <c r="D9758">
        <v>0</v>
      </c>
      <c r="E9758" t="s">
        <v>380</v>
      </c>
    </row>
    <row r="9759" spans="1:5" x14ac:dyDescent="0.25">
      <c r="A9759" s="279">
        <v>39322</v>
      </c>
      <c r="B9759" t="s">
        <v>338</v>
      </c>
      <c r="C9759" t="s">
        <v>67</v>
      </c>
      <c r="D9759">
        <v>0</v>
      </c>
      <c r="E9759" t="s">
        <v>378</v>
      </c>
    </row>
    <row r="9760" spans="1:5" x14ac:dyDescent="0.25">
      <c r="A9760" s="279">
        <v>39322</v>
      </c>
      <c r="B9760" t="s">
        <v>338</v>
      </c>
      <c r="C9760" t="s">
        <v>68</v>
      </c>
      <c r="D9760">
        <v>0</v>
      </c>
      <c r="E9760" t="s">
        <v>380</v>
      </c>
    </row>
    <row r="9761" spans="1:5" x14ac:dyDescent="0.25">
      <c r="A9761" s="279">
        <v>39322</v>
      </c>
      <c r="B9761" t="s">
        <v>338</v>
      </c>
      <c r="C9761" t="s">
        <v>69</v>
      </c>
      <c r="D9761">
        <v>0</v>
      </c>
      <c r="E9761" t="s">
        <v>379</v>
      </c>
    </row>
    <row r="9762" spans="1:5" x14ac:dyDescent="0.25">
      <c r="A9762" s="279">
        <v>39322</v>
      </c>
      <c r="B9762" t="s">
        <v>338</v>
      </c>
      <c r="C9762" t="s">
        <v>70</v>
      </c>
      <c r="D9762">
        <v>0</v>
      </c>
      <c r="E9762" t="s">
        <v>379</v>
      </c>
    </row>
    <row r="9763" spans="1:5" x14ac:dyDescent="0.25">
      <c r="A9763" s="279">
        <v>39322</v>
      </c>
      <c r="B9763" t="s">
        <v>338</v>
      </c>
      <c r="C9763" t="s">
        <v>80</v>
      </c>
      <c r="D9763">
        <v>185</v>
      </c>
      <c r="E9763" t="s">
        <v>379</v>
      </c>
    </row>
    <row r="9764" spans="1:5" x14ac:dyDescent="0.25">
      <c r="A9764" s="279">
        <v>39322</v>
      </c>
      <c r="B9764" t="s">
        <v>339</v>
      </c>
      <c r="C9764" t="s">
        <v>71</v>
      </c>
      <c r="D9764">
        <v>1914</v>
      </c>
      <c r="E9764" t="s">
        <v>378</v>
      </c>
    </row>
    <row r="9765" spans="1:5" x14ac:dyDescent="0.25">
      <c r="A9765" s="279">
        <v>39322</v>
      </c>
      <c r="B9765" t="s">
        <v>339</v>
      </c>
      <c r="C9765" t="s">
        <v>72</v>
      </c>
      <c r="D9765">
        <v>0</v>
      </c>
      <c r="E9765" t="s">
        <v>380</v>
      </c>
    </row>
    <row r="9766" spans="1:5" x14ac:dyDescent="0.25">
      <c r="A9766" s="279">
        <v>39322</v>
      </c>
      <c r="B9766" t="s">
        <v>339</v>
      </c>
      <c r="C9766" t="s">
        <v>73</v>
      </c>
      <c r="D9766">
        <v>17012</v>
      </c>
      <c r="E9766" t="s">
        <v>378</v>
      </c>
    </row>
    <row r="9767" spans="1:5" x14ac:dyDescent="0.25">
      <c r="A9767" s="279">
        <v>39322</v>
      </c>
      <c r="B9767" t="s">
        <v>339</v>
      </c>
      <c r="C9767" t="s">
        <v>74</v>
      </c>
      <c r="D9767">
        <v>0</v>
      </c>
      <c r="E9767" t="s">
        <v>380</v>
      </c>
    </row>
    <row r="9768" spans="1:5" x14ac:dyDescent="0.25">
      <c r="A9768" s="279">
        <v>39322</v>
      </c>
      <c r="B9768" t="s">
        <v>339</v>
      </c>
      <c r="C9768" t="s">
        <v>75</v>
      </c>
      <c r="D9768">
        <v>15272</v>
      </c>
      <c r="E9768" t="s">
        <v>378</v>
      </c>
    </row>
    <row r="9769" spans="1:5" x14ac:dyDescent="0.25">
      <c r="A9769" s="279">
        <v>39322</v>
      </c>
      <c r="B9769" t="s">
        <v>339</v>
      </c>
      <c r="C9769" t="s">
        <v>76</v>
      </c>
      <c r="D9769">
        <v>11967</v>
      </c>
      <c r="E9769" t="s">
        <v>380</v>
      </c>
    </row>
    <row r="9770" spans="1:5" x14ac:dyDescent="0.25">
      <c r="A9770" s="279">
        <v>39322</v>
      </c>
      <c r="B9770" t="s">
        <v>339</v>
      </c>
      <c r="C9770" t="s">
        <v>77</v>
      </c>
      <c r="D9770">
        <v>7282</v>
      </c>
      <c r="E9770" t="s">
        <v>378</v>
      </c>
    </row>
    <row r="9771" spans="1:5" x14ac:dyDescent="0.25">
      <c r="A9771" s="279">
        <v>39322</v>
      </c>
      <c r="B9771" t="s">
        <v>339</v>
      </c>
      <c r="C9771" t="s">
        <v>78</v>
      </c>
      <c r="D9771">
        <v>0</v>
      </c>
      <c r="E9771" t="s">
        <v>380</v>
      </c>
    </row>
    <row r="9772" spans="1:5" x14ac:dyDescent="0.25">
      <c r="A9772" s="279">
        <v>39322</v>
      </c>
      <c r="B9772" t="s">
        <v>339</v>
      </c>
      <c r="C9772" t="s">
        <v>79</v>
      </c>
      <c r="D9772">
        <v>88509</v>
      </c>
      <c r="E9772" t="s">
        <v>379</v>
      </c>
    </row>
    <row r="9773" spans="1:5" x14ac:dyDescent="0.25">
      <c r="A9773" s="279">
        <v>39322</v>
      </c>
      <c r="B9773" t="s">
        <v>339</v>
      </c>
      <c r="C9773" t="s">
        <v>70</v>
      </c>
      <c r="D9773">
        <v>0</v>
      </c>
      <c r="E9773" t="s">
        <v>379</v>
      </c>
    </row>
    <row r="9774" spans="1:5" x14ac:dyDescent="0.25">
      <c r="A9774" s="279">
        <v>39322</v>
      </c>
      <c r="B9774" t="s">
        <v>339</v>
      </c>
      <c r="C9774" t="s">
        <v>63</v>
      </c>
      <c r="D9774">
        <v>17336</v>
      </c>
      <c r="E9774" t="s">
        <v>378</v>
      </c>
    </row>
    <row r="9775" spans="1:5" x14ac:dyDescent="0.25">
      <c r="A9775" s="279">
        <v>39322</v>
      </c>
      <c r="B9775" t="s">
        <v>339</v>
      </c>
      <c r="C9775" t="s">
        <v>80</v>
      </c>
      <c r="D9775">
        <v>798</v>
      </c>
      <c r="E9775" t="s">
        <v>379</v>
      </c>
    </row>
    <row r="9776" spans="1:5" x14ac:dyDescent="0.25">
      <c r="A9776" s="279">
        <v>39323</v>
      </c>
      <c r="B9776" t="s">
        <v>338</v>
      </c>
      <c r="C9776" t="s">
        <v>59</v>
      </c>
      <c r="D9776">
        <v>2575</v>
      </c>
      <c r="E9776" t="s">
        <v>378</v>
      </c>
    </row>
    <row r="9777" spans="1:5" x14ac:dyDescent="0.25">
      <c r="A9777" s="279">
        <v>39323</v>
      </c>
      <c r="B9777" t="s">
        <v>338</v>
      </c>
      <c r="C9777" t="s">
        <v>60</v>
      </c>
      <c r="D9777">
        <v>0</v>
      </c>
      <c r="E9777" t="s">
        <v>379</v>
      </c>
    </row>
    <row r="9778" spans="1:5" x14ac:dyDescent="0.25">
      <c r="A9778" s="279">
        <v>39323</v>
      </c>
      <c r="B9778" t="s">
        <v>338</v>
      </c>
      <c r="C9778" t="s">
        <v>61</v>
      </c>
      <c r="D9778">
        <v>7623</v>
      </c>
      <c r="E9778" t="s">
        <v>378</v>
      </c>
    </row>
    <row r="9779" spans="1:5" x14ac:dyDescent="0.25">
      <c r="A9779" s="279">
        <v>39323</v>
      </c>
      <c r="B9779" t="s">
        <v>338</v>
      </c>
      <c r="C9779" t="s">
        <v>62</v>
      </c>
      <c r="D9779">
        <v>0</v>
      </c>
      <c r="E9779" t="s">
        <v>380</v>
      </c>
    </row>
    <row r="9780" spans="1:5" x14ac:dyDescent="0.25">
      <c r="A9780" s="279">
        <v>39323</v>
      </c>
      <c r="B9780" t="s">
        <v>338</v>
      </c>
      <c r="C9780" t="s">
        <v>63</v>
      </c>
      <c r="D9780">
        <v>0</v>
      </c>
      <c r="E9780" t="s">
        <v>378</v>
      </c>
    </row>
    <row r="9781" spans="1:5" x14ac:dyDescent="0.25">
      <c r="A9781" s="279">
        <v>39323</v>
      </c>
      <c r="B9781" t="s">
        <v>338</v>
      </c>
      <c r="C9781" t="s">
        <v>64</v>
      </c>
      <c r="D9781">
        <v>0</v>
      </c>
      <c r="E9781" t="s">
        <v>380</v>
      </c>
    </row>
    <row r="9782" spans="1:5" x14ac:dyDescent="0.25">
      <c r="A9782" s="279">
        <v>39323</v>
      </c>
      <c r="B9782" t="s">
        <v>338</v>
      </c>
      <c r="C9782" t="s">
        <v>65</v>
      </c>
      <c r="D9782">
        <v>0</v>
      </c>
      <c r="E9782" t="s">
        <v>378</v>
      </c>
    </row>
    <row r="9783" spans="1:5" x14ac:dyDescent="0.25">
      <c r="A9783" s="279">
        <v>39323</v>
      </c>
      <c r="B9783" t="s">
        <v>338</v>
      </c>
      <c r="C9783" t="s">
        <v>66</v>
      </c>
      <c r="D9783">
        <v>0</v>
      </c>
      <c r="E9783" t="s">
        <v>380</v>
      </c>
    </row>
    <row r="9784" spans="1:5" x14ac:dyDescent="0.25">
      <c r="A9784" s="279">
        <v>39323</v>
      </c>
      <c r="B9784" t="s">
        <v>338</v>
      </c>
      <c r="C9784" t="s">
        <v>120</v>
      </c>
      <c r="D9784">
        <v>12244</v>
      </c>
      <c r="E9784" t="s">
        <v>378</v>
      </c>
    </row>
    <row r="9785" spans="1:5" x14ac:dyDescent="0.25">
      <c r="A9785" s="279">
        <v>39323</v>
      </c>
      <c r="B9785" t="s">
        <v>338</v>
      </c>
      <c r="C9785" t="s">
        <v>121</v>
      </c>
      <c r="D9785">
        <v>0</v>
      </c>
      <c r="E9785" t="s">
        <v>380</v>
      </c>
    </row>
    <row r="9786" spans="1:5" x14ac:dyDescent="0.25">
      <c r="A9786" s="279">
        <v>39323</v>
      </c>
      <c r="B9786" t="s">
        <v>338</v>
      </c>
      <c r="C9786" t="s">
        <v>67</v>
      </c>
      <c r="D9786">
        <v>0</v>
      </c>
      <c r="E9786" t="s">
        <v>378</v>
      </c>
    </row>
    <row r="9787" spans="1:5" x14ac:dyDescent="0.25">
      <c r="A9787" s="279">
        <v>39323</v>
      </c>
      <c r="B9787" t="s">
        <v>338</v>
      </c>
      <c r="C9787" t="s">
        <v>68</v>
      </c>
      <c r="D9787">
        <v>0</v>
      </c>
      <c r="E9787" t="s">
        <v>380</v>
      </c>
    </row>
    <row r="9788" spans="1:5" x14ac:dyDescent="0.25">
      <c r="A9788" s="279">
        <v>39323</v>
      </c>
      <c r="B9788" t="s">
        <v>338</v>
      </c>
      <c r="C9788" t="s">
        <v>69</v>
      </c>
      <c r="D9788">
        <v>0</v>
      </c>
      <c r="E9788" t="s">
        <v>379</v>
      </c>
    </row>
    <row r="9789" spans="1:5" x14ac:dyDescent="0.25">
      <c r="A9789" s="279">
        <v>39323</v>
      </c>
      <c r="B9789" t="s">
        <v>338</v>
      </c>
      <c r="C9789" t="s">
        <v>70</v>
      </c>
      <c r="D9789">
        <v>0</v>
      </c>
      <c r="E9789" t="s">
        <v>379</v>
      </c>
    </row>
    <row r="9790" spans="1:5" x14ac:dyDescent="0.25">
      <c r="A9790" s="279">
        <v>39323</v>
      </c>
      <c r="B9790" t="s">
        <v>338</v>
      </c>
      <c r="C9790" t="s">
        <v>80</v>
      </c>
      <c r="D9790">
        <v>185</v>
      </c>
      <c r="E9790" t="s">
        <v>379</v>
      </c>
    </row>
    <row r="9791" spans="1:5" x14ac:dyDescent="0.25">
      <c r="A9791" s="279">
        <v>39323</v>
      </c>
      <c r="B9791" t="s">
        <v>339</v>
      </c>
      <c r="C9791" t="s">
        <v>71</v>
      </c>
      <c r="D9791">
        <v>1914</v>
      </c>
      <c r="E9791" t="s">
        <v>378</v>
      </c>
    </row>
    <row r="9792" spans="1:5" x14ac:dyDescent="0.25">
      <c r="A9792" s="279">
        <v>39323</v>
      </c>
      <c r="B9792" t="s">
        <v>339</v>
      </c>
      <c r="C9792" t="s">
        <v>72</v>
      </c>
      <c r="D9792">
        <v>0</v>
      </c>
      <c r="E9792" t="s">
        <v>380</v>
      </c>
    </row>
    <row r="9793" spans="1:5" x14ac:dyDescent="0.25">
      <c r="A9793" s="279">
        <v>39323</v>
      </c>
      <c r="B9793" t="s">
        <v>339</v>
      </c>
      <c r="C9793" t="s">
        <v>73</v>
      </c>
      <c r="D9793">
        <v>17012</v>
      </c>
      <c r="E9793" t="s">
        <v>378</v>
      </c>
    </row>
    <row r="9794" spans="1:5" x14ac:dyDescent="0.25">
      <c r="A9794" s="279">
        <v>39323</v>
      </c>
      <c r="B9794" t="s">
        <v>339</v>
      </c>
      <c r="C9794" t="s">
        <v>74</v>
      </c>
      <c r="D9794">
        <v>0</v>
      </c>
      <c r="E9794" t="s">
        <v>380</v>
      </c>
    </row>
    <row r="9795" spans="1:5" x14ac:dyDescent="0.25">
      <c r="A9795" s="279">
        <v>39323</v>
      </c>
      <c r="B9795" t="s">
        <v>339</v>
      </c>
      <c r="C9795" t="s">
        <v>75</v>
      </c>
      <c r="D9795">
        <v>15272</v>
      </c>
      <c r="E9795" t="s">
        <v>378</v>
      </c>
    </row>
    <row r="9796" spans="1:5" x14ac:dyDescent="0.25">
      <c r="A9796" s="279">
        <v>39323</v>
      </c>
      <c r="B9796" t="s">
        <v>339</v>
      </c>
      <c r="C9796" t="s">
        <v>76</v>
      </c>
      <c r="D9796">
        <v>10516</v>
      </c>
      <c r="E9796" t="s">
        <v>380</v>
      </c>
    </row>
    <row r="9797" spans="1:5" x14ac:dyDescent="0.25">
      <c r="A9797" s="279">
        <v>39323</v>
      </c>
      <c r="B9797" t="s">
        <v>339</v>
      </c>
      <c r="C9797" t="s">
        <v>77</v>
      </c>
      <c r="D9797">
        <v>7282</v>
      </c>
      <c r="E9797" t="s">
        <v>378</v>
      </c>
    </row>
    <row r="9798" spans="1:5" x14ac:dyDescent="0.25">
      <c r="A9798" s="279">
        <v>39323</v>
      </c>
      <c r="B9798" t="s">
        <v>339</v>
      </c>
      <c r="C9798" t="s">
        <v>78</v>
      </c>
      <c r="D9798">
        <v>0</v>
      </c>
      <c r="E9798" t="s">
        <v>380</v>
      </c>
    </row>
    <row r="9799" spans="1:5" x14ac:dyDescent="0.25">
      <c r="A9799" s="279">
        <v>39323</v>
      </c>
      <c r="B9799" t="s">
        <v>339</v>
      </c>
      <c r="C9799" t="s">
        <v>79</v>
      </c>
      <c r="D9799">
        <v>88509</v>
      </c>
      <c r="E9799" t="s">
        <v>379</v>
      </c>
    </row>
    <row r="9800" spans="1:5" x14ac:dyDescent="0.25">
      <c r="A9800" s="279">
        <v>39323</v>
      </c>
      <c r="B9800" t="s">
        <v>339</v>
      </c>
      <c r="C9800" t="s">
        <v>70</v>
      </c>
      <c r="D9800">
        <v>0</v>
      </c>
      <c r="E9800" t="s">
        <v>379</v>
      </c>
    </row>
    <row r="9801" spans="1:5" x14ac:dyDescent="0.25">
      <c r="A9801" s="279">
        <v>39323</v>
      </c>
      <c r="B9801" t="s">
        <v>339</v>
      </c>
      <c r="C9801" t="s">
        <v>63</v>
      </c>
      <c r="D9801">
        <v>17336</v>
      </c>
      <c r="E9801" t="s">
        <v>378</v>
      </c>
    </row>
    <row r="9802" spans="1:5" x14ac:dyDescent="0.25">
      <c r="A9802" s="279">
        <v>39323</v>
      </c>
      <c r="B9802" t="s">
        <v>339</v>
      </c>
      <c r="C9802" t="s">
        <v>80</v>
      </c>
      <c r="D9802">
        <v>798</v>
      </c>
      <c r="E9802" t="s">
        <v>379</v>
      </c>
    </row>
    <row r="9803" spans="1:5" x14ac:dyDescent="0.25">
      <c r="A9803" s="279">
        <v>39324</v>
      </c>
      <c r="B9803" t="s">
        <v>338</v>
      </c>
      <c r="C9803" t="s">
        <v>59</v>
      </c>
      <c r="D9803">
        <v>2575</v>
      </c>
      <c r="E9803" t="s">
        <v>378</v>
      </c>
    </row>
    <row r="9804" spans="1:5" x14ac:dyDescent="0.25">
      <c r="A9804" s="279">
        <v>39324</v>
      </c>
      <c r="B9804" t="s">
        <v>338</v>
      </c>
      <c r="C9804" t="s">
        <v>60</v>
      </c>
      <c r="D9804">
        <v>0</v>
      </c>
      <c r="E9804" t="s">
        <v>379</v>
      </c>
    </row>
    <row r="9805" spans="1:5" x14ac:dyDescent="0.25">
      <c r="A9805" s="279">
        <v>39324</v>
      </c>
      <c r="B9805" t="s">
        <v>338</v>
      </c>
      <c r="C9805" t="s">
        <v>61</v>
      </c>
      <c r="D9805">
        <v>7623</v>
      </c>
      <c r="E9805" t="s">
        <v>378</v>
      </c>
    </row>
    <row r="9806" spans="1:5" x14ac:dyDescent="0.25">
      <c r="A9806" s="279">
        <v>39324</v>
      </c>
      <c r="B9806" t="s">
        <v>338</v>
      </c>
      <c r="C9806" t="s">
        <v>62</v>
      </c>
      <c r="D9806">
        <v>0</v>
      </c>
      <c r="E9806" t="s">
        <v>380</v>
      </c>
    </row>
    <row r="9807" spans="1:5" x14ac:dyDescent="0.25">
      <c r="A9807" s="279">
        <v>39324</v>
      </c>
      <c r="B9807" t="s">
        <v>338</v>
      </c>
      <c r="C9807" t="s">
        <v>63</v>
      </c>
      <c r="D9807">
        <v>0</v>
      </c>
      <c r="E9807" t="s">
        <v>378</v>
      </c>
    </row>
    <row r="9808" spans="1:5" x14ac:dyDescent="0.25">
      <c r="A9808" s="279">
        <v>39324</v>
      </c>
      <c r="B9808" t="s">
        <v>338</v>
      </c>
      <c r="C9808" t="s">
        <v>64</v>
      </c>
      <c r="D9808">
        <v>0</v>
      </c>
      <c r="E9808" t="s">
        <v>380</v>
      </c>
    </row>
    <row r="9809" spans="1:5" x14ac:dyDescent="0.25">
      <c r="A9809" s="279">
        <v>39324</v>
      </c>
      <c r="B9809" t="s">
        <v>338</v>
      </c>
      <c r="C9809" t="s">
        <v>65</v>
      </c>
      <c r="D9809">
        <v>0</v>
      </c>
      <c r="E9809" t="s">
        <v>378</v>
      </c>
    </row>
    <row r="9810" spans="1:5" x14ac:dyDescent="0.25">
      <c r="A9810" s="279">
        <v>39324</v>
      </c>
      <c r="B9810" t="s">
        <v>338</v>
      </c>
      <c r="C9810" t="s">
        <v>66</v>
      </c>
      <c r="D9810">
        <v>0</v>
      </c>
      <c r="E9810" t="s">
        <v>380</v>
      </c>
    </row>
    <row r="9811" spans="1:5" x14ac:dyDescent="0.25">
      <c r="A9811" s="279">
        <v>39324</v>
      </c>
      <c r="B9811" t="s">
        <v>338</v>
      </c>
      <c r="C9811" t="s">
        <v>120</v>
      </c>
      <c r="D9811">
        <v>12244</v>
      </c>
      <c r="E9811" t="s">
        <v>378</v>
      </c>
    </row>
    <row r="9812" spans="1:5" x14ac:dyDescent="0.25">
      <c r="A9812" s="279">
        <v>39324</v>
      </c>
      <c r="B9812" t="s">
        <v>338</v>
      </c>
      <c r="C9812" t="s">
        <v>121</v>
      </c>
      <c r="D9812">
        <v>0</v>
      </c>
      <c r="E9812" t="s">
        <v>380</v>
      </c>
    </row>
    <row r="9813" spans="1:5" x14ac:dyDescent="0.25">
      <c r="A9813" s="279">
        <v>39324</v>
      </c>
      <c r="B9813" t="s">
        <v>338</v>
      </c>
      <c r="C9813" t="s">
        <v>67</v>
      </c>
      <c r="D9813">
        <v>0</v>
      </c>
      <c r="E9813" t="s">
        <v>378</v>
      </c>
    </row>
    <row r="9814" spans="1:5" x14ac:dyDescent="0.25">
      <c r="A9814" s="279">
        <v>39324</v>
      </c>
      <c r="B9814" t="s">
        <v>338</v>
      </c>
      <c r="C9814" t="s">
        <v>68</v>
      </c>
      <c r="D9814">
        <v>0</v>
      </c>
      <c r="E9814" t="s">
        <v>380</v>
      </c>
    </row>
    <row r="9815" spans="1:5" x14ac:dyDescent="0.25">
      <c r="A9815" s="279">
        <v>39324</v>
      </c>
      <c r="B9815" t="s">
        <v>338</v>
      </c>
      <c r="C9815" t="s">
        <v>69</v>
      </c>
      <c r="D9815">
        <v>0</v>
      </c>
      <c r="E9815" t="s">
        <v>379</v>
      </c>
    </row>
    <row r="9816" spans="1:5" x14ac:dyDescent="0.25">
      <c r="A9816" s="279">
        <v>39324</v>
      </c>
      <c r="B9816" t="s">
        <v>338</v>
      </c>
      <c r="C9816" t="s">
        <v>70</v>
      </c>
      <c r="D9816">
        <v>0</v>
      </c>
      <c r="E9816" t="s">
        <v>379</v>
      </c>
    </row>
    <row r="9817" spans="1:5" x14ac:dyDescent="0.25">
      <c r="A9817" s="279">
        <v>39324</v>
      </c>
      <c r="B9817" t="s">
        <v>338</v>
      </c>
      <c r="C9817" t="s">
        <v>80</v>
      </c>
      <c r="D9817">
        <v>185</v>
      </c>
      <c r="E9817" t="s">
        <v>379</v>
      </c>
    </row>
    <row r="9818" spans="1:5" x14ac:dyDescent="0.25">
      <c r="A9818" s="279">
        <v>39324</v>
      </c>
      <c r="B9818" t="s">
        <v>339</v>
      </c>
      <c r="C9818" t="s">
        <v>71</v>
      </c>
      <c r="D9818">
        <v>1914</v>
      </c>
      <c r="E9818" t="s">
        <v>378</v>
      </c>
    </row>
    <row r="9819" spans="1:5" x14ac:dyDescent="0.25">
      <c r="A9819" s="279">
        <v>39324</v>
      </c>
      <c r="B9819" t="s">
        <v>339</v>
      </c>
      <c r="C9819" t="s">
        <v>72</v>
      </c>
      <c r="D9819">
        <v>0</v>
      </c>
      <c r="E9819" t="s">
        <v>380</v>
      </c>
    </row>
    <row r="9820" spans="1:5" x14ac:dyDescent="0.25">
      <c r="A9820" s="279">
        <v>39324</v>
      </c>
      <c r="B9820" t="s">
        <v>339</v>
      </c>
      <c r="C9820" t="s">
        <v>73</v>
      </c>
      <c r="D9820">
        <v>17012</v>
      </c>
      <c r="E9820" t="s">
        <v>378</v>
      </c>
    </row>
    <row r="9821" spans="1:5" x14ac:dyDescent="0.25">
      <c r="A9821" s="279">
        <v>39324</v>
      </c>
      <c r="B9821" t="s">
        <v>339</v>
      </c>
      <c r="C9821" t="s">
        <v>74</v>
      </c>
      <c r="D9821">
        <v>0</v>
      </c>
      <c r="E9821" t="s">
        <v>380</v>
      </c>
    </row>
    <row r="9822" spans="1:5" x14ac:dyDescent="0.25">
      <c r="A9822" s="279">
        <v>39324</v>
      </c>
      <c r="B9822" t="s">
        <v>339</v>
      </c>
      <c r="C9822" t="s">
        <v>75</v>
      </c>
      <c r="D9822">
        <v>15272</v>
      </c>
      <c r="E9822" t="s">
        <v>378</v>
      </c>
    </row>
    <row r="9823" spans="1:5" x14ac:dyDescent="0.25">
      <c r="A9823" s="279">
        <v>39324</v>
      </c>
      <c r="B9823" t="s">
        <v>339</v>
      </c>
      <c r="C9823" t="s">
        <v>76</v>
      </c>
      <c r="D9823">
        <v>9872</v>
      </c>
      <c r="E9823" t="s">
        <v>380</v>
      </c>
    </row>
    <row r="9824" spans="1:5" x14ac:dyDescent="0.25">
      <c r="A9824" s="279">
        <v>39324</v>
      </c>
      <c r="B9824" t="s">
        <v>339</v>
      </c>
      <c r="C9824" t="s">
        <v>77</v>
      </c>
      <c r="D9824">
        <v>7282</v>
      </c>
      <c r="E9824" t="s">
        <v>378</v>
      </c>
    </row>
    <row r="9825" spans="1:5" x14ac:dyDescent="0.25">
      <c r="A9825" s="279">
        <v>39324</v>
      </c>
      <c r="B9825" t="s">
        <v>339</v>
      </c>
      <c r="C9825" t="s">
        <v>78</v>
      </c>
      <c r="D9825">
        <v>0</v>
      </c>
      <c r="E9825" t="s">
        <v>380</v>
      </c>
    </row>
    <row r="9826" spans="1:5" x14ac:dyDescent="0.25">
      <c r="A9826" s="279">
        <v>39324</v>
      </c>
      <c r="B9826" t="s">
        <v>339</v>
      </c>
      <c r="C9826" t="s">
        <v>79</v>
      </c>
      <c r="D9826">
        <v>88509</v>
      </c>
      <c r="E9826" t="s">
        <v>379</v>
      </c>
    </row>
    <row r="9827" spans="1:5" x14ac:dyDescent="0.25">
      <c r="A9827" s="279">
        <v>39324</v>
      </c>
      <c r="B9827" t="s">
        <v>339</v>
      </c>
      <c r="C9827" t="s">
        <v>70</v>
      </c>
      <c r="D9827">
        <v>0</v>
      </c>
      <c r="E9827" t="s">
        <v>379</v>
      </c>
    </row>
    <row r="9828" spans="1:5" x14ac:dyDescent="0.25">
      <c r="A9828" s="279">
        <v>39324</v>
      </c>
      <c r="B9828" t="s">
        <v>339</v>
      </c>
      <c r="C9828" t="s">
        <v>63</v>
      </c>
      <c r="D9828">
        <v>17336</v>
      </c>
      <c r="E9828" t="s">
        <v>378</v>
      </c>
    </row>
    <row r="9829" spans="1:5" x14ac:dyDescent="0.25">
      <c r="A9829" s="279">
        <v>39324</v>
      </c>
      <c r="B9829" t="s">
        <v>339</v>
      </c>
      <c r="C9829" t="s">
        <v>80</v>
      </c>
      <c r="D9829">
        <v>798</v>
      </c>
      <c r="E9829" t="s">
        <v>379</v>
      </c>
    </row>
    <row r="9830" spans="1:5" x14ac:dyDescent="0.25">
      <c r="A9830" s="279">
        <v>39325</v>
      </c>
      <c r="B9830" t="s">
        <v>338</v>
      </c>
      <c r="C9830" t="s">
        <v>59</v>
      </c>
      <c r="D9830">
        <v>2575</v>
      </c>
      <c r="E9830" t="s">
        <v>378</v>
      </c>
    </row>
    <row r="9831" spans="1:5" x14ac:dyDescent="0.25">
      <c r="A9831" s="279">
        <v>39325</v>
      </c>
      <c r="B9831" t="s">
        <v>338</v>
      </c>
      <c r="C9831" t="s">
        <v>60</v>
      </c>
      <c r="D9831">
        <v>0</v>
      </c>
      <c r="E9831" t="s">
        <v>379</v>
      </c>
    </row>
    <row r="9832" spans="1:5" x14ac:dyDescent="0.25">
      <c r="A9832" s="279">
        <v>39325</v>
      </c>
      <c r="B9832" t="s">
        <v>338</v>
      </c>
      <c r="C9832" t="s">
        <v>61</v>
      </c>
      <c r="D9832">
        <v>7633</v>
      </c>
      <c r="E9832" t="s">
        <v>378</v>
      </c>
    </row>
    <row r="9833" spans="1:5" x14ac:dyDescent="0.25">
      <c r="A9833" s="279">
        <v>39325</v>
      </c>
      <c r="B9833" t="s">
        <v>338</v>
      </c>
      <c r="C9833" t="s">
        <v>62</v>
      </c>
      <c r="D9833">
        <v>0</v>
      </c>
      <c r="E9833" t="s">
        <v>380</v>
      </c>
    </row>
    <row r="9834" spans="1:5" x14ac:dyDescent="0.25">
      <c r="A9834" s="279">
        <v>39325</v>
      </c>
      <c r="B9834" t="s">
        <v>338</v>
      </c>
      <c r="C9834" t="s">
        <v>63</v>
      </c>
      <c r="D9834">
        <v>0</v>
      </c>
      <c r="E9834" t="s">
        <v>378</v>
      </c>
    </row>
    <row r="9835" spans="1:5" x14ac:dyDescent="0.25">
      <c r="A9835" s="279">
        <v>39325</v>
      </c>
      <c r="B9835" t="s">
        <v>338</v>
      </c>
      <c r="C9835" t="s">
        <v>64</v>
      </c>
      <c r="D9835">
        <v>0</v>
      </c>
      <c r="E9835" t="s">
        <v>380</v>
      </c>
    </row>
    <row r="9836" spans="1:5" x14ac:dyDescent="0.25">
      <c r="A9836" s="279">
        <v>39325</v>
      </c>
      <c r="B9836" t="s">
        <v>338</v>
      </c>
      <c r="C9836" t="s">
        <v>65</v>
      </c>
      <c r="D9836">
        <v>0</v>
      </c>
      <c r="E9836" t="s">
        <v>378</v>
      </c>
    </row>
    <row r="9837" spans="1:5" x14ac:dyDescent="0.25">
      <c r="A9837" s="279">
        <v>39325</v>
      </c>
      <c r="B9837" t="s">
        <v>338</v>
      </c>
      <c r="C9837" t="s">
        <v>66</v>
      </c>
      <c r="D9837">
        <v>0</v>
      </c>
      <c r="E9837" t="s">
        <v>380</v>
      </c>
    </row>
    <row r="9838" spans="1:5" x14ac:dyDescent="0.25">
      <c r="A9838" s="279">
        <v>39325</v>
      </c>
      <c r="B9838" t="s">
        <v>338</v>
      </c>
      <c r="C9838" t="s">
        <v>120</v>
      </c>
      <c r="D9838">
        <v>12244</v>
      </c>
      <c r="E9838" t="s">
        <v>378</v>
      </c>
    </row>
    <row r="9839" spans="1:5" x14ac:dyDescent="0.25">
      <c r="A9839" s="279">
        <v>39325</v>
      </c>
      <c r="B9839" t="s">
        <v>338</v>
      </c>
      <c r="C9839" t="s">
        <v>121</v>
      </c>
      <c r="D9839">
        <v>0</v>
      </c>
      <c r="E9839" t="s">
        <v>380</v>
      </c>
    </row>
    <row r="9840" spans="1:5" x14ac:dyDescent="0.25">
      <c r="A9840" s="279">
        <v>39325</v>
      </c>
      <c r="B9840" t="s">
        <v>338</v>
      </c>
      <c r="C9840" t="s">
        <v>67</v>
      </c>
      <c r="D9840">
        <v>0</v>
      </c>
      <c r="E9840" t="s">
        <v>378</v>
      </c>
    </row>
    <row r="9841" spans="1:5" x14ac:dyDescent="0.25">
      <c r="A9841" s="279">
        <v>39325</v>
      </c>
      <c r="B9841" t="s">
        <v>338</v>
      </c>
      <c r="C9841" t="s">
        <v>68</v>
      </c>
      <c r="D9841">
        <v>0</v>
      </c>
      <c r="E9841" t="s">
        <v>380</v>
      </c>
    </row>
    <row r="9842" spans="1:5" x14ac:dyDescent="0.25">
      <c r="A9842" s="279">
        <v>39325</v>
      </c>
      <c r="B9842" t="s">
        <v>338</v>
      </c>
      <c r="C9842" t="s">
        <v>69</v>
      </c>
      <c r="D9842">
        <v>0</v>
      </c>
      <c r="E9842" t="s">
        <v>379</v>
      </c>
    </row>
    <row r="9843" spans="1:5" x14ac:dyDescent="0.25">
      <c r="A9843" s="279">
        <v>39325</v>
      </c>
      <c r="B9843" t="s">
        <v>338</v>
      </c>
      <c r="C9843" t="s">
        <v>70</v>
      </c>
      <c r="D9843">
        <v>0</v>
      </c>
      <c r="E9843" t="s">
        <v>379</v>
      </c>
    </row>
    <row r="9844" spans="1:5" x14ac:dyDescent="0.25">
      <c r="A9844" s="279">
        <v>39325</v>
      </c>
      <c r="B9844" t="s">
        <v>338</v>
      </c>
      <c r="C9844" t="s">
        <v>80</v>
      </c>
      <c r="D9844">
        <v>185</v>
      </c>
      <c r="E9844" t="s">
        <v>379</v>
      </c>
    </row>
    <row r="9845" spans="1:5" x14ac:dyDescent="0.25">
      <c r="A9845" s="279">
        <v>39325</v>
      </c>
      <c r="B9845" t="s">
        <v>339</v>
      </c>
      <c r="C9845" t="s">
        <v>71</v>
      </c>
      <c r="D9845">
        <v>1914</v>
      </c>
      <c r="E9845" t="s">
        <v>378</v>
      </c>
    </row>
    <row r="9846" spans="1:5" x14ac:dyDescent="0.25">
      <c r="A9846" s="279">
        <v>39325</v>
      </c>
      <c r="B9846" t="s">
        <v>339</v>
      </c>
      <c r="C9846" t="s">
        <v>72</v>
      </c>
      <c r="D9846">
        <v>0</v>
      </c>
      <c r="E9846" t="s">
        <v>380</v>
      </c>
    </row>
    <row r="9847" spans="1:5" x14ac:dyDescent="0.25">
      <c r="A9847" s="279">
        <v>39325</v>
      </c>
      <c r="B9847" t="s">
        <v>339</v>
      </c>
      <c r="C9847" t="s">
        <v>73</v>
      </c>
      <c r="D9847">
        <v>17012</v>
      </c>
      <c r="E9847" t="s">
        <v>378</v>
      </c>
    </row>
    <row r="9848" spans="1:5" x14ac:dyDescent="0.25">
      <c r="A9848" s="279">
        <v>39325</v>
      </c>
      <c r="B9848" t="s">
        <v>339</v>
      </c>
      <c r="C9848" t="s">
        <v>74</v>
      </c>
      <c r="D9848">
        <v>0</v>
      </c>
      <c r="E9848" t="s">
        <v>380</v>
      </c>
    </row>
    <row r="9849" spans="1:5" x14ac:dyDescent="0.25">
      <c r="A9849" s="279">
        <v>39325</v>
      </c>
      <c r="B9849" t="s">
        <v>339</v>
      </c>
      <c r="C9849" t="s">
        <v>75</v>
      </c>
      <c r="D9849">
        <v>15272</v>
      </c>
      <c r="E9849" t="s">
        <v>378</v>
      </c>
    </row>
    <row r="9850" spans="1:5" x14ac:dyDescent="0.25">
      <c r="A9850" s="279">
        <v>39325</v>
      </c>
      <c r="B9850" t="s">
        <v>339</v>
      </c>
      <c r="C9850" t="s">
        <v>76</v>
      </c>
      <c r="D9850">
        <v>6562</v>
      </c>
      <c r="E9850" t="s">
        <v>380</v>
      </c>
    </row>
    <row r="9851" spans="1:5" x14ac:dyDescent="0.25">
      <c r="A9851" s="279">
        <v>39325</v>
      </c>
      <c r="B9851" t="s">
        <v>339</v>
      </c>
      <c r="C9851" t="s">
        <v>77</v>
      </c>
      <c r="D9851">
        <v>7282</v>
      </c>
      <c r="E9851" t="s">
        <v>378</v>
      </c>
    </row>
    <row r="9852" spans="1:5" x14ac:dyDescent="0.25">
      <c r="A9852" s="279">
        <v>39325</v>
      </c>
      <c r="B9852" t="s">
        <v>339</v>
      </c>
      <c r="C9852" t="s">
        <v>78</v>
      </c>
      <c r="D9852">
        <v>0</v>
      </c>
      <c r="E9852" t="s">
        <v>380</v>
      </c>
    </row>
    <row r="9853" spans="1:5" x14ac:dyDescent="0.25">
      <c r="A9853" s="279">
        <v>39325</v>
      </c>
      <c r="B9853" t="s">
        <v>339</v>
      </c>
      <c r="C9853" t="s">
        <v>79</v>
      </c>
      <c r="D9853">
        <v>88509</v>
      </c>
      <c r="E9853" t="s">
        <v>379</v>
      </c>
    </row>
    <row r="9854" spans="1:5" x14ac:dyDescent="0.25">
      <c r="A9854" s="279">
        <v>39325</v>
      </c>
      <c r="B9854" t="s">
        <v>339</v>
      </c>
      <c r="C9854" t="s">
        <v>70</v>
      </c>
      <c r="D9854">
        <v>0</v>
      </c>
      <c r="E9854" t="s">
        <v>379</v>
      </c>
    </row>
    <row r="9855" spans="1:5" x14ac:dyDescent="0.25">
      <c r="A9855" s="279">
        <v>39325</v>
      </c>
      <c r="B9855" t="s">
        <v>339</v>
      </c>
      <c r="C9855" t="s">
        <v>63</v>
      </c>
      <c r="D9855">
        <v>17336</v>
      </c>
      <c r="E9855" t="s">
        <v>378</v>
      </c>
    </row>
    <row r="9856" spans="1:5" x14ac:dyDescent="0.25">
      <c r="A9856" s="279">
        <v>39325</v>
      </c>
      <c r="B9856" t="s">
        <v>339</v>
      </c>
      <c r="C9856" t="s">
        <v>80</v>
      </c>
      <c r="D9856">
        <v>798</v>
      </c>
      <c r="E9856" t="s">
        <v>379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9B03-E597-4EEA-93C0-48015FD7FE6C}">
  <dimension ref="A1:D8036"/>
  <sheetViews>
    <sheetView workbookViewId="0"/>
  </sheetViews>
  <sheetFormatPr defaultRowHeight="15.75" x14ac:dyDescent="0.25"/>
  <cols>
    <col min="1" max="1" width="13.875" bestFit="1" customWidth="1"/>
    <col min="2" max="2" width="7.875" bestFit="1" customWidth="1"/>
    <col min="3" max="3" width="24" bestFit="1" customWidth="1"/>
    <col min="4" max="4" width="9.875" bestFit="1" customWidth="1"/>
  </cols>
  <sheetData>
    <row r="1" spans="1:4" x14ac:dyDescent="0.25">
      <c r="A1" t="s">
        <v>58</v>
      </c>
      <c r="B1" t="s">
        <v>404</v>
      </c>
      <c r="C1" t="s">
        <v>375</v>
      </c>
      <c r="D1" t="s">
        <v>376</v>
      </c>
    </row>
    <row r="2" spans="1:4" x14ac:dyDescent="0.25">
      <c r="A2" s="279">
        <v>38961</v>
      </c>
      <c r="B2" s="309" t="s">
        <v>405</v>
      </c>
      <c r="C2" s="309" t="s">
        <v>406</v>
      </c>
      <c r="D2">
        <v>2792283.1</v>
      </c>
    </row>
    <row r="3" spans="1:4" x14ac:dyDescent="0.25">
      <c r="A3" s="279">
        <v>38961</v>
      </c>
      <c r="B3" s="309" t="s">
        <v>405</v>
      </c>
      <c r="C3" s="309" t="s">
        <v>89</v>
      </c>
      <c r="D3">
        <v>0</v>
      </c>
    </row>
    <row r="4" spans="1:4" x14ac:dyDescent="0.25">
      <c r="A4" s="279">
        <v>38961</v>
      </c>
      <c r="B4" s="309" t="s">
        <v>405</v>
      </c>
      <c r="C4" s="309" t="s">
        <v>198</v>
      </c>
      <c r="D4">
        <v>0</v>
      </c>
    </row>
    <row r="5" spans="1:4" x14ac:dyDescent="0.25">
      <c r="A5" s="279">
        <v>38961</v>
      </c>
      <c r="B5" s="309" t="s">
        <v>405</v>
      </c>
      <c r="C5" s="309" t="s">
        <v>199</v>
      </c>
      <c r="D5">
        <v>0</v>
      </c>
    </row>
    <row r="6" spans="1:4" x14ac:dyDescent="0.25">
      <c r="A6" s="279">
        <v>38961</v>
      </c>
      <c r="B6" s="309" t="s">
        <v>405</v>
      </c>
      <c r="C6" s="309" t="s">
        <v>90</v>
      </c>
      <c r="D6">
        <v>2135</v>
      </c>
    </row>
    <row r="7" spans="1:4" x14ac:dyDescent="0.25">
      <c r="A7" s="279">
        <v>38961</v>
      </c>
      <c r="B7" s="309" t="s">
        <v>405</v>
      </c>
      <c r="C7" s="309" t="s">
        <v>24</v>
      </c>
      <c r="D7">
        <v>0</v>
      </c>
    </row>
    <row r="8" spans="1:4" x14ac:dyDescent="0.25">
      <c r="A8" s="279">
        <v>38961</v>
      </c>
      <c r="B8" s="309" t="s">
        <v>405</v>
      </c>
      <c r="C8" s="309" t="s">
        <v>91</v>
      </c>
      <c r="D8">
        <v>0</v>
      </c>
    </row>
    <row r="9" spans="1:4" x14ac:dyDescent="0.25">
      <c r="A9" s="279">
        <v>38961</v>
      </c>
      <c r="B9" s="309" t="s">
        <v>405</v>
      </c>
      <c r="C9" s="309" t="s">
        <v>118</v>
      </c>
      <c r="D9">
        <v>0</v>
      </c>
    </row>
    <row r="10" spans="1:4" x14ac:dyDescent="0.25">
      <c r="A10" s="279">
        <v>38961</v>
      </c>
      <c r="B10" s="309" t="s">
        <v>405</v>
      </c>
      <c r="C10" s="309" t="s">
        <v>407</v>
      </c>
      <c r="D10">
        <v>2790148.1</v>
      </c>
    </row>
    <row r="11" spans="1:4" x14ac:dyDescent="0.25">
      <c r="A11" s="279">
        <v>38961</v>
      </c>
      <c r="B11" s="309" t="s">
        <v>405</v>
      </c>
      <c r="C11" s="309" t="s">
        <v>408</v>
      </c>
      <c r="D11">
        <v>1007</v>
      </c>
    </row>
    <row r="12" spans="1:4" x14ac:dyDescent="0.25">
      <c r="A12" s="279">
        <v>38961</v>
      </c>
      <c r="B12" s="309" t="s">
        <v>405</v>
      </c>
      <c r="C12" s="309" t="s">
        <v>409</v>
      </c>
      <c r="D12">
        <v>1058</v>
      </c>
    </row>
    <row r="13" spans="1:4" x14ac:dyDescent="0.25">
      <c r="A13" s="279">
        <v>38961</v>
      </c>
      <c r="B13" s="309" t="s">
        <v>405</v>
      </c>
      <c r="C13" s="309" t="s">
        <v>410</v>
      </c>
      <c r="D13">
        <v>1040</v>
      </c>
    </row>
    <row r="14" spans="1:4" x14ac:dyDescent="0.25">
      <c r="A14" s="279">
        <v>38961</v>
      </c>
      <c r="B14" s="309" t="s">
        <v>411</v>
      </c>
      <c r="C14" s="309" t="s">
        <v>406</v>
      </c>
      <c r="D14">
        <v>203457</v>
      </c>
    </row>
    <row r="15" spans="1:4" x14ac:dyDescent="0.25">
      <c r="A15" s="279">
        <v>38961</v>
      </c>
      <c r="B15" s="309" t="s">
        <v>411</v>
      </c>
      <c r="C15" s="309" t="s">
        <v>198</v>
      </c>
      <c r="D15">
        <v>0</v>
      </c>
    </row>
    <row r="16" spans="1:4" x14ac:dyDescent="0.25">
      <c r="A16" s="279">
        <v>38961</v>
      </c>
      <c r="B16" s="309" t="s">
        <v>411</v>
      </c>
      <c r="C16" s="309" t="s">
        <v>199</v>
      </c>
      <c r="D16">
        <v>0</v>
      </c>
    </row>
    <row r="17" spans="1:4" x14ac:dyDescent="0.25">
      <c r="A17" s="279">
        <v>38961</v>
      </c>
      <c r="B17" s="309" t="s">
        <v>411</v>
      </c>
      <c r="C17" s="309" t="s">
        <v>90</v>
      </c>
      <c r="D17">
        <v>50</v>
      </c>
    </row>
    <row r="18" spans="1:4" x14ac:dyDescent="0.25">
      <c r="A18" s="279">
        <v>38961</v>
      </c>
      <c r="B18" s="309" t="s">
        <v>411</v>
      </c>
      <c r="C18" s="309" t="s">
        <v>24</v>
      </c>
      <c r="D18">
        <v>0</v>
      </c>
    </row>
    <row r="19" spans="1:4" x14ac:dyDescent="0.25">
      <c r="A19" s="279">
        <v>38961</v>
      </c>
      <c r="B19" s="309" t="s">
        <v>411</v>
      </c>
      <c r="C19" s="309" t="s">
        <v>91</v>
      </c>
      <c r="D19">
        <v>0</v>
      </c>
    </row>
    <row r="20" spans="1:4" x14ac:dyDescent="0.25">
      <c r="A20" s="279">
        <v>38961</v>
      </c>
      <c r="B20" s="309" t="s">
        <v>411</v>
      </c>
      <c r="C20" s="309" t="s">
        <v>118</v>
      </c>
      <c r="D20">
        <v>0</v>
      </c>
    </row>
    <row r="21" spans="1:4" x14ac:dyDescent="0.25">
      <c r="A21" s="279">
        <v>38961</v>
      </c>
      <c r="B21" s="309" t="s">
        <v>411</v>
      </c>
      <c r="C21" s="309" t="s">
        <v>407</v>
      </c>
      <c r="D21">
        <v>203407</v>
      </c>
    </row>
    <row r="22" spans="1:4" x14ac:dyDescent="0.25">
      <c r="A22" s="279">
        <v>38961</v>
      </c>
      <c r="B22" s="309" t="s">
        <v>411</v>
      </c>
      <c r="C22" s="309" t="s">
        <v>412</v>
      </c>
      <c r="D22">
        <v>1007</v>
      </c>
    </row>
    <row r="23" spans="1:4" x14ac:dyDescent="0.25">
      <c r="A23" s="279">
        <v>38961</v>
      </c>
      <c r="B23" s="309" t="s">
        <v>411</v>
      </c>
      <c r="C23" s="309" t="s">
        <v>409</v>
      </c>
      <c r="D23">
        <v>1076</v>
      </c>
    </row>
    <row r="24" spans="1:4" x14ac:dyDescent="0.25">
      <c r="A24" s="279">
        <v>38962</v>
      </c>
      <c r="B24" s="309" t="s">
        <v>405</v>
      </c>
      <c r="C24" s="309" t="s">
        <v>406</v>
      </c>
      <c r="D24">
        <v>2790148.1</v>
      </c>
    </row>
    <row r="25" spans="1:4" x14ac:dyDescent="0.25">
      <c r="A25" s="279">
        <v>38962</v>
      </c>
      <c r="B25" s="309" t="s">
        <v>405</v>
      </c>
      <c r="C25" s="309" t="s">
        <v>89</v>
      </c>
      <c r="D25">
        <v>0</v>
      </c>
    </row>
    <row r="26" spans="1:4" x14ac:dyDescent="0.25">
      <c r="A26" s="279">
        <v>38962</v>
      </c>
      <c r="B26" s="309" t="s">
        <v>405</v>
      </c>
      <c r="C26" s="309" t="s">
        <v>198</v>
      </c>
      <c r="D26">
        <v>0</v>
      </c>
    </row>
    <row r="27" spans="1:4" x14ac:dyDescent="0.25">
      <c r="A27" s="279">
        <v>38962</v>
      </c>
      <c r="B27" s="309" t="s">
        <v>405</v>
      </c>
      <c r="C27" s="309" t="s">
        <v>199</v>
      </c>
      <c r="D27">
        <v>0</v>
      </c>
    </row>
    <row r="28" spans="1:4" x14ac:dyDescent="0.25">
      <c r="A28" s="279">
        <v>38962</v>
      </c>
      <c r="B28" s="309" t="s">
        <v>405</v>
      </c>
      <c r="C28" s="309" t="s">
        <v>90</v>
      </c>
      <c r="D28">
        <v>2669</v>
      </c>
    </row>
    <row r="29" spans="1:4" x14ac:dyDescent="0.25">
      <c r="A29" s="279">
        <v>38962</v>
      </c>
      <c r="B29" s="309" t="s">
        <v>405</v>
      </c>
      <c r="C29" s="309" t="s">
        <v>24</v>
      </c>
      <c r="D29">
        <v>0</v>
      </c>
    </row>
    <row r="30" spans="1:4" x14ac:dyDescent="0.25">
      <c r="A30" s="279">
        <v>38962</v>
      </c>
      <c r="B30" s="309" t="s">
        <v>405</v>
      </c>
      <c r="C30" s="309" t="s">
        <v>91</v>
      </c>
      <c r="D30">
        <v>0</v>
      </c>
    </row>
    <row r="31" spans="1:4" x14ac:dyDescent="0.25">
      <c r="A31" s="279">
        <v>38962</v>
      </c>
      <c r="B31" s="309" t="s">
        <v>405</v>
      </c>
      <c r="C31" s="309" t="s">
        <v>118</v>
      </c>
      <c r="D31">
        <v>0</v>
      </c>
    </row>
    <row r="32" spans="1:4" x14ac:dyDescent="0.25">
      <c r="A32" s="279">
        <v>38962</v>
      </c>
      <c r="B32" s="309" t="s">
        <v>405</v>
      </c>
      <c r="C32" s="309" t="s">
        <v>407</v>
      </c>
      <c r="D32">
        <v>2787479.1</v>
      </c>
    </row>
    <row r="33" spans="1:4" x14ac:dyDescent="0.25">
      <c r="A33" s="279">
        <v>38962</v>
      </c>
      <c r="B33" s="309" t="s">
        <v>405</v>
      </c>
      <c r="C33" s="309" t="s">
        <v>408</v>
      </c>
      <c r="D33">
        <v>1007</v>
      </c>
    </row>
    <row r="34" spans="1:4" x14ac:dyDescent="0.25">
      <c r="A34" s="279">
        <v>38962</v>
      </c>
      <c r="B34" s="309" t="s">
        <v>405</v>
      </c>
      <c r="C34" s="309" t="s">
        <v>409</v>
      </c>
      <c r="D34">
        <v>1058</v>
      </c>
    </row>
    <row r="35" spans="1:4" x14ac:dyDescent="0.25">
      <c r="A35" s="279">
        <v>38962</v>
      </c>
      <c r="B35" s="309" t="s">
        <v>405</v>
      </c>
      <c r="C35" s="309" t="s">
        <v>410</v>
      </c>
      <c r="D35">
        <v>1037</v>
      </c>
    </row>
    <row r="36" spans="1:4" x14ac:dyDescent="0.25">
      <c r="A36" s="279">
        <v>38962</v>
      </c>
      <c r="B36" s="309" t="s">
        <v>411</v>
      </c>
      <c r="C36" s="309" t="s">
        <v>406</v>
      </c>
      <c r="D36">
        <v>203407</v>
      </c>
    </row>
    <row r="37" spans="1:4" x14ac:dyDescent="0.25">
      <c r="A37" s="279">
        <v>38962</v>
      </c>
      <c r="B37" s="309" t="s">
        <v>411</v>
      </c>
      <c r="C37" s="309" t="s">
        <v>198</v>
      </c>
      <c r="D37">
        <v>0</v>
      </c>
    </row>
    <row r="38" spans="1:4" x14ac:dyDescent="0.25">
      <c r="A38" s="279">
        <v>38962</v>
      </c>
      <c r="B38" s="309" t="s">
        <v>411</v>
      </c>
      <c r="C38" s="309" t="s">
        <v>199</v>
      </c>
      <c r="D38">
        <v>0</v>
      </c>
    </row>
    <row r="39" spans="1:4" x14ac:dyDescent="0.25">
      <c r="A39" s="279">
        <v>38962</v>
      </c>
      <c r="B39" s="309" t="s">
        <v>411</v>
      </c>
      <c r="C39" s="309" t="s">
        <v>90</v>
      </c>
      <c r="D39">
        <v>174</v>
      </c>
    </row>
    <row r="40" spans="1:4" x14ac:dyDescent="0.25">
      <c r="A40" s="279">
        <v>38962</v>
      </c>
      <c r="B40" s="309" t="s">
        <v>411</v>
      </c>
      <c r="C40" s="309" t="s">
        <v>24</v>
      </c>
      <c r="D40">
        <v>0</v>
      </c>
    </row>
    <row r="41" spans="1:4" x14ac:dyDescent="0.25">
      <c r="A41" s="279">
        <v>38962</v>
      </c>
      <c r="B41" s="309" t="s">
        <v>411</v>
      </c>
      <c r="C41" s="309" t="s">
        <v>91</v>
      </c>
      <c r="D41">
        <v>0</v>
      </c>
    </row>
    <row r="42" spans="1:4" x14ac:dyDescent="0.25">
      <c r="A42" s="279">
        <v>38962</v>
      </c>
      <c r="B42" s="309" t="s">
        <v>411</v>
      </c>
      <c r="C42" s="309" t="s">
        <v>118</v>
      </c>
      <c r="D42">
        <v>0</v>
      </c>
    </row>
    <row r="43" spans="1:4" x14ac:dyDescent="0.25">
      <c r="A43" s="279">
        <v>38962</v>
      </c>
      <c r="B43" s="309" t="s">
        <v>411</v>
      </c>
      <c r="C43" s="309" t="s">
        <v>407</v>
      </c>
      <c r="D43">
        <v>203233</v>
      </c>
    </row>
    <row r="44" spans="1:4" x14ac:dyDescent="0.25">
      <c r="A44" s="279">
        <v>38962</v>
      </c>
      <c r="B44" s="309" t="s">
        <v>411</v>
      </c>
      <c r="C44" s="309" t="s">
        <v>412</v>
      </c>
      <c r="D44">
        <v>1007</v>
      </c>
    </row>
    <row r="45" spans="1:4" x14ac:dyDescent="0.25">
      <c r="A45" s="279">
        <v>38962</v>
      </c>
      <c r="B45" s="309" t="s">
        <v>411</v>
      </c>
      <c r="C45" s="309" t="s">
        <v>409</v>
      </c>
      <c r="D45">
        <v>1076</v>
      </c>
    </row>
    <row r="46" spans="1:4" x14ac:dyDescent="0.25">
      <c r="A46" s="279">
        <v>38963</v>
      </c>
      <c r="B46" s="309" t="s">
        <v>405</v>
      </c>
      <c r="C46" s="309" t="s">
        <v>406</v>
      </c>
      <c r="D46">
        <v>2787479.1</v>
      </c>
    </row>
    <row r="47" spans="1:4" x14ac:dyDescent="0.25">
      <c r="A47" s="279">
        <v>38963</v>
      </c>
      <c r="B47" s="309" t="s">
        <v>405</v>
      </c>
      <c r="C47" s="309" t="s">
        <v>89</v>
      </c>
      <c r="D47">
        <v>0</v>
      </c>
    </row>
    <row r="48" spans="1:4" x14ac:dyDescent="0.25">
      <c r="A48" s="279">
        <v>38963</v>
      </c>
      <c r="B48" s="309" t="s">
        <v>405</v>
      </c>
      <c r="C48" s="309" t="s">
        <v>198</v>
      </c>
      <c r="D48">
        <v>0</v>
      </c>
    </row>
    <row r="49" spans="1:4" x14ac:dyDescent="0.25">
      <c r="A49" s="279">
        <v>38963</v>
      </c>
      <c r="B49" s="309" t="s">
        <v>405</v>
      </c>
      <c r="C49" s="309" t="s">
        <v>199</v>
      </c>
      <c r="D49">
        <v>0</v>
      </c>
    </row>
    <row r="50" spans="1:4" x14ac:dyDescent="0.25">
      <c r="A50" s="279">
        <v>38963</v>
      </c>
      <c r="B50" s="309" t="s">
        <v>405</v>
      </c>
      <c r="C50" s="309" t="s">
        <v>90</v>
      </c>
      <c r="D50">
        <v>1602</v>
      </c>
    </row>
    <row r="51" spans="1:4" x14ac:dyDescent="0.25">
      <c r="A51" s="279">
        <v>38963</v>
      </c>
      <c r="B51" s="309" t="s">
        <v>405</v>
      </c>
      <c r="C51" s="309" t="s">
        <v>24</v>
      </c>
      <c r="D51">
        <v>0</v>
      </c>
    </row>
    <row r="52" spans="1:4" x14ac:dyDescent="0.25">
      <c r="A52" s="279">
        <v>38963</v>
      </c>
      <c r="B52" s="309" t="s">
        <v>405</v>
      </c>
      <c r="C52" s="309" t="s">
        <v>91</v>
      </c>
      <c r="D52">
        <v>0</v>
      </c>
    </row>
    <row r="53" spans="1:4" x14ac:dyDescent="0.25">
      <c r="A53" s="279">
        <v>38963</v>
      </c>
      <c r="B53" s="309" t="s">
        <v>405</v>
      </c>
      <c r="C53" s="309" t="s">
        <v>118</v>
      </c>
      <c r="D53">
        <v>0</v>
      </c>
    </row>
    <row r="54" spans="1:4" x14ac:dyDescent="0.25">
      <c r="A54" s="279">
        <v>38963</v>
      </c>
      <c r="B54" s="309" t="s">
        <v>405</v>
      </c>
      <c r="C54" s="309" t="s">
        <v>407</v>
      </c>
      <c r="D54">
        <v>2785877.1</v>
      </c>
    </row>
    <row r="55" spans="1:4" x14ac:dyDescent="0.25">
      <c r="A55" s="279">
        <v>38963</v>
      </c>
      <c r="B55" s="309" t="s">
        <v>405</v>
      </c>
      <c r="C55" s="309" t="s">
        <v>408</v>
      </c>
      <c r="D55">
        <v>1007</v>
      </c>
    </row>
    <row r="56" spans="1:4" x14ac:dyDescent="0.25">
      <c r="A56" s="279">
        <v>38963</v>
      </c>
      <c r="B56" s="309" t="s">
        <v>405</v>
      </c>
      <c r="C56" s="309" t="s">
        <v>409</v>
      </c>
      <c r="D56">
        <v>1058</v>
      </c>
    </row>
    <row r="57" spans="1:4" x14ac:dyDescent="0.25">
      <c r="A57" s="279">
        <v>38963</v>
      </c>
      <c r="B57" s="309" t="s">
        <v>405</v>
      </c>
      <c r="C57" s="309" t="s">
        <v>410</v>
      </c>
      <c r="D57">
        <v>1037</v>
      </c>
    </row>
    <row r="58" spans="1:4" x14ac:dyDescent="0.25">
      <c r="A58" s="279">
        <v>38963</v>
      </c>
      <c r="B58" s="309" t="s">
        <v>411</v>
      </c>
      <c r="C58" s="309" t="s">
        <v>406</v>
      </c>
      <c r="D58">
        <v>203233</v>
      </c>
    </row>
    <row r="59" spans="1:4" x14ac:dyDescent="0.25">
      <c r="A59" s="279">
        <v>38963</v>
      </c>
      <c r="B59" s="309" t="s">
        <v>411</v>
      </c>
      <c r="C59" s="309" t="s">
        <v>198</v>
      </c>
      <c r="D59">
        <v>0</v>
      </c>
    </row>
    <row r="60" spans="1:4" x14ac:dyDescent="0.25">
      <c r="A60" s="279">
        <v>38963</v>
      </c>
      <c r="B60" s="309" t="s">
        <v>411</v>
      </c>
      <c r="C60" s="309" t="s">
        <v>199</v>
      </c>
      <c r="D60">
        <v>0</v>
      </c>
    </row>
    <row r="61" spans="1:4" x14ac:dyDescent="0.25">
      <c r="A61" s="279">
        <v>38963</v>
      </c>
      <c r="B61" s="309" t="s">
        <v>411</v>
      </c>
      <c r="C61" s="309" t="s">
        <v>90</v>
      </c>
      <c r="D61">
        <v>276</v>
      </c>
    </row>
    <row r="62" spans="1:4" x14ac:dyDescent="0.25">
      <c r="A62" s="279">
        <v>38963</v>
      </c>
      <c r="B62" s="309" t="s">
        <v>411</v>
      </c>
      <c r="C62" s="309" t="s">
        <v>24</v>
      </c>
      <c r="D62">
        <v>0</v>
      </c>
    </row>
    <row r="63" spans="1:4" x14ac:dyDescent="0.25">
      <c r="A63" s="279">
        <v>38963</v>
      </c>
      <c r="B63" s="309" t="s">
        <v>411</v>
      </c>
      <c r="C63" s="309" t="s">
        <v>91</v>
      </c>
      <c r="D63">
        <v>0</v>
      </c>
    </row>
    <row r="64" spans="1:4" x14ac:dyDescent="0.25">
      <c r="A64" s="279">
        <v>38963</v>
      </c>
      <c r="B64" s="309" t="s">
        <v>411</v>
      </c>
      <c r="C64" s="309" t="s">
        <v>118</v>
      </c>
      <c r="D64">
        <v>0</v>
      </c>
    </row>
    <row r="65" spans="1:4" x14ac:dyDescent="0.25">
      <c r="A65" s="279">
        <v>38963</v>
      </c>
      <c r="B65" s="309" t="s">
        <v>411</v>
      </c>
      <c r="C65" s="309" t="s">
        <v>407</v>
      </c>
      <c r="D65">
        <v>202957</v>
      </c>
    </row>
    <row r="66" spans="1:4" x14ac:dyDescent="0.25">
      <c r="A66" s="279">
        <v>38963</v>
      </c>
      <c r="B66" s="309" t="s">
        <v>411</v>
      </c>
      <c r="C66" s="309" t="s">
        <v>412</v>
      </c>
      <c r="D66">
        <v>1007</v>
      </c>
    </row>
    <row r="67" spans="1:4" x14ac:dyDescent="0.25">
      <c r="A67" s="279">
        <v>38963</v>
      </c>
      <c r="B67" s="309" t="s">
        <v>411</v>
      </c>
      <c r="C67" s="309" t="s">
        <v>409</v>
      </c>
      <c r="D67">
        <v>1076</v>
      </c>
    </row>
    <row r="68" spans="1:4" x14ac:dyDescent="0.25">
      <c r="A68" s="279">
        <v>38964</v>
      </c>
      <c r="B68" s="309" t="s">
        <v>405</v>
      </c>
      <c r="C68" s="309" t="s">
        <v>406</v>
      </c>
      <c r="D68">
        <v>2785877.1</v>
      </c>
    </row>
    <row r="69" spans="1:4" x14ac:dyDescent="0.25">
      <c r="A69" s="279">
        <v>38964</v>
      </c>
      <c r="B69" s="309" t="s">
        <v>405</v>
      </c>
      <c r="C69" s="309" t="s">
        <v>89</v>
      </c>
      <c r="D69">
        <v>0</v>
      </c>
    </row>
    <row r="70" spans="1:4" x14ac:dyDescent="0.25">
      <c r="A70" s="279">
        <v>38964</v>
      </c>
      <c r="B70" s="309" t="s">
        <v>405</v>
      </c>
      <c r="C70" s="309" t="s">
        <v>198</v>
      </c>
      <c r="D70">
        <v>0</v>
      </c>
    </row>
    <row r="71" spans="1:4" x14ac:dyDescent="0.25">
      <c r="A71" s="279">
        <v>38964</v>
      </c>
      <c r="B71" s="309" t="s">
        <v>405</v>
      </c>
      <c r="C71" s="309" t="s">
        <v>199</v>
      </c>
      <c r="D71">
        <v>0</v>
      </c>
    </row>
    <row r="72" spans="1:4" x14ac:dyDescent="0.25">
      <c r="A72" s="279">
        <v>38964</v>
      </c>
      <c r="B72" s="309" t="s">
        <v>405</v>
      </c>
      <c r="C72" s="309" t="s">
        <v>90</v>
      </c>
      <c r="D72">
        <v>2134</v>
      </c>
    </row>
    <row r="73" spans="1:4" x14ac:dyDescent="0.25">
      <c r="A73" s="279">
        <v>38964</v>
      </c>
      <c r="B73" s="309" t="s">
        <v>405</v>
      </c>
      <c r="C73" s="309" t="s">
        <v>24</v>
      </c>
      <c r="D73">
        <v>0</v>
      </c>
    </row>
    <row r="74" spans="1:4" x14ac:dyDescent="0.25">
      <c r="A74" s="279">
        <v>38964</v>
      </c>
      <c r="B74" s="309" t="s">
        <v>405</v>
      </c>
      <c r="C74" s="309" t="s">
        <v>91</v>
      </c>
      <c r="D74">
        <v>0</v>
      </c>
    </row>
    <row r="75" spans="1:4" x14ac:dyDescent="0.25">
      <c r="A75" s="279">
        <v>38964</v>
      </c>
      <c r="B75" s="309" t="s">
        <v>405</v>
      </c>
      <c r="C75" s="309" t="s">
        <v>118</v>
      </c>
      <c r="D75">
        <v>0</v>
      </c>
    </row>
    <row r="76" spans="1:4" x14ac:dyDescent="0.25">
      <c r="A76" s="279">
        <v>38964</v>
      </c>
      <c r="B76" s="309" t="s">
        <v>405</v>
      </c>
      <c r="C76" s="309" t="s">
        <v>407</v>
      </c>
      <c r="D76">
        <v>2783743.1</v>
      </c>
    </row>
    <row r="77" spans="1:4" x14ac:dyDescent="0.25">
      <c r="A77" s="279">
        <v>38964</v>
      </c>
      <c r="B77" s="309" t="s">
        <v>405</v>
      </c>
      <c r="C77" s="309" t="s">
        <v>408</v>
      </c>
      <c r="D77">
        <v>1007</v>
      </c>
    </row>
    <row r="78" spans="1:4" x14ac:dyDescent="0.25">
      <c r="A78" s="279">
        <v>38964</v>
      </c>
      <c r="B78" s="309" t="s">
        <v>405</v>
      </c>
      <c r="C78" s="309" t="s">
        <v>409</v>
      </c>
      <c r="D78">
        <v>1058</v>
      </c>
    </row>
    <row r="79" spans="1:4" x14ac:dyDescent="0.25">
      <c r="A79" s="279">
        <v>38964</v>
      </c>
      <c r="B79" s="309" t="s">
        <v>405</v>
      </c>
      <c r="C79" s="309" t="s">
        <v>410</v>
      </c>
      <c r="D79">
        <v>1039</v>
      </c>
    </row>
    <row r="80" spans="1:4" x14ac:dyDescent="0.25">
      <c r="A80" s="279">
        <v>38964</v>
      </c>
      <c r="B80" s="309" t="s">
        <v>411</v>
      </c>
      <c r="C80" s="309" t="s">
        <v>406</v>
      </c>
      <c r="D80">
        <v>202957</v>
      </c>
    </row>
    <row r="81" spans="1:4" x14ac:dyDescent="0.25">
      <c r="A81" s="279">
        <v>38964</v>
      </c>
      <c r="B81" s="309" t="s">
        <v>411</v>
      </c>
      <c r="C81" s="309" t="s">
        <v>198</v>
      </c>
      <c r="D81">
        <v>0</v>
      </c>
    </row>
    <row r="82" spans="1:4" x14ac:dyDescent="0.25">
      <c r="A82" s="279">
        <v>38964</v>
      </c>
      <c r="B82" s="309" t="s">
        <v>411</v>
      </c>
      <c r="C82" s="309" t="s">
        <v>199</v>
      </c>
      <c r="D82">
        <v>0</v>
      </c>
    </row>
    <row r="83" spans="1:4" x14ac:dyDescent="0.25">
      <c r="A83" s="279">
        <v>38964</v>
      </c>
      <c r="B83" s="309" t="s">
        <v>411</v>
      </c>
      <c r="C83" s="309" t="s">
        <v>90</v>
      </c>
      <c r="D83">
        <v>51</v>
      </c>
    </row>
    <row r="84" spans="1:4" x14ac:dyDescent="0.25">
      <c r="A84" s="279">
        <v>38964</v>
      </c>
      <c r="B84" s="309" t="s">
        <v>411</v>
      </c>
      <c r="C84" s="309" t="s">
        <v>24</v>
      </c>
      <c r="D84">
        <v>0</v>
      </c>
    </row>
    <row r="85" spans="1:4" x14ac:dyDescent="0.25">
      <c r="A85" s="279">
        <v>38964</v>
      </c>
      <c r="B85" s="309" t="s">
        <v>411</v>
      </c>
      <c r="C85" s="309" t="s">
        <v>91</v>
      </c>
      <c r="D85">
        <v>0</v>
      </c>
    </row>
    <row r="86" spans="1:4" x14ac:dyDescent="0.25">
      <c r="A86" s="279">
        <v>38964</v>
      </c>
      <c r="B86" s="309" t="s">
        <v>411</v>
      </c>
      <c r="C86" s="309" t="s">
        <v>118</v>
      </c>
      <c r="D86">
        <v>0</v>
      </c>
    </row>
    <row r="87" spans="1:4" x14ac:dyDescent="0.25">
      <c r="A87" s="279">
        <v>38964</v>
      </c>
      <c r="B87" s="309" t="s">
        <v>411</v>
      </c>
      <c r="C87" s="309" t="s">
        <v>407</v>
      </c>
      <c r="D87">
        <v>202906</v>
      </c>
    </row>
    <row r="88" spans="1:4" x14ac:dyDescent="0.25">
      <c r="A88" s="279">
        <v>38964</v>
      </c>
      <c r="B88" s="309" t="s">
        <v>411</v>
      </c>
      <c r="C88" s="309" t="s">
        <v>412</v>
      </c>
      <c r="D88">
        <v>1007</v>
      </c>
    </row>
    <row r="89" spans="1:4" x14ac:dyDescent="0.25">
      <c r="A89" s="279">
        <v>38964</v>
      </c>
      <c r="B89" s="309" t="s">
        <v>411</v>
      </c>
      <c r="C89" s="309" t="s">
        <v>409</v>
      </c>
      <c r="D89">
        <v>1076</v>
      </c>
    </row>
    <row r="90" spans="1:4" x14ac:dyDescent="0.25">
      <c r="A90" s="279">
        <v>38965</v>
      </c>
      <c r="B90" s="309" t="s">
        <v>405</v>
      </c>
      <c r="C90" s="309" t="s">
        <v>406</v>
      </c>
      <c r="D90">
        <v>2783743.1</v>
      </c>
    </row>
    <row r="91" spans="1:4" x14ac:dyDescent="0.25">
      <c r="A91" s="279">
        <v>38965</v>
      </c>
      <c r="B91" s="309" t="s">
        <v>405</v>
      </c>
      <c r="C91" s="309" t="s">
        <v>89</v>
      </c>
      <c r="D91">
        <v>0</v>
      </c>
    </row>
    <row r="92" spans="1:4" x14ac:dyDescent="0.25">
      <c r="A92" s="279">
        <v>38965</v>
      </c>
      <c r="B92" s="309" t="s">
        <v>405</v>
      </c>
      <c r="C92" s="309" t="s">
        <v>198</v>
      </c>
      <c r="D92">
        <v>0</v>
      </c>
    </row>
    <row r="93" spans="1:4" x14ac:dyDescent="0.25">
      <c r="A93" s="279">
        <v>38965</v>
      </c>
      <c r="B93" s="309" t="s">
        <v>405</v>
      </c>
      <c r="C93" s="309" t="s">
        <v>199</v>
      </c>
      <c r="D93">
        <v>0</v>
      </c>
    </row>
    <row r="94" spans="1:4" x14ac:dyDescent="0.25">
      <c r="A94" s="279">
        <v>38965</v>
      </c>
      <c r="B94" s="309" t="s">
        <v>405</v>
      </c>
      <c r="C94" s="309" t="s">
        <v>90</v>
      </c>
      <c r="D94">
        <v>2135</v>
      </c>
    </row>
    <row r="95" spans="1:4" x14ac:dyDescent="0.25">
      <c r="A95" s="279">
        <v>38965</v>
      </c>
      <c r="B95" s="309" t="s">
        <v>405</v>
      </c>
      <c r="C95" s="309" t="s">
        <v>24</v>
      </c>
      <c r="D95">
        <v>0</v>
      </c>
    </row>
    <row r="96" spans="1:4" x14ac:dyDescent="0.25">
      <c r="A96" s="279">
        <v>38965</v>
      </c>
      <c r="B96" s="309" t="s">
        <v>405</v>
      </c>
      <c r="C96" s="309" t="s">
        <v>91</v>
      </c>
      <c r="D96">
        <v>0</v>
      </c>
    </row>
    <row r="97" spans="1:4" x14ac:dyDescent="0.25">
      <c r="A97" s="279">
        <v>38965</v>
      </c>
      <c r="B97" s="309" t="s">
        <v>405</v>
      </c>
      <c r="C97" s="309" t="s">
        <v>118</v>
      </c>
      <c r="D97">
        <v>0</v>
      </c>
    </row>
    <row r="98" spans="1:4" x14ac:dyDescent="0.25">
      <c r="A98" s="279">
        <v>38965</v>
      </c>
      <c r="B98" s="309" t="s">
        <v>405</v>
      </c>
      <c r="C98" s="309" t="s">
        <v>407</v>
      </c>
      <c r="D98">
        <v>2781608.1</v>
      </c>
    </row>
    <row r="99" spans="1:4" x14ac:dyDescent="0.25">
      <c r="A99" s="279">
        <v>38965</v>
      </c>
      <c r="B99" s="309" t="s">
        <v>405</v>
      </c>
      <c r="C99" s="309" t="s">
        <v>408</v>
      </c>
      <c r="D99">
        <v>1007</v>
      </c>
    </row>
    <row r="100" spans="1:4" x14ac:dyDescent="0.25">
      <c r="A100" s="279">
        <v>38965</v>
      </c>
      <c r="B100" s="309" t="s">
        <v>405</v>
      </c>
      <c r="C100" s="309" t="s">
        <v>409</v>
      </c>
      <c r="D100">
        <v>1058</v>
      </c>
    </row>
    <row r="101" spans="1:4" x14ac:dyDescent="0.25">
      <c r="A101" s="279">
        <v>38965</v>
      </c>
      <c r="B101" s="309" t="s">
        <v>405</v>
      </c>
      <c r="C101" s="309" t="s">
        <v>410</v>
      </c>
      <c r="D101">
        <v>1035</v>
      </c>
    </row>
    <row r="102" spans="1:4" x14ac:dyDescent="0.25">
      <c r="A102" s="279">
        <v>38965</v>
      </c>
      <c r="B102" s="309" t="s">
        <v>411</v>
      </c>
      <c r="C102" s="309" t="s">
        <v>406</v>
      </c>
      <c r="D102">
        <v>202906</v>
      </c>
    </row>
    <row r="103" spans="1:4" x14ac:dyDescent="0.25">
      <c r="A103" s="279">
        <v>38965</v>
      </c>
      <c r="B103" s="309" t="s">
        <v>411</v>
      </c>
      <c r="C103" s="309" t="s">
        <v>198</v>
      </c>
      <c r="D103">
        <v>0</v>
      </c>
    </row>
    <row r="104" spans="1:4" x14ac:dyDescent="0.25">
      <c r="A104" s="279">
        <v>38965</v>
      </c>
      <c r="B104" s="309" t="s">
        <v>411</v>
      </c>
      <c r="C104" s="309" t="s">
        <v>199</v>
      </c>
      <c r="D104">
        <v>0</v>
      </c>
    </row>
    <row r="105" spans="1:4" x14ac:dyDescent="0.25">
      <c r="A105" s="279">
        <v>38965</v>
      </c>
      <c r="B105" s="309" t="s">
        <v>411</v>
      </c>
      <c r="C105" s="309" t="s">
        <v>90</v>
      </c>
      <c r="D105">
        <v>54</v>
      </c>
    </row>
    <row r="106" spans="1:4" x14ac:dyDescent="0.25">
      <c r="A106" s="279">
        <v>38965</v>
      </c>
      <c r="B106" s="309" t="s">
        <v>411</v>
      </c>
      <c r="C106" s="309" t="s">
        <v>24</v>
      </c>
      <c r="D106">
        <v>0</v>
      </c>
    </row>
    <row r="107" spans="1:4" x14ac:dyDescent="0.25">
      <c r="A107" s="279">
        <v>38965</v>
      </c>
      <c r="B107" s="309" t="s">
        <v>411</v>
      </c>
      <c r="C107" s="309" t="s">
        <v>91</v>
      </c>
      <c r="D107">
        <v>0</v>
      </c>
    </row>
    <row r="108" spans="1:4" x14ac:dyDescent="0.25">
      <c r="A108" s="279">
        <v>38965</v>
      </c>
      <c r="B108" s="309" t="s">
        <v>411</v>
      </c>
      <c r="C108" s="309" t="s">
        <v>118</v>
      </c>
      <c r="D108">
        <v>0</v>
      </c>
    </row>
    <row r="109" spans="1:4" x14ac:dyDescent="0.25">
      <c r="A109" s="279">
        <v>38965</v>
      </c>
      <c r="B109" s="309" t="s">
        <v>411</v>
      </c>
      <c r="C109" s="309" t="s">
        <v>407</v>
      </c>
      <c r="D109">
        <v>202852</v>
      </c>
    </row>
    <row r="110" spans="1:4" x14ac:dyDescent="0.25">
      <c r="A110" s="279">
        <v>38965</v>
      </c>
      <c r="B110" s="309" t="s">
        <v>411</v>
      </c>
      <c r="C110" s="309" t="s">
        <v>412</v>
      </c>
      <c r="D110">
        <v>1007</v>
      </c>
    </row>
    <row r="111" spans="1:4" x14ac:dyDescent="0.25">
      <c r="A111" s="279">
        <v>38965</v>
      </c>
      <c r="B111" s="309" t="s">
        <v>411</v>
      </c>
      <c r="C111" s="309" t="s">
        <v>409</v>
      </c>
      <c r="D111">
        <v>1076</v>
      </c>
    </row>
    <row r="112" spans="1:4" x14ac:dyDescent="0.25">
      <c r="A112" s="279">
        <v>38966</v>
      </c>
      <c r="B112" s="309" t="s">
        <v>405</v>
      </c>
      <c r="C112" s="309" t="s">
        <v>406</v>
      </c>
      <c r="D112">
        <v>2781608.1</v>
      </c>
    </row>
    <row r="113" spans="1:4" x14ac:dyDescent="0.25">
      <c r="A113" s="279">
        <v>38966</v>
      </c>
      <c r="B113" s="309" t="s">
        <v>405</v>
      </c>
      <c r="C113" s="309" t="s">
        <v>89</v>
      </c>
      <c r="D113">
        <v>0</v>
      </c>
    </row>
    <row r="114" spans="1:4" x14ac:dyDescent="0.25">
      <c r="A114" s="279">
        <v>38966</v>
      </c>
      <c r="B114" s="309" t="s">
        <v>405</v>
      </c>
      <c r="C114" s="309" t="s">
        <v>198</v>
      </c>
      <c r="D114">
        <v>0</v>
      </c>
    </row>
    <row r="115" spans="1:4" x14ac:dyDescent="0.25">
      <c r="A115" s="279">
        <v>38966</v>
      </c>
      <c r="B115" s="309" t="s">
        <v>405</v>
      </c>
      <c r="C115" s="309" t="s">
        <v>199</v>
      </c>
      <c r="D115">
        <v>0</v>
      </c>
    </row>
    <row r="116" spans="1:4" x14ac:dyDescent="0.25">
      <c r="A116" s="279">
        <v>38966</v>
      </c>
      <c r="B116" s="309" t="s">
        <v>405</v>
      </c>
      <c r="C116" s="309" t="s">
        <v>90</v>
      </c>
      <c r="D116">
        <v>2136</v>
      </c>
    </row>
    <row r="117" spans="1:4" x14ac:dyDescent="0.25">
      <c r="A117" s="279">
        <v>38966</v>
      </c>
      <c r="B117" s="309" t="s">
        <v>405</v>
      </c>
      <c r="C117" s="309" t="s">
        <v>24</v>
      </c>
      <c r="D117">
        <v>0</v>
      </c>
    </row>
    <row r="118" spans="1:4" x14ac:dyDescent="0.25">
      <c r="A118" s="279">
        <v>38966</v>
      </c>
      <c r="B118" s="309" t="s">
        <v>405</v>
      </c>
      <c r="C118" s="309" t="s">
        <v>91</v>
      </c>
      <c r="D118">
        <v>0</v>
      </c>
    </row>
    <row r="119" spans="1:4" x14ac:dyDescent="0.25">
      <c r="A119" s="279">
        <v>38966</v>
      </c>
      <c r="B119" s="309" t="s">
        <v>405</v>
      </c>
      <c r="C119" s="309" t="s">
        <v>118</v>
      </c>
      <c r="D119">
        <v>0</v>
      </c>
    </row>
    <row r="120" spans="1:4" x14ac:dyDescent="0.25">
      <c r="A120" s="279">
        <v>38966</v>
      </c>
      <c r="B120" s="309" t="s">
        <v>405</v>
      </c>
      <c r="C120" s="309" t="s">
        <v>407</v>
      </c>
      <c r="D120">
        <v>2779472.1</v>
      </c>
    </row>
    <row r="121" spans="1:4" x14ac:dyDescent="0.25">
      <c r="A121" s="279">
        <v>38966</v>
      </c>
      <c r="B121" s="309" t="s">
        <v>405</v>
      </c>
      <c r="C121" s="309" t="s">
        <v>408</v>
      </c>
      <c r="D121">
        <v>1007</v>
      </c>
    </row>
    <row r="122" spans="1:4" x14ac:dyDescent="0.25">
      <c r="A122" s="279">
        <v>38966</v>
      </c>
      <c r="B122" s="309" t="s">
        <v>405</v>
      </c>
      <c r="C122" s="309" t="s">
        <v>409</v>
      </c>
      <c r="D122">
        <v>1058</v>
      </c>
    </row>
    <row r="123" spans="1:4" x14ac:dyDescent="0.25">
      <c r="A123" s="279">
        <v>38966</v>
      </c>
      <c r="B123" s="309" t="s">
        <v>405</v>
      </c>
      <c r="C123" s="309" t="s">
        <v>410</v>
      </c>
      <c r="D123">
        <v>1035</v>
      </c>
    </row>
    <row r="124" spans="1:4" x14ac:dyDescent="0.25">
      <c r="A124" s="279">
        <v>38966</v>
      </c>
      <c r="B124" s="309" t="s">
        <v>411</v>
      </c>
      <c r="C124" s="309" t="s">
        <v>406</v>
      </c>
      <c r="D124">
        <v>200744</v>
      </c>
    </row>
    <row r="125" spans="1:4" x14ac:dyDescent="0.25">
      <c r="A125" s="279">
        <v>38966</v>
      </c>
      <c r="B125" s="309" t="s">
        <v>411</v>
      </c>
      <c r="C125" s="309" t="s">
        <v>198</v>
      </c>
      <c r="D125">
        <v>0</v>
      </c>
    </row>
    <row r="126" spans="1:4" x14ac:dyDescent="0.25">
      <c r="A126" s="279">
        <v>38966</v>
      </c>
      <c r="B126" s="309" t="s">
        <v>411</v>
      </c>
      <c r="C126" s="309" t="s">
        <v>199</v>
      </c>
      <c r="D126">
        <v>0</v>
      </c>
    </row>
    <row r="127" spans="1:4" x14ac:dyDescent="0.25">
      <c r="A127" s="279">
        <v>38966</v>
      </c>
      <c r="B127" s="309" t="s">
        <v>411</v>
      </c>
      <c r="C127" s="309" t="s">
        <v>90</v>
      </c>
      <c r="D127">
        <v>50</v>
      </c>
    </row>
    <row r="128" spans="1:4" x14ac:dyDescent="0.25">
      <c r="A128" s="279">
        <v>38966</v>
      </c>
      <c r="B128" s="309" t="s">
        <v>411</v>
      </c>
      <c r="C128" s="309" t="s">
        <v>24</v>
      </c>
      <c r="D128">
        <v>0</v>
      </c>
    </row>
    <row r="129" spans="1:4" x14ac:dyDescent="0.25">
      <c r="A129" s="279">
        <v>38966</v>
      </c>
      <c r="B129" s="309" t="s">
        <v>411</v>
      </c>
      <c r="C129" s="309" t="s">
        <v>91</v>
      </c>
      <c r="D129">
        <v>0</v>
      </c>
    </row>
    <row r="130" spans="1:4" x14ac:dyDescent="0.25">
      <c r="A130" s="279">
        <v>38966</v>
      </c>
      <c r="B130" s="309" t="s">
        <v>411</v>
      </c>
      <c r="C130" s="309" t="s">
        <v>118</v>
      </c>
      <c r="D130">
        <v>0</v>
      </c>
    </row>
    <row r="131" spans="1:4" x14ac:dyDescent="0.25">
      <c r="A131" s="279">
        <v>38966</v>
      </c>
      <c r="B131" s="309" t="s">
        <v>411</v>
      </c>
      <c r="C131" s="309" t="s">
        <v>407</v>
      </c>
      <c r="D131">
        <v>200694</v>
      </c>
    </row>
    <row r="132" spans="1:4" x14ac:dyDescent="0.25">
      <c r="A132" s="279">
        <v>38966</v>
      </c>
      <c r="B132" s="309" t="s">
        <v>411</v>
      </c>
      <c r="C132" s="309" t="s">
        <v>412</v>
      </c>
      <c r="D132">
        <v>1007</v>
      </c>
    </row>
    <row r="133" spans="1:4" x14ac:dyDescent="0.25">
      <c r="A133" s="279">
        <v>38966</v>
      </c>
      <c r="B133" s="309" t="s">
        <v>411</v>
      </c>
      <c r="C133" s="309" t="s">
        <v>409</v>
      </c>
      <c r="D133">
        <v>1076</v>
      </c>
    </row>
    <row r="134" spans="1:4" x14ac:dyDescent="0.25">
      <c r="A134" s="279">
        <v>38967</v>
      </c>
      <c r="B134" s="309" t="s">
        <v>405</v>
      </c>
      <c r="C134" s="309" t="s">
        <v>406</v>
      </c>
      <c r="D134">
        <v>2779472.1</v>
      </c>
    </row>
    <row r="135" spans="1:4" x14ac:dyDescent="0.25">
      <c r="A135" s="279">
        <v>38967</v>
      </c>
      <c r="B135" s="309" t="s">
        <v>405</v>
      </c>
      <c r="C135" s="309" t="s">
        <v>89</v>
      </c>
      <c r="D135">
        <v>0</v>
      </c>
    </row>
    <row r="136" spans="1:4" x14ac:dyDescent="0.25">
      <c r="A136" s="279">
        <v>38967</v>
      </c>
      <c r="B136" s="309" t="s">
        <v>405</v>
      </c>
      <c r="C136" s="309" t="s">
        <v>198</v>
      </c>
      <c r="D136">
        <v>0</v>
      </c>
    </row>
    <row r="137" spans="1:4" x14ac:dyDescent="0.25">
      <c r="A137" s="279">
        <v>38967</v>
      </c>
      <c r="B137" s="309" t="s">
        <v>405</v>
      </c>
      <c r="C137" s="309" t="s">
        <v>199</v>
      </c>
      <c r="D137">
        <v>0</v>
      </c>
    </row>
    <row r="138" spans="1:4" x14ac:dyDescent="0.25">
      <c r="A138" s="279">
        <v>38967</v>
      </c>
      <c r="B138" s="309" t="s">
        <v>405</v>
      </c>
      <c r="C138" s="309" t="s">
        <v>90</v>
      </c>
      <c r="D138">
        <v>1602</v>
      </c>
    </row>
    <row r="139" spans="1:4" x14ac:dyDescent="0.25">
      <c r="A139" s="279">
        <v>38967</v>
      </c>
      <c r="B139" s="309" t="s">
        <v>405</v>
      </c>
      <c r="C139" s="309" t="s">
        <v>24</v>
      </c>
      <c r="D139">
        <v>0</v>
      </c>
    </row>
    <row r="140" spans="1:4" x14ac:dyDescent="0.25">
      <c r="A140" s="279">
        <v>38967</v>
      </c>
      <c r="B140" s="309" t="s">
        <v>405</v>
      </c>
      <c r="C140" s="309" t="s">
        <v>91</v>
      </c>
      <c r="D140">
        <v>0</v>
      </c>
    </row>
    <row r="141" spans="1:4" x14ac:dyDescent="0.25">
      <c r="A141" s="279">
        <v>38967</v>
      </c>
      <c r="B141" s="309" t="s">
        <v>405</v>
      </c>
      <c r="C141" s="309" t="s">
        <v>118</v>
      </c>
      <c r="D141">
        <v>0</v>
      </c>
    </row>
    <row r="142" spans="1:4" x14ac:dyDescent="0.25">
      <c r="A142" s="279">
        <v>38967</v>
      </c>
      <c r="B142" s="309" t="s">
        <v>405</v>
      </c>
      <c r="C142" s="309" t="s">
        <v>407</v>
      </c>
      <c r="D142">
        <v>2777870.1</v>
      </c>
    </row>
    <row r="143" spans="1:4" x14ac:dyDescent="0.25">
      <c r="A143" s="279">
        <v>38967</v>
      </c>
      <c r="B143" s="309" t="s">
        <v>405</v>
      </c>
      <c r="C143" s="309" t="s">
        <v>408</v>
      </c>
      <c r="D143">
        <v>1007</v>
      </c>
    </row>
    <row r="144" spans="1:4" x14ac:dyDescent="0.25">
      <c r="A144" s="279">
        <v>38967</v>
      </c>
      <c r="B144" s="309" t="s">
        <v>405</v>
      </c>
      <c r="C144" s="309" t="s">
        <v>409</v>
      </c>
      <c r="D144">
        <v>1058</v>
      </c>
    </row>
    <row r="145" spans="1:4" x14ac:dyDescent="0.25">
      <c r="A145" s="279">
        <v>38967</v>
      </c>
      <c r="B145" s="309" t="s">
        <v>405</v>
      </c>
      <c r="C145" s="309" t="s">
        <v>410</v>
      </c>
      <c r="D145">
        <v>1032</v>
      </c>
    </row>
    <row r="146" spans="1:4" x14ac:dyDescent="0.25">
      <c r="A146" s="279">
        <v>38967</v>
      </c>
      <c r="B146" s="309" t="s">
        <v>411</v>
      </c>
      <c r="C146" s="309" t="s">
        <v>406</v>
      </c>
      <c r="D146">
        <v>200694</v>
      </c>
    </row>
    <row r="147" spans="1:4" x14ac:dyDescent="0.25">
      <c r="A147" s="279">
        <v>38967</v>
      </c>
      <c r="B147" s="309" t="s">
        <v>411</v>
      </c>
      <c r="C147" s="309" t="s">
        <v>198</v>
      </c>
      <c r="D147">
        <v>0</v>
      </c>
    </row>
    <row r="148" spans="1:4" x14ac:dyDescent="0.25">
      <c r="A148" s="279">
        <v>38967</v>
      </c>
      <c r="B148" s="309" t="s">
        <v>411</v>
      </c>
      <c r="C148" s="309" t="s">
        <v>199</v>
      </c>
      <c r="D148">
        <v>0</v>
      </c>
    </row>
    <row r="149" spans="1:4" x14ac:dyDescent="0.25">
      <c r="A149" s="279">
        <v>38967</v>
      </c>
      <c r="B149" s="309" t="s">
        <v>411</v>
      </c>
      <c r="C149" s="309" t="s">
        <v>90</v>
      </c>
      <c r="D149">
        <v>52</v>
      </c>
    </row>
    <row r="150" spans="1:4" x14ac:dyDescent="0.25">
      <c r="A150" s="279">
        <v>38967</v>
      </c>
      <c r="B150" s="309" t="s">
        <v>411</v>
      </c>
      <c r="C150" s="309" t="s">
        <v>24</v>
      </c>
      <c r="D150">
        <v>0</v>
      </c>
    </row>
    <row r="151" spans="1:4" x14ac:dyDescent="0.25">
      <c r="A151" s="279">
        <v>38967</v>
      </c>
      <c r="B151" s="309" t="s">
        <v>411</v>
      </c>
      <c r="C151" s="309" t="s">
        <v>91</v>
      </c>
      <c r="D151">
        <v>0</v>
      </c>
    </row>
    <row r="152" spans="1:4" x14ac:dyDescent="0.25">
      <c r="A152" s="279">
        <v>38967</v>
      </c>
      <c r="B152" s="309" t="s">
        <v>411</v>
      </c>
      <c r="C152" s="309" t="s">
        <v>118</v>
      </c>
      <c r="D152">
        <v>0</v>
      </c>
    </row>
    <row r="153" spans="1:4" x14ac:dyDescent="0.25">
      <c r="A153" s="279">
        <v>38967</v>
      </c>
      <c r="B153" s="309" t="s">
        <v>411</v>
      </c>
      <c r="C153" s="309" t="s">
        <v>407</v>
      </c>
      <c r="D153">
        <v>200642</v>
      </c>
    </row>
    <row r="154" spans="1:4" x14ac:dyDescent="0.25">
      <c r="A154" s="279">
        <v>38967</v>
      </c>
      <c r="B154" s="309" t="s">
        <v>411</v>
      </c>
      <c r="C154" s="309" t="s">
        <v>412</v>
      </c>
      <c r="D154">
        <v>1007</v>
      </c>
    </row>
    <row r="155" spans="1:4" x14ac:dyDescent="0.25">
      <c r="A155" s="279">
        <v>38967</v>
      </c>
      <c r="B155" s="309" t="s">
        <v>411</v>
      </c>
      <c r="C155" s="309" t="s">
        <v>409</v>
      </c>
      <c r="D155">
        <v>1076</v>
      </c>
    </row>
    <row r="156" spans="1:4" x14ac:dyDescent="0.25">
      <c r="A156" s="279">
        <v>38968</v>
      </c>
      <c r="B156" s="309" t="s">
        <v>405</v>
      </c>
      <c r="C156" s="309" t="s">
        <v>406</v>
      </c>
      <c r="D156">
        <v>2777870.1</v>
      </c>
    </row>
    <row r="157" spans="1:4" x14ac:dyDescent="0.25">
      <c r="A157" s="279">
        <v>38968</v>
      </c>
      <c r="B157" s="309" t="s">
        <v>405</v>
      </c>
      <c r="C157" s="309" t="s">
        <v>89</v>
      </c>
      <c r="D157">
        <v>6207</v>
      </c>
    </row>
    <row r="158" spans="1:4" x14ac:dyDescent="0.25">
      <c r="A158" s="279">
        <v>38968</v>
      </c>
      <c r="B158" s="309" t="s">
        <v>405</v>
      </c>
      <c r="C158" s="309" t="s">
        <v>198</v>
      </c>
      <c r="D158">
        <v>0</v>
      </c>
    </row>
    <row r="159" spans="1:4" x14ac:dyDescent="0.25">
      <c r="A159" s="279">
        <v>38968</v>
      </c>
      <c r="B159" s="309" t="s">
        <v>405</v>
      </c>
      <c r="C159" s="309" t="s">
        <v>199</v>
      </c>
      <c r="D159">
        <v>0</v>
      </c>
    </row>
    <row r="160" spans="1:4" x14ac:dyDescent="0.25">
      <c r="A160" s="279">
        <v>38968</v>
      </c>
      <c r="B160" s="309" t="s">
        <v>405</v>
      </c>
      <c r="C160" s="309" t="s">
        <v>90</v>
      </c>
      <c r="D160">
        <v>1937</v>
      </c>
    </row>
    <row r="161" spans="1:4" x14ac:dyDescent="0.25">
      <c r="A161" s="279">
        <v>38968</v>
      </c>
      <c r="B161" s="309" t="s">
        <v>405</v>
      </c>
      <c r="C161" s="309" t="s">
        <v>24</v>
      </c>
      <c r="D161">
        <v>0</v>
      </c>
    </row>
    <row r="162" spans="1:4" x14ac:dyDescent="0.25">
      <c r="A162" s="279">
        <v>38968</v>
      </c>
      <c r="B162" s="309" t="s">
        <v>405</v>
      </c>
      <c r="C162" s="309" t="s">
        <v>91</v>
      </c>
      <c r="D162">
        <v>0</v>
      </c>
    </row>
    <row r="163" spans="1:4" x14ac:dyDescent="0.25">
      <c r="A163" s="279">
        <v>38968</v>
      </c>
      <c r="B163" s="309" t="s">
        <v>405</v>
      </c>
      <c r="C163" s="309" t="s">
        <v>118</v>
      </c>
      <c r="D163">
        <v>0</v>
      </c>
    </row>
    <row r="164" spans="1:4" x14ac:dyDescent="0.25">
      <c r="A164" s="279">
        <v>38968</v>
      </c>
      <c r="B164" s="309" t="s">
        <v>405</v>
      </c>
      <c r="C164" s="309" t="s">
        <v>407</v>
      </c>
      <c r="D164">
        <v>2782140.1</v>
      </c>
    </row>
    <row r="165" spans="1:4" x14ac:dyDescent="0.25">
      <c r="A165" s="279">
        <v>38968</v>
      </c>
      <c r="B165" s="309" t="s">
        <v>405</v>
      </c>
      <c r="C165" s="309" t="s">
        <v>408</v>
      </c>
      <c r="D165">
        <v>1007</v>
      </c>
    </row>
    <row r="166" spans="1:4" x14ac:dyDescent="0.25">
      <c r="A166" s="279">
        <v>38968</v>
      </c>
      <c r="B166" s="309" t="s">
        <v>405</v>
      </c>
      <c r="C166" s="309" t="s">
        <v>409</v>
      </c>
      <c r="D166">
        <v>1058</v>
      </c>
    </row>
    <row r="167" spans="1:4" x14ac:dyDescent="0.25">
      <c r="A167" s="279">
        <v>38968</v>
      </c>
      <c r="B167" s="309" t="s">
        <v>405</v>
      </c>
      <c r="C167" s="309" t="s">
        <v>410</v>
      </c>
      <c r="D167">
        <v>1037</v>
      </c>
    </row>
    <row r="168" spans="1:4" x14ac:dyDescent="0.25">
      <c r="A168" s="279">
        <v>38968</v>
      </c>
      <c r="B168" s="309" t="s">
        <v>411</v>
      </c>
      <c r="C168" s="309" t="s">
        <v>406</v>
      </c>
      <c r="D168">
        <v>200642</v>
      </c>
    </row>
    <row r="169" spans="1:4" x14ac:dyDescent="0.25">
      <c r="A169" s="279">
        <v>38968</v>
      </c>
      <c r="B169" s="309" t="s">
        <v>411</v>
      </c>
      <c r="C169" s="309" t="s">
        <v>198</v>
      </c>
      <c r="D169">
        <v>0</v>
      </c>
    </row>
    <row r="170" spans="1:4" x14ac:dyDescent="0.25">
      <c r="A170" s="279">
        <v>38968</v>
      </c>
      <c r="B170" s="309" t="s">
        <v>411</v>
      </c>
      <c r="C170" s="309" t="s">
        <v>199</v>
      </c>
      <c r="D170">
        <v>0</v>
      </c>
    </row>
    <row r="171" spans="1:4" x14ac:dyDescent="0.25">
      <c r="A171" s="279">
        <v>38968</v>
      </c>
      <c r="B171" s="309" t="s">
        <v>411</v>
      </c>
      <c r="C171" s="309" t="s">
        <v>90</v>
      </c>
      <c r="D171">
        <v>175</v>
      </c>
    </row>
    <row r="172" spans="1:4" x14ac:dyDescent="0.25">
      <c r="A172" s="279">
        <v>38968</v>
      </c>
      <c r="B172" s="309" t="s">
        <v>411</v>
      </c>
      <c r="C172" s="309" t="s">
        <v>24</v>
      </c>
      <c r="D172">
        <v>0</v>
      </c>
    </row>
    <row r="173" spans="1:4" x14ac:dyDescent="0.25">
      <c r="A173" s="279">
        <v>38968</v>
      </c>
      <c r="B173" s="309" t="s">
        <v>411</v>
      </c>
      <c r="C173" s="309" t="s">
        <v>91</v>
      </c>
      <c r="D173">
        <v>0</v>
      </c>
    </row>
    <row r="174" spans="1:4" x14ac:dyDescent="0.25">
      <c r="A174" s="279">
        <v>38968</v>
      </c>
      <c r="B174" s="309" t="s">
        <v>411</v>
      </c>
      <c r="C174" s="309" t="s">
        <v>118</v>
      </c>
      <c r="D174">
        <v>0</v>
      </c>
    </row>
    <row r="175" spans="1:4" x14ac:dyDescent="0.25">
      <c r="A175" s="279">
        <v>38968</v>
      </c>
      <c r="B175" s="309" t="s">
        <v>411</v>
      </c>
      <c r="C175" s="309" t="s">
        <v>407</v>
      </c>
      <c r="D175">
        <v>200467</v>
      </c>
    </row>
    <row r="176" spans="1:4" x14ac:dyDescent="0.25">
      <c r="A176" s="279">
        <v>38968</v>
      </c>
      <c r="B176" s="309" t="s">
        <v>411</v>
      </c>
      <c r="C176" s="309" t="s">
        <v>412</v>
      </c>
      <c r="D176">
        <v>1007</v>
      </c>
    </row>
    <row r="177" spans="1:4" x14ac:dyDescent="0.25">
      <c r="A177" s="279">
        <v>38968</v>
      </c>
      <c r="B177" s="309" t="s">
        <v>411</v>
      </c>
      <c r="C177" s="309" t="s">
        <v>409</v>
      </c>
      <c r="D177">
        <v>1076</v>
      </c>
    </row>
    <row r="178" spans="1:4" x14ac:dyDescent="0.25">
      <c r="A178" s="279">
        <v>38969</v>
      </c>
      <c r="B178" s="309" t="s">
        <v>405</v>
      </c>
      <c r="C178" s="309" t="s">
        <v>406</v>
      </c>
      <c r="D178">
        <v>2782140.1</v>
      </c>
    </row>
    <row r="179" spans="1:4" x14ac:dyDescent="0.25">
      <c r="A179" s="279">
        <v>38969</v>
      </c>
      <c r="B179" s="309" t="s">
        <v>405</v>
      </c>
      <c r="C179" s="309" t="s">
        <v>89</v>
      </c>
      <c r="D179">
        <v>10706</v>
      </c>
    </row>
    <row r="180" spans="1:4" x14ac:dyDescent="0.25">
      <c r="A180" s="279">
        <v>38969</v>
      </c>
      <c r="B180" s="309" t="s">
        <v>405</v>
      </c>
      <c r="C180" s="309" t="s">
        <v>198</v>
      </c>
      <c r="D180">
        <v>0</v>
      </c>
    </row>
    <row r="181" spans="1:4" x14ac:dyDescent="0.25">
      <c r="A181" s="279">
        <v>38969</v>
      </c>
      <c r="B181" s="309" t="s">
        <v>405</v>
      </c>
      <c r="C181" s="309" t="s">
        <v>199</v>
      </c>
      <c r="D181">
        <v>0</v>
      </c>
    </row>
    <row r="182" spans="1:4" x14ac:dyDescent="0.25">
      <c r="A182" s="279">
        <v>38969</v>
      </c>
      <c r="B182" s="309" t="s">
        <v>405</v>
      </c>
      <c r="C182" s="309" t="s">
        <v>90</v>
      </c>
      <c r="D182">
        <v>2163</v>
      </c>
    </row>
    <row r="183" spans="1:4" x14ac:dyDescent="0.25">
      <c r="A183" s="279">
        <v>38969</v>
      </c>
      <c r="B183" s="309" t="s">
        <v>405</v>
      </c>
      <c r="C183" s="309" t="s">
        <v>24</v>
      </c>
      <c r="D183">
        <v>0</v>
      </c>
    </row>
    <row r="184" spans="1:4" x14ac:dyDescent="0.25">
      <c r="A184" s="279">
        <v>38969</v>
      </c>
      <c r="B184" s="309" t="s">
        <v>405</v>
      </c>
      <c r="C184" s="309" t="s">
        <v>91</v>
      </c>
      <c r="D184">
        <v>0</v>
      </c>
    </row>
    <row r="185" spans="1:4" x14ac:dyDescent="0.25">
      <c r="A185" s="279">
        <v>38969</v>
      </c>
      <c r="B185" s="309" t="s">
        <v>405</v>
      </c>
      <c r="C185" s="309" t="s">
        <v>118</v>
      </c>
      <c r="D185">
        <v>0</v>
      </c>
    </row>
    <row r="186" spans="1:4" x14ac:dyDescent="0.25">
      <c r="A186" s="279">
        <v>38969</v>
      </c>
      <c r="B186" s="309" t="s">
        <v>405</v>
      </c>
      <c r="C186" s="309" t="s">
        <v>407</v>
      </c>
      <c r="D186">
        <v>2790683.1</v>
      </c>
    </row>
    <row r="187" spans="1:4" x14ac:dyDescent="0.25">
      <c r="A187" s="279">
        <v>38969</v>
      </c>
      <c r="B187" s="309" t="s">
        <v>405</v>
      </c>
      <c r="C187" s="309" t="s">
        <v>408</v>
      </c>
      <c r="D187">
        <v>1007</v>
      </c>
    </row>
    <row r="188" spans="1:4" x14ac:dyDescent="0.25">
      <c r="A188" s="279">
        <v>38969</v>
      </c>
      <c r="B188" s="309" t="s">
        <v>405</v>
      </c>
      <c r="C188" s="309" t="s">
        <v>409</v>
      </c>
      <c r="D188">
        <v>1058</v>
      </c>
    </row>
    <row r="189" spans="1:4" x14ac:dyDescent="0.25">
      <c r="A189" s="279">
        <v>38969</v>
      </c>
      <c r="B189" s="309" t="s">
        <v>405</v>
      </c>
      <c r="C189" s="309" t="s">
        <v>410</v>
      </c>
      <c r="D189">
        <v>1034</v>
      </c>
    </row>
    <row r="190" spans="1:4" x14ac:dyDescent="0.25">
      <c r="A190" s="279">
        <v>38969</v>
      </c>
      <c r="B190" s="309" t="s">
        <v>411</v>
      </c>
      <c r="C190" s="309" t="s">
        <v>406</v>
      </c>
      <c r="D190">
        <v>200467</v>
      </c>
    </row>
    <row r="191" spans="1:4" x14ac:dyDescent="0.25">
      <c r="A191" s="279">
        <v>38969</v>
      </c>
      <c r="B191" s="309" t="s">
        <v>411</v>
      </c>
      <c r="C191" s="309" t="s">
        <v>198</v>
      </c>
      <c r="D191">
        <v>0</v>
      </c>
    </row>
    <row r="192" spans="1:4" x14ac:dyDescent="0.25">
      <c r="A192" s="279">
        <v>38969</v>
      </c>
      <c r="B192" s="309" t="s">
        <v>411</v>
      </c>
      <c r="C192" s="309" t="s">
        <v>199</v>
      </c>
      <c r="D192">
        <v>0</v>
      </c>
    </row>
    <row r="193" spans="1:4" x14ac:dyDescent="0.25">
      <c r="A193" s="279">
        <v>38969</v>
      </c>
      <c r="B193" s="309" t="s">
        <v>411</v>
      </c>
      <c r="C193" s="309" t="s">
        <v>90</v>
      </c>
      <c r="D193">
        <v>51</v>
      </c>
    </row>
    <row r="194" spans="1:4" x14ac:dyDescent="0.25">
      <c r="A194" s="279">
        <v>38969</v>
      </c>
      <c r="B194" s="309" t="s">
        <v>411</v>
      </c>
      <c r="C194" s="309" t="s">
        <v>24</v>
      </c>
      <c r="D194">
        <v>0</v>
      </c>
    </row>
    <row r="195" spans="1:4" x14ac:dyDescent="0.25">
      <c r="A195" s="279">
        <v>38969</v>
      </c>
      <c r="B195" s="309" t="s">
        <v>411</v>
      </c>
      <c r="C195" s="309" t="s">
        <v>91</v>
      </c>
      <c r="D195">
        <v>0</v>
      </c>
    </row>
    <row r="196" spans="1:4" x14ac:dyDescent="0.25">
      <c r="A196" s="279">
        <v>38969</v>
      </c>
      <c r="B196" s="309" t="s">
        <v>411</v>
      </c>
      <c r="C196" s="309" t="s">
        <v>118</v>
      </c>
      <c r="D196">
        <v>0</v>
      </c>
    </row>
    <row r="197" spans="1:4" x14ac:dyDescent="0.25">
      <c r="A197" s="279">
        <v>38969</v>
      </c>
      <c r="B197" s="309" t="s">
        <v>411</v>
      </c>
      <c r="C197" s="309" t="s">
        <v>407</v>
      </c>
      <c r="D197">
        <v>200416</v>
      </c>
    </row>
    <row r="198" spans="1:4" x14ac:dyDescent="0.25">
      <c r="A198" s="279">
        <v>38969</v>
      </c>
      <c r="B198" s="309" t="s">
        <v>411</v>
      </c>
      <c r="C198" s="309" t="s">
        <v>412</v>
      </c>
      <c r="D198">
        <v>1007</v>
      </c>
    </row>
    <row r="199" spans="1:4" x14ac:dyDescent="0.25">
      <c r="A199" s="279">
        <v>38969</v>
      </c>
      <c r="B199" s="309" t="s">
        <v>411</v>
      </c>
      <c r="C199" s="309" t="s">
        <v>409</v>
      </c>
      <c r="D199">
        <v>1076</v>
      </c>
    </row>
    <row r="200" spans="1:4" x14ac:dyDescent="0.25">
      <c r="A200" s="279">
        <v>38970</v>
      </c>
      <c r="B200" s="309" t="s">
        <v>405</v>
      </c>
      <c r="C200" s="309" t="s">
        <v>406</v>
      </c>
      <c r="D200">
        <v>2790683.1</v>
      </c>
    </row>
    <row r="201" spans="1:4" x14ac:dyDescent="0.25">
      <c r="A201" s="279">
        <v>38970</v>
      </c>
      <c r="B201" s="309" t="s">
        <v>405</v>
      </c>
      <c r="C201" s="309" t="s">
        <v>89</v>
      </c>
      <c r="D201">
        <v>13237</v>
      </c>
    </row>
    <row r="202" spans="1:4" x14ac:dyDescent="0.25">
      <c r="A202" s="279">
        <v>38970</v>
      </c>
      <c r="B202" s="309" t="s">
        <v>405</v>
      </c>
      <c r="C202" s="309" t="s">
        <v>198</v>
      </c>
      <c r="D202">
        <v>0</v>
      </c>
    </row>
    <row r="203" spans="1:4" x14ac:dyDescent="0.25">
      <c r="A203" s="279">
        <v>38970</v>
      </c>
      <c r="B203" s="309" t="s">
        <v>405</v>
      </c>
      <c r="C203" s="309" t="s">
        <v>199</v>
      </c>
      <c r="D203">
        <v>0</v>
      </c>
    </row>
    <row r="204" spans="1:4" x14ac:dyDescent="0.25">
      <c r="A204" s="279">
        <v>38970</v>
      </c>
      <c r="B204" s="309" t="s">
        <v>405</v>
      </c>
      <c r="C204" s="309" t="s">
        <v>90</v>
      </c>
      <c r="D204">
        <v>2294</v>
      </c>
    </row>
    <row r="205" spans="1:4" x14ac:dyDescent="0.25">
      <c r="A205" s="279">
        <v>38970</v>
      </c>
      <c r="B205" s="309" t="s">
        <v>405</v>
      </c>
      <c r="C205" s="309" t="s">
        <v>24</v>
      </c>
      <c r="D205">
        <v>0</v>
      </c>
    </row>
    <row r="206" spans="1:4" x14ac:dyDescent="0.25">
      <c r="A206" s="279">
        <v>38970</v>
      </c>
      <c r="B206" s="309" t="s">
        <v>405</v>
      </c>
      <c r="C206" s="309" t="s">
        <v>91</v>
      </c>
      <c r="D206">
        <v>0</v>
      </c>
    </row>
    <row r="207" spans="1:4" x14ac:dyDescent="0.25">
      <c r="A207" s="279">
        <v>38970</v>
      </c>
      <c r="B207" s="309" t="s">
        <v>405</v>
      </c>
      <c r="C207" s="309" t="s">
        <v>118</v>
      </c>
      <c r="D207">
        <v>0</v>
      </c>
    </row>
    <row r="208" spans="1:4" x14ac:dyDescent="0.25">
      <c r="A208" s="279">
        <v>38970</v>
      </c>
      <c r="B208" s="309" t="s">
        <v>405</v>
      </c>
      <c r="C208" s="309" t="s">
        <v>407</v>
      </c>
      <c r="D208">
        <v>2801626.1</v>
      </c>
    </row>
    <row r="209" spans="1:4" x14ac:dyDescent="0.25">
      <c r="A209" s="279">
        <v>38970</v>
      </c>
      <c r="B209" s="309" t="s">
        <v>405</v>
      </c>
      <c r="C209" s="309" t="s">
        <v>408</v>
      </c>
      <c r="D209">
        <v>1007</v>
      </c>
    </row>
    <row r="210" spans="1:4" x14ac:dyDescent="0.25">
      <c r="A210" s="279">
        <v>38970</v>
      </c>
      <c r="B210" s="309" t="s">
        <v>405</v>
      </c>
      <c r="C210" s="309" t="s">
        <v>409</v>
      </c>
      <c r="D210">
        <v>1058</v>
      </c>
    </row>
    <row r="211" spans="1:4" x14ac:dyDescent="0.25">
      <c r="A211" s="279">
        <v>38970</v>
      </c>
      <c r="B211" s="309" t="s">
        <v>405</v>
      </c>
      <c r="C211" s="309" t="s">
        <v>410</v>
      </c>
      <c r="D211">
        <v>1032</v>
      </c>
    </row>
    <row r="212" spans="1:4" x14ac:dyDescent="0.25">
      <c r="A212" s="279">
        <v>38970</v>
      </c>
      <c r="B212" s="309" t="s">
        <v>411</v>
      </c>
      <c r="C212" s="309" t="s">
        <v>406</v>
      </c>
      <c r="D212">
        <v>200416</v>
      </c>
    </row>
    <row r="213" spans="1:4" x14ac:dyDescent="0.25">
      <c r="A213" s="279">
        <v>38970</v>
      </c>
      <c r="B213" s="309" t="s">
        <v>411</v>
      </c>
      <c r="C213" s="309" t="s">
        <v>198</v>
      </c>
      <c r="D213">
        <v>0</v>
      </c>
    </row>
    <row r="214" spans="1:4" x14ac:dyDescent="0.25">
      <c r="A214" s="279">
        <v>38970</v>
      </c>
      <c r="B214" s="309" t="s">
        <v>411</v>
      </c>
      <c r="C214" s="309" t="s">
        <v>199</v>
      </c>
      <c r="D214">
        <v>0</v>
      </c>
    </row>
    <row r="215" spans="1:4" x14ac:dyDescent="0.25">
      <c r="A215" s="279">
        <v>38970</v>
      </c>
      <c r="B215" s="309" t="s">
        <v>411</v>
      </c>
      <c r="C215" s="309" t="s">
        <v>90</v>
      </c>
      <c r="D215">
        <v>52</v>
      </c>
    </row>
    <row r="216" spans="1:4" x14ac:dyDescent="0.25">
      <c r="A216" s="279">
        <v>38970</v>
      </c>
      <c r="B216" s="309" t="s">
        <v>411</v>
      </c>
      <c r="C216" s="309" t="s">
        <v>24</v>
      </c>
      <c r="D216">
        <v>0</v>
      </c>
    </row>
    <row r="217" spans="1:4" x14ac:dyDescent="0.25">
      <c r="A217" s="279">
        <v>38970</v>
      </c>
      <c r="B217" s="309" t="s">
        <v>411</v>
      </c>
      <c r="C217" s="309" t="s">
        <v>91</v>
      </c>
      <c r="D217">
        <v>0</v>
      </c>
    </row>
    <row r="218" spans="1:4" x14ac:dyDescent="0.25">
      <c r="A218" s="279">
        <v>38970</v>
      </c>
      <c r="B218" s="309" t="s">
        <v>411</v>
      </c>
      <c r="C218" s="309" t="s">
        <v>118</v>
      </c>
      <c r="D218">
        <v>0</v>
      </c>
    </row>
    <row r="219" spans="1:4" x14ac:dyDescent="0.25">
      <c r="A219" s="279">
        <v>38970</v>
      </c>
      <c r="B219" s="309" t="s">
        <v>411</v>
      </c>
      <c r="C219" s="309" t="s">
        <v>407</v>
      </c>
      <c r="D219">
        <v>200364</v>
      </c>
    </row>
    <row r="220" spans="1:4" x14ac:dyDescent="0.25">
      <c r="A220" s="279">
        <v>38970</v>
      </c>
      <c r="B220" s="309" t="s">
        <v>411</v>
      </c>
      <c r="C220" s="309" t="s">
        <v>412</v>
      </c>
      <c r="D220">
        <v>1007</v>
      </c>
    </row>
    <row r="221" spans="1:4" x14ac:dyDescent="0.25">
      <c r="A221" s="279">
        <v>38970</v>
      </c>
      <c r="B221" s="309" t="s">
        <v>411</v>
      </c>
      <c r="C221" s="309" t="s">
        <v>409</v>
      </c>
      <c r="D221">
        <v>1076</v>
      </c>
    </row>
    <row r="222" spans="1:4" x14ac:dyDescent="0.25">
      <c r="A222" s="279">
        <v>38971</v>
      </c>
      <c r="B222" s="309" t="s">
        <v>405</v>
      </c>
      <c r="C222" s="309" t="s">
        <v>406</v>
      </c>
      <c r="D222">
        <v>2801626.1</v>
      </c>
    </row>
    <row r="223" spans="1:4" x14ac:dyDescent="0.25">
      <c r="A223" s="279">
        <v>38971</v>
      </c>
      <c r="B223" s="309" t="s">
        <v>405</v>
      </c>
      <c r="C223" s="309" t="s">
        <v>89</v>
      </c>
      <c r="D223">
        <v>2281</v>
      </c>
    </row>
    <row r="224" spans="1:4" x14ac:dyDescent="0.25">
      <c r="A224" s="279">
        <v>38971</v>
      </c>
      <c r="B224" s="309" t="s">
        <v>405</v>
      </c>
      <c r="C224" s="309" t="s">
        <v>198</v>
      </c>
      <c r="D224">
        <v>0</v>
      </c>
    </row>
    <row r="225" spans="1:4" x14ac:dyDescent="0.25">
      <c r="A225" s="279">
        <v>38971</v>
      </c>
      <c r="B225" s="309" t="s">
        <v>405</v>
      </c>
      <c r="C225" s="309" t="s">
        <v>199</v>
      </c>
      <c r="D225">
        <v>0</v>
      </c>
    </row>
    <row r="226" spans="1:4" x14ac:dyDescent="0.25">
      <c r="A226" s="279">
        <v>38971</v>
      </c>
      <c r="B226" s="309" t="s">
        <v>405</v>
      </c>
      <c r="C226" s="309" t="s">
        <v>90</v>
      </c>
      <c r="D226">
        <v>1747</v>
      </c>
    </row>
    <row r="227" spans="1:4" x14ac:dyDescent="0.25">
      <c r="A227" s="279">
        <v>38971</v>
      </c>
      <c r="B227" s="309" t="s">
        <v>405</v>
      </c>
      <c r="C227" s="309" t="s">
        <v>24</v>
      </c>
      <c r="D227">
        <v>0</v>
      </c>
    </row>
    <row r="228" spans="1:4" x14ac:dyDescent="0.25">
      <c r="A228" s="279">
        <v>38971</v>
      </c>
      <c r="B228" s="309" t="s">
        <v>405</v>
      </c>
      <c r="C228" s="309" t="s">
        <v>91</v>
      </c>
      <c r="D228">
        <v>0</v>
      </c>
    </row>
    <row r="229" spans="1:4" x14ac:dyDescent="0.25">
      <c r="A229" s="279">
        <v>38971</v>
      </c>
      <c r="B229" s="309" t="s">
        <v>405</v>
      </c>
      <c r="C229" s="309" t="s">
        <v>118</v>
      </c>
      <c r="D229">
        <v>0</v>
      </c>
    </row>
    <row r="230" spans="1:4" x14ac:dyDescent="0.25">
      <c r="A230" s="279">
        <v>38971</v>
      </c>
      <c r="B230" s="309" t="s">
        <v>405</v>
      </c>
      <c r="C230" s="309" t="s">
        <v>407</v>
      </c>
      <c r="D230">
        <v>2802160.1</v>
      </c>
    </row>
    <row r="231" spans="1:4" x14ac:dyDescent="0.25">
      <c r="A231" s="279">
        <v>38971</v>
      </c>
      <c r="B231" s="309" t="s">
        <v>405</v>
      </c>
      <c r="C231" s="309" t="s">
        <v>408</v>
      </c>
      <c r="D231">
        <v>1007</v>
      </c>
    </row>
    <row r="232" spans="1:4" x14ac:dyDescent="0.25">
      <c r="A232" s="279">
        <v>38971</v>
      </c>
      <c r="B232" s="309" t="s">
        <v>405</v>
      </c>
      <c r="C232" s="309" t="s">
        <v>409</v>
      </c>
      <c r="D232">
        <v>1058</v>
      </c>
    </row>
    <row r="233" spans="1:4" x14ac:dyDescent="0.25">
      <c r="A233" s="279">
        <v>38971</v>
      </c>
      <c r="B233" s="309" t="s">
        <v>405</v>
      </c>
      <c r="C233" s="309" t="s">
        <v>410</v>
      </c>
      <c r="D233">
        <v>1030</v>
      </c>
    </row>
    <row r="234" spans="1:4" x14ac:dyDescent="0.25">
      <c r="A234" s="279">
        <v>38971</v>
      </c>
      <c r="B234" s="309" t="s">
        <v>411</v>
      </c>
      <c r="C234" s="309" t="s">
        <v>406</v>
      </c>
      <c r="D234">
        <v>200364</v>
      </c>
    </row>
    <row r="235" spans="1:4" x14ac:dyDescent="0.25">
      <c r="A235" s="279">
        <v>38971</v>
      </c>
      <c r="B235" s="309" t="s">
        <v>411</v>
      </c>
      <c r="C235" s="309" t="s">
        <v>198</v>
      </c>
      <c r="D235">
        <v>0</v>
      </c>
    </row>
    <row r="236" spans="1:4" x14ac:dyDescent="0.25">
      <c r="A236" s="279">
        <v>38971</v>
      </c>
      <c r="B236" s="309" t="s">
        <v>411</v>
      </c>
      <c r="C236" s="309" t="s">
        <v>199</v>
      </c>
      <c r="D236">
        <v>0</v>
      </c>
    </row>
    <row r="237" spans="1:4" x14ac:dyDescent="0.25">
      <c r="A237" s="279">
        <v>38971</v>
      </c>
      <c r="B237" s="309" t="s">
        <v>411</v>
      </c>
      <c r="C237" s="309" t="s">
        <v>90</v>
      </c>
      <c r="D237">
        <v>174</v>
      </c>
    </row>
    <row r="238" spans="1:4" x14ac:dyDescent="0.25">
      <c r="A238" s="279">
        <v>38971</v>
      </c>
      <c r="B238" s="309" t="s">
        <v>411</v>
      </c>
      <c r="C238" s="309" t="s">
        <v>24</v>
      </c>
      <c r="D238">
        <v>0</v>
      </c>
    </row>
    <row r="239" spans="1:4" x14ac:dyDescent="0.25">
      <c r="A239" s="279">
        <v>38971</v>
      </c>
      <c r="B239" s="309" t="s">
        <v>411</v>
      </c>
      <c r="C239" s="309" t="s">
        <v>91</v>
      </c>
      <c r="D239">
        <v>0</v>
      </c>
    </row>
    <row r="240" spans="1:4" x14ac:dyDescent="0.25">
      <c r="A240" s="279">
        <v>38971</v>
      </c>
      <c r="B240" s="309" t="s">
        <v>411</v>
      </c>
      <c r="C240" s="309" t="s">
        <v>118</v>
      </c>
      <c r="D240">
        <v>0</v>
      </c>
    </row>
    <row r="241" spans="1:4" x14ac:dyDescent="0.25">
      <c r="A241" s="279">
        <v>38971</v>
      </c>
      <c r="B241" s="309" t="s">
        <v>411</v>
      </c>
      <c r="C241" s="309" t="s">
        <v>407</v>
      </c>
      <c r="D241">
        <v>200190</v>
      </c>
    </row>
    <row r="242" spans="1:4" x14ac:dyDescent="0.25">
      <c r="A242" s="279">
        <v>38971</v>
      </c>
      <c r="B242" s="309" t="s">
        <v>411</v>
      </c>
      <c r="C242" s="309" t="s">
        <v>412</v>
      </c>
      <c r="D242">
        <v>1007</v>
      </c>
    </row>
    <row r="243" spans="1:4" x14ac:dyDescent="0.25">
      <c r="A243" s="279">
        <v>38971</v>
      </c>
      <c r="B243" s="309" t="s">
        <v>411</v>
      </c>
      <c r="C243" s="309" t="s">
        <v>409</v>
      </c>
      <c r="D243">
        <v>1076</v>
      </c>
    </row>
    <row r="244" spans="1:4" x14ac:dyDescent="0.25">
      <c r="A244" s="279">
        <v>38972</v>
      </c>
      <c r="B244" s="309" t="s">
        <v>405</v>
      </c>
      <c r="C244" s="309" t="s">
        <v>406</v>
      </c>
      <c r="D244">
        <v>2802160.1</v>
      </c>
    </row>
    <row r="245" spans="1:4" x14ac:dyDescent="0.25">
      <c r="A245" s="279">
        <v>38972</v>
      </c>
      <c r="B245" s="309" t="s">
        <v>405</v>
      </c>
      <c r="C245" s="309" t="s">
        <v>89</v>
      </c>
      <c r="D245">
        <v>7902</v>
      </c>
    </row>
    <row r="246" spans="1:4" x14ac:dyDescent="0.25">
      <c r="A246" s="279">
        <v>38972</v>
      </c>
      <c r="B246" s="309" t="s">
        <v>405</v>
      </c>
      <c r="C246" s="309" t="s">
        <v>198</v>
      </c>
      <c r="D246">
        <v>0</v>
      </c>
    </row>
    <row r="247" spans="1:4" x14ac:dyDescent="0.25">
      <c r="A247" s="279">
        <v>38972</v>
      </c>
      <c r="B247" s="309" t="s">
        <v>405</v>
      </c>
      <c r="C247" s="309" t="s">
        <v>199</v>
      </c>
      <c r="D247">
        <v>0</v>
      </c>
    </row>
    <row r="248" spans="1:4" x14ac:dyDescent="0.25">
      <c r="A248" s="279">
        <v>38972</v>
      </c>
      <c r="B248" s="309" t="s">
        <v>405</v>
      </c>
      <c r="C248" s="309" t="s">
        <v>90</v>
      </c>
      <c r="D248">
        <v>2030</v>
      </c>
    </row>
    <row r="249" spans="1:4" x14ac:dyDescent="0.25">
      <c r="A249" s="279">
        <v>38972</v>
      </c>
      <c r="B249" s="309" t="s">
        <v>405</v>
      </c>
      <c r="C249" s="309" t="s">
        <v>24</v>
      </c>
      <c r="D249">
        <v>0</v>
      </c>
    </row>
    <row r="250" spans="1:4" x14ac:dyDescent="0.25">
      <c r="A250" s="279">
        <v>38972</v>
      </c>
      <c r="B250" s="309" t="s">
        <v>405</v>
      </c>
      <c r="C250" s="309" t="s">
        <v>91</v>
      </c>
      <c r="D250">
        <v>0</v>
      </c>
    </row>
    <row r="251" spans="1:4" x14ac:dyDescent="0.25">
      <c r="A251" s="279">
        <v>38972</v>
      </c>
      <c r="B251" s="309" t="s">
        <v>405</v>
      </c>
      <c r="C251" s="309" t="s">
        <v>118</v>
      </c>
      <c r="D251">
        <v>0</v>
      </c>
    </row>
    <row r="252" spans="1:4" x14ac:dyDescent="0.25">
      <c r="A252" s="279">
        <v>38972</v>
      </c>
      <c r="B252" s="309" t="s">
        <v>405</v>
      </c>
      <c r="C252" s="309" t="s">
        <v>407</v>
      </c>
      <c r="D252">
        <v>2808032.1</v>
      </c>
    </row>
    <row r="253" spans="1:4" x14ac:dyDescent="0.25">
      <c r="A253" s="279">
        <v>38972</v>
      </c>
      <c r="B253" s="309" t="s">
        <v>405</v>
      </c>
      <c r="C253" s="309" t="s">
        <v>408</v>
      </c>
      <c r="D253">
        <v>1007</v>
      </c>
    </row>
    <row r="254" spans="1:4" x14ac:dyDescent="0.25">
      <c r="A254" s="279">
        <v>38972</v>
      </c>
      <c r="B254" s="309" t="s">
        <v>405</v>
      </c>
      <c r="C254" s="309" t="s">
        <v>409</v>
      </c>
      <c r="D254">
        <v>1058</v>
      </c>
    </row>
    <row r="255" spans="1:4" x14ac:dyDescent="0.25">
      <c r="A255" s="279">
        <v>38972</v>
      </c>
      <c r="B255" s="309" t="s">
        <v>405</v>
      </c>
      <c r="C255" s="309" t="s">
        <v>410</v>
      </c>
      <c r="D255">
        <v>1033</v>
      </c>
    </row>
    <row r="256" spans="1:4" x14ac:dyDescent="0.25">
      <c r="A256" s="279">
        <v>38972</v>
      </c>
      <c r="B256" s="309" t="s">
        <v>411</v>
      </c>
      <c r="C256" s="309" t="s">
        <v>406</v>
      </c>
      <c r="D256">
        <v>200190</v>
      </c>
    </row>
    <row r="257" spans="1:4" x14ac:dyDescent="0.25">
      <c r="A257" s="279">
        <v>38972</v>
      </c>
      <c r="B257" s="309" t="s">
        <v>411</v>
      </c>
      <c r="C257" s="309" t="s">
        <v>198</v>
      </c>
      <c r="D257">
        <v>0</v>
      </c>
    </row>
    <row r="258" spans="1:4" x14ac:dyDescent="0.25">
      <c r="A258" s="279">
        <v>38972</v>
      </c>
      <c r="B258" s="309" t="s">
        <v>411</v>
      </c>
      <c r="C258" s="309" t="s">
        <v>199</v>
      </c>
      <c r="D258">
        <v>0</v>
      </c>
    </row>
    <row r="259" spans="1:4" x14ac:dyDescent="0.25">
      <c r="A259" s="279">
        <v>38972</v>
      </c>
      <c r="B259" s="309" t="s">
        <v>411</v>
      </c>
      <c r="C259" s="309" t="s">
        <v>90</v>
      </c>
      <c r="D259">
        <v>53</v>
      </c>
    </row>
    <row r="260" spans="1:4" x14ac:dyDescent="0.25">
      <c r="A260" s="279">
        <v>38972</v>
      </c>
      <c r="B260" s="309" t="s">
        <v>411</v>
      </c>
      <c r="C260" s="309" t="s">
        <v>24</v>
      </c>
      <c r="D260">
        <v>0</v>
      </c>
    </row>
    <row r="261" spans="1:4" x14ac:dyDescent="0.25">
      <c r="A261" s="279">
        <v>38972</v>
      </c>
      <c r="B261" s="309" t="s">
        <v>411</v>
      </c>
      <c r="C261" s="309" t="s">
        <v>91</v>
      </c>
      <c r="D261">
        <v>0</v>
      </c>
    </row>
    <row r="262" spans="1:4" x14ac:dyDescent="0.25">
      <c r="A262" s="279">
        <v>38972</v>
      </c>
      <c r="B262" s="309" t="s">
        <v>411</v>
      </c>
      <c r="C262" s="309" t="s">
        <v>118</v>
      </c>
      <c r="D262">
        <v>0</v>
      </c>
    </row>
    <row r="263" spans="1:4" x14ac:dyDescent="0.25">
      <c r="A263" s="279">
        <v>38972</v>
      </c>
      <c r="B263" s="309" t="s">
        <v>411</v>
      </c>
      <c r="C263" s="309" t="s">
        <v>407</v>
      </c>
      <c r="D263">
        <v>200137</v>
      </c>
    </row>
    <row r="264" spans="1:4" x14ac:dyDescent="0.25">
      <c r="A264" s="279">
        <v>38972</v>
      </c>
      <c r="B264" s="309" t="s">
        <v>411</v>
      </c>
      <c r="C264" s="309" t="s">
        <v>412</v>
      </c>
      <c r="D264">
        <v>1007</v>
      </c>
    </row>
    <row r="265" spans="1:4" x14ac:dyDescent="0.25">
      <c r="A265" s="279">
        <v>38972</v>
      </c>
      <c r="B265" s="309" t="s">
        <v>411</v>
      </c>
      <c r="C265" s="309" t="s">
        <v>409</v>
      </c>
      <c r="D265">
        <v>1076</v>
      </c>
    </row>
    <row r="266" spans="1:4" x14ac:dyDescent="0.25">
      <c r="A266" s="279">
        <v>38973</v>
      </c>
      <c r="B266" s="309" t="s">
        <v>405</v>
      </c>
      <c r="C266" s="309" t="s">
        <v>406</v>
      </c>
      <c r="D266">
        <v>2808032.1</v>
      </c>
    </row>
    <row r="267" spans="1:4" x14ac:dyDescent="0.25">
      <c r="A267" s="279">
        <v>38973</v>
      </c>
      <c r="B267" s="309" t="s">
        <v>405</v>
      </c>
      <c r="C267" s="309" t="s">
        <v>89</v>
      </c>
      <c r="D267">
        <v>9871</v>
      </c>
    </row>
    <row r="268" spans="1:4" x14ac:dyDescent="0.25">
      <c r="A268" s="279">
        <v>38973</v>
      </c>
      <c r="B268" s="309" t="s">
        <v>405</v>
      </c>
      <c r="C268" s="309" t="s">
        <v>198</v>
      </c>
      <c r="D268">
        <v>0</v>
      </c>
    </row>
    <row r="269" spans="1:4" x14ac:dyDescent="0.25">
      <c r="A269" s="279">
        <v>38973</v>
      </c>
      <c r="B269" s="309" t="s">
        <v>405</v>
      </c>
      <c r="C269" s="309" t="s">
        <v>199</v>
      </c>
      <c r="D269">
        <v>0</v>
      </c>
    </row>
    <row r="270" spans="1:4" x14ac:dyDescent="0.25">
      <c r="A270" s="279">
        <v>38973</v>
      </c>
      <c r="B270" s="309" t="s">
        <v>405</v>
      </c>
      <c r="C270" s="309" t="s">
        <v>90</v>
      </c>
      <c r="D270">
        <v>2130</v>
      </c>
    </row>
    <row r="271" spans="1:4" x14ac:dyDescent="0.25">
      <c r="A271" s="279">
        <v>38973</v>
      </c>
      <c r="B271" s="309" t="s">
        <v>405</v>
      </c>
      <c r="C271" s="309" t="s">
        <v>24</v>
      </c>
      <c r="D271">
        <v>0</v>
      </c>
    </row>
    <row r="272" spans="1:4" x14ac:dyDescent="0.25">
      <c r="A272" s="279">
        <v>38973</v>
      </c>
      <c r="B272" s="309" t="s">
        <v>405</v>
      </c>
      <c r="C272" s="309" t="s">
        <v>91</v>
      </c>
      <c r="D272">
        <v>0</v>
      </c>
    </row>
    <row r="273" spans="1:4" x14ac:dyDescent="0.25">
      <c r="A273" s="279">
        <v>38973</v>
      </c>
      <c r="B273" s="309" t="s">
        <v>405</v>
      </c>
      <c r="C273" s="309" t="s">
        <v>118</v>
      </c>
      <c r="D273">
        <v>0</v>
      </c>
    </row>
    <row r="274" spans="1:4" x14ac:dyDescent="0.25">
      <c r="A274" s="279">
        <v>38973</v>
      </c>
      <c r="B274" s="309" t="s">
        <v>405</v>
      </c>
      <c r="C274" s="309" t="s">
        <v>407</v>
      </c>
      <c r="D274">
        <v>2815773.1</v>
      </c>
    </row>
    <row r="275" spans="1:4" x14ac:dyDescent="0.25">
      <c r="A275" s="279">
        <v>38973</v>
      </c>
      <c r="B275" s="309" t="s">
        <v>405</v>
      </c>
      <c r="C275" s="309" t="s">
        <v>408</v>
      </c>
      <c r="D275">
        <v>1007</v>
      </c>
    </row>
    <row r="276" spans="1:4" x14ac:dyDescent="0.25">
      <c r="A276" s="279">
        <v>38973</v>
      </c>
      <c r="B276" s="309" t="s">
        <v>405</v>
      </c>
      <c r="C276" s="309" t="s">
        <v>409</v>
      </c>
      <c r="D276">
        <v>1058</v>
      </c>
    </row>
    <row r="277" spans="1:4" x14ac:dyDescent="0.25">
      <c r="A277" s="279">
        <v>38973</v>
      </c>
      <c r="B277" s="309" t="s">
        <v>405</v>
      </c>
      <c r="C277" s="309" t="s">
        <v>410</v>
      </c>
      <c r="D277">
        <v>1032</v>
      </c>
    </row>
    <row r="278" spans="1:4" x14ac:dyDescent="0.25">
      <c r="A278" s="279">
        <v>38973</v>
      </c>
      <c r="B278" s="309" t="s">
        <v>411</v>
      </c>
      <c r="C278" s="309" t="s">
        <v>406</v>
      </c>
      <c r="D278">
        <v>200137</v>
      </c>
    </row>
    <row r="279" spans="1:4" x14ac:dyDescent="0.25">
      <c r="A279" s="279">
        <v>38973</v>
      </c>
      <c r="B279" s="309" t="s">
        <v>411</v>
      </c>
      <c r="C279" s="309" t="s">
        <v>198</v>
      </c>
      <c r="D279">
        <v>0</v>
      </c>
    </row>
    <row r="280" spans="1:4" x14ac:dyDescent="0.25">
      <c r="A280" s="279">
        <v>38973</v>
      </c>
      <c r="B280" s="309" t="s">
        <v>411</v>
      </c>
      <c r="C280" s="309" t="s">
        <v>199</v>
      </c>
      <c r="D280">
        <v>0</v>
      </c>
    </row>
    <row r="281" spans="1:4" x14ac:dyDescent="0.25">
      <c r="A281" s="279">
        <v>38973</v>
      </c>
      <c r="B281" s="309" t="s">
        <v>411</v>
      </c>
      <c r="C281" s="309" t="s">
        <v>90</v>
      </c>
      <c r="D281">
        <v>50</v>
      </c>
    </row>
    <row r="282" spans="1:4" x14ac:dyDescent="0.25">
      <c r="A282" s="279">
        <v>38973</v>
      </c>
      <c r="B282" s="309" t="s">
        <v>411</v>
      </c>
      <c r="C282" s="309" t="s">
        <v>24</v>
      </c>
      <c r="D282">
        <v>0</v>
      </c>
    </row>
    <row r="283" spans="1:4" x14ac:dyDescent="0.25">
      <c r="A283" s="279">
        <v>38973</v>
      </c>
      <c r="B283" s="309" t="s">
        <v>411</v>
      </c>
      <c r="C283" s="309" t="s">
        <v>91</v>
      </c>
      <c r="D283">
        <v>0</v>
      </c>
    </row>
    <row r="284" spans="1:4" x14ac:dyDescent="0.25">
      <c r="A284" s="279">
        <v>38973</v>
      </c>
      <c r="B284" s="309" t="s">
        <v>411</v>
      </c>
      <c r="C284" s="309" t="s">
        <v>118</v>
      </c>
      <c r="D284">
        <v>0</v>
      </c>
    </row>
    <row r="285" spans="1:4" x14ac:dyDescent="0.25">
      <c r="A285" s="279">
        <v>38973</v>
      </c>
      <c r="B285" s="309" t="s">
        <v>411</v>
      </c>
      <c r="C285" s="309" t="s">
        <v>407</v>
      </c>
      <c r="D285">
        <v>200087</v>
      </c>
    </row>
    <row r="286" spans="1:4" x14ac:dyDescent="0.25">
      <c r="A286" s="279">
        <v>38973</v>
      </c>
      <c r="B286" s="309" t="s">
        <v>411</v>
      </c>
      <c r="C286" s="309" t="s">
        <v>412</v>
      </c>
      <c r="D286">
        <v>1007</v>
      </c>
    </row>
    <row r="287" spans="1:4" x14ac:dyDescent="0.25">
      <c r="A287" s="279">
        <v>38973</v>
      </c>
      <c r="B287" s="309" t="s">
        <v>411</v>
      </c>
      <c r="C287" s="309" t="s">
        <v>409</v>
      </c>
      <c r="D287">
        <v>1076</v>
      </c>
    </row>
    <row r="288" spans="1:4" x14ac:dyDescent="0.25">
      <c r="A288" s="279">
        <v>38974</v>
      </c>
      <c r="B288" s="309" t="s">
        <v>405</v>
      </c>
      <c r="C288" s="309" t="s">
        <v>406</v>
      </c>
      <c r="D288">
        <v>2815773.1</v>
      </c>
    </row>
    <row r="289" spans="1:4" x14ac:dyDescent="0.25">
      <c r="A289" s="279">
        <v>38974</v>
      </c>
      <c r="B289" s="309" t="s">
        <v>405</v>
      </c>
      <c r="C289" s="309" t="s">
        <v>89</v>
      </c>
      <c r="D289">
        <v>10997</v>
      </c>
    </row>
    <row r="290" spans="1:4" x14ac:dyDescent="0.25">
      <c r="A290" s="279">
        <v>38974</v>
      </c>
      <c r="B290" s="309" t="s">
        <v>405</v>
      </c>
      <c r="C290" s="309" t="s">
        <v>198</v>
      </c>
      <c r="D290">
        <v>0</v>
      </c>
    </row>
    <row r="291" spans="1:4" x14ac:dyDescent="0.25">
      <c r="A291" s="279">
        <v>38974</v>
      </c>
      <c r="B291" s="309" t="s">
        <v>405</v>
      </c>
      <c r="C291" s="309" t="s">
        <v>199</v>
      </c>
      <c r="D291">
        <v>0</v>
      </c>
    </row>
    <row r="292" spans="1:4" x14ac:dyDescent="0.25">
      <c r="A292" s="279">
        <v>38974</v>
      </c>
      <c r="B292" s="309" t="s">
        <v>405</v>
      </c>
      <c r="C292" s="309" t="s">
        <v>90</v>
      </c>
      <c r="D292">
        <v>2190</v>
      </c>
    </row>
    <row r="293" spans="1:4" x14ac:dyDescent="0.25">
      <c r="A293" s="279">
        <v>38974</v>
      </c>
      <c r="B293" s="309" t="s">
        <v>405</v>
      </c>
      <c r="C293" s="309" t="s">
        <v>24</v>
      </c>
      <c r="D293">
        <v>0</v>
      </c>
    </row>
    <row r="294" spans="1:4" x14ac:dyDescent="0.25">
      <c r="A294" s="279">
        <v>38974</v>
      </c>
      <c r="B294" s="309" t="s">
        <v>405</v>
      </c>
      <c r="C294" s="309" t="s">
        <v>91</v>
      </c>
      <c r="D294">
        <v>0</v>
      </c>
    </row>
    <row r="295" spans="1:4" x14ac:dyDescent="0.25">
      <c r="A295" s="279">
        <v>38974</v>
      </c>
      <c r="B295" s="309" t="s">
        <v>405</v>
      </c>
      <c r="C295" s="309" t="s">
        <v>118</v>
      </c>
      <c r="D295">
        <v>0</v>
      </c>
    </row>
    <row r="296" spans="1:4" x14ac:dyDescent="0.25">
      <c r="A296" s="279">
        <v>38974</v>
      </c>
      <c r="B296" s="309" t="s">
        <v>405</v>
      </c>
      <c r="C296" s="309" t="s">
        <v>407</v>
      </c>
      <c r="D296">
        <v>2824580.1</v>
      </c>
    </row>
    <row r="297" spans="1:4" x14ac:dyDescent="0.25">
      <c r="A297" s="279">
        <v>38974</v>
      </c>
      <c r="B297" s="309" t="s">
        <v>405</v>
      </c>
      <c r="C297" s="309" t="s">
        <v>408</v>
      </c>
      <c r="D297">
        <v>1007</v>
      </c>
    </row>
    <row r="298" spans="1:4" x14ac:dyDescent="0.25">
      <c r="A298" s="279">
        <v>38974</v>
      </c>
      <c r="B298" s="309" t="s">
        <v>405</v>
      </c>
      <c r="C298" s="309" t="s">
        <v>409</v>
      </c>
      <c r="D298">
        <v>1058</v>
      </c>
    </row>
    <row r="299" spans="1:4" x14ac:dyDescent="0.25">
      <c r="A299" s="279">
        <v>38974</v>
      </c>
      <c r="B299" s="309" t="s">
        <v>405</v>
      </c>
      <c r="C299" s="309" t="s">
        <v>410</v>
      </c>
      <c r="D299">
        <v>1034</v>
      </c>
    </row>
    <row r="300" spans="1:4" x14ac:dyDescent="0.25">
      <c r="A300" s="279">
        <v>38974</v>
      </c>
      <c r="B300" s="309" t="s">
        <v>411</v>
      </c>
      <c r="C300" s="309" t="s">
        <v>406</v>
      </c>
      <c r="D300">
        <v>200087</v>
      </c>
    </row>
    <row r="301" spans="1:4" x14ac:dyDescent="0.25">
      <c r="A301" s="279">
        <v>38974</v>
      </c>
      <c r="B301" s="309" t="s">
        <v>411</v>
      </c>
      <c r="C301" s="309" t="s">
        <v>198</v>
      </c>
      <c r="D301">
        <v>0</v>
      </c>
    </row>
    <row r="302" spans="1:4" x14ac:dyDescent="0.25">
      <c r="A302" s="279">
        <v>38974</v>
      </c>
      <c r="B302" s="309" t="s">
        <v>411</v>
      </c>
      <c r="C302" s="309" t="s">
        <v>199</v>
      </c>
      <c r="D302">
        <v>0</v>
      </c>
    </row>
    <row r="303" spans="1:4" x14ac:dyDescent="0.25">
      <c r="A303" s="279">
        <v>38974</v>
      </c>
      <c r="B303" s="309" t="s">
        <v>411</v>
      </c>
      <c r="C303" s="309" t="s">
        <v>90</v>
      </c>
      <c r="D303">
        <v>172</v>
      </c>
    </row>
    <row r="304" spans="1:4" x14ac:dyDescent="0.25">
      <c r="A304" s="279">
        <v>38974</v>
      </c>
      <c r="B304" s="309" t="s">
        <v>411</v>
      </c>
      <c r="C304" s="309" t="s">
        <v>24</v>
      </c>
      <c r="D304">
        <v>0</v>
      </c>
    </row>
    <row r="305" spans="1:4" x14ac:dyDescent="0.25">
      <c r="A305" s="279">
        <v>38974</v>
      </c>
      <c r="B305" s="309" t="s">
        <v>411</v>
      </c>
      <c r="C305" s="309" t="s">
        <v>91</v>
      </c>
      <c r="D305">
        <v>0</v>
      </c>
    </row>
    <row r="306" spans="1:4" x14ac:dyDescent="0.25">
      <c r="A306" s="279">
        <v>38974</v>
      </c>
      <c r="B306" s="309" t="s">
        <v>411</v>
      </c>
      <c r="C306" s="309" t="s">
        <v>118</v>
      </c>
      <c r="D306">
        <v>0</v>
      </c>
    </row>
    <row r="307" spans="1:4" x14ac:dyDescent="0.25">
      <c r="A307" s="279">
        <v>38974</v>
      </c>
      <c r="B307" s="309" t="s">
        <v>411</v>
      </c>
      <c r="C307" s="309" t="s">
        <v>407</v>
      </c>
      <c r="D307">
        <v>199915</v>
      </c>
    </row>
    <row r="308" spans="1:4" x14ac:dyDescent="0.25">
      <c r="A308" s="279">
        <v>38974</v>
      </c>
      <c r="B308" s="309" t="s">
        <v>411</v>
      </c>
      <c r="C308" s="309" t="s">
        <v>412</v>
      </c>
      <c r="D308">
        <v>1007</v>
      </c>
    </row>
    <row r="309" spans="1:4" x14ac:dyDescent="0.25">
      <c r="A309" s="279">
        <v>38974</v>
      </c>
      <c r="B309" s="309" t="s">
        <v>411</v>
      </c>
      <c r="C309" s="309" t="s">
        <v>409</v>
      </c>
      <c r="D309">
        <v>1076</v>
      </c>
    </row>
    <row r="310" spans="1:4" x14ac:dyDescent="0.25">
      <c r="A310" s="279">
        <v>38975</v>
      </c>
      <c r="B310" s="309" t="s">
        <v>405</v>
      </c>
      <c r="C310" s="309" t="s">
        <v>406</v>
      </c>
      <c r="D310">
        <v>2824580.1</v>
      </c>
    </row>
    <row r="311" spans="1:4" x14ac:dyDescent="0.25">
      <c r="A311" s="279">
        <v>38975</v>
      </c>
      <c r="B311" s="309" t="s">
        <v>405</v>
      </c>
      <c r="C311" s="309" t="s">
        <v>89</v>
      </c>
      <c r="D311">
        <v>11843</v>
      </c>
    </row>
    <row r="312" spans="1:4" x14ac:dyDescent="0.25">
      <c r="A312" s="279">
        <v>38975</v>
      </c>
      <c r="B312" s="309" t="s">
        <v>405</v>
      </c>
      <c r="C312" s="309" t="s">
        <v>198</v>
      </c>
      <c r="D312">
        <v>0</v>
      </c>
    </row>
    <row r="313" spans="1:4" x14ac:dyDescent="0.25">
      <c r="A313" s="279">
        <v>38975</v>
      </c>
      <c r="B313" s="309" t="s">
        <v>405</v>
      </c>
      <c r="C313" s="309" t="s">
        <v>199</v>
      </c>
      <c r="D313">
        <v>0</v>
      </c>
    </row>
    <row r="314" spans="1:4" x14ac:dyDescent="0.25">
      <c r="A314" s="279">
        <v>38975</v>
      </c>
      <c r="B314" s="309" t="s">
        <v>405</v>
      </c>
      <c r="C314" s="309" t="s">
        <v>90</v>
      </c>
      <c r="D314">
        <v>2234</v>
      </c>
    </row>
    <row r="315" spans="1:4" x14ac:dyDescent="0.25">
      <c r="A315" s="279">
        <v>38975</v>
      </c>
      <c r="B315" s="309" t="s">
        <v>405</v>
      </c>
      <c r="C315" s="309" t="s">
        <v>24</v>
      </c>
      <c r="D315">
        <v>0</v>
      </c>
    </row>
    <row r="316" spans="1:4" x14ac:dyDescent="0.25">
      <c r="A316" s="279">
        <v>38975</v>
      </c>
      <c r="B316" s="309" t="s">
        <v>405</v>
      </c>
      <c r="C316" s="309" t="s">
        <v>91</v>
      </c>
      <c r="D316">
        <v>0</v>
      </c>
    </row>
    <row r="317" spans="1:4" x14ac:dyDescent="0.25">
      <c r="A317" s="279">
        <v>38975</v>
      </c>
      <c r="B317" s="309" t="s">
        <v>405</v>
      </c>
      <c r="C317" s="309" t="s">
        <v>118</v>
      </c>
      <c r="D317">
        <v>0</v>
      </c>
    </row>
    <row r="318" spans="1:4" x14ac:dyDescent="0.25">
      <c r="A318" s="279">
        <v>38975</v>
      </c>
      <c r="B318" s="309" t="s">
        <v>405</v>
      </c>
      <c r="C318" s="309" t="s">
        <v>407</v>
      </c>
      <c r="D318">
        <v>2834189.1</v>
      </c>
    </row>
    <row r="319" spans="1:4" x14ac:dyDescent="0.25">
      <c r="A319" s="279">
        <v>38975</v>
      </c>
      <c r="B319" s="309" t="s">
        <v>405</v>
      </c>
      <c r="C319" s="309" t="s">
        <v>408</v>
      </c>
      <c r="D319">
        <v>1007</v>
      </c>
    </row>
    <row r="320" spans="1:4" x14ac:dyDescent="0.25">
      <c r="A320" s="279">
        <v>38975</v>
      </c>
      <c r="B320" s="309" t="s">
        <v>405</v>
      </c>
      <c r="C320" s="309" t="s">
        <v>409</v>
      </c>
      <c r="D320">
        <v>1058</v>
      </c>
    </row>
    <row r="321" spans="1:4" x14ac:dyDescent="0.25">
      <c r="A321" s="279">
        <v>38975</v>
      </c>
      <c r="B321" s="309" t="s">
        <v>405</v>
      </c>
      <c r="C321" s="309" t="s">
        <v>410</v>
      </c>
      <c r="D321">
        <v>1034</v>
      </c>
    </row>
    <row r="322" spans="1:4" x14ac:dyDescent="0.25">
      <c r="A322" s="279">
        <v>38975</v>
      </c>
      <c r="B322" s="309" t="s">
        <v>411</v>
      </c>
      <c r="C322" s="309" t="s">
        <v>406</v>
      </c>
      <c r="D322">
        <v>199915</v>
      </c>
    </row>
    <row r="323" spans="1:4" x14ac:dyDescent="0.25">
      <c r="A323" s="279">
        <v>38975</v>
      </c>
      <c r="B323" s="309" t="s">
        <v>411</v>
      </c>
      <c r="C323" s="309" t="s">
        <v>198</v>
      </c>
      <c r="D323">
        <v>0</v>
      </c>
    </row>
    <row r="324" spans="1:4" x14ac:dyDescent="0.25">
      <c r="A324" s="279">
        <v>38975</v>
      </c>
      <c r="B324" s="309" t="s">
        <v>411</v>
      </c>
      <c r="C324" s="309" t="s">
        <v>199</v>
      </c>
      <c r="D324">
        <v>0</v>
      </c>
    </row>
    <row r="325" spans="1:4" x14ac:dyDescent="0.25">
      <c r="A325" s="279">
        <v>38975</v>
      </c>
      <c r="B325" s="309" t="s">
        <v>411</v>
      </c>
      <c r="C325" s="309" t="s">
        <v>90</v>
      </c>
      <c r="D325">
        <v>277</v>
      </c>
    </row>
    <row r="326" spans="1:4" x14ac:dyDescent="0.25">
      <c r="A326" s="279">
        <v>38975</v>
      </c>
      <c r="B326" s="309" t="s">
        <v>411</v>
      </c>
      <c r="C326" s="309" t="s">
        <v>24</v>
      </c>
      <c r="D326">
        <v>0</v>
      </c>
    </row>
    <row r="327" spans="1:4" x14ac:dyDescent="0.25">
      <c r="A327" s="279">
        <v>38975</v>
      </c>
      <c r="B327" s="309" t="s">
        <v>411</v>
      </c>
      <c r="C327" s="309" t="s">
        <v>91</v>
      </c>
      <c r="D327">
        <v>0</v>
      </c>
    </row>
    <row r="328" spans="1:4" x14ac:dyDescent="0.25">
      <c r="A328" s="279">
        <v>38975</v>
      </c>
      <c r="B328" s="309" t="s">
        <v>411</v>
      </c>
      <c r="C328" s="309" t="s">
        <v>118</v>
      </c>
      <c r="D328">
        <v>0</v>
      </c>
    </row>
    <row r="329" spans="1:4" x14ac:dyDescent="0.25">
      <c r="A329" s="279">
        <v>38975</v>
      </c>
      <c r="B329" s="309" t="s">
        <v>411</v>
      </c>
      <c r="C329" s="309" t="s">
        <v>407</v>
      </c>
      <c r="D329">
        <v>199638</v>
      </c>
    </row>
    <row r="330" spans="1:4" x14ac:dyDescent="0.25">
      <c r="A330" s="279">
        <v>38975</v>
      </c>
      <c r="B330" s="309" t="s">
        <v>411</v>
      </c>
      <c r="C330" s="309" t="s">
        <v>412</v>
      </c>
      <c r="D330">
        <v>1007</v>
      </c>
    </row>
    <row r="331" spans="1:4" x14ac:dyDescent="0.25">
      <c r="A331" s="279">
        <v>38975</v>
      </c>
      <c r="B331" s="309" t="s">
        <v>411</v>
      </c>
      <c r="C331" s="309" t="s">
        <v>409</v>
      </c>
      <c r="D331">
        <v>1076</v>
      </c>
    </row>
    <row r="332" spans="1:4" x14ac:dyDescent="0.25">
      <c r="A332" s="279">
        <v>38976</v>
      </c>
      <c r="B332" s="309" t="s">
        <v>405</v>
      </c>
      <c r="C332" s="309" t="s">
        <v>406</v>
      </c>
      <c r="D332">
        <v>2834189.1</v>
      </c>
    </row>
    <row r="333" spans="1:4" x14ac:dyDescent="0.25">
      <c r="A333" s="279">
        <v>38976</v>
      </c>
      <c r="B333" s="309" t="s">
        <v>405</v>
      </c>
      <c r="C333" s="309" t="s">
        <v>89</v>
      </c>
      <c r="D333">
        <v>12409</v>
      </c>
    </row>
    <row r="334" spans="1:4" x14ac:dyDescent="0.25">
      <c r="A334" s="279">
        <v>38976</v>
      </c>
      <c r="B334" s="309" t="s">
        <v>405</v>
      </c>
      <c r="C334" s="309" t="s">
        <v>198</v>
      </c>
      <c r="D334">
        <v>0</v>
      </c>
    </row>
    <row r="335" spans="1:4" x14ac:dyDescent="0.25">
      <c r="A335" s="279">
        <v>38976</v>
      </c>
      <c r="B335" s="309" t="s">
        <v>405</v>
      </c>
      <c r="C335" s="309" t="s">
        <v>199</v>
      </c>
      <c r="D335">
        <v>0</v>
      </c>
    </row>
    <row r="336" spans="1:4" x14ac:dyDescent="0.25">
      <c r="A336" s="279">
        <v>38976</v>
      </c>
      <c r="B336" s="309" t="s">
        <v>405</v>
      </c>
      <c r="C336" s="309" t="s">
        <v>90</v>
      </c>
      <c r="D336">
        <v>2266</v>
      </c>
    </row>
    <row r="337" spans="1:4" x14ac:dyDescent="0.25">
      <c r="A337" s="279">
        <v>38976</v>
      </c>
      <c r="B337" s="309" t="s">
        <v>405</v>
      </c>
      <c r="C337" s="309" t="s">
        <v>24</v>
      </c>
      <c r="D337">
        <v>0</v>
      </c>
    </row>
    <row r="338" spans="1:4" x14ac:dyDescent="0.25">
      <c r="A338" s="279">
        <v>38976</v>
      </c>
      <c r="B338" s="309" t="s">
        <v>405</v>
      </c>
      <c r="C338" s="309" t="s">
        <v>91</v>
      </c>
      <c r="D338">
        <v>0</v>
      </c>
    </row>
    <row r="339" spans="1:4" x14ac:dyDescent="0.25">
      <c r="A339" s="279">
        <v>38976</v>
      </c>
      <c r="B339" s="309" t="s">
        <v>405</v>
      </c>
      <c r="C339" s="309" t="s">
        <v>118</v>
      </c>
      <c r="D339">
        <v>0</v>
      </c>
    </row>
    <row r="340" spans="1:4" x14ac:dyDescent="0.25">
      <c r="A340" s="279">
        <v>38976</v>
      </c>
      <c r="B340" s="309" t="s">
        <v>405</v>
      </c>
      <c r="C340" s="309" t="s">
        <v>407</v>
      </c>
      <c r="D340">
        <v>2844332.1</v>
      </c>
    </row>
    <row r="341" spans="1:4" x14ac:dyDescent="0.25">
      <c r="A341" s="279">
        <v>38976</v>
      </c>
      <c r="B341" s="309" t="s">
        <v>405</v>
      </c>
      <c r="C341" s="309" t="s">
        <v>408</v>
      </c>
      <c r="D341">
        <v>1007</v>
      </c>
    </row>
    <row r="342" spans="1:4" x14ac:dyDescent="0.25">
      <c r="A342" s="279">
        <v>38976</v>
      </c>
      <c r="B342" s="309" t="s">
        <v>405</v>
      </c>
      <c r="C342" s="309" t="s">
        <v>409</v>
      </c>
      <c r="D342">
        <v>1058</v>
      </c>
    </row>
    <row r="343" spans="1:4" x14ac:dyDescent="0.25">
      <c r="A343" s="279">
        <v>38976</v>
      </c>
      <c r="B343" s="309" t="s">
        <v>405</v>
      </c>
      <c r="C343" s="309" t="s">
        <v>410</v>
      </c>
      <c r="D343">
        <v>1032</v>
      </c>
    </row>
    <row r="344" spans="1:4" x14ac:dyDescent="0.25">
      <c r="A344" s="279">
        <v>38976</v>
      </c>
      <c r="B344" s="309" t="s">
        <v>411</v>
      </c>
      <c r="C344" s="309" t="s">
        <v>406</v>
      </c>
      <c r="D344">
        <v>199638</v>
      </c>
    </row>
    <row r="345" spans="1:4" x14ac:dyDescent="0.25">
      <c r="A345" s="279">
        <v>38976</v>
      </c>
      <c r="B345" s="309" t="s">
        <v>411</v>
      </c>
      <c r="C345" s="309" t="s">
        <v>198</v>
      </c>
      <c r="D345">
        <v>0</v>
      </c>
    </row>
    <row r="346" spans="1:4" x14ac:dyDescent="0.25">
      <c r="A346" s="279">
        <v>38976</v>
      </c>
      <c r="B346" s="309" t="s">
        <v>411</v>
      </c>
      <c r="C346" s="309" t="s">
        <v>199</v>
      </c>
      <c r="D346">
        <v>0</v>
      </c>
    </row>
    <row r="347" spans="1:4" x14ac:dyDescent="0.25">
      <c r="A347" s="279">
        <v>38976</v>
      </c>
      <c r="B347" s="309" t="s">
        <v>411</v>
      </c>
      <c r="C347" s="309" t="s">
        <v>90</v>
      </c>
      <c r="D347">
        <v>65</v>
      </c>
    </row>
    <row r="348" spans="1:4" x14ac:dyDescent="0.25">
      <c r="A348" s="279">
        <v>38976</v>
      </c>
      <c r="B348" s="309" t="s">
        <v>411</v>
      </c>
      <c r="C348" s="309" t="s">
        <v>24</v>
      </c>
      <c r="D348">
        <v>0</v>
      </c>
    </row>
    <row r="349" spans="1:4" x14ac:dyDescent="0.25">
      <c r="A349" s="279">
        <v>38976</v>
      </c>
      <c r="B349" s="309" t="s">
        <v>411</v>
      </c>
      <c r="C349" s="309" t="s">
        <v>91</v>
      </c>
      <c r="D349">
        <v>0</v>
      </c>
    </row>
    <row r="350" spans="1:4" x14ac:dyDescent="0.25">
      <c r="A350" s="279">
        <v>38976</v>
      </c>
      <c r="B350" s="309" t="s">
        <v>411</v>
      </c>
      <c r="C350" s="309" t="s">
        <v>118</v>
      </c>
      <c r="D350">
        <v>0</v>
      </c>
    </row>
    <row r="351" spans="1:4" x14ac:dyDescent="0.25">
      <c r="A351" s="279">
        <v>38976</v>
      </c>
      <c r="B351" s="309" t="s">
        <v>411</v>
      </c>
      <c r="C351" s="309" t="s">
        <v>407</v>
      </c>
      <c r="D351">
        <v>199573</v>
      </c>
    </row>
    <row r="352" spans="1:4" x14ac:dyDescent="0.25">
      <c r="A352" s="279">
        <v>38976</v>
      </c>
      <c r="B352" s="309" t="s">
        <v>411</v>
      </c>
      <c r="C352" s="309" t="s">
        <v>412</v>
      </c>
      <c r="D352">
        <v>1007</v>
      </c>
    </row>
    <row r="353" spans="1:4" x14ac:dyDescent="0.25">
      <c r="A353" s="279">
        <v>38976</v>
      </c>
      <c r="B353" s="309" t="s">
        <v>411</v>
      </c>
      <c r="C353" s="309" t="s">
        <v>409</v>
      </c>
      <c r="D353">
        <v>1076</v>
      </c>
    </row>
    <row r="354" spans="1:4" x14ac:dyDescent="0.25">
      <c r="A354" s="279">
        <v>38977</v>
      </c>
      <c r="B354" s="309" t="s">
        <v>405</v>
      </c>
      <c r="C354" s="309" t="s">
        <v>406</v>
      </c>
      <c r="D354">
        <v>2844332.1</v>
      </c>
    </row>
    <row r="355" spans="1:4" x14ac:dyDescent="0.25">
      <c r="A355" s="279">
        <v>38977</v>
      </c>
      <c r="B355" s="309" t="s">
        <v>405</v>
      </c>
      <c r="C355" s="309" t="s">
        <v>89</v>
      </c>
      <c r="D355">
        <v>11007</v>
      </c>
    </row>
    <row r="356" spans="1:4" x14ac:dyDescent="0.25">
      <c r="A356" s="279">
        <v>38977</v>
      </c>
      <c r="B356" s="309" t="s">
        <v>405</v>
      </c>
      <c r="C356" s="309" t="s">
        <v>198</v>
      </c>
      <c r="D356">
        <v>0</v>
      </c>
    </row>
    <row r="357" spans="1:4" x14ac:dyDescent="0.25">
      <c r="A357" s="279">
        <v>38977</v>
      </c>
      <c r="B357" s="309" t="s">
        <v>405</v>
      </c>
      <c r="C357" s="309" t="s">
        <v>199</v>
      </c>
      <c r="D357">
        <v>0</v>
      </c>
    </row>
    <row r="358" spans="1:4" x14ac:dyDescent="0.25">
      <c r="A358" s="279">
        <v>38977</v>
      </c>
      <c r="B358" s="309" t="s">
        <v>405</v>
      </c>
      <c r="C358" s="309" t="s">
        <v>90</v>
      </c>
      <c r="D358">
        <v>2199</v>
      </c>
    </row>
    <row r="359" spans="1:4" x14ac:dyDescent="0.25">
      <c r="A359" s="279">
        <v>38977</v>
      </c>
      <c r="B359" s="309" t="s">
        <v>405</v>
      </c>
      <c r="C359" s="309" t="s">
        <v>24</v>
      </c>
      <c r="D359">
        <v>0</v>
      </c>
    </row>
    <row r="360" spans="1:4" x14ac:dyDescent="0.25">
      <c r="A360" s="279">
        <v>38977</v>
      </c>
      <c r="B360" s="309" t="s">
        <v>405</v>
      </c>
      <c r="C360" s="309" t="s">
        <v>91</v>
      </c>
      <c r="D360">
        <v>0</v>
      </c>
    </row>
    <row r="361" spans="1:4" x14ac:dyDescent="0.25">
      <c r="A361" s="279">
        <v>38977</v>
      </c>
      <c r="B361" s="309" t="s">
        <v>405</v>
      </c>
      <c r="C361" s="309" t="s">
        <v>118</v>
      </c>
      <c r="D361">
        <v>0</v>
      </c>
    </row>
    <row r="362" spans="1:4" x14ac:dyDescent="0.25">
      <c r="A362" s="279">
        <v>38977</v>
      </c>
      <c r="B362" s="309" t="s">
        <v>405</v>
      </c>
      <c r="C362" s="309" t="s">
        <v>407</v>
      </c>
      <c r="D362">
        <v>2853140.1</v>
      </c>
    </row>
    <row r="363" spans="1:4" x14ac:dyDescent="0.25">
      <c r="A363" s="279">
        <v>38977</v>
      </c>
      <c r="B363" s="309" t="s">
        <v>405</v>
      </c>
      <c r="C363" s="309" t="s">
        <v>408</v>
      </c>
      <c r="D363">
        <v>1007</v>
      </c>
    </row>
    <row r="364" spans="1:4" x14ac:dyDescent="0.25">
      <c r="A364" s="279">
        <v>38977</v>
      </c>
      <c r="B364" s="309" t="s">
        <v>405</v>
      </c>
      <c r="C364" s="309" t="s">
        <v>409</v>
      </c>
      <c r="D364">
        <v>1058</v>
      </c>
    </row>
    <row r="365" spans="1:4" x14ac:dyDescent="0.25">
      <c r="A365" s="279">
        <v>38977</v>
      </c>
      <c r="B365" s="309" t="s">
        <v>405</v>
      </c>
      <c r="C365" s="309" t="s">
        <v>410</v>
      </c>
      <c r="D365">
        <v>1033</v>
      </c>
    </row>
    <row r="366" spans="1:4" x14ac:dyDescent="0.25">
      <c r="A366" s="279">
        <v>38977</v>
      </c>
      <c r="B366" s="309" t="s">
        <v>411</v>
      </c>
      <c r="C366" s="309" t="s">
        <v>406</v>
      </c>
      <c r="D366">
        <v>199573</v>
      </c>
    </row>
    <row r="367" spans="1:4" x14ac:dyDescent="0.25">
      <c r="A367" s="279">
        <v>38977</v>
      </c>
      <c r="B367" s="309" t="s">
        <v>411</v>
      </c>
      <c r="C367" s="309" t="s">
        <v>198</v>
      </c>
      <c r="D367">
        <v>0</v>
      </c>
    </row>
    <row r="368" spans="1:4" x14ac:dyDescent="0.25">
      <c r="A368" s="279">
        <v>38977</v>
      </c>
      <c r="B368" s="309" t="s">
        <v>411</v>
      </c>
      <c r="C368" s="309" t="s">
        <v>199</v>
      </c>
      <c r="D368">
        <v>0</v>
      </c>
    </row>
    <row r="369" spans="1:4" x14ac:dyDescent="0.25">
      <c r="A369" s="279">
        <v>38977</v>
      </c>
      <c r="B369" s="309" t="s">
        <v>411</v>
      </c>
      <c r="C369" s="309" t="s">
        <v>90</v>
      </c>
      <c r="D369">
        <v>212</v>
      </c>
    </row>
    <row r="370" spans="1:4" x14ac:dyDescent="0.25">
      <c r="A370" s="279">
        <v>38977</v>
      </c>
      <c r="B370" s="309" t="s">
        <v>411</v>
      </c>
      <c r="C370" s="309" t="s">
        <v>24</v>
      </c>
      <c r="D370">
        <v>0</v>
      </c>
    </row>
    <row r="371" spans="1:4" x14ac:dyDescent="0.25">
      <c r="A371" s="279">
        <v>38977</v>
      </c>
      <c r="B371" s="309" t="s">
        <v>411</v>
      </c>
      <c r="C371" s="309" t="s">
        <v>91</v>
      </c>
      <c r="D371">
        <v>0</v>
      </c>
    </row>
    <row r="372" spans="1:4" x14ac:dyDescent="0.25">
      <c r="A372" s="279">
        <v>38977</v>
      </c>
      <c r="B372" s="309" t="s">
        <v>411</v>
      </c>
      <c r="C372" s="309" t="s">
        <v>118</v>
      </c>
      <c r="D372">
        <v>0</v>
      </c>
    </row>
    <row r="373" spans="1:4" x14ac:dyDescent="0.25">
      <c r="A373" s="279">
        <v>38977</v>
      </c>
      <c r="B373" s="309" t="s">
        <v>411</v>
      </c>
      <c r="C373" s="309" t="s">
        <v>407</v>
      </c>
      <c r="D373">
        <v>199361</v>
      </c>
    </row>
    <row r="374" spans="1:4" x14ac:dyDescent="0.25">
      <c r="A374" s="279">
        <v>38977</v>
      </c>
      <c r="B374" s="309" t="s">
        <v>411</v>
      </c>
      <c r="C374" s="309" t="s">
        <v>412</v>
      </c>
      <c r="D374">
        <v>1007</v>
      </c>
    </row>
    <row r="375" spans="1:4" x14ac:dyDescent="0.25">
      <c r="A375" s="279">
        <v>38977</v>
      </c>
      <c r="B375" s="309" t="s">
        <v>411</v>
      </c>
      <c r="C375" s="309" t="s">
        <v>409</v>
      </c>
      <c r="D375">
        <v>1076</v>
      </c>
    </row>
    <row r="376" spans="1:4" x14ac:dyDescent="0.25">
      <c r="A376" s="279">
        <v>38978</v>
      </c>
      <c r="B376" s="309" t="s">
        <v>405</v>
      </c>
      <c r="C376" s="309" t="s">
        <v>406</v>
      </c>
      <c r="D376">
        <v>2853140.1</v>
      </c>
    </row>
    <row r="377" spans="1:4" x14ac:dyDescent="0.25">
      <c r="A377" s="279">
        <v>38978</v>
      </c>
      <c r="B377" s="309" t="s">
        <v>405</v>
      </c>
      <c r="C377" s="309" t="s">
        <v>89</v>
      </c>
      <c r="D377">
        <v>11010</v>
      </c>
    </row>
    <row r="378" spans="1:4" x14ac:dyDescent="0.25">
      <c r="A378" s="279">
        <v>38978</v>
      </c>
      <c r="B378" s="309" t="s">
        <v>405</v>
      </c>
      <c r="C378" s="309" t="s">
        <v>198</v>
      </c>
      <c r="D378">
        <v>0</v>
      </c>
    </row>
    <row r="379" spans="1:4" x14ac:dyDescent="0.25">
      <c r="A379" s="279">
        <v>38978</v>
      </c>
      <c r="B379" s="309" t="s">
        <v>405</v>
      </c>
      <c r="C379" s="309" t="s">
        <v>199</v>
      </c>
      <c r="D379">
        <v>0</v>
      </c>
    </row>
    <row r="380" spans="1:4" x14ac:dyDescent="0.25">
      <c r="A380" s="279">
        <v>38978</v>
      </c>
      <c r="B380" s="309" t="s">
        <v>405</v>
      </c>
      <c r="C380" s="309" t="s">
        <v>90</v>
      </c>
      <c r="D380">
        <v>2201</v>
      </c>
    </row>
    <row r="381" spans="1:4" x14ac:dyDescent="0.25">
      <c r="A381" s="279">
        <v>38978</v>
      </c>
      <c r="B381" s="309" t="s">
        <v>405</v>
      </c>
      <c r="C381" s="309" t="s">
        <v>24</v>
      </c>
      <c r="D381">
        <v>0</v>
      </c>
    </row>
    <row r="382" spans="1:4" x14ac:dyDescent="0.25">
      <c r="A382" s="279">
        <v>38978</v>
      </c>
      <c r="B382" s="309" t="s">
        <v>405</v>
      </c>
      <c r="C382" s="309" t="s">
        <v>91</v>
      </c>
      <c r="D382">
        <v>0</v>
      </c>
    </row>
    <row r="383" spans="1:4" x14ac:dyDescent="0.25">
      <c r="A383" s="279">
        <v>38978</v>
      </c>
      <c r="B383" s="309" t="s">
        <v>405</v>
      </c>
      <c r="C383" s="309" t="s">
        <v>118</v>
      </c>
      <c r="D383">
        <v>0</v>
      </c>
    </row>
    <row r="384" spans="1:4" x14ac:dyDescent="0.25">
      <c r="A384" s="279">
        <v>38978</v>
      </c>
      <c r="B384" s="309" t="s">
        <v>405</v>
      </c>
      <c r="C384" s="309" t="s">
        <v>407</v>
      </c>
      <c r="D384">
        <v>2861949.1</v>
      </c>
    </row>
    <row r="385" spans="1:4" x14ac:dyDescent="0.25">
      <c r="A385" s="279">
        <v>38978</v>
      </c>
      <c r="B385" s="309" t="s">
        <v>405</v>
      </c>
      <c r="C385" s="309" t="s">
        <v>408</v>
      </c>
      <c r="D385">
        <v>1007</v>
      </c>
    </row>
    <row r="386" spans="1:4" x14ac:dyDescent="0.25">
      <c r="A386" s="279">
        <v>38978</v>
      </c>
      <c r="B386" s="309" t="s">
        <v>405</v>
      </c>
      <c r="C386" s="309" t="s">
        <v>409</v>
      </c>
      <c r="D386">
        <v>1058</v>
      </c>
    </row>
    <row r="387" spans="1:4" x14ac:dyDescent="0.25">
      <c r="A387" s="279">
        <v>38978</v>
      </c>
      <c r="B387" s="309" t="s">
        <v>405</v>
      </c>
      <c r="C387" s="309" t="s">
        <v>410</v>
      </c>
      <c r="D387">
        <v>1033</v>
      </c>
    </row>
    <row r="388" spans="1:4" x14ac:dyDescent="0.25">
      <c r="A388" s="279">
        <v>38978</v>
      </c>
      <c r="B388" s="309" t="s">
        <v>411</v>
      </c>
      <c r="C388" s="309" t="s">
        <v>406</v>
      </c>
      <c r="D388">
        <v>199361</v>
      </c>
    </row>
    <row r="389" spans="1:4" x14ac:dyDescent="0.25">
      <c r="A389" s="279">
        <v>38978</v>
      </c>
      <c r="B389" s="309" t="s">
        <v>411</v>
      </c>
      <c r="C389" s="309" t="s">
        <v>198</v>
      </c>
      <c r="D389">
        <v>0</v>
      </c>
    </row>
    <row r="390" spans="1:4" x14ac:dyDescent="0.25">
      <c r="A390" s="279">
        <v>38978</v>
      </c>
      <c r="B390" s="309" t="s">
        <v>411</v>
      </c>
      <c r="C390" s="309" t="s">
        <v>199</v>
      </c>
      <c r="D390">
        <v>0</v>
      </c>
    </row>
    <row r="391" spans="1:4" x14ac:dyDescent="0.25">
      <c r="A391" s="279">
        <v>38978</v>
      </c>
      <c r="B391" s="309" t="s">
        <v>411</v>
      </c>
      <c r="C391" s="309" t="s">
        <v>90</v>
      </c>
      <c r="D391">
        <v>63</v>
      </c>
    </row>
    <row r="392" spans="1:4" x14ac:dyDescent="0.25">
      <c r="A392" s="279">
        <v>38978</v>
      </c>
      <c r="B392" s="309" t="s">
        <v>411</v>
      </c>
      <c r="C392" s="309" t="s">
        <v>24</v>
      </c>
      <c r="D392">
        <v>0</v>
      </c>
    </row>
    <row r="393" spans="1:4" x14ac:dyDescent="0.25">
      <c r="A393" s="279">
        <v>38978</v>
      </c>
      <c r="B393" s="309" t="s">
        <v>411</v>
      </c>
      <c r="C393" s="309" t="s">
        <v>91</v>
      </c>
      <c r="D393">
        <v>0</v>
      </c>
    </row>
    <row r="394" spans="1:4" x14ac:dyDescent="0.25">
      <c r="A394" s="279">
        <v>38978</v>
      </c>
      <c r="B394" s="309" t="s">
        <v>411</v>
      </c>
      <c r="C394" s="309" t="s">
        <v>118</v>
      </c>
      <c r="D394">
        <v>0</v>
      </c>
    </row>
    <row r="395" spans="1:4" x14ac:dyDescent="0.25">
      <c r="A395" s="279">
        <v>38978</v>
      </c>
      <c r="B395" s="309" t="s">
        <v>411</v>
      </c>
      <c r="C395" s="309" t="s">
        <v>407</v>
      </c>
      <c r="D395">
        <v>199298</v>
      </c>
    </row>
    <row r="396" spans="1:4" x14ac:dyDescent="0.25">
      <c r="A396" s="279">
        <v>38978</v>
      </c>
      <c r="B396" s="309" t="s">
        <v>411</v>
      </c>
      <c r="C396" s="309" t="s">
        <v>412</v>
      </c>
      <c r="D396">
        <v>1007</v>
      </c>
    </row>
    <row r="397" spans="1:4" x14ac:dyDescent="0.25">
      <c r="A397" s="279">
        <v>38978</v>
      </c>
      <c r="B397" s="309" t="s">
        <v>411</v>
      </c>
      <c r="C397" s="309" t="s">
        <v>409</v>
      </c>
      <c r="D397">
        <v>1076</v>
      </c>
    </row>
    <row r="398" spans="1:4" x14ac:dyDescent="0.25">
      <c r="A398" s="279">
        <v>38979</v>
      </c>
      <c r="B398" s="309" t="s">
        <v>405</v>
      </c>
      <c r="C398" s="309" t="s">
        <v>406</v>
      </c>
      <c r="D398">
        <v>2861949.1</v>
      </c>
    </row>
    <row r="399" spans="1:4" x14ac:dyDescent="0.25">
      <c r="A399" s="279">
        <v>38979</v>
      </c>
      <c r="B399" s="309" t="s">
        <v>405</v>
      </c>
      <c r="C399" s="309" t="s">
        <v>89</v>
      </c>
      <c r="D399">
        <v>9607</v>
      </c>
    </row>
    <row r="400" spans="1:4" x14ac:dyDescent="0.25">
      <c r="A400" s="279">
        <v>38979</v>
      </c>
      <c r="B400" s="309" t="s">
        <v>405</v>
      </c>
      <c r="C400" s="309" t="s">
        <v>198</v>
      </c>
      <c r="D400">
        <v>0</v>
      </c>
    </row>
    <row r="401" spans="1:4" x14ac:dyDescent="0.25">
      <c r="A401" s="279">
        <v>38979</v>
      </c>
      <c r="B401" s="309" t="s">
        <v>405</v>
      </c>
      <c r="C401" s="309" t="s">
        <v>199</v>
      </c>
      <c r="D401">
        <v>0</v>
      </c>
    </row>
    <row r="402" spans="1:4" x14ac:dyDescent="0.25">
      <c r="A402" s="279">
        <v>38979</v>
      </c>
      <c r="B402" s="309" t="s">
        <v>405</v>
      </c>
      <c r="C402" s="309" t="s">
        <v>90</v>
      </c>
      <c r="D402">
        <v>2133</v>
      </c>
    </row>
    <row r="403" spans="1:4" x14ac:dyDescent="0.25">
      <c r="A403" s="279">
        <v>38979</v>
      </c>
      <c r="B403" s="309" t="s">
        <v>405</v>
      </c>
      <c r="C403" s="309" t="s">
        <v>24</v>
      </c>
      <c r="D403">
        <v>0</v>
      </c>
    </row>
    <row r="404" spans="1:4" x14ac:dyDescent="0.25">
      <c r="A404" s="279">
        <v>38979</v>
      </c>
      <c r="B404" s="309" t="s">
        <v>405</v>
      </c>
      <c r="C404" s="309" t="s">
        <v>91</v>
      </c>
      <c r="D404">
        <v>0</v>
      </c>
    </row>
    <row r="405" spans="1:4" x14ac:dyDescent="0.25">
      <c r="A405" s="279">
        <v>38979</v>
      </c>
      <c r="B405" s="309" t="s">
        <v>405</v>
      </c>
      <c r="C405" s="309" t="s">
        <v>118</v>
      </c>
      <c r="D405">
        <v>0</v>
      </c>
    </row>
    <row r="406" spans="1:4" x14ac:dyDescent="0.25">
      <c r="A406" s="279">
        <v>38979</v>
      </c>
      <c r="B406" s="309" t="s">
        <v>405</v>
      </c>
      <c r="C406" s="309" t="s">
        <v>407</v>
      </c>
      <c r="D406">
        <v>2869423.1</v>
      </c>
    </row>
    <row r="407" spans="1:4" x14ac:dyDescent="0.25">
      <c r="A407" s="279">
        <v>38979</v>
      </c>
      <c r="B407" s="309" t="s">
        <v>405</v>
      </c>
      <c r="C407" s="309" t="s">
        <v>408</v>
      </c>
      <c r="D407">
        <v>1007</v>
      </c>
    </row>
    <row r="408" spans="1:4" x14ac:dyDescent="0.25">
      <c r="A408" s="279">
        <v>38979</v>
      </c>
      <c r="B408" s="309" t="s">
        <v>405</v>
      </c>
      <c r="C408" s="309" t="s">
        <v>409</v>
      </c>
      <c r="D408">
        <v>1058</v>
      </c>
    </row>
    <row r="409" spans="1:4" x14ac:dyDescent="0.25">
      <c r="A409" s="279">
        <v>38979</v>
      </c>
      <c r="B409" s="309" t="s">
        <v>405</v>
      </c>
      <c r="C409" s="309" t="s">
        <v>410</v>
      </c>
      <c r="D409">
        <v>1033</v>
      </c>
    </row>
    <row r="410" spans="1:4" x14ac:dyDescent="0.25">
      <c r="A410" s="279">
        <v>38979</v>
      </c>
      <c r="B410" s="309" t="s">
        <v>411</v>
      </c>
      <c r="C410" s="309" t="s">
        <v>406</v>
      </c>
      <c r="D410">
        <v>199298</v>
      </c>
    </row>
    <row r="411" spans="1:4" x14ac:dyDescent="0.25">
      <c r="A411" s="279">
        <v>38979</v>
      </c>
      <c r="B411" s="309" t="s">
        <v>411</v>
      </c>
      <c r="C411" s="309" t="s">
        <v>198</v>
      </c>
      <c r="D411">
        <v>0</v>
      </c>
    </row>
    <row r="412" spans="1:4" x14ac:dyDescent="0.25">
      <c r="A412" s="279">
        <v>38979</v>
      </c>
      <c r="B412" s="309" t="s">
        <v>411</v>
      </c>
      <c r="C412" s="309" t="s">
        <v>199</v>
      </c>
      <c r="D412">
        <v>0</v>
      </c>
    </row>
    <row r="413" spans="1:4" x14ac:dyDescent="0.25">
      <c r="A413" s="279">
        <v>38979</v>
      </c>
      <c r="B413" s="309" t="s">
        <v>411</v>
      </c>
      <c r="C413" s="309" t="s">
        <v>90</v>
      </c>
      <c r="D413">
        <v>58</v>
      </c>
    </row>
    <row r="414" spans="1:4" x14ac:dyDescent="0.25">
      <c r="A414" s="279">
        <v>38979</v>
      </c>
      <c r="B414" s="309" t="s">
        <v>411</v>
      </c>
      <c r="C414" s="309" t="s">
        <v>24</v>
      </c>
      <c r="D414">
        <v>0</v>
      </c>
    </row>
    <row r="415" spans="1:4" x14ac:dyDescent="0.25">
      <c r="A415" s="279">
        <v>38979</v>
      </c>
      <c r="B415" s="309" t="s">
        <v>411</v>
      </c>
      <c r="C415" s="309" t="s">
        <v>91</v>
      </c>
      <c r="D415">
        <v>0</v>
      </c>
    </row>
    <row r="416" spans="1:4" x14ac:dyDescent="0.25">
      <c r="A416" s="279">
        <v>38979</v>
      </c>
      <c r="B416" s="309" t="s">
        <v>411</v>
      </c>
      <c r="C416" s="309" t="s">
        <v>118</v>
      </c>
      <c r="D416">
        <v>0</v>
      </c>
    </row>
    <row r="417" spans="1:4" x14ac:dyDescent="0.25">
      <c r="A417" s="279">
        <v>38979</v>
      </c>
      <c r="B417" s="309" t="s">
        <v>411</v>
      </c>
      <c r="C417" s="309" t="s">
        <v>407</v>
      </c>
      <c r="D417">
        <v>199240</v>
      </c>
    </row>
    <row r="418" spans="1:4" x14ac:dyDescent="0.25">
      <c r="A418" s="279">
        <v>38979</v>
      </c>
      <c r="B418" s="309" t="s">
        <v>411</v>
      </c>
      <c r="C418" s="309" t="s">
        <v>412</v>
      </c>
      <c r="D418">
        <v>1007</v>
      </c>
    </row>
    <row r="419" spans="1:4" x14ac:dyDescent="0.25">
      <c r="A419" s="279">
        <v>38979</v>
      </c>
      <c r="B419" s="309" t="s">
        <v>411</v>
      </c>
      <c r="C419" s="309" t="s">
        <v>409</v>
      </c>
      <c r="D419">
        <v>1076</v>
      </c>
    </row>
    <row r="420" spans="1:4" x14ac:dyDescent="0.25">
      <c r="A420" s="279">
        <v>38980</v>
      </c>
      <c r="B420" s="309" t="s">
        <v>405</v>
      </c>
      <c r="C420" s="309" t="s">
        <v>406</v>
      </c>
      <c r="D420">
        <v>2869423.1</v>
      </c>
    </row>
    <row r="421" spans="1:4" x14ac:dyDescent="0.25">
      <c r="A421" s="279">
        <v>38980</v>
      </c>
      <c r="B421" s="309" t="s">
        <v>405</v>
      </c>
      <c r="C421" s="309" t="s">
        <v>89</v>
      </c>
      <c r="D421">
        <v>11296</v>
      </c>
    </row>
    <row r="422" spans="1:4" x14ac:dyDescent="0.25">
      <c r="A422" s="279">
        <v>38980</v>
      </c>
      <c r="B422" s="309" t="s">
        <v>405</v>
      </c>
      <c r="C422" s="309" t="s">
        <v>198</v>
      </c>
      <c r="D422">
        <v>0</v>
      </c>
    </row>
    <row r="423" spans="1:4" x14ac:dyDescent="0.25">
      <c r="A423" s="279">
        <v>38980</v>
      </c>
      <c r="B423" s="309" t="s">
        <v>405</v>
      </c>
      <c r="C423" s="309" t="s">
        <v>199</v>
      </c>
      <c r="D423">
        <v>0</v>
      </c>
    </row>
    <row r="424" spans="1:4" x14ac:dyDescent="0.25">
      <c r="A424" s="279">
        <v>38980</v>
      </c>
      <c r="B424" s="309" t="s">
        <v>405</v>
      </c>
      <c r="C424" s="309" t="s">
        <v>90</v>
      </c>
      <c r="D424">
        <v>2220</v>
      </c>
    </row>
    <row r="425" spans="1:4" x14ac:dyDescent="0.25">
      <c r="A425" s="279">
        <v>38980</v>
      </c>
      <c r="B425" s="309" t="s">
        <v>405</v>
      </c>
      <c r="C425" s="309" t="s">
        <v>24</v>
      </c>
      <c r="D425">
        <v>0</v>
      </c>
    </row>
    <row r="426" spans="1:4" x14ac:dyDescent="0.25">
      <c r="A426" s="279">
        <v>38980</v>
      </c>
      <c r="B426" s="309" t="s">
        <v>405</v>
      </c>
      <c r="C426" s="309" t="s">
        <v>91</v>
      </c>
      <c r="D426">
        <v>0</v>
      </c>
    </row>
    <row r="427" spans="1:4" x14ac:dyDescent="0.25">
      <c r="A427" s="279">
        <v>38980</v>
      </c>
      <c r="B427" s="309" t="s">
        <v>405</v>
      </c>
      <c r="C427" s="309" t="s">
        <v>118</v>
      </c>
      <c r="D427">
        <v>0</v>
      </c>
    </row>
    <row r="428" spans="1:4" x14ac:dyDescent="0.25">
      <c r="A428" s="279">
        <v>38980</v>
      </c>
      <c r="B428" s="309" t="s">
        <v>405</v>
      </c>
      <c r="C428" s="309" t="s">
        <v>407</v>
      </c>
      <c r="D428">
        <v>2878499.1</v>
      </c>
    </row>
    <row r="429" spans="1:4" x14ac:dyDescent="0.25">
      <c r="A429" s="279">
        <v>38980</v>
      </c>
      <c r="B429" s="309" t="s">
        <v>405</v>
      </c>
      <c r="C429" s="309" t="s">
        <v>408</v>
      </c>
      <c r="D429">
        <v>1007</v>
      </c>
    </row>
    <row r="430" spans="1:4" x14ac:dyDescent="0.25">
      <c r="A430" s="279">
        <v>38980</v>
      </c>
      <c r="B430" s="309" t="s">
        <v>405</v>
      </c>
      <c r="C430" s="309" t="s">
        <v>409</v>
      </c>
      <c r="D430">
        <v>1058</v>
      </c>
    </row>
    <row r="431" spans="1:4" x14ac:dyDescent="0.25">
      <c r="A431" s="279">
        <v>38980</v>
      </c>
      <c r="B431" s="309" t="s">
        <v>405</v>
      </c>
      <c r="C431" s="309" t="s">
        <v>410</v>
      </c>
      <c r="D431">
        <v>1032</v>
      </c>
    </row>
    <row r="432" spans="1:4" x14ac:dyDescent="0.25">
      <c r="A432" s="279">
        <v>38980</v>
      </c>
      <c r="B432" s="309" t="s">
        <v>411</v>
      </c>
      <c r="C432" s="309" t="s">
        <v>406</v>
      </c>
      <c r="D432">
        <v>199240</v>
      </c>
    </row>
    <row r="433" spans="1:4" x14ac:dyDescent="0.25">
      <c r="A433" s="279">
        <v>38980</v>
      </c>
      <c r="B433" s="309" t="s">
        <v>411</v>
      </c>
      <c r="C433" s="309" t="s">
        <v>198</v>
      </c>
      <c r="D433">
        <v>0</v>
      </c>
    </row>
    <row r="434" spans="1:4" x14ac:dyDescent="0.25">
      <c r="A434" s="279">
        <v>38980</v>
      </c>
      <c r="B434" s="309" t="s">
        <v>411</v>
      </c>
      <c r="C434" s="309" t="s">
        <v>199</v>
      </c>
      <c r="D434">
        <v>0</v>
      </c>
    </row>
    <row r="435" spans="1:4" x14ac:dyDescent="0.25">
      <c r="A435" s="279">
        <v>38980</v>
      </c>
      <c r="B435" s="309" t="s">
        <v>411</v>
      </c>
      <c r="C435" s="309" t="s">
        <v>90</v>
      </c>
      <c r="D435">
        <v>156</v>
      </c>
    </row>
    <row r="436" spans="1:4" x14ac:dyDescent="0.25">
      <c r="A436" s="279">
        <v>38980</v>
      </c>
      <c r="B436" s="309" t="s">
        <v>411</v>
      </c>
      <c r="C436" s="309" t="s">
        <v>24</v>
      </c>
      <c r="D436">
        <v>0</v>
      </c>
    </row>
    <row r="437" spans="1:4" x14ac:dyDescent="0.25">
      <c r="A437" s="279">
        <v>38980</v>
      </c>
      <c r="B437" s="309" t="s">
        <v>411</v>
      </c>
      <c r="C437" s="309" t="s">
        <v>91</v>
      </c>
      <c r="D437">
        <v>0</v>
      </c>
    </row>
    <row r="438" spans="1:4" x14ac:dyDescent="0.25">
      <c r="A438" s="279">
        <v>38980</v>
      </c>
      <c r="B438" s="309" t="s">
        <v>411</v>
      </c>
      <c r="C438" s="309" t="s">
        <v>118</v>
      </c>
      <c r="D438">
        <v>0</v>
      </c>
    </row>
    <row r="439" spans="1:4" x14ac:dyDescent="0.25">
      <c r="A439" s="279">
        <v>38980</v>
      </c>
      <c r="B439" s="309" t="s">
        <v>411</v>
      </c>
      <c r="C439" s="309" t="s">
        <v>407</v>
      </c>
      <c r="D439">
        <v>199084</v>
      </c>
    </row>
    <row r="440" spans="1:4" x14ac:dyDescent="0.25">
      <c r="A440" s="279">
        <v>38980</v>
      </c>
      <c r="B440" s="309" t="s">
        <v>411</v>
      </c>
      <c r="C440" s="309" t="s">
        <v>412</v>
      </c>
      <c r="D440">
        <v>1007</v>
      </c>
    </row>
    <row r="441" spans="1:4" x14ac:dyDescent="0.25">
      <c r="A441" s="279">
        <v>38980</v>
      </c>
      <c r="B441" s="309" t="s">
        <v>411</v>
      </c>
      <c r="C441" s="309" t="s">
        <v>409</v>
      </c>
      <c r="D441">
        <v>1076</v>
      </c>
    </row>
    <row r="442" spans="1:4" x14ac:dyDescent="0.25">
      <c r="A442" s="279">
        <v>38981</v>
      </c>
      <c r="B442" s="309" t="s">
        <v>405</v>
      </c>
      <c r="C442" s="309" t="s">
        <v>406</v>
      </c>
      <c r="D442">
        <v>2878499.1</v>
      </c>
    </row>
    <row r="443" spans="1:4" x14ac:dyDescent="0.25">
      <c r="A443" s="279">
        <v>38981</v>
      </c>
      <c r="B443" s="309" t="s">
        <v>405</v>
      </c>
      <c r="C443" s="309" t="s">
        <v>89</v>
      </c>
      <c r="D443">
        <v>14954</v>
      </c>
    </row>
    <row r="444" spans="1:4" x14ac:dyDescent="0.25">
      <c r="A444" s="279">
        <v>38981</v>
      </c>
      <c r="B444" s="309" t="s">
        <v>405</v>
      </c>
      <c r="C444" s="309" t="s">
        <v>198</v>
      </c>
      <c r="D444">
        <v>0</v>
      </c>
    </row>
    <row r="445" spans="1:4" x14ac:dyDescent="0.25">
      <c r="A445" s="279">
        <v>38981</v>
      </c>
      <c r="B445" s="309" t="s">
        <v>405</v>
      </c>
      <c r="C445" s="309" t="s">
        <v>199</v>
      </c>
      <c r="D445">
        <v>0</v>
      </c>
    </row>
    <row r="446" spans="1:4" x14ac:dyDescent="0.25">
      <c r="A446" s="279">
        <v>38981</v>
      </c>
      <c r="B446" s="309" t="s">
        <v>405</v>
      </c>
      <c r="C446" s="309" t="s">
        <v>90</v>
      </c>
      <c r="D446">
        <v>2407</v>
      </c>
    </row>
    <row r="447" spans="1:4" x14ac:dyDescent="0.25">
      <c r="A447" s="279">
        <v>38981</v>
      </c>
      <c r="B447" s="309" t="s">
        <v>405</v>
      </c>
      <c r="C447" s="309" t="s">
        <v>24</v>
      </c>
      <c r="D447">
        <v>0</v>
      </c>
    </row>
    <row r="448" spans="1:4" x14ac:dyDescent="0.25">
      <c r="A448" s="279">
        <v>38981</v>
      </c>
      <c r="B448" s="309" t="s">
        <v>405</v>
      </c>
      <c r="C448" s="309" t="s">
        <v>91</v>
      </c>
      <c r="D448">
        <v>0</v>
      </c>
    </row>
    <row r="449" spans="1:4" x14ac:dyDescent="0.25">
      <c r="A449" s="279">
        <v>38981</v>
      </c>
      <c r="B449" s="309" t="s">
        <v>405</v>
      </c>
      <c r="C449" s="309" t="s">
        <v>118</v>
      </c>
      <c r="D449">
        <v>0</v>
      </c>
    </row>
    <row r="450" spans="1:4" x14ac:dyDescent="0.25">
      <c r="A450" s="279">
        <v>38981</v>
      </c>
      <c r="B450" s="309" t="s">
        <v>405</v>
      </c>
      <c r="C450" s="309" t="s">
        <v>407</v>
      </c>
      <c r="D450">
        <v>2891046.1</v>
      </c>
    </row>
    <row r="451" spans="1:4" x14ac:dyDescent="0.25">
      <c r="A451" s="279">
        <v>38981</v>
      </c>
      <c r="B451" s="309" t="s">
        <v>405</v>
      </c>
      <c r="C451" s="309" t="s">
        <v>408</v>
      </c>
      <c r="D451">
        <v>1007</v>
      </c>
    </row>
    <row r="452" spans="1:4" x14ac:dyDescent="0.25">
      <c r="A452" s="279">
        <v>38981</v>
      </c>
      <c r="B452" s="309" t="s">
        <v>405</v>
      </c>
      <c r="C452" s="309" t="s">
        <v>409</v>
      </c>
      <c r="D452">
        <v>1058</v>
      </c>
    </row>
    <row r="453" spans="1:4" x14ac:dyDescent="0.25">
      <c r="A453" s="279">
        <v>38981</v>
      </c>
      <c r="B453" s="309" t="s">
        <v>405</v>
      </c>
      <c r="C453" s="309" t="s">
        <v>410</v>
      </c>
      <c r="D453">
        <v>1032</v>
      </c>
    </row>
    <row r="454" spans="1:4" x14ac:dyDescent="0.25">
      <c r="A454" s="279">
        <v>38981</v>
      </c>
      <c r="B454" s="309" t="s">
        <v>411</v>
      </c>
      <c r="C454" s="309" t="s">
        <v>406</v>
      </c>
      <c r="D454">
        <v>199084</v>
      </c>
    </row>
    <row r="455" spans="1:4" x14ac:dyDescent="0.25">
      <c r="A455" s="279">
        <v>38981</v>
      </c>
      <c r="B455" s="309" t="s">
        <v>411</v>
      </c>
      <c r="C455" s="309" t="s">
        <v>198</v>
      </c>
      <c r="D455">
        <v>0</v>
      </c>
    </row>
    <row r="456" spans="1:4" x14ac:dyDescent="0.25">
      <c r="A456" s="279">
        <v>38981</v>
      </c>
      <c r="B456" s="309" t="s">
        <v>411</v>
      </c>
      <c r="C456" s="309" t="s">
        <v>199</v>
      </c>
      <c r="D456">
        <v>0</v>
      </c>
    </row>
    <row r="457" spans="1:4" x14ac:dyDescent="0.25">
      <c r="A457" s="279">
        <v>38981</v>
      </c>
      <c r="B457" s="309" t="s">
        <v>411</v>
      </c>
      <c r="C457" s="309" t="s">
        <v>90</v>
      </c>
      <c r="D457">
        <v>59</v>
      </c>
    </row>
    <row r="458" spans="1:4" x14ac:dyDescent="0.25">
      <c r="A458" s="279">
        <v>38981</v>
      </c>
      <c r="B458" s="309" t="s">
        <v>411</v>
      </c>
      <c r="C458" s="309" t="s">
        <v>24</v>
      </c>
      <c r="D458">
        <v>0</v>
      </c>
    </row>
    <row r="459" spans="1:4" x14ac:dyDescent="0.25">
      <c r="A459" s="279">
        <v>38981</v>
      </c>
      <c r="B459" s="309" t="s">
        <v>411</v>
      </c>
      <c r="C459" s="309" t="s">
        <v>91</v>
      </c>
      <c r="D459">
        <v>0</v>
      </c>
    </row>
    <row r="460" spans="1:4" x14ac:dyDescent="0.25">
      <c r="A460" s="279">
        <v>38981</v>
      </c>
      <c r="B460" s="309" t="s">
        <v>411</v>
      </c>
      <c r="C460" s="309" t="s">
        <v>118</v>
      </c>
      <c r="D460">
        <v>0</v>
      </c>
    </row>
    <row r="461" spans="1:4" x14ac:dyDescent="0.25">
      <c r="A461" s="279">
        <v>38981</v>
      </c>
      <c r="B461" s="309" t="s">
        <v>411</v>
      </c>
      <c r="C461" s="309" t="s">
        <v>407</v>
      </c>
      <c r="D461">
        <v>199025</v>
      </c>
    </row>
    <row r="462" spans="1:4" x14ac:dyDescent="0.25">
      <c r="A462" s="279">
        <v>38981</v>
      </c>
      <c r="B462" s="309" t="s">
        <v>411</v>
      </c>
      <c r="C462" s="309" t="s">
        <v>412</v>
      </c>
      <c r="D462">
        <v>1007</v>
      </c>
    </row>
    <row r="463" spans="1:4" x14ac:dyDescent="0.25">
      <c r="A463" s="279">
        <v>38981</v>
      </c>
      <c r="B463" s="309" t="s">
        <v>411</v>
      </c>
      <c r="C463" s="309" t="s">
        <v>409</v>
      </c>
      <c r="D463">
        <v>1076</v>
      </c>
    </row>
    <row r="464" spans="1:4" x14ac:dyDescent="0.25">
      <c r="A464" s="279">
        <v>38982</v>
      </c>
      <c r="B464" s="309" t="s">
        <v>405</v>
      </c>
      <c r="C464" s="309" t="s">
        <v>406</v>
      </c>
      <c r="D464">
        <v>2891046.1</v>
      </c>
    </row>
    <row r="465" spans="1:4" x14ac:dyDescent="0.25">
      <c r="A465" s="279">
        <v>38982</v>
      </c>
      <c r="B465" s="309" t="s">
        <v>405</v>
      </c>
      <c r="C465" s="309" t="s">
        <v>89</v>
      </c>
      <c r="D465">
        <v>12427</v>
      </c>
    </row>
    <row r="466" spans="1:4" x14ac:dyDescent="0.25">
      <c r="A466" s="279">
        <v>38982</v>
      </c>
      <c r="B466" s="309" t="s">
        <v>405</v>
      </c>
      <c r="C466" s="309" t="s">
        <v>198</v>
      </c>
      <c r="D466">
        <v>0</v>
      </c>
    </row>
    <row r="467" spans="1:4" x14ac:dyDescent="0.25">
      <c r="A467" s="279">
        <v>38982</v>
      </c>
      <c r="B467" s="309" t="s">
        <v>405</v>
      </c>
      <c r="C467" s="309" t="s">
        <v>199</v>
      </c>
      <c r="D467">
        <v>0</v>
      </c>
    </row>
    <row r="468" spans="1:4" x14ac:dyDescent="0.25">
      <c r="A468" s="279">
        <v>38982</v>
      </c>
      <c r="B468" s="309" t="s">
        <v>405</v>
      </c>
      <c r="C468" s="309" t="s">
        <v>90</v>
      </c>
      <c r="D468">
        <v>2284</v>
      </c>
    </row>
    <row r="469" spans="1:4" x14ac:dyDescent="0.25">
      <c r="A469" s="279">
        <v>38982</v>
      </c>
      <c r="B469" s="309" t="s">
        <v>405</v>
      </c>
      <c r="C469" s="309" t="s">
        <v>24</v>
      </c>
      <c r="D469">
        <v>0</v>
      </c>
    </row>
    <row r="470" spans="1:4" x14ac:dyDescent="0.25">
      <c r="A470" s="279">
        <v>38982</v>
      </c>
      <c r="B470" s="309" t="s">
        <v>405</v>
      </c>
      <c r="C470" s="309" t="s">
        <v>91</v>
      </c>
      <c r="D470">
        <v>0</v>
      </c>
    </row>
    <row r="471" spans="1:4" x14ac:dyDescent="0.25">
      <c r="A471" s="279">
        <v>38982</v>
      </c>
      <c r="B471" s="309" t="s">
        <v>405</v>
      </c>
      <c r="C471" s="309" t="s">
        <v>118</v>
      </c>
      <c r="D471">
        <v>0</v>
      </c>
    </row>
    <row r="472" spans="1:4" x14ac:dyDescent="0.25">
      <c r="A472" s="279">
        <v>38982</v>
      </c>
      <c r="B472" s="309" t="s">
        <v>405</v>
      </c>
      <c r="C472" s="309" t="s">
        <v>407</v>
      </c>
      <c r="D472">
        <v>2901189.1</v>
      </c>
    </row>
    <row r="473" spans="1:4" x14ac:dyDescent="0.25">
      <c r="A473" s="279">
        <v>38982</v>
      </c>
      <c r="B473" s="309" t="s">
        <v>405</v>
      </c>
      <c r="C473" s="309" t="s">
        <v>408</v>
      </c>
      <c r="D473">
        <v>1007</v>
      </c>
    </row>
    <row r="474" spans="1:4" x14ac:dyDescent="0.25">
      <c r="A474" s="279">
        <v>38982</v>
      </c>
      <c r="B474" s="309" t="s">
        <v>405</v>
      </c>
      <c r="C474" s="309" t="s">
        <v>409</v>
      </c>
      <c r="D474">
        <v>1058</v>
      </c>
    </row>
    <row r="475" spans="1:4" x14ac:dyDescent="0.25">
      <c r="A475" s="279">
        <v>38982</v>
      </c>
      <c r="B475" s="309" t="s">
        <v>405</v>
      </c>
      <c r="C475" s="309" t="s">
        <v>410</v>
      </c>
      <c r="D475">
        <v>1031</v>
      </c>
    </row>
    <row r="476" spans="1:4" x14ac:dyDescent="0.25">
      <c r="A476" s="279">
        <v>38982</v>
      </c>
      <c r="B476" s="309" t="s">
        <v>411</v>
      </c>
      <c r="C476" s="309" t="s">
        <v>406</v>
      </c>
      <c r="D476">
        <v>199025</v>
      </c>
    </row>
    <row r="477" spans="1:4" x14ac:dyDescent="0.25">
      <c r="A477" s="279">
        <v>38982</v>
      </c>
      <c r="B477" s="309" t="s">
        <v>411</v>
      </c>
      <c r="C477" s="309" t="s">
        <v>198</v>
      </c>
      <c r="D477">
        <v>0</v>
      </c>
    </row>
    <row r="478" spans="1:4" x14ac:dyDescent="0.25">
      <c r="A478" s="279">
        <v>38982</v>
      </c>
      <c r="B478" s="309" t="s">
        <v>411</v>
      </c>
      <c r="C478" s="309" t="s">
        <v>199</v>
      </c>
      <c r="D478">
        <v>0</v>
      </c>
    </row>
    <row r="479" spans="1:4" x14ac:dyDescent="0.25">
      <c r="A479" s="279">
        <v>38982</v>
      </c>
      <c r="B479" s="309" t="s">
        <v>411</v>
      </c>
      <c r="C479" s="309" t="s">
        <v>90</v>
      </c>
      <c r="D479">
        <v>218</v>
      </c>
    </row>
    <row r="480" spans="1:4" x14ac:dyDescent="0.25">
      <c r="A480" s="279">
        <v>38982</v>
      </c>
      <c r="B480" s="309" t="s">
        <v>411</v>
      </c>
      <c r="C480" s="309" t="s">
        <v>24</v>
      </c>
      <c r="D480">
        <v>0</v>
      </c>
    </row>
    <row r="481" spans="1:4" x14ac:dyDescent="0.25">
      <c r="A481" s="279">
        <v>38982</v>
      </c>
      <c r="B481" s="309" t="s">
        <v>411</v>
      </c>
      <c r="C481" s="309" t="s">
        <v>91</v>
      </c>
      <c r="D481">
        <v>0</v>
      </c>
    </row>
    <row r="482" spans="1:4" x14ac:dyDescent="0.25">
      <c r="A482" s="279">
        <v>38982</v>
      </c>
      <c r="B482" s="309" t="s">
        <v>411</v>
      </c>
      <c r="C482" s="309" t="s">
        <v>118</v>
      </c>
      <c r="D482">
        <v>0</v>
      </c>
    </row>
    <row r="483" spans="1:4" x14ac:dyDescent="0.25">
      <c r="A483" s="279">
        <v>38982</v>
      </c>
      <c r="B483" s="309" t="s">
        <v>411</v>
      </c>
      <c r="C483" s="309" t="s">
        <v>407</v>
      </c>
      <c r="D483">
        <v>198807</v>
      </c>
    </row>
    <row r="484" spans="1:4" x14ac:dyDescent="0.25">
      <c r="A484" s="279">
        <v>38982</v>
      </c>
      <c r="B484" s="309" t="s">
        <v>411</v>
      </c>
      <c r="C484" s="309" t="s">
        <v>412</v>
      </c>
      <c r="D484">
        <v>1007</v>
      </c>
    </row>
    <row r="485" spans="1:4" x14ac:dyDescent="0.25">
      <c r="A485" s="279">
        <v>38982</v>
      </c>
      <c r="B485" s="309" t="s">
        <v>411</v>
      </c>
      <c r="C485" s="309" t="s">
        <v>409</v>
      </c>
      <c r="D485">
        <v>1076</v>
      </c>
    </row>
    <row r="486" spans="1:4" x14ac:dyDescent="0.25">
      <c r="A486" s="279">
        <v>38983</v>
      </c>
      <c r="B486" s="309" t="s">
        <v>405</v>
      </c>
      <c r="C486" s="309" t="s">
        <v>406</v>
      </c>
      <c r="D486">
        <v>2901189.1</v>
      </c>
    </row>
    <row r="487" spans="1:4" x14ac:dyDescent="0.25">
      <c r="A487" s="279">
        <v>38983</v>
      </c>
      <c r="B487" s="309" t="s">
        <v>405</v>
      </c>
      <c r="C487" s="309" t="s">
        <v>89</v>
      </c>
      <c r="D487">
        <v>9620</v>
      </c>
    </row>
    <row r="488" spans="1:4" x14ac:dyDescent="0.25">
      <c r="A488" s="279">
        <v>38983</v>
      </c>
      <c r="B488" s="309" t="s">
        <v>405</v>
      </c>
      <c r="C488" s="309" t="s">
        <v>198</v>
      </c>
      <c r="D488">
        <v>0</v>
      </c>
    </row>
    <row r="489" spans="1:4" x14ac:dyDescent="0.25">
      <c r="A489" s="279">
        <v>38983</v>
      </c>
      <c r="B489" s="309" t="s">
        <v>405</v>
      </c>
      <c r="C489" s="309" t="s">
        <v>199</v>
      </c>
      <c r="D489">
        <v>0</v>
      </c>
    </row>
    <row r="490" spans="1:4" x14ac:dyDescent="0.25">
      <c r="A490" s="279">
        <v>38983</v>
      </c>
      <c r="B490" s="309" t="s">
        <v>405</v>
      </c>
      <c r="C490" s="309" t="s">
        <v>90</v>
      </c>
      <c r="D490">
        <v>2146</v>
      </c>
    </row>
    <row r="491" spans="1:4" x14ac:dyDescent="0.25">
      <c r="A491" s="279">
        <v>38983</v>
      </c>
      <c r="B491" s="309" t="s">
        <v>405</v>
      </c>
      <c r="C491" s="309" t="s">
        <v>24</v>
      </c>
      <c r="D491">
        <v>0</v>
      </c>
    </row>
    <row r="492" spans="1:4" x14ac:dyDescent="0.25">
      <c r="A492" s="279">
        <v>38983</v>
      </c>
      <c r="B492" s="309" t="s">
        <v>405</v>
      </c>
      <c r="C492" s="309" t="s">
        <v>91</v>
      </c>
      <c r="D492">
        <v>0</v>
      </c>
    </row>
    <row r="493" spans="1:4" x14ac:dyDescent="0.25">
      <c r="A493" s="279">
        <v>38983</v>
      </c>
      <c r="B493" s="309" t="s">
        <v>405</v>
      </c>
      <c r="C493" s="309" t="s">
        <v>118</v>
      </c>
      <c r="D493">
        <v>0</v>
      </c>
    </row>
    <row r="494" spans="1:4" x14ac:dyDescent="0.25">
      <c r="A494" s="279">
        <v>38983</v>
      </c>
      <c r="B494" s="309" t="s">
        <v>405</v>
      </c>
      <c r="C494" s="309" t="s">
        <v>407</v>
      </c>
      <c r="D494">
        <v>2908663.1</v>
      </c>
    </row>
    <row r="495" spans="1:4" x14ac:dyDescent="0.25">
      <c r="A495" s="279">
        <v>38983</v>
      </c>
      <c r="B495" s="309" t="s">
        <v>405</v>
      </c>
      <c r="C495" s="309" t="s">
        <v>408</v>
      </c>
      <c r="D495">
        <v>1007</v>
      </c>
    </row>
    <row r="496" spans="1:4" x14ac:dyDescent="0.25">
      <c r="A496" s="279">
        <v>38983</v>
      </c>
      <c r="B496" s="309" t="s">
        <v>405</v>
      </c>
      <c r="C496" s="309" t="s">
        <v>409</v>
      </c>
      <c r="D496">
        <v>1058</v>
      </c>
    </row>
    <row r="497" spans="1:4" x14ac:dyDescent="0.25">
      <c r="A497" s="279">
        <v>38983</v>
      </c>
      <c r="B497" s="309" t="s">
        <v>405</v>
      </c>
      <c r="C497" s="309" t="s">
        <v>410</v>
      </c>
      <c r="D497">
        <v>1031</v>
      </c>
    </row>
    <row r="498" spans="1:4" x14ac:dyDescent="0.25">
      <c r="A498" s="279">
        <v>38983</v>
      </c>
      <c r="B498" s="309" t="s">
        <v>411</v>
      </c>
      <c r="C498" s="309" t="s">
        <v>406</v>
      </c>
      <c r="D498">
        <v>198807</v>
      </c>
    </row>
    <row r="499" spans="1:4" x14ac:dyDescent="0.25">
      <c r="A499" s="279">
        <v>38983</v>
      </c>
      <c r="B499" s="309" t="s">
        <v>411</v>
      </c>
      <c r="C499" s="309" t="s">
        <v>198</v>
      </c>
      <c r="D499">
        <v>0</v>
      </c>
    </row>
    <row r="500" spans="1:4" x14ac:dyDescent="0.25">
      <c r="A500" s="279">
        <v>38983</v>
      </c>
      <c r="B500" s="309" t="s">
        <v>411</v>
      </c>
      <c r="C500" s="309" t="s">
        <v>199</v>
      </c>
      <c r="D500">
        <v>0</v>
      </c>
    </row>
    <row r="501" spans="1:4" x14ac:dyDescent="0.25">
      <c r="A501" s="279">
        <v>38983</v>
      </c>
      <c r="B501" s="309" t="s">
        <v>411</v>
      </c>
      <c r="C501" s="309" t="s">
        <v>90</v>
      </c>
      <c r="D501">
        <v>68</v>
      </c>
    </row>
    <row r="502" spans="1:4" x14ac:dyDescent="0.25">
      <c r="A502" s="279">
        <v>38983</v>
      </c>
      <c r="B502" s="309" t="s">
        <v>411</v>
      </c>
      <c r="C502" s="309" t="s">
        <v>24</v>
      </c>
      <c r="D502">
        <v>0</v>
      </c>
    </row>
    <row r="503" spans="1:4" x14ac:dyDescent="0.25">
      <c r="A503" s="279">
        <v>38983</v>
      </c>
      <c r="B503" s="309" t="s">
        <v>411</v>
      </c>
      <c r="C503" s="309" t="s">
        <v>91</v>
      </c>
      <c r="D503">
        <v>0</v>
      </c>
    </row>
    <row r="504" spans="1:4" x14ac:dyDescent="0.25">
      <c r="A504" s="279">
        <v>38983</v>
      </c>
      <c r="B504" s="309" t="s">
        <v>411</v>
      </c>
      <c r="C504" s="309" t="s">
        <v>118</v>
      </c>
      <c r="D504">
        <v>0</v>
      </c>
    </row>
    <row r="505" spans="1:4" x14ac:dyDescent="0.25">
      <c r="A505" s="279">
        <v>38983</v>
      </c>
      <c r="B505" s="309" t="s">
        <v>411</v>
      </c>
      <c r="C505" s="309" t="s">
        <v>407</v>
      </c>
      <c r="D505">
        <v>198739</v>
      </c>
    </row>
    <row r="506" spans="1:4" x14ac:dyDescent="0.25">
      <c r="A506" s="279">
        <v>38983</v>
      </c>
      <c r="B506" s="309" t="s">
        <v>411</v>
      </c>
      <c r="C506" s="309" t="s">
        <v>412</v>
      </c>
      <c r="D506">
        <v>1007</v>
      </c>
    </row>
    <row r="507" spans="1:4" x14ac:dyDescent="0.25">
      <c r="A507" s="279">
        <v>38983</v>
      </c>
      <c r="B507" s="309" t="s">
        <v>411</v>
      </c>
      <c r="C507" s="309" t="s">
        <v>409</v>
      </c>
      <c r="D507">
        <v>1076</v>
      </c>
    </row>
    <row r="508" spans="1:4" x14ac:dyDescent="0.25">
      <c r="A508" s="279">
        <v>38984</v>
      </c>
      <c r="B508" s="309" t="s">
        <v>405</v>
      </c>
      <c r="C508" s="309" t="s">
        <v>406</v>
      </c>
      <c r="D508">
        <v>2908663.1</v>
      </c>
    </row>
    <row r="509" spans="1:4" x14ac:dyDescent="0.25">
      <c r="A509" s="279">
        <v>38984</v>
      </c>
      <c r="B509" s="309" t="s">
        <v>405</v>
      </c>
      <c r="C509" s="309" t="s">
        <v>89</v>
      </c>
      <c r="D509">
        <v>10466</v>
      </c>
    </row>
    <row r="510" spans="1:4" x14ac:dyDescent="0.25">
      <c r="A510" s="279">
        <v>38984</v>
      </c>
      <c r="B510" s="309" t="s">
        <v>405</v>
      </c>
      <c r="C510" s="309" t="s">
        <v>198</v>
      </c>
      <c r="D510">
        <v>0</v>
      </c>
    </row>
    <row r="511" spans="1:4" x14ac:dyDescent="0.25">
      <c r="A511" s="279">
        <v>38984</v>
      </c>
      <c r="B511" s="309" t="s">
        <v>405</v>
      </c>
      <c r="C511" s="309" t="s">
        <v>199</v>
      </c>
      <c r="D511">
        <v>0</v>
      </c>
    </row>
    <row r="512" spans="1:4" x14ac:dyDescent="0.25">
      <c r="A512" s="279">
        <v>38984</v>
      </c>
      <c r="B512" s="309" t="s">
        <v>405</v>
      </c>
      <c r="C512" s="309" t="s">
        <v>90</v>
      </c>
      <c r="D512">
        <v>2188</v>
      </c>
    </row>
    <row r="513" spans="1:4" x14ac:dyDescent="0.25">
      <c r="A513" s="279">
        <v>38984</v>
      </c>
      <c r="B513" s="309" t="s">
        <v>405</v>
      </c>
      <c r="C513" s="309" t="s">
        <v>24</v>
      </c>
      <c r="D513">
        <v>0</v>
      </c>
    </row>
    <row r="514" spans="1:4" x14ac:dyDescent="0.25">
      <c r="A514" s="279">
        <v>38984</v>
      </c>
      <c r="B514" s="309" t="s">
        <v>405</v>
      </c>
      <c r="C514" s="309" t="s">
        <v>91</v>
      </c>
      <c r="D514">
        <v>0</v>
      </c>
    </row>
    <row r="515" spans="1:4" x14ac:dyDescent="0.25">
      <c r="A515" s="279">
        <v>38984</v>
      </c>
      <c r="B515" s="309" t="s">
        <v>405</v>
      </c>
      <c r="C515" s="309" t="s">
        <v>118</v>
      </c>
      <c r="D515">
        <v>0</v>
      </c>
    </row>
    <row r="516" spans="1:4" x14ac:dyDescent="0.25">
      <c r="A516" s="279">
        <v>38984</v>
      </c>
      <c r="B516" s="309" t="s">
        <v>405</v>
      </c>
      <c r="C516" s="309" t="s">
        <v>407</v>
      </c>
      <c r="D516">
        <v>2916941.1</v>
      </c>
    </row>
    <row r="517" spans="1:4" x14ac:dyDescent="0.25">
      <c r="A517" s="279">
        <v>38984</v>
      </c>
      <c r="B517" s="309" t="s">
        <v>405</v>
      </c>
      <c r="C517" s="309" t="s">
        <v>408</v>
      </c>
      <c r="D517">
        <v>1007</v>
      </c>
    </row>
    <row r="518" spans="1:4" x14ac:dyDescent="0.25">
      <c r="A518" s="279">
        <v>38984</v>
      </c>
      <c r="B518" s="309" t="s">
        <v>405</v>
      </c>
      <c r="C518" s="309" t="s">
        <v>409</v>
      </c>
      <c r="D518">
        <v>1058</v>
      </c>
    </row>
    <row r="519" spans="1:4" x14ac:dyDescent="0.25">
      <c r="A519" s="279">
        <v>38984</v>
      </c>
      <c r="B519" s="309" t="s">
        <v>405</v>
      </c>
      <c r="C519" s="309" t="s">
        <v>410</v>
      </c>
      <c r="D519">
        <v>1034</v>
      </c>
    </row>
    <row r="520" spans="1:4" x14ac:dyDescent="0.25">
      <c r="A520" s="279">
        <v>38984</v>
      </c>
      <c r="B520" s="309" t="s">
        <v>411</v>
      </c>
      <c r="C520" s="309" t="s">
        <v>406</v>
      </c>
      <c r="D520">
        <v>198739</v>
      </c>
    </row>
    <row r="521" spans="1:4" x14ac:dyDescent="0.25">
      <c r="A521" s="279">
        <v>38984</v>
      </c>
      <c r="B521" s="309" t="s">
        <v>411</v>
      </c>
      <c r="C521" s="309" t="s">
        <v>198</v>
      </c>
      <c r="D521">
        <v>0</v>
      </c>
    </row>
    <row r="522" spans="1:4" x14ac:dyDescent="0.25">
      <c r="A522" s="279">
        <v>38984</v>
      </c>
      <c r="B522" s="309" t="s">
        <v>411</v>
      </c>
      <c r="C522" s="309" t="s">
        <v>199</v>
      </c>
      <c r="D522">
        <v>0</v>
      </c>
    </row>
    <row r="523" spans="1:4" x14ac:dyDescent="0.25">
      <c r="A523" s="279">
        <v>38984</v>
      </c>
      <c r="B523" s="309" t="s">
        <v>411</v>
      </c>
      <c r="C523" s="309" t="s">
        <v>90</v>
      </c>
      <c r="D523">
        <v>207</v>
      </c>
    </row>
    <row r="524" spans="1:4" x14ac:dyDescent="0.25">
      <c r="A524" s="279">
        <v>38984</v>
      </c>
      <c r="B524" s="309" t="s">
        <v>411</v>
      </c>
      <c r="C524" s="309" t="s">
        <v>24</v>
      </c>
      <c r="D524">
        <v>0</v>
      </c>
    </row>
    <row r="525" spans="1:4" x14ac:dyDescent="0.25">
      <c r="A525" s="279">
        <v>38984</v>
      </c>
      <c r="B525" s="309" t="s">
        <v>411</v>
      </c>
      <c r="C525" s="309" t="s">
        <v>91</v>
      </c>
      <c r="D525">
        <v>0</v>
      </c>
    </row>
    <row r="526" spans="1:4" x14ac:dyDescent="0.25">
      <c r="A526" s="279">
        <v>38984</v>
      </c>
      <c r="B526" s="309" t="s">
        <v>411</v>
      </c>
      <c r="C526" s="309" t="s">
        <v>118</v>
      </c>
      <c r="D526">
        <v>0</v>
      </c>
    </row>
    <row r="527" spans="1:4" x14ac:dyDescent="0.25">
      <c r="A527" s="279">
        <v>38984</v>
      </c>
      <c r="B527" s="309" t="s">
        <v>411</v>
      </c>
      <c r="C527" s="309" t="s">
        <v>407</v>
      </c>
      <c r="D527">
        <v>198532</v>
      </c>
    </row>
    <row r="528" spans="1:4" x14ac:dyDescent="0.25">
      <c r="A528" s="279">
        <v>38984</v>
      </c>
      <c r="B528" s="309" t="s">
        <v>411</v>
      </c>
      <c r="C528" s="309" t="s">
        <v>412</v>
      </c>
      <c r="D528">
        <v>1007</v>
      </c>
    </row>
    <row r="529" spans="1:4" x14ac:dyDescent="0.25">
      <c r="A529" s="279">
        <v>38984</v>
      </c>
      <c r="B529" s="309" t="s">
        <v>411</v>
      </c>
      <c r="C529" s="309" t="s">
        <v>409</v>
      </c>
      <c r="D529">
        <v>1076</v>
      </c>
    </row>
    <row r="530" spans="1:4" x14ac:dyDescent="0.25">
      <c r="A530" s="279">
        <v>38985</v>
      </c>
      <c r="B530" s="309" t="s">
        <v>405</v>
      </c>
      <c r="C530" s="309" t="s">
        <v>406</v>
      </c>
      <c r="D530">
        <v>2916941.1</v>
      </c>
    </row>
    <row r="531" spans="1:4" x14ac:dyDescent="0.25">
      <c r="A531" s="279">
        <v>38985</v>
      </c>
      <c r="B531" s="309" t="s">
        <v>405</v>
      </c>
      <c r="C531" s="309" t="s">
        <v>89</v>
      </c>
      <c r="D531">
        <v>12436</v>
      </c>
    </row>
    <row r="532" spans="1:4" x14ac:dyDescent="0.25">
      <c r="A532" s="279">
        <v>38985</v>
      </c>
      <c r="B532" s="309" t="s">
        <v>405</v>
      </c>
      <c r="C532" s="309" t="s">
        <v>198</v>
      </c>
      <c r="D532">
        <v>0</v>
      </c>
    </row>
    <row r="533" spans="1:4" x14ac:dyDescent="0.25">
      <c r="A533" s="279">
        <v>38985</v>
      </c>
      <c r="B533" s="309" t="s">
        <v>405</v>
      </c>
      <c r="C533" s="309" t="s">
        <v>199</v>
      </c>
      <c r="D533">
        <v>0</v>
      </c>
    </row>
    <row r="534" spans="1:4" x14ac:dyDescent="0.25">
      <c r="A534" s="279">
        <v>38985</v>
      </c>
      <c r="B534" s="309" t="s">
        <v>405</v>
      </c>
      <c r="C534" s="309" t="s">
        <v>90</v>
      </c>
      <c r="D534">
        <v>2291</v>
      </c>
    </row>
    <row r="535" spans="1:4" x14ac:dyDescent="0.25">
      <c r="A535" s="279">
        <v>38985</v>
      </c>
      <c r="B535" s="309" t="s">
        <v>405</v>
      </c>
      <c r="C535" s="309" t="s">
        <v>24</v>
      </c>
      <c r="D535">
        <v>0</v>
      </c>
    </row>
    <row r="536" spans="1:4" x14ac:dyDescent="0.25">
      <c r="A536" s="279">
        <v>38985</v>
      </c>
      <c r="B536" s="309" t="s">
        <v>405</v>
      </c>
      <c r="C536" s="309" t="s">
        <v>91</v>
      </c>
      <c r="D536">
        <v>0</v>
      </c>
    </row>
    <row r="537" spans="1:4" x14ac:dyDescent="0.25">
      <c r="A537" s="279">
        <v>38985</v>
      </c>
      <c r="B537" s="309" t="s">
        <v>405</v>
      </c>
      <c r="C537" s="309" t="s">
        <v>118</v>
      </c>
      <c r="D537">
        <v>0</v>
      </c>
    </row>
    <row r="538" spans="1:4" x14ac:dyDescent="0.25">
      <c r="A538" s="279">
        <v>38985</v>
      </c>
      <c r="B538" s="309" t="s">
        <v>405</v>
      </c>
      <c r="C538" s="309" t="s">
        <v>407</v>
      </c>
      <c r="D538">
        <v>2927086.1</v>
      </c>
    </row>
    <row r="539" spans="1:4" x14ac:dyDescent="0.25">
      <c r="A539" s="279">
        <v>38985</v>
      </c>
      <c r="B539" s="309" t="s">
        <v>405</v>
      </c>
      <c r="C539" s="309" t="s">
        <v>408</v>
      </c>
      <c r="D539">
        <v>1007</v>
      </c>
    </row>
    <row r="540" spans="1:4" x14ac:dyDescent="0.25">
      <c r="A540" s="279">
        <v>38985</v>
      </c>
      <c r="B540" s="309" t="s">
        <v>405</v>
      </c>
      <c r="C540" s="309" t="s">
        <v>409</v>
      </c>
      <c r="D540">
        <v>1058</v>
      </c>
    </row>
    <row r="541" spans="1:4" x14ac:dyDescent="0.25">
      <c r="A541" s="279">
        <v>38985</v>
      </c>
      <c r="B541" s="309" t="s">
        <v>405</v>
      </c>
      <c r="C541" s="309" t="s">
        <v>410</v>
      </c>
      <c r="D541">
        <v>1033</v>
      </c>
    </row>
    <row r="542" spans="1:4" x14ac:dyDescent="0.25">
      <c r="A542" s="279">
        <v>38985</v>
      </c>
      <c r="B542" s="309" t="s">
        <v>411</v>
      </c>
      <c r="C542" s="309" t="s">
        <v>406</v>
      </c>
      <c r="D542">
        <v>198532</v>
      </c>
    </row>
    <row r="543" spans="1:4" x14ac:dyDescent="0.25">
      <c r="A543" s="279">
        <v>38985</v>
      </c>
      <c r="B543" s="309" t="s">
        <v>411</v>
      </c>
      <c r="C543" s="309" t="s">
        <v>198</v>
      </c>
      <c r="D543">
        <v>0</v>
      </c>
    </row>
    <row r="544" spans="1:4" x14ac:dyDescent="0.25">
      <c r="A544" s="279">
        <v>38985</v>
      </c>
      <c r="B544" s="309" t="s">
        <v>411</v>
      </c>
      <c r="C544" s="309" t="s">
        <v>199</v>
      </c>
      <c r="D544">
        <v>0</v>
      </c>
    </row>
    <row r="545" spans="1:4" x14ac:dyDescent="0.25">
      <c r="A545" s="279">
        <v>38985</v>
      </c>
      <c r="B545" s="309" t="s">
        <v>411</v>
      </c>
      <c r="C545" s="309" t="s">
        <v>90</v>
      </c>
      <c r="D545">
        <v>65</v>
      </c>
    </row>
    <row r="546" spans="1:4" x14ac:dyDescent="0.25">
      <c r="A546" s="279">
        <v>38985</v>
      </c>
      <c r="B546" s="309" t="s">
        <v>411</v>
      </c>
      <c r="C546" s="309" t="s">
        <v>24</v>
      </c>
      <c r="D546">
        <v>0</v>
      </c>
    </row>
    <row r="547" spans="1:4" x14ac:dyDescent="0.25">
      <c r="A547" s="279">
        <v>38985</v>
      </c>
      <c r="B547" s="309" t="s">
        <v>411</v>
      </c>
      <c r="C547" s="309" t="s">
        <v>91</v>
      </c>
      <c r="D547">
        <v>0</v>
      </c>
    </row>
    <row r="548" spans="1:4" x14ac:dyDescent="0.25">
      <c r="A548" s="279">
        <v>38985</v>
      </c>
      <c r="B548" s="309" t="s">
        <v>411</v>
      </c>
      <c r="C548" s="309" t="s">
        <v>118</v>
      </c>
      <c r="D548">
        <v>0</v>
      </c>
    </row>
    <row r="549" spans="1:4" x14ac:dyDescent="0.25">
      <c r="A549" s="279">
        <v>38985</v>
      </c>
      <c r="B549" s="309" t="s">
        <v>411</v>
      </c>
      <c r="C549" s="309" t="s">
        <v>407</v>
      </c>
      <c r="D549">
        <v>198467</v>
      </c>
    </row>
    <row r="550" spans="1:4" x14ac:dyDescent="0.25">
      <c r="A550" s="279">
        <v>38985</v>
      </c>
      <c r="B550" s="309" t="s">
        <v>411</v>
      </c>
      <c r="C550" s="309" t="s">
        <v>412</v>
      </c>
      <c r="D550">
        <v>1007</v>
      </c>
    </row>
    <row r="551" spans="1:4" x14ac:dyDescent="0.25">
      <c r="A551" s="279">
        <v>38985</v>
      </c>
      <c r="B551" s="309" t="s">
        <v>411</v>
      </c>
      <c r="C551" s="309" t="s">
        <v>409</v>
      </c>
      <c r="D551">
        <v>1076</v>
      </c>
    </row>
    <row r="552" spans="1:4" x14ac:dyDescent="0.25">
      <c r="A552" s="279">
        <v>38986</v>
      </c>
      <c r="B552" s="309" t="s">
        <v>405</v>
      </c>
      <c r="C552" s="309" t="s">
        <v>406</v>
      </c>
      <c r="D552">
        <v>2927086.1</v>
      </c>
    </row>
    <row r="553" spans="1:4" x14ac:dyDescent="0.25">
      <c r="A553" s="279">
        <v>38986</v>
      </c>
      <c r="B553" s="309" t="s">
        <v>405</v>
      </c>
      <c r="C553" s="309" t="s">
        <v>89</v>
      </c>
      <c r="D553">
        <v>13845</v>
      </c>
    </row>
    <row r="554" spans="1:4" x14ac:dyDescent="0.25">
      <c r="A554" s="279">
        <v>38986</v>
      </c>
      <c r="B554" s="309" t="s">
        <v>405</v>
      </c>
      <c r="C554" s="309" t="s">
        <v>198</v>
      </c>
      <c r="D554">
        <v>0</v>
      </c>
    </row>
    <row r="555" spans="1:4" x14ac:dyDescent="0.25">
      <c r="A555" s="279">
        <v>38986</v>
      </c>
      <c r="B555" s="309" t="s">
        <v>405</v>
      </c>
      <c r="C555" s="309" t="s">
        <v>199</v>
      </c>
      <c r="D555">
        <v>0</v>
      </c>
    </row>
    <row r="556" spans="1:4" x14ac:dyDescent="0.25">
      <c r="A556" s="279">
        <v>38986</v>
      </c>
      <c r="B556" s="309" t="s">
        <v>405</v>
      </c>
      <c r="C556" s="309" t="s">
        <v>90</v>
      </c>
      <c r="D556">
        <v>2365</v>
      </c>
    </row>
    <row r="557" spans="1:4" x14ac:dyDescent="0.25">
      <c r="A557" s="279">
        <v>38986</v>
      </c>
      <c r="B557" s="309" t="s">
        <v>405</v>
      </c>
      <c r="C557" s="309" t="s">
        <v>24</v>
      </c>
      <c r="D557">
        <v>0</v>
      </c>
    </row>
    <row r="558" spans="1:4" x14ac:dyDescent="0.25">
      <c r="A558" s="279">
        <v>38986</v>
      </c>
      <c r="B558" s="309" t="s">
        <v>405</v>
      </c>
      <c r="C558" s="309" t="s">
        <v>91</v>
      </c>
      <c r="D558">
        <v>0</v>
      </c>
    </row>
    <row r="559" spans="1:4" x14ac:dyDescent="0.25">
      <c r="A559" s="279">
        <v>38986</v>
      </c>
      <c r="B559" s="309" t="s">
        <v>405</v>
      </c>
      <c r="C559" s="309" t="s">
        <v>118</v>
      </c>
      <c r="D559">
        <v>0</v>
      </c>
    </row>
    <row r="560" spans="1:4" x14ac:dyDescent="0.25">
      <c r="A560" s="279">
        <v>38986</v>
      </c>
      <c r="B560" s="309" t="s">
        <v>405</v>
      </c>
      <c r="C560" s="309" t="s">
        <v>407</v>
      </c>
      <c r="D560">
        <v>2938566.1</v>
      </c>
    </row>
    <row r="561" spans="1:4" x14ac:dyDescent="0.25">
      <c r="A561" s="279">
        <v>38986</v>
      </c>
      <c r="B561" s="309" t="s">
        <v>405</v>
      </c>
      <c r="C561" s="309" t="s">
        <v>408</v>
      </c>
      <c r="D561">
        <v>1007</v>
      </c>
    </row>
    <row r="562" spans="1:4" x14ac:dyDescent="0.25">
      <c r="A562" s="279">
        <v>38986</v>
      </c>
      <c r="B562" s="309" t="s">
        <v>405</v>
      </c>
      <c r="C562" s="309" t="s">
        <v>409</v>
      </c>
      <c r="D562">
        <v>1058</v>
      </c>
    </row>
    <row r="563" spans="1:4" x14ac:dyDescent="0.25">
      <c r="A563" s="279">
        <v>38986</v>
      </c>
      <c r="B563" s="309" t="s">
        <v>405</v>
      </c>
      <c r="C563" s="309" t="s">
        <v>410</v>
      </c>
      <c r="D563">
        <v>1033</v>
      </c>
    </row>
    <row r="564" spans="1:4" x14ac:dyDescent="0.25">
      <c r="A564" s="279">
        <v>38986</v>
      </c>
      <c r="B564" s="309" t="s">
        <v>411</v>
      </c>
      <c r="C564" s="309" t="s">
        <v>406</v>
      </c>
      <c r="D564">
        <v>198467</v>
      </c>
    </row>
    <row r="565" spans="1:4" x14ac:dyDescent="0.25">
      <c r="A565" s="279">
        <v>38986</v>
      </c>
      <c r="B565" s="309" t="s">
        <v>411</v>
      </c>
      <c r="C565" s="309" t="s">
        <v>198</v>
      </c>
      <c r="D565">
        <v>0</v>
      </c>
    </row>
    <row r="566" spans="1:4" x14ac:dyDescent="0.25">
      <c r="A566" s="279">
        <v>38986</v>
      </c>
      <c r="B566" s="309" t="s">
        <v>411</v>
      </c>
      <c r="C566" s="309" t="s">
        <v>199</v>
      </c>
      <c r="D566">
        <v>0</v>
      </c>
    </row>
    <row r="567" spans="1:4" x14ac:dyDescent="0.25">
      <c r="A567" s="279">
        <v>38986</v>
      </c>
      <c r="B567" s="309" t="s">
        <v>411</v>
      </c>
      <c r="C567" s="309" t="s">
        <v>90</v>
      </c>
      <c r="D567">
        <v>212</v>
      </c>
    </row>
    <row r="568" spans="1:4" x14ac:dyDescent="0.25">
      <c r="A568" s="279">
        <v>38986</v>
      </c>
      <c r="B568" s="309" t="s">
        <v>411</v>
      </c>
      <c r="C568" s="309" t="s">
        <v>24</v>
      </c>
      <c r="D568">
        <v>0</v>
      </c>
    </row>
    <row r="569" spans="1:4" x14ac:dyDescent="0.25">
      <c r="A569" s="279">
        <v>38986</v>
      </c>
      <c r="B569" s="309" t="s">
        <v>411</v>
      </c>
      <c r="C569" s="309" t="s">
        <v>91</v>
      </c>
      <c r="D569">
        <v>0</v>
      </c>
    </row>
    <row r="570" spans="1:4" x14ac:dyDescent="0.25">
      <c r="A570" s="279">
        <v>38986</v>
      </c>
      <c r="B570" s="309" t="s">
        <v>411</v>
      </c>
      <c r="C570" s="309" t="s">
        <v>118</v>
      </c>
      <c r="D570">
        <v>0</v>
      </c>
    </row>
    <row r="571" spans="1:4" x14ac:dyDescent="0.25">
      <c r="A571" s="279">
        <v>38986</v>
      </c>
      <c r="B571" s="309" t="s">
        <v>411</v>
      </c>
      <c r="C571" s="309" t="s">
        <v>407</v>
      </c>
      <c r="D571">
        <v>198255</v>
      </c>
    </row>
    <row r="572" spans="1:4" x14ac:dyDescent="0.25">
      <c r="A572" s="279">
        <v>38986</v>
      </c>
      <c r="B572" s="309" t="s">
        <v>411</v>
      </c>
      <c r="C572" s="309" t="s">
        <v>412</v>
      </c>
      <c r="D572">
        <v>1007</v>
      </c>
    </row>
    <row r="573" spans="1:4" x14ac:dyDescent="0.25">
      <c r="A573" s="279">
        <v>38986</v>
      </c>
      <c r="B573" s="309" t="s">
        <v>411</v>
      </c>
      <c r="C573" s="309" t="s">
        <v>409</v>
      </c>
      <c r="D573">
        <v>1076</v>
      </c>
    </row>
    <row r="574" spans="1:4" x14ac:dyDescent="0.25">
      <c r="A574" s="279">
        <v>38987</v>
      </c>
      <c r="B574" s="309" t="s">
        <v>405</v>
      </c>
      <c r="C574" s="309" t="s">
        <v>406</v>
      </c>
      <c r="D574">
        <v>2938566.1</v>
      </c>
    </row>
    <row r="575" spans="1:4" x14ac:dyDescent="0.25">
      <c r="A575" s="279">
        <v>38987</v>
      </c>
      <c r="B575" s="309" t="s">
        <v>405</v>
      </c>
      <c r="C575" s="309" t="s">
        <v>89</v>
      </c>
      <c r="D575">
        <v>11319</v>
      </c>
    </row>
    <row r="576" spans="1:4" x14ac:dyDescent="0.25">
      <c r="A576" s="279">
        <v>38987</v>
      </c>
      <c r="B576" s="309" t="s">
        <v>405</v>
      </c>
      <c r="C576" s="309" t="s">
        <v>198</v>
      </c>
      <c r="D576">
        <v>0</v>
      </c>
    </row>
    <row r="577" spans="1:4" x14ac:dyDescent="0.25">
      <c r="A577" s="279">
        <v>38987</v>
      </c>
      <c r="B577" s="309" t="s">
        <v>405</v>
      </c>
      <c r="C577" s="309" t="s">
        <v>199</v>
      </c>
      <c r="D577">
        <v>0</v>
      </c>
    </row>
    <row r="578" spans="1:4" x14ac:dyDescent="0.25">
      <c r="A578" s="279">
        <v>38987</v>
      </c>
      <c r="B578" s="309" t="s">
        <v>405</v>
      </c>
      <c r="C578" s="309" t="s">
        <v>90</v>
      </c>
      <c r="D578">
        <v>2242</v>
      </c>
    </row>
    <row r="579" spans="1:4" x14ac:dyDescent="0.25">
      <c r="A579" s="279">
        <v>38987</v>
      </c>
      <c r="B579" s="309" t="s">
        <v>405</v>
      </c>
      <c r="C579" s="309" t="s">
        <v>24</v>
      </c>
      <c r="D579">
        <v>0</v>
      </c>
    </row>
    <row r="580" spans="1:4" x14ac:dyDescent="0.25">
      <c r="A580" s="279">
        <v>38987</v>
      </c>
      <c r="B580" s="309" t="s">
        <v>405</v>
      </c>
      <c r="C580" s="309" t="s">
        <v>91</v>
      </c>
      <c r="D580">
        <v>0</v>
      </c>
    </row>
    <row r="581" spans="1:4" x14ac:dyDescent="0.25">
      <c r="A581" s="279">
        <v>38987</v>
      </c>
      <c r="B581" s="309" t="s">
        <v>405</v>
      </c>
      <c r="C581" s="309" t="s">
        <v>118</v>
      </c>
      <c r="D581">
        <v>0</v>
      </c>
    </row>
    <row r="582" spans="1:4" x14ac:dyDescent="0.25">
      <c r="A582" s="279">
        <v>38987</v>
      </c>
      <c r="B582" s="309" t="s">
        <v>405</v>
      </c>
      <c r="C582" s="309" t="s">
        <v>407</v>
      </c>
      <c r="D582">
        <v>2947643.1</v>
      </c>
    </row>
    <row r="583" spans="1:4" x14ac:dyDescent="0.25">
      <c r="A583" s="279">
        <v>38987</v>
      </c>
      <c r="B583" s="309" t="s">
        <v>405</v>
      </c>
      <c r="C583" s="309" t="s">
        <v>408</v>
      </c>
      <c r="D583">
        <v>1007</v>
      </c>
    </row>
    <row r="584" spans="1:4" x14ac:dyDescent="0.25">
      <c r="A584" s="279">
        <v>38987</v>
      </c>
      <c r="B584" s="309" t="s">
        <v>405</v>
      </c>
      <c r="C584" s="309" t="s">
        <v>409</v>
      </c>
      <c r="D584">
        <v>1058</v>
      </c>
    </row>
    <row r="585" spans="1:4" x14ac:dyDescent="0.25">
      <c r="A585" s="279">
        <v>38987</v>
      </c>
      <c r="B585" s="309" t="s">
        <v>405</v>
      </c>
      <c r="C585" s="309" t="s">
        <v>410</v>
      </c>
      <c r="D585">
        <v>1033</v>
      </c>
    </row>
    <row r="586" spans="1:4" x14ac:dyDescent="0.25">
      <c r="A586" s="279">
        <v>38987</v>
      </c>
      <c r="B586" s="309" t="s">
        <v>411</v>
      </c>
      <c r="C586" s="309" t="s">
        <v>406</v>
      </c>
      <c r="D586">
        <v>198255</v>
      </c>
    </row>
    <row r="587" spans="1:4" x14ac:dyDescent="0.25">
      <c r="A587" s="279">
        <v>38987</v>
      </c>
      <c r="B587" s="309" t="s">
        <v>411</v>
      </c>
      <c r="C587" s="309" t="s">
        <v>198</v>
      </c>
      <c r="D587">
        <v>0</v>
      </c>
    </row>
    <row r="588" spans="1:4" x14ac:dyDescent="0.25">
      <c r="A588" s="279">
        <v>38987</v>
      </c>
      <c r="B588" s="309" t="s">
        <v>411</v>
      </c>
      <c r="C588" s="309" t="s">
        <v>199</v>
      </c>
      <c r="D588">
        <v>0</v>
      </c>
    </row>
    <row r="589" spans="1:4" x14ac:dyDescent="0.25">
      <c r="A589" s="279">
        <v>38987</v>
      </c>
      <c r="B589" s="309" t="s">
        <v>411</v>
      </c>
      <c r="C589" s="309" t="s">
        <v>90</v>
      </c>
      <c r="D589">
        <v>65</v>
      </c>
    </row>
    <row r="590" spans="1:4" x14ac:dyDescent="0.25">
      <c r="A590" s="279">
        <v>38987</v>
      </c>
      <c r="B590" s="309" t="s">
        <v>411</v>
      </c>
      <c r="C590" s="309" t="s">
        <v>24</v>
      </c>
      <c r="D590">
        <v>0</v>
      </c>
    </row>
    <row r="591" spans="1:4" x14ac:dyDescent="0.25">
      <c r="A591" s="279">
        <v>38987</v>
      </c>
      <c r="B591" s="309" t="s">
        <v>411</v>
      </c>
      <c r="C591" s="309" t="s">
        <v>91</v>
      </c>
      <c r="D591">
        <v>0</v>
      </c>
    </row>
    <row r="592" spans="1:4" x14ac:dyDescent="0.25">
      <c r="A592" s="279">
        <v>38987</v>
      </c>
      <c r="B592" s="309" t="s">
        <v>411</v>
      </c>
      <c r="C592" s="309" t="s">
        <v>118</v>
      </c>
      <c r="D592">
        <v>0</v>
      </c>
    </row>
    <row r="593" spans="1:4" x14ac:dyDescent="0.25">
      <c r="A593" s="279">
        <v>38987</v>
      </c>
      <c r="B593" s="309" t="s">
        <v>411</v>
      </c>
      <c r="C593" s="309" t="s">
        <v>407</v>
      </c>
      <c r="D593">
        <v>198190</v>
      </c>
    </row>
    <row r="594" spans="1:4" x14ac:dyDescent="0.25">
      <c r="A594" s="279">
        <v>38987</v>
      </c>
      <c r="B594" s="309" t="s">
        <v>411</v>
      </c>
      <c r="C594" s="309" t="s">
        <v>412</v>
      </c>
      <c r="D594">
        <v>1007</v>
      </c>
    </row>
    <row r="595" spans="1:4" x14ac:dyDescent="0.25">
      <c r="A595" s="279">
        <v>38987</v>
      </c>
      <c r="B595" s="309" t="s">
        <v>411</v>
      </c>
      <c r="C595" s="309" t="s">
        <v>409</v>
      </c>
      <c r="D595">
        <v>1076</v>
      </c>
    </row>
    <row r="596" spans="1:4" x14ac:dyDescent="0.25">
      <c r="A596" s="279">
        <v>38988</v>
      </c>
      <c r="B596" s="309" t="s">
        <v>405</v>
      </c>
      <c r="C596" s="309" t="s">
        <v>406</v>
      </c>
      <c r="D596">
        <v>2947643.1</v>
      </c>
    </row>
    <row r="597" spans="1:4" x14ac:dyDescent="0.25">
      <c r="A597" s="279">
        <v>38988</v>
      </c>
      <c r="B597" s="309" t="s">
        <v>405</v>
      </c>
      <c r="C597" s="309" t="s">
        <v>89</v>
      </c>
      <c r="D597">
        <v>11604</v>
      </c>
    </row>
    <row r="598" spans="1:4" x14ac:dyDescent="0.25">
      <c r="A598" s="279">
        <v>38988</v>
      </c>
      <c r="B598" s="309" t="s">
        <v>405</v>
      </c>
      <c r="C598" s="309" t="s">
        <v>198</v>
      </c>
      <c r="D598">
        <v>0</v>
      </c>
    </row>
    <row r="599" spans="1:4" x14ac:dyDescent="0.25">
      <c r="A599" s="279">
        <v>38988</v>
      </c>
      <c r="B599" s="309" t="s">
        <v>405</v>
      </c>
      <c r="C599" s="309" t="s">
        <v>199</v>
      </c>
      <c r="D599">
        <v>0</v>
      </c>
    </row>
    <row r="600" spans="1:4" x14ac:dyDescent="0.25">
      <c r="A600" s="279">
        <v>38988</v>
      </c>
      <c r="B600" s="309" t="s">
        <v>405</v>
      </c>
      <c r="C600" s="309" t="s">
        <v>90</v>
      </c>
      <c r="D600">
        <v>2259</v>
      </c>
    </row>
    <row r="601" spans="1:4" x14ac:dyDescent="0.25">
      <c r="A601" s="279">
        <v>38988</v>
      </c>
      <c r="B601" s="309" t="s">
        <v>405</v>
      </c>
      <c r="C601" s="309" t="s">
        <v>24</v>
      </c>
      <c r="D601">
        <v>0</v>
      </c>
    </row>
    <row r="602" spans="1:4" x14ac:dyDescent="0.25">
      <c r="A602" s="279">
        <v>38988</v>
      </c>
      <c r="B602" s="309" t="s">
        <v>405</v>
      </c>
      <c r="C602" s="309" t="s">
        <v>91</v>
      </c>
      <c r="D602">
        <v>0</v>
      </c>
    </row>
    <row r="603" spans="1:4" x14ac:dyDescent="0.25">
      <c r="A603" s="279">
        <v>38988</v>
      </c>
      <c r="B603" s="309" t="s">
        <v>405</v>
      </c>
      <c r="C603" s="309" t="s">
        <v>118</v>
      </c>
      <c r="D603">
        <v>0</v>
      </c>
    </row>
    <row r="604" spans="1:4" x14ac:dyDescent="0.25">
      <c r="A604" s="279">
        <v>38988</v>
      </c>
      <c r="B604" s="309" t="s">
        <v>405</v>
      </c>
      <c r="C604" s="309" t="s">
        <v>407</v>
      </c>
      <c r="D604">
        <v>2956988.1</v>
      </c>
    </row>
    <row r="605" spans="1:4" x14ac:dyDescent="0.25">
      <c r="A605" s="279">
        <v>38988</v>
      </c>
      <c r="B605" s="309" t="s">
        <v>405</v>
      </c>
      <c r="C605" s="309" t="s">
        <v>408</v>
      </c>
      <c r="D605">
        <v>1007</v>
      </c>
    </row>
    <row r="606" spans="1:4" x14ac:dyDescent="0.25">
      <c r="A606" s="279">
        <v>38988</v>
      </c>
      <c r="B606" s="309" t="s">
        <v>405</v>
      </c>
      <c r="C606" s="309" t="s">
        <v>409</v>
      </c>
      <c r="D606">
        <v>1058</v>
      </c>
    </row>
    <row r="607" spans="1:4" x14ac:dyDescent="0.25">
      <c r="A607" s="279">
        <v>38988</v>
      </c>
      <c r="B607" s="309" t="s">
        <v>405</v>
      </c>
      <c r="C607" s="309" t="s">
        <v>410</v>
      </c>
      <c r="D607">
        <v>1035</v>
      </c>
    </row>
    <row r="608" spans="1:4" x14ac:dyDescent="0.25">
      <c r="A608" s="279">
        <v>38988</v>
      </c>
      <c r="B608" s="309" t="s">
        <v>411</v>
      </c>
      <c r="C608" s="309" t="s">
        <v>406</v>
      </c>
      <c r="D608">
        <v>198190</v>
      </c>
    </row>
    <row r="609" spans="1:4" x14ac:dyDescent="0.25">
      <c r="A609" s="279">
        <v>38988</v>
      </c>
      <c r="B609" s="309" t="s">
        <v>411</v>
      </c>
      <c r="C609" s="309" t="s">
        <v>198</v>
      </c>
      <c r="D609">
        <v>0</v>
      </c>
    </row>
    <row r="610" spans="1:4" x14ac:dyDescent="0.25">
      <c r="A610" s="279">
        <v>38988</v>
      </c>
      <c r="B610" s="309" t="s">
        <v>411</v>
      </c>
      <c r="C610" s="309" t="s">
        <v>199</v>
      </c>
      <c r="D610">
        <v>0</v>
      </c>
    </row>
    <row r="611" spans="1:4" x14ac:dyDescent="0.25">
      <c r="A611" s="279">
        <v>38988</v>
      </c>
      <c r="B611" s="309" t="s">
        <v>411</v>
      </c>
      <c r="C611" s="309" t="s">
        <v>90</v>
      </c>
      <c r="D611">
        <v>60</v>
      </c>
    </row>
    <row r="612" spans="1:4" x14ac:dyDescent="0.25">
      <c r="A612" s="279">
        <v>38988</v>
      </c>
      <c r="B612" s="309" t="s">
        <v>411</v>
      </c>
      <c r="C612" s="309" t="s">
        <v>24</v>
      </c>
      <c r="D612">
        <v>0</v>
      </c>
    </row>
    <row r="613" spans="1:4" x14ac:dyDescent="0.25">
      <c r="A613" s="279">
        <v>38988</v>
      </c>
      <c r="B613" s="309" t="s">
        <v>411</v>
      </c>
      <c r="C613" s="309" t="s">
        <v>91</v>
      </c>
      <c r="D613">
        <v>0</v>
      </c>
    </row>
    <row r="614" spans="1:4" x14ac:dyDescent="0.25">
      <c r="A614" s="279">
        <v>38988</v>
      </c>
      <c r="B614" s="309" t="s">
        <v>411</v>
      </c>
      <c r="C614" s="309" t="s">
        <v>118</v>
      </c>
      <c r="D614">
        <v>0</v>
      </c>
    </row>
    <row r="615" spans="1:4" x14ac:dyDescent="0.25">
      <c r="A615" s="279">
        <v>38988</v>
      </c>
      <c r="B615" s="309" t="s">
        <v>411</v>
      </c>
      <c r="C615" s="309" t="s">
        <v>407</v>
      </c>
      <c r="D615">
        <v>198130</v>
      </c>
    </row>
    <row r="616" spans="1:4" x14ac:dyDescent="0.25">
      <c r="A616" s="279">
        <v>38988</v>
      </c>
      <c r="B616" s="309" t="s">
        <v>411</v>
      </c>
      <c r="C616" s="309" t="s">
        <v>412</v>
      </c>
      <c r="D616">
        <v>1007</v>
      </c>
    </row>
    <row r="617" spans="1:4" x14ac:dyDescent="0.25">
      <c r="A617" s="279">
        <v>38988</v>
      </c>
      <c r="B617" s="309" t="s">
        <v>411</v>
      </c>
      <c r="C617" s="309" t="s">
        <v>409</v>
      </c>
      <c r="D617">
        <v>1076</v>
      </c>
    </row>
    <row r="618" spans="1:4" x14ac:dyDescent="0.25">
      <c r="A618" s="279">
        <v>38989</v>
      </c>
      <c r="B618" s="309" t="s">
        <v>405</v>
      </c>
      <c r="C618" s="309" t="s">
        <v>406</v>
      </c>
      <c r="D618">
        <v>2956988.1</v>
      </c>
    </row>
    <row r="619" spans="1:4" x14ac:dyDescent="0.25">
      <c r="A619" s="279">
        <v>38989</v>
      </c>
      <c r="B619" s="309" t="s">
        <v>405</v>
      </c>
      <c r="C619" s="309" t="s">
        <v>89</v>
      </c>
      <c r="D619">
        <v>14699</v>
      </c>
    </row>
    <row r="620" spans="1:4" x14ac:dyDescent="0.25">
      <c r="A620" s="279">
        <v>38989</v>
      </c>
      <c r="B620" s="309" t="s">
        <v>405</v>
      </c>
      <c r="C620" s="309" t="s">
        <v>198</v>
      </c>
      <c r="D620">
        <v>0</v>
      </c>
    </row>
    <row r="621" spans="1:4" x14ac:dyDescent="0.25">
      <c r="A621" s="279">
        <v>38989</v>
      </c>
      <c r="B621" s="309" t="s">
        <v>405</v>
      </c>
      <c r="C621" s="309" t="s">
        <v>199</v>
      </c>
      <c r="D621">
        <v>0</v>
      </c>
    </row>
    <row r="622" spans="1:4" x14ac:dyDescent="0.25">
      <c r="A622" s="279">
        <v>38989</v>
      </c>
      <c r="B622" s="309" t="s">
        <v>405</v>
      </c>
      <c r="C622" s="309" t="s">
        <v>90</v>
      </c>
      <c r="D622">
        <v>2418</v>
      </c>
    </row>
    <row r="623" spans="1:4" x14ac:dyDescent="0.25">
      <c r="A623" s="279">
        <v>38989</v>
      </c>
      <c r="B623" s="309" t="s">
        <v>405</v>
      </c>
      <c r="C623" s="309" t="s">
        <v>24</v>
      </c>
      <c r="D623">
        <v>0</v>
      </c>
    </row>
    <row r="624" spans="1:4" x14ac:dyDescent="0.25">
      <c r="A624" s="279">
        <v>38989</v>
      </c>
      <c r="B624" s="309" t="s">
        <v>405</v>
      </c>
      <c r="C624" s="309" t="s">
        <v>91</v>
      </c>
      <c r="D624">
        <v>0</v>
      </c>
    </row>
    <row r="625" spans="1:4" x14ac:dyDescent="0.25">
      <c r="A625" s="279">
        <v>38989</v>
      </c>
      <c r="B625" s="309" t="s">
        <v>405</v>
      </c>
      <c r="C625" s="309" t="s">
        <v>118</v>
      </c>
      <c r="D625">
        <v>0</v>
      </c>
    </row>
    <row r="626" spans="1:4" x14ac:dyDescent="0.25">
      <c r="A626" s="279">
        <v>38989</v>
      </c>
      <c r="B626" s="309" t="s">
        <v>405</v>
      </c>
      <c r="C626" s="309" t="s">
        <v>407</v>
      </c>
      <c r="D626">
        <v>2969269.1</v>
      </c>
    </row>
    <row r="627" spans="1:4" x14ac:dyDescent="0.25">
      <c r="A627" s="279">
        <v>38989</v>
      </c>
      <c r="B627" s="309" t="s">
        <v>405</v>
      </c>
      <c r="C627" s="309" t="s">
        <v>408</v>
      </c>
      <c r="D627">
        <v>1007</v>
      </c>
    </row>
    <row r="628" spans="1:4" x14ac:dyDescent="0.25">
      <c r="A628" s="279">
        <v>38989</v>
      </c>
      <c r="B628" s="309" t="s">
        <v>405</v>
      </c>
      <c r="C628" s="309" t="s">
        <v>409</v>
      </c>
      <c r="D628">
        <v>1058</v>
      </c>
    </row>
    <row r="629" spans="1:4" x14ac:dyDescent="0.25">
      <c r="A629" s="279">
        <v>38989</v>
      </c>
      <c r="B629" s="309" t="s">
        <v>405</v>
      </c>
      <c r="C629" s="309" t="s">
        <v>410</v>
      </c>
      <c r="D629">
        <v>1033</v>
      </c>
    </row>
    <row r="630" spans="1:4" x14ac:dyDescent="0.25">
      <c r="A630" s="279">
        <v>38989</v>
      </c>
      <c r="B630" s="309" t="s">
        <v>411</v>
      </c>
      <c r="C630" s="309" t="s">
        <v>406</v>
      </c>
      <c r="D630">
        <v>198130</v>
      </c>
    </row>
    <row r="631" spans="1:4" x14ac:dyDescent="0.25">
      <c r="A631" s="279">
        <v>38989</v>
      </c>
      <c r="B631" s="309" t="s">
        <v>411</v>
      </c>
      <c r="C631" s="309" t="s">
        <v>198</v>
      </c>
      <c r="D631">
        <v>0</v>
      </c>
    </row>
    <row r="632" spans="1:4" x14ac:dyDescent="0.25">
      <c r="A632" s="279">
        <v>38989</v>
      </c>
      <c r="B632" s="309" t="s">
        <v>411</v>
      </c>
      <c r="C632" s="309" t="s">
        <v>199</v>
      </c>
      <c r="D632">
        <v>0</v>
      </c>
    </row>
    <row r="633" spans="1:4" x14ac:dyDescent="0.25">
      <c r="A633" s="279">
        <v>38989</v>
      </c>
      <c r="B633" s="309" t="s">
        <v>411</v>
      </c>
      <c r="C633" s="309" t="s">
        <v>90</v>
      </c>
      <c r="D633">
        <v>151</v>
      </c>
    </row>
    <row r="634" spans="1:4" x14ac:dyDescent="0.25">
      <c r="A634" s="279">
        <v>38989</v>
      </c>
      <c r="B634" s="309" t="s">
        <v>411</v>
      </c>
      <c r="C634" s="309" t="s">
        <v>24</v>
      </c>
      <c r="D634">
        <v>0</v>
      </c>
    </row>
    <row r="635" spans="1:4" x14ac:dyDescent="0.25">
      <c r="A635" s="279">
        <v>38989</v>
      </c>
      <c r="B635" s="309" t="s">
        <v>411</v>
      </c>
      <c r="C635" s="309" t="s">
        <v>91</v>
      </c>
      <c r="D635">
        <v>0</v>
      </c>
    </row>
    <row r="636" spans="1:4" x14ac:dyDescent="0.25">
      <c r="A636" s="279">
        <v>38989</v>
      </c>
      <c r="B636" s="309" t="s">
        <v>411</v>
      </c>
      <c r="C636" s="309" t="s">
        <v>118</v>
      </c>
      <c r="D636">
        <v>0</v>
      </c>
    </row>
    <row r="637" spans="1:4" x14ac:dyDescent="0.25">
      <c r="A637" s="279">
        <v>38989</v>
      </c>
      <c r="B637" s="309" t="s">
        <v>411</v>
      </c>
      <c r="C637" s="309" t="s">
        <v>407</v>
      </c>
      <c r="D637">
        <v>197979</v>
      </c>
    </row>
    <row r="638" spans="1:4" x14ac:dyDescent="0.25">
      <c r="A638" s="279">
        <v>38989</v>
      </c>
      <c r="B638" s="309" t="s">
        <v>411</v>
      </c>
      <c r="C638" s="309" t="s">
        <v>412</v>
      </c>
      <c r="D638">
        <v>1007</v>
      </c>
    </row>
    <row r="639" spans="1:4" x14ac:dyDescent="0.25">
      <c r="A639" s="279">
        <v>38989</v>
      </c>
      <c r="B639" s="309" t="s">
        <v>411</v>
      </c>
      <c r="C639" s="309" t="s">
        <v>409</v>
      </c>
      <c r="D639">
        <v>1076</v>
      </c>
    </row>
    <row r="640" spans="1:4" x14ac:dyDescent="0.25">
      <c r="A640" s="279">
        <v>38990</v>
      </c>
      <c r="B640" s="309" t="s">
        <v>405</v>
      </c>
      <c r="C640" s="309" t="s">
        <v>406</v>
      </c>
      <c r="D640">
        <v>2969269.1</v>
      </c>
    </row>
    <row r="641" spans="1:4" x14ac:dyDescent="0.25">
      <c r="A641" s="279">
        <v>38990</v>
      </c>
      <c r="B641" s="309" t="s">
        <v>405</v>
      </c>
      <c r="C641" s="309" t="s">
        <v>89</v>
      </c>
      <c r="D641">
        <v>9643</v>
      </c>
    </row>
    <row r="642" spans="1:4" x14ac:dyDescent="0.25">
      <c r="A642" s="279">
        <v>38990</v>
      </c>
      <c r="B642" s="309" t="s">
        <v>405</v>
      </c>
      <c r="C642" s="309" t="s">
        <v>198</v>
      </c>
      <c r="D642">
        <v>0</v>
      </c>
    </row>
    <row r="643" spans="1:4" x14ac:dyDescent="0.25">
      <c r="A643" s="279">
        <v>38990</v>
      </c>
      <c r="B643" s="309" t="s">
        <v>405</v>
      </c>
      <c r="C643" s="309" t="s">
        <v>199</v>
      </c>
      <c r="D643">
        <v>0</v>
      </c>
    </row>
    <row r="644" spans="1:4" x14ac:dyDescent="0.25">
      <c r="A644" s="279">
        <v>38990</v>
      </c>
      <c r="B644" s="309" t="s">
        <v>405</v>
      </c>
      <c r="C644" s="309" t="s">
        <v>90</v>
      </c>
      <c r="D644">
        <v>2167</v>
      </c>
    </row>
    <row r="645" spans="1:4" x14ac:dyDescent="0.25">
      <c r="A645" s="279">
        <v>38990</v>
      </c>
      <c r="B645" s="309" t="s">
        <v>405</v>
      </c>
      <c r="C645" s="309" t="s">
        <v>24</v>
      </c>
      <c r="D645">
        <v>0</v>
      </c>
    </row>
    <row r="646" spans="1:4" x14ac:dyDescent="0.25">
      <c r="A646" s="279">
        <v>38990</v>
      </c>
      <c r="B646" s="309" t="s">
        <v>405</v>
      </c>
      <c r="C646" s="309" t="s">
        <v>91</v>
      </c>
      <c r="D646">
        <v>0</v>
      </c>
    </row>
    <row r="647" spans="1:4" x14ac:dyDescent="0.25">
      <c r="A647" s="279">
        <v>38990</v>
      </c>
      <c r="B647" s="309" t="s">
        <v>405</v>
      </c>
      <c r="C647" s="309" t="s">
        <v>118</v>
      </c>
      <c r="D647">
        <v>0</v>
      </c>
    </row>
    <row r="648" spans="1:4" x14ac:dyDescent="0.25">
      <c r="A648" s="279">
        <v>38990</v>
      </c>
      <c r="B648" s="309" t="s">
        <v>405</v>
      </c>
      <c r="C648" s="309" t="s">
        <v>407</v>
      </c>
      <c r="D648">
        <v>2976745.1</v>
      </c>
    </row>
    <row r="649" spans="1:4" x14ac:dyDescent="0.25">
      <c r="A649" s="279">
        <v>38990</v>
      </c>
      <c r="B649" s="309" t="s">
        <v>405</v>
      </c>
      <c r="C649" s="309" t="s">
        <v>408</v>
      </c>
      <c r="D649">
        <v>1007</v>
      </c>
    </row>
    <row r="650" spans="1:4" x14ac:dyDescent="0.25">
      <c r="A650" s="279">
        <v>38990</v>
      </c>
      <c r="B650" s="309" t="s">
        <v>405</v>
      </c>
      <c r="C650" s="309" t="s">
        <v>409</v>
      </c>
      <c r="D650">
        <v>1058</v>
      </c>
    </row>
    <row r="651" spans="1:4" x14ac:dyDescent="0.25">
      <c r="A651" s="279">
        <v>38990</v>
      </c>
      <c r="B651" s="309" t="s">
        <v>405</v>
      </c>
      <c r="C651" s="309" t="s">
        <v>410</v>
      </c>
      <c r="D651">
        <v>1032</v>
      </c>
    </row>
    <row r="652" spans="1:4" x14ac:dyDescent="0.25">
      <c r="A652" s="279">
        <v>38990</v>
      </c>
      <c r="B652" s="309" t="s">
        <v>411</v>
      </c>
      <c r="C652" s="309" t="s">
        <v>406</v>
      </c>
      <c r="D652">
        <v>197979</v>
      </c>
    </row>
    <row r="653" spans="1:4" x14ac:dyDescent="0.25">
      <c r="A653" s="279">
        <v>38990</v>
      </c>
      <c r="B653" s="309" t="s">
        <v>411</v>
      </c>
      <c r="C653" s="309" t="s">
        <v>198</v>
      </c>
      <c r="D653">
        <v>0</v>
      </c>
    </row>
    <row r="654" spans="1:4" x14ac:dyDescent="0.25">
      <c r="A654" s="279">
        <v>38990</v>
      </c>
      <c r="B654" s="309" t="s">
        <v>411</v>
      </c>
      <c r="C654" s="309" t="s">
        <v>199</v>
      </c>
      <c r="D654">
        <v>0</v>
      </c>
    </row>
    <row r="655" spans="1:4" x14ac:dyDescent="0.25">
      <c r="A655" s="279">
        <v>38990</v>
      </c>
      <c r="B655" s="309" t="s">
        <v>411</v>
      </c>
      <c r="C655" s="309" t="s">
        <v>90</v>
      </c>
      <c r="D655">
        <v>58</v>
      </c>
    </row>
    <row r="656" spans="1:4" x14ac:dyDescent="0.25">
      <c r="A656" s="279">
        <v>38990</v>
      </c>
      <c r="B656" s="309" t="s">
        <v>411</v>
      </c>
      <c r="C656" s="309" t="s">
        <v>24</v>
      </c>
      <c r="D656">
        <v>0</v>
      </c>
    </row>
    <row r="657" spans="1:4" x14ac:dyDescent="0.25">
      <c r="A657" s="279">
        <v>38990</v>
      </c>
      <c r="B657" s="309" t="s">
        <v>411</v>
      </c>
      <c r="C657" s="309" t="s">
        <v>91</v>
      </c>
      <c r="D657">
        <v>0</v>
      </c>
    </row>
    <row r="658" spans="1:4" x14ac:dyDescent="0.25">
      <c r="A658" s="279">
        <v>38990</v>
      </c>
      <c r="B658" s="309" t="s">
        <v>411</v>
      </c>
      <c r="C658" s="309" t="s">
        <v>118</v>
      </c>
      <c r="D658">
        <v>0</v>
      </c>
    </row>
    <row r="659" spans="1:4" x14ac:dyDescent="0.25">
      <c r="A659" s="279">
        <v>38990</v>
      </c>
      <c r="B659" s="309" t="s">
        <v>411</v>
      </c>
      <c r="C659" s="309" t="s">
        <v>407</v>
      </c>
      <c r="D659">
        <v>197921</v>
      </c>
    </row>
    <row r="660" spans="1:4" x14ac:dyDescent="0.25">
      <c r="A660" s="279">
        <v>38990</v>
      </c>
      <c r="B660" s="309" t="s">
        <v>411</v>
      </c>
      <c r="C660" s="309" t="s">
        <v>412</v>
      </c>
      <c r="D660">
        <v>1007</v>
      </c>
    </row>
    <row r="661" spans="1:4" x14ac:dyDescent="0.25">
      <c r="A661" s="279">
        <v>38990</v>
      </c>
      <c r="B661" s="309" t="s">
        <v>411</v>
      </c>
      <c r="C661" s="309" t="s">
        <v>409</v>
      </c>
      <c r="D661">
        <v>1076</v>
      </c>
    </row>
    <row r="662" spans="1:4" x14ac:dyDescent="0.25">
      <c r="A662" s="279">
        <v>38991</v>
      </c>
      <c r="B662" s="309" t="s">
        <v>405</v>
      </c>
      <c r="C662" s="309" t="s">
        <v>406</v>
      </c>
      <c r="D662">
        <v>2976745.1</v>
      </c>
    </row>
    <row r="663" spans="1:4" x14ac:dyDescent="0.25">
      <c r="A663" s="279">
        <v>38991</v>
      </c>
      <c r="B663" s="309" t="s">
        <v>405</v>
      </c>
      <c r="C663" s="309" t="s">
        <v>89</v>
      </c>
      <c r="D663">
        <v>10488</v>
      </c>
    </row>
    <row r="664" spans="1:4" x14ac:dyDescent="0.25">
      <c r="A664" s="279">
        <v>38991</v>
      </c>
      <c r="B664" s="309" t="s">
        <v>405</v>
      </c>
      <c r="C664" s="309" t="s">
        <v>198</v>
      </c>
      <c r="D664">
        <v>0</v>
      </c>
    </row>
    <row r="665" spans="1:4" x14ac:dyDescent="0.25">
      <c r="A665" s="279">
        <v>38991</v>
      </c>
      <c r="B665" s="309" t="s">
        <v>405</v>
      </c>
      <c r="C665" s="309" t="s">
        <v>199</v>
      </c>
      <c r="D665">
        <v>0</v>
      </c>
    </row>
    <row r="666" spans="1:4" x14ac:dyDescent="0.25">
      <c r="A666" s="279">
        <v>38991</v>
      </c>
      <c r="B666" s="309" t="s">
        <v>405</v>
      </c>
      <c r="C666" s="309" t="s">
        <v>90</v>
      </c>
      <c r="D666">
        <v>2212</v>
      </c>
    </row>
    <row r="667" spans="1:4" x14ac:dyDescent="0.25">
      <c r="A667" s="279">
        <v>38991</v>
      </c>
      <c r="B667" s="309" t="s">
        <v>405</v>
      </c>
      <c r="C667" s="309" t="s">
        <v>24</v>
      </c>
      <c r="D667">
        <v>0</v>
      </c>
    </row>
    <row r="668" spans="1:4" x14ac:dyDescent="0.25">
      <c r="A668" s="279">
        <v>38991</v>
      </c>
      <c r="B668" s="309" t="s">
        <v>405</v>
      </c>
      <c r="C668" s="309" t="s">
        <v>91</v>
      </c>
      <c r="D668">
        <v>0</v>
      </c>
    </row>
    <row r="669" spans="1:4" x14ac:dyDescent="0.25">
      <c r="A669" s="279">
        <v>38991</v>
      </c>
      <c r="B669" s="309" t="s">
        <v>405</v>
      </c>
      <c r="C669" s="309" t="s">
        <v>118</v>
      </c>
      <c r="D669">
        <v>0</v>
      </c>
    </row>
    <row r="670" spans="1:4" x14ac:dyDescent="0.25">
      <c r="A670" s="279">
        <v>38991</v>
      </c>
      <c r="B670" s="309" t="s">
        <v>405</v>
      </c>
      <c r="C670" s="309" t="s">
        <v>407</v>
      </c>
      <c r="D670">
        <v>2985021.1</v>
      </c>
    </row>
    <row r="671" spans="1:4" x14ac:dyDescent="0.25">
      <c r="A671" s="279">
        <v>38991</v>
      </c>
      <c r="B671" s="309" t="s">
        <v>405</v>
      </c>
      <c r="C671" s="309" t="s">
        <v>408</v>
      </c>
      <c r="D671">
        <v>1007</v>
      </c>
    </row>
    <row r="672" spans="1:4" x14ac:dyDescent="0.25">
      <c r="A672" s="279">
        <v>38991</v>
      </c>
      <c r="B672" s="309" t="s">
        <v>405</v>
      </c>
      <c r="C672" s="309" t="s">
        <v>409</v>
      </c>
      <c r="D672">
        <v>1058</v>
      </c>
    </row>
    <row r="673" spans="1:4" x14ac:dyDescent="0.25">
      <c r="A673" s="279">
        <v>38991</v>
      </c>
      <c r="B673" s="309" t="s">
        <v>405</v>
      </c>
      <c r="C673" s="309" t="s">
        <v>410</v>
      </c>
      <c r="D673">
        <v>1029</v>
      </c>
    </row>
    <row r="674" spans="1:4" x14ac:dyDescent="0.25">
      <c r="A674" s="279">
        <v>38991</v>
      </c>
      <c r="B674" s="309" t="s">
        <v>411</v>
      </c>
      <c r="C674" s="309" t="s">
        <v>406</v>
      </c>
      <c r="D674">
        <v>197921</v>
      </c>
    </row>
    <row r="675" spans="1:4" x14ac:dyDescent="0.25">
      <c r="A675" s="279">
        <v>38991</v>
      </c>
      <c r="B675" s="309" t="s">
        <v>411</v>
      </c>
      <c r="C675" s="309" t="s">
        <v>198</v>
      </c>
      <c r="D675">
        <v>0</v>
      </c>
    </row>
    <row r="676" spans="1:4" x14ac:dyDescent="0.25">
      <c r="A676" s="279">
        <v>38991</v>
      </c>
      <c r="B676" s="309" t="s">
        <v>411</v>
      </c>
      <c r="C676" s="309" t="s">
        <v>199</v>
      </c>
      <c r="D676">
        <v>0</v>
      </c>
    </row>
    <row r="677" spans="1:4" x14ac:dyDescent="0.25">
      <c r="A677" s="279">
        <v>38991</v>
      </c>
      <c r="B677" s="309" t="s">
        <v>411</v>
      </c>
      <c r="C677" s="309" t="s">
        <v>90</v>
      </c>
      <c r="D677">
        <v>60</v>
      </c>
    </row>
    <row r="678" spans="1:4" x14ac:dyDescent="0.25">
      <c r="A678" s="279">
        <v>38991</v>
      </c>
      <c r="B678" s="309" t="s">
        <v>411</v>
      </c>
      <c r="C678" s="309" t="s">
        <v>24</v>
      </c>
      <c r="D678">
        <v>0</v>
      </c>
    </row>
    <row r="679" spans="1:4" x14ac:dyDescent="0.25">
      <c r="A679" s="279">
        <v>38991</v>
      </c>
      <c r="B679" s="309" t="s">
        <v>411</v>
      </c>
      <c r="C679" s="309" t="s">
        <v>91</v>
      </c>
      <c r="D679">
        <v>0</v>
      </c>
    </row>
    <row r="680" spans="1:4" x14ac:dyDescent="0.25">
      <c r="A680" s="279">
        <v>38991</v>
      </c>
      <c r="B680" s="309" t="s">
        <v>411</v>
      </c>
      <c r="C680" s="309" t="s">
        <v>118</v>
      </c>
      <c r="D680">
        <v>0</v>
      </c>
    </row>
    <row r="681" spans="1:4" x14ac:dyDescent="0.25">
      <c r="A681" s="279">
        <v>38991</v>
      </c>
      <c r="B681" s="309" t="s">
        <v>411</v>
      </c>
      <c r="C681" s="309" t="s">
        <v>407</v>
      </c>
      <c r="D681">
        <v>197861</v>
      </c>
    </row>
    <row r="682" spans="1:4" x14ac:dyDescent="0.25">
      <c r="A682" s="279">
        <v>38991</v>
      </c>
      <c r="B682" s="309" t="s">
        <v>411</v>
      </c>
      <c r="C682" s="309" t="s">
        <v>412</v>
      </c>
      <c r="D682">
        <v>1007</v>
      </c>
    </row>
    <row r="683" spans="1:4" x14ac:dyDescent="0.25">
      <c r="A683" s="279">
        <v>38991</v>
      </c>
      <c r="B683" s="309" t="s">
        <v>411</v>
      </c>
      <c r="C683" s="309" t="s">
        <v>409</v>
      </c>
      <c r="D683">
        <v>1076</v>
      </c>
    </row>
    <row r="684" spans="1:4" x14ac:dyDescent="0.25">
      <c r="A684" s="279">
        <v>38992</v>
      </c>
      <c r="B684" s="309" t="s">
        <v>405</v>
      </c>
      <c r="C684" s="309" t="s">
        <v>406</v>
      </c>
      <c r="D684">
        <v>2985021.1</v>
      </c>
    </row>
    <row r="685" spans="1:4" x14ac:dyDescent="0.25">
      <c r="A685" s="279">
        <v>38992</v>
      </c>
      <c r="B685" s="309" t="s">
        <v>405</v>
      </c>
      <c r="C685" s="309" t="s">
        <v>89</v>
      </c>
      <c r="D685">
        <v>11897</v>
      </c>
    </row>
    <row r="686" spans="1:4" x14ac:dyDescent="0.25">
      <c r="A686" s="279">
        <v>38992</v>
      </c>
      <c r="B686" s="309" t="s">
        <v>405</v>
      </c>
      <c r="C686" s="309" t="s">
        <v>198</v>
      </c>
      <c r="D686">
        <v>0</v>
      </c>
    </row>
    <row r="687" spans="1:4" x14ac:dyDescent="0.25">
      <c r="A687" s="279">
        <v>38992</v>
      </c>
      <c r="B687" s="309" t="s">
        <v>405</v>
      </c>
      <c r="C687" s="309" t="s">
        <v>199</v>
      </c>
      <c r="D687">
        <v>0</v>
      </c>
    </row>
    <row r="688" spans="1:4" x14ac:dyDescent="0.25">
      <c r="A688" s="279">
        <v>38992</v>
      </c>
      <c r="B688" s="309" t="s">
        <v>405</v>
      </c>
      <c r="C688" s="309" t="s">
        <v>90</v>
      </c>
      <c r="D688">
        <v>2282</v>
      </c>
    </row>
    <row r="689" spans="1:4" x14ac:dyDescent="0.25">
      <c r="A689" s="279">
        <v>38992</v>
      </c>
      <c r="B689" s="309" t="s">
        <v>405</v>
      </c>
      <c r="C689" s="309" t="s">
        <v>24</v>
      </c>
      <c r="D689">
        <v>0</v>
      </c>
    </row>
    <row r="690" spans="1:4" x14ac:dyDescent="0.25">
      <c r="A690" s="279">
        <v>38992</v>
      </c>
      <c r="B690" s="309" t="s">
        <v>405</v>
      </c>
      <c r="C690" s="309" t="s">
        <v>91</v>
      </c>
      <c r="D690">
        <v>0</v>
      </c>
    </row>
    <row r="691" spans="1:4" x14ac:dyDescent="0.25">
      <c r="A691" s="279">
        <v>38992</v>
      </c>
      <c r="B691" s="309" t="s">
        <v>405</v>
      </c>
      <c r="C691" s="309" t="s">
        <v>118</v>
      </c>
      <c r="D691">
        <v>0</v>
      </c>
    </row>
    <row r="692" spans="1:4" x14ac:dyDescent="0.25">
      <c r="A692" s="279">
        <v>38992</v>
      </c>
      <c r="B692" s="309" t="s">
        <v>405</v>
      </c>
      <c r="C692" s="309" t="s">
        <v>407</v>
      </c>
      <c r="D692">
        <v>2994636.1</v>
      </c>
    </row>
    <row r="693" spans="1:4" x14ac:dyDescent="0.25">
      <c r="A693" s="279">
        <v>38992</v>
      </c>
      <c r="B693" s="309" t="s">
        <v>405</v>
      </c>
      <c r="C693" s="309" t="s">
        <v>408</v>
      </c>
      <c r="D693">
        <v>1007</v>
      </c>
    </row>
    <row r="694" spans="1:4" x14ac:dyDescent="0.25">
      <c r="A694" s="279">
        <v>38992</v>
      </c>
      <c r="B694" s="309" t="s">
        <v>405</v>
      </c>
      <c r="C694" s="309" t="s">
        <v>409</v>
      </c>
      <c r="D694">
        <v>1058</v>
      </c>
    </row>
    <row r="695" spans="1:4" x14ac:dyDescent="0.25">
      <c r="A695" s="279">
        <v>38992</v>
      </c>
      <c r="B695" s="309" t="s">
        <v>405</v>
      </c>
      <c r="C695" s="309" t="s">
        <v>410</v>
      </c>
      <c r="D695">
        <v>1033</v>
      </c>
    </row>
    <row r="696" spans="1:4" x14ac:dyDescent="0.25">
      <c r="A696" s="279">
        <v>38992</v>
      </c>
      <c r="B696" s="309" t="s">
        <v>411</v>
      </c>
      <c r="C696" s="309" t="s">
        <v>406</v>
      </c>
      <c r="D696">
        <v>197861</v>
      </c>
    </row>
    <row r="697" spans="1:4" x14ac:dyDescent="0.25">
      <c r="A697" s="279">
        <v>38992</v>
      </c>
      <c r="B697" s="309" t="s">
        <v>411</v>
      </c>
      <c r="C697" s="309" t="s">
        <v>198</v>
      </c>
      <c r="D697">
        <v>0</v>
      </c>
    </row>
    <row r="698" spans="1:4" x14ac:dyDescent="0.25">
      <c r="A698" s="279">
        <v>38992</v>
      </c>
      <c r="B698" s="309" t="s">
        <v>411</v>
      </c>
      <c r="C698" s="309" t="s">
        <v>199</v>
      </c>
      <c r="D698">
        <v>0</v>
      </c>
    </row>
    <row r="699" spans="1:4" x14ac:dyDescent="0.25">
      <c r="A699" s="279">
        <v>38992</v>
      </c>
      <c r="B699" s="309" t="s">
        <v>411</v>
      </c>
      <c r="C699" s="309" t="s">
        <v>90</v>
      </c>
      <c r="D699">
        <v>159</v>
      </c>
    </row>
    <row r="700" spans="1:4" x14ac:dyDescent="0.25">
      <c r="A700" s="279">
        <v>38992</v>
      </c>
      <c r="B700" s="309" t="s">
        <v>411</v>
      </c>
      <c r="C700" s="309" t="s">
        <v>24</v>
      </c>
      <c r="D700">
        <v>0</v>
      </c>
    </row>
    <row r="701" spans="1:4" x14ac:dyDescent="0.25">
      <c r="A701" s="279">
        <v>38992</v>
      </c>
      <c r="B701" s="309" t="s">
        <v>411</v>
      </c>
      <c r="C701" s="309" t="s">
        <v>91</v>
      </c>
      <c r="D701">
        <v>0</v>
      </c>
    </row>
    <row r="702" spans="1:4" x14ac:dyDescent="0.25">
      <c r="A702" s="279">
        <v>38992</v>
      </c>
      <c r="B702" s="309" t="s">
        <v>411</v>
      </c>
      <c r="C702" s="309" t="s">
        <v>118</v>
      </c>
      <c r="D702">
        <v>0</v>
      </c>
    </row>
    <row r="703" spans="1:4" x14ac:dyDescent="0.25">
      <c r="A703" s="279">
        <v>38992</v>
      </c>
      <c r="B703" s="309" t="s">
        <v>411</v>
      </c>
      <c r="C703" s="309" t="s">
        <v>407</v>
      </c>
      <c r="D703">
        <v>197702</v>
      </c>
    </row>
    <row r="704" spans="1:4" x14ac:dyDescent="0.25">
      <c r="A704" s="279">
        <v>38992</v>
      </c>
      <c r="B704" s="309" t="s">
        <v>411</v>
      </c>
      <c r="C704" s="309" t="s">
        <v>412</v>
      </c>
      <c r="D704">
        <v>1007</v>
      </c>
    </row>
    <row r="705" spans="1:4" x14ac:dyDescent="0.25">
      <c r="A705" s="279">
        <v>38992</v>
      </c>
      <c r="B705" s="309" t="s">
        <v>411</v>
      </c>
      <c r="C705" s="309" t="s">
        <v>409</v>
      </c>
      <c r="D705">
        <v>1076</v>
      </c>
    </row>
    <row r="706" spans="1:4" x14ac:dyDescent="0.25">
      <c r="A706" s="279">
        <v>38993</v>
      </c>
      <c r="B706" s="309" t="s">
        <v>405</v>
      </c>
      <c r="C706" s="309" t="s">
        <v>406</v>
      </c>
      <c r="D706">
        <v>2994636.1</v>
      </c>
    </row>
    <row r="707" spans="1:4" x14ac:dyDescent="0.25">
      <c r="A707" s="279">
        <v>38993</v>
      </c>
      <c r="B707" s="309" t="s">
        <v>405</v>
      </c>
      <c r="C707" s="309" t="s">
        <v>89</v>
      </c>
      <c r="D707">
        <v>10494</v>
      </c>
    </row>
    <row r="708" spans="1:4" x14ac:dyDescent="0.25">
      <c r="A708" s="279">
        <v>38993</v>
      </c>
      <c r="B708" s="309" t="s">
        <v>405</v>
      </c>
      <c r="C708" s="309" t="s">
        <v>198</v>
      </c>
      <c r="D708">
        <v>0</v>
      </c>
    </row>
    <row r="709" spans="1:4" x14ac:dyDescent="0.25">
      <c r="A709" s="279">
        <v>38993</v>
      </c>
      <c r="B709" s="309" t="s">
        <v>405</v>
      </c>
      <c r="C709" s="309" t="s">
        <v>199</v>
      </c>
      <c r="D709">
        <v>0</v>
      </c>
    </row>
    <row r="710" spans="1:4" x14ac:dyDescent="0.25">
      <c r="A710" s="279">
        <v>38993</v>
      </c>
      <c r="B710" s="309" t="s">
        <v>405</v>
      </c>
      <c r="C710" s="309" t="s">
        <v>90</v>
      </c>
      <c r="D710">
        <v>2217</v>
      </c>
    </row>
    <row r="711" spans="1:4" x14ac:dyDescent="0.25">
      <c r="A711" s="279">
        <v>38993</v>
      </c>
      <c r="B711" s="309" t="s">
        <v>405</v>
      </c>
      <c r="C711" s="309" t="s">
        <v>24</v>
      </c>
      <c r="D711">
        <v>0</v>
      </c>
    </row>
    <row r="712" spans="1:4" x14ac:dyDescent="0.25">
      <c r="A712" s="279">
        <v>38993</v>
      </c>
      <c r="B712" s="309" t="s">
        <v>405</v>
      </c>
      <c r="C712" s="309" t="s">
        <v>91</v>
      </c>
      <c r="D712">
        <v>0</v>
      </c>
    </row>
    <row r="713" spans="1:4" x14ac:dyDescent="0.25">
      <c r="A713" s="279">
        <v>38993</v>
      </c>
      <c r="B713" s="309" t="s">
        <v>405</v>
      </c>
      <c r="C713" s="309" t="s">
        <v>118</v>
      </c>
      <c r="D713">
        <v>0</v>
      </c>
    </row>
    <row r="714" spans="1:4" x14ac:dyDescent="0.25">
      <c r="A714" s="279">
        <v>38993</v>
      </c>
      <c r="B714" s="309" t="s">
        <v>405</v>
      </c>
      <c r="C714" s="309" t="s">
        <v>407</v>
      </c>
      <c r="D714">
        <v>3002913.1</v>
      </c>
    </row>
    <row r="715" spans="1:4" x14ac:dyDescent="0.25">
      <c r="A715" s="279">
        <v>38993</v>
      </c>
      <c r="B715" s="309" t="s">
        <v>405</v>
      </c>
      <c r="C715" s="309" t="s">
        <v>408</v>
      </c>
      <c r="D715">
        <v>1007</v>
      </c>
    </row>
    <row r="716" spans="1:4" x14ac:dyDescent="0.25">
      <c r="A716" s="279">
        <v>38993</v>
      </c>
      <c r="B716" s="309" t="s">
        <v>405</v>
      </c>
      <c r="C716" s="309" t="s">
        <v>409</v>
      </c>
      <c r="D716">
        <v>1058</v>
      </c>
    </row>
    <row r="717" spans="1:4" x14ac:dyDescent="0.25">
      <c r="A717" s="279">
        <v>38993</v>
      </c>
      <c r="B717" s="309" t="s">
        <v>405</v>
      </c>
      <c r="C717" s="309" t="s">
        <v>410</v>
      </c>
      <c r="D717">
        <v>1036</v>
      </c>
    </row>
    <row r="718" spans="1:4" x14ac:dyDescent="0.25">
      <c r="A718" s="279">
        <v>38993</v>
      </c>
      <c r="B718" s="309" t="s">
        <v>411</v>
      </c>
      <c r="C718" s="309" t="s">
        <v>406</v>
      </c>
      <c r="D718">
        <v>197702</v>
      </c>
    </row>
    <row r="719" spans="1:4" x14ac:dyDescent="0.25">
      <c r="A719" s="279">
        <v>38993</v>
      </c>
      <c r="B719" s="309" t="s">
        <v>411</v>
      </c>
      <c r="C719" s="309" t="s">
        <v>198</v>
      </c>
      <c r="D719">
        <v>0</v>
      </c>
    </row>
    <row r="720" spans="1:4" x14ac:dyDescent="0.25">
      <c r="A720" s="279">
        <v>38993</v>
      </c>
      <c r="B720" s="309" t="s">
        <v>411</v>
      </c>
      <c r="C720" s="309" t="s">
        <v>199</v>
      </c>
      <c r="D720">
        <v>0</v>
      </c>
    </row>
    <row r="721" spans="1:4" x14ac:dyDescent="0.25">
      <c r="A721" s="279">
        <v>38993</v>
      </c>
      <c r="B721" s="309" t="s">
        <v>411</v>
      </c>
      <c r="C721" s="309" t="s">
        <v>90</v>
      </c>
      <c r="D721">
        <v>277</v>
      </c>
    </row>
    <row r="722" spans="1:4" x14ac:dyDescent="0.25">
      <c r="A722" s="279">
        <v>38993</v>
      </c>
      <c r="B722" s="309" t="s">
        <v>411</v>
      </c>
      <c r="C722" s="309" t="s">
        <v>24</v>
      </c>
      <c r="D722">
        <v>0</v>
      </c>
    </row>
    <row r="723" spans="1:4" x14ac:dyDescent="0.25">
      <c r="A723" s="279">
        <v>38993</v>
      </c>
      <c r="B723" s="309" t="s">
        <v>411</v>
      </c>
      <c r="C723" s="309" t="s">
        <v>91</v>
      </c>
      <c r="D723">
        <v>0</v>
      </c>
    </row>
    <row r="724" spans="1:4" x14ac:dyDescent="0.25">
      <c r="A724" s="279">
        <v>38993</v>
      </c>
      <c r="B724" s="309" t="s">
        <v>411</v>
      </c>
      <c r="C724" s="309" t="s">
        <v>118</v>
      </c>
      <c r="D724">
        <v>0</v>
      </c>
    </row>
    <row r="725" spans="1:4" x14ac:dyDescent="0.25">
      <c r="A725" s="279">
        <v>38993</v>
      </c>
      <c r="B725" s="309" t="s">
        <v>411</v>
      </c>
      <c r="C725" s="309" t="s">
        <v>407</v>
      </c>
      <c r="D725">
        <v>197425</v>
      </c>
    </row>
    <row r="726" spans="1:4" x14ac:dyDescent="0.25">
      <c r="A726" s="279">
        <v>38993</v>
      </c>
      <c r="B726" s="309" t="s">
        <v>411</v>
      </c>
      <c r="C726" s="309" t="s">
        <v>412</v>
      </c>
      <c r="D726">
        <v>1007</v>
      </c>
    </row>
    <row r="727" spans="1:4" x14ac:dyDescent="0.25">
      <c r="A727" s="279">
        <v>38993</v>
      </c>
      <c r="B727" s="309" t="s">
        <v>411</v>
      </c>
      <c r="C727" s="309" t="s">
        <v>409</v>
      </c>
      <c r="D727">
        <v>1076</v>
      </c>
    </row>
    <row r="728" spans="1:4" x14ac:dyDescent="0.25">
      <c r="A728" s="279">
        <v>38994</v>
      </c>
      <c r="B728" s="309" t="s">
        <v>405</v>
      </c>
      <c r="C728" s="309" t="s">
        <v>406</v>
      </c>
      <c r="D728">
        <v>3002913.1</v>
      </c>
    </row>
    <row r="729" spans="1:4" x14ac:dyDescent="0.25">
      <c r="A729" s="279">
        <v>38994</v>
      </c>
      <c r="B729" s="309" t="s">
        <v>405</v>
      </c>
      <c r="C729" s="309" t="s">
        <v>89</v>
      </c>
      <c r="D729">
        <v>9935</v>
      </c>
    </row>
    <row r="730" spans="1:4" x14ac:dyDescent="0.25">
      <c r="A730" s="279">
        <v>38994</v>
      </c>
      <c r="B730" s="309" t="s">
        <v>405</v>
      </c>
      <c r="C730" s="309" t="s">
        <v>198</v>
      </c>
      <c r="D730">
        <v>0</v>
      </c>
    </row>
    <row r="731" spans="1:4" x14ac:dyDescent="0.25">
      <c r="A731" s="279">
        <v>38994</v>
      </c>
      <c r="B731" s="309" t="s">
        <v>405</v>
      </c>
      <c r="C731" s="309" t="s">
        <v>199</v>
      </c>
      <c r="D731">
        <v>0</v>
      </c>
    </row>
    <row r="732" spans="1:4" x14ac:dyDescent="0.25">
      <c r="A732" s="279">
        <v>38994</v>
      </c>
      <c r="B732" s="309" t="s">
        <v>405</v>
      </c>
      <c r="C732" s="309" t="s">
        <v>90</v>
      </c>
      <c r="D732">
        <v>2191</v>
      </c>
    </row>
    <row r="733" spans="1:4" x14ac:dyDescent="0.25">
      <c r="A733" s="279">
        <v>38994</v>
      </c>
      <c r="B733" s="309" t="s">
        <v>405</v>
      </c>
      <c r="C733" s="309" t="s">
        <v>24</v>
      </c>
      <c r="D733">
        <v>0</v>
      </c>
    </row>
    <row r="734" spans="1:4" x14ac:dyDescent="0.25">
      <c r="A734" s="279">
        <v>38994</v>
      </c>
      <c r="B734" s="309" t="s">
        <v>405</v>
      </c>
      <c r="C734" s="309" t="s">
        <v>91</v>
      </c>
      <c r="D734">
        <v>0</v>
      </c>
    </row>
    <row r="735" spans="1:4" x14ac:dyDescent="0.25">
      <c r="A735" s="279">
        <v>38994</v>
      </c>
      <c r="B735" s="309" t="s">
        <v>405</v>
      </c>
      <c r="C735" s="309" t="s">
        <v>118</v>
      </c>
      <c r="D735">
        <v>0</v>
      </c>
    </row>
    <row r="736" spans="1:4" x14ac:dyDescent="0.25">
      <c r="A736" s="279">
        <v>38994</v>
      </c>
      <c r="B736" s="309" t="s">
        <v>405</v>
      </c>
      <c r="C736" s="309" t="s">
        <v>407</v>
      </c>
      <c r="D736">
        <v>3010657.1</v>
      </c>
    </row>
    <row r="737" spans="1:4" x14ac:dyDescent="0.25">
      <c r="A737" s="279">
        <v>38994</v>
      </c>
      <c r="B737" s="309" t="s">
        <v>405</v>
      </c>
      <c r="C737" s="309" t="s">
        <v>408</v>
      </c>
      <c r="D737">
        <v>1007</v>
      </c>
    </row>
    <row r="738" spans="1:4" x14ac:dyDescent="0.25">
      <c r="A738" s="279">
        <v>38994</v>
      </c>
      <c r="B738" s="309" t="s">
        <v>405</v>
      </c>
      <c r="C738" s="309" t="s">
        <v>409</v>
      </c>
      <c r="D738">
        <v>1058</v>
      </c>
    </row>
    <row r="739" spans="1:4" x14ac:dyDescent="0.25">
      <c r="A739" s="279">
        <v>38994</v>
      </c>
      <c r="B739" s="309" t="s">
        <v>405</v>
      </c>
      <c r="C739" s="309" t="s">
        <v>410</v>
      </c>
      <c r="D739">
        <v>1035</v>
      </c>
    </row>
    <row r="740" spans="1:4" x14ac:dyDescent="0.25">
      <c r="A740" s="279">
        <v>38994</v>
      </c>
      <c r="B740" s="309" t="s">
        <v>411</v>
      </c>
      <c r="C740" s="309" t="s">
        <v>406</v>
      </c>
      <c r="D740">
        <v>197425</v>
      </c>
    </row>
    <row r="741" spans="1:4" x14ac:dyDescent="0.25">
      <c r="A741" s="279">
        <v>38994</v>
      </c>
      <c r="B741" s="309" t="s">
        <v>411</v>
      </c>
      <c r="C741" s="309" t="s">
        <v>198</v>
      </c>
      <c r="D741">
        <v>0</v>
      </c>
    </row>
    <row r="742" spans="1:4" x14ac:dyDescent="0.25">
      <c r="A742" s="279">
        <v>38994</v>
      </c>
      <c r="B742" s="309" t="s">
        <v>411</v>
      </c>
      <c r="C742" s="309" t="s">
        <v>199</v>
      </c>
      <c r="D742">
        <v>0</v>
      </c>
    </row>
    <row r="743" spans="1:4" x14ac:dyDescent="0.25">
      <c r="A743" s="279">
        <v>38994</v>
      </c>
      <c r="B743" s="309" t="s">
        <v>411</v>
      </c>
      <c r="C743" s="309" t="s">
        <v>90</v>
      </c>
      <c r="D743">
        <v>57</v>
      </c>
    </row>
    <row r="744" spans="1:4" x14ac:dyDescent="0.25">
      <c r="A744" s="279">
        <v>38994</v>
      </c>
      <c r="B744" s="309" t="s">
        <v>411</v>
      </c>
      <c r="C744" s="309" t="s">
        <v>24</v>
      </c>
      <c r="D744">
        <v>0</v>
      </c>
    </row>
    <row r="745" spans="1:4" x14ac:dyDescent="0.25">
      <c r="A745" s="279">
        <v>38994</v>
      </c>
      <c r="B745" s="309" t="s">
        <v>411</v>
      </c>
      <c r="C745" s="309" t="s">
        <v>91</v>
      </c>
      <c r="D745">
        <v>0</v>
      </c>
    </row>
    <row r="746" spans="1:4" x14ac:dyDescent="0.25">
      <c r="A746" s="279">
        <v>38994</v>
      </c>
      <c r="B746" s="309" t="s">
        <v>411</v>
      </c>
      <c r="C746" s="309" t="s">
        <v>118</v>
      </c>
      <c r="D746">
        <v>0</v>
      </c>
    </row>
    <row r="747" spans="1:4" x14ac:dyDescent="0.25">
      <c r="A747" s="279">
        <v>38994</v>
      </c>
      <c r="B747" s="309" t="s">
        <v>411</v>
      </c>
      <c r="C747" s="309" t="s">
        <v>407</v>
      </c>
      <c r="D747">
        <v>197368</v>
      </c>
    </row>
    <row r="748" spans="1:4" x14ac:dyDescent="0.25">
      <c r="A748" s="279">
        <v>38994</v>
      </c>
      <c r="B748" s="309" t="s">
        <v>411</v>
      </c>
      <c r="C748" s="309" t="s">
        <v>412</v>
      </c>
      <c r="D748">
        <v>1007</v>
      </c>
    </row>
    <row r="749" spans="1:4" x14ac:dyDescent="0.25">
      <c r="A749" s="279">
        <v>38994</v>
      </c>
      <c r="B749" s="309" t="s">
        <v>411</v>
      </c>
      <c r="C749" s="309" t="s">
        <v>409</v>
      </c>
      <c r="D749">
        <v>1076</v>
      </c>
    </row>
    <row r="750" spans="1:4" x14ac:dyDescent="0.25">
      <c r="A750" s="279">
        <v>38995</v>
      </c>
      <c r="B750" s="309" t="s">
        <v>405</v>
      </c>
      <c r="C750" s="309" t="s">
        <v>406</v>
      </c>
      <c r="D750">
        <v>3010657.1</v>
      </c>
    </row>
    <row r="751" spans="1:4" x14ac:dyDescent="0.25">
      <c r="A751" s="279">
        <v>38995</v>
      </c>
      <c r="B751" s="309" t="s">
        <v>405</v>
      </c>
      <c r="C751" s="309" t="s">
        <v>89</v>
      </c>
      <c r="D751">
        <v>12748</v>
      </c>
    </row>
    <row r="752" spans="1:4" x14ac:dyDescent="0.25">
      <c r="A752" s="279">
        <v>38995</v>
      </c>
      <c r="B752" s="309" t="s">
        <v>405</v>
      </c>
      <c r="C752" s="309" t="s">
        <v>198</v>
      </c>
      <c r="D752">
        <v>0</v>
      </c>
    </row>
    <row r="753" spans="1:4" x14ac:dyDescent="0.25">
      <c r="A753" s="279">
        <v>38995</v>
      </c>
      <c r="B753" s="309" t="s">
        <v>405</v>
      </c>
      <c r="C753" s="309" t="s">
        <v>199</v>
      </c>
      <c r="D753">
        <v>0</v>
      </c>
    </row>
    <row r="754" spans="1:4" x14ac:dyDescent="0.25">
      <c r="A754" s="279">
        <v>38995</v>
      </c>
      <c r="B754" s="309" t="s">
        <v>405</v>
      </c>
      <c r="C754" s="309" t="s">
        <v>90</v>
      </c>
      <c r="D754">
        <v>2338</v>
      </c>
    </row>
    <row r="755" spans="1:4" x14ac:dyDescent="0.25">
      <c r="A755" s="279">
        <v>38995</v>
      </c>
      <c r="B755" s="309" t="s">
        <v>405</v>
      </c>
      <c r="C755" s="309" t="s">
        <v>24</v>
      </c>
      <c r="D755">
        <v>0</v>
      </c>
    </row>
    <row r="756" spans="1:4" x14ac:dyDescent="0.25">
      <c r="A756" s="279">
        <v>38995</v>
      </c>
      <c r="B756" s="309" t="s">
        <v>405</v>
      </c>
      <c r="C756" s="309" t="s">
        <v>91</v>
      </c>
      <c r="D756">
        <v>0</v>
      </c>
    </row>
    <row r="757" spans="1:4" x14ac:dyDescent="0.25">
      <c r="A757" s="279">
        <v>38995</v>
      </c>
      <c r="B757" s="309" t="s">
        <v>405</v>
      </c>
      <c r="C757" s="309" t="s">
        <v>118</v>
      </c>
      <c r="D757">
        <v>0</v>
      </c>
    </row>
    <row r="758" spans="1:4" x14ac:dyDescent="0.25">
      <c r="A758" s="279">
        <v>38995</v>
      </c>
      <c r="B758" s="309" t="s">
        <v>405</v>
      </c>
      <c r="C758" s="309" t="s">
        <v>407</v>
      </c>
      <c r="D758">
        <v>3021067.1</v>
      </c>
    </row>
    <row r="759" spans="1:4" x14ac:dyDescent="0.25">
      <c r="A759" s="279">
        <v>38995</v>
      </c>
      <c r="B759" s="309" t="s">
        <v>405</v>
      </c>
      <c r="C759" s="309" t="s">
        <v>408</v>
      </c>
      <c r="D759">
        <v>1007</v>
      </c>
    </row>
    <row r="760" spans="1:4" x14ac:dyDescent="0.25">
      <c r="A760" s="279">
        <v>38995</v>
      </c>
      <c r="B760" s="309" t="s">
        <v>405</v>
      </c>
      <c r="C760" s="309" t="s">
        <v>409</v>
      </c>
      <c r="D760">
        <v>1058</v>
      </c>
    </row>
    <row r="761" spans="1:4" x14ac:dyDescent="0.25">
      <c r="A761" s="279">
        <v>38995</v>
      </c>
      <c r="B761" s="309" t="s">
        <v>405</v>
      </c>
      <c r="C761" s="309" t="s">
        <v>410</v>
      </c>
      <c r="D761">
        <v>1031</v>
      </c>
    </row>
    <row r="762" spans="1:4" x14ac:dyDescent="0.25">
      <c r="A762" s="279">
        <v>38995</v>
      </c>
      <c r="B762" s="309" t="s">
        <v>411</v>
      </c>
      <c r="C762" s="309" t="s">
        <v>406</v>
      </c>
      <c r="D762">
        <v>197368</v>
      </c>
    </row>
    <row r="763" spans="1:4" x14ac:dyDescent="0.25">
      <c r="A763" s="279">
        <v>38995</v>
      </c>
      <c r="B763" s="309" t="s">
        <v>411</v>
      </c>
      <c r="C763" s="309" t="s">
        <v>198</v>
      </c>
      <c r="D763">
        <v>0</v>
      </c>
    </row>
    <row r="764" spans="1:4" x14ac:dyDescent="0.25">
      <c r="A764" s="279">
        <v>38995</v>
      </c>
      <c r="B764" s="309" t="s">
        <v>411</v>
      </c>
      <c r="C764" s="309" t="s">
        <v>199</v>
      </c>
      <c r="D764">
        <v>0</v>
      </c>
    </row>
    <row r="765" spans="1:4" x14ac:dyDescent="0.25">
      <c r="A765" s="279">
        <v>38995</v>
      </c>
      <c r="B765" s="309" t="s">
        <v>411</v>
      </c>
      <c r="C765" s="309" t="s">
        <v>90</v>
      </c>
      <c r="D765">
        <v>65</v>
      </c>
    </row>
    <row r="766" spans="1:4" x14ac:dyDescent="0.25">
      <c r="A766" s="279">
        <v>38995</v>
      </c>
      <c r="B766" s="309" t="s">
        <v>411</v>
      </c>
      <c r="C766" s="309" t="s">
        <v>24</v>
      </c>
      <c r="D766">
        <v>0</v>
      </c>
    </row>
    <row r="767" spans="1:4" x14ac:dyDescent="0.25">
      <c r="A767" s="279">
        <v>38995</v>
      </c>
      <c r="B767" s="309" t="s">
        <v>411</v>
      </c>
      <c r="C767" s="309" t="s">
        <v>91</v>
      </c>
      <c r="D767">
        <v>0</v>
      </c>
    </row>
    <row r="768" spans="1:4" x14ac:dyDescent="0.25">
      <c r="A768" s="279">
        <v>38995</v>
      </c>
      <c r="B768" s="309" t="s">
        <v>411</v>
      </c>
      <c r="C768" s="309" t="s">
        <v>118</v>
      </c>
      <c r="D768">
        <v>0</v>
      </c>
    </row>
    <row r="769" spans="1:4" x14ac:dyDescent="0.25">
      <c r="A769" s="279">
        <v>38995</v>
      </c>
      <c r="B769" s="309" t="s">
        <v>411</v>
      </c>
      <c r="C769" s="309" t="s">
        <v>407</v>
      </c>
      <c r="D769">
        <v>197303</v>
      </c>
    </row>
    <row r="770" spans="1:4" x14ac:dyDescent="0.25">
      <c r="A770" s="279">
        <v>38995</v>
      </c>
      <c r="B770" s="309" t="s">
        <v>411</v>
      </c>
      <c r="C770" s="309" t="s">
        <v>412</v>
      </c>
      <c r="D770">
        <v>1007</v>
      </c>
    </row>
    <row r="771" spans="1:4" x14ac:dyDescent="0.25">
      <c r="A771" s="279">
        <v>38995</v>
      </c>
      <c r="B771" s="309" t="s">
        <v>411</v>
      </c>
      <c r="C771" s="309" t="s">
        <v>409</v>
      </c>
      <c r="D771">
        <v>1076</v>
      </c>
    </row>
    <row r="772" spans="1:4" x14ac:dyDescent="0.25">
      <c r="A772" s="279">
        <v>38996</v>
      </c>
      <c r="B772" s="309" t="s">
        <v>405</v>
      </c>
      <c r="C772" s="309" t="s">
        <v>406</v>
      </c>
      <c r="D772">
        <v>3021067.1</v>
      </c>
    </row>
    <row r="773" spans="1:4" x14ac:dyDescent="0.25">
      <c r="A773" s="279">
        <v>38996</v>
      </c>
      <c r="B773" s="309" t="s">
        <v>405</v>
      </c>
      <c r="C773" s="309" t="s">
        <v>89</v>
      </c>
      <c r="D773">
        <v>20344</v>
      </c>
    </row>
    <row r="774" spans="1:4" x14ac:dyDescent="0.25">
      <c r="A774" s="279">
        <v>38996</v>
      </c>
      <c r="B774" s="309" t="s">
        <v>405</v>
      </c>
      <c r="C774" s="309" t="s">
        <v>198</v>
      </c>
      <c r="D774">
        <v>0</v>
      </c>
    </row>
    <row r="775" spans="1:4" x14ac:dyDescent="0.25">
      <c r="A775" s="279">
        <v>38996</v>
      </c>
      <c r="B775" s="309" t="s">
        <v>405</v>
      </c>
      <c r="C775" s="309" t="s">
        <v>199</v>
      </c>
      <c r="D775">
        <v>0</v>
      </c>
    </row>
    <row r="776" spans="1:4" x14ac:dyDescent="0.25">
      <c r="A776" s="279">
        <v>38996</v>
      </c>
      <c r="B776" s="309" t="s">
        <v>405</v>
      </c>
      <c r="C776" s="309" t="s">
        <v>90</v>
      </c>
      <c r="D776">
        <v>2720</v>
      </c>
    </row>
    <row r="777" spans="1:4" x14ac:dyDescent="0.25">
      <c r="A777" s="279">
        <v>38996</v>
      </c>
      <c r="B777" s="309" t="s">
        <v>405</v>
      </c>
      <c r="C777" s="309" t="s">
        <v>24</v>
      </c>
      <c r="D777">
        <v>0</v>
      </c>
    </row>
    <row r="778" spans="1:4" x14ac:dyDescent="0.25">
      <c r="A778" s="279">
        <v>38996</v>
      </c>
      <c r="B778" s="309" t="s">
        <v>405</v>
      </c>
      <c r="C778" s="309" t="s">
        <v>91</v>
      </c>
      <c r="D778">
        <v>0</v>
      </c>
    </row>
    <row r="779" spans="1:4" x14ac:dyDescent="0.25">
      <c r="A779" s="279">
        <v>38996</v>
      </c>
      <c r="B779" s="309" t="s">
        <v>405</v>
      </c>
      <c r="C779" s="309" t="s">
        <v>118</v>
      </c>
      <c r="D779">
        <v>0</v>
      </c>
    </row>
    <row r="780" spans="1:4" x14ac:dyDescent="0.25">
      <c r="A780" s="279">
        <v>38996</v>
      </c>
      <c r="B780" s="309" t="s">
        <v>405</v>
      </c>
      <c r="C780" s="309" t="s">
        <v>407</v>
      </c>
      <c r="D780">
        <v>3038691.1</v>
      </c>
    </row>
    <row r="781" spans="1:4" x14ac:dyDescent="0.25">
      <c r="A781" s="279">
        <v>38996</v>
      </c>
      <c r="B781" s="309" t="s">
        <v>405</v>
      </c>
      <c r="C781" s="309" t="s">
        <v>408</v>
      </c>
      <c r="D781">
        <v>1007</v>
      </c>
    </row>
    <row r="782" spans="1:4" x14ac:dyDescent="0.25">
      <c r="A782" s="279">
        <v>38996</v>
      </c>
      <c r="B782" s="309" t="s">
        <v>405</v>
      </c>
      <c r="C782" s="309" t="s">
        <v>409</v>
      </c>
      <c r="D782">
        <v>1058</v>
      </c>
    </row>
    <row r="783" spans="1:4" x14ac:dyDescent="0.25">
      <c r="A783" s="279">
        <v>38996</v>
      </c>
      <c r="B783" s="309" t="s">
        <v>405</v>
      </c>
      <c r="C783" s="309" t="s">
        <v>410</v>
      </c>
      <c r="D783">
        <v>1033</v>
      </c>
    </row>
    <row r="784" spans="1:4" x14ac:dyDescent="0.25">
      <c r="A784" s="279">
        <v>38996</v>
      </c>
      <c r="B784" s="309" t="s">
        <v>411</v>
      </c>
      <c r="C784" s="309" t="s">
        <v>406</v>
      </c>
      <c r="D784">
        <v>197303</v>
      </c>
    </row>
    <row r="785" spans="1:4" x14ac:dyDescent="0.25">
      <c r="A785" s="279">
        <v>38996</v>
      </c>
      <c r="B785" s="309" t="s">
        <v>411</v>
      </c>
      <c r="C785" s="309" t="s">
        <v>198</v>
      </c>
      <c r="D785">
        <v>0</v>
      </c>
    </row>
    <row r="786" spans="1:4" x14ac:dyDescent="0.25">
      <c r="A786" s="279">
        <v>38996</v>
      </c>
      <c r="B786" s="309" t="s">
        <v>411</v>
      </c>
      <c r="C786" s="309" t="s">
        <v>199</v>
      </c>
      <c r="D786">
        <v>0</v>
      </c>
    </row>
    <row r="787" spans="1:4" x14ac:dyDescent="0.25">
      <c r="A787" s="279">
        <v>38996</v>
      </c>
      <c r="B787" s="309" t="s">
        <v>411</v>
      </c>
      <c r="C787" s="309" t="s">
        <v>90</v>
      </c>
      <c r="D787">
        <v>51</v>
      </c>
    </row>
    <row r="788" spans="1:4" x14ac:dyDescent="0.25">
      <c r="A788" s="279">
        <v>38996</v>
      </c>
      <c r="B788" s="309" t="s">
        <v>411</v>
      </c>
      <c r="C788" s="309" t="s">
        <v>24</v>
      </c>
      <c r="D788">
        <v>0</v>
      </c>
    </row>
    <row r="789" spans="1:4" x14ac:dyDescent="0.25">
      <c r="A789" s="279">
        <v>38996</v>
      </c>
      <c r="B789" s="309" t="s">
        <v>411</v>
      </c>
      <c r="C789" s="309" t="s">
        <v>91</v>
      </c>
      <c r="D789">
        <v>0</v>
      </c>
    </row>
    <row r="790" spans="1:4" x14ac:dyDescent="0.25">
      <c r="A790" s="279">
        <v>38996</v>
      </c>
      <c r="B790" s="309" t="s">
        <v>411</v>
      </c>
      <c r="C790" s="309" t="s">
        <v>118</v>
      </c>
      <c r="D790">
        <v>0</v>
      </c>
    </row>
    <row r="791" spans="1:4" x14ac:dyDescent="0.25">
      <c r="A791" s="279">
        <v>38996</v>
      </c>
      <c r="B791" s="309" t="s">
        <v>411</v>
      </c>
      <c r="C791" s="309" t="s">
        <v>407</v>
      </c>
      <c r="D791">
        <v>197252</v>
      </c>
    </row>
    <row r="792" spans="1:4" x14ac:dyDescent="0.25">
      <c r="A792" s="279">
        <v>38996</v>
      </c>
      <c r="B792" s="309" t="s">
        <v>411</v>
      </c>
      <c r="C792" s="309" t="s">
        <v>412</v>
      </c>
      <c r="D792">
        <v>1007</v>
      </c>
    </row>
    <row r="793" spans="1:4" x14ac:dyDescent="0.25">
      <c r="A793" s="279">
        <v>38996</v>
      </c>
      <c r="B793" s="309" t="s">
        <v>411</v>
      </c>
      <c r="C793" s="309" t="s">
        <v>409</v>
      </c>
      <c r="D793">
        <v>1076</v>
      </c>
    </row>
    <row r="794" spans="1:4" x14ac:dyDescent="0.25">
      <c r="A794" s="279">
        <v>38997</v>
      </c>
      <c r="B794" s="309" t="s">
        <v>405</v>
      </c>
      <c r="C794" s="309" t="s">
        <v>406</v>
      </c>
      <c r="D794">
        <v>3038691.1</v>
      </c>
    </row>
    <row r="795" spans="1:4" x14ac:dyDescent="0.25">
      <c r="A795" s="279">
        <v>38997</v>
      </c>
      <c r="B795" s="309" t="s">
        <v>405</v>
      </c>
      <c r="C795" s="309" t="s">
        <v>89</v>
      </c>
      <c r="D795">
        <v>19225</v>
      </c>
    </row>
    <row r="796" spans="1:4" x14ac:dyDescent="0.25">
      <c r="A796" s="279">
        <v>38997</v>
      </c>
      <c r="B796" s="309" t="s">
        <v>405</v>
      </c>
      <c r="C796" s="309" t="s">
        <v>198</v>
      </c>
      <c r="D796">
        <v>0</v>
      </c>
    </row>
    <row r="797" spans="1:4" x14ac:dyDescent="0.25">
      <c r="A797" s="279">
        <v>38997</v>
      </c>
      <c r="B797" s="309" t="s">
        <v>405</v>
      </c>
      <c r="C797" s="309" t="s">
        <v>199</v>
      </c>
      <c r="D797">
        <v>0</v>
      </c>
    </row>
    <row r="798" spans="1:4" x14ac:dyDescent="0.25">
      <c r="A798" s="279">
        <v>38997</v>
      </c>
      <c r="B798" s="309" t="s">
        <v>405</v>
      </c>
      <c r="C798" s="309" t="s">
        <v>90</v>
      </c>
      <c r="D798">
        <v>2669</v>
      </c>
    </row>
    <row r="799" spans="1:4" x14ac:dyDescent="0.25">
      <c r="A799" s="279">
        <v>38997</v>
      </c>
      <c r="B799" s="309" t="s">
        <v>405</v>
      </c>
      <c r="C799" s="309" t="s">
        <v>24</v>
      </c>
      <c r="D799">
        <v>0</v>
      </c>
    </row>
    <row r="800" spans="1:4" x14ac:dyDescent="0.25">
      <c r="A800" s="279">
        <v>38997</v>
      </c>
      <c r="B800" s="309" t="s">
        <v>405</v>
      </c>
      <c r="C800" s="309" t="s">
        <v>91</v>
      </c>
      <c r="D800">
        <v>0</v>
      </c>
    </row>
    <row r="801" spans="1:4" x14ac:dyDescent="0.25">
      <c r="A801" s="279">
        <v>38997</v>
      </c>
      <c r="B801" s="309" t="s">
        <v>405</v>
      </c>
      <c r="C801" s="309" t="s">
        <v>118</v>
      </c>
      <c r="D801">
        <v>0</v>
      </c>
    </row>
    <row r="802" spans="1:4" x14ac:dyDescent="0.25">
      <c r="A802" s="279">
        <v>38997</v>
      </c>
      <c r="B802" s="309" t="s">
        <v>405</v>
      </c>
      <c r="C802" s="309" t="s">
        <v>407</v>
      </c>
      <c r="D802">
        <v>3055247.1</v>
      </c>
    </row>
    <row r="803" spans="1:4" x14ac:dyDescent="0.25">
      <c r="A803" s="279">
        <v>38997</v>
      </c>
      <c r="B803" s="309" t="s">
        <v>405</v>
      </c>
      <c r="C803" s="309" t="s">
        <v>408</v>
      </c>
      <c r="D803">
        <v>1007</v>
      </c>
    </row>
    <row r="804" spans="1:4" x14ac:dyDescent="0.25">
      <c r="A804" s="279">
        <v>38997</v>
      </c>
      <c r="B804" s="309" t="s">
        <v>405</v>
      </c>
      <c r="C804" s="309" t="s">
        <v>409</v>
      </c>
      <c r="D804">
        <v>1058</v>
      </c>
    </row>
    <row r="805" spans="1:4" x14ac:dyDescent="0.25">
      <c r="A805" s="279">
        <v>38997</v>
      </c>
      <c r="B805" s="309" t="s">
        <v>405</v>
      </c>
      <c r="C805" s="309" t="s">
        <v>410</v>
      </c>
      <c r="D805">
        <v>1033</v>
      </c>
    </row>
    <row r="806" spans="1:4" x14ac:dyDescent="0.25">
      <c r="A806" s="279">
        <v>38997</v>
      </c>
      <c r="B806" s="309" t="s">
        <v>411</v>
      </c>
      <c r="C806" s="309" t="s">
        <v>406</v>
      </c>
      <c r="D806">
        <v>197252</v>
      </c>
    </row>
    <row r="807" spans="1:4" x14ac:dyDescent="0.25">
      <c r="A807" s="279">
        <v>38997</v>
      </c>
      <c r="B807" s="309" t="s">
        <v>411</v>
      </c>
      <c r="C807" s="309" t="s">
        <v>198</v>
      </c>
      <c r="D807">
        <v>0</v>
      </c>
    </row>
    <row r="808" spans="1:4" x14ac:dyDescent="0.25">
      <c r="A808" s="279">
        <v>38997</v>
      </c>
      <c r="B808" s="309" t="s">
        <v>411</v>
      </c>
      <c r="C808" s="309" t="s">
        <v>199</v>
      </c>
      <c r="D808">
        <v>0</v>
      </c>
    </row>
    <row r="809" spans="1:4" x14ac:dyDescent="0.25">
      <c r="A809" s="279">
        <v>38997</v>
      </c>
      <c r="B809" s="309" t="s">
        <v>411</v>
      </c>
      <c r="C809" s="309" t="s">
        <v>90</v>
      </c>
      <c r="D809">
        <v>50</v>
      </c>
    </row>
    <row r="810" spans="1:4" x14ac:dyDescent="0.25">
      <c r="A810" s="279">
        <v>38997</v>
      </c>
      <c r="B810" s="309" t="s">
        <v>411</v>
      </c>
      <c r="C810" s="309" t="s">
        <v>24</v>
      </c>
      <c r="D810">
        <v>0</v>
      </c>
    </row>
    <row r="811" spans="1:4" x14ac:dyDescent="0.25">
      <c r="A811" s="279">
        <v>38997</v>
      </c>
      <c r="B811" s="309" t="s">
        <v>411</v>
      </c>
      <c r="C811" s="309" t="s">
        <v>91</v>
      </c>
      <c r="D811">
        <v>0</v>
      </c>
    </row>
    <row r="812" spans="1:4" x14ac:dyDescent="0.25">
      <c r="A812" s="279">
        <v>38997</v>
      </c>
      <c r="B812" s="309" t="s">
        <v>411</v>
      </c>
      <c r="C812" s="309" t="s">
        <v>118</v>
      </c>
      <c r="D812">
        <v>0</v>
      </c>
    </row>
    <row r="813" spans="1:4" x14ac:dyDescent="0.25">
      <c r="A813" s="279">
        <v>38997</v>
      </c>
      <c r="B813" s="309" t="s">
        <v>411</v>
      </c>
      <c r="C813" s="309" t="s">
        <v>407</v>
      </c>
      <c r="D813">
        <v>197202</v>
      </c>
    </row>
    <row r="814" spans="1:4" x14ac:dyDescent="0.25">
      <c r="A814" s="279">
        <v>38997</v>
      </c>
      <c r="B814" s="309" t="s">
        <v>411</v>
      </c>
      <c r="C814" s="309" t="s">
        <v>412</v>
      </c>
      <c r="D814">
        <v>1007</v>
      </c>
    </row>
    <row r="815" spans="1:4" x14ac:dyDescent="0.25">
      <c r="A815" s="279">
        <v>38997</v>
      </c>
      <c r="B815" s="309" t="s">
        <v>411</v>
      </c>
      <c r="C815" s="309" t="s">
        <v>409</v>
      </c>
      <c r="D815">
        <v>1076</v>
      </c>
    </row>
    <row r="816" spans="1:4" x14ac:dyDescent="0.25">
      <c r="A816" s="279">
        <v>38998</v>
      </c>
      <c r="B816" s="309" t="s">
        <v>405</v>
      </c>
      <c r="C816" s="309" t="s">
        <v>406</v>
      </c>
      <c r="D816">
        <v>3055247.1</v>
      </c>
    </row>
    <row r="817" spans="1:4" x14ac:dyDescent="0.25">
      <c r="A817" s="279">
        <v>38998</v>
      </c>
      <c r="B817" s="309" t="s">
        <v>405</v>
      </c>
      <c r="C817" s="309" t="s">
        <v>89</v>
      </c>
      <c r="D817">
        <v>15857</v>
      </c>
    </row>
    <row r="818" spans="1:4" x14ac:dyDescent="0.25">
      <c r="A818" s="279">
        <v>38998</v>
      </c>
      <c r="B818" s="309" t="s">
        <v>405</v>
      </c>
      <c r="C818" s="309" t="s">
        <v>198</v>
      </c>
      <c r="D818">
        <v>0</v>
      </c>
    </row>
    <row r="819" spans="1:4" x14ac:dyDescent="0.25">
      <c r="A819" s="279">
        <v>38998</v>
      </c>
      <c r="B819" s="309" t="s">
        <v>405</v>
      </c>
      <c r="C819" s="309" t="s">
        <v>199</v>
      </c>
      <c r="D819">
        <v>0</v>
      </c>
    </row>
    <row r="820" spans="1:4" x14ac:dyDescent="0.25">
      <c r="A820" s="279">
        <v>38998</v>
      </c>
      <c r="B820" s="309" t="s">
        <v>405</v>
      </c>
      <c r="C820" s="309" t="s">
        <v>90</v>
      </c>
      <c r="D820">
        <v>2505</v>
      </c>
    </row>
    <row r="821" spans="1:4" x14ac:dyDescent="0.25">
      <c r="A821" s="279">
        <v>38998</v>
      </c>
      <c r="B821" s="309" t="s">
        <v>405</v>
      </c>
      <c r="C821" s="309" t="s">
        <v>24</v>
      </c>
      <c r="D821">
        <v>0</v>
      </c>
    </row>
    <row r="822" spans="1:4" x14ac:dyDescent="0.25">
      <c r="A822" s="279">
        <v>38998</v>
      </c>
      <c r="B822" s="309" t="s">
        <v>405</v>
      </c>
      <c r="C822" s="309" t="s">
        <v>91</v>
      </c>
      <c r="D822">
        <v>0</v>
      </c>
    </row>
    <row r="823" spans="1:4" x14ac:dyDescent="0.25">
      <c r="A823" s="279">
        <v>38998</v>
      </c>
      <c r="B823" s="309" t="s">
        <v>405</v>
      </c>
      <c r="C823" s="309" t="s">
        <v>118</v>
      </c>
      <c r="D823">
        <v>0</v>
      </c>
    </row>
    <row r="824" spans="1:4" x14ac:dyDescent="0.25">
      <c r="A824" s="279">
        <v>38998</v>
      </c>
      <c r="B824" s="309" t="s">
        <v>405</v>
      </c>
      <c r="C824" s="309" t="s">
        <v>407</v>
      </c>
      <c r="D824">
        <v>3068599.1</v>
      </c>
    </row>
    <row r="825" spans="1:4" x14ac:dyDescent="0.25">
      <c r="A825" s="279">
        <v>38998</v>
      </c>
      <c r="B825" s="309" t="s">
        <v>405</v>
      </c>
      <c r="C825" s="309" t="s">
        <v>408</v>
      </c>
      <c r="D825">
        <v>1007</v>
      </c>
    </row>
    <row r="826" spans="1:4" x14ac:dyDescent="0.25">
      <c r="A826" s="279">
        <v>38998</v>
      </c>
      <c r="B826" s="309" t="s">
        <v>405</v>
      </c>
      <c r="C826" s="309" t="s">
        <v>409</v>
      </c>
      <c r="D826">
        <v>1058</v>
      </c>
    </row>
    <row r="827" spans="1:4" x14ac:dyDescent="0.25">
      <c r="A827" s="279">
        <v>38998</v>
      </c>
      <c r="B827" s="309" t="s">
        <v>405</v>
      </c>
      <c r="C827" s="309" t="s">
        <v>410</v>
      </c>
      <c r="D827">
        <v>1035</v>
      </c>
    </row>
    <row r="828" spans="1:4" x14ac:dyDescent="0.25">
      <c r="A828" s="279">
        <v>38998</v>
      </c>
      <c r="B828" s="309" t="s">
        <v>411</v>
      </c>
      <c r="C828" s="309" t="s">
        <v>406</v>
      </c>
      <c r="D828">
        <v>197202</v>
      </c>
    </row>
    <row r="829" spans="1:4" x14ac:dyDescent="0.25">
      <c r="A829" s="279">
        <v>38998</v>
      </c>
      <c r="B829" s="309" t="s">
        <v>411</v>
      </c>
      <c r="C829" s="309" t="s">
        <v>198</v>
      </c>
      <c r="D829">
        <v>0</v>
      </c>
    </row>
    <row r="830" spans="1:4" x14ac:dyDescent="0.25">
      <c r="A830" s="279">
        <v>38998</v>
      </c>
      <c r="B830" s="309" t="s">
        <v>411</v>
      </c>
      <c r="C830" s="309" t="s">
        <v>199</v>
      </c>
      <c r="D830">
        <v>0</v>
      </c>
    </row>
    <row r="831" spans="1:4" x14ac:dyDescent="0.25">
      <c r="A831" s="279">
        <v>38998</v>
      </c>
      <c r="B831" s="309" t="s">
        <v>411</v>
      </c>
      <c r="C831" s="309" t="s">
        <v>90</v>
      </c>
      <c r="D831">
        <v>50</v>
      </c>
    </row>
    <row r="832" spans="1:4" x14ac:dyDescent="0.25">
      <c r="A832" s="279">
        <v>38998</v>
      </c>
      <c r="B832" s="309" t="s">
        <v>411</v>
      </c>
      <c r="C832" s="309" t="s">
        <v>24</v>
      </c>
      <c r="D832">
        <v>0</v>
      </c>
    </row>
    <row r="833" spans="1:4" x14ac:dyDescent="0.25">
      <c r="A833" s="279">
        <v>38998</v>
      </c>
      <c r="B833" s="309" t="s">
        <v>411</v>
      </c>
      <c r="C833" s="309" t="s">
        <v>91</v>
      </c>
      <c r="D833">
        <v>0</v>
      </c>
    </row>
    <row r="834" spans="1:4" x14ac:dyDescent="0.25">
      <c r="A834" s="279">
        <v>38998</v>
      </c>
      <c r="B834" s="309" t="s">
        <v>411</v>
      </c>
      <c r="C834" s="309" t="s">
        <v>118</v>
      </c>
      <c r="D834">
        <v>0</v>
      </c>
    </row>
    <row r="835" spans="1:4" x14ac:dyDescent="0.25">
      <c r="A835" s="279">
        <v>38998</v>
      </c>
      <c r="B835" s="309" t="s">
        <v>411</v>
      </c>
      <c r="C835" s="309" t="s">
        <v>407</v>
      </c>
      <c r="D835">
        <v>197152</v>
      </c>
    </row>
    <row r="836" spans="1:4" x14ac:dyDescent="0.25">
      <c r="A836" s="279">
        <v>38998</v>
      </c>
      <c r="B836" s="309" t="s">
        <v>411</v>
      </c>
      <c r="C836" s="309" t="s">
        <v>412</v>
      </c>
      <c r="D836">
        <v>1007</v>
      </c>
    </row>
    <row r="837" spans="1:4" x14ac:dyDescent="0.25">
      <c r="A837" s="279">
        <v>38998</v>
      </c>
      <c r="B837" s="309" t="s">
        <v>411</v>
      </c>
      <c r="C837" s="309" t="s">
        <v>409</v>
      </c>
      <c r="D837">
        <v>1076</v>
      </c>
    </row>
    <row r="838" spans="1:4" x14ac:dyDescent="0.25">
      <c r="A838" s="279">
        <v>38999</v>
      </c>
      <c r="B838" s="309" t="s">
        <v>405</v>
      </c>
      <c r="C838" s="309" t="s">
        <v>406</v>
      </c>
      <c r="D838">
        <v>3068599.1</v>
      </c>
    </row>
    <row r="839" spans="1:4" x14ac:dyDescent="0.25">
      <c r="A839" s="279">
        <v>38999</v>
      </c>
      <c r="B839" s="309" t="s">
        <v>405</v>
      </c>
      <c r="C839" s="309" t="s">
        <v>89</v>
      </c>
      <c r="D839">
        <v>13892</v>
      </c>
    </row>
    <row r="840" spans="1:4" x14ac:dyDescent="0.25">
      <c r="A840" s="279">
        <v>38999</v>
      </c>
      <c r="B840" s="309" t="s">
        <v>405</v>
      </c>
      <c r="C840" s="309" t="s">
        <v>198</v>
      </c>
      <c r="D840">
        <v>0</v>
      </c>
    </row>
    <row r="841" spans="1:4" x14ac:dyDescent="0.25">
      <c r="A841" s="279">
        <v>38999</v>
      </c>
      <c r="B841" s="309" t="s">
        <v>405</v>
      </c>
      <c r="C841" s="309" t="s">
        <v>199</v>
      </c>
      <c r="D841">
        <v>0</v>
      </c>
    </row>
    <row r="842" spans="1:4" x14ac:dyDescent="0.25">
      <c r="A842" s="279">
        <v>38999</v>
      </c>
      <c r="B842" s="309" t="s">
        <v>405</v>
      </c>
      <c r="C842" s="309" t="s">
        <v>90</v>
      </c>
      <c r="D842">
        <v>2410</v>
      </c>
    </row>
    <row r="843" spans="1:4" x14ac:dyDescent="0.25">
      <c r="A843" s="279">
        <v>38999</v>
      </c>
      <c r="B843" s="309" t="s">
        <v>405</v>
      </c>
      <c r="C843" s="309" t="s">
        <v>24</v>
      </c>
      <c r="D843">
        <v>0</v>
      </c>
    </row>
    <row r="844" spans="1:4" x14ac:dyDescent="0.25">
      <c r="A844" s="279">
        <v>38999</v>
      </c>
      <c r="B844" s="309" t="s">
        <v>405</v>
      </c>
      <c r="C844" s="309" t="s">
        <v>91</v>
      </c>
      <c r="D844">
        <v>0</v>
      </c>
    </row>
    <row r="845" spans="1:4" x14ac:dyDescent="0.25">
      <c r="A845" s="279">
        <v>38999</v>
      </c>
      <c r="B845" s="309" t="s">
        <v>405</v>
      </c>
      <c r="C845" s="309" t="s">
        <v>118</v>
      </c>
      <c r="D845">
        <v>0</v>
      </c>
    </row>
    <row r="846" spans="1:4" x14ac:dyDescent="0.25">
      <c r="A846" s="279">
        <v>38999</v>
      </c>
      <c r="B846" s="309" t="s">
        <v>405</v>
      </c>
      <c r="C846" s="309" t="s">
        <v>407</v>
      </c>
      <c r="D846">
        <v>3080081.1</v>
      </c>
    </row>
    <row r="847" spans="1:4" x14ac:dyDescent="0.25">
      <c r="A847" s="279">
        <v>38999</v>
      </c>
      <c r="B847" s="309" t="s">
        <v>405</v>
      </c>
      <c r="C847" s="309" t="s">
        <v>408</v>
      </c>
      <c r="D847">
        <v>1007</v>
      </c>
    </row>
    <row r="848" spans="1:4" x14ac:dyDescent="0.25">
      <c r="A848" s="279">
        <v>38999</v>
      </c>
      <c r="B848" s="309" t="s">
        <v>405</v>
      </c>
      <c r="C848" s="309" t="s">
        <v>409</v>
      </c>
      <c r="D848">
        <v>1058</v>
      </c>
    </row>
    <row r="849" spans="1:4" x14ac:dyDescent="0.25">
      <c r="A849" s="279">
        <v>38999</v>
      </c>
      <c r="B849" s="309" t="s">
        <v>405</v>
      </c>
      <c r="C849" s="309" t="s">
        <v>410</v>
      </c>
      <c r="D849">
        <v>1035</v>
      </c>
    </row>
    <row r="850" spans="1:4" x14ac:dyDescent="0.25">
      <c r="A850" s="279">
        <v>38999</v>
      </c>
      <c r="B850" s="309" t="s">
        <v>411</v>
      </c>
      <c r="C850" s="309" t="s">
        <v>406</v>
      </c>
      <c r="D850">
        <v>197152</v>
      </c>
    </row>
    <row r="851" spans="1:4" x14ac:dyDescent="0.25">
      <c r="A851" s="279">
        <v>38999</v>
      </c>
      <c r="B851" s="309" t="s">
        <v>411</v>
      </c>
      <c r="C851" s="309" t="s">
        <v>198</v>
      </c>
      <c r="D851">
        <v>0</v>
      </c>
    </row>
    <row r="852" spans="1:4" x14ac:dyDescent="0.25">
      <c r="A852" s="279">
        <v>38999</v>
      </c>
      <c r="B852" s="309" t="s">
        <v>411</v>
      </c>
      <c r="C852" s="309" t="s">
        <v>199</v>
      </c>
      <c r="D852">
        <v>0</v>
      </c>
    </row>
    <row r="853" spans="1:4" x14ac:dyDescent="0.25">
      <c r="A853" s="279">
        <v>38999</v>
      </c>
      <c r="B853" s="309" t="s">
        <v>411</v>
      </c>
      <c r="C853" s="309" t="s">
        <v>90</v>
      </c>
      <c r="D853">
        <v>280</v>
      </c>
    </row>
    <row r="854" spans="1:4" x14ac:dyDescent="0.25">
      <c r="A854" s="279">
        <v>38999</v>
      </c>
      <c r="B854" s="309" t="s">
        <v>411</v>
      </c>
      <c r="C854" s="309" t="s">
        <v>24</v>
      </c>
      <c r="D854">
        <v>0</v>
      </c>
    </row>
    <row r="855" spans="1:4" x14ac:dyDescent="0.25">
      <c r="A855" s="279">
        <v>38999</v>
      </c>
      <c r="B855" s="309" t="s">
        <v>411</v>
      </c>
      <c r="C855" s="309" t="s">
        <v>91</v>
      </c>
      <c r="D855">
        <v>0</v>
      </c>
    </row>
    <row r="856" spans="1:4" x14ac:dyDescent="0.25">
      <c r="A856" s="279">
        <v>38999</v>
      </c>
      <c r="B856" s="309" t="s">
        <v>411</v>
      </c>
      <c r="C856" s="309" t="s">
        <v>118</v>
      </c>
      <c r="D856">
        <v>0</v>
      </c>
    </row>
    <row r="857" spans="1:4" x14ac:dyDescent="0.25">
      <c r="A857" s="279">
        <v>38999</v>
      </c>
      <c r="B857" s="309" t="s">
        <v>411</v>
      </c>
      <c r="C857" s="309" t="s">
        <v>407</v>
      </c>
      <c r="D857">
        <v>196872</v>
      </c>
    </row>
    <row r="858" spans="1:4" x14ac:dyDescent="0.25">
      <c r="A858" s="279">
        <v>38999</v>
      </c>
      <c r="B858" s="309" t="s">
        <v>411</v>
      </c>
      <c r="C858" s="309" t="s">
        <v>412</v>
      </c>
      <c r="D858">
        <v>1007</v>
      </c>
    </row>
    <row r="859" spans="1:4" x14ac:dyDescent="0.25">
      <c r="A859" s="279">
        <v>38999</v>
      </c>
      <c r="B859" s="309" t="s">
        <v>411</v>
      </c>
      <c r="C859" s="309" t="s">
        <v>409</v>
      </c>
      <c r="D859">
        <v>1076</v>
      </c>
    </row>
    <row r="860" spans="1:4" x14ac:dyDescent="0.25">
      <c r="A860" s="279">
        <v>39000</v>
      </c>
      <c r="B860" s="309" t="s">
        <v>405</v>
      </c>
      <c r="C860" s="309" t="s">
        <v>406</v>
      </c>
      <c r="D860">
        <v>3080081.1</v>
      </c>
    </row>
    <row r="861" spans="1:4" x14ac:dyDescent="0.25">
      <c r="A861" s="279">
        <v>39000</v>
      </c>
      <c r="B861" s="309" t="s">
        <v>405</v>
      </c>
      <c r="C861" s="309" t="s">
        <v>89</v>
      </c>
      <c r="D861">
        <v>9397</v>
      </c>
    </row>
    <row r="862" spans="1:4" x14ac:dyDescent="0.25">
      <c r="A862" s="279">
        <v>39000</v>
      </c>
      <c r="B862" s="309" t="s">
        <v>405</v>
      </c>
      <c r="C862" s="309" t="s">
        <v>198</v>
      </c>
      <c r="D862">
        <v>0</v>
      </c>
    </row>
    <row r="863" spans="1:4" x14ac:dyDescent="0.25">
      <c r="A863" s="279">
        <v>39000</v>
      </c>
      <c r="B863" s="309" t="s">
        <v>405</v>
      </c>
      <c r="C863" s="309" t="s">
        <v>199</v>
      </c>
      <c r="D863">
        <v>0</v>
      </c>
    </row>
    <row r="864" spans="1:4" x14ac:dyDescent="0.25">
      <c r="A864" s="279">
        <v>39000</v>
      </c>
      <c r="B864" s="309" t="s">
        <v>405</v>
      </c>
      <c r="C864" s="309" t="s">
        <v>90</v>
      </c>
      <c r="D864">
        <v>2188</v>
      </c>
    </row>
    <row r="865" spans="1:4" x14ac:dyDescent="0.25">
      <c r="A865" s="279">
        <v>39000</v>
      </c>
      <c r="B865" s="309" t="s">
        <v>405</v>
      </c>
      <c r="C865" s="309" t="s">
        <v>24</v>
      </c>
      <c r="D865">
        <v>0</v>
      </c>
    </row>
    <row r="866" spans="1:4" x14ac:dyDescent="0.25">
      <c r="A866" s="279">
        <v>39000</v>
      </c>
      <c r="B866" s="309" t="s">
        <v>405</v>
      </c>
      <c r="C866" s="309" t="s">
        <v>91</v>
      </c>
      <c r="D866">
        <v>0</v>
      </c>
    </row>
    <row r="867" spans="1:4" x14ac:dyDescent="0.25">
      <c r="A867" s="279">
        <v>39000</v>
      </c>
      <c r="B867" s="309" t="s">
        <v>405</v>
      </c>
      <c r="C867" s="309" t="s">
        <v>118</v>
      </c>
      <c r="D867">
        <v>0</v>
      </c>
    </row>
    <row r="868" spans="1:4" x14ac:dyDescent="0.25">
      <c r="A868" s="279">
        <v>39000</v>
      </c>
      <c r="B868" s="309" t="s">
        <v>405</v>
      </c>
      <c r="C868" s="309" t="s">
        <v>407</v>
      </c>
      <c r="D868">
        <v>3087290.1</v>
      </c>
    </row>
    <row r="869" spans="1:4" x14ac:dyDescent="0.25">
      <c r="A869" s="279">
        <v>39000</v>
      </c>
      <c r="B869" s="309" t="s">
        <v>405</v>
      </c>
      <c r="C869" s="309" t="s">
        <v>408</v>
      </c>
      <c r="D869">
        <v>1007</v>
      </c>
    </row>
    <row r="870" spans="1:4" x14ac:dyDescent="0.25">
      <c r="A870" s="279">
        <v>39000</v>
      </c>
      <c r="B870" s="309" t="s">
        <v>405</v>
      </c>
      <c r="C870" s="309" t="s">
        <v>409</v>
      </c>
      <c r="D870">
        <v>1058</v>
      </c>
    </row>
    <row r="871" spans="1:4" x14ac:dyDescent="0.25">
      <c r="A871" s="279">
        <v>39000</v>
      </c>
      <c r="B871" s="309" t="s">
        <v>405</v>
      </c>
      <c r="C871" s="309" t="s">
        <v>410</v>
      </c>
      <c r="D871">
        <v>1034</v>
      </c>
    </row>
    <row r="872" spans="1:4" x14ac:dyDescent="0.25">
      <c r="A872" s="279">
        <v>39000</v>
      </c>
      <c r="B872" s="309" t="s">
        <v>411</v>
      </c>
      <c r="C872" s="309" t="s">
        <v>406</v>
      </c>
      <c r="D872">
        <v>196872</v>
      </c>
    </row>
    <row r="873" spans="1:4" x14ac:dyDescent="0.25">
      <c r="A873" s="279">
        <v>39000</v>
      </c>
      <c r="B873" s="309" t="s">
        <v>411</v>
      </c>
      <c r="C873" s="309" t="s">
        <v>198</v>
      </c>
      <c r="D873">
        <v>0</v>
      </c>
    </row>
    <row r="874" spans="1:4" x14ac:dyDescent="0.25">
      <c r="A874" s="279">
        <v>39000</v>
      </c>
      <c r="B874" s="309" t="s">
        <v>411</v>
      </c>
      <c r="C874" s="309" t="s">
        <v>199</v>
      </c>
      <c r="D874">
        <v>0</v>
      </c>
    </row>
    <row r="875" spans="1:4" x14ac:dyDescent="0.25">
      <c r="A875" s="279">
        <v>39000</v>
      </c>
      <c r="B875" s="309" t="s">
        <v>411</v>
      </c>
      <c r="C875" s="309" t="s">
        <v>90</v>
      </c>
      <c r="D875">
        <v>276</v>
      </c>
    </row>
    <row r="876" spans="1:4" x14ac:dyDescent="0.25">
      <c r="A876" s="279">
        <v>39000</v>
      </c>
      <c r="B876" s="309" t="s">
        <v>411</v>
      </c>
      <c r="C876" s="309" t="s">
        <v>24</v>
      </c>
      <c r="D876">
        <v>0</v>
      </c>
    </row>
    <row r="877" spans="1:4" x14ac:dyDescent="0.25">
      <c r="A877" s="279">
        <v>39000</v>
      </c>
      <c r="B877" s="309" t="s">
        <v>411</v>
      </c>
      <c r="C877" s="309" t="s">
        <v>91</v>
      </c>
      <c r="D877">
        <v>0</v>
      </c>
    </row>
    <row r="878" spans="1:4" x14ac:dyDescent="0.25">
      <c r="A878" s="279">
        <v>39000</v>
      </c>
      <c r="B878" s="309" t="s">
        <v>411</v>
      </c>
      <c r="C878" s="309" t="s">
        <v>118</v>
      </c>
      <c r="D878">
        <v>0</v>
      </c>
    </row>
    <row r="879" spans="1:4" x14ac:dyDescent="0.25">
      <c r="A879" s="279">
        <v>39000</v>
      </c>
      <c r="B879" s="309" t="s">
        <v>411</v>
      </c>
      <c r="C879" s="309" t="s">
        <v>407</v>
      </c>
      <c r="D879">
        <v>196596</v>
      </c>
    </row>
    <row r="880" spans="1:4" x14ac:dyDescent="0.25">
      <c r="A880" s="279">
        <v>39000</v>
      </c>
      <c r="B880" s="309" t="s">
        <v>411</v>
      </c>
      <c r="C880" s="309" t="s">
        <v>412</v>
      </c>
      <c r="D880">
        <v>1007</v>
      </c>
    </row>
    <row r="881" spans="1:4" x14ac:dyDescent="0.25">
      <c r="A881" s="279">
        <v>39000</v>
      </c>
      <c r="B881" s="309" t="s">
        <v>411</v>
      </c>
      <c r="C881" s="309" t="s">
        <v>409</v>
      </c>
      <c r="D881">
        <v>1076</v>
      </c>
    </row>
    <row r="882" spans="1:4" x14ac:dyDescent="0.25">
      <c r="A882" s="279">
        <v>39001</v>
      </c>
      <c r="B882" s="309" t="s">
        <v>405</v>
      </c>
      <c r="C882" s="309" t="s">
        <v>406</v>
      </c>
      <c r="D882">
        <v>3087290.1</v>
      </c>
    </row>
    <row r="883" spans="1:4" x14ac:dyDescent="0.25">
      <c r="A883" s="279">
        <v>39001</v>
      </c>
      <c r="B883" s="309" t="s">
        <v>405</v>
      </c>
      <c r="C883" s="309" t="s">
        <v>89</v>
      </c>
      <c r="D883">
        <v>13337</v>
      </c>
    </row>
    <row r="884" spans="1:4" x14ac:dyDescent="0.25">
      <c r="A884" s="279">
        <v>39001</v>
      </c>
      <c r="B884" s="309" t="s">
        <v>405</v>
      </c>
      <c r="C884" s="309" t="s">
        <v>198</v>
      </c>
      <c r="D884">
        <v>0</v>
      </c>
    </row>
    <row r="885" spans="1:4" x14ac:dyDescent="0.25">
      <c r="A885" s="279">
        <v>39001</v>
      </c>
      <c r="B885" s="309" t="s">
        <v>405</v>
      </c>
      <c r="C885" s="309" t="s">
        <v>199</v>
      </c>
      <c r="D885">
        <v>0</v>
      </c>
    </row>
    <row r="886" spans="1:4" x14ac:dyDescent="0.25">
      <c r="A886" s="279">
        <v>39001</v>
      </c>
      <c r="B886" s="309" t="s">
        <v>405</v>
      </c>
      <c r="C886" s="309" t="s">
        <v>90</v>
      </c>
      <c r="D886">
        <v>2388</v>
      </c>
    </row>
    <row r="887" spans="1:4" x14ac:dyDescent="0.25">
      <c r="A887" s="279">
        <v>39001</v>
      </c>
      <c r="B887" s="309" t="s">
        <v>405</v>
      </c>
      <c r="C887" s="309" t="s">
        <v>24</v>
      </c>
      <c r="D887">
        <v>0</v>
      </c>
    </row>
    <row r="888" spans="1:4" x14ac:dyDescent="0.25">
      <c r="A888" s="279">
        <v>39001</v>
      </c>
      <c r="B888" s="309" t="s">
        <v>405</v>
      </c>
      <c r="C888" s="309" t="s">
        <v>91</v>
      </c>
      <c r="D888">
        <v>0</v>
      </c>
    </row>
    <row r="889" spans="1:4" x14ac:dyDescent="0.25">
      <c r="A889" s="279">
        <v>39001</v>
      </c>
      <c r="B889" s="309" t="s">
        <v>405</v>
      </c>
      <c r="C889" s="309" t="s">
        <v>118</v>
      </c>
      <c r="D889">
        <v>0</v>
      </c>
    </row>
    <row r="890" spans="1:4" x14ac:dyDescent="0.25">
      <c r="A890" s="279">
        <v>39001</v>
      </c>
      <c r="B890" s="309" t="s">
        <v>405</v>
      </c>
      <c r="C890" s="309" t="s">
        <v>407</v>
      </c>
      <c r="D890">
        <v>3098239.1</v>
      </c>
    </row>
    <row r="891" spans="1:4" x14ac:dyDescent="0.25">
      <c r="A891" s="279">
        <v>39001</v>
      </c>
      <c r="B891" s="309" t="s">
        <v>405</v>
      </c>
      <c r="C891" s="309" t="s">
        <v>408</v>
      </c>
      <c r="D891">
        <v>1007</v>
      </c>
    </row>
    <row r="892" spans="1:4" x14ac:dyDescent="0.25">
      <c r="A892" s="279">
        <v>39001</v>
      </c>
      <c r="B892" s="309" t="s">
        <v>405</v>
      </c>
      <c r="C892" s="309" t="s">
        <v>409</v>
      </c>
      <c r="D892">
        <v>1058</v>
      </c>
    </row>
    <row r="893" spans="1:4" x14ac:dyDescent="0.25">
      <c r="A893" s="279">
        <v>39001</v>
      </c>
      <c r="B893" s="309" t="s">
        <v>405</v>
      </c>
      <c r="C893" s="309" t="s">
        <v>410</v>
      </c>
      <c r="D893">
        <v>1035</v>
      </c>
    </row>
    <row r="894" spans="1:4" x14ac:dyDescent="0.25">
      <c r="A894" s="279">
        <v>39001</v>
      </c>
      <c r="B894" s="309" t="s">
        <v>411</v>
      </c>
      <c r="C894" s="309" t="s">
        <v>406</v>
      </c>
      <c r="D894">
        <v>196596</v>
      </c>
    </row>
    <row r="895" spans="1:4" x14ac:dyDescent="0.25">
      <c r="A895" s="279">
        <v>39001</v>
      </c>
      <c r="B895" s="309" t="s">
        <v>411</v>
      </c>
      <c r="C895" s="309" t="s">
        <v>198</v>
      </c>
      <c r="D895">
        <v>0</v>
      </c>
    </row>
    <row r="896" spans="1:4" x14ac:dyDescent="0.25">
      <c r="A896" s="279">
        <v>39001</v>
      </c>
      <c r="B896" s="309" t="s">
        <v>411</v>
      </c>
      <c r="C896" s="309" t="s">
        <v>199</v>
      </c>
      <c r="D896">
        <v>0</v>
      </c>
    </row>
    <row r="897" spans="1:4" x14ac:dyDescent="0.25">
      <c r="A897" s="279">
        <v>39001</v>
      </c>
      <c r="B897" s="309" t="s">
        <v>411</v>
      </c>
      <c r="C897" s="309" t="s">
        <v>90</v>
      </c>
      <c r="D897">
        <v>68</v>
      </c>
    </row>
    <row r="898" spans="1:4" x14ac:dyDescent="0.25">
      <c r="A898" s="279">
        <v>39001</v>
      </c>
      <c r="B898" s="309" t="s">
        <v>411</v>
      </c>
      <c r="C898" s="309" t="s">
        <v>24</v>
      </c>
      <c r="D898">
        <v>0</v>
      </c>
    </row>
    <row r="899" spans="1:4" x14ac:dyDescent="0.25">
      <c r="A899" s="279">
        <v>39001</v>
      </c>
      <c r="B899" s="309" t="s">
        <v>411</v>
      </c>
      <c r="C899" s="309" t="s">
        <v>91</v>
      </c>
      <c r="D899">
        <v>0</v>
      </c>
    </row>
    <row r="900" spans="1:4" x14ac:dyDescent="0.25">
      <c r="A900" s="279">
        <v>39001</v>
      </c>
      <c r="B900" s="309" t="s">
        <v>411</v>
      </c>
      <c r="C900" s="309" t="s">
        <v>118</v>
      </c>
      <c r="D900">
        <v>0</v>
      </c>
    </row>
    <row r="901" spans="1:4" x14ac:dyDescent="0.25">
      <c r="A901" s="279">
        <v>39001</v>
      </c>
      <c r="B901" s="309" t="s">
        <v>411</v>
      </c>
      <c r="C901" s="309" t="s">
        <v>407</v>
      </c>
      <c r="D901">
        <v>196528</v>
      </c>
    </row>
    <row r="902" spans="1:4" x14ac:dyDescent="0.25">
      <c r="A902" s="279">
        <v>39001</v>
      </c>
      <c r="B902" s="309" t="s">
        <v>411</v>
      </c>
      <c r="C902" s="309" t="s">
        <v>412</v>
      </c>
      <c r="D902">
        <v>1007</v>
      </c>
    </row>
    <row r="903" spans="1:4" x14ac:dyDescent="0.25">
      <c r="A903" s="279">
        <v>39001</v>
      </c>
      <c r="B903" s="309" t="s">
        <v>411</v>
      </c>
      <c r="C903" s="309" t="s">
        <v>409</v>
      </c>
      <c r="D903">
        <v>1076</v>
      </c>
    </row>
    <row r="904" spans="1:4" x14ac:dyDescent="0.25">
      <c r="A904" s="279">
        <v>39002</v>
      </c>
      <c r="B904" s="309" t="s">
        <v>405</v>
      </c>
      <c r="C904" s="309" t="s">
        <v>406</v>
      </c>
      <c r="D904">
        <v>3098239.1</v>
      </c>
    </row>
    <row r="905" spans="1:4" x14ac:dyDescent="0.25">
      <c r="A905" s="279">
        <v>39002</v>
      </c>
      <c r="B905" s="309" t="s">
        <v>405</v>
      </c>
      <c r="C905" s="309" t="s">
        <v>89</v>
      </c>
      <c r="D905">
        <v>16434</v>
      </c>
    </row>
    <row r="906" spans="1:4" x14ac:dyDescent="0.25">
      <c r="A906" s="279">
        <v>39002</v>
      </c>
      <c r="B906" s="309" t="s">
        <v>405</v>
      </c>
      <c r="C906" s="309" t="s">
        <v>198</v>
      </c>
      <c r="D906">
        <v>0</v>
      </c>
    </row>
    <row r="907" spans="1:4" x14ac:dyDescent="0.25">
      <c r="A907" s="279">
        <v>39002</v>
      </c>
      <c r="B907" s="309" t="s">
        <v>405</v>
      </c>
      <c r="C907" s="309" t="s">
        <v>199</v>
      </c>
      <c r="D907">
        <v>0</v>
      </c>
    </row>
    <row r="908" spans="1:4" x14ac:dyDescent="0.25">
      <c r="A908" s="279">
        <v>39002</v>
      </c>
      <c r="B908" s="309" t="s">
        <v>405</v>
      </c>
      <c r="C908" s="309" t="s">
        <v>90</v>
      </c>
      <c r="D908">
        <v>2542</v>
      </c>
    </row>
    <row r="909" spans="1:4" x14ac:dyDescent="0.25">
      <c r="A909" s="279">
        <v>39002</v>
      </c>
      <c r="B909" s="309" t="s">
        <v>405</v>
      </c>
      <c r="C909" s="309" t="s">
        <v>24</v>
      </c>
      <c r="D909">
        <v>0</v>
      </c>
    </row>
    <row r="910" spans="1:4" x14ac:dyDescent="0.25">
      <c r="A910" s="279">
        <v>39002</v>
      </c>
      <c r="B910" s="309" t="s">
        <v>405</v>
      </c>
      <c r="C910" s="309" t="s">
        <v>91</v>
      </c>
      <c r="D910">
        <v>0</v>
      </c>
    </row>
    <row r="911" spans="1:4" x14ac:dyDescent="0.25">
      <c r="A911" s="279">
        <v>39002</v>
      </c>
      <c r="B911" s="309" t="s">
        <v>405</v>
      </c>
      <c r="C911" s="309" t="s">
        <v>118</v>
      </c>
      <c r="D911">
        <v>0</v>
      </c>
    </row>
    <row r="912" spans="1:4" x14ac:dyDescent="0.25">
      <c r="A912" s="279">
        <v>39002</v>
      </c>
      <c r="B912" s="309" t="s">
        <v>405</v>
      </c>
      <c r="C912" s="309" t="s">
        <v>407</v>
      </c>
      <c r="D912">
        <v>3112131.1</v>
      </c>
    </row>
    <row r="913" spans="1:4" x14ac:dyDescent="0.25">
      <c r="A913" s="279">
        <v>39002</v>
      </c>
      <c r="B913" s="309" t="s">
        <v>405</v>
      </c>
      <c r="C913" s="309" t="s">
        <v>408</v>
      </c>
      <c r="D913">
        <v>1007</v>
      </c>
    </row>
    <row r="914" spans="1:4" x14ac:dyDescent="0.25">
      <c r="A914" s="279">
        <v>39002</v>
      </c>
      <c r="B914" s="309" t="s">
        <v>405</v>
      </c>
      <c r="C914" s="309" t="s">
        <v>409</v>
      </c>
      <c r="D914">
        <v>1058</v>
      </c>
    </row>
    <row r="915" spans="1:4" x14ac:dyDescent="0.25">
      <c r="A915" s="279">
        <v>39002</v>
      </c>
      <c r="B915" s="309" t="s">
        <v>405</v>
      </c>
      <c r="C915" s="309" t="s">
        <v>410</v>
      </c>
      <c r="D915">
        <v>1034</v>
      </c>
    </row>
    <row r="916" spans="1:4" x14ac:dyDescent="0.25">
      <c r="A916" s="279">
        <v>39002</v>
      </c>
      <c r="B916" s="309" t="s">
        <v>411</v>
      </c>
      <c r="C916" s="309" t="s">
        <v>406</v>
      </c>
      <c r="D916">
        <v>196528</v>
      </c>
    </row>
    <row r="917" spans="1:4" x14ac:dyDescent="0.25">
      <c r="A917" s="279">
        <v>39002</v>
      </c>
      <c r="B917" s="309" t="s">
        <v>411</v>
      </c>
      <c r="C917" s="309" t="s">
        <v>198</v>
      </c>
      <c r="D917">
        <v>0</v>
      </c>
    </row>
    <row r="918" spans="1:4" x14ac:dyDescent="0.25">
      <c r="A918" s="279">
        <v>39002</v>
      </c>
      <c r="B918" s="309" t="s">
        <v>411</v>
      </c>
      <c r="C918" s="309" t="s">
        <v>199</v>
      </c>
      <c r="D918">
        <v>0</v>
      </c>
    </row>
    <row r="919" spans="1:4" x14ac:dyDescent="0.25">
      <c r="A919" s="279">
        <v>39002</v>
      </c>
      <c r="B919" s="309" t="s">
        <v>411</v>
      </c>
      <c r="C919" s="309" t="s">
        <v>90</v>
      </c>
      <c r="D919">
        <v>59</v>
      </c>
    </row>
    <row r="920" spans="1:4" x14ac:dyDescent="0.25">
      <c r="A920" s="279">
        <v>39002</v>
      </c>
      <c r="B920" s="309" t="s">
        <v>411</v>
      </c>
      <c r="C920" s="309" t="s">
        <v>24</v>
      </c>
      <c r="D920">
        <v>0</v>
      </c>
    </row>
    <row r="921" spans="1:4" x14ac:dyDescent="0.25">
      <c r="A921" s="279">
        <v>39002</v>
      </c>
      <c r="B921" s="309" t="s">
        <v>411</v>
      </c>
      <c r="C921" s="309" t="s">
        <v>91</v>
      </c>
      <c r="D921">
        <v>0</v>
      </c>
    </row>
    <row r="922" spans="1:4" x14ac:dyDescent="0.25">
      <c r="A922" s="279">
        <v>39002</v>
      </c>
      <c r="B922" s="309" t="s">
        <v>411</v>
      </c>
      <c r="C922" s="309" t="s">
        <v>118</v>
      </c>
      <c r="D922">
        <v>0</v>
      </c>
    </row>
    <row r="923" spans="1:4" x14ac:dyDescent="0.25">
      <c r="A923" s="279">
        <v>39002</v>
      </c>
      <c r="B923" s="309" t="s">
        <v>411</v>
      </c>
      <c r="C923" s="309" t="s">
        <v>407</v>
      </c>
      <c r="D923">
        <v>196469</v>
      </c>
    </row>
    <row r="924" spans="1:4" x14ac:dyDescent="0.25">
      <c r="A924" s="279">
        <v>39002</v>
      </c>
      <c r="B924" s="309" t="s">
        <v>411</v>
      </c>
      <c r="C924" s="309" t="s">
        <v>412</v>
      </c>
      <c r="D924">
        <v>1007</v>
      </c>
    </row>
    <row r="925" spans="1:4" x14ac:dyDescent="0.25">
      <c r="A925" s="279">
        <v>39002</v>
      </c>
      <c r="B925" s="309" t="s">
        <v>411</v>
      </c>
      <c r="C925" s="309" t="s">
        <v>409</v>
      </c>
      <c r="D925">
        <v>1076</v>
      </c>
    </row>
    <row r="926" spans="1:4" x14ac:dyDescent="0.25">
      <c r="A926" s="279">
        <v>39003</v>
      </c>
      <c r="B926" s="309" t="s">
        <v>405</v>
      </c>
      <c r="C926" s="309" t="s">
        <v>406</v>
      </c>
      <c r="D926">
        <v>3112131.1</v>
      </c>
    </row>
    <row r="927" spans="1:4" x14ac:dyDescent="0.25">
      <c r="A927" s="279">
        <v>39003</v>
      </c>
      <c r="B927" s="309" t="s">
        <v>405</v>
      </c>
      <c r="C927" s="309" t="s">
        <v>89</v>
      </c>
      <c r="D927">
        <v>23750</v>
      </c>
    </row>
    <row r="928" spans="1:4" x14ac:dyDescent="0.25">
      <c r="A928" s="279">
        <v>39003</v>
      </c>
      <c r="B928" s="309" t="s">
        <v>405</v>
      </c>
      <c r="C928" s="309" t="s">
        <v>198</v>
      </c>
      <c r="D928">
        <v>0</v>
      </c>
    </row>
    <row r="929" spans="1:4" x14ac:dyDescent="0.25">
      <c r="A929" s="279">
        <v>39003</v>
      </c>
      <c r="B929" s="309" t="s">
        <v>405</v>
      </c>
      <c r="C929" s="309" t="s">
        <v>199</v>
      </c>
      <c r="D929">
        <v>0</v>
      </c>
    </row>
    <row r="930" spans="1:4" x14ac:dyDescent="0.25">
      <c r="A930" s="279">
        <v>39003</v>
      </c>
      <c r="B930" s="309" t="s">
        <v>405</v>
      </c>
      <c r="C930" s="309" t="s">
        <v>90</v>
      </c>
      <c r="D930">
        <v>2919</v>
      </c>
    </row>
    <row r="931" spans="1:4" x14ac:dyDescent="0.25">
      <c r="A931" s="279">
        <v>39003</v>
      </c>
      <c r="B931" s="309" t="s">
        <v>405</v>
      </c>
      <c r="C931" s="309" t="s">
        <v>24</v>
      </c>
      <c r="D931">
        <v>0</v>
      </c>
    </row>
    <row r="932" spans="1:4" x14ac:dyDescent="0.25">
      <c r="A932" s="279">
        <v>39003</v>
      </c>
      <c r="B932" s="309" t="s">
        <v>405</v>
      </c>
      <c r="C932" s="309" t="s">
        <v>91</v>
      </c>
      <c r="D932">
        <v>0</v>
      </c>
    </row>
    <row r="933" spans="1:4" x14ac:dyDescent="0.25">
      <c r="A933" s="279">
        <v>39003</v>
      </c>
      <c r="B933" s="309" t="s">
        <v>405</v>
      </c>
      <c r="C933" s="309" t="s">
        <v>118</v>
      </c>
      <c r="D933">
        <v>0</v>
      </c>
    </row>
    <row r="934" spans="1:4" x14ac:dyDescent="0.25">
      <c r="A934" s="279">
        <v>39003</v>
      </c>
      <c r="B934" s="309" t="s">
        <v>405</v>
      </c>
      <c r="C934" s="309" t="s">
        <v>407</v>
      </c>
      <c r="D934">
        <v>3132962.1</v>
      </c>
    </row>
    <row r="935" spans="1:4" x14ac:dyDescent="0.25">
      <c r="A935" s="279">
        <v>39003</v>
      </c>
      <c r="B935" s="309" t="s">
        <v>405</v>
      </c>
      <c r="C935" s="309" t="s">
        <v>408</v>
      </c>
      <c r="D935">
        <v>1007</v>
      </c>
    </row>
    <row r="936" spans="1:4" x14ac:dyDescent="0.25">
      <c r="A936" s="279">
        <v>39003</v>
      </c>
      <c r="B936" s="309" t="s">
        <v>405</v>
      </c>
      <c r="C936" s="309" t="s">
        <v>409</v>
      </c>
      <c r="D936">
        <v>1058</v>
      </c>
    </row>
    <row r="937" spans="1:4" x14ac:dyDescent="0.25">
      <c r="A937" s="279">
        <v>39003</v>
      </c>
      <c r="B937" s="309" t="s">
        <v>405</v>
      </c>
      <c r="C937" s="309" t="s">
        <v>410</v>
      </c>
      <c r="D937">
        <v>1032</v>
      </c>
    </row>
    <row r="938" spans="1:4" x14ac:dyDescent="0.25">
      <c r="A938" s="279">
        <v>39003</v>
      </c>
      <c r="B938" s="309" t="s">
        <v>411</v>
      </c>
      <c r="C938" s="309" t="s">
        <v>406</v>
      </c>
      <c r="D938">
        <v>196469</v>
      </c>
    </row>
    <row r="939" spans="1:4" x14ac:dyDescent="0.25">
      <c r="A939" s="279">
        <v>39003</v>
      </c>
      <c r="B939" s="309" t="s">
        <v>411</v>
      </c>
      <c r="C939" s="309" t="s">
        <v>198</v>
      </c>
      <c r="D939">
        <v>0</v>
      </c>
    </row>
    <row r="940" spans="1:4" x14ac:dyDescent="0.25">
      <c r="A940" s="279">
        <v>39003</v>
      </c>
      <c r="B940" s="309" t="s">
        <v>411</v>
      </c>
      <c r="C940" s="309" t="s">
        <v>199</v>
      </c>
      <c r="D940">
        <v>0</v>
      </c>
    </row>
    <row r="941" spans="1:4" x14ac:dyDescent="0.25">
      <c r="A941" s="279">
        <v>39003</v>
      </c>
      <c r="B941" s="309" t="s">
        <v>411</v>
      </c>
      <c r="C941" s="309" t="s">
        <v>90</v>
      </c>
      <c r="D941">
        <v>149</v>
      </c>
    </row>
    <row r="942" spans="1:4" x14ac:dyDescent="0.25">
      <c r="A942" s="279">
        <v>39003</v>
      </c>
      <c r="B942" s="309" t="s">
        <v>411</v>
      </c>
      <c r="C942" s="309" t="s">
        <v>24</v>
      </c>
      <c r="D942">
        <v>0</v>
      </c>
    </row>
    <row r="943" spans="1:4" x14ac:dyDescent="0.25">
      <c r="A943" s="279">
        <v>39003</v>
      </c>
      <c r="B943" s="309" t="s">
        <v>411</v>
      </c>
      <c r="C943" s="309" t="s">
        <v>91</v>
      </c>
      <c r="D943">
        <v>0</v>
      </c>
    </row>
    <row r="944" spans="1:4" x14ac:dyDescent="0.25">
      <c r="A944" s="279">
        <v>39003</v>
      </c>
      <c r="B944" s="309" t="s">
        <v>411</v>
      </c>
      <c r="C944" s="309" t="s">
        <v>118</v>
      </c>
      <c r="D944">
        <v>0</v>
      </c>
    </row>
    <row r="945" spans="1:4" x14ac:dyDescent="0.25">
      <c r="A945" s="279">
        <v>39003</v>
      </c>
      <c r="B945" s="309" t="s">
        <v>411</v>
      </c>
      <c r="C945" s="309" t="s">
        <v>407</v>
      </c>
      <c r="D945">
        <v>196320</v>
      </c>
    </row>
    <row r="946" spans="1:4" x14ac:dyDescent="0.25">
      <c r="A946" s="279">
        <v>39003</v>
      </c>
      <c r="B946" s="309" t="s">
        <v>411</v>
      </c>
      <c r="C946" s="309" t="s">
        <v>412</v>
      </c>
      <c r="D946">
        <v>1007</v>
      </c>
    </row>
    <row r="947" spans="1:4" x14ac:dyDescent="0.25">
      <c r="A947" s="279">
        <v>39003</v>
      </c>
      <c r="B947" s="309" t="s">
        <v>411</v>
      </c>
      <c r="C947" s="309" t="s">
        <v>409</v>
      </c>
      <c r="D947">
        <v>1076</v>
      </c>
    </row>
    <row r="948" spans="1:4" x14ac:dyDescent="0.25">
      <c r="A948" s="279">
        <v>39004</v>
      </c>
      <c r="B948" s="309" t="s">
        <v>405</v>
      </c>
      <c r="C948" s="309" t="s">
        <v>406</v>
      </c>
      <c r="D948">
        <v>3132962.1</v>
      </c>
    </row>
    <row r="949" spans="1:4" x14ac:dyDescent="0.25">
      <c r="A949" s="279">
        <v>39004</v>
      </c>
      <c r="B949" s="309" t="s">
        <v>405</v>
      </c>
      <c r="C949" s="309" t="s">
        <v>89</v>
      </c>
      <c r="D949">
        <v>23477</v>
      </c>
    </row>
    <row r="950" spans="1:4" x14ac:dyDescent="0.25">
      <c r="A950" s="279">
        <v>39004</v>
      </c>
      <c r="B950" s="309" t="s">
        <v>405</v>
      </c>
      <c r="C950" s="309" t="s">
        <v>198</v>
      </c>
      <c r="D950">
        <v>0</v>
      </c>
    </row>
    <row r="951" spans="1:4" x14ac:dyDescent="0.25">
      <c r="A951" s="279">
        <v>39004</v>
      </c>
      <c r="B951" s="309" t="s">
        <v>405</v>
      </c>
      <c r="C951" s="309" t="s">
        <v>199</v>
      </c>
      <c r="D951">
        <v>0</v>
      </c>
    </row>
    <row r="952" spans="1:4" x14ac:dyDescent="0.25">
      <c r="A952" s="279">
        <v>39004</v>
      </c>
      <c r="B952" s="309" t="s">
        <v>405</v>
      </c>
      <c r="C952" s="309" t="s">
        <v>90</v>
      </c>
      <c r="D952">
        <v>2911</v>
      </c>
    </row>
    <row r="953" spans="1:4" x14ac:dyDescent="0.25">
      <c r="A953" s="279">
        <v>39004</v>
      </c>
      <c r="B953" s="309" t="s">
        <v>405</v>
      </c>
      <c r="C953" s="309" t="s">
        <v>24</v>
      </c>
      <c r="D953">
        <v>0</v>
      </c>
    </row>
    <row r="954" spans="1:4" x14ac:dyDescent="0.25">
      <c r="A954" s="279">
        <v>39004</v>
      </c>
      <c r="B954" s="309" t="s">
        <v>405</v>
      </c>
      <c r="C954" s="309" t="s">
        <v>91</v>
      </c>
      <c r="D954">
        <v>0</v>
      </c>
    </row>
    <row r="955" spans="1:4" x14ac:dyDescent="0.25">
      <c r="A955" s="279">
        <v>39004</v>
      </c>
      <c r="B955" s="309" t="s">
        <v>405</v>
      </c>
      <c r="C955" s="309" t="s">
        <v>118</v>
      </c>
      <c r="D955">
        <v>0</v>
      </c>
    </row>
    <row r="956" spans="1:4" x14ac:dyDescent="0.25">
      <c r="A956" s="279">
        <v>39004</v>
      </c>
      <c r="B956" s="309" t="s">
        <v>405</v>
      </c>
      <c r="C956" s="309" t="s">
        <v>407</v>
      </c>
      <c r="D956">
        <v>3153528.1</v>
      </c>
    </row>
    <row r="957" spans="1:4" x14ac:dyDescent="0.25">
      <c r="A957" s="279">
        <v>39004</v>
      </c>
      <c r="B957" s="309" t="s">
        <v>405</v>
      </c>
      <c r="C957" s="309" t="s">
        <v>408</v>
      </c>
      <c r="D957">
        <v>1007</v>
      </c>
    </row>
    <row r="958" spans="1:4" x14ac:dyDescent="0.25">
      <c r="A958" s="279">
        <v>39004</v>
      </c>
      <c r="B958" s="309" t="s">
        <v>405</v>
      </c>
      <c r="C958" s="309" t="s">
        <v>409</v>
      </c>
      <c r="D958">
        <v>1058</v>
      </c>
    </row>
    <row r="959" spans="1:4" x14ac:dyDescent="0.25">
      <c r="A959" s="279">
        <v>39004</v>
      </c>
      <c r="B959" s="309" t="s">
        <v>405</v>
      </c>
      <c r="C959" s="309" t="s">
        <v>410</v>
      </c>
      <c r="D959">
        <v>1033</v>
      </c>
    </row>
    <row r="960" spans="1:4" x14ac:dyDescent="0.25">
      <c r="A960" s="279">
        <v>39004</v>
      </c>
      <c r="B960" s="309" t="s">
        <v>411</v>
      </c>
      <c r="C960" s="309" t="s">
        <v>406</v>
      </c>
      <c r="D960">
        <v>196320</v>
      </c>
    </row>
    <row r="961" spans="1:4" x14ac:dyDescent="0.25">
      <c r="A961" s="279">
        <v>39004</v>
      </c>
      <c r="B961" s="309" t="s">
        <v>411</v>
      </c>
      <c r="C961" s="309" t="s">
        <v>198</v>
      </c>
      <c r="D961">
        <v>0</v>
      </c>
    </row>
    <row r="962" spans="1:4" x14ac:dyDescent="0.25">
      <c r="A962" s="279">
        <v>39004</v>
      </c>
      <c r="B962" s="309" t="s">
        <v>411</v>
      </c>
      <c r="C962" s="309" t="s">
        <v>199</v>
      </c>
      <c r="D962">
        <v>0</v>
      </c>
    </row>
    <row r="963" spans="1:4" x14ac:dyDescent="0.25">
      <c r="A963" s="279">
        <v>39004</v>
      </c>
      <c r="B963" s="309" t="s">
        <v>411</v>
      </c>
      <c r="C963" s="309" t="s">
        <v>90</v>
      </c>
      <c r="D963">
        <v>0</v>
      </c>
    </row>
    <row r="964" spans="1:4" x14ac:dyDescent="0.25">
      <c r="A964" s="279">
        <v>39004</v>
      </c>
      <c r="B964" s="309" t="s">
        <v>411</v>
      </c>
      <c r="C964" s="309" t="s">
        <v>24</v>
      </c>
      <c r="D964">
        <v>0</v>
      </c>
    </row>
    <row r="965" spans="1:4" x14ac:dyDescent="0.25">
      <c r="A965" s="279">
        <v>39004</v>
      </c>
      <c r="B965" s="309" t="s">
        <v>411</v>
      </c>
      <c r="C965" s="309" t="s">
        <v>91</v>
      </c>
      <c r="D965">
        <v>0</v>
      </c>
    </row>
    <row r="966" spans="1:4" x14ac:dyDescent="0.25">
      <c r="A966" s="279">
        <v>39004</v>
      </c>
      <c r="B966" s="309" t="s">
        <v>411</v>
      </c>
      <c r="C966" s="309" t="s">
        <v>118</v>
      </c>
      <c r="D966">
        <v>0</v>
      </c>
    </row>
    <row r="967" spans="1:4" x14ac:dyDescent="0.25">
      <c r="A967" s="279">
        <v>39004</v>
      </c>
      <c r="B967" s="309" t="s">
        <v>411</v>
      </c>
      <c r="C967" s="309" t="s">
        <v>407</v>
      </c>
      <c r="D967">
        <v>196320</v>
      </c>
    </row>
    <row r="968" spans="1:4" x14ac:dyDescent="0.25">
      <c r="A968" s="279">
        <v>39004</v>
      </c>
      <c r="B968" s="309" t="s">
        <v>411</v>
      </c>
      <c r="C968" s="309" t="s">
        <v>412</v>
      </c>
      <c r="D968">
        <v>1007</v>
      </c>
    </row>
    <row r="969" spans="1:4" x14ac:dyDescent="0.25">
      <c r="A969" s="279">
        <v>39004</v>
      </c>
      <c r="B969" s="309" t="s">
        <v>411</v>
      </c>
      <c r="C969" s="309" t="s">
        <v>409</v>
      </c>
      <c r="D969">
        <v>1076</v>
      </c>
    </row>
    <row r="970" spans="1:4" x14ac:dyDescent="0.25">
      <c r="A970" s="279">
        <v>39005</v>
      </c>
      <c r="B970" s="309" t="s">
        <v>405</v>
      </c>
      <c r="C970" s="309" t="s">
        <v>406</v>
      </c>
      <c r="D970">
        <v>3153528.1</v>
      </c>
    </row>
    <row r="971" spans="1:4" x14ac:dyDescent="0.25">
      <c r="A971" s="279">
        <v>39005</v>
      </c>
      <c r="B971" s="309" t="s">
        <v>405</v>
      </c>
      <c r="C971" s="309" t="s">
        <v>89</v>
      </c>
      <c r="D971">
        <v>26015</v>
      </c>
    </row>
    <row r="972" spans="1:4" x14ac:dyDescent="0.25">
      <c r="A972" s="279">
        <v>39005</v>
      </c>
      <c r="B972" s="309" t="s">
        <v>405</v>
      </c>
      <c r="C972" s="309" t="s">
        <v>198</v>
      </c>
      <c r="D972">
        <v>0</v>
      </c>
    </row>
    <row r="973" spans="1:4" x14ac:dyDescent="0.25">
      <c r="A973" s="279">
        <v>39005</v>
      </c>
      <c r="B973" s="309" t="s">
        <v>405</v>
      </c>
      <c r="C973" s="309" t="s">
        <v>199</v>
      </c>
      <c r="D973">
        <v>0</v>
      </c>
    </row>
    <row r="974" spans="1:4" x14ac:dyDescent="0.25">
      <c r="A974" s="279">
        <v>39005</v>
      </c>
      <c r="B974" s="309" t="s">
        <v>405</v>
      </c>
      <c r="C974" s="309" t="s">
        <v>90</v>
      </c>
      <c r="D974">
        <v>3045</v>
      </c>
    </row>
    <row r="975" spans="1:4" x14ac:dyDescent="0.25">
      <c r="A975" s="279">
        <v>39005</v>
      </c>
      <c r="B975" s="309" t="s">
        <v>405</v>
      </c>
      <c r="C975" s="309" t="s">
        <v>24</v>
      </c>
      <c r="D975">
        <v>0</v>
      </c>
    </row>
    <row r="976" spans="1:4" x14ac:dyDescent="0.25">
      <c r="A976" s="279">
        <v>39005</v>
      </c>
      <c r="B976" s="309" t="s">
        <v>405</v>
      </c>
      <c r="C976" s="309" t="s">
        <v>91</v>
      </c>
      <c r="D976">
        <v>0</v>
      </c>
    </row>
    <row r="977" spans="1:4" x14ac:dyDescent="0.25">
      <c r="A977" s="279">
        <v>39005</v>
      </c>
      <c r="B977" s="309" t="s">
        <v>405</v>
      </c>
      <c r="C977" s="309" t="s">
        <v>118</v>
      </c>
      <c r="D977">
        <v>0</v>
      </c>
    </row>
    <row r="978" spans="1:4" x14ac:dyDescent="0.25">
      <c r="A978" s="279">
        <v>39005</v>
      </c>
      <c r="B978" s="309" t="s">
        <v>405</v>
      </c>
      <c r="C978" s="309" t="s">
        <v>407</v>
      </c>
      <c r="D978">
        <v>3176498.1</v>
      </c>
    </row>
    <row r="979" spans="1:4" x14ac:dyDescent="0.25">
      <c r="A979" s="279">
        <v>39005</v>
      </c>
      <c r="B979" s="309" t="s">
        <v>405</v>
      </c>
      <c r="C979" s="309" t="s">
        <v>408</v>
      </c>
      <c r="D979">
        <v>1007</v>
      </c>
    </row>
    <row r="980" spans="1:4" x14ac:dyDescent="0.25">
      <c r="A980" s="279">
        <v>39005</v>
      </c>
      <c r="B980" s="309" t="s">
        <v>405</v>
      </c>
      <c r="C980" s="309" t="s">
        <v>409</v>
      </c>
      <c r="D980">
        <v>1058</v>
      </c>
    </row>
    <row r="981" spans="1:4" x14ac:dyDescent="0.25">
      <c r="A981" s="279">
        <v>39005</v>
      </c>
      <c r="B981" s="309" t="s">
        <v>405</v>
      </c>
      <c r="C981" s="309" t="s">
        <v>410</v>
      </c>
      <c r="D981">
        <v>1033</v>
      </c>
    </row>
    <row r="982" spans="1:4" x14ac:dyDescent="0.25">
      <c r="A982" s="279">
        <v>39005</v>
      </c>
      <c r="B982" s="309" t="s">
        <v>411</v>
      </c>
      <c r="C982" s="309" t="s">
        <v>406</v>
      </c>
      <c r="D982">
        <v>196320</v>
      </c>
    </row>
    <row r="983" spans="1:4" x14ac:dyDescent="0.25">
      <c r="A983" s="279">
        <v>39005</v>
      </c>
      <c r="B983" s="309" t="s">
        <v>411</v>
      </c>
      <c r="C983" s="309" t="s">
        <v>198</v>
      </c>
      <c r="D983">
        <v>0</v>
      </c>
    </row>
    <row r="984" spans="1:4" x14ac:dyDescent="0.25">
      <c r="A984" s="279">
        <v>39005</v>
      </c>
      <c r="B984" s="309" t="s">
        <v>411</v>
      </c>
      <c r="C984" s="309" t="s">
        <v>199</v>
      </c>
      <c r="D984">
        <v>0</v>
      </c>
    </row>
    <row r="985" spans="1:4" x14ac:dyDescent="0.25">
      <c r="A985" s="279">
        <v>39005</v>
      </c>
      <c r="B985" s="309" t="s">
        <v>411</v>
      </c>
      <c r="C985" s="309" t="s">
        <v>90</v>
      </c>
      <c r="D985">
        <v>0</v>
      </c>
    </row>
    <row r="986" spans="1:4" x14ac:dyDescent="0.25">
      <c r="A986" s="279">
        <v>39005</v>
      </c>
      <c r="B986" s="309" t="s">
        <v>411</v>
      </c>
      <c r="C986" s="309" t="s">
        <v>24</v>
      </c>
      <c r="D986">
        <v>0</v>
      </c>
    </row>
    <row r="987" spans="1:4" x14ac:dyDescent="0.25">
      <c r="A987" s="279">
        <v>39005</v>
      </c>
      <c r="B987" s="309" t="s">
        <v>411</v>
      </c>
      <c r="C987" s="309" t="s">
        <v>91</v>
      </c>
      <c r="D987">
        <v>0</v>
      </c>
    </row>
    <row r="988" spans="1:4" x14ac:dyDescent="0.25">
      <c r="A988" s="279">
        <v>39005</v>
      </c>
      <c r="B988" s="309" t="s">
        <v>411</v>
      </c>
      <c r="C988" s="309" t="s">
        <v>118</v>
      </c>
      <c r="D988">
        <v>0</v>
      </c>
    </row>
    <row r="989" spans="1:4" x14ac:dyDescent="0.25">
      <c r="A989" s="279">
        <v>39005</v>
      </c>
      <c r="B989" s="309" t="s">
        <v>411</v>
      </c>
      <c r="C989" s="309" t="s">
        <v>407</v>
      </c>
      <c r="D989">
        <v>196320</v>
      </c>
    </row>
    <row r="990" spans="1:4" x14ac:dyDescent="0.25">
      <c r="A990" s="279">
        <v>39005</v>
      </c>
      <c r="B990" s="309" t="s">
        <v>411</v>
      </c>
      <c r="C990" s="309" t="s">
        <v>412</v>
      </c>
      <c r="D990">
        <v>1007</v>
      </c>
    </row>
    <row r="991" spans="1:4" x14ac:dyDescent="0.25">
      <c r="A991" s="279">
        <v>39005</v>
      </c>
      <c r="B991" s="309" t="s">
        <v>411</v>
      </c>
      <c r="C991" s="309" t="s">
        <v>409</v>
      </c>
      <c r="D991">
        <v>1076</v>
      </c>
    </row>
    <row r="992" spans="1:4" x14ac:dyDescent="0.25">
      <c r="A992" s="279">
        <v>39006</v>
      </c>
      <c r="B992" s="309" t="s">
        <v>405</v>
      </c>
      <c r="C992" s="309" t="s">
        <v>406</v>
      </c>
      <c r="D992">
        <v>3176498.1</v>
      </c>
    </row>
    <row r="993" spans="1:4" x14ac:dyDescent="0.25">
      <c r="A993" s="279">
        <v>39006</v>
      </c>
      <c r="B993" s="309" t="s">
        <v>405</v>
      </c>
      <c r="C993" s="309" t="s">
        <v>89</v>
      </c>
      <c r="D993">
        <v>23210</v>
      </c>
    </row>
    <row r="994" spans="1:4" x14ac:dyDescent="0.25">
      <c r="A994" s="279">
        <v>39006</v>
      </c>
      <c r="B994" s="309" t="s">
        <v>405</v>
      </c>
      <c r="C994" s="309" t="s">
        <v>198</v>
      </c>
      <c r="D994">
        <v>0</v>
      </c>
    </row>
    <row r="995" spans="1:4" x14ac:dyDescent="0.25">
      <c r="A995" s="279">
        <v>39006</v>
      </c>
      <c r="B995" s="309" t="s">
        <v>405</v>
      </c>
      <c r="C995" s="309" t="s">
        <v>199</v>
      </c>
      <c r="D995">
        <v>0</v>
      </c>
    </row>
    <row r="996" spans="1:4" x14ac:dyDescent="0.25">
      <c r="A996" s="279">
        <v>39006</v>
      </c>
      <c r="B996" s="309" t="s">
        <v>405</v>
      </c>
      <c r="C996" s="309" t="s">
        <v>90</v>
      </c>
      <c r="D996">
        <v>2910</v>
      </c>
    </row>
    <row r="997" spans="1:4" x14ac:dyDescent="0.25">
      <c r="A997" s="279">
        <v>39006</v>
      </c>
      <c r="B997" s="309" t="s">
        <v>405</v>
      </c>
      <c r="C997" s="309" t="s">
        <v>24</v>
      </c>
      <c r="D997">
        <v>0</v>
      </c>
    </row>
    <row r="998" spans="1:4" x14ac:dyDescent="0.25">
      <c r="A998" s="279">
        <v>39006</v>
      </c>
      <c r="B998" s="309" t="s">
        <v>405</v>
      </c>
      <c r="C998" s="309" t="s">
        <v>91</v>
      </c>
      <c r="D998">
        <v>0</v>
      </c>
    </row>
    <row r="999" spans="1:4" x14ac:dyDescent="0.25">
      <c r="A999" s="279">
        <v>39006</v>
      </c>
      <c r="B999" s="309" t="s">
        <v>405</v>
      </c>
      <c r="C999" s="309" t="s">
        <v>118</v>
      </c>
      <c r="D999">
        <v>0</v>
      </c>
    </row>
    <row r="1000" spans="1:4" x14ac:dyDescent="0.25">
      <c r="A1000" s="279">
        <v>39006</v>
      </c>
      <c r="B1000" s="309" t="s">
        <v>405</v>
      </c>
      <c r="C1000" s="309" t="s">
        <v>407</v>
      </c>
      <c r="D1000">
        <v>3196798.1</v>
      </c>
    </row>
    <row r="1001" spans="1:4" x14ac:dyDescent="0.25">
      <c r="A1001" s="279">
        <v>39006</v>
      </c>
      <c r="B1001" s="309" t="s">
        <v>405</v>
      </c>
      <c r="C1001" s="309" t="s">
        <v>408</v>
      </c>
      <c r="D1001">
        <v>1007</v>
      </c>
    </row>
    <row r="1002" spans="1:4" x14ac:dyDescent="0.25">
      <c r="A1002" s="279">
        <v>39006</v>
      </c>
      <c r="B1002" s="309" t="s">
        <v>405</v>
      </c>
      <c r="C1002" s="309" t="s">
        <v>409</v>
      </c>
      <c r="D1002">
        <v>1058</v>
      </c>
    </row>
    <row r="1003" spans="1:4" x14ac:dyDescent="0.25">
      <c r="A1003" s="279">
        <v>39006</v>
      </c>
      <c r="B1003" s="309" t="s">
        <v>405</v>
      </c>
      <c r="C1003" s="309" t="s">
        <v>410</v>
      </c>
      <c r="D1003">
        <v>1033</v>
      </c>
    </row>
    <row r="1004" spans="1:4" x14ac:dyDescent="0.25">
      <c r="A1004" s="279">
        <v>39006</v>
      </c>
      <c r="B1004" s="309" t="s">
        <v>411</v>
      </c>
      <c r="C1004" s="309" t="s">
        <v>406</v>
      </c>
      <c r="D1004">
        <v>196320</v>
      </c>
    </row>
    <row r="1005" spans="1:4" x14ac:dyDescent="0.25">
      <c r="A1005" s="279">
        <v>39006</v>
      </c>
      <c r="B1005" s="309" t="s">
        <v>411</v>
      </c>
      <c r="C1005" s="309" t="s">
        <v>198</v>
      </c>
      <c r="D1005">
        <v>0</v>
      </c>
    </row>
    <row r="1006" spans="1:4" x14ac:dyDescent="0.25">
      <c r="A1006" s="279">
        <v>39006</v>
      </c>
      <c r="B1006" s="309" t="s">
        <v>411</v>
      </c>
      <c r="C1006" s="309" t="s">
        <v>199</v>
      </c>
      <c r="D1006">
        <v>0</v>
      </c>
    </row>
    <row r="1007" spans="1:4" x14ac:dyDescent="0.25">
      <c r="A1007" s="279">
        <v>39006</v>
      </c>
      <c r="B1007" s="309" t="s">
        <v>411</v>
      </c>
      <c r="C1007" s="309" t="s">
        <v>90</v>
      </c>
      <c r="D1007">
        <v>276</v>
      </c>
    </row>
    <row r="1008" spans="1:4" x14ac:dyDescent="0.25">
      <c r="A1008" s="279">
        <v>39006</v>
      </c>
      <c r="B1008" s="309" t="s">
        <v>411</v>
      </c>
      <c r="C1008" s="309" t="s">
        <v>24</v>
      </c>
      <c r="D1008">
        <v>0</v>
      </c>
    </row>
    <row r="1009" spans="1:4" x14ac:dyDescent="0.25">
      <c r="A1009" s="279">
        <v>39006</v>
      </c>
      <c r="B1009" s="309" t="s">
        <v>411</v>
      </c>
      <c r="C1009" s="309" t="s">
        <v>91</v>
      </c>
      <c r="D1009">
        <v>0</v>
      </c>
    </row>
    <row r="1010" spans="1:4" x14ac:dyDescent="0.25">
      <c r="A1010" s="279">
        <v>39006</v>
      </c>
      <c r="B1010" s="309" t="s">
        <v>411</v>
      </c>
      <c r="C1010" s="309" t="s">
        <v>118</v>
      </c>
      <c r="D1010">
        <v>0</v>
      </c>
    </row>
    <row r="1011" spans="1:4" x14ac:dyDescent="0.25">
      <c r="A1011" s="279">
        <v>39006</v>
      </c>
      <c r="B1011" s="309" t="s">
        <v>411</v>
      </c>
      <c r="C1011" s="309" t="s">
        <v>407</v>
      </c>
      <c r="D1011">
        <v>196044</v>
      </c>
    </row>
    <row r="1012" spans="1:4" x14ac:dyDescent="0.25">
      <c r="A1012" s="279">
        <v>39006</v>
      </c>
      <c r="B1012" s="309" t="s">
        <v>411</v>
      </c>
      <c r="C1012" s="309" t="s">
        <v>412</v>
      </c>
      <c r="D1012">
        <v>1007</v>
      </c>
    </row>
    <row r="1013" spans="1:4" x14ac:dyDescent="0.25">
      <c r="A1013" s="279">
        <v>39006</v>
      </c>
      <c r="B1013" s="309" t="s">
        <v>411</v>
      </c>
      <c r="C1013" s="309" t="s">
        <v>409</v>
      </c>
      <c r="D1013">
        <v>1076</v>
      </c>
    </row>
    <row r="1014" spans="1:4" x14ac:dyDescent="0.25">
      <c r="A1014" s="279">
        <v>39007</v>
      </c>
      <c r="B1014" s="309" t="s">
        <v>405</v>
      </c>
      <c r="C1014" s="309" t="s">
        <v>406</v>
      </c>
      <c r="D1014">
        <v>3196798.1</v>
      </c>
    </row>
    <row r="1015" spans="1:4" x14ac:dyDescent="0.25">
      <c r="A1015" s="279">
        <v>39007</v>
      </c>
      <c r="B1015" s="309" t="s">
        <v>405</v>
      </c>
      <c r="C1015" s="309" t="s">
        <v>89</v>
      </c>
      <c r="D1015">
        <v>18999</v>
      </c>
    </row>
    <row r="1016" spans="1:4" x14ac:dyDescent="0.25">
      <c r="A1016" s="279">
        <v>39007</v>
      </c>
      <c r="B1016" s="309" t="s">
        <v>405</v>
      </c>
      <c r="C1016" s="309" t="s">
        <v>198</v>
      </c>
      <c r="D1016">
        <v>0</v>
      </c>
    </row>
    <row r="1017" spans="1:4" x14ac:dyDescent="0.25">
      <c r="A1017" s="279">
        <v>39007</v>
      </c>
      <c r="B1017" s="309" t="s">
        <v>405</v>
      </c>
      <c r="C1017" s="309" t="s">
        <v>199</v>
      </c>
      <c r="D1017">
        <v>0</v>
      </c>
    </row>
    <row r="1018" spans="1:4" x14ac:dyDescent="0.25">
      <c r="A1018" s="279">
        <v>39007</v>
      </c>
      <c r="B1018" s="309" t="s">
        <v>405</v>
      </c>
      <c r="C1018" s="309" t="s">
        <v>90</v>
      </c>
      <c r="D1018">
        <v>2705</v>
      </c>
    </row>
    <row r="1019" spans="1:4" x14ac:dyDescent="0.25">
      <c r="A1019" s="279">
        <v>39007</v>
      </c>
      <c r="B1019" s="309" t="s">
        <v>405</v>
      </c>
      <c r="C1019" s="309" t="s">
        <v>24</v>
      </c>
      <c r="D1019">
        <v>0</v>
      </c>
    </row>
    <row r="1020" spans="1:4" x14ac:dyDescent="0.25">
      <c r="A1020" s="279">
        <v>39007</v>
      </c>
      <c r="B1020" s="309" t="s">
        <v>405</v>
      </c>
      <c r="C1020" s="309" t="s">
        <v>91</v>
      </c>
      <c r="D1020">
        <v>0</v>
      </c>
    </row>
    <row r="1021" spans="1:4" x14ac:dyDescent="0.25">
      <c r="A1021" s="279">
        <v>39007</v>
      </c>
      <c r="B1021" s="309" t="s">
        <v>405</v>
      </c>
      <c r="C1021" s="309" t="s">
        <v>118</v>
      </c>
      <c r="D1021">
        <v>0</v>
      </c>
    </row>
    <row r="1022" spans="1:4" x14ac:dyDescent="0.25">
      <c r="A1022" s="279">
        <v>39007</v>
      </c>
      <c r="B1022" s="309" t="s">
        <v>405</v>
      </c>
      <c r="C1022" s="309" t="s">
        <v>407</v>
      </c>
      <c r="D1022">
        <v>3213092.1</v>
      </c>
    </row>
    <row r="1023" spans="1:4" x14ac:dyDescent="0.25">
      <c r="A1023" s="279">
        <v>39007</v>
      </c>
      <c r="B1023" s="309" t="s">
        <v>405</v>
      </c>
      <c r="C1023" s="309" t="s">
        <v>408</v>
      </c>
      <c r="D1023">
        <v>1007</v>
      </c>
    </row>
    <row r="1024" spans="1:4" x14ac:dyDescent="0.25">
      <c r="A1024" s="279">
        <v>39007</v>
      </c>
      <c r="B1024" s="309" t="s">
        <v>405</v>
      </c>
      <c r="C1024" s="309" t="s">
        <v>409</v>
      </c>
      <c r="D1024">
        <v>1058</v>
      </c>
    </row>
    <row r="1025" spans="1:4" x14ac:dyDescent="0.25">
      <c r="A1025" s="279">
        <v>39007</v>
      </c>
      <c r="B1025" s="309" t="s">
        <v>405</v>
      </c>
      <c r="C1025" s="309" t="s">
        <v>410</v>
      </c>
      <c r="D1025">
        <v>1033</v>
      </c>
    </row>
    <row r="1026" spans="1:4" x14ac:dyDescent="0.25">
      <c r="A1026" s="279">
        <v>39007</v>
      </c>
      <c r="B1026" s="309" t="s">
        <v>411</v>
      </c>
      <c r="C1026" s="309" t="s">
        <v>406</v>
      </c>
      <c r="D1026">
        <v>196044</v>
      </c>
    </row>
    <row r="1027" spans="1:4" x14ac:dyDescent="0.25">
      <c r="A1027" s="279">
        <v>39007</v>
      </c>
      <c r="B1027" s="309" t="s">
        <v>411</v>
      </c>
      <c r="C1027" s="309" t="s">
        <v>198</v>
      </c>
      <c r="D1027">
        <v>0</v>
      </c>
    </row>
    <row r="1028" spans="1:4" x14ac:dyDescent="0.25">
      <c r="A1028" s="279">
        <v>39007</v>
      </c>
      <c r="B1028" s="309" t="s">
        <v>411</v>
      </c>
      <c r="C1028" s="309" t="s">
        <v>199</v>
      </c>
      <c r="D1028">
        <v>0</v>
      </c>
    </row>
    <row r="1029" spans="1:4" x14ac:dyDescent="0.25">
      <c r="A1029" s="279">
        <v>39007</v>
      </c>
      <c r="B1029" s="309" t="s">
        <v>411</v>
      </c>
      <c r="C1029" s="309" t="s">
        <v>90</v>
      </c>
      <c r="D1029">
        <v>69</v>
      </c>
    </row>
    <row r="1030" spans="1:4" x14ac:dyDescent="0.25">
      <c r="A1030" s="279">
        <v>39007</v>
      </c>
      <c r="B1030" s="309" t="s">
        <v>411</v>
      </c>
      <c r="C1030" s="309" t="s">
        <v>24</v>
      </c>
      <c r="D1030">
        <v>0</v>
      </c>
    </row>
    <row r="1031" spans="1:4" x14ac:dyDescent="0.25">
      <c r="A1031" s="279">
        <v>39007</v>
      </c>
      <c r="B1031" s="309" t="s">
        <v>411</v>
      </c>
      <c r="C1031" s="309" t="s">
        <v>91</v>
      </c>
      <c r="D1031">
        <v>0</v>
      </c>
    </row>
    <row r="1032" spans="1:4" x14ac:dyDescent="0.25">
      <c r="A1032" s="279">
        <v>39007</v>
      </c>
      <c r="B1032" s="309" t="s">
        <v>411</v>
      </c>
      <c r="C1032" s="309" t="s">
        <v>118</v>
      </c>
      <c r="D1032">
        <v>0</v>
      </c>
    </row>
    <row r="1033" spans="1:4" x14ac:dyDescent="0.25">
      <c r="A1033" s="279">
        <v>39007</v>
      </c>
      <c r="B1033" s="309" t="s">
        <v>411</v>
      </c>
      <c r="C1033" s="309" t="s">
        <v>407</v>
      </c>
      <c r="D1033">
        <v>195975</v>
      </c>
    </row>
    <row r="1034" spans="1:4" x14ac:dyDescent="0.25">
      <c r="A1034" s="279">
        <v>39007</v>
      </c>
      <c r="B1034" s="309" t="s">
        <v>411</v>
      </c>
      <c r="C1034" s="309" t="s">
        <v>412</v>
      </c>
      <c r="D1034">
        <v>1007</v>
      </c>
    </row>
    <row r="1035" spans="1:4" x14ac:dyDescent="0.25">
      <c r="A1035" s="279">
        <v>39007</v>
      </c>
      <c r="B1035" s="309" t="s">
        <v>411</v>
      </c>
      <c r="C1035" s="309" t="s">
        <v>409</v>
      </c>
      <c r="D1035">
        <v>1076</v>
      </c>
    </row>
    <row r="1036" spans="1:4" x14ac:dyDescent="0.25">
      <c r="A1036" s="279">
        <v>39008</v>
      </c>
      <c r="B1036" s="309" t="s">
        <v>405</v>
      </c>
      <c r="C1036" s="309" t="s">
        <v>406</v>
      </c>
      <c r="D1036">
        <v>3213092.1</v>
      </c>
    </row>
    <row r="1037" spans="1:4" x14ac:dyDescent="0.25">
      <c r="A1037" s="279">
        <v>39008</v>
      </c>
      <c r="B1037" s="309" t="s">
        <v>405</v>
      </c>
      <c r="C1037" s="309" t="s">
        <v>89</v>
      </c>
      <c r="D1037">
        <v>16753</v>
      </c>
    </row>
    <row r="1038" spans="1:4" x14ac:dyDescent="0.25">
      <c r="A1038" s="279">
        <v>39008</v>
      </c>
      <c r="B1038" s="309" t="s">
        <v>405</v>
      </c>
      <c r="C1038" s="309" t="s">
        <v>198</v>
      </c>
      <c r="D1038">
        <v>0</v>
      </c>
    </row>
    <row r="1039" spans="1:4" x14ac:dyDescent="0.25">
      <c r="A1039" s="279">
        <v>39008</v>
      </c>
      <c r="B1039" s="309" t="s">
        <v>405</v>
      </c>
      <c r="C1039" s="309" t="s">
        <v>199</v>
      </c>
      <c r="D1039">
        <v>0</v>
      </c>
    </row>
    <row r="1040" spans="1:4" x14ac:dyDescent="0.25">
      <c r="A1040" s="279">
        <v>39008</v>
      </c>
      <c r="B1040" s="309" t="s">
        <v>405</v>
      </c>
      <c r="C1040" s="309" t="s">
        <v>90</v>
      </c>
      <c r="D1040">
        <v>2595</v>
      </c>
    </row>
    <row r="1041" spans="1:4" x14ac:dyDescent="0.25">
      <c r="A1041" s="279">
        <v>39008</v>
      </c>
      <c r="B1041" s="309" t="s">
        <v>405</v>
      </c>
      <c r="C1041" s="309" t="s">
        <v>24</v>
      </c>
      <c r="D1041">
        <v>0</v>
      </c>
    </row>
    <row r="1042" spans="1:4" x14ac:dyDescent="0.25">
      <c r="A1042" s="279">
        <v>39008</v>
      </c>
      <c r="B1042" s="309" t="s">
        <v>405</v>
      </c>
      <c r="C1042" s="309" t="s">
        <v>91</v>
      </c>
      <c r="D1042">
        <v>0</v>
      </c>
    </row>
    <row r="1043" spans="1:4" x14ac:dyDescent="0.25">
      <c r="A1043" s="279">
        <v>39008</v>
      </c>
      <c r="B1043" s="309" t="s">
        <v>405</v>
      </c>
      <c r="C1043" s="309" t="s">
        <v>118</v>
      </c>
      <c r="D1043">
        <v>0</v>
      </c>
    </row>
    <row r="1044" spans="1:4" x14ac:dyDescent="0.25">
      <c r="A1044" s="279">
        <v>39008</v>
      </c>
      <c r="B1044" s="309" t="s">
        <v>405</v>
      </c>
      <c r="C1044" s="309" t="s">
        <v>407</v>
      </c>
      <c r="D1044">
        <v>3227250.1</v>
      </c>
    </row>
    <row r="1045" spans="1:4" x14ac:dyDescent="0.25">
      <c r="A1045" s="279">
        <v>39008</v>
      </c>
      <c r="B1045" s="309" t="s">
        <v>405</v>
      </c>
      <c r="C1045" s="309" t="s">
        <v>408</v>
      </c>
      <c r="D1045">
        <v>1007</v>
      </c>
    </row>
    <row r="1046" spans="1:4" x14ac:dyDescent="0.25">
      <c r="A1046" s="279">
        <v>39008</v>
      </c>
      <c r="B1046" s="309" t="s">
        <v>405</v>
      </c>
      <c r="C1046" s="309" t="s">
        <v>409</v>
      </c>
      <c r="D1046">
        <v>1058</v>
      </c>
    </row>
    <row r="1047" spans="1:4" x14ac:dyDescent="0.25">
      <c r="A1047" s="279">
        <v>39008</v>
      </c>
      <c r="B1047" s="309" t="s">
        <v>405</v>
      </c>
      <c r="C1047" s="309" t="s">
        <v>410</v>
      </c>
      <c r="D1047">
        <v>1034</v>
      </c>
    </row>
    <row r="1048" spans="1:4" x14ac:dyDescent="0.25">
      <c r="A1048" s="279">
        <v>39008</v>
      </c>
      <c r="B1048" s="309" t="s">
        <v>411</v>
      </c>
      <c r="C1048" s="309" t="s">
        <v>406</v>
      </c>
      <c r="D1048">
        <v>195975</v>
      </c>
    </row>
    <row r="1049" spans="1:4" x14ac:dyDescent="0.25">
      <c r="A1049" s="279">
        <v>39008</v>
      </c>
      <c r="B1049" s="309" t="s">
        <v>411</v>
      </c>
      <c r="C1049" s="309" t="s">
        <v>198</v>
      </c>
      <c r="D1049">
        <v>0</v>
      </c>
    </row>
    <row r="1050" spans="1:4" x14ac:dyDescent="0.25">
      <c r="A1050" s="279">
        <v>39008</v>
      </c>
      <c r="B1050" s="309" t="s">
        <v>411</v>
      </c>
      <c r="C1050" s="309" t="s">
        <v>199</v>
      </c>
      <c r="D1050">
        <v>0</v>
      </c>
    </row>
    <row r="1051" spans="1:4" x14ac:dyDescent="0.25">
      <c r="A1051" s="279">
        <v>39008</v>
      </c>
      <c r="B1051" s="309" t="s">
        <v>411</v>
      </c>
      <c r="C1051" s="309" t="s">
        <v>90</v>
      </c>
      <c r="D1051">
        <v>62</v>
      </c>
    </row>
    <row r="1052" spans="1:4" x14ac:dyDescent="0.25">
      <c r="A1052" s="279">
        <v>39008</v>
      </c>
      <c r="B1052" s="309" t="s">
        <v>411</v>
      </c>
      <c r="C1052" s="309" t="s">
        <v>24</v>
      </c>
      <c r="D1052">
        <v>0</v>
      </c>
    </row>
    <row r="1053" spans="1:4" x14ac:dyDescent="0.25">
      <c r="A1053" s="279">
        <v>39008</v>
      </c>
      <c r="B1053" s="309" t="s">
        <v>411</v>
      </c>
      <c r="C1053" s="309" t="s">
        <v>91</v>
      </c>
      <c r="D1053">
        <v>0</v>
      </c>
    </row>
    <row r="1054" spans="1:4" x14ac:dyDescent="0.25">
      <c r="A1054" s="279">
        <v>39008</v>
      </c>
      <c r="B1054" s="309" t="s">
        <v>411</v>
      </c>
      <c r="C1054" s="309" t="s">
        <v>118</v>
      </c>
      <c r="D1054">
        <v>0</v>
      </c>
    </row>
    <row r="1055" spans="1:4" x14ac:dyDescent="0.25">
      <c r="A1055" s="279">
        <v>39008</v>
      </c>
      <c r="B1055" s="309" t="s">
        <v>411</v>
      </c>
      <c r="C1055" s="309" t="s">
        <v>407</v>
      </c>
      <c r="D1055">
        <v>195913</v>
      </c>
    </row>
    <row r="1056" spans="1:4" x14ac:dyDescent="0.25">
      <c r="A1056" s="279">
        <v>39008</v>
      </c>
      <c r="B1056" s="309" t="s">
        <v>411</v>
      </c>
      <c r="C1056" s="309" t="s">
        <v>412</v>
      </c>
      <c r="D1056">
        <v>1007</v>
      </c>
    </row>
    <row r="1057" spans="1:4" x14ac:dyDescent="0.25">
      <c r="A1057" s="279">
        <v>39008</v>
      </c>
      <c r="B1057" s="309" t="s">
        <v>411</v>
      </c>
      <c r="C1057" s="309" t="s">
        <v>409</v>
      </c>
      <c r="D1057">
        <v>1076</v>
      </c>
    </row>
    <row r="1058" spans="1:4" x14ac:dyDescent="0.25">
      <c r="A1058" s="279">
        <v>39009</v>
      </c>
      <c r="B1058" s="309" t="s">
        <v>405</v>
      </c>
      <c r="C1058" s="309" t="s">
        <v>406</v>
      </c>
      <c r="D1058">
        <v>3227250.1</v>
      </c>
    </row>
    <row r="1059" spans="1:4" x14ac:dyDescent="0.25">
      <c r="A1059" s="279">
        <v>39009</v>
      </c>
      <c r="B1059" s="309" t="s">
        <v>405</v>
      </c>
      <c r="C1059" s="309" t="s">
        <v>89</v>
      </c>
      <c r="D1059">
        <v>15915</v>
      </c>
    </row>
    <row r="1060" spans="1:4" x14ac:dyDescent="0.25">
      <c r="A1060" s="279">
        <v>39009</v>
      </c>
      <c r="B1060" s="309" t="s">
        <v>405</v>
      </c>
      <c r="C1060" s="309" t="s">
        <v>198</v>
      </c>
      <c r="D1060">
        <v>0</v>
      </c>
    </row>
    <row r="1061" spans="1:4" x14ac:dyDescent="0.25">
      <c r="A1061" s="279">
        <v>39009</v>
      </c>
      <c r="B1061" s="309" t="s">
        <v>405</v>
      </c>
      <c r="C1061" s="309" t="s">
        <v>199</v>
      </c>
      <c r="D1061">
        <v>0</v>
      </c>
    </row>
    <row r="1062" spans="1:4" x14ac:dyDescent="0.25">
      <c r="A1062" s="279">
        <v>39009</v>
      </c>
      <c r="B1062" s="309" t="s">
        <v>405</v>
      </c>
      <c r="C1062" s="309" t="s">
        <v>90</v>
      </c>
      <c r="D1062">
        <v>2558</v>
      </c>
    </row>
    <row r="1063" spans="1:4" x14ac:dyDescent="0.25">
      <c r="A1063" s="279">
        <v>39009</v>
      </c>
      <c r="B1063" s="309" t="s">
        <v>405</v>
      </c>
      <c r="C1063" s="309" t="s">
        <v>24</v>
      </c>
      <c r="D1063">
        <v>0</v>
      </c>
    </row>
    <row r="1064" spans="1:4" x14ac:dyDescent="0.25">
      <c r="A1064" s="279">
        <v>39009</v>
      </c>
      <c r="B1064" s="309" t="s">
        <v>405</v>
      </c>
      <c r="C1064" s="309" t="s">
        <v>91</v>
      </c>
      <c r="D1064">
        <v>0</v>
      </c>
    </row>
    <row r="1065" spans="1:4" x14ac:dyDescent="0.25">
      <c r="A1065" s="279">
        <v>39009</v>
      </c>
      <c r="B1065" s="309" t="s">
        <v>405</v>
      </c>
      <c r="C1065" s="309" t="s">
        <v>118</v>
      </c>
      <c r="D1065">
        <v>0</v>
      </c>
    </row>
    <row r="1066" spans="1:4" x14ac:dyDescent="0.25">
      <c r="A1066" s="279">
        <v>39009</v>
      </c>
      <c r="B1066" s="309" t="s">
        <v>405</v>
      </c>
      <c r="C1066" s="309" t="s">
        <v>407</v>
      </c>
      <c r="D1066">
        <v>3240607.1</v>
      </c>
    </row>
    <row r="1067" spans="1:4" x14ac:dyDescent="0.25">
      <c r="A1067" s="279">
        <v>39009</v>
      </c>
      <c r="B1067" s="309" t="s">
        <v>405</v>
      </c>
      <c r="C1067" s="309" t="s">
        <v>408</v>
      </c>
      <c r="D1067">
        <v>1007</v>
      </c>
    </row>
    <row r="1068" spans="1:4" x14ac:dyDescent="0.25">
      <c r="A1068" s="279">
        <v>39009</v>
      </c>
      <c r="B1068" s="309" t="s">
        <v>405</v>
      </c>
      <c r="C1068" s="309" t="s">
        <v>409</v>
      </c>
      <c r="D1068">
        <v>1058</v>
      </c>
    </row>
    <row r="1069" spans="1:4" x14ac:dyDescent="0.25">
      <c r="A1069" s="279">
        <v>39009</v>
      </c>
      <c r="B1069" s="309" t="s">
        <v>405</v>
      </c>
      <c r="C1069" s="309" t="s">
        <v>410</v>
      </c>
      <c r="D1069">
        <v>1033</v>
      </c>
    </row>
    <row r="1070" spans="1:4" x14ac:dyDescent="0.25">
      <c r="A1070" s="279">
        <v>39009</v>
      </c>
      <c r="B1070" s="309" t="s">
        <v>411</v>
      </c>
      <c r="C1070" s="309" t="s">
        <v>406</v>
      </c>
      <c r="D1070">
        <v>195913</v>
      </c>
    </row>
    <row r="1071" spans="1:4" x14ac:dyDescent="0.25">
      <c r="A1071" s="279">
        <v>39009</v>
      </c>
      <c r="B1071" s="309" t="s">
        <v>411</v>
      </c>
      <c r="C1071" s="309" t="s">
        <v>198</v>
      </c>
      <c r="D1071">
        <v>0</v>
      </c>
    </row>
    <row r="1072" spans="1:4" x14ac:dyDescent="0.25">
      <c r="A1072" s="279">
        <v>39009</v>
      </c>
      <c r="B1072" s="309" t="s">
        <v>411</v>
      </c>
      <c r="C1072" s="309" t="s">
        <v>199</v>
      </c>
      <c r="D1072">
        <v>0</v>
      </c>
    </row>
    <row r="1073" spans="1:4" x14ac:dyDescent="0.25">
      <c r="A1073" s="279">
        <v>39009</v>
      </c>
      <c r="B1073" s="309" t="s">
        <v>411</v>
      </c>
      <c r="C1073" s="309" t="s">
        <v>90</v>
      </c>
      <c r="D1073">
        <v>145</v>
      </c>
    </row>
    <row r="1074" spans="1:4" x14ac:dyDescent="0.25">
      <c r="A1074" s="279">
        <v>39009</v>
      </c>
      <c r="B1074" s="309" t="s">
        <v>411</v>
      </c>
      <c r="C1074" s="309" t="s">
        <v>24</v>
      </c>
      <c r="D1074">
        <v>0</v>
      </c>
    </row>
    <row r="1075" spans="1:4" x14ac:dyDescent="0.25">
      <c r="A1075" s="279">
        <v>39009</v>
      </c>
      <c r="B1075" s="309" t="s">
        <v>411</v>
      </c>
      <c r="C1075" s="309" t="s">
        <v>91</v>
      </c>
      <c r="D1075">
        <v>0</v>
      </c>
    </row>
    <row r="1076" spans="1:4" x14ac:dyDescent="0.25">
      <c r="A1076" s="279">
        <v>39009</v>
      </c>
      <c r="B1076" s="309" t="s">
        <v>411</v>
      </c>
      <c r="C1076" s="309" t="s">
        <v>118</v>
      </c>
      <c r="D1076">
        <v>0</v>
      </c>
    </row>
    <row r="1077" spans="1:4" x14ac:dyDescent="0.25">
      <c r="A1077" s="279">
        <v>39009</v>
      </c>
      <c r="B1077" s="309" t="s">
        <v>411</v>
      </c>
      <c r="C1077" s="309" t="s">
        <v>407</v>
      </c>
      <c r="D1077">
        <v>195768</v>
      </c>
    </row>
    <row r="1078" spans="1:4" x14ac:dyDescent="0.25">
      <c r="A1078" s="279">
        <v>39009</v>
      </c>
      <c r="B1078" s="309" t="s">
        <v>411</v>
      </c>
      <c r="C1078" s="309" t="s">
        <v>412</v>
      </c>
      <c r="D1078">
        <v>1007</v>
      </c>
    </row>
    <row r="1079" spans="1:4" x14ac:dyDescent="0.25">
      <c r="A1079" s="279">
        <v>39009</v>
      </c>
      <c r="B1079" s="309" t="s">
        <v>411</v>
      </c>
      <c r="C1079" s="309" t="s">
        <v>409</v>
      </c>
      <c r="D1079">
        <v>1076</v>
      </c>
    </row>
    <row r="1080" spans="1:4" x14ac:dyDescent="0.25">
      <c r="A1080" s="279">
        <v>39010</v>
      </c>
      <c r="B1080" s="309" t="s">
        <v>405</v>
      </c>
      <c r="C1080" s="309" t="s">
        <v>406</v>
      </c>
      <c r="D1080">
        <v>3240607.1</v>
      </c>
    </row>
    <row r="1081" spans="1:4" x14ac:dyDescent="0.25">
      <c r="A1081" s="279">
        <v>39010</v>
      </c>
      <c r="B1081" s="309" t="s">
        <v>405</v>
      </c>
      <c r="C1081" s="309" t="s">
        <v>89</v>
      </c>
      <c r="D1081">
        <v>19295</v>
      </c>
    </row>
    <row r="1082" spans="1:4" x14ac:dyDescent="0.25">
      <c r="A1082" s="279">
        <v>39010</v>
      </c>
      <c r="B1082" s="309" t="s">
        <v>405</v>
      </c>
      <c r="C1082" s="309" t="s">
        <v>198</v>
      </c>
      <c r="D1082">
        <v>0</v>
      </c>
    </row>
    <row r="1083" spans="1:4" x14ac:dyDescent="0.25">
      <c r="A1083" s="279">
        <v>39010</v>
      </c>
      <c r="B1083" s="309" t="s">
        <v>405</v>
      </c>
      <c r="C1083" s="309" t="s">
        <v>199</v>
      </c>
      <c r="D1083">
        <v>0</v>
      </c>
    </row>
    <row r="1084" spans="1:4" x14ac:dyDescent="0.25">
      <c r="A1084" s="279">
        <v>39010</v>
      </c>
      <c r="B1084" s="309" t="s">
        <v>405</v>
      </c>
      <c r="C1084" s="309" t="s">
        <v>90</v>
      </c>
      <c r="D1084">
        <v>2733</v>
      </c>
    </row>
    <row r="1085" spans="1:4" x14ac:dyDescent="0.25">
      <c r="A1085" s="279">
        <v>39010</v>
      </c>
      <c r="B1085" s="309" t="s">
        <v>405</v>
      </c>
      <c r="C1085" s="309" t="s">
        <v>24</v>
      </c>
      <c r="D1085">
        <v>0</v>
      </c>
    </row>
    <row r="1086" spans="1:4" x14ac:dyDescent="0.25">
      <c r="A1086" s="279">
        <v>39010</v>
      </c>
      <c r="B1086" s="309" t="s">
        <v>405</v>
      </c>
      <c r="C1086" s="309" t="s">
        <v>91</v>
      </c>
      <c r="D1086">
        <v>0</v>
      </c>
    </row>
    <row r="1087" spans="1:4" x14ac:dyDescent="0.25">
      <c r="A1087" s="279">
        <v>39010</v>
      </c>
      <c r="B1087" s="309" t="s">
        <v>405</v>
      </c>
      <c r="C1087" s="309" t="s">
        <v>118</v>
      </c>
      <c r="D1087">
        <v>0</v>
      </c>
    </row>
    <row r="1088" spans="1:4" x14ac:dyDescent="0.25">
      <c r="A1088" s="279">
        <v>39010</v>
      </c>
      <c r="B1088" s="309" t="s">
        <v>405</v>
      </c>
      <c r="C1088" s="309" t="s">
        <v>407</v>
      </c>
      <c r="D1088">
        <v>3257169.1</v>
      </c>
    </row>
    <row r="1089" spans="1:4" x14ac:dyDescent="0.25">
      <c r="A1089" s="279">
        <v>39010</v>
      </c>
      <c r="B1089" s="309" t="s">
        <v>405</v>
      </c>
      <c r="C1089" s="309" t="s">
        <v>408</v>
      </c>
      <c r="D1089">
        <v>1007</v>
      </c>
    </row>
    <row r="1090" spans="1:4" x14ac:dyDescent="0.25">
      <c r="A1090" s="279">
        <v>39010</v>
      </c>
      <c r="B1090" s="309" t="s">
        <v>405</v>
      </c>
      <c r="C1090" s="309" t="s">
        <v>409</v>
      </c>
      <c r="D1090">
        <v>1058</v>
      </c>
    </row>
    <row r="1091" spans="1:4" x14ac:dyDescent="0.25">
      <c r="A1091" s="279">
        <v>39010</v>
      </c>
      <c r="B1091" s="309" t="s">
        <v>405</v>
      </c>
      <c r="C1091" s="309" t="s">
        <v>410</v>
      </c>
      <c r="D1091">
        <v>1033</v>
      </c>
    </row>
    <row r="1092" spans="1:4" x14ac:dyDescent="0.25">
      <c r="A1092" s="279">
        <v>39010</v>
      </c>
      <c r="B1092" s="309" t="s">
        <v>411</v>
      </c>
      <c r="C1092" s="309" t="s">
        <v>406</v>
      </c>
      <c r="D1092">
        <v>195768</v>
      </c>
    </row>
    <row r="1093" spans="1:4" x14ac:dyDescent="0.25">
      <c r="A1093" s="279">
        <v>39010</v>
      </c>
      <c r="B1093" s="309" t="s">
        <v>411</v>
      </c>
      <c r="C1093" s="309" t="s">
        <v>198</v>
      </c>
      <c r="D1093">
        <v>0</v>
      </c>
    </row>
    <row r="1094" spans="1:4" x14ac:dyDescent="0.25">
      <c r="A1094" s="279">
        <v>39010</v>
      </c>
      <c r="B1094" s="309" t="s">
        <v>411</v>
      </c>
      <c r="C1094" s="309" t="s">
        <v>199</v>
      </c>
      <c r="D1094">
        <v>0</v>
      </c>
    </row>
    <row r="1095" spans="1:4" x14ac:dyDescent="0.25">
      <c r="A1095" s="279">
        <v>39010</v>
      </c>
      <c r="B1095" s="309" t="s">
        <v>411</v>
      </c>
      <c r="C1095" s="309" t="s">
        <v>90</v>
      </c>
      <c r="D1095">
        <v>65</v>
      </c>
    </row>
    <row r="1096" spans="1:4" x14ac:dyDescent="0.25">
      <c r="A1096" s="279">
        <v>39010</v>
      </c>
      <c r="B1096" s="309" t="s">
        <v>411</v>
      </c>
      <c r="C1096" s="309" t="s">
        <v>24</v>
      </c>
      <c r="D1096">
        <v>0</v>
      </c>
    </row>
    <row r="1097" spans="1:4" x14ac:dyDescent="0.25">
      <c r="A1097" s="279">
        <v>39010</v>
      </c>
      <c r="B1097" s="309" t="s">
        <v>411</v>
      </c>
      <c r="C1097" s="309" t="s">
        <v>91</v>
      </c>
      <c r="D1097">
        <v>0</v>
      </c>
    </row>
    <row r="1098" spans="1:4" x14ac:dyDescent="0.25">
      <c r="A1098" s="279">
        <v>39010</v>
      </c>
      <c r="B1098" s="309" t="s">
        <v>411</v>
      </c>
      <c r="C1098" s="309" t="s">
        <v>118</v>
      </c>
      <c r="D1098">
        <v>0</v>
      </c>
    </row>
    <row r="1099" spans="1:4" x14ac:dyDescent="0.25">
      <c r="A1099" s="279">
        <v>39010</v>
      </c>
      <c r="B1099" s="309" t="s">
        <v>411</v>
      </c>
      <c r="C1099" s="309" t="s">
        <v>407</v>
      </c>
      <c r="D1099">
        <v>195703</v>
      </c>
    </row>
    <row r="1100" spans="1:4" x14ac:dyDescent="0.25">
      <c r="A1100" s="279">
        <v>39010</v>
      </c>
      <c r="B1100" s="309" t="s">
        <v>411</v>
      </c>
      <c r="C1100" s="309" t="s">
        <v>412</v>
      </c>
      <c r="D1100">
        <v>1007</v>
      </c>
    </row>
    <row r="1101" spans="1:4" x14ac:dyDescent="0.25">
      <c r="A1101" s="279">
        <v>39010</v>
      </c>
      <c r="B1101" s="309" t="s">
        <v>411</v>
      </c>
      <c r="C1101" s="309" t="s">
        <v>409</v>
      </c>
      <c r="D1101">
        <v>1076</v>
      </c>
    </row>
    <row r="1102" spans="1:4" x14ac:dyDescent="0.25">
      <c r="A1102" s="279">
        <v>39011</v>
      </c>
      <c r="B1102" s="309" t="s">
        <v>405</v>
      </c>
      <c r="C1102" s="309" t="s">
        <v>406</v>
      </c>
      <c r="D1102">
        <v>3257169.1</v>
      </c>
    </row>
    <row r="1103" spans="1:4" x14ac:dyDescent="0.25">
      <c r="A1103" s="279">
        <v>39011</v>
      </c>
      <c r="B1103" s="309" t="s">
        <v>405</v>
      </c>
      <c r="C1103" s="309" t="s">
        <v>89</v>
      </c>
      <c r="D1103">
        <v>26053</v>
      </c>
    </row>
    <row r="1104" spans="1:4" x14ac:dyDescent="0.25">
      <c r="A1104" s="279">
        <v>39011</v>
      </c>
      <c r="B1104" s="309" t="s">
        <v>405</v>
      </c>
      <c r="C1104" s="309" t="s">
        <v>198</v>
      </c>
      <c r="D1104">
        <v>0</v>
      </c>
    </row>
    <row r="1105" spans="1:4" x14ac:dyDescent="0.25">
      <c r="A1105" s="279">
        <v>39011</v>
      </c>
      <c r="B1105" s="309" t="s">
        <v>405</v>
      </c>
      <c r="C1105" s="309" t="s">
        <v>199</v>
      </c>
      <c r="D1105">
        <v>0</v>
      </c>
    </row>
    <row r="1106" spans="1:4" x14ac:dyDescent="0.25">
      <c r="A1106" s="279">
        <v>39011</v>
      </c>
      <c r="B1106" s="309" t="s">
        <v>405</v>
      </c>
      <c r="C1106" s="309" t="s">
        <v>90</v>
      </c>
      <c r="D1106">
        <v>3077</v>
      </c>
    </row>
    <row r="1107" spans="1:4" x14ac:dyDescent="0.25">
      <c r="A1107" s="279">
        <v>39011</v>
      </c>
      <c r="B1107" s="309" t="s">
        <v>405</v>
      </c>
      <c r="C1107" s="309" t="s">
        <v>24</v>
      </c>
      <c r="D1107">
        <v>0</v>
      </c>
    </row>
    <row r="1108" spans="1:4" x14ac:dyDescent="0.25">
      <c r="A1108" s="279">
        <v>39011</v>
      </c>
      <c r="B1108" s="309" t="s">
        <v>405</v>
      </c>
      <c r="C1108" s="309" t="s">
        <v>91</v>
      </c>
      <c r="D1108">
        <v>0</v>
      </c>
    </row>
    <row r="1109" spans="1:4" x14ac:dyDescent="0.25">
      <c r="A1109" s="279">
        <v>39011</v>
      </c>
      <c r="B1109" s="309" t="s">
        <v>405</v>
      </c>
      <c r="C1109" s="309" t="s">
        <v>118</v>
      </c>
      <c r="D1109">
        <v>0</v>
      </c>
    </row>
    <row r="1110" spans="1:4" x14ac:dyDescent="0.25">
      <c r="A1110" s="279">
        <v>39011</v>
      </c>
      <c r="B1110" s="309" t="s">
        <v>405</v>
      </c>
      <c r="C1110" s="309" t="s">
        <v>407</v>
      </c>
      <c r="D1110">
        <v>3280145.1</v>
      </c>
    </row>
    <row r="1111" spans="1:4" x14ac:dyDescent="0.25">
      <c r="A1111" s="279">
        <v>39011</v>
      </c>
      <c r="B1111" s="309" t="s">
        <v>405</v>
      </c>
      <c r="C1111" s="309" t="s">
        <v>408</v>
      </c>
      <c r="D1111">
        <v>1007</v>
      </c>
    </row>
    <row r="1112" spans="1:4" x14ac:dyDescent="0.25">
      <c r="A1112" s="279">
        <v>39011</v>
      </c>
      <c r="B1112" s="309" t="s">
        <v>405</v>
      </c>
      <c r="C1112" s="309" t="s">
        <v>409</v>
      </c>
      <c r="D1112">
        <v>1058</v>
      </c>
    </row>
    <row r="1113" spans="1:4" x14ac:dyDescent="0.25">
      <c r="A1113" s="279">
        <v>39011</v>
      </c>
      <c r="B1113" s="309" t="s">
        <v>405</v>
      </c>
      <c r="C1113" s="309" t="s">
        <v>410</v>
      </c>
      <c r="D1113">
        <v>1034</v>
      </c>
    </row>
    <row r="1114" spans="1:4" x14ac:dyDescent="0.25">
      <c r="A1114" s="279">
        <v>39011</v>
      </c>
      <c r="B1114" s="309" t="s">
        <v>411</v>
      </c>
      <c r="C1114" s="309" t="s">
        <v>406</v>
      </c>
      <c r="D1114">
        <v>195703</v>
      </c>
    </row>
    <row r="1115" spans="1:4" x14ac:dyDescent="0.25">
      <c r="A1115" s="279">
        <v>39011</v>
      </c>
      <c r="B1115" s="309" t="s">
        <v>411</v>
      </c>
      <c r="C1115" s="309" t="s">
        <v>198</v>
      </c>
      <c r="D1115">
        <v>0</v>
      </c>
    </row>
    <row r="1116" spans="1:4" x14ac:dyDescent="0.25">
      <c r="A1116" s="279">
        <v>39011</v>
      </c>
      <c r="B1116" s="309" t="s">
        <v>411</v>
      </c>
      <c r="C1116" s="309" t="s">
        <v>199</v>
      </c>
      <c r="D1116">
        <v>0</v>
      </c>
    </row>
    <row r="1117" spans="1:4" x14ac:dyDescent="0.25">
      <c r="A1117" s="279">
        <v>39011</v>
      </c>
      <c r="B1117" s="309" t="s">
        <v>411</v>
      </c>
      <c r="C1117" s="309" t="s">
        <v>90</v>
      </c>
      <c r="D1117">
        <v>211</v>
      </c>
    </row>
    <row r="1118" spans="1:4" x14ac:dyDescent="0.25">
      <c r="A1118" s="279">
        <v>39011</v>
      </c>
      <c r="B1118" s="309" t="s">
        <v>411</v>
      </c>
      <c r="C1118" s="309" t="s">
        <v>24</v>
      </c>
      <c r="D1118">
        <v>0</v>
      </c>
    </row>
    <row r="1119" spans="1:4" x14ac:dyDescent="0.25">
      <c r="A1119" s="279">
        <v>39011</v>
      </c>
      <c r="B1119" s="309" t="s">
        <v>411</v>
      </c>
      <c r="C1119" s="309" t="s">
        <v>91</v>
      </c>
      <c r="D1119">
        <v>0</v>
      </c>
    </row>
    <row r="1120" spans="1:4" x14ac:dyDescent="0.25">
      <c r="A1120" s="279">
        <v>39011</v>
      </c>
      <c r="B1120" s="309" t="s">
        <v>411</v>
      </c>
      <c r="C1120" s="309" t="s">
        <v>118</v>
      </c>
      <c r="D1120">
        <v>0</v>
      </c>
    </row>
    <row r="1121" spans="1:4" x14ac:dyDescent="0.25">
      <c r="A1121" s="279">
        <v>39011</v>
      </c>
      <c r="B1121" s="309" t="s">
        <v>411</v>
      </c>
      <c r="C1121" s="309" t="s">
        <v>407</v>
      </c>
      <c r="D1121">
        <v>195492</v>
      </c>
    </row>
    <row r="1122" spans="1:4" x14ac:dyDescent="0.25">
      <c r="A1122" s="279">
        <v>39011</v>
      </c>
      <c r="B1122" s="309" t="s">
        <v>411</v>
      </c>
      <c r="C1122" s="309" t="s">
        <v>412</v>
      </c>
      <c r="D1122">
        <v>1007</v>
      </c>
    </row>
    <row r="1123" spans="1:4" x14ac:dyDescent="0.25">
      <c r="A1123" s="279">
        <v>39011</v>
      </c>
      <c r="B1123" s="309" t="s">
        <v>411</v>
      </c>
      <c r="C1123" s="309" t="s">
        <v>409</v>
      </c>
      <c r="D1123">
        <v>1076</v>
      </c>
    </row>
    <row r="1124" spans="1:4" x14ac:dyDescent="0.25">
      <c r="A1124" s="279">
        <v>39012</v>
      </c>
      <c r="B1124" s="309" t="s">
        <v>405</v>
      </c>
      <c r="C1124" s="309" t="s">
        <v>406</v>
      </c>
      <c r="D1124">
        <v>3280145.1</v>
      </c>
    </row>
    <row r="1125" spans="1:4" x14ac:dyDescent="0.25">
      <c r="A1125" s="279">
        <v>39012</v>
      </c>
      <c r="B1125" s="309" t="s">
        <v>405</v>
      </c>
      <c r="C1125" s="309" t="s">
        <v>89</v>
      </c>
      <c r="D1125">
        <v>19028</v>
      </c>
    </row>
    <row r="1126" spans="1:4" x14ac:dyDescent="0.25">
      <c r="A1126" s="279">
        <v>39012</v>
      </c>
      <c r="B1126" s="309" t="s">
        <v>405</v>
      </c>
      <c r="C1126" s="309" t="s">
        <v>198</v>
      </c>
      <c r="D1126">
        <v>0</v>
      </c>
    </row>
    <row r="1127" spans="1:4" x14ac:dyDescent="0.25">
      <c r="A1127" s="279">
        <v>39012</v>
      </c>
      <c r="B1127" s="309" t="s">
        <v>405</v>
      </c>
      <c r="C1127" s="309" t="s">
        <v>199</v>
      </c>
      <c r="D1127">
        <v>0</v>
      </c>
    </row>
    <row r="1128" spans="1:4" x14ac:dyDescent="0.25">
      <c r="A1128" s="279">
        <v>39012</v>
      </c>
      <c r="B1128" s="309" t="s">
        <v>405</v>
      </c>
      <c r="C1128" s="309" t="s">
        <v>90</v>
      </c>
      <c r="D1128">
        <v>2731</v>
      </c>
    </row>
    <row r="1129" spans="1:4" x14ac:dyDescent="0.25">
      <c r="A1129" s="279">
        <v>39012</v>
      </c>
      <c r="B1129" s="309" t="s">
        <v>405</v>
      </c>
      <c r="C1129" s="309" t="s">
        <v>24</v>
      </c>
      <c r="D1129">
        <v>0</v>
      </c>
    </row>
    <row r="1130" spans="1:4" x14ac:dyDescent="0.25">
      <c r="A1130" s="279">
        <v>39012</v>
      </c>
      <c r="B1130" s="309" t="s">
        <v>405</v>
      </c>
      <c r="C1130" s="309" t="s">
        <v>91</v>
      </c>
      <c r="D1130">
        <v>0</v>
      </c>
    </row>
    <row r="1131" spans="1:4" x14ac:dyDescent="0.25">
      <c r="A1131" s="279">
        <v>39012</v>
      </c>
      <c r="B1131" s="309" t="s">
        <v>405</v>
      </c>
      <c r="C1131" s="309" t="s">
        <v>118</v>
      </c>
      <c r="D1131">
        <v>0</v>
      </c>
    </row>
    <row r="1132" spans="1:4" x14ac:dyDescent="0.25">
      <c r="A1132" s="279">
        <v>39012</v>
      </c>
      <c r="B1132" s="309" t="s">
        <v>405</v>
      </c>
      <c r="C1132" s="309" t="s">
        <v>407</v>
      </c>
      <c r="D1132">
        <v>3296442.1</v>
      </c>
    </row>
    <row r="1133" spans="1:4" x14ac:dyDescent="0.25">
      <c r="A1133" s="279">
        <v>39012</v>
      </c>
      <c r="B1133" s="309" t="s">
        <v>405</v>
      </c>
      <c r="C1133" s="309" t="s">
        <v>408</v>
      </c>
      <c r="D1133">
        <v>1007</v>
      </c>
    </row>
    <row r="1134" spans="1:4" x14ac:dyDescent="0.25">
      <c r="A1134" s="279">
        <v>39012</v>
      </c>
      <c r="B1134" s="309" t="s">
        <v>405</v>
      </c>
      <c r="C1134" s="309" t="s">
        <v>409</v>
      </c>
      <c r="D1134">
        <v>1058</v>
      </c>
    </row>
    <row r="1135" spans="1:4" x14ac:dyDescent="0.25">
      <c r="A1135" s="279">
        <v>39012</v>
      </c>
      <c r="B1135" s="309" t="s">
        <v>405</v>
      </c>
      <c r="C1135" s="309" t="s">
        <v>410</v>
      </c>
      <c r="D1135">
        <v>1036</v>
      </c>
    </row>
    <row r="1136" spans="1:4" x14ac:dyDescent="0.25">
      <c r="A1136" s="279">
        <v>39012</v>
      </c>
      <c r="B1136" s="309" t="s">
        <v>411</v>
      </c>
      <c r="C1136" s="309" t="s">
        <v>406</v>
      </c>
      <c r="D1136">
        <v>195492</v>
      </c>
    </row>
    <row r="1137" spans="1:4" x14ac:dyDescent="0.25">
      <c r="A1137" s="279">
        <v>39012</v>
      </c>
      <c r="B1137" s="309" t="s">
        <v>411</v>
      </c>
      <c r="C1137" s="309" t="s">
        <v>198</v>
      </c>
      <c r="D1137">
        <v>0</v>
      </c>
    </row>
    <row r="1138" spans="1:4" x14ac:dyDescent="0.25">
      <c r="A1138" s="279">
        <v>39012</v>
      </c>
      <c r="B1138" s="309" t="s">
        <v>411</v>
      </c>
      <c r="C1138" s="309" t="s">
        <v>199</v>
      </c>
      <c r="D1138">
        <v>0</v>
      </c>
    </row>
    <row r="1139" spans="1:4" x14ac:dyDescent="0.25">
      <c r="A1139" s="279">
        <v>39012</v>
      </c>
      <c r="B1139" s="309" t="s">
        <v>411</v>
      </c>
      <c r="C1139" s="309" t="s">
        <v>90</v>
      </c>
      <c r="D1139">
        <v>62</v>
      </c>
    </row>
    <row r="1140" spans="1:4" x14ac:dyDescent="0.25">
      <c r="A1140" s="279">
        <v>39012</v>
      </c>
      <c r="B1140" s="309" t="s">
        <v>411</v>
      </c>
      <c r="C1140" s="309" t="s">
        <v>24</v>
      </c>
      <c r="D1140">
        <v>0</v>
      </c>
    </row>
    <row r="1141" spans="1:4" x14ac:dyDescent="0.25">
      <c r="A1141" s="279">
        <v>39012</v>
      </c>
      <c r="B1141" s="309" t="s">
        <v>411</v>
      </c>
      <c r="C1141" s="309" t="s">
        <v>91</v>
      </c>
      <c r="D1141">
        <v>0</v>
      </c>
    </row>
    <row r="1142" spans="1:4" x14ac:dyDescent="0.25">
      <c r="A1142" s="279">
        <v>39012</v>
      </c>
      <c r="B1142" s="309" t="s">
        <v>411</v>
      </c>
      <c r="C1142" s="309" t="s">
        <v>118</v>
      </c>
      <c r="D1142">
        <v>0</v>
      </c>
    </row>
    <row r="1143" spans="1:4" x14ac:dyDescent="0.25">
      <c r="A1143" s="279">
        <v>39012</v>
      </c>
      <c r="B1143" s="309" t="s">
        <v>411</v>
      </c>
      <c r="C1143" s="309" t="s">
        <v>407</v>
      </c>
      <c r="D1143">
        <v>195430</v>
      </c>
    </row>
    <row r="1144" spans="1:4" x14ac:dyDescent="0.25">
      <c r="A1144" s="279">
        <v>39012</v>
      </c>
      <c r="B1144" s="309" t="s">
        <v>411</v>
      </c>
      <c r="C1144" s="309" t="s">
        <v>412</v>
      </c>
      <c r="D1144">
        <v>1007</v>
      </c>
    </row>
    <row r="1145" spans="1:4" x14ac:dyDescent="0.25">
      <c r="A1145" s="279">
        <v>39012</v>
      </c>
      <c r="B1145" s="309" t="s">
        <v>411</v>
      </c>
      <c r="C1145" s="309" t="s">
        <v>409</v>
      </c>
      <c r="D1145">
        <v>1076</v>
      </c>
    </row>
    <row r="1146" spans="1:4" x14ac:dyDescent="0.25">
      <c r="A1146" s="279">
        <v>39013</v>
      </c>
      <c r="B1146" s="309" t="s">
        <v>405</v>
      </c>
      <c r="C1146" s="309" t="s">
        <v>406</v>
      </c>
      <c r="D1146">
        <v>3296442.1</v>
      </c>
    </row>
    <row r="1147" spans="1:4" x14ac:dyDescent="0.25">
      <c r="A1147" s="279">
        <v>39013</v>
      </c>
      <c r="B1147" s="309" t="s">
        <v>405</v>
      </c>
      <c r="C1147" s="309" t="s">
        <v>89</v>
      </c>
      <c r="D1147">
        <v>24660</v>
      </c>
    </row>
    <row r="1148" spans="1:4" x14ac:dyDescent="0.25">
      <c r="A1148" s="279">
        <v>39013</v>
      </c>
      <c r="B1148" s="309" t="s">
        <v>405</v>
      </c>
      <c r="C1148" s="309" t="s">
        <v>198</v>
      </c>
      <c r="D1148">
        <v>0</v>
      </c>
    </row>
    <row r="1149" spans="1:4" x14ac:dyDescent="0.25">
      <c r="A1149" s="279">
        <v>39013</v>
      </c>
      <c r="B1149" s="309" t="s">
        <v>405</v>
      </c>
      <c r="C1149" s="309" t="s">
        <v>199</v>
      </c>
      <c r="D1149">
        <v>0</v>
      </c>
    </row>
    <row r="1150" spans="1:4" x14ac:dyDescent="0.25">
      <c r="A1150" s="279">
        <v>39013</v>
      </c>
      <c r="B1150" s="309" t="s">
        <v>405</v>
      </c>
      <c r="C1150" s="309" t="s">
        <v>90</v>
      </c>
      <c r="D1150">
        <v>3018</v>
      </c>
    </row>
    <row r="1151" spans="1:4" x14ac:dyDescent="0.25">
      <c r="A1151" s="279">
        <v>39013</v>
      </c>
      <c r="B1151" s="309" t="s">
        <v>405</v>
      </c>
      <c r="C1151" s="309" t="s">
        <v>24</v>
      </c>
      <c r="D1151">
        <v>0</v>
      </c>
    </row>
    <row r="1152" spans="1:4" x14ac:dyDescent="0.25">
      <c r="A1152" s="279">
        <v>39013</v>
      </c>
      <c r="B1152" s="309" t="s">
        <v>405</v>
      </c>
      <c r="C1152" s="309" t="s">
        <v>91</v>
      </c>
      <c r="D1152">
        <v>0</v>
      </c>
    </row>
    <row r="1153" spans="1:4" x14ac:dyDescent="0.25">
      <c r="A1153" s="279">
        <v>39013</v>
      </c>
      <c r="B1153" s="309" t="s">
        <v>405</v>
      </c>
      <c r="C1153" s="309" t="s">
        <v>118</v>
      </c>
      <c r="D1153">
        <v>0</v>
      </c>
    </row>
    <row r="1154" spans="1:4" x14ac:dyDescent="0.25">
      <c r="A1154" s="279">
        <v>39013</v>
      </c>
      <c r="B1154" s="309" t="s">
        <v>405</v>
      </c>
      <c r="C1154" s="309" t="s">
        <v>407</v>
      </c>
      <c r="D1154">
        <v>3318084.1</v>
      </c>
    </row>
    <row r="1155" spans="1:4" x14ac:dyDescent="0.25">
      <c r="A1155" s="279">
        <v>39013</v>
      </c>
      <c r="B1155" s="309" t="s">
        <v>405</v>
      </c>
      <c r="C1155" s="309" t="s">
        <v>408</v>
      </c>
      <c r="D1155">
        <v>1007</v>
      </c>
    </row>
    <row r="1156" spans="1:4" x14ac:dyDescent="0.25">
      <c r="A1156" s="279">
        <v>39013</v>
      </c>
      <c r="B1156" s="309" t="s">
        <v>405</v>
      </c>
      <c r="C1156" s="309" t="s">
        <v>409</v>
      </c>
      <c r="D1156">
        <v>1058</v>
      </c>
    </row>
    <row r="1157" spans="1:4" x14ac:dyDescent="0.25">
      <c r="A1157" s="279">
        <v>39013</v>
      </c>
      <c r="B1157" s="309" t="s">
        <v>405</v>
      </c>
      <c r="C1157" s="309" t="s">
        <v>410</v>
      </c>
      <c r="D1157">
        <v>1035</v>
      </c>
    </row>
    <row r="1158" spans="1:4" x14ac:dyDescent="0.25">
      <c r="A1158" s="279">
        <v>39013</v>
      </c>
      <c r="B1158" s="309" t="s">
        <v>411</v>
      </c>
      <c r="C1158" s="309" t="s">
        <v>406</v>
      </c>
      <c r="D1158">
        <v>195430</v>
      </c>
    </row>
    <row r="1159" spans="1:4" x14ac:dyDescent="0.25">
      <c r="A1159" s="279">
        <v>39013</v>
      </c>
      <c r="B1159" s="309" t="s">
        <v>411</v>
      </c>
      <c r="C1159" s="309" t="s">
        <v>198</v>
      </c>
      <c r="D1159">
        <v>0</v>
      </c>
    </row>
    <row r="1160" spans="1:4" x14ac:dyDescent="0.25">
      <c r="A1160" s="279">
        <v>39013</v>
      </c>
      <c r="B1160" s="309" t="s">
        <v>411</v>
      </c>
      <c r="C1160" s="309" t="s">
        <v>199</v>
      </c>
      <c r="D1160">
        <v>0</v>
      </c>
    </row>
    <row r="1161" spans="1:4" x14ac:dyDescent="0.25">
      <c r="A1161" s="279">
        <v>39013</v>
      </c>
      <c r="B1161" s="309" t="s">
        <v>411</v>
      </c>
      <c r="C1161" s="309" t="s">
        <v>90</v>
      </c>
      <c r="D1161">
        <v>214</v>
      </c>
    </row>
    <row r="1162" spans="1:4" x14ac:dyDescent="0.25">
      <c r="A1162" s="279">
        <v>39013</v>
      </c>
      <c r="B1162" s="309" t="s">
        <v>411</v>
      </c>
      <c r="C1162" s="309" t="s">
        <v>24</v>
      </c>
      <c r="D1162">
        <v>0</v>
      </c>
    </row>
    <row r="1163" spans="1:4" x14ac:dyDescent="0.25">
      <c r="A1163" s="279">
        <v>39013</v>
      </c>
      <c r="B1163" s="309" t="s">
        <v>411</v>
      </c>
      <c r="C1163" s="309" t="s">
        <v>91</v>
      </c>
      <c r="D1163">
        <v>0</v>
      </c>
    </row>
    <row r="1164" spans="1:4" x14ac:dyDescent="0.25">
      <c r="A1164" s="279">
        <v>39013</v>
      </c>
      <c r="B1164" s="309" t="s">
        <v>411</v>
      </c>
      <c r="C1164" s="309" t="s">
        <v>118</v>
      </c>
      <c r="D1164">
        <v>0</v>
      </c>
    </row>
    <row r="1165" spans="1:4" x14ac:dyDescent="0.25">
      <c r="A1165" s="279">
        <v>39013</v>
      </c>
      <c r="B1165" s="309" t="s">
        <v>411</v>
      </c>
      <c r="C1165" s="309" t="s">
        <v>407</v>
      </c>
      <c r="D1165">
        <v>195216</v>
      </c>
    </row>
    <row r="1166" spans="1:4" x14ac:dyDescent="0.25">
      <c r="A1166" s="279">
        <v>39013</v>
      </c>
      <c r="B1166" s="309" t="s">
        <v>411</v>
      </c>
      <c r="C1166" s="309" t="s">
        <v>412</v>
      </c>
      <c r="D1166">
        <v>1007</v>
      </c>
    </row>
    <row r="1167" spans="1:4" x14ac:dyDescent="0.25">
      <c r="A1167" s="279">
        <v>39013</v>
      </c>
      <c r="B1167" s="309" t="s">
        <v>411</v>
      </c>
      <c r="C1167" s="309" t="s">
        <v>409</v>
      </c>
      <c r="D1167">
        <v>1076</v>
      </c>
    </row>
    <row r="1168" spans="1:4" x14ac:dyDescent="0.25">
      <c r="A1168" s="279">
        <v>39014</v>
      </c>
      <c r="B1168" s="309" t="s">
        <v>405</v>
      </c>
      <c r="C1168" s="309" t="s">
        <v>406</v>
      </c>
      <c r="D1168">
        <v>3318084.1</v>
      </c>
    </row>
    <row r="1169" spans="1:4" x14ac:dyDescent="0.25">
      <c r="A1169" s="279">
        <v>39014</v>
      </c>
      <c r="B1169" s="309" t="s">
        <v>405</v>
      </c>
      <c r="C1169" s="309" t="s">
        <v>89</v>
      </c>
      <c r="D1169">
        <v>25793</v>
      </c>
    </row>
    <row r="1170" spans="1:4" x14ac:dyDescent="0.25">
      <c r="A1170" s="279">
        <v>39014</v>
      </c>
      <c r="B1170" s="309" t="s">
        <v>405</v>
      </c>
      <c r="C1170" s="309" t="s">
        <v>198</v>
      </c>
      <c r="D1170">
        <v>0</v>
      </c>
    </row>
    <row r="1171" spans="1:4" x14ac:dyDescent="0.25">
      <c r="A1171" s="279">
        <v>39014</v>
      </c>
      <c r="B1171" s="309" t="s">
        <v>405</v>
      </c>
      <c r="C1171" s="309" t="s">
        <v>199</v>
      </c>
      <c r="D1171">
        <v>0</v>
      </c>
    </row>
    <row r="1172" spans="1:4" x14ac:dyDescent="0.25">
      <c r="A1172" s="279">
        <v>39014</v>
      </c>
      <c r="B1172" s="309" t="s">
        <v>405</v>
      </c>
      <c r="C1172" s="309" t="s">
        <v>90</v>
      </c>
      <c r="D1172">
        <v>3082</v>
      </c>
    </row>
    <row r="1173" spans="1:4" x14ac:dyDescent="0.25">
      <c r="A1173" s="279">
        <v>39014</v>
      </c>
      <c r="B1173" s="309" t="s">
        <v>405</v>
      </c>
      <c r="C1173" s="309" t="s">
        <v>24</v>
      </c>
      <c r="D1173">
        <v>0</v>
      </c>
    </row>
    <row r="1174" spans="1:4" x14ac:dyDescent="0.25">
      <c r="A1174" s="279">
        <v>39014</v>
      </c>
      <c r="B1174" s="309" t="s">
        <v>405</v>
      </c>
      <c r="C1174" s="309" t="s">
        <v>91</v>
      </c>
      <c r="D1174">
        <v>0</v>
      </c>
    </row>
    <row r="1175" spans="1:4" x14ac:dyDescent="0.25">
      <c r="A1175" s="279">
        <v>39014</v>
      </c>
      <c r="B1175" s="309" t="s">
        <v>405</v>
      </c>
      <c r="C1175" s="309" t="s">
        <v>118</v>
      </c>
      <c r="D1175">
        <v>0</v>
      </c>
    </row>
    <row r="1176" spans="1:4" x14ac:dyDescent="0.25">
      <c r="A1176" s="279">
        <v>39014</v>
      </c>
      <c r="B1176" s="309" t="s">
        <v>405</v>
      </c>
      <c r="C1176" s="309" t="s">
        <v>407</v>
      </c>
      <c r="D1176">
        <v>3340795.1</v>
      </c>
    </row>
    <row r="1177" spans="1:4" x14ac:dyDescent="0.25">
      <c r="A1177" s="279">
        <v>39014</v>
      </c>
      <c r="B1177" s="309" t="s">
        <v>405</v>
      </c>
      <c r="C1177" s="309" t="s">
        <v>408</v>
      </c>
      <c r="D1177">
        <v>1007</v>
      </c>
    </row>
    <row r="1178" spans="1:4" x14ac:dyDescent="0.25">
      <c r="A1178" s="279">
        <v>39014</v>
      </c>
      <c r="B1178" s="309" t="s">
        <v>405</v>
      </c>
      <c r="C1178" s="309" t="s">
        <v>409</v>
      </c>
      <c r="D1178">
        <v>1058</v>
      </c>
    </row>
    <row r="1179" spans="1:4" x14ac:dyDescent="0.25">
      <c r="A1179" s="279">
        <v>39014</v>
      </c>
      <c r="B1179" s="309" t="s">
        <v>405</v>
      </c>
      <c r="C1179" s="309" t="s">
        <v>410</v>
      </c>
      <c r="D1179">
        <v>1034</v>
      </c>
    </row>
    <row r="1180" spans="1:4" x14ac:dyDescent="0.25">
      <c r="A1180" s="279">
        <v>39014</v>
      </c>
      <c r="B1180" s="309" t="s">
        <v>411</v>
      </c>
      <c r="C1180" s="309" t="s">
        <v>406</v>
      </c>
      <c r="D1180">
        <v>195216</v>
      </c>
    </row>
    <row r="1181" spans="1:4" x14ac:dyDescent="0.25">
      <c r="A1181" s="279">
        <v>39014</v>
      </c>
      <c r="B1181" s="309" t="s">
        <v>411</v>
      </c>
      <c r="C1181" s="309" t="s">
        <v>198</v>
      </c>
      <c r="D1181">
        <v>0</v>
      </c>
    </row>
    <row r="1182" spans="1:4" x14ac:dyDescent="0.25">
      <c r="A1182" s="279">
        <v>39014</v>
      </c>
      <c r="B1182" s="309" t="s">
        <v>411</v>
      </c>
      <c r="C1182" s="309" t="s">
        <v>199</v>
      </c>
      <c r="D1182">
        <v>0</v>
      </c>
    </row>
    <row r="1183" spans="1:4" x14ac:dyDescent="0.25">
      <c r="A1183" s="279">
        <v>39014</v>
      </c>
      <c r="B1183" s="309" t="s">
        <v>411</v>
      </c>
      <c r="C1183" s="309" t="s">
        <v>90</v>
      </c>
      <c r="D1183">
        <v>69</v>
      </c>
    </row>
    <row r="1184" spans="1:4" x14ac:dyDescent="0.25">
      <c r="A1184" s="279">
        <v>39014</v>
      </c>
      <c r="B1184" s="309" t="s">
        <v>411</v>
      </c>
      <c r="C1184" s="309" t="s">
        <v>24</v>
      </c>
      <c r="D1184">
        <v>0</v>
      </c>
    </row>
    <row r="1185" spans="1:4" x14ac:dyDescent="0.25">
      <c r="A1185" s="279">
        <v>39014</v>
      </c>
      <c r="B1185" s="309" t="s">
        <v>411</v>
      </c>
      <c r="C1185" s="309" t="s">
        <v>91</v>
      </c>
      <c r="D1185">
        <v>0</v>
      </c>
    </row>
    <row r="1186" spans="1:4" x14ac:dyDescent="0.25">
      <c r="A1186" s="279">
        <v>39014</v>
      </c>
      <c r="B1186" s="309" t="s">
        <v>411</v>
      </c>
      <c r="C1186" s="309" t="s">
        <v>118</v>
      </c>
      <c r="D1186">
        <v>0</v>
      </c>
    </row>
    <row r="1187" spans="1:4" x14ac:dyDescent="0.25">
      <c r="A1187" s="279">
        <v>39014</v>
      </c>
      <c r="B1187" s="309" t="s">
        <v>411</v>
      </c>
      <c r="C1187" s="309" t="s">
        <v>407</v>
      </c>
      <c r="D1187">
        <v>195147</v>
      </c>
    </row>
    <row r="1188" spans="1:4" x14ac:dyDescent="0.25">
      <c r="A1188" s="279">
        <v>39014</v>
      </c>
      <c r="B1188" s="309" t="s">
        <v>411</v>
      </c>
      <c r="C1188" s="309" t="s">
        <v>412</v>
      </c>
      <c r="D1188">
        <v>1007</v>
      </c>
    </row>
    <row r="1189" spans="1:4" x14ac:dyDescent="0.25">
      <c r="A1189" s="279">
        <v>39014</v>
      </c>
      <c r="B1189" s="309" t="s">
        <v>411</v>
      </c>
      <c r="C1189" s="309" t="s">
        <v>409</v>
      </c>
      <c r="D1189">
        <v>1076</v>
      </c>
    </row>
    <row r="1190" spans="1:4" x14ac:dyDescent="0.25">
      <c r="A1190" s="279">
        <v>39015</v>
      </c>
      <c r="B1190" s="309" t="s">
        <v>405</v>
      </c>
      <c r="C1190" s="309" t="s">
        <v>406</v>
      </c>
      <c r="D1190">
        <v>3340795.1</v>
      </c>
    </row>
    <row r="1191" spans="1:4" x14ac:dyDescent="0.25">
      <c r="A1191" s="279">
        <v>39015</v>
      </c>
      <c r="B1191" s="309" t="s">
        <v>405</v>
      </c>
      <c r="C1191" s="309" t="s">
        <v>89</v>
      </c>
      <c r="D1191">
        <v>28898</v>
      </c>
    </row>
    <row r="1192" spans="1:4" x14ac:dyDescent="0.25">
      <c r="A1192" s="279">
        <v>39015</v>
      </c>
      <c r="B1192" s="309" t="s">
        <v>405</v>
      </c>
      <c r="C1192" s="309" t="s">
        <v>198</v>
      </c>
      <c r="D1192">
        <v>0</v>
      </c>
    </row>
    <row r="1193" spans="1:4" x14ac:dyDescent="0.25">
      <c r="A1193" s="279">
        <v>39015</v>
      </c>
      <c r="B1193" s="309" t="s">
        <v>405</v>
      </c>
      <c r="C1193" s="309" t="s">
        <v>199</v>
      </c>
      <c r="D1193">
        <v>0</v>
      </c>
    </row>
    <row r="1194" spans="1:4" x14ac:dyDescent="0.25">
      <c r="A1194" s="279">
        <v>39015</v>
      </c>
      <c r="B1194" s="309" t="s">
        <v>405</v>
      </c>
      <c r="C1194" s="309" t="s">
        <v>90</v>
      </c>
      <c r="D1194">
        <v>3243</v>
      </c>
    </row>
    <row r="1195" spans="1:4" x14ac:dyDescent="0.25">
      <c r="A1195" s="279">
        <v>39015</v>
      </c>
      <c r="B1195" s="309" t="s">
        <v>405</v>
      </c>
      <c r="C1195" s="309" t="s">
        <v>24</v>
      </c>
      <c r="D1195">
        <v>0</v>
      </c>
    </row>
    <row r="1196" spans="1:4" x14ac:dyDescent="0.25">
      <c r="A1196" s="279">
        <v>39015</v>
      </c>
      <c r="B1196" s="309" t="s">
        <v>405</v>
      </c>
      <c r="C1196" s="309" t="s">
        <v>91</v>
      </c>
      <c r="D1196">
        <v>0</v>
      </c>
    </row>
    <row r="1197" spans="1:4" x14ac:dyDescent="0.25">
      <c r="A1197" s="279">
        <v>39015</v>
      </c>
      <c r="B1197" s="309" t="s">
        <v>405</v>
      </c>
      <c r="C1197" s="309" t="s">
        <v>118</v>
      </c>
      <c r="D1197">
        <v>0</v>
      </c>
    </row>
    <row r="1198" spans="1:4" x14ac:dyDescent="0.25">
      <c r="A1198" s="279">
        <v>39015</v>
      </c>
      <c r="B1198" s="309" t="s">
        <v>405</v>
      </c>
      <c r="C1198" s="309" t="s">
        <v>407</v>
      </c>
      <c r="D1198">
        <v>3366450.1</v>
      </c>
    </row>
    <row r="1199" spans="1:4" x14ac:dyDescent="0.25">
      <c r="A1199" s="279">
        <v>39015</v>
      </c>
      <c r="B1199" s="309" t="s">
        <v>405</v>
      </c>
      <c r="C1199" s="309" t="s">
        <v>408</v>
      </c>
      <c r="D1199">
        <v>1007</v>
      </c>
    </row>
    <row r="1200" spans="1:4" x14ac:dyDescent="0.25">
      <c r="A1200" s="279">
        <v>39015</v>
      </c>
      <c r="B1200" s="309" t="s">
        <v>405</v>
      </c>
      <c r="C1200" s="309" t="s">
        <v>409</v>
      </c>
      <c r="D1200">
        <v>1058</v>
      </c>
    </row>
    <row r="1201" spans="1:4" x14ac:dyDescent="0.25">
      <c r="A1201" s="279">
        <v>39015</v>
      </c>
      <c r="B1201" s="309" t="s">
        <v>405</v>
      </c>
      <c r="C1201" s="309" t="s">
        <v>410</v>
      </c>
      <c r="D1201">
        <v>1034</v>
      </c>
    </row>
    <row r="1202" spans="1:4" x14ac:dyDescent="0.25">
      <c r="A1202" s="279">
        <v>39015</v>
      </c>
      <c r="B1202" s="309" t="s">
        <v>411</v>
      </c>
      <c r="C1202" s="309" t="s">
        <v>406</v>
      </c>
      <c r="D1202">
        <v>195147</v>
      </c>
    </row>
    <row r="1203" spans="1:4" x14ac:dyDescent="0.25">
      <c r="A1203" s="279">
        <v>39015</v>
      </c>
      <c r="B1203" s="309" t="s">
        <v>411</v>
      </c>
      <c r="C1203" s="309" t="s">
        <v>198</v>
      </c>
      <c r="D1203">
        <v>0</v>
      </c>
    </row>
    <row r="1204" spans="1:4" x14ac:dyDescent="0.25">
      <c r="A1204" s="279">
        <v>39015</v>
      </c>
      <c r="B1204" s="309" t="s">
        <v>411</v>
      </c>
      <c r="C1204" s="309" t="s">
        <v>199</v>
      </c>
      <c r="D1204">
        <v>0</v>
      </c>
    </row>
    <row r="1205" spans="1:4" x14ac:dyDescent="0.25">
      <c r="A1205" s="279">
        <v>39015</v>
      </c>
      <c r="B1205" s="309" t="s">
        <v>411</v>
      </c>
      <c r="C1205" s="309" t="s">
        <v>90</v>
      </c>
      <c r="D1205">
        <v>74</v>
      </c>
    </row>
    <row r="1206" spans="1:4" x14ac:dyDescent="0.25">
      <c r="A1206" s="279">
        <v>39015</v>
      </c>
      <c r="B1206" s="309" t="s">
        <v>411</v>
      </c>
      <c r="C1206" s="309" t="s">
        <v>24</v>
      </c>
      <c r="D1206">
        <v>0</v>
      </c>
    </row>
    <row r="1207" spans="1:4" x14ac:dyDescent="0.25">
      <c r="A1207" s="279">
        <v>39015</v>
      </c>
      <c r="B1207" s="309" t="s">
        <v>411</v>
      </c>
      <c r="C1207" s="309" t="s">
        <v>91</v>
      </c>
      <c r="D1207">
        <v>0</v>
      </c>
    </row>
    <row r="1208" spans="1:4" x14ac:dyDescent="0.25">
      <c r="A1208" s="279">
        <v>39015</v>
      </c>
      <c r="B1208" s="309" t="s">
        <v>411</v>
      </c>
      <c r="C1208" s="309" t="s">
        <v>118</v>
      </c>
      <c r="D1208">
        <v>0</v>
      </c>
    </row>
    <row r="1209" spans="1:4" x14ac:dyDescent="0.25">
      <c r="A1209" s="279">
        <v>39015</v>
      </c>
      <c r="B1209" s="309" t="s">
        <v>411</v>
      </c>
      <c r="C1209" s="309" t="s">
        <v>407</v>
      </c>
      <c r="D1209">
        <v>195073</v>
      </c>
    </row>
    <row r="1210" spans="1:4" x14ac:dyDescent="0.25">
      <c r="A1210" s="279">
        <v>39015</v>
      </c>
      <c r="B1210" s="309" t="s">
        <v>411</v>
      </c>
      <c r="C1210" s="309" t="s">
        <v>412</v>
      </c>
      <c r="D1210">
        <v>1007</v>
      </c>
    </row>
    <row r="1211" spans="1:4" x14ac:dyDescent="0.25">
      <c r="A1211" s="279">
        <v>39015</v>
      </c>
      <c r="B1211" s="309" t="s">
        <v>411</v>
      </c>
      <c r="C1211" s="309" t="s">
        <v>409</v>
      </c>
      <c r="D1211">
        <v>1076</v>
      </c>
    </row>
    <row r="1212" spans="1:4" x14ac:dyDescent="0.25">
      <c r="A1212" s="279">
        <v>39016</v>
      </c>
      <c r="B1212" s="309" t="s">
        <v>405</v>
      </c>
      <c r="C1212" s="309" t="s">
        <v>406</v>
      </c>
      <c r="D1212">
        <v>3366450.1</v>
      </c>
    </row>
    <row r="1213" spans="1:4" x14ac:dyDescent="0.25">
      <c r="A1213" s="279">
        <v>39016</v>
      </c>
      <c r="B1213" s="309" t="s">
        <v>405</v>
      </c>
      <c r="C1213" s="309" t="s">
        <v>89</v>
      </c>
      <c r="D1213">
        <v>31158</v>
      </c>
    </row>
    <row r="1214" spans="1:4" x14ac:dyDescent="0.25">
      <c r="A1214" s="279">
        <v>39016</v>
      </c>
      <c r="B1214" s="309" t="s">
        <v>405</v>
      </c>
      <c r="C1214" s="309" t="s">
        <v>198</v>
      </c>
      <c r="D1214">
        <v>0</v>
      </c>
    </row>
    <row r="1215" spans="1:4" x14ac:dyDescent="0.25">
      <c r="A1215" s="279">
        <v>39016</v>
      </c>
      <c r="B1215" s="309" t="s">
        <v>405</v>
      </c>
      <c r="C1215" s="309" t="s">
        <v>199</v>
      </c>
      <c r="D1215">
        <v>0</v>
      </c>
    </row>
    <row r="1216" spans="1:4" x14ac:dyDescent="0.25">
      <c r="A1216" s="279">
        <v>39016</v>
      </c>
      <c r="B1216" s="309" t="s">
        <v>405</v>
      </c>
      <c r="C1216" s="309" t="s">
        <v>90</v>
      </c>
      <c r="D1216">
        <v>3366</v>
      </c>
    </row>
    <row r="1217" spans="1:4" x14ac:dyDescent="0.25">
      <c r="A1217" s="279">
        <v>39016</v>
      </c>
      <c r="B1217" s="309" t="s">
        <v>405</v>
      </c>
      <c r="C1217" s="309" t="s">
        <v>24</v>
      </c>
      <c r="D1217">
        <v>0</v>
      </c>
    </row>
    <row r="1218" spans="1:4" x14ac:dyDescent="0.25">
      <c r="A1218" s="279">
        <v>39016</v>
      </c>
      <c r="B1218" s="309" t="s">
        <v>405</v>
      </c>
      <c r="C1218" s="309" t="s">
        <v>91</v>
      </c>
      <c r="D1218">
        <v>0</v>
      </c>
    </row>
    <row r="1219" spans="1:4" x14ac:dyDescent="0.25">
      <c r="A1219" s="279">
        <v>39016</v>
      </c>
      <c r="B1219" s="309" t="s">
        <v>405</v>
      </c>
      <c r="C1219" s="309" t="s">
        <v>118</v>
      </c>
      <c r="D1219">
        <v>0</v>
      </c>
    </row>
    <row r="1220" spans="1:4" x14ac:dyDescent="0.25">
      <c r="A1220" s="279">
        <v>39016</v>
      </c>
      <c r="B1220" s="309" t="s">
        <v>405</v>
      </c>
      <c r="C1220" s="309" t="s">
        <v>407</v>
      </c>
      <c r="D1220">
        <v>3394242.1</v>
      </c>
    </row>
    <row r="1221" spans="1:4" x14ac:dyDescent="0.25">
      <c r="A1221" s="279">
        <v>39016</v>
      </c>
      <c r="B1221" s="309" t="s">
        <v>405</v>
      </c>
      <c r="C1221" s="309" t="s">
        <v>408</v>
      </c>
      <c r="D1221">
        <v>1007</v>
      </c>
    </row>
    <row r="1222" spans="1:4" x14ac:dyDescent="0.25">
      <c r="A1222" s="279">
        <v>39016</v>
      </c>
      <c r="B1222" s="309" t="s">
        <v>405</v>
      </c>
      <c r="C1222" s="309" t="s">
        <v>409</v>
      </c>
      <c r="D1222">
        <v>1058</v>
      </c>
    </row>
    <row r="1223" spans="1:4" x14ac:dyDescent="0.25">
      <c r="A1223" s="279">
        <v>39016</v>
      </c>
      <c r="B1223" s="309" t="s">
        <v>405</v>
      </c>
      <c r="C1223" s="309" t="s">
        <v>410</v>
      </c>
      <c r="D1223">
        <v>1034</v>
      </c>
    </row>
    <row r="1224" spans="1:4" x14ac:dyDescent="0.25">
      <c r="A1224" s="279">
        <v>39016</v>
      </c>
      <c r="B1224" s="309" t="s">
        <v>411</v>
      </c>
      <c r="C1224" s="309" t="s">
        <v>406</v>
      </c>
      <c r="D1224">
        <v>195073</v>
      </c>
    </row>
    <row r="1225" spans="1:4" x14ac:dyDescent="0.25">
      <c r="A1225" s="279">
        <v>39016</v>
      </c>
      <c r="B1225" s="309" t="s">
        <v>411</v>
      </c>
      <c r="C1225" s="309" t="s">
        <v>198</v>
      </c>
      <c r="D1225">
        <v>0</v>
      </c>
    </row>
    <row r="1226" spans="1:4" x14ac:dyDescent="0.25">
      <c r="A1226" s="279">
        <v>39016</v>
      </c>
      <c r="B1226" s="309" t="s">
        <v>411</v>
      </c>
      <c r="C1226" s="309" t="s">
        <v>199</v>
      </c>
      <c r="D1226">
        <v>0</v>
      </c>
    </row>
    <row r="1227" spans="1:4" x14ac:dyDescent="0.25">
      <c r="A1227" s="279">
        <v>39016</v>
      </c>
      <c r="B1227" s="309" t="s">
        <v>411</v>
      </c>
      <c r="C1227" s="309" t="s">
        <v>90</v>
      </c>
      <c r="D1227">
        <v>133</v>
      </c>
    </row>
    <row r="1228" spans="1:4" x14ac:dyDescent="0.25">
      <c r="A1228" s="279">
        <v>39016</v>
      </c>
      <c r="B1228" s="309" t="s">
        <v>411</v>
      </c>
      <c r="C1228" s="309" t="s">
        <v>24</v>
      </c>
      <c r="D1228">
        <v>0</v>
      </c>
    </row>
    <row r="1229" spans="1:4" x14ac:dyDescent="0.25">
      <c r="A1229" s="279">
        <v>39016</v>
      </c>
      <c r="B1229" s="309" t="s">
        <v>411</v>
      </c>
      <c r="C1229" s="309" t="s">
        <v>91</v>
      </c>
      <c r="D1229">
        <v>0</v>
      </c>
    </row>
    <row r="1230" spans="1:4" x14ac:dyDescent="0.25">
      <c r="A1230" s="279">
        <v>39016</v>
      </c>
      <c r="B1230" s="309" t="s">
        <v>411</v>
      </c>
      <c r="C1230" s="309" t="s">
        <v>118</v>
      </c>
      <c r="D1230">
        <v>0</v>
      </c>
    </row>
    <row r="1231" spans="1:4" x14ac:dyDescent="0.25">
      <c r="A1231" s="279">
        <v>39016</v>
      </c>
      <c r="B1231" s="309" t="s">
        <v>411</v>
      </c>
      <c r="C1231" s="309" t="s">
        <v>407</v>
      </c>
      <c r="D1231">
        <v>194940</v>
      </c>
    </row>
    <row r="1232" spans="1:4" x14ac:dyDescent="0.25">
      <c r="A1232" s="279">
        <v>39016</v>
      </c>
      <c r="B1232" s="309" t="s">
        <v>411</v>
      </c>
      <c r="C1232" s="309" t="s">
        <v>412</v>
      </c>
      <c r="D1232">
        <v>1007</v>
      </c>
    </row>
    <row r="1233" spans="1:4" x14ac:dyDescent="0.25">
      <c r="A1233" s="279">
        <v>39016</v>
      </c>
      <c r="B1233" s="309" t="s">
        <v>411</v>
      </c>
      <c r="C1233" s="309" t="s">
        <v>409</v>
      </c>
      <c r="D1233">
        <v>1076</v>
      </c>
    </row>
    <row r="1234" spans="1:4" x14ac:dyDescent="0.25">
      <c r="A1234" s="279">
        <v>39017</v>
      </c>
      <c r="B1234" s="309" t="s">
        <v>405</v>
      </c>
      <c r="C1234" s="309" t="s">
        <v>406</v>
      </c>
      <c r="D1234">
        <v>3394242.1</v>
      </c>
    </row>
    <row r="1235" spans="1:4" x14ac:dyDescent="0.25">
      <c r="A1235" s="279">
        <v>39017</v>
      </c>
      <c r="B1235" s="309" t="s">
        <v>405</v>
      </c>
      <c r="C1235" s="309" t="s">
        <v>89</v>
      </c>
      <c r="D1235">
        <v>22726</v>
      </c>
    </row>
    <row r="1236" spans="1:4" x14ac:dyDescent="0.25">
      <c r="A1236" s="279">
        <v>39017</v>
      </c>
      <c r="B1236" s="309" t="s">
        <v>405</v>
      </c>
      <c r="C1236" s="309" t="s">
        <v>198</v>
      </c>
      <c r="D1236">
        <v>0</v>
      </c>
    </row>
    <row r="1237" spans="1:4" x14ac:dyDescent="0.25">
      <c r="A1237" s="279">
        <v>39017</v>
      </c>
      <c r="B1237" s="309" t="s">
        <v>405</v>
      </c>
      <c r="C1237" s="309" t="s">
        <v>199</v>
      </c>
      <c r="D1237">
        <v>0</v>
      </c>
    </row>
    <row r="1238" spans="1:4" x14ac:dyDescent="0.25">
      <c r="A1238" s="279">
        <v>39017</v>
      </c>
      <c r="B1238" s="309" t="s">
        <v>405</v>
      </c>
      <c r="C1238" s="309" t="s">
        <v>90</v>
      </c>
      <c r="D1238">
        <v>2950</v>
      </c>
    </row>
    <row r="1239" spans="1:4" x14ac:dyDescent="0.25">
      <c r="A1239" s="279">
        <v>39017</v>
      </c>
      <c r="B1239" s="309" t="s">
        <v>405</v>
      </c>
      <c r="C1239" s="309" t="s">
        <v>24</v>
      </c>
      <c r="D1239">
        <v>0</v>
      </c>
    </row>
    <row r="1240" spans="1:4" x14ac:dyDescent="0.25">
      <c r="A1240" s="279">
        <v>39017</v>
      </c>
      <c r="B1240" s="309" t="s">
        <v>405</v>
      </c>
      <c r="C1240" s="309" t="s">
        <v>91</v>
      </c>
      <c r="D1240">
        <v>0</v>
      </c>
    </row>
    <row r="1241" spans="1:4" x14ac:dyDescent="0.25">
      <c r="A1241" s="279">
        <v>39017</v>
      </c>
      <c r="B1241" s="309" t="s">
        <v>405</v>
      </c>
      <c r="C1241" s="309" t="s">
        <v>118</v>
      </c>
      <c r="D1241">
        <v>0</v>
      </c>
    </row>
    <row r="1242" spans="1:4" x14ac:dyDescent="0.25">
      <c r="A1242" s="279">
        <v>39017</v>
      </c>
      <c r="B1242" s="309" t="s">
        <v>405</v>
      </c>
      <c r="C1242" s="309" t="s">
        <v>407</v>
      </c>
      <c r="D1242">
        <v>3414018.1</v>
      </c>
    </row>
    <row r="1243" spans="1:4" x14ac:dyDescent="0.25">
      <c r="A1243" s="279">
        <v>39017</v>
      </c>
      <c r="B1243" s="309" t="s">
        <v>405</v>
      </c>
      <c r="C1243" s="309" t="s">
        <v>408</v>
      </c>
      <c r="D1243">
        <v>1007</v>
      </c>
    </row>
    <row r="1244" spans="1:4" x14ac:dyDescent="0.25">
      <c r="A1244" s="279">
        <v>39017</v>
      </c>
      <c r="B1244" s="309" t="s">
        <v>405</v>
      </c>
      <c r="C1244" s="309" t="s">
        <v>409</v>
      </c>
      <c r="D1244">
        <v>1058</v>
      </c>
    </row>
    <row r="1245" spans="1:4" x14ac:dyDescent="0.25">
      <c r="A1245" s="279">
        <v>39017</v>
      </c>
      <c r="B1245" s="309" t="s">
        <v>405</v>
      </c>
      <c r="C1245" s="309" t="s">
        <v>410</v>
      </c>
      <c r="D1245">
        <v>1036</v>
      </c>
    </row>
    <row r="1246" spans="1:4" x14ac:dyDescent="0.25">
      <c r="A1246" s="279">
        <v>39017</v>
      </c>
      <c r="B1246" s="309" t="s">
        <v>411</v>
      </c>
      <c r="C1246" s="309" t="s">
        <v>406</v>
      </c>
      <c r="D1246">
        <v>194940</v>
      </c>
    </row>
    <row r="1247" spans="1:4" x14ac:dyDescent="0.25">
      <c r="A1247" s="279">
        <v>39017</v>
      </c>
      <c r="B1247" s="309" t="s">
        <v>411</v>
      </c>
      <c r="C1247" s="309" t="s">
        <v>198</v>
      </c>
      <c r="D1247">
        <v>0</v>
      </c>
    </row>
    <row r="1248" spans="1:4" x14ac:dyDescent="0.25">
      <c r="A1248" s="279">
        <v>39017</v>
      </c>
      <c r="B1248" s="309" t="s">
        <v>411</v>
      </c>
      <c r="C1248" s="309" t="s">
        <v>199</v>
      </c>
      <c r="D1248">
        <v>0</v>
      </c>
    </row>
    <row r="1249" spans="1:4" x14ac:dyDescent="0.25">
      <c r="A1249" s="279">
        <v>39017</v>
      </c>
      <c r="B1249" s="309" t="s">
        <v>411</v>
      </c>
      <c r="C1249" s="309" t="s">
        <v>90</v>
      </c>
      <c r="D1249">
        <v>61</v>
      </c>
    </row>
    <row r="1250" spans="1:4" x14ac:dyDescent="0.25">
      <c r="A1250" s="279">
        <v>39017</v>
      </c>
      <c r="B1250" s="309" t="s">
        <v>411</v>
      </c>
      <c r="C1250" s="309" t="s">
        <v>24</v>
      </c>
      <c r="D1250">
        <v>0</v>
      </c>
    </row>
    <row r="1251" spans="1:4" x14ac:dyDescent="0.25">
      <c r="A1251" s="279">
        <v>39017</v>
      </c>
      <c r="B1251" s="309" t="s">
        <v>411</v>
      </c>
      <c r="C1251" s="309" t="s">
        <v>91</v>
      </c>
      <c r="D1251">
        <v>0</v>
      </c>
    </row>
    <row r="1252" spans="1:4" x14ac:dyDescent="0.25">
      <c r="A1252" s="279">
        <v>39017</v>
      </c>
      <c r="B1252" s="309" t="s">
        <v>411</v>
      </c>
      <c r="C1252" s="309" t="s">
        <v>118</v>
      </c>
      <c r="D1252">
        <v>0</v>
      </c>
    </row>
    <row r="1253" spans="1:4" x14ac:dyDescent="0.25">
      <c r="A1253" s="279">
        <v>39017</v>
      </c>
      <c r="B1253" s="309" t="s">
        <v>411</v>
      </c>
      <c r="C1253" s="309" t="s">
        <v>407</v>
      </c>
      <c r="D1253">
        <v>194879</v>
      </c>
    </row>
    <row r="1254" spans="1:4" x14ac:dyDescent="0.25">
      <c r="A1254" s="279">
        <v>39017</v>
      </c>
      <c r="B1254" s="309" t="s">
        <v>411</v>
      </c>
      <c r="C1254" s="309" t="s">
        <v>412</v>
      </c>
      <c r="D1254">
        <v>1007</v>
      </c>
    </row>
    <row r="1255" spans="1:4" x14ac:dyDescent="0.25">
      <c r="A1255" s="279">
        <v>39017</v>
      </c>
      <c r="B1255" s="309" t="s">
        <v>411</v>
      </c>
      <c r="C1255" s="309" t="s">
        <v>409</v>
      </c>
      <c r="D1255">
        <v>1076</v>
      </c>
    </row>
    <row r="1256" spans="1:4" x14ac:dyDescent="0.25">
      <c r="A1256" s="279">
        <v>39018</v>
      </c>
      <c r="B1256" s="309" t="s">
        <v>405</v>
      </c>
      <c r="C1256" s="309" t="s">
        <v>406</v>
      </c>
      <c r="D1256">
        <v>3414018.1</v>
      </c>
    </row>
    <row r="1257" spans="1:4" x14ac:dyDescent="0.25">
      <c r="A1257" s="279">
        <v>39018</v>
      </c>
      <c r="B1257" s="309" t="s">
        <v>405</v>
      </c>
      <c r="C1257" s="309" t="s">
        <v>89</v>
      </c>
      <c r="D1257">
        <v>20201</v>
      </c>
    </row>
    <row r="1258" spans="1:4" x14ac:dyDescent="0.25">
      <c r="A1258" s="279">
        <v>39018</v>
      </c>
      <c r="B1258" s="309" t="s">
        <v>405</v>
      </c>
      <c r="C1258" s="309" t="s">
        <v>198</v>
      </c>
      <c r="D1258">
        <v>0</v>
      </c>
    </row>
    <row r="1259" spans="1:4" x14ac:dyDescent="0.25">
      <c r="A1259" s="279">
        <v>39018</v>
      </c>
      <c r="B1259" s="309" t="s">
        <v>405</v>
      </c>
      <c r="C1259" s="309" t="s">
        <v>199</v>
      </c>
      <c r="D1259">
        <v>0</v>
      </c>
    </row>
    <row r="1260" spans="1:4" x14ac:dyDescent="0.25">
      <c r="A1260" s="279">
        <v>39018</v>
      </c>
      <c r="B1260" s="309" t="s">
        <v>405</v>
      </c>
      <c r="C1260" s="309" t="s">
        <v>90</v>
      </c>
      <c r="D1260">
        <v>2830</v>
      </c>
    </row>
    <row r="1261" spans="1:4" x14ac:dyDescent="0.25">
      <c r="A1261" s="279">
        <v>39018</v>
      </c>
      <c r="B1261" s="309" t="s">
        <v>405</v>
      </c>
      <c r="C1261" s="309" t="s">
        <v>24</v>
      </c>
      <c r="D1261">
        <v>0</v>
      </c>
    </row>
    <row r="1262" spans="1:4" x14ac:dyDescent="0.25">
      <c r="A1262" s="279">
        <v>39018</v>
      </c>
      <c r="B1262" s="309" t="s">
        <v>405</v>
      </c>
      <c r="C1262" s="309" t="s">
        <v>91</v>
      </c>
      <c r="D1262">
        <v>0</v>
      </c>
    </row>
    <row r="1263" spans="1:4" x14ac:dyDescent="0.25">
      <c r="A1263" s="279">
        <v>39018</v>
      </c>
      <c r="B1263" s="309" t="s">
        <v>405</v>
      </c>
      <c r="C1263" s="309" t="s">
        <v>118</v>
      </c>
      <c r="D1263">
        <v>0</v>
      </c>
    </row>
    <row r="1264" spans="1:4" x14ac:dyDescent="0.25">
      <c r="A1264" s="279">
        <v>39018</v>
      </c>
      <c r="B1264" s="309" t="s">
        <v>405</v>
      </c>
      <c r="C1264" s="309" t="s">
        <v>407</v>
      </c>
      <c r="D1264">
        <v>3431389.1</v>
      </c>
    </row>
    <row r="1265" spans="1:4" x14ac:dyDescent="0.25">
      <c r="A1265" s="279">
        <v>39018</v>
      </c>
      <c r="B1265" s="309" t="s">
        <v>405</v>
      </c>
      <c r="C1265" s="309" t="s">
        <v>408</v>
      </c>
      <c r="D1265">
        <v>1007</v>
      </c>
    </row>
    <row r="1266" spans="1:4" x14ac:dyDescent="0.25">
      <c r="A1266" s="279">
        <v>39018</v>
      </c>
      <c r="B1266" s="309" t="s">
        <v>405</v>
      </c>
      <c r="C1266" s="309" t="s">
        <v>409</v>
      </c>
      <c r="D1266">
        <v>1058</v>
      </c>
    </row>
    <row r="1267" spans="1:4" x14ac:dyDescent="0.25">
      <c r="A1267" s="279">
        <v>39018</v>
      </c>
      <c r="B1267" s="309" t="s">
        <v>405</v>
      </c>
      <c r="C1267" s="309" t="s">
        <v>410</v>
      </c>
      <c r="D1267">
        <v>1036</v>
      </c>
    </row>
    <row r="1268" spans="1:4" x14ac:dyDescent="0.25">
      <c r="A1268" s="279">
        <v>39018</v>
      </c>
      <c r="B1268" s="309" t="s">
        <v>411</v>
      </c>
      <c r="C1268" s="309" t="s">
        <v>406</v>
      </c>
      <c r="D1268">
        <v>194879</v>
      </c>
    </row>
    <row r="1269" spans="1:4" x14ac:dyDescent="0.25">
      <c r="A1269" s="279">
        <v>39018</v>
      </c>
      <c r="B1269" s="309" t="s">
        <v>411</v>
      </c>
      <c r="C1269" s="309" t="s">
        <v>198</v>
      </c>
      <c r="D1269">
        <v>0</v>
      </c>
    </row>
    <row r="1270" spans="1:4" x14ac:dyDescent="0.25">
      <c r="A1270" s="279">
        <v>39018</v>
      </c>
      <c r="B1270" s="309" t="s">
        <v>411</v>
      </c>
      <c r="C1270" s="309" t="s">
        <v>199</v>
      </c>
      <c r="D1270">
        <v>0</v>
      </c>
    </row>
    <row r="1271" spans="1:4" x14ac:dyDescent="0.25">
      <c r="A1271" s="279">
        <v>39018</v>
      </c>
      <c r="B1271" s="309" t="s">
        <v>411</v>
      </c>
      <c r="C1271" s="309" t="s">
        <v>90</v>
      </c>
      <c r="D1271">
        <v>74</v>
      </c>
    </row>
    <row r="1272" spans="1:4" x14ac:dyDescent="0.25">
      <c r="A1272" s="279">
        <v>39018</v>
      </c>
      <c r="B1272" s="309" t="s">
        <v>411</v>
      </c>
      <c r="C1272" s="309" t="s">
        <v>24</v>
      </c>
      <c r="D1272">
        <v>0</v>
      </c>
    </row>
    <row r="1273" spans="1:4" x14ac:dyDescent="0.25">
      <c r="A1273" s="279">
        <v>39018</v>
      </c>
      <c r="B1273" s="309" t="s">
        <v>411</v>
      </c>
      <c r="C1273" s="309" t="s">
        <v>91</v>
      </c>
      <c r="D1273">
        <v>0</v>
      </c>
    </row>
    <row r="1274" spans="1:4" x14ac:dyDescent="0.25">
      <c r="A1274" s="279">
        <v>39018</v>
      </c>
      <c r="B1274" s="309" t="s">
        <v>411</v>
      </c>
      <c r="C1274" s="309" t="s">
        <v>118</v>
      </c>
      <c r="D1274">
        <v>0</v>
      </c>
    </row>
    <row r="1275" spans="1:4" x14ac:dyDescent="0.25">
      <c r="A1275" s="279">
        <v>39018</v>
      </c>
      <c r="B1275" s="309" t="s">
        <v>411</v>
      </c>
      <c r="C1275" s="309" t="s">
        <v>407</v>
      </c>
      <c r="D1275">
        <v>194805</v>
      </c>
    </row>
    <row r="1276" spans="1:4" x14ac:dyDescent="0.25">
      <c r="A1276" s="279">
        <v>39018</v>
      </c>
      <c r="B1276" s="309" t="s">
        <v>411</v>
      </c>
      <c r="C1276" s="309" t="s">
        <v>412</v>
      </c>
      <c r="D1276">
        <v>1007</v>
      </c>
    </row>
    <row r="1277" spans="1:4" x14ac:dyDescent="0.25">
      <c r="A1277" s="279">
        <v>39018</v>
      </c>
      <c r="B1277" s="309" t="s">
        <v>411</v>
      </c>
      <c r="C1277" s="309" t="s">
        <v>409</v>
      </c>
      <c r="D1277">
        <v>1076</v>
      </c>
    </row>
    <row r="1278" spans="1:4" x14ac:dyDescent="0.25">
      <c r="A1278" s="279">
        <v>39019</v>
      </c>
      <c r="B1278" s="309" t="s">
        <v>405</v>
      </c>
      <c r="C1278" s="309" t="s">
        <v>406</v>
      </c>
      <c r="D1278">
        <v>3431389.1</v>
      </c>
    </row>
    <row r="1279" spans="1:4" x14ac:dyDescent="0.25">
      <c r="A1279" s="279">
        <v>39019</v>
      </c>
      <c r="B1279" s="309" t="s">
        <v>405</v>
      </c>
      <c r="C1279" s="309" t="s">
        <v>89</v>
      </c>
      <c r="D1279">
        <v>29494</v>
      </c>
    </row>
    <row r="1280" spans="1:4" x14ac:dyDescent="0.25">
      <c r="A1280" s="279">
        <v>39019</v>
      </c>
      <c r="B1280" s="309" t="s">
        <v>405</v>
      </c>
      <c r="C1280" s="309" t="s">
        <v>198</v>
      </c>
      <c r="D1280">
        <v>0</v>
      </c>
    </row>
    <row r="1281" spans="1:4" x14ac:dyDescent="0.25">
      <c r="A1281" s="279">
        <v>39019</v>
      </c>
      <c r="B1281" s="309" t="s">
        <v>405</v>
      </c>
      <c r="C1281" s="309" t="s">
        <v>199</v>
      </c>
      <c r="D1281">
        <v>0</v>
      </c>
    </row>
    <row r="1282" spans="1:4" x14ac:dyDescent="0.25">
      <c r="A1282" s="279">
        <v>39019</v>
      </c>
      <c r="B1282" s="309" t="s">
        <v>405</v>
      </c>
      <c r="C1282" s="309" t="s">
        <v>90</v>
      </c>
      <c r="D1282">
        <v>3302</v>
      </c>
    </row>
    <row r="1283" spans="1:4" x14ac:dyDescent="0.25">
      <c r="A1283" s="279">
        <v>39019</v>
      </c>
      <c r="B1283" s="309" t="s">
        <v>405</v>
      </c>
      <c r="C1283" s="309" t="s">
        <v>24</v>
      </c>
      <c r="D1283">
        <v>0</v>
      </c>
    </row>
    <row r="1284" spans="1:4" x14ac:dyDescent="0.25">
      <c r="A1284" s="279">
        <v>39019</v>
      </c>
      <c r="B1284" s="309" t="s">
        <v>405</v>
      </c>
      <c r="C1284" s="309" t="s">
        <v>91</v>
      </c>
      <c r="D1284">
        <v>0</v>
      </c>
    </row>
    <row r="1285" spans="1:4" x14ac:dyDescent="0.25">
      <c r="A1285" s="279">
        <v>39019</v>
      </c>
      <c r="B1285" s="309" t="s">
        <v>405</v>
      </c>
      <c r="C1285" s="309" t="s">
        <v>118</v>
      </c>
      <c r="D1285">
        <v>0</v>
      </c>
    </row>
    <row r="1286" spans="1:4" x14ac:dyDescent="0.25">
      <c r="A1286" s="279">
        <v>39019</v>
      </c>
      <c r="B1286" s="309" t="s">
        <v>405</v>
      </c>
      <c r="C1286" s="309" t="s">
        <v>407</v>
      </c>
      <c r="D1286">
        <v>3457581.1</v>
      </c>
    </row>
    <row r="1287" spans="1:4" x14ac:dyDescent="0.25">
      <c r="A1287" s="279">
        <v>39019</v>
      </c>
      <c r="B1287" s="309" t="s">
        <v>405</v>
      </c>
      <c r="C1287" s="309" t="s">
        <v>408</v>
      </c>
      <c r="D1287">
        <v>1007</v>
      </c>
    </row>
    <row r="1288" spans="1:4" x14ac:dyDescent="0.25">
      <c r="A1288" s="279">
        <v>39019</v>
      </c>
      <c r="B1288" s="309" t="s">
        <v>405</v>
      </c>
      <c r="C1288" s="309" t="s">
        <v>409</v>
      </c>
      <c r="D1288">
        <v>1058</v>
      </c>
    </row>
    <row r="1289" spans="1:4" x14ac:dyDescent="0.25">
      <c r="A1289" s="279">
        <v>39019</v>
      </c>
      <c r="B1289" s="309" t="s">
        <v>405</v>
      </c>
      <c r="C1289" s="309" t="s">
        <v>410</v>
      </c>
      <c r="D1289">
        <v>1035</v>
      </c>
    </row>
    <row r="1290" spans="1:4" x14ac:dyDescent="0.25">
      <c r="A1290" s="279">
        <v>39019</v>
      </c>
      <c r="B1290" s="309" t="s">
        <v>411</v>
      </c>
      <c r="C1290" s="309" t="s">
        <v>406</v>
      </c>
      <c r="D1290">
        <v>194805</v>
      </c>
    </row>
    <row r="1291" spans="1:4" x14ac:dyDescent="0.25">
      <c r="A1291" s="279">
        <v>39019</v>
      </c>
      <c r="B1291" s="309" t="s">
        <v>411</v>
      </c>
      <c r="C1291" s="309" t="s">
        <v>198</v>
      </c>
      <c r="D1291">
        <v>0</v>
      </c>
    </row>
    <row r="1292" spans="1:4" x14ac:dyDescent="0.25">
      <c r="A1292" s="279">
        <v>39019</v>
      </c>
      <c r="B1292" s="309" t="s">
        <v>411</v>
      </c>
      <c r="C1292" s="309" t="s">
        <v>199</v>
      </c>
      <c r="D1292">
        <v>0</v>
      </c>
    </row>
    <row r="1293" spans="1:4" x14ac:dyDescent="0.25">
      <c r="A1293" s="279">
        <v>39019</v>
      </c>
      <c r="B1293" s="309" t="s">
        <v>411</v>
      </c>
      <c r="C1293" s="309" t="s">
        <v>90</v>
      </c>
      <c r="D1293">
        <v>143</v>
      </c>
    </row>
    <row r="1294" spans="1:4" x14ac:dyDescent="0.25">
      <c r="A1294" s="279">
        <v>39019</v>
      </c>
      <c r="B1294" s="309" t="s">
        <v>411</v>
      </c>
      <c r="C1294" s="309" t="s">
        <v>24</v>
      </c>
      <c r="D1294">
        <v>0</v>
      </c>
    </row>
    <row r="1295" spans="1:4" x14ac:dyDescent="0.25">
      <c r="A1295" s="279">
        <v>39019</v>
      </c>
      <c r="B1295" s="309" t="s">
        <v>411</v>
      </c>
      <c r="C1295" s="309" t="s">
        <v>91</v>
      </c>
      <c r="D1295">
        <v>0</v>
      </c>
    </row>
    <row r="1296" spans="1:4" x14ac:dyDescent="0.25">
      <c r="A1296" s="279">
        <v>39019</v>
      </c>
      <c r="B1296" s="309" t="s">
        <v>411</v>
      </c>
      <c r="C1296" s="309" t="s">
        <v>118</v>
      </c>
      <c r="D1296">
        <v>0</v>
      </c>
    </row>
    <row r="1297" spans="1:4" x14ac:dyDescent="0.25">
      <c r="A1297" s="279">
        <v>39019</v>
      </c>
      <c r="B1297" s="309" t="s">
        <v>411</v>
      </c>
      <c r="C1297" s="309" t="s">
        <v>407</v>
      </c>
      <c r="D1297">
        <v>194662</v>
      </c>
    </row>
    <row r="1298" spans="1:4" x14ac:dyDescent="0.25">
      <c r="A1298" s="279">
        <v>39019</v>
      </c>
      <c r="B1298" s="309" t="s">
        <v>411</v>
      </c>
      <c r="C1298" s="309" t="s">
        <v>412</v>
      </c>
      <c r="D1298">
        <v>1007</v>
      </c>
    </row>
    <row r="1299" spans="1:4" x14ac:dyDescent="0.25">
      <c r="A1299" s="279">
        <v>39019</v>
      </c>
      <c r="B1299" s="309" t="s">
        <v>411</v>
      </c>
      <c r="C1299" s="309" t="s">
        <v>409</v>
      </c>
      <c r="D1299">
        <v>1076</v>
      </c>
    </row>
    <row r="1300" spans="1:4" x14ac:dyDescent="0.25">
      <c r="A1300" s="279">
        <v>39020</v>
      </c>
      <c r="B1300" s="309" t="s">
        <v>405</v>
      </c>
      <c r="C1300" s="309" t="s">
        <v>406</v>
      </c>
      <c r="D1300">
        <v>3457581.1</v>
      </c>
    </row>
    <row r="1301" spans="1:4" x14ac:dyDescent="0.25">
      <c r="A1301" s="279">
        <v>39020</v>
      </c>
      <c r="B1301" s="309" t="s">
        <v>405</v>
      </c>
      <c r="C1301" s="309" t="s">
        <v>89</v>
      </c>
      <c r="D1301">
        <v>22961</v>
      </c>
    </row>
    <row r="1302" spans="1:4" x14ac:dyDescent="0.25">
      <c r="A1302" s="279">
        <v>39020</v>
      </c>
      <c r="B1302" s="309" t="s">
        <v>405</v>
      </c>
      <c r="C1302" s="309" t="s">
        <v>198</v>
      </c>
      <c r="D1302">
        <v>4119</v>
      </c>
    </row>
    <row r="1303" spans="1:4" x14ac:dyDescent="0.25">
      <c r="A1303" s="279">
        <v>39020</v>
      </c>
      <c r="B1303" s="309" t="s">
        <v>405</v>
      </c>
      <c r="C1303" s="309" t="s">
        <v>199</v>
      </c>
      <c r="D1303">
        <v>0</v>
      </c>
    </row>
    <row r="1304" spans="1:4" x14ac:dyDescent="0.25">
      <c r="A1304" s="279">
        <v>39020</v>
      </c>
      <c r="B1304" s="309" t="s">
        <v>405</v>
      </c>
      <c r="C1304" s="309" t="s">
        <v>90</v>
      </c>
      <c r="D1304">
        <v>2536</v>
      </c>
    </row>
    <row r="1305" spans="1:4" x14ac:dyDescent="0.25">
      <c r="A1305" s="279">
        <v>39020</v>
      </c>
      <c r="B1305" s="309" t="s">
        <v>405</v>
      </c>
      <c r="C1305" s="309" t="s">
        <v>24</v>
      </c>
      <c r="D1305">
        <v>0</v>
      </c>
    </row>
    <row r="1306" spans="1:4" x14ac:dyDescent="0.25">
      <c r="A1306" s="279">
        <v>39020</v>
      </c>
      <c r="B1306" s="309" t="s">
        <v>405</v>
      </c>
      <c r="C1306" s="309" t="s">
        <v>91</v>
      </c>
      <c r="D1306">
        <v>0</v>
      </c>
    </row>
    <row r="1307" spans="1:4" x14ac:dyDescent="0.25">
      <c r="A1307" s="279">
        <v>39020</v>
      </c>
      <c r="B1307" s="309" t="s">
        <v>405</v>
      </c>
      <c r="C1307" s="309" t="s">
        <v>118</v>
      </c>
      <c r="D1307">
        <v>0</v>
      </c>
    </row>
    <row r="1308" spans="1:4" x14ac:dyDescent="0.25">
      <c r="A1308" s="279">
        <v>39020</v>
      </c>
      <c r="B1308" s="309" t="s">
        <v>405</v>
      </c>
      <c r="C1308" s="309" t="s">
        <v>407</v>
      </c>
      <c r="D1308">
        <v>3473887.1</v>
      </c>
    </row>
    <row r="1309" spans="1:4" x14ac:dyDescent="0.25">
      <c r="A1309" s="279">
        <v>39020</v>
      </c>
      <c r="B1309" s="309" t="s">
        <v>405</v>
      </c>
      <c r="C1309" s="309" t="s">
        <v>408</v>
      </c>
      <c r="D1309">
        <v>1007</v>
      </c>
    </row>
    <row r="1310" spans="1:4" x14ac:dyDescent="0.25">
      <c r="A1310" s="279">
        <v>39020</v>
      </c>
      <c r="B1310" s="309" t="s">
        <v>405</v>
      </c>
      <c r="C1310" s="309" t="s">
        <v>409</v>
      </c>
      <c r="D1310">
        <v>1058</v>
      </c>
    </row>
    <row r="1311" spans="1:4" x14ac:dyDescent="0.25">
      <c r="A1311" s="279">
        <v>39020</v>
      </c>
      <c r="B1311" s="309" t="s">
        <v>405</v>
      </c>
      <c r="C1311" s="309" t="s">
        <v>413</v>
      </c>
      <c r="D1311">
        <v>1041.7</v>
      </c>
    </row>
    <row r="1312" spans="1:4" x14ac:dyDescent="0.25">
      <c r="A1312" s="279">
        <v>39020</v>
      </c>
      <c r="B1312" s="309" t="s">
        <v>405</v>
      </c>
      <c r="C1312" s="309" t="s">
        <v>410</v>
      </c>
      <c r="D1312">
        <v>1035</v>
      </c>
    </row>
    <row r="1313" spans="1:4" x14ac:dyDescent="0.25">
      <c r="A1313" s="279">
        <v>39020</v>
      </c>
      <c r="B1313" s="309" t="s">
        <v>411</v>
      </c>
      <c r="C1313" s="309" t="s">
        <v>406</v>
      </c>
      <c r="D1313">
        <v>194662</v>
      </c>
    </row>
    <row r="1314" spans="1:4" x14ac:dyDescent="0.25">
      <c r="A1314" s="279">
        <v>39020</v>
      </c>
      <c r="B1314" s="309" t="s">
        <v>411</v>
      </c>
      <c r="C1314" s="309" t="s">
        <v>198</v>
      </c>
      <c r="D1314">
        <v>0</v>
      </c>
    </row>
    <row r="1315" spans="1:4" x14ac:dyDescent="0.25">
      <c r="A1315" s="279">
        <v>39020</v>
      </c>
      <c r="B1315" s="309" t="s">
        <v>411</v>
      </c>
      <c r="C1315" s="309" t="s">
        <v>199</v>
      </c>
      <c r="D1315">
        <v>4119</v>
      </c>
    </row>
    <row r="1316" spans="1:4" x14ac:dyDescent="0.25">
      <c r="A1316" s="279">
        <v>39020</v>
      </c>
      <c r="B1316" s="309" t="s">
        <v>411</v>
      </c>
      <c r="C1316" s="309" t="s">
        <v>90</v>
      </c>
      <c r="D1316">
        <v>250</v>
      </c>
    </row>
    <row r="1317" spans="1:4" x14ac:dyDescent="0.25">
      <c r="A1317" s="279">
        <v>39020</v>
      </c>
      <c r="B1317" s="309" t="s">
        <v>411</v>
      </c>
      <c r="C1317" s="309" t="s">
        <v>24</v>
      </c>
      <c r="D1317">
        <v>0</v>
      </c>
    </row>
    <row r="1318" spans="1:4" x14ac:dyDescent="0.25">
      <c r="A1318" s="279">
        <v>39020</v>
      </c>
      <c r="B1318" s="309" t="s">
        <v>411</v>
      </c>
      <c r="C1318" s="309" t="s">
        <v>91</v>
      </c>
      <c r="D1318">
        <v>0</v>
      </c>
    </row>
    <row r="1319" spans="1:4" x14ac:dyDescent="0.25">
      <c r="A1319" s="279">
        <v>39020</v>
      </c>
      <c r="B1319" s="309" t="s">
        <v>411</v>
      </c>
      <c r="C1319" s="309" t="s">
        <v>118</v>
      </c>
      <c r="D1319">
        <v>0</v>
      </c>
    </row>
    <row r="1320" spans="1:4" x14ac:dyDescent="0.25">
      <c r="A1320" s="279">
        <v>39020</v>
      </c>
      <c r="B1320" s="309" t="s">
        <v>411</v>
      </c>
      <c r="C1320" s="309" t="s">
        <v>407</v>
      </c>
      <c r="D1320">
        <v>198531</v>
      </c>
    </row>
    <row r="1321" spans="1:4" x14ac:dyDescent="0.25">
      <c r="A1321" s="279">
        <v>39020</v>
      </c>
      <c r="B1321" s="309" t="s">
        <v>411</v>
      </c>
      <c r="C1321" s="309" t="s">
        <v>412</v>
      </c>
      <c r="D1321">
        <v>1007</v>
      </c>
    </row>
    <row r="1322" spans="1:4" x14ac:dyDescent="0.25">
      <c r="A1322" s="279">
        <v>39020</v>
      </c>
      <c r="B1322" s="309" t="s">
        <v>411</v>
      </c>
      <c r="C1322" s="309" t="s">
        <v>409</v>
      </c>
      <c r="D1322">
        <v>1076</v>
      </c>
    </row>
    <row r="1323" spans="1:4" x14ac:dyDescent="0.25">
      <c r="A1323" s="279">
        <v>39021</v>
      </c>
      <c r="B1323" s="309" t="s">
        <v>405</v>
      </c>
      <c r="C1323" s="309" t="s">
        <v>406</v>
      </c>
      <c r="D1323">
        <v>3473887.1</v>
      </c>
    </row>
    <row r="1324" spans="1:4" x14ac:dyDescent="0.25">
      <c r="A1324" s="279">
        <v>39021</v>
      </c>
      <c r="B1324" s="309" t="s">
        <v>405</v>
      </c>
      <c r="C1324" s="309" t="s">
        <v>89</v>
      </c>
      <c r="D1324">
        <v>18618</v>
      </c>
    </row>
    <row r="1325" spans="1:4" x14ac:dyDescent="0.25">
      <c r="A1325" s="279">
        <v>39021</v>
      </c>
      <c r="B1325" s="309" t="s">
        <v>405</v>
      </c>
      <c r="C1325" s="309" t="s">
        <v>198</v>
      </c>
      <c r="D1325">
        <v>11313</v>
      </c>
    </row>
    <row r="1326" spans="1:4" x14ac:dyDescent="0.25">
      <c r="A1326" s="279">
        <v>39021</v>
      </c>
      <c r="B1326" s="309" t="s">
        <v>405</v>
      </c>
      <c r="C1326" s="309" t="s">
        <v>199</v>
      </c>
      <c r="D1326">
        <v>0</v>
      </c>
    </row>
    <row r="1327" spans="1:4" x14ac:dyDescent="0.25">
      <c r="A1327" s="279">
        <v>39021</v>
      </c>
      <c r="B1327" s="309" t="s">
        <v>405</v>
      </c>
      <c r="C1327" s="309" t="s">
        <v>90</v>
      </c>
      <c r="D1327">
        <v>1961</v>
      </c>
    </row>
    <row r="1328" spans="1:4" x14ac:dyDescent="0.25">
      <c r="A1328" s="279">
        <v>39021</v>
      </c>
      <c r="B1328" s="309" t="s">
        <v>405</v>
      </c>
      <c r="C1328" s="309" t="s">
        <v>24</v>
      </c>
      <c r="D1328">
        <v>0</v>
      </c>
    </row>
    <row r="1329" spans="1:4" x14ac:dyDescent="0.25">
      <c r="A1329" s="279">
        <v>39021</v>
      </c>
      <c r="B1329" s="309" t="s">
        <v>405</v>
      </c>
      <c r="C1329" s="309" t="s">
        <v>91</v>
      </c>
      <c r="D1329">
        <v>0</v>
      </c>
    </row>
    <row r="1330" spans="1:4" x14ac:dyDescent="0.25">
      <c r="A1330" s="279">
        <v>39021</v>
      </c>
      <c r="B1330" s="309" t="s">
        <v>405</v>
      </c>
      <c r="C1330" s="309" t="s">
        <v>118</v>
      </c>
      <c r="D1330">
        <v>0</v>
      </c>
    </row>
    <row r="1331" spans="1:4" x14ac:dyDescent="0.25">
      <c r="A1331" s="279">
        <v>39021</v>
      </c>
      <c r="B1331" s="309" t="s">
        <v>405</v>
      </c>
      <c r="C1331" s="309" t="s">
        <v>407</v>
      </c>
      <c r="D1331">
        <v>3479231.1</v>
      </c>
    </row>
    <row r="1332" spans="1:4" x14ac:dyDescent="0.25">
      <c r="A1332" s="279">
        <v>39021</v>
      </c>
      <c r="B1332" s="309" t="s">
        <v>405</v>
      </c>
      <c r="C1332" s="309" t="s">
        <v>408</v>
      </c>
      <c r="D1332">
        <v>1007</v>
      </c>
    </row>
    <row r="1333" spans="1:4" x14ac:dyDescent="0.25">
      <c r="A1333" s="279">
        <v>39021</v>
      </c>
      <c r="B1333" s="309" t="s">
        <v>405</v>
      </c>
      <c r="C1333" s="309" t="s">
        <v>409</v>
      </c>
      <c r="D1333">
        <v>1058</v>
      </c>
    </row>
    <row r="1334" spans="1:4" x14ac:dyDescent="0.25">
      <c r="A1334" s="279">
        <v>39021</v>
      </c>
      <c r="B1334" s="309" t="s">
        <v>405</v>
      </c>
      <c r="C1334" s="309" t="s">
        <v>413</v>
      </c>
      <c r="D1334">
        <v>1041.7</v>
      </c>
    </row>
    <row r="1335" spans="1:4" x14ac:dyDescent="0.25">
      <c r="A1335" s="279">
        <v>39021</v>
      </c>
      <c r="B1335" s="309" t="s">
        <v>405</v>
      </c>
      <c r="C1335" s="309" t="s">
        <v>410</v>
      </c>
      <c r="D1335">
        <v>1035</v>
      </c>
    </row>
    <row r="1336" spans="1:4" x14ac:dyDescent="0.25">
      <c r="A1336" s="279">
        <v>39021</v>
      </c>
      <c r="B1336" s="309" t="s">
        <v>411</v>
      </c>
      <c r="C1336" s="309" t="s">
        <v>406</v>
      </c>
      <c r="D1336">
        <v>198531</v>
      </c>
    </row>
    <row r="1337" spans="1:4" x14ac:dyDescent="0.25">
      <c r="A1337" s="279">
        <v>39021</v>
      </c>
      <c r="B1337" s="309" t="s">
        <v>411</v>
      </c>
      <c r="C1337" s="309" t="s">
        <v>198</v>
      </c>
      <c r="D1337">
        <v>0</v>
      </c>
    </row>
    <row r="1338" spans="1:4" x14ac:dyDescent="0.25">
      <c r="A1338" s="279">
        <v>39021</v>
      </c>
      <c r="B1338" s="309" t="s">
        <v>411</v>
      </c>
      <c r="C1338" s="309" t="s">
        <v>199</v>
      </c>
      <c r="D1338">
        <v>11313</v>
      </c>
    </row>
    <row r="1339" spans="1:4" x14ac:dyDescent="0.25">
      <c r="A1339" s="279">
        <v>39021</v>
      </c>
      <c r="B1339" s="309" t="s">
        <v>411</v>
      </c>
      <c r="C1339" s="309" t="s">
        <v>90</v>
      </c>
      <c r="D1339">
        <v>250</v>
      </c>
    </row>
    <row r="1340" spans="1:4" x14ac:dyDescent="0.25">
      <c r="A1340" s="279">
        <v>39021</v>
      </c>
      <c r="B1340" s="309" t="s">
        <v>411</v>
      </c>
      <c r="C1340" s="309" t="s">
        <v>24</v>
      </c>
      <c r="D1340">
        <v>0</v>
      </c>
    </row>
    <row r="1341" spans="1:4" x14ac:dyDescent="0.25">
      <c r="A1341" s="279">
        <v>39021</v>
      </c>
      <c r="B1341" s="309" t="s">
        <v>411</v>
      </c>
      <c r="C1341" s="309" t="s">
        <v>91</v>
      </c>
      <c r="D1341">
        <v>0</v>
      </c>
    </row>
    <row r="1342" spans="1:4" x14ac:dyDescent="0.25">
      <c r="A1342" s="279">
        <v>39021</v>
      </c>
      <c r="B1342" s="309" t="s">
        <v>411</v>
      </c>
      <c r="C1342" s="309" t="s">
        <v>118</v>
      </c>
      <c r="D1342">
        <v>0</v>
      </c>
    </row>
    <row r="1343" spans="1:4" x14ac:dyDescent="0.25">
      <c r="A1343" s="279">
        <v>39021</v>
      </c>
      <c r="B1343" s="309" t="s">
        <v>411</v>
      </c>
      <c r="C1343" s="309" t="s">
        <v>407</v>
      </c>
      <c r="D1343">
        <v>209594</v>
      </c>
    </row>
    <row r="1344" spans="1:4" x14ac:dyDescent="0.25">
      <c r="A1344" s="279">
        <v>39021</v>
      </c>
      <c r="B1344" s="309" t="s">
        <v>411</v>
      </c>
      <c r="C1344" s="309" t="s">
        <v>412</v>
      </c>
      <c r="D1344">
        <v>1007</v>
      </c>
    </row>
    <row r="1345" spans="1:4" x14ac:dyDescent="0.25">
      <c r="A1345" s="279">
        <v>39021</v>
      </c>
      <c r="B1345" s="309" t="s">
        <v>411</v>
      </c>
      <c r="C1345" s="309" t="s">
        <v>409</v>
      </c>
      <c r="D1345">
        <v>1076</v>
      </c>
    </row>
    <row r="1346" spans="1:4" x14ac:dyDescent="0.25">
      <c r="A1346" s="279">
        <v>39022</v>
      </c>
      <c r="B1346" s="309" t="s">
        <v>405</v>
      </c>
      <c r="C1346" s="309" t="s">
        <v>406</v>
      </c>
      <c r="D1346">
        <v>3479231.1</v>
      </c>
    </row>
    <row r="1347" spans="1:4" x14ac:dyDescent="0.25">
      <c r="A1347" s="279">
        <v>39022</v>
      </c>
      <c r="B1347" s="309" t="s">
        <v>405</v>
      </c>
      <c r="C1347" s="309" t="s">
        <v>89</v>
      </c>
      <c r="D1347">
        <v>12747</v>
      </c>
    </row>
    <row r="1348" spans="1:4" x14ac:dyDescent="0.25">
      <c r="A1348" s="279">
        <v>39022</v>
      </c>
      <c r="B1348" s="309" t="s">
        <v>405</v>
      </c>
      <c r="C1348" s="309" t="s">
        <v>198</v>
      </c>
      <c r="D1348">
        <v>10569</v>
      </c>
    </row>
    <row r="1349" spans="1:4" x14ac:dyDescent="0.25">
      <c r="A1349" s="279">
        <v>39022</v>
      </c>
      <c r="B1349" s="309" t="s">
        <v>405</v>
      </c>
      <c r="C1349" s="309" t="s">
        <v>199</v>
      </c>
      <c r="D1349">
        <v>0</v>
      </c>
    </row>
    <row r="1350" spans="1:4" x14ac:dyDescent="0.25">
      <c r="A1350" s="279">
        <v>39022</v>
      </c>
      <c r="B1350" s="309" t="s">
        <v>405</v>
      </c>
      <c r="C1350" s="309" t="s">
        <v>90</v>
      </c>
      <c r="D1350">
        <v>2718</v>
      </c>
    </row>
    <row r="1351" spans="1:4" x14ac:dyDescent="0.25">
      <c r="A1351" s="279">
        <v>39022</v>
      </c>
      <c r="B1351" s="309" t="s">
        <v>405</v>
      </c>
      <c r="C1351" s="309" t="s">
        <v>24</v>
      </c>
      <c r="D1351">
        <v>0</v>
      </c>
    </row>
    <row r="1352" spans="1:4" x14ac:dyDescent="0.25">
      <c r="A1352" s="279">
        <v>39022</v>
      </c>
      <c r="B1352" s="309" t="s">
        <v>405</v>
      </c>
      <c r="C1352" s="309" t="s">
        <v>91</v>
      </c>
      <c r="D1352">
        <v>0</v>
      </c>
    </row>
    <row r="1353" spans="1:4" x14ac:dyDescent="0.25">
      <c r="A1353" s="279">
        <v>39022</v>
      </c>
      <c r="B1353" s="309" t="s">
        <v>405</v>
      </c>
      <c r="C1353" s="309" t="s">
        <v>118</v>
      </c>
      <c r="D1353">
        <v>0</v>
      </c>
    </row>
    <row r="1354" spans="1:4" x14ac:dyDescent="0.25">
      <c r="A1354" s="279">
        <v>39022</v>
      </c>
      <c r="B1354" s="309" t="s">
        <v>405</v>
      </c>
      <c r="C1354" s="309" t="s">
        <v>407</v>
      </c>
      <c r="D1354">
        <v>3478691.1</v>
      </c>
    </row>
    <row r="1355" spans="1:4" x14ac:dyDescent="0.25">
      <c r="A1355" s="279">
        <v>39022</v>
      </c>
      <c r="B1355" s="309" t="s">
        <v>405</v>
      </c>
      <c r="C1355" s="309" t="s">
        <v>408</v>
      </c>
      <c r="D1355">
        <v>1007</v>
      </c>
    </row>
    <row r="1356" spans="1:4" x14ac:dyDescent="0.25">
      <c r="A1356" s="279">
        <v>39022</v>
      </c>
      <c r="B1356" s="309" t="s">
        <v>405</v>
      </c>
      <c r="C1356" s="309" t="s">
        <v>409</v>
      </c>
      <c r="D1356">
        <v>1058</v>
      </c>
    </row>
    <row r="1357" spans="1:4" x14ac:dyDescent="0.25">
      <c r="A1357" s="279">
        <v>39022</v>
      </c>
      <c r="B1357" s="309" t="s">
        <v>405</v>
      </c>
      <c r="C1357" s="309" t="s">
        <v>413</v>
      </c>
      <c r="D1357">
        <v>1041.7</v>
      </c>
    </row>
    <row r="1358" spans="1:4" x14ac:dyDescent="0.25">
      <c r="A1358" s="279">
        <v>39022</v>
      </c>
      <c r="B1358" s="309" t="s">
        <v>405</v>
      </c>
      <c r="C1358" s="309" t="s">
        <v>410</v>
      </c>
      <c r="D1358">
        <v>1035</v>
      </c>
    </row>
    <row r="1359" spans="1:4" x14ac:dyDescent="0.25">
      <c r="A1359" s="279">
        <v>39022</v>
      </c>
      <c r="B1359" s="309" t="s">
        <v>411</v>
      </c>
      <c r="C1359" s="309" t="s">
        <v>406</v>
      </c>
      <c r="D1359">
        <v>209594</v>
      </c>
    </row>
    <row r="1360" spans="1:4" x14ac:dyDescent="0.25">
      <c r="A1360" s="279">
        <v>39022</v>
      </c>
      <c r="B1360" s="309" t="s">
        <v>411</v>
      </c>
      <c r="C1360" s="309" t="s">
        <v>198</v>
      </c>
      <c r="D1360">
        <v>0</v>
      </c>
    </row>
    <row r="1361" spans="1:4" x14ac:dyDescent="0.25">
      <c r="A1361" s="279">
        <v>39022</v>
      </c>
      <c r="B1361" s="309" t="s">
        <v>411</v>
      </c>
      <c r="C1361" s="309" t="s">
        <v>199</v>
      </c>
      <c r="D1361">
        <v>10569</v>
      </c>
    </row>
    <row r="1362" spans="1:4" x14ac:dyDescent="0.25">
      <c r="A1362" s="279">
        <v>39022</v>
      </c>
      <c r="B1362" s="309" t="s">
        <v>411</v>
      </c>
      <c r="C1362" s="309" t="s">
        <v>90</v>
      </c>
      <c r="D1362">
        <v>51</v>
      </c>
    </row>
    <row r="1363" spans="1:4" x14ac:dyDescent="0.25">
      <c r="A1363" s="279">
        <v>39022</v>
      </c>
      <c r="B1363" s="309" t="s">
        <v>411</v>
      </c>
      <c r="C1363" s="309" t="s">
        <v>24</v>
      </c>
      <c r="D1363">
        <v>0</v>
      </c>
    </row>
    <row r="1364" spans="1:4" x14ac:dyDescent="0.25">
      <c r="A1364" s="279">
        <v>39022</v>
      </c>
      <c r="B1364" s="309" t="s">
        <v>411</v>
      </c>
      <c r="C1364" s="309" t="s">
        <v>91</v>
      </c>
      <c r="D1364">
        <v>0</v>
      </c>
    </row>
    <row r="1365" spans="1:4" x14ac:dyDescent="0.25">
      <c r="A1365" s="279">
        <v>39022</v>
      </c>
      <c r="B1365" s="309" t="s">
        <v>411</v>
      </c>
      <c r="C1365" s="309" t="s">
        <v>118</v>
      </c>
      <c r="D1365">
        <v>0</v>
      </c>
    </row>
    <row r="1366" spans="1:4" x14ac:dyDescent="0.25">
      <c r="A1366" s="279">
        <v>39022</v>
      </c>
      <c r="B1366" s="309" t="s">
        <v>411</v>
      </c>
      <c r="C1366" s="309" t="s">
        <v>407</v>
      </c>
      <c r="D1366">
        <v>220112</v>
      </c>
    </row>
    <row r="1367" spans="1:4" x14ac:dyDescent="0.25">
      <c r="A1367" s="279">
        <v>39022</v>
      </c>
      <c r="B1367" s="309" t="s">
        <v>411</v>
      </c>
      <c r="C1367" s="309" t="s">
        <v>412</v>
      </c>
      <c r="D1367">
        <v>1007</v>
      </c>
    </row>
    <row r="1368" spans="1:4" x14ac:dyDescent="0.25">
      <c r="A1368" s="279">
        <v>39022</v>
      </c>
      <c r="B1368" s="309" t="s">
        <v>411</v>
      </c>
      <c r="C1368" s="309" t="s">
        <v>409</v>
      </c>
      <c r="D1368">
        <v>1076</v>
      </c>
    </row>
    <row r="1369" spans="1:4" x14ac:dyDescent="0.25">
      <c r="A1369" s="279">
        <v>39023</v>
      </c>
      <c r="B1369" s="309" t="s">
        <v>405</v>
      </c>
      <c r="C1369" s="309" t="s">
        <v>406</v>
      </c>
      <c r="D1369">
        <v>3478691.1</v>
      </c>
    </row>
    <row r="1370" spans="1:4" x14ac:dyDescent="0.25">
      <c r="A1370" s="279">
        <v>39023</v>
      </c>
      <c r="B1370" s="309" t="s">
        <v>405</v>
      </c>
      <c r="C1370" s="309" t="s">
        <v>89</v>
      </c>
      <c r="D1370">
        <v>10834</v>
      </c>
    </row>
    <row r="1371" spans="1:4" x14ac:dyDescent="0.25">
      <c r="A1371" s="279">
        <v>39023</v>
      </c>
      <c r="B1371" s="309" t="s">
        <v>405</v>
      </c>
      <c r="C1371" s="309" t="s">
        <v>198</v>
      </c>
      <c r="D1371">
        <v>9472</v>
      </c>
    </row>
    <row r="1372" spans="1:4" x14ac:dyDescent="0.25">
      <c r="A1372" s="279">
        <v>39023</v>
      </c>
      <c r="B1372" s="309" t="s">
        <v>405</v>
      </c>
      <c r="C1372" s="309" t="s">
        <v>199</v>
      </c>
      <c r="D1372">
        <v>0</v>
      </c>
    </row>
    <row r="1373" spans="1:4" x14ac:dyDescent="0.25">
      <c r="A1373" s="279">
        <v>39023</v>
      </c>
      <c r="B1373" s="309" t="s">
        <v>405</v>
      </c>
      <c r="C1373" s="309" t="s">
        <v>90</v>
      </c>
      <c r="D1373">
        <v>2703</v>
      </c>
    </row>
    <row r="1374" spans="1:4" x14ac:dyDescent="0.25">
      <c r="A1374" s="279">
        <v>39023</v>
      </c>
      <c r="B1374" s="309" t="s">
        <v>405</v>
      </c>
      <c r="C1374" s="309" t="s">
        <v>24</v>
      </c>
      <c r="D1374">
        <v>0</v>
      </c>
    </row>
    <row r="1375" spans="1:4" x14ac:dyDescent="0.25">
      <c r="A1375" s="279">
        <v>39023</v>
      </c>
      <c r="B1375" s="309" t="s">
        <v>405</v>
      </c>
      <c r="C1375" s="309" t="s">
        <v>91</v>
      </c>
      <c r="D1375">
        <v>0</v>
      </c>
    </row>
    <row r="1376" spans="1:4" x14ac:dyDescent="0.25">
      <c r="A1376" s="279">
        <v>39023</v>
      </c>
      <c r="B1376" s="309" t="s">
        <v>405</v>
      </c>
      <c r="C1376" s="309" t="s">
        <v>118</v>
      </c>
      <c r="D1376">
        <v>0</v>
      </c>
    </row>
    <row r="1377" spans="1:4" x14ac:dyDescent="0.25">
      <c r="A1377" s="279">
        <v>39023</v>
      </c>
      <c r="B1377" s="309" t="s">
        <v>405</v>
      </c>
      <c r="C1377" s="309" t="s">
        <v>407</v>
      </c>
      <c r="D1377">
        <v>3477350.1</v>
      </c>
    </row>
    <row r="1378" spans="1:4" x14ac:dyDescent="0.25">
      <c r="A1378" s="279">
        <v>39023</v>
      </c>
      <c r="B1378" s="309" t="s">
        <v>405</v>
      </c>
      <c r="C1378" s="309" t="s">
        <v>408</v>
      </c>
      <c r="D1378">
        <v>1007</v>
      </c>
    </row>
    <row r="1379" spans="1:4" x14ac:dyDescent="0.25">
      <c r="A1379" s="279">
        <v>39023</v>
      </c>
      <c r="B1379" s="309" t="s">
        <v>405</v>
      </c>
      <c r="C1379" s="309" t="s">
        <v>409</v>
      </c>
      <c r="D1379">
        <v>1058</v>
      </c>
    </row>
    <row r="1380" spans="1:4" x14ac:dyDescent="0.25">
      <c r="A1380" s="279">
        <v>39023</v>
      </c>
      <c r="B1380" s="309" t="s">
        <v>405</v>
      </c>
      <c r="C1380" s="309" t="s">
        <v>413</v>
      </c>
      <c r="D1380">
        <v>1041.7</v>
      </c>
    </row>
    <row r="1381" spans="1:4" x14ac:dyDescent="0.25">
      <c r="A1381" s="279">
        <v>39023</v>
      </c>
      <c r="B1381" s="309" t="s">
        <v>405</v>
      </c>
      <c r="C1381" s="309" t="s">
        <v>410</v>
      </c>
      <c r="D1381">
        <v>1035</v>
      </c>
    </row>
    <row r="1382" spans="1:4" x14ac:dyDescent="0.25">
      <c r="A1382" s="279">
        <v>39023</v>
      </c>
      <c r="B1382" s="309" t="s">
        <v>411</v>
      </c>
      <c r="C1382" s="309" t="s">
        <v>406</v>
      </c>
      <c r="D1382">
        <v>220112</v>
      </c>
    </row>
    <row r="1383" spans="1:4" x14ac:dyDescent="0.25">
      <c r="A1383" s="279">
        <v>39023</v>
      </c>
      <c r="B1383" s="309" t="s">
        <v>411</v>
      </c>
      <c r="C1383" s="309" t="s">
        <v>198</v>
      </c>
      <c r="D1383">
        <v>0</v>
      </c>
    </row>
    <row r="1384" spans="1:4" x14ac:dyDescent="0.25">
      <c r="A1384" s="279">
        <v>39023</v>
      </c>
      <c r="B1384" s="309" t="s">
        <v>411</v>
      </c>
      <c r="C1384" s="309" t="s">
        <v>199</v>
      </c>
      <c r="D1384">
        <v>9472</v>
      </c>
    </row>
    <row r="1385" spans="1:4" x14ac:dyDescent="0.25">
      <c r="A1385" s="279">
        <v>39023</v>
      </c>
      <c r="B1385" s="309" t="s">
        <v>411</v>
      </c>
      <c r="C1385" s="309" t="s">
        <v>90</v>
      </c>
      <c r="D1385">
        <v>50</v>
      </c>
    </row>
    <row r="1386" spans="1:4" x14ac:dyDescent="0.25">
      <c r="A1386" s="279">
        <v>39023</v>
      </c>
      <c r="B1386" s="309" t="s">
        <v>411</v>
      </c>
      <c r="C1386" s="309" t="s">
        <v>24</v>
      </c>
      <c r="D1386">
        <v>0</v>
      </c>
    </row>
    <row r="1387" spans="1:4" x14ac:dyDescent="0.25">
      <c r="A1387" s="279">
        <v>39023</v>
      </c>
      <c r="B1387" s="309" t="s">
        <v>411</v>
      </c>
      <c r="C1387" s="309" t="s">
        <v>91</v>
      </c>
      <c r="D1387">
        <v>0</v>
      </c>
    </row>
    <row r="1388" spans="1:4" x14ac:dyDescent="0.25">
      <c r="A1388" s="279">
        <v>39023</v>
      </c>
      <c r="B1388" s="309" t="s">
        <v>411</v>
      </c>
      <c r="C1388" s="309" t="s">
        <v>118</v>
      </c>
      <c r="D1388">
        <v>0</v>
      </c>
    </row>
    <row r="1389" spans="1:4" x14ac:dyDescent="0.25">
      <c r="A1389" s="279">
        <v>39023</v>
      </c>
      <c r="B1389" s="309" t="s">
        <v>411</v>
      </c>
      <c r="C1389" s="309" t="s">
        <v>407</v>
      </c>
      <c r="D1389">
        <v>229534</v>
      </c>
    </row>
    <row r="1390" spans="1:4" x14ac:dyDescent="0.25">
      <c r="A1390" s="279">
        <v>39023</v>
      </c>
      <c r="B1390" s="309" t="s">
        <v>411</v>
      </c>
      <c r="C1390" s="309" t="s">
        <v>412</v>
      </c>
      <c r="D1390">
        <v>1007</v>
      </c>
    </row>
    <row r="1391" spans="1:4" x14ac:dyDescent="0.25">
      <c r="A1391" s="279">
        <v>39023</v>
      </c>
      <c r="B1391" s="309" t="s">
        <v>411</v>
      </c>
      <c r="C1391" s="309" t="s">
        <v>409</v>
      </c>
      <c r="D1391">
        <v>1076</v>
      </c>
    </row>
    <row r="1392" spans="1:4" x14ac:dyDescent="0.25">
      <c r="A1392" s="279">
        <v>39024</v>
      </c>
      <c r="B1392" s="309" t="s">
        <v>405</v>
      </c>
      <c r="C1392" s="309" t="s">
        <v>406</v>
      </c>
      <c r="D1392">
        <v>3477350.1</v>
      </c>
    </row>
    <row r="1393" spans="1:4" x14ac:dyDescent="0.25">
      <c r="A1393" s="279">
        <v>39024</v>
      </c>
      <c r="B1393" s="309" t="s">
        <v>405</v>
      </c>
      <c r="C1393" s="309" t="s">
        <v>89</v>
      </c>
      <c r="D1393">
        <v>15497</v>
      </c>
    </row>
    <row r="1394" spans="1:4" x14ac:dyDescent="0.25">
      <c r="A1394" s="279">
        <v>39024</v>
      </c>
      <c r="B1394" s="309" t="s">
        <v>405</v>
      </c>
      <c r="C1394" s="309" t="s">
        <v>198</v>
      </c>
      <c r="D1394">
        <v>5268</v>
      </c>
    </row>
    <row r="1395" spans="1:4" x14ac:dyDescent="0.25">
      <c r="A1395" s="279">
        <v>39024</v>
      </c>
      <c r="B1395" s="309" t="s">
        <v>405</v>
      </c>
      <c r="C1395" s="309" t="s">
        <v>199</v>
      </c>
      <c r="D1395">
        <v>0</v>
      </c>
    </row>
    <row r="1396" spans="1:4" x14ac:dyDescent="0.25">
      <c r="A1396" s="279">
        <v>39024</v>
      </c>
      <c r="B1396" s="309" t="s">
        <v>405</v>
      </c>
      <c r="C1396" s="309" t="s">
        <v>90</v>
      </c>
      <c r="D1396">
        <v>2217</v>
      </c>
    </row>
    <row r="1397" spans="1:4" x14ac:dyDescent="0.25">
      <c r="A1397" s="279">
        <v>39024</v>
      </c>
      <c r="B1397" s="309" t="s">
        <v>405</v>
      </c>
      <c r="C1397" s="309" t="s">
        <v>24</v>
      </c>
      <c r="D1397">
        <v>0</v>
      </c>
    </row>
    <row r="1398" spans="1:4" x14ac:dyDescent="0.25">
      <c r="A1398" s="279">
        <v>39024</v>
      </c>
      <c r="B1398" s="309" t="s">
        <v>405</v>
      </c>
      <c r="C1398" s="309" t="s">
        <v>91</v>
      </c>
      <c r="D1398">
        <v>0</v>
      </c>
    </row>
    <row r="1399" spans="1:4" x14ac:dyDescent="0.25">
      <c r="A1399" s="279">
        <v>39024</v>
      </c>
      <c r="B1399" s="309" t="s">
        <v>405</v>
      </c>
      <c r="C1399" s="309" t="s">
        <v>118</v>
      </c>
      <c r="D1399">
        <v>0</v>
      </c>
    </row>
    <row r="1400" spans="1:4" x14ac:dyDescent="0.25">
      <c r="A1400" s="279">
        <v>39024</v>
      </c>
      <c r="B1400" s="309" t="s">
        <v>405</v>
      </c>
      <c r="C1400" s="309" t="s">
        <v>407</v>
      </c>
      <c r="D1400">
        <v>3485362.1</v>
      </c>
    </row>
    <row r="1401" spans="1:4" x14ac:dyDescent="0.25">
      <c r="A1401" s="279">
        <v>39024</v>
      </c>
      <c r="B1401" s="309" t="s">
        <v>405</v>
      </c>
      <c r="C1401" s="309" t="s">
        <v>408</v>
      </c>
      <c r="D1401">
        <v>1007</v>
      </c>
    </row>
    <row r="1402" spans="1:4" x14ac:dyDescent="0.25">
      <c r="A1402" s="279">
        <v>39024</v>
      </c>
      <c r="B1402" s="309" t="s">
        <v>405</v>
      </c>
      <c r="C1402" s="309" t="s">
        <v>409</v>
      </c>
      <c r="D1402">
        <v>1058</v>
      </c>
    </row>
    <row r="1403" spans="1:4" x14ac:dyDescent="0.25">
      <c r="A1403" s="279">
        <v>39024</v>
      </c>
      <c r="B1403" s="309" t="s">
        <v>405</v>
      </c>
      <c r="C1403" s="309" t="s">
        <v>413</v>
      </c>
      <c r="D1403">
        <v>1041.7</v>
      </c>
    </row>
    <row r="1404" spans="1:4" x14ac:dyDescent="0.25">
      <c r="A1404" s="279">
        <v>39024</v>
      </c>
      <c r="B1404" s="309" t="s">
        <v>405</v>
      </c>
      <c r="C1404" s="309" t="s">
        <v>410</v>
      </c>
      <c r="D1404">
        <v>1031</v>
      </c>
    </row>
    <row r="1405" spans="1:4" x14ac:dyDescent="0.25">
      <c r="A1405" s="279">
        <v>39024</v>
      </c>
      <c r="B1405" s="309" t="s">
        <v>411</v>
      </c>
      <c r="C1405" s="309" t="s">
        <v>406</v>
      </c>
      <c r="D1405">
        <v>229534</v>
      </c>
    </row>
    <row r="1406" spans="1:4" x14ac:dyDescent="0.25">
      <c r="A1406" s="279">
        <v>39024</v>
      </c>
      <c r="B1406" s="309" t="s">
        <v>411</v>
      </c>
      <c r="C1406" s="309" t="s">
        <v>198</v>
      </c>
      <c r="D1406">
        <v>0</v>
      </c>
    </row>
    <row r="1407" spans="1:4" x14ac:dyDescent="0.25">
      <c r="A1407" s="279">
        <v>39024</v>
      </c>
      <c r="B1407" s="309" t="s">
        <v>411</v>
      </c>
      <c r="C1407" s="309" t="s">
        <v>199</v>
      </c>
      <c r="D1407">
        <v>5268</v>
      </c>
    </row>
    <row r="1408" spans="1:4" x14ac:dyDescent="0.25">
      <c r="A1408" s="279">
        <v>39024</v>
      </c>
      <c r="B1408" s="309" t="s">
        <v>411</v>
      </c>
      <c r="C1408" s="309" t="s">
        <v>90</v>
      </c>
      <c r="D1408">
        <v>0</v>
      </c>
    </row>
    <row r="1409" spans="1:4" x14ac:dyDescent="0.25">
      <c r="A1409" s="279">
        <v>39024</v>
      </c>
      <c r="B1409" s="309" t="s">
        <v>411</v>
      </c>
      <c r="C1409" s="309" t="s">
        <v>24</v>
      </c>
      <c r="D1409">
        <v>0</v>
      </c>
    </row>
    <row r="1410" spans="1:4" x14ac:dyDescent="0.25">
      <c r="A1410" s="279">
        <v>39024</v>
      </c>
      <c r="B1410" s="309" t="s">
        <v>411</v>
      </c>
      <c r="C1410" s="309" t="s">
        <v>91</v>
      </c>
      <c r="D1410">
        <v>0</v>
      </c>
    </row>
    <row r="1411" spans="1:4" x14ac:dyDescent="0.25">
      <c r="A1411" s="279">
        <v>39024</v>
      </c>
      <c r="B1411" s="309" t="s">
        <v>411</v>
      </c>
      <c r="C1411" s="309" t="s">
        <v>118</v>
      </c>
      <c r="D1411">
        <v>0</v>
      </c>
    </row>
    <row r="1412" spans="1:4" x14ac:dyDescent="0.25">
      <c r="A1412" s="279">
        <v>39024</v>
      </c>
      <c r="B1412" s="309" t="s">
        <v>411</v>
      </c>
      <c r="C1412" s="309" t="s">
        <v>407</v>
      </c>
      <c r="D1412">
        <v>234802</v>
      </c>
    </row>
    <row r="1413" spans="1:4" x14ac:dyDescent="0.25">
      <c r="A1413" s="279">
        <v>39024</v>
      </c>
      <c r="B1413" s="309" t="s">
        <v>411</v>
      </c>
      <c r="C1413" s="309" t="s">
        <v>412</v>
      </c>
      <c r="D1413">
        <v>1007</v>
      </c>
    </row>
    <row r="1414" spans="1:4" x14ac:dyDescent="0.25">
      <c r="A1414" s="279">
        <v>39024</v>
      </c>
      <c r="B1414" s="309" t="s">
        <v>411</v>
      </c>
      <c r="C1414" s="309" t="s">
        <v>409</v>
      </c>
      <c r="D1414">
        <v>1076</v>
      </c>
    </row>
    <row r="1415" spans="1:4" x14ac:dyDescent="0.25">
      <c r="A1415" s="279">
        <v>39025</v>
      </c>
      <c r="B1415" s="309" t="s">
        <v>405</v>
      </c>
      <c r="C1415" s="309" t="s">
        <v>406</v>
      </c>
      <c r="D1415">
        <v>3485362.1</v>
      </c>
    </row>
    <row r="1416" spans="1:4" x14ac:dyDescent="0.25">
      <c r="A1416" s="279">
        <v>39025</v>
      </c>
      <c r="B1416" s="309" t="s">
        <v>405</v>
      </c>
      <c r="C1416" s="309" t="s">
        <v>89</v>
      </c>
      <c r="D1416">
        <v>11489</v>
      </c>
    </row>
    <row r="1417" spans="1:4" x14ac:dyDescent="0.25">
      <c r="A1417" s="279">
        <v>39025</v>
      </c>
      <c r="B1417" s="309" t="s">
        <v>405</v>
      </c>
      <c r="C1417" s="309" t="s">
        <v>198</v>
      </c>
      <c r="D1417">
        <v>0</v>
      </c>
    </row>
    <row r="1418" spans="1:4" x14ac:dyDescent="0.25">
      <c r="A1418" s="279">
        <v>39025</v>
      </c>
      <c r="B1418" s="309" t="s">
        <v>405</v>
      </c>
      <c r="C1418" s="309" t="s">
        <v>199</v>
      </c>
      <c r="D1418">
        <v>0</v>
      </c>
    </row>
    <row r="1419" spans="1:4" x14ac:dyDescent="0.25">
      <c r="A1419" s="279">
        <v>39025</v>
      </c>
      <c r="B1419" s="309" t="s">
        <v>405</v>
      </c>
      <c r="C1419" s="309" t="s">
        <v>90</v>
      </c>
      <c r="D1419">
        <v>535</v>
      </c>
    </row>
    <row r="1420" spans="1:4" x14ac:dyDescent="0.25">
      <c r="A1420" s="279">
        <v>39025</v>
      </c>
      <c r="B1420" s="309" t="s">
        <v>405</v>
      </c>
      <c r="C1420" s="309" t="s">
        <v>24</v>
      </c>
      <c r="D1420">
        <v>0</v>
      </c>
    </row>
    <row r="1421" spans="1:4" x14ac:dyDescent="0.25">
      <c r="A1421" s="279">
        <v>39025</v>
      </c>
      <c r="B1421" s="309" t="s">
        <v>405</v>
      </c>
      <c r="C1421" s="309" t="s">
        <v>91</v>
      </c>
      <c r="D1421">
        <v>0</v>
      </c>
    </row>
    <row r="1422" spans="1:4" x14ac:dyDescent="0.25">
      <c r="A1422" s="279">
        <v>39025</v>
      </c>
      <c r="B1422" s="309" t="s">
        <v>405</v>
      </c>
      <c r="C1422" s="309" t="s">
        <v>118</v>
      </c>
      <c r="D1422">
        <v>0</v>
      </c>
    </row>
    <row r="1423" spans="1:4" x14ac:dyDescent="0.25">
      <c r="A1423" s="279">
        <v>39025</v>
      </c>
      <c r="B1423" s="309" t="s">
        <v>405</v>
      </c>
      <c r="C1423" s="309" t="s">
        <v>407</v>
      </c>
      <c r="D1423">
        <v>3496316.1</v>
      </c>
    </row>
    <row r="1424" spans="1:4" x14ac:dyDescent="0.25">
      <c r="A1424" s="279">
        <v>39025</v>
      </c>
      <c r="B1424" s="309" t="s">
        <v>405</v>
      </c>
      <c r="C1424" s="309" t="s">
        <v>408</v>
      </c>
      <c r="D1424">
        <v>1007</v>
      </c>
    </row>
    <row r="1425" spans="1:4" x14ac:dyDescent="0.25">
      <c r="A1425" s="279">
        <v>39025</v>
      </c>
      <c r="B1425" s="309" t="s">
        <v>405</v>
      </c>
      <c r="C1425" s="309" t="s">
        <v>409</v>
      </c>
      <c r="D1425">
        <v>1058</v>
      </c>
    </row>
    <row r="1426" spans="1:4" x14ac:dyDescent="0.25">
      <c r="A1426" s="279">
        <v>39025</v>
      </c>
      <c r="B1426" s="309" t="s">
        <v>405</v>
      </c>
      <c r="C1426" s="309" t="s">
        <v>410</v>
      </c>
      <c r="D1426">
        <v>1031</v>
      </c>
    </row>
    <row r="1427" spans="1:4" x14ac:dyDescent="0.25">
      <c r="A1427" s="279">
        <v>39025</v>
      </c>
      <c r="B1427" s="309" t="s">
        <v>411</v>
      </c>
      <c r="C1427" s="309" t="s">
        <v>406</v>
      </c>
      <c r="D1427">
        <v>234802</v>
      </c>
    </row>
    <row r="1428" spans="1:4" x14ac:dyDescent="0.25">
      <c r="A1428" s="279">
        <v>39025</v>
      </c>
      <c r="B1428" s="309" t="s">
        <v>411</v>
      </c>
      <c r="C1428" s="309" t="s">
        <v>198</v>
      </c>
      <c r="D1428">
        <v>0</v>
      </c>
    </row>
    <row r="1429" spans="1:4" x14ac:dyDescent="0.25">
      <c r="A1429" s="279">
        <v>39025</v>
      </c>
      <c r="B1429" s="309" t="s">
        <v>411</v>
      </c>
      <c r="C1429" s="309" t="s">
        <v>199</v>
      </c>
      <c r="D1429">
        <v>0</v>
      </c>
    </row>
    <row r="1430" spans="1:4" x14ac:dyDescent="0.25">
      <c r="A1430" s="279">
        <v>39025</v>
      </c>
      <c r="B1430" s="309" t="s">
        <v>411</v>
      </c>
      <c r="C1430" s="309" t="s">
        <v>90</v>
      </c>
      <c r="D1430">
        <v>277</v>
      </c>
    </row>
    <row r="1431" spans="1:4" x14ac:dyDescent="0.25">
      <c r="A1431" s="279">
        <v>39025</v>
      </c>
      <c r="B1431" s="309" t="s">
        <v>411</v>
      </c>
      <c r="C1431" s="309" t="s">
        <v>24</v>
      </c>
      <c r="D1431">
        <v>0</v>
      </c>
    </row>
    <row r="1432" spans="1:4" x14ac:dyDescent="0.25">
      <c r="A1432" s="279">
        <v>39025</v>
      </c>
      <c r="B1432" s="309" t="s">
        <v>411</v>
      </c>
      <c r="C1432" s="309" t="s">
        <v>91</v>
      </c>
      <c r="D1432">
        <v>0</v>
      </c>
    </row>
    <row r="1433" spans="1:4" x14ac:dyDescent="0.25">
      <c r="A1433" s="279">
        <v>39025</v>
      </c>
      <c r="B1433" s="309" t="s">
        <v>411</v>
      </c>
      <c r="C1433" s="309" t="s">
        <v>118</v>
      </c>
      <c r="D1433">
        <v>0</v>
      </c>
    </row>
    <row r="1434" spans="1:4" x14ac:dyDescent="0.25">
      <c r="A1434" s="279">
        <v>39025</v>
      </c>
      <c r="B1434" s="309" t="s">
        <v>411</v>
      </c>
      <c r="C1434" s="309" t="s">
        <v>407</v>
      </c>
      <c r="D1434">
        <v>234525</v>
      </c>
    </row>
    <row r="1435" spans="1:4" x14ac:dyDescent="0.25">
      <c r="A1435" s="279">
        <v>39025</v>
      </c>
      <c r="B1435" s="309" t="s">
        <v>411</v>
      </c>
      <c r="C1435" s="309" t="s">
        <v>412</v>
      </c>
      <c r="D1435">
        <v>1007</v>
      </c>
    </row>
    <row r="1436" spans="1:4" x14ac:dyDescent="0.25">
      <c r="A1436" s="279">
        <v>39025</v>
      </c>
      <c r="B1436" s="309" t="s">
        <v>411</v>
      </c>
      <c r="C1436" s="309" t="s">
        <v>409</v>
      </c>
      <c r="D1436">
        <v>1076</v>
      </c>
    </row>
    <row r="1437" spans="1:4" x14ac:dyDescent="0.25">
      <c r="A1437" s="279">
        <v>39026</v>
      </c>
      <c r="B1437" s="309" t="s">
        <v>405</v>
      </c>
      <c r="C1437" s="309" t="s">
        <v>406</v>
      </c>
      <c r="D1437">
        <v>3496316.1</v>
      </c>
    </row>
    <row r="1438" spans="1:4" x14ac:dyDescent="0.25">
      <c r="A1438" s="279">
        <v>39026</v>
      </c>
      <c r="B1438" s="309" t="s">
        <v>405</v>
      </c>
      <c r="C1438" s="309" t="s">
        <v>89</v>
      </c>
      <c r="D1438">
        <v>13048</v>
      </c>
    </row>
    <row r="1439" spans="1:4" x14ac:dyDescent="0.25">
      <c r="A1439" s="279">
        <v>39026</v>
      </c>
      <c r="B1439" s="309" t="s">
        <v>405</v>
      </c>
      <c r="C1439" s="309" t="s">
        <v>198</v>
      </c>
      <c r="D1439">
        <v>0</v>
      </c>
    </row>
    <row r="1440" spans="1:4" x14ac:dyDescent="0.25">
      <c r="A1440" s="279">
        <v>39026</v>
      </c>
      <c r="B1440" s="309" t="s">
        <v>405</v>
      </c>
      <c r="C1440" s="309" t="s">
        <v>199</v>
      </c>
      <c r="D1440">
        <v>0</v>
      </c>
    </row>
    <row r="1441" spans="1:4" x14ac:dyDescent="0.25">
      <c r="A1441" s="279">
        <v>39026</v>
      </c>
      <c r="B1441" s="309" t="s">
        <v>405</v>
      </c>
      <c r="C1441" s="309" t="s">
        <v>90</v>
      </c>
      <c r="D1441">
        <v>1825</v>
      </c>
    </row>
    <row r="1442" spans="1:4" x14ac:dyDescent="0.25">
      <c r="A1442" s="279">
        <v>39026</v>
      </c>
      <c r="B1442" s="309" t="s">
        <v>405</v>
      </c>
      <c r="C1442" s="309" t="s">
        <v>24</v>
      </c>
      <c r="D1442">
        <v>0</v>
      </c>
    </row>
    <row r="1443" spans="1:4" x14ac:dyDescent="0.25">
      <c r="A1443" s="279">
        <v>39026</v>
      </c>
      <c r="B1443" s="309" t="s">
        <v>405</v>
      </c>
      <c r="C1443" s="309" t="s">
        <v>91</v>
      </c>
      <c r="D1443">
        <v>0</v>
      </c>
    </row>
    <row r="1444" spans="1:4" x14ac:dyDescent="0.25">
      <c r="A1444" s="279">
        <v>39026</v>
      </c>
      <c r="B1444" s="309" t="s">
        <v>405</v>
      </c>
      <c r="C1444" s="309" t="s">
        <v>118</v>
      </c>
      <c r="D1444">
        <v>0</v>
      </c>
    </row>
    <row r="1445" spans="1:4" x14ac:dyDescent="0.25">
      <c r="A1445" s="279">
        <v>39026</v>
      </c>
      <c r="B1445" s="309" t="s">
        <v>405</v>
      </c>
      <c r="C1445" s="309" t="s">
        <v>407</v>
      </c>
      <c r="D1445">
        <v>3507539.1</v>
      </c>
    </row>
    <row r="1446" spans="1:4" x14ac:dyDescent="0.25">
      <c r="A1446" s="279">
        <v>39026</v>
      </c>
      <c r="B1446" s="309" t="s">
        <v>405</v>
      </c>
      <c r="C1446" s="309" t="s">
        <v>408</v>
      </c>
      <c r="D1446">
        <v>1007</v>
      </c>
    </row>
    <row r="1447" spans="1:4" x14ac:dyDescent="0.25">
      <c r="A1447" s="279">
        <v>39026</v>
      </c>
      <c r="B1447" s="309" t="s">
        <v>405</v>
      </c>
      <c r="C1447" s="309" t="s">
        <v>409</v>
      </c>
      <c r="D1447">
        <v>1058</v>
      </c>
    </row>
    <row r="1448" spans="1:4" x14ac:dyDescent="0.25">
      <c r="A1448" s="279">
        <v>39026</v>
      </c>
      <c r="B1448" s="309" t="s">
        <v>405</v>
      </c>
      <c r="C1448" s="309" t="s">
        <v>410</v>
      </c>
      <c r="D1448">
        <v>1032</v>
      </c>
    </row>
    <row r="1449" spans="1:4" x14ac:dyDescent="0.25">
      <c r="A1449" s="279">
        <v>39026</v>
      </c>
      <c r="B1449" s="309" t="s">
        <v>411</v>
      </c>
      <c r="C1449" s="309" t="s">
        <v>406</v>
      </c>
      <c r="D1449">
        <v>234525</v>
      </c>
    </row>
    <row r="1450" spans="1:4" x14ac:dyDescent="0.25">
      <c r="A1450" s="279">
        <v>39026</v>
      </c>
      <c r="B1450" s="309" t="s">
        <v>411</v>
      </c>
      <c r="C1450" s="309" t="s">
        <v>198</v>
      </c>
      <c r="D1450">
        <v>0</v>
      </c>
    </row>
    <row r="1451" spans="1:4" x14ac:dyDescent="0.25">
      <c r="A1451" s="279">
        <v>39026</v>
      </c>
      <c r="B1451" s="309" t="s">
        <v>411</v>
      </c>
      <c r="C1451" s="309" t="s">
        <v>199</v>
      </c>
      <c r="D1451">
        <v>0</v>
      </c>
    </row>
    <row r="1452" spans="1:4" x14ac:dyDescent="0.25">
      <c r="A1452" s="279">
        <v>39026</v>
      </c>
      <c r="B1452" s="309" t="s">
        <v>411</v>
      </c>
      <c r="C1452" s="309" t="s">
        <v>90</v>
      </c>
      <c r="D1452">
        <v>58</v>
      </c>
    </row>
    <row r="1453" spans="1:4" x14ac:dyDescent="0.25">
      <c r="A1453" s="279">
        <v>39026</v>
      </c>
      <c r="B1453" s="309" t="s">
        <v>411</v>
      </c>
      <c r="C1453" s="309" t="s">
        <v>24</v>
      </c>
      <c r="D1453">
        <v>0</v>
      </c>
    </row>
    <row r="1454" spans="1:4" x14ac:dyDescent="0.25">
      <c r="A1454" s="279">
        <v>39026</v>
      </c>
      <c r="B1454" s="309" t="s">
        <v>411</v>
      </c>
      <c r="C1454" s="309" t="s">
        <v>91</v>
      </c>
      <c r="D1454">
        <v>0</v>
      </c>
    </row>
    <row r="1455" spans="1:4" x14ac:dyDescent="0.25">
      <c r="A1455" s="279">
        <v>39026</v>
      </c>
      <c r="B1455" s="309" t="s">
        <v>411</v>
      </c>
      <c r="C1455" s="309" t="s">
        <v>118</v>
      </c>
      <c r="D1455">
        <v>0</v>
      </c>
    </row>
    <row r="1456" spans="1:4" x14ac:dyDescent="0.25">
      <c r="A1456" s="279">
        <v>39026</v>
      </c>
      <c r="B1456" s="309" t="s">
        <v>411</v>
      </c>
      <c r="C1456" s="309" t="s">
        <v>407</v>
      </c>
      <c r="D1456">
        <v>234467</v>
      </c>
    </row>
    <row r="1457" spans="1:4" x14ac:dyDescent="0.25">
      <c r="A1457" s="279">
        <v>39026</v>
      </c>
      <c r="B1457" s="309" t="s">
        <v>411</v>
      </c>
      <c r="C1457" s="309" t="s">
        <v>412</v>
      </c>
      <c r="D1457">
        <v>1007</v>
      </c>
    </row>
    <row r="1458" spans="1:4" x14ac:dyDescent="0.25">
      <c r="A1458" s="279">
        <v>39026</v>
      </c>
      <c r="B1458" s="309" t="s">
        <v>411</v>
      </c>
      <c r="C1458" s="309" t="s">
        <v>409</v>
      </c>
      <c r="D1458">
        <v>1076</v>
      </c>
    </row>
    <row r="1459" spans="1:4" x14ac:dyDescent="0.25">
      <c r="A1459" s="279">
        <v>39027</v>
      </c>
      <c r="B1459" s="309" t="s">
        <v>405</v>
      </c>
      <c r="C1459" s="309" t="s">
        <v>406</v>
      </c>
      <c r="D1459">
        <v>3507539.1</v>
      </c>
    </row>
    <row r="1460" spans="1:4" x14ac:dyDescent="0.25">
      <c r="A1460" s="279">
        <v>39027</v>
      </c>
      <c r="B1460" s="309" t="s">
        <v>405</v>
      </c>
      <c r="C1460" s="309" t="s">
        <v>89</v>
      </c>
      <c r="D1460">
        <v>11082</v>
      </c>
    </row>
    <row r="1461" spans="1:4" x14ac:dyDescent="0.25">
      <c r="A1461" s="279">
        <v>39027</v>
      </c>
      <c r="B1461" s="309" t="s">
        <v>405</v>
      </c>
      <c r="C1461" s="309" t="s">
        <v>198</v>
      </c>
      <c r="D1461">
        <v>0</v>
      </c>
    </row>
    <row r="1462" spans="1:4" x14ac:dyDescent="0.25">
      <c r="A1462" s="279">
        <v>39027</v>
      </c>
      <c r="B1462" s="309" t="s">
        <v>405</v>
      </c>
      <c r="C1462" s="309" t="s">
        <v>199</v>
      </c>
      <c r="D1462">
        <v>0</v>
      </c>
    </row>
    <row r="1463" spans="1:4" x14ac:dyDescent="0.25">
      <c r="A1463" s="279">
        <v>39027</v>
      </c>
      <c r="B1463" s="309" t="s">
        <v>405</v>
      </c>
      <c r="C1463" s="309" t="s">
        <v>90</v>
      </c>
      <c r="D1463">
        <v>2264</v>
      </c>
    </row>
    <row r="1464" spans="1:4" x14ac:dyDescent="0.25">
      <c r="A1464" s="279">
        <v>39027</v>
      </c>
      <c r="B1464" s="309" t="s">
        <v>405</v>
      </c>
      <c r="C1464" s="309" t="s">
        <v>24</v>
      </c>
      <c r="D1464">
        <v>0</v>
      </c>
    </row>
    <row r="1465" spans="1:4" x14ac:dyDescent="0.25">
      <c r="A1465" s="279">
        <v>39027</v>
      </c>
      <c r="B1465" s="309" t="s">
        <v>405</v>
      </c>
      <c r="C1465" s="309" t="s">
        <v>91</v>
      </c>
      <c r="D1465">
        <v>0</v>
      </c>
    </row>
    <row r="1466" spans="1:4" x14ac:dyDescent="0.25">
      <c r="A1466" s="279">
        <v>39027</v>
      </c>
      <c r="B1466" s="309" t="s">
        <v>405</v>
      </c>
      <c r="C1466" s="309" t="s">
        <v>118</v>
      </c>
      <c r="D1466">
        <v>0</v>
      </c>
    </row>
    <row r="1467" spans="1:4" x14ac:dyDescent="0.25">
      <c r="A1467" s="279">
        <v>39027</v>
      </c>
      <c r="B1467" s="309" t="s">
        <v>405</v>
      </c>
      <c r="C1467" s="309" t="s">
        <v>407</v>
      </c>
      <c r="D1467">
        <v>3516357.1</v>
      </c>
    </row>
    <row r="1468" spans="1:4" x14ac:dyDescent="0.25">
      <c r="A1468" s="279">
        <v>39027</v>
      </c>
      <c r="B1468" s="309" t="s">
        <v>405</v>
      </c>
      <c r="C1468" s="309" t="s">
        <v>408</v>
      </c>
      <c r="D1468">
        <v>1007</v>
      </c>
    </row>
    <row r="1469" spans="1:4" x14ac:dyDescent="0.25">
      <c r="A1469" s="279">
        <v>39027</v>
      </c>
      <c r="B1469" s="309" t="s">
        <v>405</v>
      </c>
      <c r="C1469" s="309" t="s">
        <v>409</v>
      </c>
      <c r="D1469">
        <v>1058</v>
      </c>
    </row>
    <row r="1470" spans="1:4" x14ac:dyDescent="0.25">
      <c r="A1470" s="279">
        <v>39027</v>
      </c>
      <c r="B1470" s="309" t="s">
        <v>405</v>
      </c>
      <c r="C1470" s="309" t="s">
        <v>410</v>
      </c>
      <c r="D1470">
        <v>1033</v>
      </c>
    </row>
    <row r="1471" spans="1:4" x14ac:dyDescent="0.25">
      <c r="A1471" s="279">
        <v>39027</v>
      </c>
      <c r="B1471" s="309" t="s">
        <v>411</v>
      </c>
      <c r="C1471" s="309" t="s">
        <v>406</v>
      </c>
      <c r="D1471">
        <v>234467</v>
      </c>
    </row>
    <row r="1472" spans="1:4" x14ac:dyDescent="0.25">
      <c r="A1472" s="279">
        <v>39027</v>
      </c>
      <c r="B1472" s="309" t="s">
        <v>411</v>
      </c>
      <c r="C1472" s="309" t="s">
        <v>198</v>
      </c>
      <c r="D1472">
        <v>0</v>
      </c>
    </row>
    <row r="1473" spans="1:4" x14ac:dyDescent="0.25">
      <c r="A1473" s="279">
        <v>39027</v>
      </c>
      <c r="B1473" s="309" t="s">
        <v>411</v>
      </c>
      <c r="C1473" s="309" t="s">
        <v>199</v>
      </c>
      <c r="D1473">
        <v>0</v>
      </c>
    </row>
    <row r="1474" spans="1:4" x14ac:dyDescent="0.25">
      <c r="A1474" s="279">
        <v>39027</v>
      </c>
      <c r="B1474" s="309" t="s">
        <v>411</v>
      </c>
      <c r="C1474" s="309" t="s">
        <v>90</v>
      </c>
      <c r="D1474">
        <v>62</v>
      </c>
    </row>
    <row r="1475" spans="1:4" x14ac:dyDescent="0.25">
      <c r="A1475" s="279">
        <v>39027</v>
      </c>
      <c r="B1475" s="309" t="s">
        <v>411</v>
      </c>
      <c r="C1475" s="309" t="s">
        <v>24</v>
      </c>
      <c r="D1475">
        <v>0</v>
      </c>
    </row>
    <row r="1476" spans="1:4" x14ac:dyDescent="0.25">
      <c r="A1476" s="279">
        <v>39027</v>
      </c>
      <c r="B1476" s="309" t="s">
        <v>411</v>
      </c>
      <c r="C1476" s="309" t="s">
        <v>91</v>
      </c>
      <c r="D1476">
        <v>0</v>
      </c>
    </row>
    <row r="1477" spans="1:4" x14ac:dyDescent="0.25">
      <c r="A1477" s="279">
        <v>39027</v>
      </c>
      <c r="B1477" s="309" t="s">
        <v>411</v>
      </c>
      <c r="C1477" s="309" t="s">
        <v>118</v>
      </c>
      <c r="D1477">
        <v>0</v>
      </c>
    </row>
    <row r="1478" spans="1:4" x14ac:dyDescent="0.25">
      <c r="A1478" s="279">
        <v>39027</v>
      </c>
      <c r="B1478" s="309" t="s">
        <v>411</v>
      </c>
      <c r="C1478" s="309" t="s">
        <v>407</v>
      </c>
      <c r="D1478">
        <v>234405</v>
      </c>
    </row>
    <row r="1479" spans="1:4" x14ac:dyDescent="0.25">
      <c r="A1479" s="279">
        <v>39027</v>
      </c>
      <c r="B1479" s="309" t="s">
        <v>411</v>
      </c>
      <c r="C1479" s="309" t="s">
        <v>412</v>
      </c>
      <c r="D1479">
        <v>1007</v>
      </c>
    </row>
    <row r="1480" spans="1:4" x14ac:dyDescent="0.25">
      <c r="A1480" s="279">
        <v>39027</v>
      </c>
      <c r="B1480" s="309" t="s">
        <v>411</v>
      </c>
      <c r="C1480" s="309" t="s">
        <v>409</v>
      </c>
      <c r="D1480">
        <v>1076</v>
      </c>
    </row>
    <row r="1481" spans="1:4" x14ac:dyDescent="0.25">
      <c r="A1481" s="279">
        <v>39028</v>
      </c>
      <c r="B1481" s="309" t="s">
        <v>405</v>
      </c>
      <c r="C1481" s="309" t="s">
        <v>406</v>
      </c>
      <c r="D1481">
        <v>3516357.1</v>
      </c>
    </row>
    <row r="1482" spans="1:4" x14ac:dyDescent="0.25">
      <c r="A1482" s="279">
        <v>39028</v>
      </c>
      <c r="B1482" s="309" t="s">
        <v>405</v>
      </c>
      <c r="C1482" s="309" t="s">
        <v>89</v>
      </c>
      <c r="D1482">
        <v>9679</v>
      </c>
    </row>
    <row r="1483" spans="1:4" x14ac:dyDescent="0.25">
      <c r="A1483" s="279">
        <v>39028</v>
      </c>
      <c r="B1483" s="309" t="s">
        <v>405</v>
      </c>
      <c r="C1483" s="309" t="s">
        <v>198</v>
      </c>
      <c r="D1483">
        <v>0</v>
      </c>
    </row>
    <row r="1484" spans="1:4" x14ac:dyDescent="0.25">
      <c r="A1484" s="279">
        <v>39028</v>
      </c>
      <c r="B1484" s="309" t="s">
        <v>405</v>
      </c>
      <c r="C1484" s="309" t="s">
        <v>199</v>
      </c>
      <c r="D1484">
        <v>0</v>
      </c>
    </row>
    <row r="1485" spans="1:4" x14ac:dyDescent="0.25">
      <c r="A1485" s="279">
        <v>39028</v>
      </c>
      <c r="B1485" s="309" t="s">
        <v>405</v>
      </c>
      <c r="C1485" s="309" t="s">
        <v>90</v>
      </c>
      <c r="D1485">
        <v>4068</v>
      </c>
    </row>
    <row r="1486" spans="1:4" x14ac:dyDescent="0.25">
      <c r="A1486" s="279">
        <v>39028</v>
      </c>
      <c r="B1486" s="309" t="s">
        <v>405</v>
      </c>
      <c r="C1486" s="309" t="s">
        <v>24</v>
      </c>
      <c r="D1486">
        <v>0</v>
      </c>
    </row>
    <row r="1487" spans="1:4" x14ac:dyDescent="0.25">
      <c r="A1487" s="279">
        <v>39028</v>
      </c>
      <c r="B1487" s="309" t="s">
        <v>405</v>
      </c>
      <c r="C1487" s="309" t="s">
        <v>91</v>
      </c>
      <c r="D1487">
        <v>0</v>
      </c>
    </row>
    <row r="1488" spans="1:4" x14ac:dyDescent="0.25">
      <c r="A1488" s="279">
        <v>39028</v>
      </c>
      <c r="B1488" s="309" t="s">
        <v>405</v>
      </c>
      <c r="C1488" s="309" t="s">
        <v>118</v>
      </c>
      <c r="D1488">
        <v>0</v>
      </c>
    </row>
    <row r="1489" spans="1:4" x14ac:dyDescent="0.25">
      <c r="A1489" s="279">
        <v>39028</v>
      </c>
      <c r="B1489" s="309" t="s">
        <v>405</v>
      </c>
      <c r="C1489" s="309" t="s">
        <v>407</v>
      </c>
      <c r="D1489">
        <v>3521968.1</v>
      </c>
    </row>
    <row r="1490" spans="1:4" x14ac:dyDescent="0.25">
      <c r="A1490" s="279">
        <v>39028</v>
      </c>
      <c r="B1490" s="309" t="s">
        <v>405</v>
      </c>
      <c r="C1490" s="309" t="s">
        <v>408</v>
      </c>
      <c r="D1490">
        <v>1007</v>
      </c>
    </row>
    <row r="1491" spans="1:4" x14ac:dyDescent="0.25">
      <c r="A1491" s="279">
        <v>39028</v>
      </c>
      <c r="B1491" s="309" t="s">
        <v>405</v>
      </c>
      <c r="C1491" s="309" t="s">
        <v>409</v>
      </c>
      <c r="D1491">
        <v>1058</v>
      </c>
    </row>
    <row r="1492" spans="1:4" x14ac:dyDescent="0.25">
      <c r="A1492" s="279">
        <v>39028</v>
      </c>
      <c r="B1492" s="309" t="s">
        <v>405</v>
      </c>
      <c r="C1492" s="309" t="s">
        <v>410</v>
      </c>
      <c r="D1492">
        <v>1036</v>
      </c>
    </row>
    <row r="1493" spans="1:4" x14ac:dyDescent="0.25">
      <c r="A1493" s="279">
        <v>39028</v>
      </c>
      <c r="B1493" s="309" t="s">
        <v>411</v>
      </c>
      <c r="C1493" s="309" t="s">
        <v>406</v>
      </c>
      <c r="D1493">
        <v>234405</v>
      </c>
    </row>
    <row r="1494" spans="1:4" x14ac:dyDescent="0.25">
      <c r="A1494" s="279">
        <v>39028</v>
      </c>
      <c r="B1494" s="309" t="s">
        <v>411</v>
      </c>
      <c r="C1494" s="309" t="s">
        <v>198</v>
      </c>
      <c r="D1494">
        <v>0</v>
      </c>
    </row>
    <row r="1495" spans="1:4" x14ac:dyDescent="0.25">
      <c r="A1495" s="279">
        <v>39028</v>
      </c>
      <c r="B1495" s="309" t="s">
        <v>411</v>
      </c>
      <c r="C1495" s="309" t="s">
        <v>199</v>
      </c>
      <c r="D1495">
        <v>0</v>
      </c>
    </row>
    <row r="1496" spans="1:4" x14ac:dyDescent="0.25">
      <c r="A1496" s="279">
        <v>39028</v>
      </c>
      <c r="B1496" s="309" t="s">
        <v>411</v>
      </c>
      <c r="C1496" s="309" t="s">
        <v>90</v>
      </c>
      <c r="D1496">
        <v>63</v>
      </c>
    </row>
    <row r="1497" spans="1:4" x14ac:dyDescent="0.25">
      <c r="A1497" s="279">
        <v>39028</v>
      </c>
      <c r="B1497" s="309" t="s">
        <v>411</v>
      </c>
      <c r="C1497" s="309" t="s">
        <v>24</v>
      </c>
      <c r="D1497">
        <v>0</v>
      </c>
    </row>
    <row r="1498" spans="1:4" x14ac:dyDescent="0.25">
      <c r="A1498" s="279">
        <v>39028</v>
      </c>
      <c r="B1498" s="309" t="s">
        <v>411</v>
      </c>
      <c r="C1498" s="309" t="s">
        <v>91</v>
      </c>
      <c r="D1498">
        <v>0</v>
      </c>
    </row>
    <row r="1499" spans="1:4" x14ac:dyDescent="0.25">
      <c r="A1499" s="279">
        <v>39028</v>
      </c>
      <c r="B1499" s="309" t="s">
        <v>411</v>
      </c>
      <c r="C1499" s="309" t="s">
        <v>118</v>
      </c>
      <c r="D1499">
        <v>0</v>
      </c>
    </row>
    <row r="1500" spans="1:4" x14ac:dyDescent="0.25">
      <c r="A1500" s="279">
        <v>39028</v>
      </c>
      <c r="B1500" s="309" t="s">
        <v>411</v>
      </c>
      <c r="C1500" s="309" t="s">
        <v>407</v>
      </c>
      <c r="D1500">
        <v>234342</v>
      </c>
    </row>
    <row r="1501" spans="1:4" x14ac:dyDescent="0.25">
      <c r="A1501" s="279">
        <v>39028</v>
      </c>
      <c r="B1501" s="309" t="s">
        <v>411</v>
      </c>
      <c r="C1501" s="309" t="s">
        <v>412</v>
      </c>
      <c r="D1501">
        <v>1007</v>
      </c>
    </row>
    <row r="1502" spans="1:4" x14ac:dyDescent="0.25">
      <c r="A1502" s="279">
        <v>39028</v>
      </c>
      <c r="B1502" s="309" t="s">
        <v>411</v>
      </c>
      <c r="C1502" s="309" t="s">
        <v>409</v>
      </c>
      <c r="D1502">
        <v>1076</v>
      </c>
    </row>
    <row r="1503" spans="1:4" x14ac:dyDescent="0.25">
      <c r="A1503" s="279">
        <v>39029</v>
      </c>
      <c r="B1503" s="309" t="s">
        <v>405</v>
      </c>
      <c r="C1503" s="309" t="s">
        <v>406</v>
      </c>
      <c r="D1503">
        <v>3521968.1</v>
      </c>
    </row>
    <row r="1504" spans="1:4" x14ac:dyDescent="0.25">
      <c r="A1504" s="279">
        <v>39029</v>
      </c>
      <c r="B1504" s="309" t="s">
        <v>405</v>
      </c>
      <c r="C1504" s="309" t="s">
        <v>89</v>
      </c>
      <c r="D1504">
        <v>9400</v>
      </c>
    </row>
    <row r="1505" spans="1:4" x14ac:dyDescent="0.25">
      <c r="A1505" s="279">
        <v>39029</v>
      </c>
      <c r="B1505" s="309" t="s">
        <v>405</v>
      </c>
      <c r="C1505" s="309" t="s">
        <v>198</v>
      </c>
      <c r="D1505">
        <v>0</v>
      </c>
    </row>
    <row r="1506" spans="1:4" x14ac:dyDescent="0.25">
      <c r="A1506" s="279">
        <v>39029</v>
      </c>
      <c r="B1506" s="309" t="s">
        <v>405</v>
      </c>
      <c r="C1506" s="309" t="s">
        <v>199</v>
      </c>
      <c r="D1506">
        <v>0</v>
      </c>
    </row>
    <row r="1507" spans="1:4" x14ac:dyDescent="0.25">
      <c r="A1507" s="279">
        <v>39029</v>
      </c>
      <c r="B1507" s="309" t="s">
        <v>405</v>
      </c>
      <c r="C1507" s="309" t="s">
        <v>90</v>
      </c>
      <c r="D1507">
        <v>5125</v>
      </c>
    </row>
    <row r="1508" spans="1:4" x14ac:dyDescent="0.25">
      <c r="A1508" s="279">
        <v>39029</v>
      </c>
      <c r="B1508" s="309" t="s">
        <v>405</v>
      </c>
      <c r="C1508" s="309" t="s">
        <v>24</v>
      </c>
      <c r="D1508">
        <v>0</v>
      </c>
    </row>
    <row r="1509" spans="1:4" x14ac:dyDescent="0.25">
      <c r="A1509" s="279">
        <v>39029</v>
      </c>
      <c r="B1509" s="309" t="s">
        <v>405</v>
      </c>
      <c r="C1509" s="309" t="s">
        <v>91</v>
      </c>
      <c r="D1509">
        <v>0</v>
      </c>
    </row>
    <row r="1510" spans="1:4" x14ac:dyDescent="0.25">
      <c r="A1510" s="279">
        <v>39029</v>
      </c>
      <c r="B1510" s="309" t="s">
        <v>405</v>
      </c>
      <c r="C1510" s="309" t="s">
        <v>118</v>
      </c>
      <c r="D1510">
        <v>0</v>
      </c>
    </row>
    <row r="1511" spans="1:4" x14ac:dyDescent="0.25">
      <c r="A1511" s="279">
        <v>39029</v>
      </c>
      <c r="B1511" s="309" t="s">
        <v>405</v>
      </c>
      <c r="C1511" s="309" t="s">
        <v>407</v>
      </c>
      <c r="D1511">
        <v>3526243.1</v>
      </c>
    </row>
    <row r="1512" spans="1:4" x14ac:dyDescent="0.25">
      <c r="A1512" s="279">
        <v>39029</v>
      </c>
      <c r="B1512" s="309" t="s">
        <v>405</v>
      </c>
      <c r="C1512" s="309" t="s">
        <v>408</v>
      </c>
      <c r="D1512">
        <v>1007</v>
      </c>
    </row>
    <row r="1513" spans="1:4" x14ac:dyDescent="0.25">
      <c r="A1513" s="279">
        <v>39029</v>
      </c>
      <c r="B1513" s="309" t="s">
        <v>405</v>
      </c>
      <c r="C1513" s="309" t="s">
        <v>409</v>
      </c>
      <c r="D1513">
        <v>1058</v>
      </c>
    </row>
    <row r="1514" spans="1:4" x14ac:dyDescent="0.25">
      <c r="A1514" s="279">
        <v>39029</v>
      </c>
      <c r="B1514" s="309" t="s">
        <v>405</v>
      </c>
      <c r="C1514" s="309" t="s">
        <v>410</v>
      </c>
      <c r="D1514">
        <v>1033</v>
      </c>
    </row>
    <row r="1515" spans="1:4" x14ac:dyDescent="0.25">
      <c r="A1515" s="279">
        <v>39029</v>
      </c>
      <c r="B1515" s="309" t="s">
        <v>411</v>
      </c>
      <c r="C1515" s="309" t="s">
        <v>406</v>
      </c>
      <c r="D1515">
        <v>234342</v>
      </c>
    </row>
    <row r="1516" spans="1:4" x14ac:dyDescent="0.25">
      <c r="A1516" s="279">
        <v>39029</v>
      </c>
      <c r="B1516" s="309" t="s">
        <v>411</v>
      </c>
      <c r="C1516" s="309" t="s">
        <v>198</v>
      </c>
      <c r="D1516">
        <v>0</v>
      </c>
    </row>
    <row r="1517" spans="1:4" x14ac:dyDescent="0.25">
      <c r="A1517" s="279">
        <v>39029</v>
      </c>
      <c r="B1517" s="309" t="s">
        <v>411</v>
      </c>
      <c r="C1517" s="309" t="s">
        <v>199</v>
      </c>
      <c r="D1517">
        <v>0</v>
      </c>
    </row>
    <row r="1518" spans="1:4" x14ac:dyDescent="0.25">
      <c r="A1518" s="279">
        <v>39029</v>
      </c>
      <c r="B1518" s="309" t="s">
        <v>411</v>
      </c>
      <c r="C1518" s="309" t="s">
        <v>90</v>
      </c>
      <c r="D1518">
        <v>94</v>
      </c>
    </row>
    <row r="1519" spans="1:4" x14ac:dyDescent="0.25">
      <c r="A1519" s="279">
        <v>39029</v>
      </c>
      <c r="B1519" s="309" t="s">
        <v>411</v>
      </c>
      <c r="C1519" s="309" t="s">
        <v>24</v>
      </c>
      <c r="D1519">
        <v>0</v>
      </c>
    </row>
    <row r="1520" spans="1:4" x14ac:dyDescent="0.25">
      <c r="A1520" s="279">
        <v>39029</v>
      </c>
      <c r="B1520" s="309" t="s">
        <v>411</v>
      </c>
      <c r="C1520" s="309" t="s">
        <v>91</v>
      </c>
      <c r="D1520">
        <v>0</v>
      </c>
    </row>
    <row r="1521" spans="1:4" x14ac:dyDescent="0.25">
      <c r="A1521" s="279">
        <v>39029</v>
      </c>
      <c r="B1521" s="309" t="s">
        <v>411</v>
      </c>
      <c r="C1521" s="309" t="s">
        <v>118</v>
      </c>
      <c r="D1521">
        <v>0</v>
      </c>
    </row>
    <row r="1522" spans="1:4" x14ac:dyDescent="0.25">
      <c r="A1522" s="279">
        <v>39029</v>
      </c>
      <c r="B1522" s="309" t="s">
        <v>411</v>
      </c>
      <c r="C1522" s="309" t="s">
        <v>407</v>
      </c>
      <c r="D1522">
        <v>234248</v>
      </c>
    </row>
    <row r="1523" spans="1:4" x14ac:dyDescent="0.25">
      <c r="A1523" s="279">
        <v>39029</v>
      </c>
      <c r="B1523" s="309" t="s">
        <v>411</v>
      </c>
      <c r="C1523" s="309" t="s">
        <v>412</v>
      </c>
      <c r="D1523">
        <v>1007</v>
      </c>
    </row>
    <row r="1524" spans="1:4" x14ac:dyDescent="0.25">
      <c r="A1524" s="279">
        <v>39029</v>
      </c>
      <c r="B1524" s="309" t="s">
        <v>411</v>
      </c>
      <c r="C1524" s="309" t="s">
        <v>409</v>
      </c>
      <c r="D1524">
        <v>1076</v>
      </c>
    </row>
    <row r="1525" spans="1:4" x14ac:dyDescent="0.25">
      <c r="A1525" s="279">
        <v>39030</v>
      </c>
      <c r="B1525" s="309" t="s">
        <v>405</v>
      </c>
      <c r="C1525" s="309" t="s">
        <v>406</v>
      </c>
      <c r="D1525">
        <v>3526243.1</v>
      </c>
    </row>
    <row r="1526" spans="1:4" x14ac:dyDescent="0.25">
      <c r="A1526" s="279">
        <v>39030</v>
      </c>
      <c r="B1526" s="309" t="s">
        <v>405</v>
      </c>
      <c r="C1526" s="309" t="s">
        <v>89</v>
      </c>
      <c r="D1526">
        <v>11373</v>
      </c>
    </row>
    <row r="1527" spans="1:4" x14ac:dyDescent="0.25">
      <c r="A1527" s="279">
        <v>39030</v>
      </c>
      <c r="B1527" s="309" t="s">
        <v>405</v>
      </c>
      <c r="C1527" s="309" t="s">
        <v>198</v>
      </c>
      <c r="D1527">
        <v>0</v>
      </c>
    </row>
    <row r="1528" spans="1:4" x14ac:dyDescent="0.25">
      <c r="A1528" s="279">
        <v>39030</v>
      </c>
      <c r="B1528" s="309" t="s">
        <v>405</v>
      </c>
      <c r="C1528" s="309" t="s">
        <v>199</v>
      </c>
      <c r="D1528">
        <v>0</v>
      </c>
    </row>
    <row r="1529" spans="1:4" x14ac:dyDescent="0.25">
      <c r="A1529" s="279">
        <v>39030</v>
      </c>
      <c r="B1529" s="309" t="s">
        <v>405</v>
      </c>
      <c r="C1529" s="309" t="s">
        <v>90</v>
      </c>
      <c r="D1529">
        <v>2822</v>
      </c>
    </row>
    <row r="1530" spans="1:4" x14ac:dyDescent="0.25">
      <c r="A1530" s="279">
        <v>39030</v>
      </c>
      <c r="B1530" s="309" t="s">
        <v>405</v>
      </c>
      <c r="C1530" s="309" t="s">
        <v>24</v>
      </c>
      <c r="D1530">
        <v>0</v>
      </c>
    </row>
    <row r="1531" spans="1:4" x14ac:dyDescent="0.25">
      <c r="A1531" s="279">
        <v>39030</v>
      </c>
      <c r="B1531" s="309" t="s">
        <v>405</v>
      </c>
      <c r="C1531" s="309" t="s">
        <v>91</v>
      </c>
      <c r="D1531">
        <v>0</v>
      </c>
    </row>
    <row r="1532" spans="1:4" x14ac:dyDescent="0.25">
      <c r="A1532" s="279">
        <v>39030</v>
      </c>
      <c r="B1532" s="309" t="s">
        <v>405</v>
      </c>
      <c r="C1532" s="309" t="s">
        <v>118</v>
      </c>
      <c r="D1532">
        <v>0</v>
      </c>
    </row>
    <row r="1533" spans="1:4" x14ac:dyDescent="0.25">
      <c r="A1533" s="279">
        <v>39030</v>
      </c>
      <c r="B1533" s="309" t="s">
        <v>405</v>
      </c>
      <c r="C1533" s="309" t="s">
        <v>407</v>
      </c>
      <c r="D1533">
        <v>3534794.1</v>
      </c>
    </row>
    <row r="1534" spans="1:4" x14ac:dyDescent="0.25">
      <c r="A1534" s="279">
        <v>39030</v>
      </c>
      <c r="B1534" s="309" t="s">
        <v>405</v>
      </c>
      <c r="C1534" s="309" t="s">
        <v>408</v>
      </c>
      <c r="D1534">
        <v>1007</v>
      </c>
    </row>
    <row r="1535" spans="1:4" x14ac:dyDescent="0.25">
      <c r="A1535" s="279">
        <v>39030</v>
      </c>
      <c r="B1535" s="309" t="s">
        <v>405</v>
      </c>
      <c r="C1535" s="309" t="s">
        <v>409</v>
      </c>
      <c r="D1535">
        <v>1058</v>
      </c>
    </row>
    <row r="1536" spans="1:4" x14ac:dyDescent="0.25">
      <c r="A1536" s="279">
        <v>39030</v>
      </c>
      <c r="B1536" s="309" t="s">
        <v>405</v>
      </c>
      <c r="C1536" s="309" t="s">
        <v>410</v>
      </c>
      <c r="D1536">
        <v>1033</v>
      </c>
    </row>
    <row r="1537" spans="1:4" x14ac:dyDescent="0.25">
      <c r="A1537" s="279">
        <v>39030</v>
      </c>
      <c r="B1537" s="309" t="s">
        <v>411</v>
      </c>
      <c r="C1537" s="309" t="s">
        <v>406</v>
      </c>
      <c r="D1537">
        <v>234248</v>
      </c>
    </row>
    <row r="1538" spans="1:4" x14ac:dyDescent="0.25">
      <c r="A1538" s="279">
        <v>39030</v>
      </c>
      <c r="B1538" s="309" t="s">
        <v>411</v>
      </c>
      <c r="C1538" s="309" t="s">
        <v>198</v>
      </c>
      <c r="D1538">
        <v>0</v>
      </c>
    </row>
    <row r="1539" spans="1:4" x14ac:dyDescent="0.25">
      <c r="A1539" s="279">
        <v>39030</v>
      </c>
      <c r="B1539" s="309" t="s">
        <v>411</v>
      </c>
      <c r="C1539" s="309" t="s">
        <v>199</v>
      </c>
      <c r="D1539">
        <v>0</v>
      </c>
    </row>
    <row r="1540" spans="1:4" x14ac:dyDescent="0.25">
      <c r="A1540" s="279">
        <v>39030</v>
      </c>
      <c r="B1540" s="309" t="s">
        <v>411</v>
      </c>
      <c r="C1540" s="309" t="s">
        <v>90</v>
      </c>
      <c r="D1540">
        <v>54</v>
      </c>
    </row>
    <row r="1541" spans="1:4" x14ac:dyDescent="0.25">
      <c r="A1541" s="279">
        <v>39030</v>
      </c>
      <c r="B1541" s="309" t="s">
        <v>411</v>
      </c>
      <c r="C1541" s="309" t="s">
        <v>24</v>
      </c>
      <c r="D1541">
        <v>0</v>
      </c>
    </row>
    <row r="1542" spans="1:4" x14ac:dyDescent="0.25">
      <c r="A1542" s="279">
        <v>39030</v>
      </c>
      <c r="B1542" s="309" t="s">
        <v>411</v>
      </c>
      <c r="C1542" s="309" t="s">
        <v>91</v>
      </c>
      <c r="D1542">
        <v>0</v>
      </c>
    </row>
    <row r="1543" spans="1:4" x14ac:dyDescent="0.25">
      <c r="A1543" s="279">
        <v>39030</v>
      </c>
      <c r="B1543" s="309" t="s">
        <v>411</v>
      </c>
      <c r="C1543" s="309" t="s">
        <v>118</v>
      </c>
      <c r="D1543">
        <v>0</v>
      </c>
    </row>
    <row r="1544" spans="1:4" x14ac:dyDescent="0.25">
      <c r="A1544" s="279">
        <v>39030</v>
      </c>
      <c r="B1544" s="309" t="s">
        <v>411</v>
      </c>
      <c r="C1544" s="309" t="s">
        <v>407</v>
      </c>
      <c r="D1544">
        <v>234194</v>
      </c>
    </row>
    <row r="1545" spans="1:4" x14ac:dyDescent="0.25">
      <c r="A1545" s="279">
        <v>39030</v>
      </c>
      <c r="B1545" s="309" t="s">
        <v>411</v>
      </c>
      <c r="C1545" s="309" t="s">
        <v>412</v>
      </c>
      <c r="D1545">
        <v>1007</v>
      </c>
    </row>
    <row r="1546" spans="1:4" x14ac:dyDescent="0.25">
      <c r="A1546" s="279">
        <v>39030</v>
      </c>
      <c r="B1546" s="309" t="s">
        <v>411</v>
      </c>
      <c r="C1546" s="309" t="s">
        <v>409</v>
      </c>
      <c r="D1546">
        <v>1076</v>
      </c>
    </row>
    <row r="1547" spans="1:4" x14ac:dyDescent="0.25">
      <c r="A1547" s="279">
        <v>39031</v>
      </c>
      <c r="B1547" s="309" t="s">
        <v>405</v>
      </c>
      <c r="C1547" s="309" t="s">
        <v>406</v>
      </c>
      <c r="D1547">
        <v>3534794.1</v>
      </c>
    </row>
    <row r="1548" spans="1:4" x14ac:dyDescent="0.25">
      <c r="A1548" s="279">
        <v>39031</v>
      </c>
      <c r="B1548" s="309" t="s">
        <v>405</v>
      </c>
      <c r="C1548" s="309" t="s">
        <v>89</v>
      </c>
      <c r="D1548">
        <v>12502</v>
      </c>
    </row>
    <row r="1549" spans="1:4" x14ac:dyDescent="0.25">
      <c r="A1549" s="279">
        <v>39031</v>
      </c>
      <c r="B1549" s="309" t="s">
        <v>405</v>
      </c>
      <c r="C1549" s="309" t="s">
        <v>198</v>
      </c>
      <c r="D1549">
        <v>0</v>
      </c>
    </row>
    <row r="1550" spans="1:4" x14ac:dyDescent="0.25">
      <c r="A1550" s="279">
        <v>39031</v>
      </c>
      <c r="B1550" s="309" t="s">
        <v>405</v>
      </c>
      <c r="C1550" s="309" t="s">
        <v>199</v>
      </c>
      <c r="D1550">
        <v>0</v>
      </c>
    </row>
    <row r="1551" spans="1:4" x14ac:dyDescent="0.25">
      <c r="A1551" s="279">
        <v>39031</v>
      </c>
      <c r="B1551" s="309" t="s">
        <v>405</v>
      </c>
      <c r="C1551" s="309" t="s">
        <v>90</v>
      </c>
      <c r="D1551">
        <v>2079</v>
      </c>
    </row>
    <row r="1552" spans="1:4" x14ac:dyDescent="0.25">
      <c r="A1552" s="279">
        <v>39031</v>
      </c>
      <c r="B1552" s="309" t="s">
        <v>405</v>
      </c>
      <c r="C1552" s="309" t="s">
        <v>24</v>
      </c>
      <c r="D1552">
        <v>0</v>
      </c>
    </row>
    <row r="1553" spans="1:4" x14ac:dyDescent="0.25">
      <c r="A1553" s="279">
        <v>39031</v>
      </c>
      <c r="B1553" s="309" t="s">
        <v>405</v>
      </c>
      <c r="C1553" s="309" t="s">
        <v>91</v>
      </c>
      <c r="D1553">
        <v>0</v>
      </c>
    </row>
    <row r="1554" spans="1:4" x14ac:dyDescent="0.25">
      <c r="A1554" s="279">
        <v>39031</v>
      </c>
      <c r="B1554" s="309" t="s">
        <v>405</v>
      </c>
      <c r="C1554" s="309" t="s">
        <v>118</v>
      </c>
      <c r="D1554">
        <v>0</v>
      </c>
    </row>
    <row r="1555" spans="1:4" x14ac:dyDescent="0.25">
      <c r="A1555" s="279">
        <v>39031</v>
      </c>
      <c r="B1555" s="309" t="s">
        <v>405</v>
      </c>
      <c r="C1555" s="309" t="s">
        <v>407</v>
      </c>
      <c r="D1555">
        <v>3545217.1</v>
      </c>
    </row>
    <row r="1556" spans="1:4" x14ac:dyDescent="0.25">
      <c r="A1556" s="279">
        <v>39031</v>
      </c>
      <c r="B1556" s="309" t="s">
        <v>405</v>
      </c>
      <c r="C1556" s="309" t="s">
        <v>408</v>
      </c>
      <c r="D1556">
        <v>1007</v>
      </c>
    </row>
    <row r="1557" spans="1:4" x14ac:dyDescent="0.25">
      <c r="A1557" s="279">
        <v>39031</v>
      </c>
      <c r="B1557" s="309" t="s">
        <v>405</v>
      </c>
      <c r="C1557" s="309" t="s">
        <v>409</v>
      </c>
      <c r="D1557">
        <v>1058</v>
      </c>
    </row>
    <row r="1558" spans="1:4" x14ac:dyDescent="0.25">
      <c r="A1558" s="279">
        <v>39031</v>
      </c>
      <c r="B1558" s="309" t="s">
        <v>405</v>
      </c>
      <c r="C1558" s="309" t="s">
        <v>410</v>
      </c>
      <c r="D1558">
        <v>1034</v>
      </c>
    </row>
    <row r="1559" spans="1:4" x14ac:dyDescent="0.25">
      <c r="A1559" s="279">
        <v>39031</v>
      </c>
      <c r="B1559" s="309" t="s">
        <v>411</v>
      </c>
      <c r="C1559" s="309" t="s">
        <v>406</v>
      </c>
      <c r="D1559">
        <v>234194</v>
      </c>
    </row>
    <row r="1560" spans="1:4" x14ac:dyDescent="0.25">
      <c r="A1560" s="279">
        <v>39031</v>
      </c>
      <c r="B1560" s="309" t="s">
        <v>411</v>
      </c>
      <c r="C1560" s="309" t="s">
        <v>198</v>
      </c>
      <c r="D1560">
        <v>0</v>
      </c>
    </row>
    <row r="1561" spans="1:4" x14ac:dyDescent="0.25">
      <c r="A1561" s="279">
        <v>39031</v>
      </c>
      <c r="B1561" s="309" t="s">
        <v>411</v>
      </c>
      <c r="C1561" s="309" t="s">
        <v>199</v>
      </c>
      <c r="D1561">
        <v>0</v>
      </c>
    </row>
    <row r="1562" spans="1:4" x14ac:dyDescent="0.25">
      <c r="A1562" s="279">
        <v>39031</v>
      </c>
      <c r="B1562" s="309" t="s">
        <v>411</v>
      </c>
      <c r="C1562" s="309" t="s">
        <v>90</v>
      </c>
      <c r="D1562">
        <v>50</v>
      </c>
    </row>
    <row r="1563" spans="1:4" x14ac:dyDescent="0.25">
      <c r="A1563" s="279">
        <v>39031</v>
      </c>
      <c r="B1563" s="309" t="s">
        <v>411</v>
      </c>
      <c r="C1563" s="309" t="s">
        <v>24</v>
      </c>
      <c r="D1563">
        <v>0</v>
      </c>
    </row>
    <row r="1564" spans="1:4" x14ac:dyDescent="0.25">
      <c r="A1564" s="279">
        <v>39031</v>
      </c>
      <c r="B1564" s="309" t="s">
        <v>411</v>
      </c>
      <c r="C1564" s="309" t="s">
        <v>91</v>
      </c>
      <c r="D1564">
        <v>0</v>
      </c>
    </row>
    <row r="1565" spans="1:4" x14ac:dyDescent="0.25">
      <c r="A1565" s="279">
        <v>39031</v>
      </c>
      <c r="B1565" s="309" t="s">
        <v>411</v>
      </c>
      <c r="C1565" s="309" t="s">
        <v>118</v>
      </c>
      <c r="D1565">
        <v>0</v>
      </c>
    </row>
    <row r="1566" spans="1:4" x14ac:dyDescent="0.25">
      <c r="A1566" s="279">
        <v>39031</v>
      </c>
      <c r="B1566" s="309" t="s">
        <v>411</v>
      </c>
      <c r="C1566" s="309" t="s">
        <v>407</v>
      </c>
      <c r="D1566">
        <v>234144</v>
      </c>
    </row>
    <row r="1567" spans="1:4" x14ac:dyDescent="0.25">
      <c r="A1567" s="279">
        <v>39031</v>
      </c>
      <c r="B1567" s="309" t="s">
        <v>411</v>
      </c>
      <c r="C1567" s="309" t="s">
        <v>412</v>
      </c>
      <c r="D1567">
        <v>1007</v>
      </c>
    </row>
    <row r="1568" spans="1:4" x14ac:dyDescent="0.25">
      <c r="A1568" s="279">
        <v>39031</v>
      </c>
      <c r="B1568" s="309" t="s">
        <v>411</v>
      </c>
      <c r="C1568" s="309" t="s">
        <v>409</v>
      </c>
      <c r="D1568">
        <v>1076</v>
      </c>
    </row>
    <row r="1569" spans="1:4" x14ac:dyDescent="0.25">
      <c r="A1569" s="279">
        <v>39032</v>
      </c>
      <c r="B1569" s="309" t="s">
        <v>405</v>
      </c>
      <c r="C1569" s="309" t="s">
        <v>406</v>
      </c>
      <c r="D1569">
        <v>3545217.1</v>
      </c>
    </row>
    <row r="1570" spans="1:4" x14ac:dyDescent="0.25">
      <c r="A1570" s="279">
        <v>39032</v>
      </c>
      <c r="B1570" s="309" t="s">
        <v>405</v>
      </c>
      <c r="C1570" s="309" t="s">
        <v>89</v>
      </c>
      <c r="D1570">
        <v>12224</v>
      </c>
    </row>
    <row r="1571" spans="1:4" x14ac:dyDescent="0.25">
      <c r="A1571" s="279">
        <v>39032</v>
      </c>
      <c r="B1571" s="309" t="s">
        <v>405</v>
      </c>
      <c r="C1571" s="309" t="s">
        <v>198</v>
      </c>
      <c r="D1571">
        <v>0</v>
      </c>
    </row>
    <row r="1572" spans="1:4" x14ac:dyDescent="0.25">
      <c r="A1572" s="279">
        <v>39032</v>
      </c>
      <c r="B1572" s="309" t="s">
        <v>405</v>
      </c>
      <c r="C1572" s="309" t="s">
        <v>199</v>
      </c>
      <c r="D1572">
        <v>0</v>
      </c>
    </row>
    <row r="1573" spans="1:4" x14ac:dyDescent="0.25">
      <c r="A1573" s="279">
        <v>39032</v>
      </c>
      <c r="B1573" s="309" t="s">
        <v>405</v>
      </c>
      <c r="C1573" s="309" t="s">
        <v>90</v>
      </c>
      <c r="D1573">
        <v>2069</v>
      </c>
    </row>
    <row r="1574" spans="1:4" x14ac:dyDescent="0.25">
      <c r="A1574" s="279">
        <v>39032</v>
      </c>
      <c r="B1574" s="309" t="s">
        <v>405</v>
      </c>
      <c r="C1574" s="309" t="s">
        <v>24</v>
      </c>
      <c r="D1574">
        <v>0</v>
      </c>
    </row>
    <row r="1575" spans="1:4" x14ac:dyDescent="0.25">
      <c r="A1575" s="279">
        <v>39032</v>
      </c>
      <c r="B1575" s="309" t="s">
        <v>405</v>
      </c>
      <c r="C1575" s="309" t="s">
        <v>91</v>
      </c>
      <c r="D1575">
        <v>0</v>
      </c>
    </row>
    <row r="1576" spans="1:4" x14ac:dyDescent="0.25">
      <c r="A1576" s="279">
        <v>39032</v>
      </c>
      <c r="B1576" s="309" t="s">
        <v>405</v>
      </c>
      <c r="C1576" s="309" t="s">
        <v>118</v>
      </c>
      <c r="D1576">
        <v>0</v>
      </c>
    </row>
    <row r="1577" spans="1:4" x14ac:dyDescent="0.25">
      <c r="A1577" s="279">
        <v>39032</v>
      </c>
      <c r="B1577" s="309" t="s">
        <v>405</v>
      </c>
      <c r="C1577" s="309" t="s">
        <v>407</v>
      </c>
      <c r="D1577">
        <v>3555372.1</v>
      </c>
    </row>
    <row r="1578" spans="1:4" x14ac:dyDescent="0.25">
      <c r="A1578" s="279">
        <v>39032</v>
      </c>
      <c r="B1578" s="309" t="s">
        <v>405</v>
      </c>
      <c r="C1578" s="309" t="s">
        <v>408</v>
      </c>
      <c r="D1578">
        <v>1007</v>
      </c>
    </row>
    <row r="1579" spans="1:4" x14ac:dyDescent="0.25">
      <c r="A1579" s="279">
        <v>39032</v>
      </c>
      <c r="B1579" s="309" t="s">
        <v>405</v>
      </c>
      <c r="C1579" s="309" t="s">
        <v>409</v>
      </c>
      <c r="D1579">
        <v>1058</v>
      </c>
    </row>
    <row r="1580" spans="1:4" x14ac:dyDescent="0.25">
      <c r="A1580" s="279">
        <v>39032</v>
      </c>
      <c r="B1580" s="309" t="s">
        <v>405</v>
      </c>
      <c r="C1580" s="309" t="s">
        <v>410</v>
      </c>
      <c r="D1580">
        <v>1034</v>
      </c>
    </row>
    <row r="1581" spans="1:4" x14ac:dyDescent="0.25">
      <c r="A1581" s="279">
        <v>39032</v>
      </c>
      <c r="B1581" s="309" t="s">
        <v>411</v>
      </c>
      <c r="C1581" s="309" t="s">
        <v>406</v>
      </c>
      <c r="D1581">
        <v>234144</v>
      </c>
    </row>
    <row r="1582" spans="1:4" x14ac:dyDescent="0.25">
      <c r="A1582" s="279">
        <v>39032</v>
      </c>
      <c r="B1582" s="309" t="s">
        <v>411</v>
      </c>
      <c r="C1582" s="309" t="s">
        <v>198</v>
      </c>
      <c r="D1582">
        <v>0</v>
      </c>
    </row>
    <row r="1583" spans="1:4" x14ac:dyDescent="0.25">
      <c r="A1583" s="279">
        <v>39032</v>
      </c>
      <c r="B1583" s="309" t="s">
        <v>411</v>
      </c>
      <c r="C1583" s="309" t="s">
        <v>199</v>
      </c>
      <c r="D1583">
        <v>0</v>
      </c>
    </row>
    <row r="1584" spans="1:4" x14ac:dyDescent="0.25">
      <c r="A1584" s="279">
        <v>39032</v>
      </c>
      <c r="B1584" s="309" t="s">
        <v>411</v>
      </c>
      <c r="C1584" s="309" t="s">
        <v>90</v>
      </c>
      <c r="D1584">
        <v>50</v>
      </c>
    </row>
    <row r="1585" spans="1:4" x14ac:dyDescent="0.25">
      <c r="A1585" s="279">
        <v>39032</v>
      </c>
      <c r="B1585" s="309" t="s">
        <v>411</v>
      </c>
      <c r="C1585" s="309" t="s">
        <v>24</v>
      </c>
      <c r="D1585">
        <v>0</v>
      </c>
    </row>
    <row r="1586" spans="1:4" x14ac:dyDescent="0.25">
      <c r="A1586" s="279">
        <v>39032</v>
      </c>
      <c r="B1586" s="309" t="s">
        <v>411</v>
      </c>
      <c r="C1586" s="309" t="s">
        <v>91</v>
      </c>
      <c r="D1586">
        <v>0</v>
      </c>
    </row>
    <row r="1587" spans="1:4" x14ac:dyDescent="0.25">
      <c r="A1587" s="279">
        <v>39032</v>
      </c>
      <c r="B1587" s="309" t="s">
        <v>411</v>
      </c>
      <c r="C1587" s="309" t="s">
        <v>118</v>
      </c>
      <c r="D1587">
        <v>0</v>
      </c>
    </row>
    <row r="1588" spans="1:4" x14ac:dyDescent="0.25">
      <c r="A1588" s="279">
        <v>39032</v>
      </c>
      <c r="B1588" s="309" t="s">
        <v>411</v>
      </c>
      <c r="C1588" s="309" t="s">
        <v>407</v>
      </c>
      <c r="D1588">
        <v>234094</v>
      </c>
    </row>
    <row r="1589" spans="1:4" x14ac:dyDescent="0.25">
      <c r="A1589" s="279">
        <v>39032</v>
      </c>
      <c r="B1589" s="309" t="s">
        <v>411</v>
      </c>
      <c r="C1589" s="309" t="s">
        <v>412</v>
      </c>
      <c r="D1589">
        <v>1007</v>
      </c>
    </row>
    <row r="1590" spans="1:4" x14ac:dyDescent="0.25">
      <c r="A1590" s="279">
        <v>39032</v>
      </c>
      <c r="B1590" s="309" t="s">
        <v>411</v>
      </c>
      <c r="C1590" s="309" t="s">
        <v>409</v>
      </c>
      <c r="D1590">
        <v>1076</v>
      </c>
    </row>
    <row r="1591" spans="1:4" x14ac:dyDescent="0.25">
      <c r="A1591" s="279">
        <v>39033</v>
      </c>
      <c r="B1591" s="309" t="s">
        <v>405</v>
      </c>
      <c r="C1591" s="309" t="s">
        <v>406</v>
      </c>
      <c r="D1591">
        <v>3555372.1</v>
      </c>
    </row>
    <row r="1592" spans="1:4" x14ac:dyDescent="0.25">
      <c r="A1592" s="279">
        <v>39033</v>
      </c>
      <c r="B1592" s="309" t="s">
        <v>405</v>
      </c>
      <c r="C1592" s="309" t="s">
        <v>89</v>
      </c>
      <c r="D1592">
        <v>11384</v>
      </c>
    </row>
    <row r="1593" spans="1:4" x14ac:dyDescent="0.25">
      <c r="A1593" s="279">
        <v>39033</v>
      </c>
      <c r="B1593" s="309" t="s">
        <v>405</v>
      </c>
      <c r="C1593" s="309" t="s">
        <v>198</v>
      </c>
      <c r="D1593">
        <v>0</v>
      </c>
    </row>
    <row r="1594" spans="1:4" x14ac:dyDescent="0.25">
      <c r="A1594" s="279">
        <v>39033</v>
      </c>
      <c r="B1594" s="309" t="s">
        <v>405</v>
      </c>
      <c r="C1594" s="309" t="s">
        <v>199</v>
      </c>
      <c r="D1594">
        <v>0</v>
      </c>
    </row>
    <row r="1595" spans="1:4" x14ac:dyDescent="0.25">
      <c r="A1595" s="279">
        <v>39033</v>
      </c>
      <c r="B1595" s="309" t="s">
        <v>405</v>
      </c>
      <c r="C1595" s="309" t="s">
        <v>90</v>
      </c>
      <c r="D1595">
        <v>2297</v>
      </c>
    </row>
    <row r="1596" spans="1:4" x14ac:dyDescent="0.25">
      <c r="A1596" s="279">
        <v>39033</v>
      </c>
      <c r="B1596" s="309" t="s">
        <v>405</v>
      </c>
      <c r="C1596" s="309" t="s">
        <v>24</v>
      </c>
      <c r="D1596">
        <v>0</v>
      </c>
    </row>
    <row r="1597" spans="1:4" x14ac:dyDescent="0.25">
      <c r="A1597" s="279">
        <v>39033</v>
      </c>
      <c r="B1597" s="309" t="s">
        <v>405</v>
      </c>
      <c r="C1597" s="309" t="s">
        <v>91</v>
      </c>
      <c r="D1597">
        <v>0</v>
      </c>
    </row>
    <row r="1598" spans="1:4" x14ac:dyDescent="0.25">
      <c r="A1598" s="279">
        <v>39033</v>
      </c>
      <c r="B1598" s="309" t="s">
        <v>405</v>
      </c>
      <c r="C1598" s="309" t="s">
        <v>118</v>
      </c>
      <c r="D1598">
        <v>0</v>
      </c>
    </row>
    <row r="1599" spans="1:4" x14ac:dyDescent="0.25">
      <c r="A1599" s="279">
        <v>39033</v>
      </c>
      <c r="B1599" s="309" t="s">
        <v>405</v>
      </c>
      <c r="C1599" s="309" t="s">
        <v>407</v>
      </c>
      <c r="D1599">
        <v>3564459.1</v>
      </c>
    </row>
    <row r="1600" spans="1:4" x14ac:dyDescent="0.25">
      <c r="A1600" s="279">
        <v>39033</v>
      </c>
      <c r="B1600" s="309" t="s">
        <v>405</v>
      </c>
      <c r="C1600" s="309" t="s">
        <v>408</v>
      </c>
      <c r="D1600">
        <v>1007</v>
      </c>
    </row>
    <row r="1601" spans="1:4" x14ac:dyDescent="0.25">
      <c r="A1601" s="279">
        <v>39033</v>
      </c>
      <c r="B1601" s="309" t="s">
        <v>405</v>
      </c>
      <c r="C1601" s="309" t="s">
        <v>409</v>
      </c>
      <c r="D1601">
        <v>1058</v>
      </c>
    </row>
    <row r="1602" spans="1:4" x14ac:dyDescent="0.25">
      <c r="A1602" s="279">
        <v>39033</v>
      </c>
      <c r="B1602" s="309" t="s">
        <v>405</v>
      </c>
      <c r="C1602" s="309" t="s">
        <v>410</v>
      </c>
      <c r="D1602">
        <v>1031</v>
      </c>
    </row>
    <row r="1603" spans="1:4" x14ac:dyDescent="0.25">
      <c r="A1603" s="279">
        <v>39033</v>
      </c>
      <c r="B1603" s="309" t="s">
        <v>411</v>
      </c>
      <c r="C1603" s="309" t="s">
        <v>406</v>
      </c>
      <c r="D1603">
        <v>234094</v>
      </c>
    </row>
    <row r="1604" spans="1:4" x14ac:dyDescent="0.25">
      <c r="A1604" s="279">
        <v>39033</v>
      </c>
      <c r="B1604" s="309" t="s">
        <v>411</v>
      </c>
      <c r="C1604" s="309" t="s">
        <v>198</v>
      </c>
      <c r="D1604">
        <v>0</v>
      </c>
    </row>
    <row r="1605" spans="1:4" x14ac:dyDescent="0.25">
      <c r="A1605" s="279">
        <v>39033</v>
      </c>
      <c r="B1605" s="309" t="s">
        <v>411</v>
      </c>
      <c r="C1605" s="309" t="s">
        <v>199</v>
      </c>
      <c r="D1605">
        <v>0</v>
      </c>
    </row>
    <row r="1606" spans="1:4" x14ac:dyDescent="0.25">
      <c r="A1606" s="279">
        <v>39033</v>
      </c>
      <c r="B1606" s="309" t="s">
        <v>411</v>
      </c>
      <c r="C1606" s="309" t="s">
        <v>90</v>
      </c>
      <c r="D1606">
        <v>56</v>
      </c>
    </row>
    <row r="1607" spans="1:4" x14ac:dyDescent="0.25">
      <c r="A1607" s="279">
        <v>39033</v>
      </c>
      <c r="B1607" s="309" t="s">
        <v>411</v>
      </c>
      <c r="C1607" s="309" t="s">
        <v>24</v>
      </c>
      <c r="D1607">
        <v>0</v>
      </c>
    </row>
    <row r="1608" spans="1:4" x14ac:dyDescent="0.25">
      <c r="A1608" s="279">
        <v>39033</v>
      </c>
      <c r="B1608" s="309" t="s">
        <v>411</v>
      </c>
      <c r="C1608" s="309" t="s">
        <v>91</v>
      </c>
      <c r="D1608">
        <v>0</v>
      </c>
    </row>
    <row r="1609" spans="1:4" x14ac:dyDescent="0.25">
      <c r="A1609" s="279">
        <v>39033</v>
      </c>
      <c r="B1609" s="309" t="s">
        <v>411</v>
      </c>
      <c r="C1609" s="309" t="s">
        <v>118</v>
      </c>
      <c r="D1609">
        <v>0</v>
      </c>
    </row>
    <row r="1610" spans="1:4" x14ac:dyDescent="0.25">
      <c r="A1610" s="279">
        <v>39033</v>
      </c>
      <c r="B1610" s="309" t="s">
        <v>411</v>
      </c>
      <c r="C1610" s="309" t="s">
        <v>407</v>
      </c>
      <c r="D1610">
        <v>234038</v>
      </c>
    </row>
    <row r="1611" spans="1:4" x14ac:dyDescent="0.25">
      <c r="A1611" s="279">
        <v>39033</v>
      </c>
      <c r="B1611" s="309" t="s">
        <v>411</v>
      </c>
      <c r="C1611" s="309" t="s">
        <v>412</v>
      </c>
      <c r="D1611">
        <v>1007</v>
      </c>
    </row>
    <row r="1612" spans="1:4" x14ac:dyDescent="0.25">
      <c r="A1612" s="279">
        <v>39033</v>
      </c>
      <c r="B1612" s="309" t="s">
        <v>411</v>
      </c>
      <c r="C1612" s="309" t="s">
        <v>409</v>
      </c>
      <c r="D1612">
        <v>1076</v>
      </c>
    </row>
    <row r="1613" spans="1:4" x14ac:dyDescent="0.25">
      <c r="A1613" s="279">
        <v>39034</v>
      </c>
      <c r="B1613" s="309" t="s">
        <v>405</v>
      </c>
      <c r="C1613" s="309" t="s">
        <v>406</v>
      </c>
      <c r="D1613">
        <v>3564459.1</v>
      </c>
    </row>
    <row r="1614" spans="1:4" x14ac:dyDescent="0.25">
      <c r="A1614" s="279">
        <v>39034</v>
      </c>
      <c r="B1614" s="309" t="s">
        <v>405</v>
      </c>
      <c r="C1614" s="309" t="s">
        <v>89</v>
      </c>
      <c r="D1614">
        <v>11387</v>
      </c>
    </row>
    <row r="1615" spans="1:4" x14ac:dyDescent="0.25">
      <c r="A1615" s="279">
        <v>39034</v>
      </c>
      <c r="B1615" s="309" t="s">
        <v>405</v>
      </c>
      <c r="C1615" s="309" t="s">
        <v>198</v>
      </c>
      <c r="D1615">
        <v>0</v>
      </c>
    </row>
    <row r="1616" spans="1:4" x14ac:dyDescent="0.25">
      <c r="A1616" s="279">
        <v>39034</v>
      </c>
      <c r="B1616" s="309" t="s">
        <v>405</v>
      </c>
      <c r="C1616" s="309" t="s">
        <v>199</v>
      </c>
      <c r="D1616">
        <v>0</v>
      </c>
    </row>
    <row r="1617" spans="1:4" x14ac:dyDescent="0.25">
      <c r="A1617" s="279">
        <v>39034</v>
      </c>
      <c r="B1617" s="309" t="s">
        <v>405</v>
      </c>
      <c r="C1617" s="309" t="s">
        <v>90</v>
      </c>
      <c r="D1617">
        <v>2567</v>
      </c>
    </row>
    <row r="1618" spans="1:4" x14ac:dyDescent="0.25">
      <c r="A1618" s="279">
        <v>39034</v>
      </c>
      <c r="B1618" s="309" t="s">
        <v>405</v>
      </c>
      <c r="C1618" s="309" t="s">
        <v>24</v>
      </c>
      <c r="D1618">
        <v>0</v>
      </c>
    </row>
    <row r="1619" spans="1:4" x14ac:dyDescent="0.25">
      <c r="A1619" s="279">
        <v>39034</v>
      </c>
      <c r="B1619" s="309" t="s">
        <v>405</v>
      </c>
      <c r="C1619" s="309" t="s">
        <v>91</v>
      </c>
      <c r="D1619">
        <v>0</v>
      </c>
    </row>
    <row r="1620" spans="1:4" x14ac:dyDescent="0.25">
      <c r="A1620" s="279">
        <v>39034</v>
      </c>
      <c r="B1620" s="309" t="s">
        <v>405</v>
      </c>
      <c r="C1620" s="309" t="s">
        <v>118</v>
      </c>
      <c r="D1620">
        <v>0</v>
      </c>
    </row>
    <row r="1621" spans="1:4" x14ac:dyDescent="0.25">
      <c r="A1621" s="279">
        <v>39034</v>
      </c>
      <c r="B1621" s="309" t="s">
        <v>405</v>
      </c>
      <c r="C1621" s="309" t="s">
        <v>407</v>
      </c>
      <c r="D1621">
        <v>3573279.1</v>
      </c>
    </row>
    <row r="1622" spans="1:4" x14ac:dyDescent="0.25">
      <c r="A1622" s="279">
        <v>39034</v>
      </c>
      <c r="B1622" s="309" t="s">
        <v>405</v>
      </c>
      <c r="C1622" s="309" t="s">
        <v>408</v>
      </c>
      <c r="D1622">
        <v>1007</v>
      </c>
    </row>
    <row r="1623" spans="1:4" x14ac:dyDescent="0.25">
      <c r="A1623" s="279">
        <v>39034</v>
      </c>
      <c r="B1623" s="309" t="s">
        <v>405</v>
      </c>
      <c r="C1623" s="309" t="s">
        <v>409</v>
      </c>
      <c r="D1623">
        <v>1058</v>
      </c>
    </row>
    <row r="1624" spans="1:4" x14ac:dyDescent="0.25">
      <c r="A1624" s="279">
        <v>39034</v>
      </c>
      <c r="B1624" s="309" t="s">
        <v>405</v>
      </c>
      <c r="C1624" s="309" t="s">
        <v>410</v>
      </c>
      <c r="D1624">
        <v>1031</v>
      </c>
    </row>
    <row r="1625" spans="1:4" x14ac:dyDescent="0.25">
      <c r="A1625" s="279">
        <v>39034</v>
      </c>
      <c r="B1625" s="309" t="s">
        <v>411</v>
      </c>
      <c r="C1625" s="309" t="s">
        <v>406</v>
      </c>
      <c r="D1625">
        <v>234038</v>
      </c>
    </row>
    <row r="1626" spans="1:4" x14ac:dyDescent="0.25">
      <c r="A1626" s="279">
        <v>39034</v>
      </c>
      <c r="B1626" s="309" t="s">
        <v>411</v>
      </c>
      <c r="C1626" s="309" t="s">
        <v>198</v>
      </c>
      <c r="D1626">
        <v>0</v>
      </c>
    </row>
    <row r="1627" spans="1:4" x14ac:dyDescent="0.25">
      <c r="A1627" s="279">
        <v>39034</v>
      </c>
      <c r="B1627" s="309" t="s">
        <v>411</v>
      </c>
      <c r="C1627" s="309" t="s">
        <v>199</v>
      </c>
      <c r="D1627">
        <v>0</v>
      </c>
    </row>
    <row r="1628" spans="1:4" x14ac:dyDescent="0.25">
      <c r="A1628" s="279">
        <v>39034</v>
      </c>
      <c r="B1628" s="309" t="s">
        <v>411</v>
      </c>
      <c r="C1628" s="309" t="s">
        <v>90</v>
      </c>
      <c r="D1628">
        <v>66</v>
      </c>
    </row>
    <row r="1629" spans="1:4" x14ac:dyDescent="0.25">
      <c r="A1629" s="279">
        <v>39034</v>
      </c>
      <c r="B1629" s="309" t="s">
        <v>411</v>
      </c>
      <c r="C1629" s="309" t="s">
        <v>24</v>
      </c>
      <c r="D1629">
        <v>0</v>
      </c>
    </row>
    <row r="1630" spans="1:4" x14ac:dyDescent="0.25">
      <c r="A1630" s="279">
        <v>39034</v>
      </c>
      <c r="B1630" s="309" t="s">
        <v>411</v>
      </c>
      <c r="C1630" s="309" t="s">
        <v>91</v>
      </c>
      <c r="D1630">
        <v>0</v>
      </c>
    </row>
    <row r="1631" spans="1:4" x14ac:dyDescent="0.25">
      <c r="A1631" s="279">
        <v>39034</v>
      </c>
      <c r="B1631" s="309" t="s">
        <v>411</v>
      </c>
      <c r="C1631" s="309" t="s">
        <v>118</v>
      </c>
      <c r="D1631">
        <v>0</v>
      </c>
    </row>
    <row r="1632" spans="1:4" x14ac:dyDescent="0.25">
      <c r="A1632" s="279">
        <v>39034</v>
      </c>
      <c r="B1632" s="309" t="s">
        <v>411</v>
      </c>
      <c r="C1632" s="309" t="s">
        <v>407</v>
      </c>
      <c r="D1632">
        <v>233972</v>
      </c>
    </row>
    <row r="1633" spans="1:4" x14ac:dyDescent="0.25">
      <c r="A1633" s="279">
        <v>39034</v>
      </c>
      <c r="B1633" s="309" t="s">
        <v>411</v>
      </c>
      <c r="C1633" s="309" t="s">
        <v>412</v>
      </c>
      <c r="D1633">
        <v>1007</v>
      </c>
    </row>
    <row r="1634" spans="1:4" x14ac:dyDescent="0.25">
      <c r="A1634" s="279">
        <v>39034</v>
      </c>
      <c r="B1634" s="309" t="s">
        <v>411</v>
      </c>
      <c r="C1634" s="309" t="s">
        <v>409</v>
      </c>
      <c r="D1634">
        <v>1076</v>
      </c>
    </row>
    <row r="1635" spans="1:4" x14ac:dyDescent="0.25">
      <c r="A1635" s="279">
        <v>39035</v>
      </c>
      <c r="B1635" s="309" t="s">
        <v>405</v>
      </c>
      <c r="C1635" s="309" t="s">
        <v>406</v>
      </c>
      <c r="D1635">
        <v>3573279.1</v>
      </c>
    </row>
    <row r="1636" spans="1:4" x14ac:dyDescent="0.25">
      <c r="A1636" s="279">
        <v>39035</v>
      </c>
      <c r="B1636" s="309" t="s">
        <v>405</v>
      </c>
      <c r="C1636" s="309" t="s">
        <v>89</v>
      </c>
      <c r="D1636">
        <v>12516</v>
      </c>
    </row>
    <row r="1637" spans="1:4" x14ac:dyDescent="0.25">
      <c r="A1637" s="279">
        <v>39035</v>
      </c>
      <c r="B1637" s="309" t="s">
        <v>405</v>
      </c>
      <c r="C1637" s="309" t="s">
        <v>198</v>
      </c>
      <c r="D1637">
        <v>0</v>
      </c>
    </row>
    <row r="1638" spans="1:4" x14ac:dyDescent="0.25">
      <c r="A1638" s="279">
        <v>39035</v>
      </c>
      <c r="B1638" s="309" t="s">
        <v>405</v>
      </c>
      <c r="C1638" s="309" t="s">
        <v>199</v>
      </c>
      <c r="D1638">
        <v>0</v>
      </c>
    </row>
    <row r="1639" spans="1:4" x14ac:dyDescent="0.25">
      <c r="A1639" s="279">
        <v>39035</v>
      </c>
      <c r="B1639" s="309" t="s">
        <v>405</v>
      </c>
      <c r="C1639" s="309" t="s">
        <v>90</v>
      </c>
      <c r="D1639">
        <v>2359</v>
      </c>
    </row>
    <row r="1640" spans="1:4" x14ac:dyDescent="0.25">
      <c r="A1640" s="279">
        <v>39035</v>
      </c>
      <c r="B1640" s="309" t="s">
        <v>405</v>
      </c>
      <c r="C1640" s="309" t="s">
        <v>24</v>
      </c>
      <c r="D1640">
        <v>0</v>
      </c>
    </row>
    <row r="1641" spans="1:4" x14ac:dyDescent="0.25">
      <c r="A1641" s="279">
        <v>39035</v>
      </c>
      <c r="B1641" s="309" t="s">
        <v>405</v>
      </c>
      <c r="C1641" s="309" t="s">
        <v>91</v>
      </c>
      <c r="D1641">
        <v>0</v>
      </c>
    </row>
    <row r="1642" spans="1:4" x14ac:dyDescent="0.25">
      <c r="A1642" s="279">
        <v>39035</v>
      </c>
      <c r="B1642" s="309" t="s">
        <v>405</v>
      </c>
      <c r="C1642" s="309" t="s">
        <v>118</v>
      </c>
      <c r="D1642">
        <v>0</v>
      </c>
    </row>
    <row r="1643" spans="1:4" x14ac:dyDescent="0.25">
      <c r="A1643" s="279">
        <v>39035</v>
      </c>
      <c r="B1643" s="309" t="s">
        <v>405</v>
      </c>
      <c r="C1643" s="309" t="s">
        <v>407</v>
      </c>
      <c r="D1643">
        <v>3583436.1</v>
      </c>
    </row>
    <row r="1644" spans="1:4" x14ac:dyDescent="0.25">
      <c r="A1644" s="279">
        <v>39035</v>
      </c>
      <c r="B1644" s="309" t="s">
        <v>405</v>
      </c>
      <c r="C1644" s="309" t="s">
        <v>408</v>
      </c>
      <c r="D1644">
        <v>1007</v>
      </c>
    </row>
    <row r="1645" spans="1:4" x14ac:dyDescent="0.25">
      <c r="A1645" s="279">
        <v>39035</v>
      </c>
      <c r="B1645" s="309" t="s">
        <v>405</v>
      </c>
      <c r="C1645" s="309" t="s">
        <v>409</v>
      </c>
      <c r="D1645">
        <v>1058</v>
      </c>
    </row>
    <row r="1646" spans="1:4" x14ac:dyDescent="0.25">
      <c r="A1646" s="279">
        <v>39035</v>
      </c>
      <c r="B1646" s="309" t="s">
        <v>405</v>
      </c>
      <c r="C1646" s="309" t="s">
        <v>410</v>
      </c>
      <c r="D1646">
        <v>1031</v>
      </c>
    </row>
    <row r="1647" spans="1:4" x14ac:dyDescent="0.25">
      <c r="A1647" s="279">
        <v>39035</v>
      </c>
      <c r="B1647" s="309" t="s">
        <v>411</v>
      </c>
      <c r="C1647" s="309" t="s">
        <v>406</v>
      </c>
      <c r="D1647">
        <v>233972</v>
      </c>
    </row>
    <row r="1648" spans="1:4" x14ac:dyDescent="0.25">
      <c r="A1648" s="279">
        <v>39035</v>
      </c>
      <c r="B1648" s="309" t="s">
        <v>411</v>
      </c>
      <c r="C1648" s="309" t="s">
        <v>198</v>
      </c>
      <c r="D1648">
        <v>0</v>
      </c>
    </row>
    <row r="1649" spans="1:4" x14ac:dyDescent="0.25">
      <c r="A1649" s="279">
        <v>39035</v>
      </c>
      <c r="B1649" s="309" t="s">
        <v>411</v>
      </c>
      <c r="C1649" s="309" t="s">
        <v>199</v>
      </c>
      <c r="D1649">
        <v>0</v>
      </c>
    </row>
    <row r="1650" spans="1:4" x14ac:dyDescent="0.25">
      <c r="A1650" s="279">
        <v>39035</v>
      </c>
      <c r="B1650" s="309" t="s">
        <v>411</v>
      </c>
      <c r="C1650" s="309" t="s">
        <v>90</v>
      </c>
      <c r="D1650">
        <v>50</v>
      </c>
    </row>
    <row r="1651" spans="1:4" x14ac:dyDescent="0.25">
      <c r="A1651" s="279">
        <v>39035</v>
      </c>
      <c r="B1651" s="309" t="s">
        <v>411</v>
      </c>
      <c r="C1651" s="309" t="s">
        <v>24</v>
      </c>
      <c r="D1651">
        <v>0</v>
      </c>
    </row>
    <row r="1652" spans="1:4" x14ac:dyDescent="0.25">
      <c r="A1652" s="279">
        <v>39035</v>
      </c>
      <c r="B1652" s="309" t="s">
        <v>411</v>
      </c>
      <c r="C1652" s="309" t="s">
        <v>91</v>
      </c>
      <c r="D1652">
        <v>0</v>
      </c>
    </row>
    <row r="1653" spans="1:4" x14ac:dyDescent="0.25">
      <c r="A1653" s="279">
        <v>39035</v>
      </c>
      <c r="B1653" s="309" t="s">
        <v>411</v>
      </c>
      <c r="C1653" s="309" t="s">
        <v>118</v>
      </c>
      <c r="D1653">
        <v>0</v>
      </c>
    </row>
    <row r="1654" spans="1:4" x14ac:dyDescent="0.25">
      <c r="A1654" s="279">
        <v>39035</v>
      </c>
      <c r="B1654" s="309" t="s">
        <v>411</v>
      </c>
      <c r="C1654" s="309" t="s">
        <v>407</v>
      </c>
      <c r="D1654">
        <v>233922</v>
      </c>
    </row>
    <row r="1655" spans="1:4" x14ac:dyDescent="0.25">
      <c r="A1655" s="279">
        <v>39035</v>
      </c>
      <c r="B1655" s="309" t="s">
        <v>411</v>
      </c>
      <c r="C1655" s="309" t="s">
        <v>412</v>
      </c>
      <c r="D1655">
        <v>1007</v>
      </c>
    </row>
    <row r="1656" spans="1:4" x14ac:dyDescent="0.25">
      <c r="A1656" s="279">
        <v>39035</v>
      </c>
      <c r="B1656" s="309" t="s">
        <v>411</v>
      </c>
      <c r="C1656" s="309" t="s">
        <v>409</v>
      </c>
      <c r="D1656">
        <v>1076</v>
      </c>
    </row>
    <row r="1657" spans="1:4" x14ac:dyDescent="0.25">
      <c r="A1657" s="279">
        <v>39036</v>
      </c>
      <c r="B1657" s="309" t="s">
        <v>405</v>
      </c>
      <c r="C1657" s="309" t="s">
        <v>406</v>
      </c>
      <c r="D1657">
        <v>3583436.1</v>
      </c>
    </row>
    <row r="1658" spans="1:4" x14ac:dyDescent="0.25">
      <c r="A1658" s="279">
        <v>39036</v>
      </c>
      <c r="B1658" s="309" t="s">
        <v>405</v>
      </c>
      <c r="C1658" s="309" t="s">
        <v>89</v>
      </c>
      <c r="D1658">
        <v>11676</v>
      </c>
    </row>
    <row r="1659" spans="1:4" x14ac:dyDescent="0.25">
      <c r="A1659" s="279">
        <v>39036</v>
      </c>
      <c r="B1659" s="309" t="s">
        <v>405</v>
      </c>
      <c r="C1659" s="309" t="s">
        <v>198</v>
      </c>
      <c r="D1659">
        <v>0</v>
      </c>
    </row>
    <row r="1660" spans="1:4" x14ac:dyDescent="0.25">
      <c r="A1660" s="279">
        <v>39036</v>
      </c>
      <c r="B1660" s="309" t="s">
        <v>405</v>
      </c>
      <c r="C1660" s="309" t="s">
        <v>199</v>
      </c>
      <c r="D1660">
        <v>0</v>
      </c>
    </row>
    <row r="1661" spans="1:4" x14ac:dyDescent="0.25">
      <c r="A1661" s="279">
        <v>39036</v>
      </c>
      <c r="B1661" s="309" t="s">
        <v>405</v>
      </c>
      <c r="C1661" s="309" t="s">
        <v>90</v>
      </c>
      <c r="D1661">
        <v>2320</v>
      </c>
    </row>
    <row r="1662" spans="1:4" x14ac:dyDescent="0.25">
      <c r="A1662" s="279">
        <v>39036</v>
      </c>
      <c r="B1662" s="309" t="s">
        <v>405</v>
      </c>
      <c r="C1662" s="309" t="s">
        <v>24</v>
      </c>
      <c r="D1662">
        <v>0</v>
      </c>
    </row>
    <row r="1663" spans="1:4" x14ac:dyDescent="0.25">
      <c r="A1663" s="279">
        <v>39036</v>
      </c>
      <c r="B1663" s="309" t="s">
        <v>405</v>
      </c>
      <c r="C1663" s="309" t="s">
        <v>91</v>
      </c>
      <c r="D1663">
        <v>0</v>
      </c>
    </row>
    <row r="1664" spans="1:4" x14ac:dyDescent="0.25">
      <c r="A1664" s="279">
        <v>39036</v>
      </c>
      <c r="B1664" s="309" t="s">
        <v>405</v>
      </c>
      <c r="C1664" s="309" t="s">
        <v>118</v>
      </c>
      <c r="D1664">
        <v>0</v>
      </c>
    </row>
    <row r="1665" spans="1:4" x14ac:dyDescent="0.25">
      <c r="A1665" s="279">
        <v>39036</v>
      </c>
      <c r="B1665" s="309" t="s">
        <v>405</v>
      </c>
      <c r="C1665" s="309" t="s">
        <v>407</v>
      </c>
      <c r="D1665">
        <v>3592792.1</v>
      </c>
    </row>
    <row r="1666" spans="1:4" x14ac:dyDescent="0.25">
      <c r="A1666" s="279">
        <v>39036</v>
      </c>
      <c r="B1666" s="309" t="s">
        <v>405</v>
      </c>
      <c r="C1666" s="309" t="s">
        <v>408</v>
      </c>
      <c r="D1666">
        <v>1007</v>
      </c>
    </row>
    <row r="1667" spans="1:4" x14ac:dyDescent="0.25">
      <c r="A1667" s="279">
        <v>39036</v>
      </c>
      <c r="B1667" s="309" t="s">
        <v>405</v>
      </c>
      <c r="C1667" s="309" t="s">
        <v>409</v>
      </c>
      <c r="D1667">
        <v>1058</v>
      </c>
    </row>
    <row r="1668" spans="1:4" x14ac:dyDescent="0.25">
      <c r="A1668" s="279">
        <v>39036</v>
      </c>
      <c r="B1668" s="309" t="s">
        <v>405</v>
      </c>
      <c r="C1668" s="309" t="s">
        <v>410</v>
      </c>
      <c r="D1668">
        <v>1031</v>
      </c>
    </row>
    <row r="1669" spans="1:4" x14ac:dyDescent="0.25">
      <c r="A1669" s="279">
        <v>39036</v>
      </c>
      <c r="B1669" s="309" t="s">
        <v>411</v>
      </c>
      <c r="C1669" s="309" t="s">
        <v>406</v>
      </c>
      <c r="D1669">
        <v>233922</v>
      </c>
    </row>
    <row r="1670" spans="1:4" x14ac:dyDescent="0.25">
      <c r="A1670" s="279">
        <v>39036</v>
      </c>
      <c r="B1670" s="309" t="s">
        <v>411</v>
      </c>
      <c r="C1670" s="309" t="s">
        <v>198</v>
      </c>
      <c r="D1670">
        <v>0</v>
      </c>
    </row>
    <row r="1671" spans="1:4" x14ac:dyDescent="0.25">
      <c r="A1671" s="279">
        <v>39036</v>
      </c>
      <c r="B1671" s="309" t="s">
        <v>411</v>
      </c>
      <c r="C1671" s="309" t="s">
        <v>199</v>
      </c>
      <c r="D1671">
        <v>0</v>
      </c>
    </row>
    <row r="1672" spans="1:4" x14ac:dyDescent="0.25">
      <c r="A1672" s="279">
        <v>39036</v>
      </c>
      <c r="B1672" s="309" t="s">
        <v>411</v>
      </c>
      <c r="C1672" s="309" t="s">
        <v>90</v>
      </c>
      <c r="D1672">
        <v>51</v>
      </c>
    </row>
    <row r="1673" spans="1:4" x14ac:dyDescent="0.25">
      <c r="A1673" s="279">
        <v>39036</v>
      </c>
      <c r="B1673" s="309" t="s">
        <v>411</v>
      </c>
      <c r="C1673" s="309" t="s">
        <v>24</v>
      </c>
      <c r="D1673">
        <v>0</v>
      </c>
    </row>
    <row r="1674" spans="1:4" x14ac:dyDescent="0.25">
      <c r="A1674" s="279">
        <v>39036</v>
      </c>
      <c r="B1674" s="309" t="s">
        <v>411</v>
      </c>
      <c r="C1674" s="309" t="s">
        <v>91</v>
      </c>
      <c r="D1674">
        <v>0</v>
      </c>
    </row>
    <row r="1675" spans="1:4" x14ac:dyDescent="0.25">
      <c r="A1675" s="279">
        <v>39036</v>
      </c>
      <c r="B1675" s="309" t="s">
        <v>411</v>
      </c>
      <c r="C1675" s="309" t="s">
        <v>118</v>
      </c>
      <c r="D1675">
        <v>0</v>
      </c>
    </row>
    <row r="1676" spans="1:4" x14ac:dyDescent="0.25">
      <c r="A1676" s="279">
        <v>39036</v>
      </c>
      <c r="B1676" s="309" t="s">
        <v>411</v>
      </c>
      <c r="C1676" s="309" t="s">
        <v>407</v>
      </c>
      <c r="D1676">
        <v>233871</v>
      </c>
    </row>
    <row r="1677" spans="1:4" x14ac:dyDescent="0.25">
      <c r="A1677" s="279">
        <v>39036</v>
      </c>
      <c r="B1677" s="309" t="s">
        <v>411</v>
      </c>
      <c r="C1677" s="309" t="s">
        <v>412</v>
      </c>
      <c r="D1677">
        <v>1007</v>
      </c>
    </row>
    <row r="1678" spans="1:4" x14ac:dyDescent="0.25">
      <c r="A1678" s="279">
        <v>39036</v>
      </c>
      <c r="B1678" s="309" t="s">
        <v>411</v>
      </c>
      <c r="C1678" s="309" t="s">
        <v>409</v>
      </c>
      <c r="D1678">
        <v>1076</v>
      </c>
    </row>
    <row r="1679" spans="1:4" x14ac:dyDescent="0.25">
      <c r="A1679" s="279">
        <v>39037</v>
      </c>
      <c r="B1679" s="309" t="s">
        <v>405</v>
      </c>
      <c r="C1679" s="309" t="s">
        <v>406</v>
      </c>
      <c r="D1679">
        <v>3592792.1</v>
      </c>
    </row>
    <row r="1680" spans="1:4" x14ac:dyDescent="0.25">
      <c r="A1680" s="279">
        <v>39037</v>
      </c>
      <c r="B1680" s="309" t="s">
        <v>405</v>
      </c>
      <c r="C1680" s="309" t="s">
        <v>89</v>
      </c>
      <c r="D1680">
        <v>10554</v>
      </c>
    </row>
    <row r="1681" spans="1:4" x14ac:dyDescent="0.25">
      <c r="A1681" s="279">
        <v>39037</v>
      </c>
      <c r="B1681" s="309" t="s">
        <v>405</v>
      </c>
      <c r="C1681" s="309" t="s">
        <v>198</v>
      </c>
      <c r="D1681">
        <v>0</v>
      </c>
    </row>
    <row r="1682" spans="1:4" x14ac:dyDescent="0.25">
      <c r="A1682" s="279">
        <v>39037</v>
      </c>
      <c r="B1682" s="309" t="s">
        <v>405</v>
      </c>
      <c r="C1682" s="309" t="s">
        <v>199</v>
      </c>
      <c r="D1682">
        <v>0</v>
      </c>
    </row>
    <row r="1683" spans="1:4" x14ac:dyDescent="0.25">
      <c r="A1683" s="279">
        <v>39037</v>
      </c>
      <c r="B1683" s="309" t="s">
        <v>405</v>
      </c>
      <c r="C1683" s="309" t="s">
        <v>90</v>
      </c>
      <c r="D1683">
        <v>3604</v>
      </c>
    </row>
    <row r="1684" spans="1:4" x14ac:dyDescent="0.25">
      <c r="A1684" s="279">
        <v>39037</v>
      </c>
      <c r="B1684" s="309" t="s">
        <v>405</v>
      </c>
      <c r="C1684" s="309" t="s">
        <v>24</v>
      </c>
      <c r="D1684">
        <v>0</v>
      </c>
    </row>
    <row r="1685" spans="1:4" x14ac:dyDescent="0.25">
      <c r="A1685" s="279">
        <v>39037</v>
      </c>
      <c r="B1685" s="309" t="s">
        <v>405</v>
      </c>
      <c r="C1685" s="309" t="s">
        <v>91</v>
      </c>
      <c r="D1685">
        <v>0</v>
      </c>
    </row>
    <row r="1686" spans="1:4" x14ac:dyDescent="0.25">
      <c r="A1686" s="279">
        <v>39037</v>
      </c>
      <c r="B1686" s="309" t="s">
        <v>405</v>
      </c>
      <c r="C1686" s="309" t="s">
        <v>118</v>
      </c>
      <c r="D1686">
        <v>0</v>
      </c>
    </row>
    <row r="1687" spans="1:4" x14ac:dyDescent="0.25">
      <c r="A1687" s="279">
        <v>39037</v>
      </c>
      <c r="B1687" s="309" t="s">
        <v>405</v>
      </c>
      <c r="C1687" s="309" t="s">
        <v>407</v>
      </c>
      <c r="D1687">
        <v>3599742.1</v>
      </c>
    </row>
    <row r="1688" spans="1:4" x14ac:dyDescent="0.25">
      <c r="A1688" s="279">
        <v>39037</v>
      </c>
      <c r="B1688" s="309" t="s">
        <v>405</v>
      </c>
      <c r="C1688" s="309" t="s">
        <v>408</v>
      </c>
      <c r="D1688">
        <v>1007</v>
      </c>
    </row>
    <row r="1689" spans="1:4" x14ac:dyDescent="0.25">
      <c r="A1689" s="279">
        <v>39037</v>
      </c>
      <c r="B1689" s="309" t="s">
        <v>405</v>
      </c>
      <c r="C1689" s="309" t="s">
        <v>409</v>
      </c>
      <c r="D1689">
        <v>1058</v>
      </c>
    </row>
    <row r="1690" spans="1:4" x14ac:dyDescent="0.25">
      <c r="A1690" s="279">
        <v>39037</v>
      </c>
      <c r="B1690" s="309" t="s">
        <v>405</v>
      </c>
      <c r="C1690" s="309" t="s">
        <v>410</v>
      </c>
      <c r="D1690">
        <v>1029</v>
      </c>
    </row>
    <row r="1691" spans="1:4" x14ac:dyDescent="0.25">
      <c r="A1691" s="279">
        <v>39037</v>
      </c>
      <c r="B1691" s="309" t="s">
        <v>411</v>
      </c>
      <c r="C1691" s="309" t="s">
        <v>406</v>
      </c>
      <c r="D1691">
        <v>233871</v>
      </c>
    </row>
    <row r="1692" spans="1:4" x14ac:dyDescent="0.25">
      <c r="A1692" s="279">
        <v>39037</v>
      </c>
      <c r="B1692" s="309" t="s">
        <v>411</v>
      </c>
      <c r="C1692" s="309" t="s">
        <v>198</v>
      </c>
      <c r="D1692">
        <v>0</v>
      </c>
    </row>
    <row r="1693" spans="1:4" x14ac:dyDescent="0.25">
      <c r="A1693" s="279">
        <v>39037</v>
      </c>
      <c r="B1693" s="309" t="s">
        <v>411</v>
      </c>
      <c r="C1693" s="309" t="s">
        <v>199</v>
      </c>
      <c r="D1693">
        <v>0</v>
      </c>
    </row>
    <row r="1694" spans="1:4" x14ac:dyDescent="0.25">
      <c r="A1694" s="279">
        <v>39037</v>
      </c>
      <c r="B1694" s="309" t="s">
        <v>411</v>
      </c>
      <c r="C1694" s="309" t="s">
        <v>90</v>
      </c>
      <c r="D1694">
        <v>52</v>
      </c>
    </row>
    <row r="1695" spans="1:4" x14ac:dyDescent="0.25">
      <c r="A1695" s="279">
        <v>39037</v>
      </c>
      <c r="B1695" s="309" t="s">
        <v>411</v>
      </c>
      <c r="C1695" s="309" t="s">
        <v>24</v>
      </c>
      <c r="D1695">
        <v>0</v>
      </c>
    </row>
    <row r="1696" spans="1:4" x14ac:dyDescent="0.25">
      <c r="A1696" s="279">
        <v>39037</v>
      </c>
      <c r="B1696" s="309" t="s">
        <v>411</v>
      </c>
      <c r="C1696" s="309" t="s">
        <v>91</v>
      </c>
      <c r="D1696">
        <v>0</v>
      </c>
    </row>
    <row r="1697" spans="1:4" x14ac:dyDescent="0.25">
      <c r="A1697" s="279">
        <v>39037</v>
      </c>
      <c r="B1697" s="309" t="s">
        <v>411</v>
      </c>
      <c r="C1697" s="309" t="s">
        <v>118</v>
      </c>
      <c r="D1697">
        <v>0</v>
      </c>
    </row>
    <row r="1698" spans="1:4" x14ac:dyDescent="0.25">
      <c r="A1698" s="279">
        <v>39037</v>
      </c>
      <c r="B1698" s="309" t="s">
        <v>411</v>
      </c>
      <c r="C1698" s="309" t="s">
        <v>407</v>
      </c>
      <c r="D1698">
        <v>233819</v>
      </c>
    </row>
    <row r="1699" spans="1:4" x14ac:dyDescent="0.25">
      <c r="A1699" s="279">
        <v>39037</v>
      </c>
      <c r="B1699" s="309" t="s">
        <v>411</v>
      </c>
      <c r="C1699" s="309" t="s">
        <v>412</v>
      </c>
      <c r="D1699">
        <v>1007</v>
      </c>
    </row>
    <row r="1700" spans="1:4" x14ac:dyDescent="0.25">
      <c r="A1700" s="279">
        <v>39037</v>
      </c>
      <c r="B1700" s="309" t="s">
        <v>411</v>
      </c>
      <c r="C1700" s="309" t="s">
        <v>409</v>
      </c>
      <c r="D1700">
        <v>1076</v>
      </c>
    </row>
    <row r="1701" spans="1:4" x14ac:dyDescent="0.25">
      <c r="A1701" s="279">
        <v>39038</v>
      </c>
      <c r="B1701" s="309" t="s">
        <v>405</v>
      </c>
      <c r="C1701" s="309" t="s">
        <v>406</v>
      </c>
      <c r="D1701">
        <v>3599742.1</v>
      </c>
    </row>
    <row r="1702" spans="1:4" x14ac:dyDescent="0.25">
      <c r="A1702" s="279">
        <v>39038</v>
      </c>
      <c r="B1702" s="309" t="s">
        <v>405</v>
      </c>
      <c r="C1702" s="309" t="s">
        <v>89</v>
      </c>
      <c r="D1702">
        <v>13226</v>
      </c>
    </row>
    <row r="1703" spans="1:4" x14ac:dyDescent="0.25">
      <c r="A1703" s="279">
        <v>39038</v>
      </c>
      <c r="B1703" s="309" t="s">
        <v>405</v>
      </c>
      <c r="C1703" s="309" t="s">
        <v>198</v>
      </c>
      <c r="D1703">
        <v>0</v>
      </c>
    </row>
    <row r="1704" spans="1:4" x14ac:dyDescent="0.25">
      <c r="A1704" s="279">
        <v>39038</v>
      </c>
      <c r="B1704" s="309" t="s">
        <v>405</v>
      </c>
      <c r="C1704" s="309" t="s">
        <v>199</v>
      </c>
      <c r="D1704">
        <v>0</v>
      </c>
    </row>
    <row r="1705" spans="1:4" x14ac:dyDescent="0.25">
      <c r="A1705" s="279">
        <v>39038</v>
      </c>
      <c r="B1705" s="309" t="s">
        <v>405</v>
      </c>
      <c r="C1705" s="309" t="s">
        <v>90</v>
      </c>
      <c r="D1705">
        <v>2533</v>
      </c>
    </row>
    <row r="1706" spans="1:4" x14ac:dyDescent="0.25">
      <c r="A1706" s="279">
        <v>39038</v>
      </c>
      <c r="B1706" s="309" t="s">
        <v>405</v>
      </c>
      <c r="C1706" s="309" t="s">
        <v>24</v>
      </c>
      <c r="D1706">
        <v>0</v>
      </c>
    </row>
    <row r="1707" spans="1:4" x14ac:dyDescent="0.25">
      <c r="A1707" s="279">
        <v>39038</v>
      </c>
      <c r="B1707" s="309" t="s">
        <v>405</v>
      </c>
      <c r="C1707" s="309" t="s">
        <v>91</v>
      </c>
      <c r="D1707">
        <v>0</v>
      </c>
    </row>
    <row r="1708" spans="1:4" x14ac:dyDescent="0.25">
      <c r="A1708" s="279">
        <v>39038</v>
      </c>
      <c r="B1708" s="309" t="s">
        <v>405</v>
      </c>
      <c r="C1708" s="309" t="s">
        <v>118</v>
      </c>
      <c r="D1708">
        <v>0</v>
      </c>
    </row>
    <row r="1709" spans="1:4" x14ac:dyDescent="0.25">
      <c r="A1709" s="279">
        <v>39038</v>
      </c>
      <c r="B1709" s="309" t="s">
        <v>405</v>
      </c>
      <c r="C1709" s="309" t="s">
        <v>407</v>
      </c>
      <c r="D1709">
        <v>3610435.1</v>
      </c>
    </row>
    <row r="1710" spans="1:4" x14ac:dyDescent="0.25">
      <c r="A1710" s="279">
        <v>39038</v>
      </c>
      <c r="B1710" s="309" t="s">
        <v>405</v>
      </c>
      <c r="C1710" s="309" t="s">
        <v>408</v>
      </c>
      <c r="D1710">
        <v>1007</v>
      </c>
    </row>
    <row r="1711" spans="1:4" x14ac:dyDescent="0.25">
      <c r="A1711" s="279">
        <v>39038</v>
      </c>
      <c r="B1711" s="309" t="s">
        <v>405</v>
      </c>
      <c r="C1711" s="309" t="s">
        <v>409</v>
      </c>
      <c r="D1711">
        <v>1058</v>
      </c>
    </row>
    <row r="1712" spans="1:4" x14ac:dyDescent="0.25">
      <c r="A1712" s="279">
        <v>39038</v>
      </c>
      <c r="B1712" s="309" t="s">
        <v>405</v>
      </c>
      <c r="C1712" s="309" t="s">
        <v>410</v>
      </c>
      <c r="D1712">
        <v>1029</v>
      </c>
    </row>
    <row r="1713" spans="1:4" x14ac:dyDescent="0.25">
      <c r="A1713" s="279">
        <v>39038</v>
      </c>
      <c r="B1713" s="309" t="s">
        <v>411</v>
      </c>
      <c r="C1713" s="309" t="s">
        <v>406</v>
      </c>
      <c r="D1713">
        <v>233819</v>
      </c>
    </row>
    <row r="1714" spans="1:4" x14ac:dyDescent="0.25">
      <c r="A1714" s="279">
        <v>39038</v>
      </c>
      <c r="B1714" s="309" t="s">
        <v>411</v>
      </c>
      <c r="C1714" s="309" t="s">
        <v>198</v>
      </c>
      <c r="D1714">
        <v>0</v>
      </c>
    </row>
    <row r="1715" spans="1:4" x14ac:dyDescent="0.25">
      <c r="A1715" s="279">
        <v>39038</v>
      </c>
      <c r="B1715" s="309" t="s">
        <v>411</v>
      </c>
      <c r="C1715" s="309" t="s">
        <v>199</v>
      </c>
      <c r="D1715">
        <v>0</v>
      </c>
    </row>
    <row r="1716" spans="1:4" x14ac:dyDescent="0.25">
      <c r="A1716" s="279">
        <v>39038</v>
      </c>
      <c r="B1716" s="309" t="s">
        <v>411</v>
      </c>
      <c r="C1716" s="309" t="s">
        <v>90</v>
      </c>
      <c r="D1716">
        <v>124</v>
      </c>
    </row>
    <row r="1717" spans="1:4" x14ac:dyDescent="0.25">
      <c r="A1717" s="279">
        <v>39038</v>
      </c>
      <c r="B1717" s="309" t="s">
        <v>411</v>
      </c>
      <c r="C1717" s="309" t="s">
        <v>24</v>
      </c>
      <c r="D1717">
        <v>0</v>
      </c>
    </row>
    <row r="1718" spans="1:4" x14ac:dyDescent="0.25">
      <c r="A1718" s="279">
        <v>39038</v>
      </c>
      <c r="B1718" s="309" t="s">
        <v>411</v>
      </c>
      <c r="C1718" s="309" t="s">
        <v>91</v>
      </c>
      <c r="D1718">
        <v>0</v>
      </c>
    </row>
    <row r="1719" spans="1:4" x14ac:dyDescent="0.25">
      <c r="A1719" s="279">
        <v>39038</v>
      </c>
      <c r="B1719" s="309" t="s">
        <v>411</v>
      </c>
      <c r="C1719" s="309" t="s">
        <v>118</v>
      </c>
      <c r="D1719">
        <v>0</v>
      </c>
    </row>
    <row r="1720" spans="1:4" x14ac:dyDescent="0.25">
      <c r="A1720" s="279">
        <v>39038</v>
      </c>
      <c r="B1720" s="309" t="s">
        <v>411</v>
      </c>
      <c r="C1720" s="309" t="s">
        <v>407</v>
      </c>
      <c r="D1720">
        <v>233695</v>
      </c>
    </row>
    <row r="1721" spans="1:4" x14ac:dyDescent="0.25">
      <c r="A1721" s="279">
        <v>39038</v>
      </c>
      <c r="B1721" s="309" t="s">
        <v>411</v>
      </c>
      <c r="C1721" s="309" t="s">
        <v>412</v>
      </c>
      <c r="D1721">
        <v>1007</v>
      </c>
    </row>
    <row r="1722" spans="1:4" x14ac:dyDescent="0.25">
      <c r="A1722" s="279">
        <v>39038</v>
      </c>
      <c r="B1722" s="309" t="s">
        <v>411</v>
      </c>
      <c r="C1722" s="309" t="s">
        <v>409</v>
      </c>
      <c r="D1722">
        <v>1076</v>
      </c>
    </row>
    <row r="1723" spans="1:4" x14ac:dyDescent="0.25">
      <c r="A1723" s="279">
        <v>39039</v>
      </c>
      <c r="B1723" s="309" t="s">
        <v>405</v>
      </c>
      <c r="C1723" s="309" t="s">
        <v>406</v>
      </c>
      <c r="D1723">
        <v>3610435.1</v>
      </c>
    </row>
    <row r="1724" spans="1:4" x14ac:dyDescent="0.25">
      <c r="A1724" s="279">
        <v>39039</v>
      </c>
      <c r="B1724" s="309" t="s">
        <v>405</v>
      </c>
      <c r="C1724" s="309" t="s">
        <v>89</v>
      </c>
      <c r="D1724">
        <v>12667</v>
      </c>
    </row>
    <row r="1725" spans="1:4" x14ac:dyDescent="0.25">
      <c r="A1725" s="279">
        <v>39039</v>
      </c>
      <c r="B1725" s="309" t="s">
        <v>405</v>
      </c>
      <c r="C1725" s="309" t="s">
        <v>198</v>
      </c>
      <c r="D1725">
        <v>0</v>
      </c>
    </row>
    <row r="1726" spans="1:4" x14ac:dyDescent="0.25">
      <c r="A1726" s="279">
        <v>39039</v>
      </c>
      <c r="B1726" s="309" t="s">
        <v>405</v>
      </c>
      <c r="C1726" s="309" t="s">
        <v>199</v>
      </c>
      <c r="D1726">
        <v>0</v>
      </c>
    </row>
    <row r="1727" spans="1:4" x14ac:dyDescent="0.25">
      <c r="A1727" s="279">
        <v>39039</v>
      </c>
      <c r="B1727" s="309" t="s">
        <v>405</v>
      </c>
      <c r="C1727" s="309" t="s">
        <v>90</v>
      </c>
      <c r="D1727">
        <v>2509</v>
      </c>
    </row>
    <row r="1728" spans="1:4" x14ac:dyDescent="0.25">
      <c r="A1728" s="279">
        <v>39039</v>
      </c>
      <c r="B1728" s="309" t="s">
        <v>405</v>
      </c>
      <c r="C1728" s="309" t="s">
        <v>24</v>
      </c>
      <c r="D1728">
        <v>0</v>
      </c>
    </row>
    <row r="1729" spans="1:4" x14ac:dyDescent="0.25">
      <c r="A1729" s="279">
        <v>39039</v>
      </c>
      <c r="B1729" s="309" t="s">
        <v>405</v>
      </c>
      <c r="C1729" s="309" t="s">
        <v>91</v>
      </c>
      <c r="D1729">
        <v>0</v>
      </c>
    </row>
    <row r="1730" spans="1:4" x14ac:dyDescent="0.25">
      <c r="A1730" s="279">
        <v>39039</v>
      </c>
      <c r="B1730" s="309" t="s">
        <v>405</v>
      </c>
      <c r="C1730" s="309" t="s">
        <v>118</v>
      </c>
      <c r="D1730">
        <v>0</v>
      </c>
    </row>
    <row r="1731" spans="1:4" x14ac:dyDescent="0.25">
      <c r="A1731" s="279">
        <v>39039</v>
      </c>
      <c r="B1731" s="309" t="s">
        <v>405</v>
      </c>
      <c r="C1731" s="309" t="s">
        <v>407</v>
      </c>
      <c r="D1731">
        <v>3620593.1</v>
      </c>
    </row>
    <row r="1732" spans="1:4" x14ac:dyDescent="0.25">
      <c r="A1732" s="279">
        <v>39039</v>
      </c>
      <c r="B1732" s="309" t="s">
        <v>405</v>
      </c>
      <c r="C1732" s="309" t="s">
        <v>408</v>
      </c>
      <c r="D1732">
        <v>1007</v>
      </c>
    </row>
    <row r="1733" spans="1:4" x14ac:dyDescent="0.25">
      <c r="A1733" s="279">
        <v>39039</v>
      </c>
      <c r="B1733" s="309" t="s">
        <v>405</v>
      </c>
      <c r="C1733" s="309" t="s">
        <v>409</v>
      </c>
      <c r="D1733">
        <v>1058</v>
      </c>
    </row>
    <row r="1734" spans="1:4" x14ac:dyDescent="0.25">
      <c r="A1734" s="279">
        <v>39039</v>
      </c>
      <c r="B1734" s="309" t="s">
        <v>405</v>
      </c>
      <c r="C1734" s="309" t="s">
        <v>410</v>
      </c>
      <c r="D1734">
        <v>1029</v>
      </c>
    </row>
    <row r="1735" spans="1:4" x14ac:dyDescent="0.25">
      <c r="A1735" s="279">
        <v>39039</v>
      </c>
      <c r="B1735" s="309" t="s">
        <v>411</v>
      </c>
      <c r="C1735" s="309" t="s">
        <v>406</v>
      </c>
      <c r="D1735">
        <v>233695</v>
      </c>
    </row>
    <row r="1736" spans="1:4" x14ac:dyDescent="0.25">
      <c r="A1736" s="279">
        <v>39039</v>
      </c>
      <c r="B1736" s="309" t="s">
        <v>411</v>
      </c>
      <c r="C1736" s="309" t="s">
        <v>198</v>
      </c>
      <c r="D1736">
        <v>0</v>
      </c>
    </row>
    <row r="1737" spans="1:4" x14ac:dyDescent="0.25">
      <c r="A1737" s="279">
        <v>39039</v>
      </c>
      <c r="B1737" s="309" t="s">
        <v>411</v>
      </c>
      <c r="C1737" s="309" t="s">
        <v>199</v>
      </c>
      <c r="D1737">
        <v>0</v>
      </c>
    </row>
    <row r="1738" spans="1:4" x14ac:dyDescent="0.25">
      <c r="A1738" s="279">
        <v>39039</v>
      </c>
      <c r="B1738" s="309" t="s">
        <v>411</v>
      </c>
      <c r="C1738" s="309" t="s">
        <v>90</v>
      </c>
      <c r="D1738">
        <v>54</v>
      </c>
    </row>
    <row r="1739" spans="1:4" x14ac:dyDescent="0.25">
      <c r="A1739" s="279">
        <v>39039</v>
      </c>
      <c r="B1739" s="309" t="s">
        <v>411</v>
      </c>
      <c r="C1739" s="309" t="s">
        <v>24</v>
      </c>
      <c r="D1739">
        <v>0</v>
      </c>
    </row>
    <row r="1740" spans="1:4" x14ac:dyDescent="0.25">
      <c r="A1740" s="279">
        <v>39039</v>
      </c>
      <c r="B1740" s="309" t="s">
        <v>411</v>
      </c>
      <c r="C1740" s="309" t="s">
        <v>91</v>
      </c>
      <c r="D1740">
        <v>0</v>
      </c>
    </row>
    <row r="1741" spans="1:4" x14ac:dyDescent="0.25">
      <c r="A1741" s="279">
        <v>39039</v>
      </c>
      <c r="B1741" s="309" t="s">
        <v>411</v>
      </c>
      <c r="C1741" s="309" t="s">
        <v>118</v>
      </c>
      <c r="D1741">
        <v>0</v>
      </c>
    </row>
    <row r="1742" spans="1:4" x14ac:dyDescent="0.25">
      <c r="A1742" s="279">
        <v>39039</v>
      </c>
      <c r="B1742" s="309" t="s">
        <v>411</v>
      </c>
      <c r="C1742" s="309" t="s">
        <v>407</v>
      </c>
      <c r="D1742">
        <v>233641</v>
      </c>
    </row>
    <row r="1743" spans="1:4" x14ac:dyDescent="0.25">
      <c r="A1743" s="279">
        <v>39039</v>
      </c>
      <c r="B1743" s="309" t="s">
        <v>411</v>
      </c>
      <c r="C1743" s="309" t="s">
        <v>412</v>
      </c>
      <c r="D1743">
        <v>1007</v>
      </c>
    </row>
    <row r="1744" spans="1:4" x14ac:dyDescent="0.25">
      <c r="A1744" s="279">
        <v>39039</v>
      </c>
      <c r="B1744" s="309" t="s">
        <v>411</v>
      </c>
      <c r="C1744" s="309" t="s">
        <v>409</v>
      </c>
      <c r="D1744">
        <v>1076</v>
      </c>
    </row>
    <row r="1745" spans="1:4" x14ac:dyDescent="0.25">
      <c r="A1745" s="279">
        <v>39040</v>
      </c>
      <c r="B1745" s="309" t="s">
        <v>405</v>
      </c>
      <c r="C1745" s="309" t="s">
        <v>406</v>
      </c>
      <c r="D1745">
        <v>3620593.1</v>
      </c>
    </row>
    <row r="1746" spans="1:4" x14ac:dyDescent="0.25">
      <c r="A1746" s="279">
        <v>39040</v>
      </c>
      <c r="B1746" s="309" t="s">
        <v>405</v>
      </c>
      <c r="C1746" s="309" t="s">
        <v>89</v>
      </c>
      <c r="D1746">
        <v>12671</v>
      </c>
    </row>
    <row r="1747" spans="1:4" x14ac:dyDescent="0.25">
      <c r="A1747" s="279">
        <v>39040</v>
      </c>
      <c r="B1747" s="309" t="s">
        <v>405</v>
      </c>
      <c r="C1747" s="309" t="s">
        <v>198</v>
      </c>
      <c r="D1747">
        <v>0</v>
      </c>
    </row>
    <row r="1748" spans="1:4" x14ac:dyDescent="0.25">
      <c r="A1748" s="279">
        <v>39040</v>
      </c>
      <c r="B1748" s="309" t="s">
        <v>405</v>
      </c>
      <c r="C1748" s="309" t="s">
        <v>199</v>
      </c>
      <c r="D1748">
        <v>0</v>
      </c>
    </row>
    <row r="1749" spans="1:4" x14ac:dyDescent="0.25">
      <c r="A1749" s="279">
        <v>39040</v>
      </c>
      <c r="B1749" s="309" t="s">
        <v>405</v>
      </c>
      <c r="C1749" s="309" t="s">
        <v>90</v>
      </c>
      <c r="D1749">
        <v>2511</v>
      </c>
    </row>
    <row r="1750" spans="1:4" x14ac:dyDescent="0.25">
      <c r="A1750" s="279">
        <v>39040</v>
      </c>
      <c r="B1750" s="309" t="s">
        <v>405</v>
      </c>
      <c r="C1750" s="309" t="s">
        <v>24</v>
      </c>
      <c r="D1750">
        <v>0</v>
      </c>
    </row>
    <row r="1751" spans="1:4" x14ac:dyDescent="0.25">
      <c r="A1751" s="279">
        <v>39040</v>
      </c>
      <c r="B1751" s="309" t="s">
        <v>405</v>
      </c>
      <c r="C1751" s="309" t="s">
        <v>91</v>
      </c>
      <c r="D1751">
        <v>0</v>
      </c>
    </row>
    <row r="1752" spans="1:4" x14ac:dyDescent="0.25">
      <c r="A1752" s="279">
        <v>39040</v>
      </c>
      <c r="B1752" s="309" t="s">
        <v>405</v>
      </c>
      <c r="C1752" s="309" t="s">
        <v>118</v>
      </c>
      <c r="D1752">
        <v>0</v>
      </c>
    </row>
    <row r="1753" spans="1:4" x14ac:dyDescent="0.25">
      <c r="A1753" s="279">
        <v>39040</v>
      </c>
      <c r="B1753" s="309" t="s">
        <v>405</v>
      </c>
      <c r="C1753" s="309" t="s">
        <v>407</v>
      </c>
      <c r="D1753">
        <v>3630753.1</v>
      </c>
    </row>
    <row r="1754" spans="1:4" x14ac:dyDescent="0.25">
      <c r="A1754" s="279">
        <v>39040</v>
      </c>
      <c r="B1754" s="309" t="s">
        <v>405</v>
      </c>
      <c r="C1754" s="309" t="s">
        <v>408</v>
      </c>
      <c r="D1754">
        <v>1007</v>
      </c>
    </row>
    <row r="1755" spans="1:4" x14ac:dyDescent="0.25">
      <c r="A1755" s="279">
        <v>39040</v>
      </c>
      <c r="B1755" s="309" t="s">
        <v>405</v>
      </c>
      <c r="C1755" s="309" t="s">
        <v>409</v>
      </c>
      <c r="D1755">
        <v>1058</v>
      </c>
    </row>
    <row r="1756" spans="1:4" x14ac:dyDescent="0.25">
      <c r="A1756" s="279">
        <v>39040</v>
      </c>
      <c r="B1756" s="309" t="s">
        <v>405</v>
      </c>
      <c r="C1756" s="309" t="s">
        <v>410</v>
      </c>
      <c r="D1756">
        <v>1030</v>
      </c>
    </row>
    <row r="1757" spans="1:4" x14ac:dyDescent="0.25">
      <c r="A1757" s="279">
        <v>39040</v>
      </c>
      <c r="B1757" s="309" t="s">
        <v>411</v>
      </c>
      <c r="C1757" s="309" t="s">
        <v>406</v>
      </c>
      <c r="D1757">
        <v>233641</v>
      </c>
    </row>
    <row r="1758" spans="1:4" x14ac:dyDescent="0.25">
      <c r="A1758" s="279">
        <v>39040</v>
      </c>
      <c r="B1758" s="309" t="s">
        <v>411</v>
      </c>
      <c r="C1758" s="309" t="s">
        <v>198</v>
      </c>
      <c r="D1758">
        <v>0</v>
      </c>
    </row>
    <row r="1759" spans="1:4" x14ac:dyDescent="0.25">
      <c r="A1759" s="279">
        <v>39040</v>
      </c>
      <c r="B1759" s="309" t="s">
        <v>411</v>
      </c>
      <c r="C1759" s="309" t="s">
        <v>199</v>
      </c>
      <c r="D1759">
        <v>0</v>
      </c>
    </row>
    <row r="1760" spans="1:4" x14ac:dyDescent="0.25">
      <c r="A1760" s="279">
        <v>39040</v>
      </c>
      <c r="B1760" s="309" t="s">
        <v>411</v>
      </c>
      <c r="C1760" s="309" t="s">
        <v>90</v>
      </c>
      <c r="D1760">
        <v>52</v>
      </c>
    </row>
    <row r="1761" spans="1:4" x14ac:dyDescent="0.25">
      <c r="A1761" s="279">
        <v>39040</v>
      </c>
      <c r="B1761" s="309" t="s">
        <v>411</v>
      </c>
      <c r="C1761" s="309" t="s">
        <v>24</v>
      </c>
      <c r="D1761">
        <v>0</v>
      </c>
    </row>
    <row r="1762" spans="1:4" x14ac:dyDescent="0.25">
      <c r="A1762" s="279">
        <v>39040</v>
      </c>
      <c r="B1762" s="309" t="s">
        <v>411</v>
      </c>
      <c r="C1762" s="309" t="s">
        <v>91</v>
      </c>
      <c r="D1762">
        <v>0</v>
      </c>
    </row>
    <row r="1763" spans="1:4" x14ac:dyDescent="0.25">
      <c r="A1763" s="279">
        <v>39040</v>
      </c>
      <c r="B1763" s="309" t="s">
        <v>411</v>
      </c>
      <c r="C1763" s="309" t="s">
        <v>118</v>
      </c>
      <c r="D1763">
        <v>0</v>
      </c>
    </row>
    <row r="1764" spans="1:4" x14ac:dyDescent="0.25">
      <c r="A1764" s="279">
        <v>39040</v>
      </c>
      <c r="B1764" s="309" t="s">
        <v>411</v>
      </c>
      <c r="C1764" s="309" t="s">
        <v>407</v>
      </c>
      <c r="D1764">
        <v>233589</v>
      </c>
    </row>
    <row r="1765" spans="1:4" x14ac:dyDescent="0.25">
      <c r="A1765" s="279">
        <v>39040</v>
      </c>
      <c r="B1765" s="309" t="s">
        <v>411</v>
      </c>
      <c r="C1765" s="309" t="s">
        <v>412</v>
      </c>
      <c r="D1765">
        <v>1007</v>
      </c>
    </row>
    <row r="1766" spans="1:4" x14ac:dyDescent="0.25">
      <c r="A1766" s="279">
        <v>39040</v>
      </c>
      <c r="B1766" s="309" t="s">
        <v>411</v>
      </c>
      <c r="C1766" s="309" t="s">
        <v>409</v>
      </c>
      <c r="D1766">
        <v>1076</v>
      </c>
    </row>
    <row r="1767" spans="1:4" x14ac:dyDescent="0.25">
      <c r="A1767" s="279">
        <v>39041</v>
      </c>
      <c r="B1767" s="309" t="s">
        <v>405</v>
      </c>
      <c r="C1767" s="309" t="s">
        <v>406</v>
      </c>
      <c r="D1767">
        <v>3630753.1</v>
      </c>
    </row>
    <row r="1768" spans="1:4" x14ac:dyDescent="0.25">
      <c r="A1768" s="279">
        <v>39041</v>
      </c>
      <c r="B1768" s="309" t="s">
        <v>405</v>
      </c>
      <c r="C1768" s="309" t="s">
        <v>89</v>
      </c>
      <c r="D1768">
        <v>13799</v>
      </c>
    </row>
    <row r="1769" spans="1:4" x14ac:dyDescent="0.25">
      <c r="A1769" s="279">
        <v>39041</v>
      </c>
      <c r="B1769" s="309" t="s">
        <v>405</v>
      </c>
      <c r="C1769" s="309" t="s">
        <v>198</v>
      </c>
      <c r="D1769">
        <v>0</v>
      </c>
    </row>
    <row r="1770" spans="1:4" x14ac:dyDescent="0.25">
      <c r="A1770" s="279">
        <v>39041</v>
      </c>
      <c r="B1770" s="309" t="s">
        <v>405</v>
      </c>
      <c r="C1770" s="309" t="s">
        <v>199</v>
      </c>
      <c r="D1770">
        <v>0</v>
      </c>
    </row>
    <row r="1771" spans="1:4" x14ac:dyDescent="0.25">
      <c r="A1771" s="279">
        <v>39041</v>
      </c>
      <c r="B1771" s="309" t="s">
        <v>405</v>
      </c>
      <c r="C1771" s="309" t="s">
        <v>90</v>
      </c>
      <c r="D1771">
        <v>2572</v>
      </c>
    </row>
    <row r="1772" spans="1:4" x14ac:dyDescent="0.25">
      <c r="A1772" s="279">
        <v>39041</v>
      </c>
      <c r="B1772" s="309" t="s">
        <v>405</v>
      </c>
      <c r="C1772" s="309" t="s">
        <v>24</v>
      </c>
      <c r="D1772">
        <v>0</v>
      </c>
    </row>
    <row r="1773" spans="1:4" x14ac:dyDescent="0.25">
      <c r="A1773" s="279">
        <v>39041</v>
      </c>
      <c r="B1773" s="309" t="s">
        <v>405</v>
      </c>
      <c r="C1773" s="309" t="s">
        <v>91</v>
      </c>
      <c r="D1773">
        <v>0</v>
      </c>
    </row>
    <row r="1774" spans="1:4" x14ac:dyDescent="0.25">
      <c r="A1774" s="279">
        <v>39041</v>
      </c>
      <c r="B1774" s="309" t="s">
        <v>405</v>
      </c>
      <c r="C1774" s="309" t="s">
        <v>118</v>
      </c>
      <c r="D1774">
        <v>0</v>
      </c>
    </row>
    <row r="1775" spans="1:4" x14ac:dyDescent="0.25">
      <c r="A1775" s="279">
        <v>39041</v>
      </c>
      <c r="B1775" s="309" t="s">
        <v>405</v>
      </c>
      <c r="C1775" s="309" t="s">
        <v>407</v>
      </c>
      <c r="D1775">
        <v>3641980.1</v>
      </c>
    </row>
    <row r="1776" spans="1:4" x14ac:dyDescent="0.25">
      <c r="A1776" s="279">
        <v>39041</v>
      </c>
      <c r="B1776" s="309" t="s">
        <v>405</v>
      </c>
      <c r="C1776" s="309" t="s">
        <v>408</v>
      </c>
      <c r="D1776">
        <v>1007</v>
      </c>
    </row>
    <row r="1777" spans="1:4" x14ac:dyDescent="0.25">
      <c r="A1777" s="279">
        <v>39041</v>
      </c>
      <c r="B1777" s="309" t="s">
        <v>405</v>
      </c>
      <c r="C1777" s="309" t="s">
        <v>409</v>
      </c>
      <c r="D1777">
        <v>1058</v>
      </c>
    </row>
    <row r="1778" spans="1:4" x14ac:dyDescent="0.25">
      <c r="A1778" s="279">
        <v>39041</v>
      </c>
      <c r="B1778" s="309" t="s">
        <v>405</v>
      </c>
      <c r="C1778" s="309" t="s">
        <v>410</v>
      </c>
      <c r="D1778">
        <v>1031</v>
      </c>
    </row>
    <row r="1779" spans="1:4" x14ac:dyDescent="0.25">
      <c r="A1779" s="279">
        <v>39041</v>
      </c>
      <c r="B1779" s="309" t="s">
        <v>411</v>
      </c>
      <c r="C1779" s="309" t="s">
        <v>406</v>
      </c>
      <c r="D1779">
        <v>233589</v>
      </c>
    </row>
    <row r="1780" spans="1:4" x14ac:dyDescent="0.25">
      <c r="A1780" s="279">
        <v>39041</v>
      </c>
      <c r="B1780" s="309" t="s">
        <v>411</v>
      </c>
      <c r="C1780" s="309" t="s">
        <v>198</v>
      </c>
      <c r="D1780">
        <v>0</v>
      </c>
    </row>
    <row r="1781" spans="1:4" x14ac:dyDescent="0.25">
      <c r="A1781" s="279">
        <v>39041</v>
      </c>
      <c r="B1781" s="309" t="s">
        <v>411</v>
      </c>
      <c r="C1781" s="309" t="s">
        <v>199</v>
      </c>
      <c r="D1781">
        <v>0</v>
      </c>
    </row>
    <row r="1782" spans="1:4" x14ac:dyDescent="0.25">
      <c r="A1782" s="279">
        <v>39041</v>
      </c>
      <c r="B1782" s="309" t="s">
        <v>411</v>
      </c>
      <c r="C1782" s="309" t="s">
        <v>90</v>
      </c>
      <c r="D1782">
        <v>54</v>
      </c>
    </row>
    <row r="1783" spans="1:4" x14ac:dyDescent="0.25">
      <c r="A1783" s="279">
        <v>39041</v>
      </c>
      <c r="B1783" s="309" t="s">
        <v>411</v>
      </c>
      <c r="C1783" s="309" t="s">
        <v>24</v>
      </c>
      <c r="D1783">
        <v>0</v>
      </c>
    </row>
    <row r="1784" spans="1:4" x14ac:dyDescent="0.25">
      <c r="A1784" s="279">
        <v>39041</v>
      </c>
      <c r="B1784" s="309" t="s">
        <v>411</v>
      </c>
      <c r="C1784" s="309" t="s">
        <v>91</v>
      </c>
      <c r="D1784">
        <v>0</v>
      </c>
    </row>
    <row r="1785" spans="1:4" x14ac:dyDescent="0.25">
      <c r="A1785" s="279">
        <v>39041</v>
      </c>
      <c r="B1785" s="309" t="s">
        <v>411</v>
      </c>
      <c r="C1785" s="309" t="s">
        <v>118</v>
      </c>
      <c r="D1785">
        <v>0</v>
      </c>
    </row>
    <row r="1786" spans="1:4" x14ac:dyDescent="0.25">
      <c r="A1786" s="279">
        <v>39041</v>
      </c>
      <c r="B1786" s="309" t="s">
        <v>411</v>
      </c>
      <c r="C1786" s="309" t="s">
        <v>407</v>
      </c>
      <c r="D1786">
        <v>233535</v>
      </c>
    </row>
    <row r="1787" spans="1:4" x14ac:dyDescent="0.25">
      <c r="A1787" s="279">
        <v>39041</v>
      </c>
      <c r="B1787" s="309" t="s">
        <v>411</v>
      </c>
      <c r="C1787" s="309" t="s">
        <v>412</v>
      </c>
      <c r="D1787">
        <v>1007</v>
      </c>
    </row>
    <row r="1788" spans="1:4" x14ac:dyDescent="0.25">
      <c r="A1788" s="279">
        <v>39041</v>
      </c>
      <c r="B1788" s="309" t="s">
        <v>411</v>
      </c>
      <c r="C1788" s="309" t="s">
        <v>409</v>
      </c>
      <c r="D1788">
        <v>1076</v>
      </c>
    </row>
    <row r="1789" spans="1:4" x14ac:dyDescent="0.25">
      <c r="A1789" s="279">
        <v>39042</v>
      </c>
      <c r="B1789" s="309" t="s">
        <v>405</v>
      </c>
      <c r="C1789" s="309" t="s">
        <v>406</v>
      </c>
      <c r="D1789">
        <v>3641980.1</v>
      </c>
    </row>
    <row r="1790" spans="1:4" x14ac:dyDescent="0.25">
      <c r="A1790" s="279">
        <v>39042</v>
      </c>
      <c r="B1790" s="309" t="s">
        <v>405</v>
      </c>
      <c r="C1790" s="309" t="s">
        <v>89</v>
      </c>
      <c r="D1790">
        <v>14085</v>
      </c>
    </row>
    <row r="1791" spans="1:4" x14ac:dyDescent="0.25">
      <c r="A1791" s="279">
        <v>39042</v>
      </c>
      <c r="B1791" s="309" t="s">
        <v>405</v>
      </c>
      <c r="C1791" s="309" t="s">
        <v>198</v>
      </c>
      <c r="D1791">
        <v>0</v>
      </c>
    </row>
    <row r="1792" spans="1:4" x14ac:dyDescent="0.25">
      <c r="A1792" s="279">
        <v>39042</v>
      </c>
      <c r="B1792" s="309" t="s">
        <v>405</v>
      </c>
      <c r="C1792" s="309" t="s">
        <v>199</v>
      </c>
      <c r="D1792">
        <v>0</v>
      </c>
    </row>
    <row r="1793" spans="1:4" x14ac:dyDescent="0.25">
      <c r="A1793" s="279">
        <v>39042</v>
      </c>
      <c r="B1793" s="309" t="s">
        <v>405</v>
      </c>
      <c r="C1793" s="309" t="s">
        <v>90</v>
      </c>
      <c r="D1793">
        <v>2589</v>
      </c>
    </row>
    <row r="1794" spans="1:4" x14ac:dyDescent="0.25">
      <c r="A1794" s="279">
        <v>39042</v>
      </c>
      <c r="B1794" s="309" t="s">
        <v>405</v>
      </c>
      <c r="C1794" s="309" t="s">
        <v>24</v>
      </c>
      <c r="D1794">
        <v>0</v>
      </c>
    </row>
    <row r="1795" spans="1:4" x14ac:dyDescent="0.25">
      <c r="A1795" s="279">
        <v>39042</v>
      </c>
      <c r="B1795" s="309" t="s">
        <v>405</v>
      </c>
      <c r="C1795" s="309" t="s">
        <v>91</v>
      </c>
      <c r="D1795">
        <v>0</v>
      </c>
    </row>
    <row r="1796" spans="1:4" x14ac:dyDescent="0.25">
      <c r="A1796" s="279">
        <v>39042</v>
      </c>
      <c r="B1796" s="309" t="s">
        <v>405</v>
      </c>
      <c r="C1796" s="309" t="s">
        <v>118</v>
      </c>
      <c r="D1796">
        <v>0</v>
      </c>
    </row>
    <row r="1797" spans="1:4" x14ac:dyDescent="0.25">
      <c r="A1797" s="279">
        <v>39042</v>
      </c>
      <c r="B1797" s="309" t="s">
        <v>405</v>
      </c>
      <c r="C1797" s="309" t="s">
        <v>407</v>
      </c>
      <c r="D1797">
        <v>3653476.1</v>
      </c>
    </row>
    <row r="1798" spans="1:4" x14ac:dyDescent="0.25">
      <c r="A1798" s="279">
        <v>39042</v>
      </c>
      <c r="B1798" s="309" t="s">
        <v>405</v>
      </c>
      <c r="C1798" s="309" t="s">
        <v>408</v>
      </c>
      <c r="D1798">
        <v>1007</v>
      </c>
    </row>
    <row r="1799" spans="1:4" x14ac:dyDescent="0.25">
      <c r="A1799" s="279">
        <v>39042</v>
      </c>
      <c r="B1799" s="309" t="s">
        <v>405</v>
      </c>
      <c r="C1799" s="309" t="s">
        <v>409</v>
      </c>
      <c r="D1799">
        <v>1058</v>
      </c>
    </row>
    <row r="1800" spans="1:4" x14ac:dyDescent="0.25">
      <c r="A1800" s="279">
        <v>39042</v>
      </c>
      <c r="B1800" s="309" t="s">
        <v>405</v>
      </c>
      <c r="C1800" s="309" t="s">
        <v>410</v>
      </c>
      <c r="D1800">
        <v>1031</v>
      </c>
    </row>
    <row r="1801" spans="1:4" x14ac:dyDescent="0.25">
      <c r="A1801" s="279">
        <v>39042</v>
      </c>
      <c r="B1801" s="309" t="s">
        <v>411</v>
      </c>
      <c r="C1801" s="309" t="s">
        <v>406</v>
      </c>
      <c r="D1801">
        <v>233535</v>
      </c>
    </row>
    <row r="1802" spans="1:4" x14ac:dyDescent="0.25">
      <c r="A1802" s="279">
        <v>39042</v>
      </c>
      <c r="B1802" s="309" t="s">
        <v>411</v>
      </c>
      <c r="C1802" s="309" t="s">
        <v>198</v>
      </c>
      <c r="D1802">
        <v>0</v>
      </c>
    </row>
    <row r="1803" spans="1:4" x14ac:dyDescent="0.25">
      <c r="A1803" s="279">
        <v>39042</v>
      </c>
      <c r="B1803" s="309" t="s">
        <v>411</v>
      </c>
      <c r="C1803" s="309" t="s">
        <v>199</v>
      </c>
      <c r="D1803">
        <v>0</v>
      </c>
    </row>
    <row r="1804" spans="1:4" x14ac:dyDescent="0.25">
      <c r="A1804" s="279">
        <v>39042</v>
      </c>
      <c r="B1804" s="309" t="s">
        <v>411</v>
      </c>
      <c r="C1804" s="309" t="s">
        <v>90</v>
      </c>
      <c r="D1804">
        <v>117</v>
      </c>
    </row>
    <row r="1805" spans="1:4" x14ac:dyDescent="0.25">
      <c r="A1805" s="279">
        <v>39042</v>
      </c>
      <c r="B1805" s="309" t="s">
        <v>411</v>
      </c>
      <c r="C1805" s="309" t="s">
        <v>24</v>
      </c>
      <c r="D1805">
        <v>0</v>
      </c>
    </row>
    <row r="1806" spans="1:4" x14ac:dyDescent="0.25">
      <c r="A1806" s="279">
        <v>39042</v>
      </c>
      <c r="B1806" s="309" t="s">
        <v>411</v>
      </c>
      <c r="C1806" s="309" t="s">
        <v>91</v>
      </c>
      <c r="D1806">
        <v>0</v>
      </c>
    </row>
    <row r="1807" spans="1:4" x14ac:dyDescent="0.25">
      <c r="A1807" s="279">
        <v>39042</v>
      </c>
      <c r="B1807" s="309" t="s">
        <v>411</v>
      </c>
      <c r="C1807" s="309" t="s">
        <v>118</v>
      </c>
      <c r="D1807">
        <v>0</v>
      </c>
    </row>
    <row r="1808" spans="1:4" x14ac:dyDescent="0.25">
      <c r="A1808" s="279">
        <v>39042</v>
      </c>
      <c r="B1808" s="309" t="s">
        <v>411</v>
      </c>
      <c r="C1808" s="309" t="s">
        <v>407</v>
      </c>
      <c r="D1808">
        <v>233418</v>
      </c>
    </row>
    <row r="1809" spans="1:4" x14ac:dyDescent="0.25">
      <c r="A1809" s="279">
        <v>39042</v>
      </c>
      <c r="B1809" s="309" t="s">
        <v>411</v>
      </c>
      <c r="C1809" s="309" t="s">
        <v>412</v>
      </c>
      <c r="D1809">
        <v>1007</v>
      </c>
    </row>
    <row r="1810" spans="1:4" x14ac:dyDescent="0.25">
      <c r="A1810" s="279">
        <v>39042</v>
      </c>
      <c r="B1810" s="309" t="s">
        <v>411</v>
      </c>
      <c r="C1810" s="309" t="s">
        <v>409</v>
      </c>
      <c r="D1810">
        <v>1076</v>
      </c>
    </row>
    <row r="1811" spans="1:4" x14ac:dyDescent="0.25">
      <c r="A1811" s="279">
        <v>39043</v>
      </c>
      <c r="B1811" s="309" t="s">
        <v>405</v>
      </c>
      <c r="C1811" s="309" t="s">
        <v>406</v>
      </c>
      <c r="D1811">
        <v>3653476.1</v>
      </c>
    </row>
    <row r="1812" spans="1:4" x14ac:dyDescent="0.25">
      <c r="A1812" s="279">
        <v>39043</v>
      </c>
      <c r="B1812" s="309" t="s">
        <v>405</v>
      </c>
      <c r="C1812" s="309" t="s">
        <v>89</v>
      </c>
      <c r="D1812">
        <v>12400</v>
      </c>
    </row>
    <row r="1813" spans="1:4" x14ac:dyDescent="0.25">
      <c r="A1813" s="279">
        <v>39043</v>
      </c>
      <c r="B1813" s="309" t="s">
        <v>405</v>
      </c>
      <c r="C1813" s="309" t="s">
        <v>198</v>
      </c>
      <c r="D1813">
        <v>0</v>
      </c>
    </row>
    <row r="1814" spans="1:4" x14ac:dyDescent="0.25">
      <c r="A1814" s="279">
        <v>39043</v>
      </c>
      <c r="B1814" s="309" t="s">
        <v>405</v>
      </c>
      <c r="C1814" s="309" t="s">
        <v>199</v>
      </c>
      <c r="D1814">
        <v>0</v>
      </c>
    </row>
    <row r="1815" spans="1:4" x14ac:dyDescent="0.25">
      <c r="A1815" s="279">
        <v>39043</v>
      </c>
      <c r="B1815" s="309" t="s">
        <v>405</v>
      </c>
      <c r="C1815" s="309" t="s">
        <v>90</v>
      </c>
      <c r="D1815">
        <v>2507</v>
      </c>
    </row>
    <row r="1816" spans="1:4" x14ac:dyDescent="0.25">
      <c r="A1816" s="279">
        <v>39043</v>
      </c>
      <c r="B1816" s="309" t="s">
        <v>405</v>
      </c>
      <c r="C1816" s="309" t="s">
        <v>24</v>
      </c>
      <c r="D1816">
        <v>0</v>
      </c>
    </row>
    <row r="1817" spans="1:4" x14ac:dyDescent="0.25">
      <c r="A1817" s="279">
        <v>39043</v>
      </c>
      <c r="B1817" s="309" t="s">
        <v>405</v>
      </c>
      <c r="C1817" s="309" t="s">
        <v>91</v>
      </c>
      <c r="D1817">
        <v>0</v>
      </c>
    </row>
    <row r="1818" spans="1:4" x14ac:dyDescent="0.25">
      <c r="A1818" s="279">
        <v>39043</v>
      </c>
      <c r="B1818" s="309" t="s">
        <v>405</v>
      </c>
      <c r="C1818" s="309" t="s">
        <v>118</v>
      </c>
      <c r="D1818">
        <v>0</v>
      </c>
    </row>
    <row r="1819" spans="1:4" x14ac:dyDescent="0.25">
      <c r="A1819" s="279">
        <v>39043</v>
      </c>
      <c r="B1819" s="309" t="s">
        <v>405</v>
      </c>
      <c r="C1819" s="309" t="s">
        <v>407</v>
      </c>
      <c r="D1819">
        <v>3663369.1</v>
      </c>
    </row>
    <row r="1820" spans="1:4" x14ac:dyDescent="0.25">
      <c r="A1820" s="279">
        <v>39043</v>
      </c>
      <c r="B1820" s="309" t="s">
        <v>405</v>
      </c>
      <c r="C1820" s="309" t="s">
        <v>408</v>
      </c>
      <c r="D1820">
        <v>1007</v>
      </c>
    </row>
    <row r="1821" spans="1:4" x14ac:dyDescent="0.25">
      <c r="A1821" s="279">
        <v>39043</v>
      </c>
      <c r="B1821" s="309" t="s">
        <v>405</v>
      </c>
      <c r="C1821" s="309" t="s">
        <v>409</v>
      </c>
      <c r="D1821">
        <v>1058</v>
      </c>
    </row>
    <row r="1822" spans="1:4" x14ac:dyDescent="0.25">
      <c r="A1822" s="279">
        <v>39043</v>
      </c>
      <c r="B1822" s="309" t="s">
        <v>405</v>
      </c>
      <c r="C1822" s="309" t="s">
        <v>410</v>
      </c>
      <c r="D1822">
        <v>1032</v>
      </c>
    </row>
    <row r="1823" spans="1:4" x14ac:dyDescent="0.25">
      <c r="A1823" s="279">
        <v>39043</v>
      </c>
      <c r="B1823" s="309" t="s">
        <v>411</v>
      </c>
      <c r="C1823" s="309" t="s">
        <v>406</v>
      </c>
      <c r="D1823">
        <v>233418</v>
      </c>
    </row>
    <row r="1824" spans="1:4" x14ac:dyDescent="0.25">
      <c r="A1824" s="279">
        <v>39043</v>
      </c>
      <c r="B1824" s="309" t="s">
        <v>411</v>
      </c>
      <c r="C1824" s="309" t="s">
        <v>198</v>
      </c>
      <c r="D1824">
        <v>0</v>
      </c>
    </row>
    <row r="1825" spans="1:4" x14ac:dyDescent="0.25">
      <c r="A1825" s="279">
        <v>39043</v>
      </c>
      <c r="B1825" s="309" t="s">
        <v>411</v>
      </c>
      <c r="C1825" s="309" t="s">
        <v>199</v>
      </c>
      <c r="D1825">
        <v>0</v>
      </c>
    </row>
    <row r="1826" spans="1:4" x14ac:dyDescent="0.25">
      <c r="A1826" s="279">
        <v>39043</v>
      </c>
      <c r="B1826" s="309" t="s">
        <v>411</v>
      </c>
      <c r="C1826" s="309" t="s">
        <v>90</v>
      </c>
      <c r="D1826">
        <v>53</v>
      </c>
    </row>
    <row r="1827" spans="1:4" x14ac:dyDescent="0.25">
      <c r="A1827" s="279">
        <v>39043</v>
      </c>
      <c r="B1827" s="309" t="s">
        <v>411</v>
      </c>
      <c r="C1827" s="309" t="s">
        <v>24</v>
      </c>
      <c r="D1827">
        <v>0</v>
      </c>
    </row>
    <row r="1828" spans="1:4" x14ac:dyDescent="0.25">
      <c r="A1828" s="279">
        <v>39043</v>
      </c>
      <c r="B1828" s="309" t="s">
        <v>411</v>
      </c>
      <c r="C1828" s="309" t="s">
        <v>91</v>
      </c>
      <c r="D1828">
        <v>0</v>
      </c>
    </row>
    <row r="1829" spans="1:4" x14ac:dyDescent="0.25">
      <c r="A1829" s="279">
        <v>39043</v>
      </c>
      <c r="B1829" s="309" t="s">
        <v>411</v>
      </c>
      <c r="C1829" s="309" t="s">
        <v>118</v>
      </c>
      <c r="D1829">
        <v>0</v>
      </c>
    </row>
    <row r="1830" spans="1:4" x14ac:dyDescent="0.25">
      <c r="A1830" s="279">
        <v>39043</v>
      </c>
      <c r="B1830" s="309" t="s">
        <v>411</v>
      </c>
      <c r="C1830" s="309" t="s">
        <v>407</v>
      </c>
      <c r="D1830">
        <v>233365</v>
      </c>
    </row>
    <row r="1831" spans="1:4" x14ac:dyDescent="0.25">
      <c r="A1831" s="279">
        <v>39043</v>
      </c>
      <c r="B1831" s="309" t="s">
        <v>411</v>
      </c>
      <c r="C1831" s="309" t="s">
        <v>412</v>
      </c>
      <c r="D1831">
        <v>1007</v>
      </c>
    </row>
    <row r="1832" spans="1:4" x14ac:dyDescent="0.25">
      <c r="A1832" s="279">
        <v>39043</v>
      </c>
      <c r="B1832" s="309" t="s">
        <v>411</v>
      </c>
      <c r="C1832" s="309" t="s">
        <v>409</v>
      </c>
      <c r="D1832">
        <v>1076</v>
      </c>
    </row>
    <row r="1833" spans="1:4" x14ac:dyDescent="0.25">
      <c r="A1833" s="279">
        <v>39044</v>
      </c>
      <c r="B1833" s="309" t="s">
        <v>405</v>
      </c>
      <c r="C1833" s="309" t="s">
        <v>406</v>
      </c>
      <c r="D1833">
        <v>3663369.1</v>
      </c>
    </row>
    <row r="1834" spans="1:4" x14ac:dyDescent="0.25">
      <c r="A1834" s="279">
        <v>39044</v>
      </c>
      <c r="B1834" s="309" t="s">
        <v>405</v>
      </c>
      <c r="C1834" s="309" t="s">
        <v>89</v>
      </c>
      <c r="D1834">
        <v>9870</v>
      </c>
    </row>
    <row r="1835" spans="1:4" x14ac:dyDescent="0.25">
      <c r="A1835" s="279">
        <v>39044</v>
      </c>
      <c r="B1835" s="309" t="s">
        <v>405</v>
      </c>
      <c r="C1835" s="309" t="s">
        <v>198</v>
      </c>
      <c r="D1835">
        <v>0</v>
      </c>
    </row>
    <row r="1836" spans="1:4" x14ac:dyDescent="0.25">
      <c r="A1836" s="279">
        <v>39044</v>
      </c>
      <c r="B1836" s="309" t="s">
        <v>405</v>
      </c>
      <c r="C1836" s="309" t="s">
        <v>199</v>
      </c>
      <c r="D1836">
        <v>0</v>
      </c>
    </row>
    <row r="1837" spans="1:4" x14ac:dyDescent="0.25">
      <c r="A1837" s="279">
        <v>39044</v>
      </c>
      <c r="B1837" s="309" t="s">
        <v>405</v>
      </c>
      <c r="C1837" s="309" t="s">
        <v>90</v>
      </c>
      <c r="D1837">
        <v>2384</v>
      </c>
    </row>
    <row r="1838" spans="1:4" x14ac:dyDescent="0.25">
      <c r="A1838" s="279">
        <v>39044</v>
      </c>
      <c r="B1838" s="309" t="s">
        <v>405</v>
      </c>
      <c r="C1838" s="309" t="s">
        <v>24</v>
      </c>
      <c r="D1838">
        <v>0</v>
      </c>
    </row>
    <row r="1839" spans="1:4" x14ac:dyDescent="0.25">
      <c r="A1839" s="279">
        <v>39044</v>
      </c>
      <c r="B1839" s="309" t="s">
        <v>405</v>
      </c>
      <c r="C1839" s="309" t="s">
        <v>91</v>
      </c>
      <c r="D1839">
        <v>0</v>
      </c>
    </row>
    <row r="1840" spans="1:4" x14ac:dyDescent="0.25">
      <c r="A1840" s="279">
        <v>39044</v>
      </c>
      <c r="B1840" s="309" t="s">
        <v>405</v>
      </c>
      <c r="C1840" s="309" t="s">
        <v>118</v>
      </c>
      <c r="D1840">
        <v>0</v>
      </c>
    </row>
    <row r="1841" spans="1:4" x14ac:dyDescent="0.25">
      <c r="A1841" s="279">
        <v>39044</v>
      </c>
      <c r="B1841" s="309" t="s">
        <v>405</v>
      </c>
      <c r="C1841" s="309" t="s">
        <v>407</v>
      </c>
      <c r="D1841">
        <v>3670855.1</v>
      </c>
    </row>
    <row r="1842" spans="1:4" x14ac:dyDescent="0.25">
      <c r="A1842" s="279">
        <v>39044</v>
      </c>
      <c r="B1842" s="309" t="s">
        <v>405</v>
      </c>
      <c r="C1842" s="309" t="s">
        <v>408</v>
      </c>
      <c r="D1842">
        <v>1007</v>
      </c>
    </row>
    <row r="1843" spans="1:4" x14ac:dyDescent="0.25">
      <c r="A1843" s="279">
        <v>39044</v>
      </c>
      <c r="B1843" s="309" t="s">
        <v>405</v>
      </c>
      <c r="C1843" s="309" t="s">
        <v>409</v>
      </c>
      <c r="D1843">
        <v>1058</v>
      </c>
    </row>
    <row r="1844" spans="1:4" x14ac:dyDescent="0.25">
      <c r="A1844" s="279">
        <v>39044</v>
      </c>
      <c r="B1844" s="309" t="s">
        <v>405</v>
      </c>
      <c r="C1844" s="309" t="s">
        <v>410</v>
      </c>
      <c r="D1844">
        <v>1032</v>
      </c>
    </row>
    <row r="1845" spans="1:4" x14ac:dyDescent="0.25">
      <c r="A1845" s="279">
        <v>39044</v>
      </c>
      <c r="B1845" s="309" t="s">
        <v>411</v>
      </c>
      <c r="C1845" s="309" t="s">
        <v>406</v>
      </c>
      <c r="D1845">
        <v>233365</v>
      </c>
    </row>
    <row r="1846" spans="1:4" x14ac:dyDescent="0.25">
      <c r="A1846" s="279">
        <v>39044</v>
      </c>
      <c r="B1846" s="309" t="s">
        <v>411</v>
      </c>
      <c r="C1846" s="309" t="s">
        <v>198</v>
      </c>
      <c r="D1846">
        <v>0</v>
      </c>
    </row>
    <row r="1847" spans="1:4" x14ac:dyDescent="0.25">
      <c r="A1847" s="279">
        <v>39044</v>
      </c>
      <c r="B1847" s="309" t="s">
        <v>411</v>
      </c>
      <c r="C1847" s="309" t="s">
        <v>199</v>
      </c>
      <c r="D1847">
        <v>0</v>
      </c>
    </row>
    <row r="1848" spans="1:4" x14ac:dyDescent="0.25">
      <c r="A1848" s="279">
        <v>39044</v>
      </c>
      <c r="B1848" s="309" t="s">
        <v>411</v>
      </c>
      <c r="C1848" s="309" t="s">
        <v>90</v>
      </c>
      <c r="D1848">
        <v>56</v>
      </c>
    </row>
    <row r="1849" spans="1:4" x14ac:dyDescent="0.25">
      <c r="A1849" s="279">
        <v>39044</v>
      </c>
      <c r="B1849" s="309" t="s">
        <v>411</v>
      </c>
      <c r="C1849" s="309" t="s">
        <v>24</v>
      </c>
      <c r="D1849">
        <v>0</v>
      </c>
    </row>
    <row r="1850" spans="1:4" x14ac:dyDescent="0.25">
      <c r="A1850" s="279">
        <v>39044</v>
      </c>
      <c r="B1850" s="309" t="s">
        <v>411</v>
      </c>
      <c r="C1850" s="309" t="s">
        <v>91</v>
      </c>
      <c r="D1850">
        <v>0</v>
      </c>
    </row>
    <row r="1851" spans="1:4" x14ac:dyDescent="0.25">
      <c r="A1851" s="279">
        <v>39044</v>
      </c>
      <c r="B1851" s="309" t="s">
        <v>411</v>
      </c>
      <c r="C1851" s="309" t="s">
        <v>118</v>
      </c>
      <c r="D1851">
        <v>0</v>
      </c>
    </row>
    <row r="1852" spans="1:4" x14ac:dyDescent="0.25">
      <c r="A1852" s="279">
        <v>39044</v>
      </c>
      <c r="B1852" s="309" t="s">
        <v>411</v>
      </c>
      <c r="C1852" s="309" t="s">
        <v>407</v>
      </c>
      <c r="D1852">
        <v>233309</v>
      </c>
    </row>
    <row r="1853" spans="1:4" x14ac:dyDescent="0.25">
      <c r="A1853" s="279">
        <v>39044</v>
      </c>
      <c r="B1853" s="309" t="s">
        <v>411</v>
      </c>
      <c r="C1853" s="309" t="s">
        <v>412</v>
      </c>
      <c r="D1853">
        <v>1007</v>
      </c>
    </row>
    <row r="1854" spans="1:4" x14ac:dyDescent="0.25">
      <c r="A1854" s="279">
        <v>39044</v>
      </c>
      <c r="B1854" s="309" t="s">
        <v>411</v>
      </c>
      <c r="C1854" s="309" t="s">
        <v>409</v>
      </c>
      <c r="D1854">
        <v>1076</v>
      </c>
    </row>
    <row r="1855" spans="1:4" x14ac:dyDescent="0.25">
      <c r="A1855" s="279">
        <v>39045</v>
      </c>
      <c r="B1855" s="309" t="s">
        <v>405</v>
      </c>
      <c r="C1855" s="309" t="s">
        <v>406</v>
      </c>
      <c r="D1855">
        <v>3670855.1</v>
      </c>
    </row>
    <row r="1856" spans="1:4" x14ac:dyDescent="0.25">
      <c r="A1856" s="279">
        <v>39045</v>
      </c>
      <c r="B1856" s="309" t="s">
        <v>405</v>
      </c>
      <c r="C1856" s="309" t="s">
        <v>89</v>
      </c>
      <c r="D1856">
        <v>12968</v>
      </c>
    </row>
    <row r="1857" spans="1:4" x14ac:dyDescent="0.25">
      <c r="A1857" s="279">
        <v>39045</v>
      </c>
      <c r="B1857" s="309" t="s">
        <v>405</v>
      </c>
      <c r="C1857" s="309" t="s">
        <v>198</v>
      </c>
      <c r="D1857">
        <v>0</v>
      </c>
    </row>
    <row r="1858" spans="1:4" x14ac:dyDescent="0.25">
      <c r="A1858" s="279">
        <v>39045</v>
      </c>
      <c r="B1858" s="309" t="s">
        <v>405</v>
      </c>
      <c r="C1858" s="309" t="s">
        <v>199</v>
      </c>
      <c r="D1858">
        <v>0</v>
      </c>
    </row>
    <row r="1859" spans="1:4" x14ac:dyDescent="0.25">
      <c r="A1859" s="279">
        <v>39045</v>
      </c>
      <c r="B1859" s="309" t="s">
        <v>405</v>
      </c>
      <c r="C1859" s="309" t="s">
        <v>90</v>
      </c>
      <c r="D1859">
        <v>2543</v>
      </c>
    </row>
    <row r="1860" spans="1:4" x14ac:dyDescent="0.25">
      <c r="A1860" s="279">
        <v>39045</v>
      </c>
      <c r="B1860" s="309" t="s">
        <v>405</v>
      </c>
      <c r="C1860" s="309" t="s">
        <v>24</v>
      </c>
      <c r="D1860">
        <v>0</v>
      </c>
    </row>
    <row r="1861" spans="1:4" x14ac:dyDescent="0.25">
      <c r="A1861" s="279">
        <v>39045</v>
      </c>
      <c r="B1861" s="309" t="s">
        <v>405</v>
      </c>
      <c r="C1861" s="309" t="s">
        <v>91</v>
      </c>
      <c r="D1861">
        <v>0</v>
      </c>
    </row>
    <row r="1862" spans="1:4" x14ac:dyDescent="0.25">
      <c r="A1862" s="279">
        <v>39045</v>
      </c>
      <c r="B1862" s="309" t="s">
        <v>405</v>
      </c>
      <c r="C1862" s="309" t="s">
        <v>118</v>
      </c>
      <c r="D1862">
        <v>0</v>
      </c>
    </row>
    <row r="1863" spans="1:4" x14ac:dyDescent="0.25">
      <c r="A1863" s="279">
        <v>39045</v>
      </c>
      <c r="B1863" s="309" t="s">
        <v>405</v>
      </c>
      <c r="C1863" s="309" t="s">
        <v>407</v>
      </c>
      <c r="D1863">
        <v>3681280.1</v>
      </c>
    </row>
    <row r="1864" spans="1:4" x14ac:dyDescent="0.25">
      <c r="A1864" s="279">
        <v>39045</v>
      </c>
      <c r="B1864" s="309" t="s">
        <v>405</v>
      </c>
      <c r="C1864" s="309" t="s">
        <v>408</v>
      </c>
      <c r="D1864">
        <v>1007</v>
      </c>
    </row>
    <row r="1865" spans="1:4" x14ac:dyDescent="0.25">
      <c r="A1865" s="279">
        <v>39045</v>
      </c>
      <c r="B1865" s="309" t="s">
        <v>405</v>
      </c>
      <c r="C1865" s="309" t="s">
        <v>409</v>
      </c>
      <c r="D1865">
        <v>1058</v>
      </c>
    </row>
    <row r="1866" spans="1:4" x14ac:dyDescent="0.25">
      <c r="A1866" s="279">
        <v>39045</v>
      </c>
      <c r="B1866" s="309" t="s">
        <v>405</v>
      </c>
      <c r="C1866" s="309" t="s">
        <v>410</v>
      </c>
      <c r="D1866">
        <v>1032</v>
      </c>
    </row>
    <row r="1867" spans="1:4" x14ac:dyDescent="0.25">
      <c r="A1867" s="279">
        <v>39045</v>
      </c>
      <c r="B1867" s="309" t="s">
        <v>411</v>
      </c>
      <c r="C1867" s="309" t="s">
        <v>406</v>
      </c>
      <c r="D1867">
        <v>233309</v>
      </c>
    </row>
    <row r="1868" spans="1:4" x14ac:dyDescent="0.25">
      <c r="A1868" s="279">
        <v>39045</v>
      </c>
      <c r="B1868" s="309" t="s">
        <v>411</v>
      </c>
      <c r="C1868" s="309" t="s">
        <v>198</v>
      </c>
      <c r="D1868">
        <v>0</v>
      </c>
    </row>
    <row r="1869" spans="1:4" x14ac:dyDescent="0.25">
      <c r="A1869" s="279">
        <v>39045</v>
      </c>
      <c r="B1869" s="309" t="s">
        <v>411</v>
      </c>
      <c r="C1869" s="309" t="s">
        <v>199</v>
      </c>
      <c r="D1869">
        <v>0</v>
      </c>
    </row>
    <row r="1870" spans="1:4" x14ac:dyDescent="0.25">
      <c r="A1870" s="279">
        <v>39045</v>
      </c>
      <c r="B1870" s="309" t="s">
        <v>411</v>
      </c>
      <c r="C1870" s="309" t="s">
        <v>90</v>
      </c>
      <c r="D1870">
        <v>58</v>
      </c>
    </row>
    <row r="1871" spans="1:4" x14ac:dyDescent="0.25">
      <c r="A1871" s="279">
        <v>39045</v>
      </c>
      <c r="B1871" s="309" t="s">
        <v>411</v>
      </c>
      <c r="C1871" s="309" t="s">
        <v>24</v>
      </c>
      <c r="D1871">
        <v>0</v>
      </c>
    </row>
    <row r="1872" spans="1:4" x14ac:dyDescent="0.25">
      <c r="A1872" s="279">
        <v>39045</v>
      </c>
      <c r="B1872" s="309" t="s">
        <v>411</v>
      </c>
      <c r="C1872" s="309" t="s">
        <v>91</v>
      </c>
      <c r="D1872">
        <v>0</v>
      </c>
    </row>
    <row r="1873" spans="1:4" x14ac:dyDescent="0.25">
      <c r="A1873" s="279">
        <v>39045</v>
      </c>
      <c r="B1873" s="309" t="s">
        <v>411</v>
      </c>
      <c r="C1873" s="309" t="s">
        <v>118</v>
      </c>
      <c r="D1873">
        <v>0</v>
      </c>
    </row>
    <row r="1874" spans="1:4" x14ac:dyDescent="0.25">
      <c r="A1874" s="279">
        <v>39045</v>
      </c>
      <c r="B1874" s="309" t="s">
        <v>411</v>
      </c>
      <c r="C1874" s="309" t="s">
        <v>407</v>
      </c>
      <c r="D1874">
        <v>233251</v>
      </c>
    </row>
    <row r="1875" spans="1:4" x14ac:dyDescent="0.25">
      <c r="A1875" s="279">
        <v>39045</v>
      </c>
      <c r="B1875" s="309" t="s">
        <v>411</v>
      </c>
      <c r="C1875" s="309" t="s">
        <v>412</v>
      </c>
      <c r="D1875">
        <v>1007</v>
      </c>
    </row>
    <row r="1876" spans="1:4" x14ac:dyDescent="0.25">
      <c r="A1876" s="279">
        <v>39045</v>
      </c>
      <c r="B1876" s="309" t="s">
        <v>411</v>
      </c>
      <c r="C1876" s="309" t="s">
        <v>409</v>
      </c>
      <c r="D1876">
        <v>1076</v>
      </c>
    </row>
    <row r="1877" spans="1:4" x14ac:dyDescent="0.25">
      <c r="A1877" s="279">
        <v>39046</v>
      </c>
      <c r="B1877" s="309" t="s">
        <v>405</v>
      </c>
      <c r="C1877" s="309" t="s">
        <v>406</v>
      </c>
      <c r="D1877">
        <v>3681280.1</v>
      </c>
    </row>
    <row r="1878" spans="1:4" x14ac:dyDescent="0.25">
      <c r="A1878" s="279">
        <v>39046</v>
      </c>
      <c r="B1878" s="309" t="s">
        <v>405</v>
      </c>
      <c r="C1878" s="309" t="s">
        <v>89</v>
      </c>
      <c r="D1878">
        <v>12972</v>
      </c>
    </row>
    <row r="1879" spans="1:4" x14ac:dyDescent="0.25">
      <c r="A1879" s="279">
        <v>39046</v>
      </c>
      <c r="B1879" s="309" t="s">
        <v>405</v>
      </c>
      <c r="C1879" s="309" t="s">
        <v>198</v>
      </c>
      <c r="D1879">
        <v>0</v>
      </c>
    </row>
    <row r="1880" spans="1:4" x14ac:dyDescent="0.25">
      <c r="A1880" s="279">
        <v>39046</v>
      </c>
      <c r="B1880" s="309" t="s">
        <v>405</v>
      </c>
      <c r="C1880" s="309" t="s">
        <v>199</v>
      </c>
      <c r="D1880">
        <v>0</v>
      </c>
    </row>
    <row r="1881" spans="1:4" x14ac:dyDescent="0.25">
      <c r="A1881" s="279">
        <v>39046</v>
      </c>
      <c r="B1881" s="309" t="s">
        <v>405</v>
      </c>
      <c r="C1881" s="309" t="s">
        <v>90</v>
      </c>
      <c r="D1881">
        <v>2545</v>
      </c>
    </row>
    <row r="1882" spans="1:4" x14ac:dyDescent="0.25">
      <c r="A1882" s="279">
        <v>39046</v>
      </c>
      <c r="B1882" s="309" t="s">
        <v>405</v>
      </c>
      <c r="C1882" s="309" t="s">
        <v>24</v>
      </c>
      <c r="D1882">
        <v>0</v>
      </c>
    </row>
    <row r="1883" spans="1:4" x14ac:dyDescent="0.25">
      <c r="A1883" s="279">
        <v>39046</v>
      </c>
      <c r="B1883" s="309" t="s">
        <v>405</v>
      </c>
      <c r="C1883" s="309" t="s">
        <v>91</v>
      </c>
      <c r="D1883">
        <v>0</v>
      </c>
    </row>
    <row r="1884" spans="1:4" x14ac:dyDescent="0.25">
      <c r="A1884" s="279">
        <v>39046</v>
      </c>
      <c r="B1884" s="309" t="s">
        <v>405</v>
      </c>
      <c r="C1884" s="309" t="s">
        <v>118</v>
      </c>
      <c r="D1884">
        <v>0</v>
      </c>
    </row>
    <row r="1885" spans="1:4" x14ac:dyDescent="0.25">
      <c r="A1885" s="279">
        <v>39046</v>
      </c>
      <c r="B1885" s="309" t="s">
        <v>405</v>
      </c>
      <c r="C1885" s="309" t="s">
        <v>407</v>
      </c>
      <c r="D1885">
        <v>3691707.1</v>
      </c>
    </row>
    <row r="1886" spans="1:4" x14ac:dyDescent="0.25">
      <c r="A1886" s="279">
        <v>39046</v>
      </c>
      <c r="B1886" s="309" t="s">
        <v>405</v>
      </c>
      <c r="C1886" s="309" t="s">
        <v>408</v>
      </c>
      <c r="D1886">
        <v>1007</v>
      </c>
    </row>
    <row r="1887" spans="1:4" x14ac:dyDescent="0.25">
      <c r="A1887" s="279">
        <v>39046</v>
      </c>
      <c r="B1887" s="309" t="s">
        <v>405</v>
      </c>
      <c r="C1887" s="309" t="s">
        <v>409</v>
      </c>
      <c r="D1887">
        <v>1058</v>
      </c>
    </row>
    <row r="1888" spans="1:4" x14ac:dyDescent="0.25">
      <c r="A1888" s="279">
        <v>39046</v>
      </c>
      <c r="B1888" s="309" t="s">
        <v>405</v>
      </c>
      <c r="C1888" s="309" t="s">
        <v>410</v>
      </c>
      <c r="D1888">
        <v>1032</v>
      </c>
    </row>
    <row r="1889" spans="1:4" x14ac:dyDescent="0.25">
      <c r="A1889" s="279">
        <v>39046</v>
      </c>
      <c r="B1889" s="309" t="s">
        <v>411</v>
      </c>
      <c r="C1889" s="309" t="s">
        <v>406</v>
      </c>
      <c r="D1889">
        <v>233251</v>
      </c>
    </row>
    <row r="1890" spans="1:4" x14ac:dyDescent="0.25">
      <c r="A1890" s="279">
        <v>39046</v>
      </c>
      <c r="B1890" s="309" t="s">
        <v>411</v>
      </c>
      <c r="C1890" s="309" t="s">
        <v>198</v>
      </c>
      <c r="D1890">
        <v>0</v>
      </c>
    </row>
    <row r="1891" spans="1:4" x14ac:dyDescent="0.25">
      <c r="A1891" s="279">
        <v>39046</v>
      </c>
      <c r="B1891" s="309" t="s">
        <v>411</v>
      </c>
      <c r="C1891" s="309" t="s">
        <v>199</v>
      </c>
      <c r="D1891">
        <v>0</v>
      </c>
    </row>
    <row r="1892" spans="1:4" x14ac:dyDescent="0.25">
      <c r="A1892" s="279">
        <v>39046</v>
      </c>
      <c r="B1892" s="309" t="s">
        <v>411</v>
      </c>
      <c r="C1892" s="309" t="s">
        <v>90</v>
      </c>
      <c r="D1892">
        <v>111</v>
      </c>
    </row>
    <row r="1893" spans="1:4" x14ac:dyDescent="0.25">
      <c r="A1893" s="279">
        <v>39046</v>
      </c>
      <c r="B1893" s="309" t="s">
        <v>411</v>
      </c>
      <c r="C1893" s="309" t="s">
        <v>24</v>
      </c>
      <c r="D1893">
        <v>0</v>
      </c>
    </row>
    <row r="1894" spans="1:4" x14ac:dyDescent="0.25">
      <c r="A1894" s="279">
        <v>39046</v>
      </c>
      <c r="B1894" s="309" t="s">
        <v>411</v>
      </c>
      <c r="C1894" s="309" t="s">
        <v>91</v>
      </c>
      <c r="D1894">
        <v>0</v>
      </c>
    </row>
    <row r="1895" spans="1:4" x14ac:dyDescent="0.25">
      <c r="A1895" s="279">
        <v>39046</v>
      </c>
      <c r="B1895" s="309" t="s">
        <v>411</v>
      </c>
      <c r="C1895" s="309" t="s">
        <v>118</v>
      </c>
      <c r="D1895">
        <v>0</v>
      </c>
    </row>
    <row r="1896" spans="1:4" x14ac:dyDescent="0.25">
      <c r="A1896" s="279">
        <v>39046</v>
      </c>
      <c r="B1896" s="309" t="s">
        <v>411</v>
      </c>
      <c r="C1896" s="309" t="s">
        <v>407</v>
      </c>
      <c r="D1896">
        <v>233140</v>
      </c>
    </row>
    <row r="1897" spans="1:4" x14ac:dyDescent="0.25">
      <c r="A1897" s="279">
        <v>39046</v>
      </c>
      <c r="B1897" s="309" t="s">
        <v>411</v>
      </c>
      <c r="C1897" s="309" t="s">
        <v>412</v>
      </c>
      <c r="D1897">
        <v>1007</v>
      </c>
    </row>
    <row r="1898" spans="1:4" x14ac:dyDescent="0.25">
      <c r="A1898" s="279">
        <v>39046</v>
      </c>
      <c r="B1898" s="309" t="s">
        <v>411</v>
      </c>
      <c r="C1898" s="309" t="s">
        <v>409</v>
      </c>
      <c r="D1898">
        <v>1076</v>
      </c>
    </row>
    <row r="1899" spans="1:4" x14ac:dyDescent="0.25">
      <c r="A1899" s="279">
        <v>39047</v>
      </c>
      <c r="B1899" s="309" t="s">
        <v>405</v>
      </c>
      <c r="C1899" s="309" t="s">
        <v>406</v>
      </c>
      <c r="D1899">
        <v>3691707.1</v>
      </c>
    </row>
    <row r="1900" spans="1:4" x14ac:dyDescent="0.25">
      <c r="A1900" s="279">
        <v>39047</v>
      </c>
      <c r="B1900" s="309" t="s">
        <v>405</v>
      </c>
      <c r="C1900" s="309" t="s">
        <v>89</v>
      </c>
      <c r="D1900">
        <v>12976</v>
      </c>
    </row>
    <row r="1901" spans="1:4" x14ac:dyDescent="0.25">
      <c r="A1901" s="279">
        <v>39047</v>
      </c>
      <c r="B1901" s="309" t="s">
        <v>405</v>
      </c>
      <c r="C1901" s="309" t="s">
        <v>198</v>
      </c>
      <c r="D1901">
        <v>0</v>
      </c>
    </row>
    <row r="1902" spans="1:4" x14ac:dyDescent="0.25">
      <c r="A1902" s="279">
        <v>39047</v>
      </c>
      <c r="B1902" s="309" t="s">
        <v>405</v>
      </c>
      <c r="C1902" s="309" t="s">
        <v>199</v>
      </c>
      <c r="D1902">
        <v>0</v>
      </c>
    </row>
    <row r="1903" spans="1:4" x14ac:dyDescent="0.25">
      <c r="A1903" s="279">
        <v>39047</v>
      </c>
      <c r="B1903" s="309" t="s">
        <v>405</v>
      </c>
      <c r="C1903" s="309" t="s">
        <v>90</v>
      </c>
      <c r="D1903">
        <v>2549</v>
      </c>
    </row>
    <row r="1904" spans="1:4" x14ac:dyDescent="0.25">
      <c r="A1904" s="279">
        <v>39047</v>
      </c>
      <c r="B1904" s="309" t="s">
        <v>405</v>
      </c>
      <c r="C1904" s="309" t="s">
        <v>24</v>
      </c>
      <c r="D1904">
        <v>0</v>
      </c>
    </row>
    <row r="1905" spans="1:4" x14ac:dyDescent="0.25">
      <c r="A1905" s="279">
        <v>39047</v>
      </c>
      <c r="B1905" s="309" t="s">
        <v>405</v>
      </c>
      <c r="C1905" s="309" t="s">
        <v>91</v>
      </c>
      <c r="D1905">
        <v>0</v>
      </c>
    </row>
    <row r="1906" spans="1:4" x14ac:dyDescent="0.25">
      <c r="A1906" s="279">
        <v>39047</v>
      </c>
      <c r="B1906" s="309" t="s">
        <v>405</v>
      </c>
      <c r="C1906" s="309" t="s">
        <v>118</v>
      </c>
      <c r="D1906">
        <v>0</v>
      </c>
    </row>
    <row r="1907" spans="1:4" x14ac:dyDescent="0.25">
      <c r="A1907" s="279">
        <v>39047</v>
      </c>
      <c r="B1907" s="309" t="s">
        <v>405</v>
      </c>
      <c r="C1907" s="309" t="s">
        <v>407</v>
      </c>
      <c r="D1907">
        <v>3702134.1</v>
      </c>
    </row>
    <row r="1908" spans="1:4" x14ac:dyDescent="0.25">
      <c r="A1908" s="279">
        <v>39047</v>
      </c>
      <c r="B1908" s="309" t="s">
        <v>405</v>
      </c>
      <c r="C1908" s="309" t="s">
        <v>408</v>
      </c>
      <c r="D1908">
        <v>1007</v>
      </c>
    </row>
    <row r="1909" spans="1:4" x14ac:dyDescent="0.25">
      <c r="A1909" s="279">
        <v>39047</v>
      </c>
      <c r="B1909" s="309" t="s">
        <v>405</v>
      </c>
      <c r="C1909" s="309" t="s">
        <v>409</v>
      </c>
      <c r="D1909">
        <v>1058</v>
      </c>
    </row>
    <row r="1910" spans="1:4" x14ac:dyDescent="0.25">
      <c r="A1910" s="279">
        <v>39047</v>
      </c>
      <c r="B1910" s="309" t="s">
        <v>405</v>
      </c>
      <c r="C1910" s="309" t="s">
        <v>410</v>
      </c>
      <c r="D1910">
        <v>1031</v>
      </c>
    </row>
    <row r="1911" spans="1:4" x14ac:dyDescent="0.25">
      <c r="A1911" s="279">
        <v>39047</v>
      </c>
      <c r="B1911" s="309" t="s">
        <v>411</v>
      </c>
      <c r="C1911" s="309" t="s">
        <v>406</v>
      </c>
      <c r="D1911">
        <v>233140</v>
      </c>
    </row>
    <row r="1912" spans="1:4" x14ac:dyDescent="0.25">
      <c r="A1912" s="279">
        <v>39047</v>
      </c>
      <c r="B1912" s="309" t="s">
        <v>411</v>
      </c>
      <c r="C1912" s="309" t="s">
        <v>198</v>
      </c>
      <c r="D1912">
        <v>0</v>
      </c>
    </row>
    <row r="1913" spans="1:4" x14ac:dyDescent="0.25">
      <c r="A1913" s="279">
        <v>39047</v>
      </c>
      <c r="B1913" s="309" t="s">
        <v>411</v>
      </c>
      <c r="C1913" s="309" t="s">
        <v>199</v>
      </c>
      <c r="D1913">
        <v>0</v>
      </c>
    </row>
    <row r="1914" spans="1:4" x14ac:dyDescent="0.25">
      <c r="A1914" s="279">
        <v>39047</v>
      </c>
      <c r="B1914" s="309" t="s">
        <v>411</v>
      </c>
      <c r="C1914" s="309" t="s">
        <v>90</v>
      </c>
      <c r="D1914">
        <v>56</v>
      </c>
    </row>
    <row r="1915" spans="1:4" x14ac:dyDescent="0.25">
      <c r="A1915" s="279">
        <v>39047</v>
      </c>
      <c r="B1915" s="309" t="s">
        <v>411</v>
      </c>
      <c r="C1915" s="309" t="s">
        <v>24</v>
      </c>
      <c r="D1915">
        <v>0</v>
      </c>
    </row>
    <row r="1916" spans="1:4" x14ac:dyDescent="0.25">
      <c r="A1916" s="279">
        <v>39047</v>
      </c>
      <c r="B1916" s="309" t="s">
        <v>411</v>
      </c>
      <c r="C1916" s="309" t="s">
        <v>91</v>
      </c>
      <c r="D1916">
        <v>0</v>
      </c>
    </row>
    <row r="1917" spans="1:4" x14ac:dyDescent="0.25">
      <c r="A1917" s="279">
        <v>39047</v>
      </c>
      <c r="B1917" s="309" t="s">
        <v>411</v>
      </c>
      <c r="C1917" s="309" t="s">
        <v>118</v>
      </c>
      <c r="D1917">
        <v>0</v>
      </c>
    </row>
    <row r="1918" spans="1:4" x14ac:dyDescent="0.25">
      <c r="A1918" s="279">
        <v>39047</v>
      </c>
      <c r="B1918" s="309" t="s">
        <v>411</v>
      </c>
      <c r="C1918" s="309" t="s">
        <v>407</v>
      </c>
      <c r="D1918">
        <v>233084</v>
      </c>
    </row>
    <row r="1919" spans="1:4" x14ac:dyDescent="0.25">
      <c r="A1919" s="279">
        <v>39047</v>
      </c>
      <c r="B1919" s="309" t="s">
        <v>411</v>
      </c>
      <c r="C1919" s="309" t="s">
        <v>412</v>
      </c>
      <c r="D1919">
        <v>1007</v>
      </c>
    </row>
    <row r="1920" spans="1:4" x14ac:dyDescent="0.25">
      <c r="A1920" s="279">
        <v>39047</v>
      </c>
      <c r="B1920" s="309" t="s">
        <v>411</v>
      </c>
      <c r="C1920" s="309" t="s">
        <v>409</v>
      </c>
      <c r="D1920">
        <v>1076</v>
      </c>
    </row>
    <row r="1921" spans="1:4" x14ac:dyDescent="0.25">
      <c r="A1921" s="279">
        <v>39048</v>
      </c>
      <c r="B1921" s="309" t="s">
        <v>405</v>
      </c>
      <c r="C1921" s="309" t="s">
        <v>406</v>
      </c>
      <c r="D1921">
        <v>3702134.1</v>
      </c>
    </row>
    <row r="1922" spans="1:4" x14ac:dyDescent="0.25">
      <c r="A1922" s="279">
        <v>39048</v>
      </c>
      <c r="B1922" s="309" t="s">
        <v>405</v>
      </c>
      <c r="C1922" s="309" t="s">
        <v>89</v>
      </c>
      <c r="D1922">
        <v>12134</v>
      </c>
    </row>
    <row r="1923" spans="1:4" x14ac:dyDescent="0.25">
      <c r="A1923" s="279">
        <v>39048</v>
      </c>
      <c r="B1923" s="309" t="s">
        <v>405</v>
      </c>
      <c r="C1923" s="309" t="s">
        <v>198</v>
      </c>
      <c r="D1923">
        <v>0</v>
      </c>
    </row>
    <row r="1924" spans="1:4" x14ac:dyDescent="0.25">
      <c r="A1924" s="279">
        <v>39048</v>
      </c>
      <c r="B1924" s="309" t="s">
        <v>405</v>
      </c>
      <c r="C1924" s="309" t="s">
        <v>199</v>
      </c>
      <c r="D1924">
        <v>0</v>
      </c>
    </row>
    <row r="1925" spans="1:4" x14ac:dyDescent="0.25">
      <c r="A1925" s="279">
        <v>39048</v>
      </c>
      <c r="B1925" s="309" t="s">
        <v>405</v>
      </c>
      <c r="C1925" s="309" t="s">
        <v>90</v>
      </c>
      <c r="D1925">
        <v>2509</v>
      </c>
    </row>
    <row r="1926" spans="1:4" x14ac:dyDescent="0.25">
      <c r="A1926" s="279">
        <v>39048</v>
      </c>
      <c r="B1926" s="309" t="s">
        <v>405</v>
      </c>
      <c r="C1926" s="309" t="s">
        <v>24</v>
      </c>
      <c r="D1926">
        <v>0</v>
      </c>
    </row>
    <row r="1927" spans="1:4" x14ac:dyDescent="0.25">
      <c r="A1927" s="279">
        <v>39048</v>
      </c>
      <c r="B1927" s="309" t="s">
        <v>405</v>
      </c>
      <c r="C1927" s="309" t="s">
        <v>91</v>
      </c>
      <c r="D1927">
        <v>0</v>
      </c>
    </row>
    <row r="1928" spans="1:4" x14ac:dyDescent="0.25">
      <c r="A1928" s="279">
        <v>39048</v>
      </c>
      <c r="B1928" s="309" t="s">
        <v>405</v>
      </c>
      <c r="C1928" s="309" t="s">
        <v>118</v>
      </c>
      <c r="D1928">
        <v>0</v>
      </c>
    </row>
    <row r="1929" spans="1:4" x14ac:dyDescent="0.25">
      <c r="A1929" s="279">
        <v>39048</v>
      </c>
      <c r="B1929" s="309" t="s">
        <v>405</v>
      </c>
      <c r="C1929" s="309" t="s">
        <v>407</v>
      </c>
      <c r="D1929">
        <v>3711759.1</v>
      </c>
    </row>
    <row r="1930" spans="1:4" x14ac:dyDescent="0.25">
      <c r="A1930" s="279">
        <v>39048</v>
      </c>
      <c r="B1930" s="309" t="s">
        <v>405</v>
      </c>
      <c r="C1930" s="309" t="s">
        <v>408</v>
      </c>
      <c r="D1930">
        <v>1007</v>
      </c>
    </row>
    <row r="1931" spans="1:4" x14ac:dyDescent="0.25">
      <c r="A1931" s="279">
        <v>39048</v>
      </c>
      <c r="B1931" s="309" t="s">
        <v>405</v>
      </c>
      <c r="C1931" s="309" t="s">
        <v>409</v>
      </c>
      <c r="D1931">
        <v>1058</v>
      </c>
    </row>
    <row r="1932" spans="1:4" x14ac:dyDescent="0.25">
      <c r="A1932" s="279">
        <v>39048</v>
      </c>
      <c r="B1932" s="309" t="s">
        <v>405</v>
      </c>
      <c r="C1932" s="309" t="s">
        <v>410</v>
      </c>
      <c r="D1932">
        <v>1029</v>
      </c>
    </row>
    <row r="1933" spans="1:4" x14ac:dyDescent="0.25">
      <c r="A1933" s="279">
        <v>39048</v>
      </c>
      <c r="B1933" s="309" t="s">
        <v>411</v>
      </c>
      <c r="C1933" s="309" t="s">
        <v>406</v>
      </c>
      <c r="D1933">
        <v>233084</v>
      </c>
    </row>
    <row r="1934" spans="1:4" x14ac:dyDescent="0.25">
      <c r="A1934" s="279">
        <v>39048</v>
      </c>
      <c r="B1934" s="309" t="s">
        <v>411</v>
      </c>
      <c r="C1934" s="309" t="s">
        <v>198</v>
      </c>
      <c r="D1934">
        <v>0</v>
      </c>
    </row>
    <row r="1935" spans="1:4" x14ac:dyDescent="0.25">
      <c r="A1935" s="279">
        <v>39048</v>
      </c>
      <c r="B1935" s="309" t="s">
        <v>411</v>
      </c>
      <c r="C1935" s="309" t="s">
        <v>199</v>
      </c>
      <c r="D1935">
        <v>0</v>
      </c>
    </row>
    <row r="1936" spans="1:4" x14ac:dyDescent="0.25">
      <c r="A1936" s="279">
        <v>39048</v>
      </c>
      <c r="B1936" s="309" t="s">
        <v>411</v>
      </c>
      <c r="C1936" s="309" t="s">
        <v>90</v>
      </c>
      <c r="D1936">
        <v>57</v>
      </c>
    </row>
    <row r="1937" spans="1:4" x14ac:dyDescent="0.25">
      <c r="A1937" s="279">
        <v>39048</v>
      </c>
      <c r="B1937" s="309" t="s">
        <v>411</v>
      </c>
      <c r="C1937" s="309" t="s">
        <v>24</v>
      </c>
      <c r="D1937">
        <v>0</v>
      </c>
    </row>
    <row r="1938" spans="1:4" x14ac:dyDescent="0.25">
      <c r="A1938" s="279">
        <v>39048</v>
      </c>
      <c r="B1938" s="309" t="s">
        <v>411</v>
      </c>
      <c r="C1938" s="309" t="s">
        <v>91</v>
      </c>
      <c r="D1938">
        <v>0</v>
      </c>
    </row>
    <row r="1939" spans="1:4" x14ac:dyDescent="0.25">
      <c r="A1939" s="279">
        <v>39048</v>
      </c>
      <c r="B1939" s="309" t="s">
        <v>411</v>
      </c>
      <c r="C1939" s="309" t="s">
        <v>118</v>
      </c>
      <c r="D1939">
        <v>0</v>
      </c>
    </row>
    <row r="1940" spans="1:4" x14ac:dyDescent="0.25">
      <c r="A1940" s="279">
        <v>39048</v>
      </c>
      <c r="B1940" s="309" t="s">
        <v>411</v>
      </c>
      <c r="C1940" s="309" t="s">
        <v>407</v>
      </c>
      <c r="D1940">
        <v>233027</v>
      </c>
    </row>
    <row r="1941" spans="1:4" x14ac:dyDescent="0.25">
      <c r="A1941" s="279">
        <v>39048</v>
      </c>
      <c r="B1941" s="309" t="s">
        <v>411</v>
      </c>
      <c r="C1941" s="309" t="s">
        <v>412</v>
      </c>
      <c r="D1941">
        <v>1007</v>
      </c>
    </row>
    <row r="1942" spans="1:4" x14ac:dyDescent="0.25">
      <c r="A1942" s="279">
        <v>39048</v>
      </c>
      <c r="B1942" s="309" t="s">
        <v>411</v>
      </c>
      <c r="C1942" s="309" t="s">
        <v>409</v>
      </c>
      <c r="D1942">
        <v>1076</v>
      </c>
    </row>
    <row r="1943" spans="1:4" x14ac:dyDescent="0.25">
      <c r="A1943" s="279">
        <v>39049</v>
      </c>
      <c r="B1943" s="309" t="s">
        <v>405</v>
      </c>
      <c r="C1943" s="309" t="s">
        <v>406</v>
      </c>
      <c r="D1943">
        <v>3711759.1</v>
      </c>
    </row>
    <row r="1944" spans="1:4" x14ac:dyDescent="0.25">
      <c r="A1944" s="279">
        <v>39049</v>
      </c>
      <c r="B1944" s="309" t="s">
        <v>405</v>
      </c>
      <c r="C1944" s="309" t="s">
        <v>89</v>
      </c>
      <c r="D1944">
        <v>12419</v>
      </c>
    </row>
    <row r="1945" spans="1:4" x14ac:dyDescent="0.25">
      <c r="A1945" s="279">
        <v>39049</v>
      </c>
      <c r="B1945" s="309" t="s">
        <v>405</v>
      </c>
      <c r="C1945" s="309" t="s">
        <v>198</v>
      </c>
      <c r="D1945">
        <v>0</v>
      </c>
    </row>
    <row r="1946" spans="1:4" x14ac:dyDescent="0.25">
      <c r="A1946" s="279">
        <v>39049</v>
      </c>
      <c r="B1946" s="309" t="s">
        <v>405</v>
      </c>
      <c r="C1946" s="309" t="s">
        <v>199</v>
      </c>
      <c r="D1946">
        <v>0</v>
      </c>
    </row>
    <row r="1947" spans="1:4" x14ac:dyDescent="0.25">
      <c r="A1947" s="279">
        <v>39049</v>
      </c>
      <c r="B1947" s="309" t="s">
        <v>405</v>
      </c>
      <c r="C1947" s="309" t="s">
        <v>90</v>
      </c>
      <c r="D1947">
        <v>2526</v>
      </c>
    </row>
    <row r="1948" spans="1:4" x14ac:dyDescent="0.25">
      <c r="A1948" s="279">
        <v>39049</v>
      </c>
      <c r="B1948" s="309" t="s">
        <v>405</v>
      </c>
      <c r="C1948" s="309" t="s">
        <v>24</v>
      </c>
      <c r="D1948">
        <v>0</v>
      </c>
    </row>
    <row r="1949" spans="1:4" x14ac:dyDescent="0.25">
      <c r="A1949" s="279">
        <v>39049</v>
      </c>
      <c r="B1949" s="309" t="s">
        <v>405</v>
      </c>
      <c r="C1949" s="309" t="s">
        <v>91</v>
      </c>
      <c r="D1949">
        <v>0</v>
      </c>
    </row>
    <row r="1950" spans="1:4" x14ac:dyDescent="0.25">
      <c r="A1950" s="279">
        <v>39049</v>
      </c>
      <c r="B1950" s="309" t="s">
        <v>405</v>
      </c>
      <c r="C1950" s="309" t="s">
        <v>118</v>
      </c>
      <c r="D1950">
        <v>0</v>
      </c>
    </row>
    <row r="1951" spans="1:4" x14ac:dyDescent="0.25">
      <c r="A1951" s="279">
        <v>39049</v>
      </c>
      <c r="B1951" s="309" t="s">
        <v>405</v>
      </c>
      <c r="C1951" s="309" t="s">
        <v>407</v>
      </c>
      <c r="D1951">
        <v>3721652.1</v>
      </c>
    </row>
    <row r="1952" spans="1:4" x14ac:dyDescent="0.25">
      <c r="A1952" s="279">
        <v>39049</v>
      </c>
      <c r="B1952" s="309" t="s">
        <v>405</v>
      </c>
      <c r="C1952" s="309" t="s">
        <v>408</v>
      </c>
      <c r="D1952">
        <v>1007</v>
      </c>
    </row>
    <row r="1953" spans="1:4" x14ac:dyDescent="0.25">
      <c r="A1953" s="279">
        <v>39049</v>
      </c>
      <c r="B1953" s="309" t="s">
        <v>405</v>
      </c>
      <c r="C1953" s="309" t="s">
        <v>409</v>
      </c>
      <c r="D1953">
        <v>1058</v>
      </c>
    </row>
    <row r="1954" spans="1:4" x14ac:dyDescent="0.25">
      <c r="A1954" s="279">
        <v>39049</v>
      </c>
      <c r="B1954" s="309" t="s">
        <v>405</v>
      </c>
      <c r="C1954" s="309" t="s">
        <v>410</v>
      </c>
      <c r="D1954">
        <v>1028</v>
      </c>
    </row>
    <row r="1955" spans="1:4" x14ac:dyDescent="0.25">
      <c r="A1955" s="279">
        <v>39049</v>
      </c>
      <c r="B1955" s="309" t="s">
        <v>411</v>
      </c>
      <c r="C1955" s="309" t="s">
        <v>406</v>
      </c>
      <c r="D1955">
        <v>233027</v>
      </c>
    </row>
    <row r="1956" spans="1:4" x14ac:dyDescent="0.25">
      <c r="A1956" s="279">
        <v>39049</v>
      </c>
      <c r="B1956" s="309" t="s">
        <v>411</v>
      </c>
      <c r="C1956" s="309" t="s">
        <v>198</v>
      </c>
      <c r="D1956">
        <v>0</v>
      </c>
    </row>
    <row r="1957" spans="1:4" x14ac:dyDescent="0.25">
      <c r="A1957" s="279">
        <v>39049</v>
      </c>
      <c r="B1957" s="309" t="s">
        <v>411</v>
      </c>
      <c r="C1957" s="309" t="s">
        <v>199</v>
      </c>
      <c r="D1957">
        <v>0</v>
      </c>
    </row>
    <row r="1958" spans="1:4" x14ac:dyDescent="0.25">
      <c r="A1958" s="279">
        <v>39049</v>
      </c>
      <c r="B1958" s="309" t="s">
        <v>411</v>
      </c>
      <c r="C1958" s="309" t="s">
        <v>90</v>
      </c>
      <c r="D1958">
        <v>58</v>
      </c>
    </row>
    <row r="1959" spans="1:4" x14ac:dyDescent="0.25">
      <c r="A1959" s="279">
        <v>39049</v>
      </c>
      <c r="B1959" s="309" t="s">
        <v>411</v>
      </c>
      <c r="C1959" s="309" t="s">
        <v>24</v>
      </c>
      <c r="D1959">
        <v>0</v>
      </c>
    </row>
    <row r="1960" spans="1:4" x14ac:dyDescent="0.25">
      <c r="A1960" s="279">
        <v>39049</v>
      </c>
      <c r="B1960" s="309" t="s">
        <v>411</v>
      </c>
      <c r="C1960" s="309" t="s">
        <v>91</v>
      </c>
      <c r="D1960">
        <v>0</v>
      </c>
    </row>
    <row r="1961" spans="1:4" x14ac:dyDescent="0.25">
      <c r="A1961" s="279">
        <v>39049</v>
      </c>
      <c r="B1961" s="309" t="s">
        <v>411</v>
      </c>
      <c r="C1961" s="309" t="s">
        <v>118</v>
      </c>
      <c r="D1961">
        <v>0</v>
      </c>
    </row>
    <row r="1962" spans="1:4" x14ac:dyDescent="0.25">
      <c r="A1962" s="279">
        <v>39049</v>
      </c>
      <c r="B1962" s="309" t="s">
        <v>411</v>
      </c>
      <c r="C1962" s="309" t="s">
        <v>407</v>
      </c>
      <c r="D1962">
        <v>232969</v>
      </c>
    </row>
    <row r="1963" spans="1:4" x14ac:dyDescent="0.25">
      <c r="A1963" s="279">
        <v>39049</v>
      </c>
      <c r="B1963" s="309" t="s">
        <v>411</v>
      </c>
      <c r="C1963" s="309" t="s">
        <v>412</v>
      </c>
      <c r="D1963">
        <v>1007</v>
      </c>
    </row>
    <row r="1964" spans="1:4" x14ac:dyDescent="0.25">
      <c r="A1964" s="279">
        <v>39049</v>
      </c>
      <c r="B1964" s="309" t="s">
        <v>411</v>
      </c>
      <c r="C1964" s="309" t="s">
        <v>409</v>
      </c>
      <c r="D1964">
        <v>1076</v>
      </c>
    </row>
    <row r="1965" spans="1:4" x14ac:dyDescent="0.25">
      <c r="A1965" s="279">
        <v>39050</v>
      </c>
      <c r="B1965" s="309" t="s">
        <v>405</v>
      </c>
      <c r="C1965" s="309" t="s">
        <v>406</v>
      </c>
      <c r="D1965">
        <v>3721652.1</v>
      </c>
    </row>
    <row r="1966" spans="1:4" x14ac:dyDescent="0.25">
      <c r="A1966" s="279">
        <v>39050</v>
      </c>
      <c r="B1966" s="309" t="s">
        <v>405</v>
      </c>
      <c r="C1966" s="309" t="s">
        <v>89</v>
      </c>
      <c r="D1966">
        <v>11859</v>
      </c>
    </row>
    <row r="1967" spans="1:4" x14ac:dyDescent="0.25">
      <c r="A1967" s="279">
        <v>39050</v>
      </c>
      <c r="B1967" s="309" t="s">
        <v>405</v>
      </c>
      <c r="C1967" s="309" t="s">
        <v>198</v>
      </c>
      <c r="D1967">
        <v>0</v>
      </c>
    </row>
    <row r="1968" spans="1:4" x14ac:dyDescent="0.25">
      <c r="A1968" s="279">
        <v>39050</v>
      </c>
      <c r="B1968" s="309" t="s">
        <v>405</v>
      </c>
      <c r="C1968" s="309" t="s">
        <v>199</v>
      </c>
      <c r="D1968">
        <v>0</v>
      </c>
    </row>
    <row r="1969" spans="1:4" x14ac:dyDescent="0.25">
      <c r="A1969" s="279">
        <v>39050</v>
      </c>
      <c r="B1969" s="309" t="s">
        <v>405</v>
      </c>
      <c r="C1969" s="309" t="s">
        <v>90</v>
      </c>
      <c r="D1969">
        <v>2501</v>
      </c>
    </row>
    <row r="1970" spans="1:4" x14ac:dyDescent="0.25">
      <c r="A1970" s="279">
        <v>39050</v>
      </c>
      <c r="B1970" s="309" t="s">
        <v>405</v>
      </c>
      <c r="C1970" s="309" t="s">
        <v>24</v>
      </c>
      <c r="D1970">
        <v>0</v>
      </c>
    </row>
    <row r="1971" spans="1:4" x14ac:dyDescent="0.25">
      <c r="A1971" s="279">
        <v>39050</v>
      </c>
      <c r="B1971" s="309" t="s">
        <v>405</v>
      </c>
      <c r="C1971" s="309" t="s">
        <v>91</v>
      </c>
      <c r="D1971">
        <v>0</v>
      </c>
    </row>
    <row r="1972" spans="1:4" x14ac:dyDescent="0.25">
      <c r="A1972" s="279">
        <v>39050</v>
      </c>
      <c r="B1972" s="309" t="s">
        <v>405</v>
      </c>
      <c r="C1972" s="309" t="s">
        <v>118</v>
      </c>
      <c r="D1972">
        <v>0</v>
      </c>
    </row>
    <row r="1973" spans="1:4" x14ac:dyDescent="0.25">
      <c r="A1973" s="279">
        <v>39050</v>
      </c>
      <c r="B1973" s="309" t="s">
        <v>405</v>
      </c>
      <c r="C1973" s="309" t="s">
        <v>407</v>
      </c>
      <c r="D1973">
        <v>3731010.1</v>
      </c>
    </row>
    <row r="1974" spans="1:4" x14ac:dyDescent="0.25">
      <c r="A1974" s="279">
        <v>39050</v>
      </c>
      <c r="B1974" s="309" t="s">
        <v>405</v>
      </c>
      <c r="C1974" s="309" t="s">
        <v>408</v>
      </c>
      <c r="D1974">
        <v>1007</v>
      </c>
    </row>
    <row r="1975" spans="1:4" x14ac:dyDescent="0.25">
      <c r="A1975" s="279">
        <v>39050</v>
      </c>
      <c r="B1975" s="309" t="s">
        <v>405</v>
      </c>
      <c r="C1975" s="309" t="s">
        <v>409</v>
      </c>
      <c r="D1975">
        <v>1058</v>
      </c>
    </row>
    <row r="1976" spans="1:4" x14ac:dyDescent="0.25">
      <c r="A1976" s="279">
        <v>39050</v>
      </c>
      <c r="B1976" s="309" t="s">
        <v>405</v>
      </c>
      <c r="C1976" s="309" t="s">
        <v>410</v>
      </c>
      <c r="D1976">
        <v>1029</v>
      </c>
    </row>
    <row r="1977" spans="1:4" x14ac:dyDescent="0.25">
      <c r="A1977" s="279">
        <v>39050</v>
      </c>
      <c r="B1977" s="309" t="s">
        <v>411</v>
      </c>
      <c r="C1977" s="309" t="s">
        <v>406</v>
      </c>
      <c r="D1977">
        <v>232969</v>
      </c>
    </row>
    <row r="1978" spans="1:4" x14ac:dyDescent="0.25">
      <c r="A1978" s="279">
        <v>39050</v>
      </c>
      <c r="B1978" s="309" t="s">
        <v>411</v>
      </c>
      <c r="C1978" s="309" t="s">
        <v>198</v>
      </c>
      <c r="D1978">
        <v>0</v>
      </c>
    </row>
    <row r="1979" spans="1:4" x14ac:dyDescent="0.25">
      <c r="A1979" s="279">
        <v>39050</v>
      </c>
      <c r="B1979" s="309" t="s">
        <v>411</v>
      </c>
      <c r="C1979" s="309" t="s">
        <v>199</v>
      </c>
      <c r="D1979">
        <v>0</v>
      </c>
    </row>
    <row r="1980" spans="1:4" x14ac:dyDescent="0.25">
      <c r="A1980" s="279">
        <v>39050</v>
      </c>
      <c r="B1980" s="309" t="s">
        <v>411</v>
      </c>
      <c r="C1980" s="309" t="s">
        <v>90</v>
      </c>
      <c r="D1980">
        <v>106</v>
      </c>
    </row>
    <row r="1981" spans="1:4" x14ac:dyDescent="0.25">
      <c r="A1981" s="279">
        <v>39050</v>
      </c>
      <c r="B1981" s="309" t="s">
        <v>411</v>
      </c>
      <c r="C1981" s="309" t="s">
        <v>24</v>
      </c>
      <c r="D1981">
        <v>0</v>
      </c>
    </row>
    <row r="1982" spans="1:4" x14ac:dyDescent="0.25">
      <c r="A1982" s="279">
        <v>39050</v>
      </c>
      <c r="B1982" s="309" t="s">
        <v>411</v>
      </c>
      <c r="C1982" s="309" t="s">
        <v>91</v>
      </c>
      <c r="D1982">
        <v>0</v>
      </c>
    </row>
    <row r="1983" spans="1:4" x14ac:dyDescent="0.25">
      <c r="A1983" s="279">
        <v>39050</v>
      </c>
      <c r="B1983" s="309" t="s">
        <v>411</v>
      </c>
      <c r="C1983" s="309" t="s">
        <v>118</v>
      </c>
      <c r="D1983">
        <v>0</v>
      </c>
    </row>
    <row r="1984" spans="1:4" x14ac:dyDescent="0.25">
      <c r="A1984" s="279">
        <v>39050</v>
      </c>
      <c r="B1984" s="309" t="s">
        <v>411</v>
      </c>
      <c r="C1984" s="309" t="s">
        <v>407</v>
      </c>
      <c r="D1984">
        <v>232863</v>
      </c>
    </row>
    <row r="1985" spans="1:4" x14ac:dyDescent="0.25">
      <c r="A1985" s="279">
        <v>39050</v>
      </c>
      <c r="B1985" s="309" t="s">
        <v>411</v>
      </c>
      <c r="C1985" s="309" t="s">
        <v>412</v>
      </c>
      <c r="D1985">
        <v>1007</v>
      </c>
    </row>
    <row r="1986" spans="1:4" x14ac:dyDescent="0.25">
      <c r="A1986" s="279">
        <v>39050</v>
      </c>
      <c r="B1986" s="309" t="s">
        <v>411</v>
      </c>
      <c r="C1986" s="309" t="s">
        <v>409</v>
      </c>
      <c r="D1986">
        <v>1076</v>
      </c>
    </row>
    <row r="1987" spans="1:4" x14ac:dyDescent="0.25">
      <c r="A1987" s="279">
        <v>39051</v>
      </c>
      <c r="B1987" s="309" t="s">
        <v>405</v>
      </c>
      <c r="C1987" s="309" t="s">
        <v>406</v>
      </c>
      <c r="D1987">
        <v>3731010.1</v>
      </c>
    </row>
    <row r="1988" spans="1:4" x14ac:dyDescent="0.25">
      <c r="A1988" s="279">
        <v>39051</v>
      </c>
      <c r="B1988" s="309" t="s">
        <v>405</v>
      </c>
      <c r="C1988" s="309" t="s">
        <v>89</v>
      </c>
      <c r="D1988">
        <v>9328</v>
      </c>
    </row>
    <row r="1989" spans="1:4" x14ac:dyDescent="0.25">
      <c r="A1989" s="279">
        <v>39051</v>
      </c>
      <c r="B1989" s="309" t="s">
        <v>405</v>
      </c>
      <c r="C1989" s="309" t="s">
        <v>198</v>
      </c>
      <c r="D1989">
        <v>0</v>
      </c>
    </row>
    <row r="1990" spans="1:4" x14ac:dyDescent="0.25">
      <c r="A1990" s="279">
        <v>39051</v>
      </c>
      <c r="B1990" s="309" t="s">
        <v>405</v>
      </c>
      <c r="C1990" s="309" t="s">
        <v>199</v>
      </c>
      <c r="D1990">
        <v>0</v>
      </c>
    </row>
    <row r="1991" spans="1:4" x14ac:dyDescent="0.25">
      <c r="A1991" s="279">
        <v>39051</v>
      </c>
      <c r="B1991" s="309" t="s">
        <v>405</v>
      </c>
      <c r="C1991" s="309" t="s">
        <v>90</v>
      </c>
      <c r="D1991">
        <v>2376</v>
      </c>
    </row>
    <row r="1992" spans="1:4" x14ac:dyDescent="0.25">
      <c r="A1992" s="279">
        <v>39051</v>
      </c>
      <c r="B1992" s="309" t="s">
        <v>405</v>
      </c>
      <c r="C1992" s="309" t="s">
        <v>24</v>
      </c>
      <c r="D1992">
        <v>0</v>
      </c>
    </row>
    <row r="1993" spans="1:4" x14ac:dyDescent="0.25">
      <c r="A1993" s="279">
        <v>39051</v>
      </c>
      <c r="B1993" s="309" t="s">
        <v>405</v>
      </c>
      <c r="C1993" s="309" t="s">
        <v>91</v>
      </c>
      <c r="D1993">
        <v>0</v>
      </c>
    </row>
    <row r="1994" spans="1:4" x14ac:dyDescent="0.25">
      <c r="A1994" s="279">
        <v>39051</v>
      </c>
      <c r="B1994" s="309" t="s">
        <v>405</v>
      </c>
      <c r="C1994" s="309" t="s">
        <v>118</v>
      </c>
      <c r="D1994">
        <v>0</v>
      </c>
    </row>
    <row r="1995" spans="1:4" x14ac:dyDescent="0.25">
      <c r="A1995" s="279">
        <v>39051</v>
      </c>
      <c r="B1995" s="309" t="s">
        <v>405</v>
      </c>
      <c r="C1995" s="309" t="s">
        <v>407</v>
      </c>
      <c r="D1995">
        <v>3737962.1</v>
      </c>
    </row>
    <row r="1996" spans="1:4" x14ac:dyDescent="0.25">
      <c r="A1996" s="279">
        <v>39051</v>
      </c>
      <c r="B1996" s="309" t="s">
        <v>405</v>
      </c>
      <c r="C1996" s="309" t="s">
        <v>408</v>
      </c>
      <c r="D1996">
        <v>1007</v>
      </c>
    </row>
    <row r="1997" spans="1:4" x14ac:dyDescent="0.25">
      <c r="A1997" s="279">
        <v>39051</v>
      </c>
      <c r="B1997" s="309" t="s">
        <v>405</v>
      </c>
      <c r="C1997" s="309" t="s">
        <v>409</v>
      </c>
      <c r="D1997">
        <v>1058</v>
      </c>
    </row>
    <row r="1998" spans="1:4" x14ac:dyDescent="0.25">
      <c r="A1998" s="279">
        <v>39051</v>
      </c>
      <c r="B1998" s="309" t="s">
        <v>405</v>
      </c>
      <c r="C1998" s="309" t="s">
        <v>410</v>
      </c>
      <c r="D1998">
        <v>1029</v>
      </c>
    </row>
    <row r="1999" spans="1:4" x14ac:dyDescent="0.25">
      <c r="A1999" s="279">
        <v>39051</v>
      </c>
      <c r="B1999" s="309" t="s">
        <v>411</v>
      </c>
      <c r="C1999" s="309" t="s">
        <v>406</v>
      </c>
      <c r="D1999">
        <v>232863</v>
      </c>
    </row>
    <row r="2000" spans="1:4" x14ac:dyDescent="0.25">
      <c r="A2000" s="279">
        <v>39051</v>
      </c>
      <c r="B2000" s="309" t="s">
        <v>411</v>
      </c>
      <c r="C2000" s="309" t="s">
        <v>198</v>
      </c>
      <c r="D2000">
        <v>0</v>
      </c>
    </row>
    <row r="2001" spans="1:4" x14ac:dyDescent="0.25">
      <c r="A2001" s="279">
        <v>39051</v>
      </c>
      <c r="B2001" s="309" t="s">
        <v>411</v>
      </c>
      <c r="C2001" s="309" t="s">
        <v>199</v>
      </c>
      <c r="D2001">
        <v>0</v>
      </c>
    </row>
    <row r="2002" spans="1:4" x14ac:dyDescent="0.25">
      <c r="A2002" s="279">
        <v>39051</v>
      </c>
      <c r="B2002" s="309" t="s">
        <v>411</v>
      </c>
      <c r="C2002" s="309" t="s">
        <v>90</v>
      </c>
      <c r="D2002">
        <v>58</v>
      </c>
    </row>
    <row r="2003" spans="1:4" x14ac:dyDescent="0.25">
      <c r="A2003" s="279">
        <v>39051</v>
      </c>
      <c r="B2003" s="309" t="s">
        <v>411</v>
      </c>
      <c r="C2003" s="309" t="s">
        <v>24</v>
      </c>
      <c r="D2003">
        <v>0</v>
      </c>
    </row>
    <row r="2004" spans="1:4" x14ac:dyDescent="0.25">
      <c r="A2004" s="279">
        <v>39051</v>
      </c>
      <c r="B2004" s="309" t="s">
        <v>411</v>
      </c>
      <c r="C2004" s="309" t="s">
        <v>91</v>
      </c>
      <c r="D2004">
        <v>0</v>
      </c>
    </row>
    <row r="2005" spans="1:4" x14ac:dyDescent="0.25">
      <c r="A2005" s="279">
        <v>39051</v>
      </c>
      <c r="B2005" s="309" t="s">
        <v>411</v>
      </c>
      <c r="C2005" s="309" t="s">
        <v>118</v>
      </c>
      <c r="D2005">
        <v>0</v>
      </c>
    </row>
    <row r="2006" spans="1:4" x14ac:dyDescent="0.25">
      <c r="A2006" s="279">
        <v>39051</v>
      </c>
      <c r="B2006" s="309" t="s">
        <v>411</v>
      </c>
      <c r="C2006" s="309" t="s">
        <v>407</v>
      </c>
      <c r="D2006">
        <v>232805</v>
      </c>
    </row>
    <row r="2007" spans="1:4" x14ac:dyDescent="0.25">
      <c r="A2007" s="279">
        <v>39051</v>
      </c>
      <c r="B2007" s="309" t="s">
        <v>411</v>
      </c>
      <c r="C2007" s="309" t="s">
        <v>412</v>
      </c>
      <c r="D2007">
        <v>1007</v>
      </c>
    </row>
    <row r="2008" spans="1:4" x14ac:dyDescent="0.25">
      <c r="A2008" s="279">
        <v>39051</v>
      </c>
      <c r="B2008" s="309" t="s">
        <v>411</v>
      </c>
      <c r="C2008" s="309" t="s">
        <v>409</v>
      </c>
      <c r="D2008">
        <v>1076</v>
      </c>
    </row>
    <row r="2009" spans="1:4" x14ac:dyDescent="0.25">
      <c r="A2009" s="279">
        <v>39052</v>
      </c>
      <c r="B2009" s="309" t="s">
        <v>405</v>
      </c>
      <c r="C2009" s="309" t="s">
        <v>406</v>
      </c>
      <c r="D2009">
        <v>3737962.1</v>
      </c>
    </row>
    <row r="2010" spans="1:4" x14ac:dyDescent="0.25">
      <c r="A2010" s="279">
        <v>39052</v>
      </c>
      <c r="B2010" s="309" t="s">
        <v>405</v>
      </c>
      <c r="C2010" s="309" t="s">
        <v>89</v>
      </c>
      <c r="D2010">
        <v>9612</v>
      </c>
    </row>
    <row r="2011" spans="1:4" x14ac:dyDescent="0.25">
      <c r="A2011" s="279">
        <v>39052</v>
      </c>
      <c r="B2011" s="309" t="s">
        <v>405</v>
      </c>
      <c r="C2011" s="309" t="s">
        <v>198</v>
      </c>
      <c r="D2011">
        <v>0</v>
      </c>
    </row>
    <row r="2012" spans="1:4" x14ac:dyDescent="0.25">
      <c r="A2012" s="279">
        <v>39052</v>
      </c>
      <c r="B2012" s="309" t="s">
        <v>405</v>
      </c>
      <c r="C2012" s="309" t="s">
        <v>199</v>
      </c>
      <c r="D2012">
        <v>0</v>
      </c>
    </row>
    <row r="2013" spans="1:4" x14ac:dyDescent="0.25">
      <c r="A2013" s="279">
        <v>39052</v>
      </c>
      <c r="B2013" s="309" t="s">
        <v>405</v>
      </c>
      <c r="C2013" s="309" t="s">
        <v>90</v>
      </c>
      <c r="D2013">
        <v>2392</v>
      </c>
    </row>
    <row r="2014" spans="1:4" x14ac:dyDescent="0.25">
      <c r="A2014" s="279">
        <v>39052</v>
      </c>
      <c r="B2014" s="309" t="s">
        <v>405</v>
      </c>
      <c r="C2014" s="309" t="s">
        <v>24</v>
      </c>
      <c r="D2014">
        <v>0</v>
      </c>
    </row>
    <row r="2015" spans="1:4" x14ac:dyDescent="0.25">
      <c r="A2015" s="279">
        <v>39052</v>
      </c>
      <c r="B2015" s="309" t="s">
        <v>405</v>
      </c>
      <c r="C2015" s="309" t="s">
        <v>91</v>
      </c>
      <c r="D2015">
        <v>0</v>
      </c>
    </row>
    <row r="2016" spans="1:4" x14ac:dyDescent="0.25">
      <c r="A2016" s="279">
        <v>39052</v>
      </c>
      <c r="B2016" s="309" t="s">
        <v>405</v>
      </c>
      <c r="C2016" s="309" t="s">
        <v>118</v>
      </c>
      <c r="D2016">
        <v>0</v>
      </c>
    </row>
    <row r="2017" spans="1:4" x14ac:dyDescent="0.25">
      <c r="A2017" s="279">
        <v>39052</v>
      </c>
      <c r="B2017" s="309" t="s">
        <v>405</v>
      </c>
      <c r="C2017" s="309" t="s">
        <v>407</v>
      </c>
      <c r="D2017">
        <v>3745182.1</v>
      </c>
    </row>
    <row r="2018" spans="1:4" x14ac:dyDescent="0.25">
      <c r="A2018" s="279">
        <v>39052</v>
      </c>
      <c r="B2018" s="309" t="s">
        <v>405</v>
      </c>
      <c r="C2018" s="309" t="s">
        <v>408</v>
      </c>
      <c r="D2018">
        <v>1007</v>
      </c>
    </row>
    <row r="2019" spans="1:4" x14ac:dyDescent="0.25">
      <c r="A2019" s="279">
        <v>39052</v>
      </c>
      <c r="B2019" s="309" t="s">
        <v>405</v>
      </c>
      <c r="C2019" s="309" t="s">
        <v>409</v>
      </c>
      <c r="D2019">
        <v>1058</v>
      </c>
    </row>
    <row r="2020" spans="1:4" x14ac:dyDescent="0.25">
      <c r="A2020" s="279">
        <v>39052</v>
      </c>
      <c r="B2020" s="309" t="s">
        <v>405</v>
      </c>
      <c r="C2020" s="309" t="s">
        <v>410</v>
      </c>
      <c r="D2020">
        <v>1028</v>
      </c>
    </row>
    <row r="2021" spans="1:4" x14ac:dyDescent="0.25">
      <c r="A2021" s="279">
        <v>39052</v>
      </c>
      <c r="B2021" s="309" t="s">
        <v>411</v>
      </c>
      <c r="C2021" s="309" t="s">
        <v>406</v>
      </c>
      <c r="D2021">
        <v>232805</v>
      </c>
    </row>
    <row r="2022" spans="1:4" x14ac:dyDescent="0.25">
      <c r="A2022" s="279">
        <v>39052</v>
      </c>
      <c r="B2022" s="309" t="s">
        <v>411</v>
      </c>
      <c r="C2022" s="309" t="s">
        <v>198</v>
      </c>
      <c r="D2022">
        <v>0</v>
      </c>
    </row>
    <row r="2023" spans="1:4" x14ac:dyDescent="0.25">
      <c r="A2023" s="279">
        <v>39052</v>
      </c>
      <c r="B2023" s="309" t="s">
        <v>411</v>
      </c>
      <c r="C2023" s="309" t="s">
        <v>199</v>
      </c>
      <c r="D2023">
        <v>0</v>
      </c>
    </row>
    <row r="2024" spans="1:4" x14ac:dyDescent="0.25">
      <c r="A2024" s="279">
        <v>39052</v>
      </c>
      <c r="B2024" s="309" t="s">
        <v>411</v>
      </c>
      <c r="C2024" s="309" t="s">
        <v>90</v>
      </c>
      <c r="D2024">
        <v>219</v>
      </c>
    </row>
    <row r="2025" spans="1:4" x14ac:dyDescent="0.25">
      <c r="A2025" s="279">
        <v>39052</v>
      </c>
      <c r="B2025" s="309" t="s">
        <v>411</v>
      </c>
      <c r="C2025" s="309" t="s">
        <v>24</v>
      </c>
      <c r="D2025">
        <v>0</v>
      </c>
    </row>
    <row r="2026" spans="1:4" x14ac:dyDescent="0.25">
      <c r="A2026" s="279">
        <v>39052</v>
      </c>
      <c r="B2026" s="309" t="s">
        <v>411</v>
      </c>
      <c r="C2026" s="309" t="s">
        <v>91</v>
      </c>
      <c r="D2026">
        <v>0</v>
      </c>
    </row>
    <row r="2027" spans="1:4" x14ac:dyDescent="0.25">
      <c r="A2027" s="279">
        <v>39052</v>
      </c>
      <c r="B2027" s="309" t="s">
        <v>411</v>
      </c>
      <c r="C2027" s="309" t="s">
        <v>118</v>
      </c>
      <c r="D2027">
        <v>0</v>
      </c>
    </row>
    <row r="2028" spans="1:4" x14ac:dyDescent="0.25">
      <c r="A2028" s="279">
        <v>39052</v>
      </c>
      <c r="B2028" s="309" t="s">
        <v>411</v>
      </c>
      <c r="C2028" s="309" t="s">
        <v>407</v>
      </c>
      <c r="D2028">
        <v>232586</v>
      </c>
    </row>
    <row r="2029" spans="1:4" x14ac:dyDescent="0.25">
      <c r="A2029" s="279">
        <v>39052</v>
      </c>
      <c r="B2029" s="309" t="s">
        <v>411</v>
      </c>
      <c r="C2029" s="309" t="s">
        <v>412</v>
      </c>
      <c r="D2029">
        <v>1007</v>
      </c>
    </row>
    <row r="2030" spans="1:4" x14ac:dyDescent="0.25">
      <c r="A2030" s="279">
        <v>39052</v>
      </c>
      <c r="B2030" s="309" t="s">
        <v>411</v>
      </c>
      <c r="C2030" s="309" t="s">
        <v>409</v>
      </c>
      <c r="D2030">
        <v>1049</v>
      </c>
    </row>
    <row r="2031" spans="1:4" x14ac:dyDescent="0.25">
      <c r="A2031" s="279">
        <v>39053</v>
      </c>
      <c r="B2031" s="309" t="s">
        <v>405</v>
      </c>
      <c r="C2031" s="309" t="s">
        <v>406</v>
      </c>
      <c r="D2031">
        <v>3745182.1</v>
      </c>
    </row>
    <row r="2032" spans="1:4" x14ac:dyDescent="0.25">
      <c r="A2032" s="279">
        <v>39053</v>
      </c>
      <c r="B2032" s="309" t="s">
        <v>405</v>
      </c>
      <c r="C2032" s="309" t="s">
        <v>89</v>
      </c>
      <c r="D2032">
        <v>13838</v>
      </c>
    </row>
    <row r="2033" spans="1:4" x14ac:dyDescent="0.25">
      <c r="A2033" s="279">
        <v>39053</v>
      </c>
      <c r="B2033" s="309" t="s">
        <v>405</v>
      </c>
      <c r="C2033" s="309" t="s">
        <v>198</v>
      </c>
      <c r="D2033">
        <v>0</v>
      </c>
    </row>
    <row r="2034" spans="1:4" x14ac:dyDescent="0.25">
      <c r="A2034" s="279">
        <v>39053</v>
      </c>
      <c r="B2034" s="309" t="s">
        <v>405</v>
      </c>
      <c r="C2034" s="309" t="s">
        <v>199</v>
      </c>
      <c r="D2034">
        <v>0</v>
      </c>
    </row>
    <row r="2035" spans="1:4" x14ac:dyDescent="0.25">
      <c r="A2035" s="279">
        <v>39053</v>
      </c>
      <c r="B2035" s="309" t="s">
        <v>405</v>
      </c>
      <c r="C2035" s="309" t="s">
        <v>90</v>
      </c>
      <c r="D2035">
        <v>2607</v>
      </c>
    </row>
    <row r="2036" spans="1:4" x14ac:dyDescent="0.25">
      <c r="A2036" s="279">
        <v>39053</v>
      </c>
      <c r="B2036" s="309" t="s">
        <v>405</v>
      </c>
      <c r="C2036" s="309" t="s">
        <v>24</v>
      </c>
      <c r="D2036">
        <v>0</v>
      </c>
    </row>
    <row r="2037" spans="1:4" x14ac:dyDescent="0.25">
      <c r="A2037" s="279">
        <v>39053</v>
      </c>
      <c r="B2037" s="309" t="s">
        <v>405</v>
      </c>
      <c r="C2037" s="309" t="s">
        <v>91</v>
      </c>
      <c r="D2037">
        <v>0</v>
      </c>
    </row>
    <row r="2038" spans="1:4" x14ac:dyDescent="0.25">
      <c r="A2038" s="279">
        <v>39053</v>
      </c>
      <c r="B2038" s="309" t="s">
        <v>405</v>
      </c>
      <c r="C2038" s="309" t="s">
        <v>118</v>
      </c>
      <c r="D2038">
        <v>0</v>
      </c>
    </row>
    <row r="2039" spans="1:4" x14ac:dyDescent="0.25">
      <c r="A2039" s="279">
        <v>39053</v>
      </c>
      <c r="B2039" s="309" t="s">
        <v>405</v>
      </c>
      <c r="C2039" s="309" t="s">
        <v>407</v>
      </c>
      <c r="D2039">
        <v>3756413.1</v>
      </c>
    </row>
    <row r="2040" spans="1:4" x14ac:dyDescent="0.25">
      <c r="A2040" s="279">
        <v>39053</v>
      </c>
      <c r="B2040" s="309" t="s">
        <v>405</v>
      </c>
      <c r="C2040" s="309" t="s">
        <v>408</v>
      </c>
      <c r="D2040">
        <v>1007</v>
      </c>
    </row>
    <row r="2041" spans="1:4" x14ac:dyDescent="0.25">
      <c r="A2041" s="279">
        <v>39053</v>
      </c>
      <c r="B2041" s="309" t="s">
        <v>405</v>
      </c>
      <c r="C2041" s="309" t="s">
        <v>409</v>
      </c>
      <c r="D2041">
        <v>1058</v>
      </c>
    </row>
    <row r="2042" spans="1:4" x14ac:dyDescent="0.25">
      <c r="A2042" s="279">
        <v>39053</v>
      </c>
      <c r="B2042" s="309" t="s">
        <v>405</v>
      </c>
      <c r="C2042" s="309" t="s">
        <v>410</v>
      </c>
      <c r="D2042">
        <v>1030</v>
      </c>
    </row>
    <row r="2043" spans="1:4" x14ac:dyDescent="0.25">
      <c r="A2043" s="279">
        <v>39053</v>
      </c>
      <c r="B2043" s="309" t="s">
        <v>411</v>
      </c>
      <c r="C2043" s="309" t="s">
        <v>406</v>
      </c>
      <c r="D2043">
        <v>232586</v>
      </c>
    </row>
    <row r="2044" spans="1:4" x14ac:dyDescent="0.25">
      <c r="A2044" s="279">
        <v>39053</v>
      </c>
      <c r="B2044" s="309" t="s">
        <v>411</v>
      </c>
      <c r="C2044" s="309" t="s">
        <v>198</v>
      </c>
      <c r="D2044">
        <v>0</v>
      </c>
    </row>
    <row r="2045" spans="1:4" x14ac:dyDescent="0.25">
      <c r="A2045" s="279">
        <v>39053</v>
      </c>
      <c r="B2045" s="309" t="s">
        <v>411</v>
      </c>
      <c r="C2045" s="309" t="s">
        <v>199</v>
      </c>
      <c r="D2045">
        <v>0</v>
      </c>
    </row>
    <row r="2046" spans="1:4" x14ac:dyDescent="0.25">
      <c r="A2046" s="279">
        <v>39053</v>
      </c>
      <c r="B2046" s="309" t="s">
        <v>411</v>
      </c>
      <c r="C2046" s="309" t="s">
        <v>90</v>
      </c>
      <c r="D2046">
        <v>58</v>
      </c>
    </row>
    <row r="2047" spans="1:4" x14ac:dyDescent="0.25">
      <c r="A2047" s="279">
        <v>39053</v>
      </c>
      <c r="B2047" s="309" t="s">
        <v>411</v>
      </c>
      <c r="C2047" s="309" t="s">
        <v>24</v>
      </c>
      <c r="D2047">
        <v>0</v>
      </c>
    </row>
    <row r="2048" spans="1:4" x14ac:dyDescent="0.25">
      <c r="A2048" s="279">
        <v>39053</v>
      </c>
      <c r="B2048" s="309" t="s">
        <v>411</v>
      </c>
      <c r="C2048" s="309" t="s">
        <v>91</v>
      </c>
      <c r="D2048">
        <v>0</v>
      </c>
    </row>
    <row r="2049" spans="1:4" x14ac:dyDescent="0.25">
      <c r="A2049" s="279">
        <v>39053</v>
      </c>
      <c r="B2049" s="309" t="s">
        <v>411</v>
      </c>
      <c r="C2049" s="309" t="s">
        <v>118</v>
      </c>
      <c r="D2049">
        <v>0</v>
      </c>
    </row>
    <row r="2050" spans="1:4" x14ac:dyDescent="0.25">
      <c r="A2050" s="279">
        <v>39053</v>
      </c>
      <c r="B2050" s="309" t="s">
        <v>411</v>
      </c>
      <c r="C2050" s="309" t="s">
        <v>407</v>
      </c>
      <c r="D2050">
        <v>232528</v>
      </c>
    </row>
    <row r="2051" spans="1:4" x14ac:dyDescent="0.25">
      <c r="A2051" s="279">
        <v>39053</v>
      </c>
      <c r="B2051" s="309" t="s">
        <v>411</v>
      </c>
      <c r="C2051" s="309" t="s">
        <v>412</v>
      </c>
      <c r="D2051">
        <v>1007</v>
      </c>
    </row>
    <row r="2052" spans="1:4" x14ac:dyDescent="0.25">
      <c r="A2052" s="279">
        <v>39053</v>
      </c>
      <c r="B2052" s="309" t="s">
        <v>411</v>
      </c>
      <c r="C2052" s="309" t="s">
        <v>409</v>
      </c>
      <c r="D2052">
        <v>1049</v>
      </c>
    </row>
    <row r="2053" spans="1:4" x14ac:dyDescent="0.25">
      <c r="A2053" s="279">
        <v>39054</v>
      </c>
      <c r="B2053" s="309" t="s">
        <v>405</v>
      </c>
      <c r="C2053" s="309" t="s">
        <v>406</v>
      </c>
      <c r="D2053">
        <v>3756413.1</v>
      </c>
    </row>
    <row r="2054" spans="1:4" x14ac:dyDescent="0.25">
      <c r="A2054" s="279">
        <v>39054</v>
      </c>
      <c r="B2054" s="309" t="s">
        <v>405</v>
      </c>
      <c r="C2054" s="309" t="s">
        <v>89</v>
      </c>
      <c r="D2054">
        <v>12434</v>
      </c>
    </row>
    <row r="2055" spans="1:4" x14ac:dyDescent="0.25">
      <c r="A2055" s="279">
        <v>39054</v>
      </c>
      <c r="B2055" s="309" t="s">
        <v>405</v>
      </c>
      <c r="C2055" s="309" t="s">
        <v>198</v>
      </c>
      <c r="D2055">
        <v>0</v>
      </c>
    </row>
    <row r="2056" spans="1:4" x14ac:dyDescent="0.25">
      <c r="A2056" s="279">
        <v>39054</v>
      </c>
      <c r="B2056" s="309" t="s">
        <v>405</v>
      </c>
      <c r="C2056" s="309" t="s">
        <v>199</v>
      </c>
      <c r="D2056">
        <v>0</v>
      </c>
    </row>
    <row r="2057" spans="1:4" x14ac:dyDescent="0.25">
      <c r="A2057" s="279">
        <v>39054</v>
      </c>
      <c r="B2057" s="309" t="s">
        <v>405</v>
      </c>
      <c r="C2057" s="309" t="s">
        <v>90</v>
      </c>
      <c r="D2057">
        <v>2541</v>
      </c>
    </row>
    <row r="2058" spans="1:4" x14ac:dyDescent="0.25">
      <c r="A2058" s="279">
        <v>39054</v>
      </c>
      <c r="B2058" s="309" t="s">
        <v>405</v>
      </c>
      <c r="C2058" s="309" t="s">
        <v>24</v>
      </c>
      <c r="D2058">
        <v>0</v>
      </c>
    </row>
    <row r="2059" spans="1:4" x14ac:dyDescent="0.25">
      <c r="A2059" s="279">
        <v>39054</v>
      </c>
      <c r="B2059" s="309" t="s">
        <v>405</v>
      </c>
      <c r="C2059" s="309" t="s">
        <v>91</v>
      </c>
      <c r="D2059">
        <v>0</v>
      </c>
    </row>
    <row r="2060" spans="1:4" x14ac:dyDescent="0.25">
      <c r="A2060" s="279">
        <v>39054</v>
      </c>
      <c r="B2060" s="309" t="s">
        <v>405</v>
      </c>
      <c r="C2060" s="309" t="s">
        <v>118</v>
      </c>
      <c r="D2060">
        <v>0</v>
      </c>
    </row>
    <row r="2061" spans="1:4" x14ac:dyDescent="0.25">
      <c r="A2061" s="279">
        <v>39054</v>
      </c>
      <c r="B2061" s="309" t="s">
        <v>405</v>
      </c>
      <c r="C2061" s="309" t="s">
        <v>407</v>
      </c>
      <c r="D2061">
        <v>3766306.1</v>
      </c>
    </row>
    <row r="2062" spans="1:4" x14ac:dyDescent="0.25">
      <c r="A2062" s="279">
        <v>39054</v>
      </c>
      <c r="B2062" s="309" t="s">
        <v>405</v>
      </c>
      <c r="C2062" s="309" t="s">
        <v>408</v>
      </c>
      <c r="D2062">
        <v>1007</v>
      </c>
    </row>
    <row r="2063" spans="1:4" x14ac:dyDescent="0.25">
      <c r="A2063" s="279">
        <v>39054</v>
      </c>
      <c r="B2063" s="309" t="s">
        <v>405</v>
      </c>
      <c r="C2063" s="309" t="s">
        <v>409</v>
      </c>
      <c r="D2063">
        <v>1058</v>
      </c>
    </row>
    <row r="2064" spans="1:4" x14ac:dyDescent="0.25">
      <c r="A2064" s="279">
        <v>39054</v>
      </c>
      <c r="B2064" s="309" t="s">
        <v>405</v>
      </c>
      <c r="C2064" s="309" t="s">
        <v>410</v>
      </c>
      <c r="D2064">
        <v>1029</v>
      </c>
    </row>
    <row r="2065" spans="1:4" x14ac:dyDescent="0.25">
      <c r="A2065" s="279">
        <v>39054</v>
      </c>
      <c r="B2065" s="309" t="s">
        <v>411</v>
      </c>
      <c r="C2065" s="309" t="s">
        <v>406</v>
      </c>
      <c r="D2065">
        <v>232528</v>
      </c>
    </row>
    <row r="2066" spans="1:4" x14ac:dyDescent="0.25">
      <c r="A2066" s="279">
        <v>39054</v>
      </c>
      <c r="B2066" s="309" t="s">
        <v>411</v>
      </c>
      <c r="C2066" s="309" t="s">
        <v>198</v>
      </c>
      <c r="D2066">
        <v>0</v>
      </c>
    </row>
    <row r="2067" spans="1:4" x14ac:dyDescent="0.25">
      <c r="A2067" s="279">
        <v>39054</v>
      </c>
      <c r="B2067" s="309" t="s">
        <v>411</v>
      </c>
      <c r="C2067" s="309" t="s">
        <v>199</v>
      </c>
      <c r="D2067">
        <v>0</v>
      </c>
    </row>
    <row r="2068" spans="1:4" x14ac:dyDescent="0.25">
      <c r="A2068" s="279">
        <v>39054</v>
      </c>
      <c r="B2068" s="309" t="s">
        <v>411</v>
      </c>
      <c r="C2068" s="309" t="s">
        <v>90</v>
      </c>
      <c r="D2068">
        <v>220</v>
      </c>
    </row>
    <row r="2069" spans="1:4" x14ac:dyDescent="0.25">
      <c r="A2069" s="279">
        <v>39054</v>
      </c>
      <c r="B2069" s="309" t="s">
        <v>411</v>
      </c>
      <c r="C2069" s="309" t="s">
        <v>24</v>
      </c>
      <c r="D2069">
        <v>0</v>
      </c>
    </row>
    <row r="2070" spans="1:4" x14ac:dyDescent="0.25">
      <c r="A2070" s="279">
        <v>39054</v>
      </c>
      <c r="B2070" s="309" t="s">
        <v>411</v>
      </c>
      <c r="C2070" s="309" t="s">
        <v>91</v>
      </c>
      <c r="D2070">
        <v>0</v>
      </c>
    </row>
    <row r="2071" spans="1:4" x14ac:dyDescent="0.25">
      <c r="A2071" s="279">
        <v>39054</v>
      </c>
      <c r="B2071" s="309" t="s">
        <v>411</v>
      </c>
      <c r="C2071" s="309" t="s">
        <v>118</v>
      </c>
      <c r="D2071">
        <v>0</v>
      </c>
    </row>
    <row r="2072" spans="1:4" x14ac:dyDescent="0.25">
      <c r="A2072" s="279">
        <v>39054</v>
      </c>
      <c r="B2072" s="309" t="s">
        <v>411</v>
      </c>
      <c r="C2072" s="309" t="s">
        <v>407</v>
      </c>
      <c r="D2072">
        <v>232308</v>
      </c>
    </row>
    <row r="2073" spans="1:4" x14ac:dyDescent="0.25">
      <c r="A2073" s="279">
        <v>39054</v>
      </c>
      <c r="B2073" s="309" t="s">
        <v>411</v>
      </c>
      <c r="C2073" s="309" t="s">
        <v>412</v>
      </c>
      <c r="D2073">
        <v>1007</v>
      </c>
    </row>
    <row r="2074" spans="1:4" x14ac:dyDescent="0.25">
      <c r="A2074" s="279">
        <v>39054</v>
      </c>
      <c r="B2074" s="309" t="s">
        <v>411</v>
      </c>
      <c r="C2074" s="309" t="s">
        <v>409</v>
      </c>
      <c r="D2074">
        <v>1049</v>
      </c>
    </row>
    <row r="2075" spans="1:4" x14ac:dyDescent="0.25">
      <c r="A2075" s="279">
        <v>39055</v>
      </c>
      <c r="B2075" s="309" t="s">
        <v>405</v>
      </c>
      <c r="C2075" s="309" t="s">
        <v>406</v>
      </c>
      <c r="D2075">
        <v>3766306.1</v>
      </c>
    </row>
    <row r="2076" spans="1:4" x14ac:dyDescent="0.25">
      <c r="A2076" s="279">
        <v>39055</v>
      </c>
      <c r="B2076" s="309" t="s">
        <v>405</v>
      </c>
      <c r="C2076" s="309" t="s">
        <v>89</v>
      </c>
      <c r="D2076">
        <v>0</v>
      </c>
    </row>
    <row r="2077" spans="1:4" x14ac:dyDescent="0.25">
      <c r="A2077" s="279">
        <v>39055</v>
      </c>
      <c r="B2077" s="309" t="s">
        <v>405</v>
      </c>
      <c r="C2077" s="309" t="s">
        <v>198</v>
      </c>
      <c r="D2077">
        <v>0</v>
      </c>
    </row>
    <row r="2078" spans="1:4" x14ac:dyDescent="0.25">
      <c r="A2078" s="279">
        <v>39055</v>
      </c>
      <c r="B2078" s="309" t="s">
        <v>405</v>
      </c>
      <c r="C2078" s="309" t="s">
        <v>199</v>
      </c>
      <c r="D2078">
        <v>0</v>
      </c>
    </row>
    <row r="2079" spans="1:4" x14ac:dyDescent="0.25">
      <c r="A2079" s="279">
        <v>39055</v>
      </c>
      <c r="B2079" s="309" t="s">
        <v>405</v>
      </c>
      <c r="C2079" s="309" t="s">
        <v>90</v>
      </c>
      <c r="D2079">
        <v>534</v>
      </c>
    </row>
    <row r="2080" spans="1:4" x14ac:dyDescent="0.25">
      <c r="A2080" s="279">
        <v>39055</v>
      </c>
      <c r="B2080" s="309" t="s">
        <v>405</v>
      </c>
      <c r="C2080" s="309" t="s">
        <v>24</v>
      </c>
      <c r="D2080">
        <v>0</v>
      </c>
    </row>
    <row r="2081" spans="1:4" x14ac:dyDescent="0.25">
      <c r="A2081" s="279">
        <v>39055</v>
      </c>
      <c r="B2081" s="309" t="s">
        <v>405</v>
      </c>
      <c r="C2081" s="309" t="s">
        <v>91</v>
      </c>
      <c r="D2081">
        <v>0</v>
      </c>
    </row>
    <row r="2082" spans="1:4" x14ac:dyDescent="0.25">
      <c r="A2082" s="279">
        <v>39055</v>
      </c>
      <c r="B2082" s="309" t="s">
        <v>405</v>
      </c>
      <c r="C2082" s="309" t="s">
        <v>118</v>
      </c>
      <c r="D2082">
        <v>0</v>
      </c>
    </row>
    <row r="2083" spans="1:4" x14ac:dyDescent="0.25">
      <c r="A2083" s="279">
        <v>39055</v>
      </c>
      <c r="B2083" s="309" t="s">
        <v>405</v>
      </c>
      <c r="C2083" s="309" t="s">
        <v>407</v>
      </c>
      <c r="D2083">
        <v>3765772.1</v>
      </c>
    </row>
    <row r="2084" spans="1:4" x14ac:dyDescent="0.25">
      <c r="A2084" s="279">
        <v>39055</v>
      </c>
      <c r="B2084" s="309" t="s">
        <v>405</v>
      </c>
      <c r="C2084" s="309" t="s">
        <v>408</v>
      </c>
      <c r="D2084">
        <v>1007</v>
      </c>
    </row>
    <row r="2085" spans="1:4" x14ac:dyDescent="0.25">
      <c r="A2085" s="279">
        <v>39055</v>
      </c>
      <c r="B2085" s="309" t="s">
        <v>405</v>
      </c>
      <c r="C2085" s="309" t="s">
        <v>409</v>
      </c>
      <c r="D2085">
        <v>1058</v>
      </c>
    </row>
    <row r="2086" spans="1:4" x14ac:dyDescent="0.25">
      <c r="A2086" s="279">
        <v>39055</v>
      </c>
      <c r="B2086" s="309" t="s">
        <v>405</v>
      </c>
      <c r="C2086" s="309" t="s">
        <v>410</v>
      </c>
      <c r="D2086">
        <v>1031</v>
      </c>
    </row>
    <row r="2087" spans="1:4" x14ac:dyDescent="0.25">
      <c r="A2087" s="279">
        <v>39055</v>
      </c>
      <c r="B2087" s="309" t="s">
        <v>411</v>
      </c>
      <c r="C2087" s="309" t="s">
        <v>406</v>
      </c>
      <c r="D2087">
        <v>232308</v>
      </c>
    </row>
    <row r="2088" spans="1:4" x14ac:dyDescent="0.25">
      <c r="A2088" s="279">
        <v>39055</v>
      </c>
      <c r="B2088" s="309" t="s">
        <v>411</v>
      </c>
      <c r="C2088" s="309" t="s">
        <v>198</v>
      </c>
      <c r="D2088">
        <v>0</v>
      </c>
    </row>
    <row r="2089" spans="1:4" x14ac:dyDescent="0.25">
      <c r="A2089" s="279">
        <v>39055</v>
      </c>
      <c r="B2089" s="309" t="s">
        <v>411</v>
      </c>
      <c r="C2089" s="309" t="s">
        <v>199</v>
      </c>
      <c r="D2089">
        <v>0</v>
      </c>
    </row>
    <row r="2090" spans="1:4" x14ac:dyDescent="0.25">
      <c r="A2090" s="279">
        <v>39055</v>
      </c>
      <c r="B2090" s="309" t="s">
        <v>411</v>
      </c>
      <c r="C2090" s="309" t="s">
        <v>90</v>
      </c>
      <c r="D2090">
        <v>277</v>
      </c>
    </row>
    <row r="2091" spans="1:4" x14ac:dyDescent="0.25">
      <c r="A2091" s="279">
        <v>39055</v>
      </c>
      <c r="B2091" s="309" t="s">
        <v>411</v>
      </c>
      <c r="C2091" s="309" t="s">
        <v>24</v>
      </c>
      <c r="D2091">
        <v>0</v>
      </c>
    </row>
    <row r="2092" spans="1:4" x14ac:dyDescent="0.25">
      <c r="A2092" s="279">
        <v>39055</v>
      </c>
      <c r="B2092" s="309" t="s">
        <v>411</v>
      </c>
      <c r="C2092" s="309" t="s">
        <v>91</v>
      </c>
      <c r="D2092">
        <v>0</v>
      </c>
    </row>
    <row r="2093" spans="1:4" x14ac:dyDescent="0.25">
      <c r="A2093" s="279">
        <v>39055</v>
      </c>
      <c r="B2093" s="309" t="s">
        <v>411</v>
      </c>
      <c r="C2093" s="309" t="s">
        <v>118</v>
      </c>
      <c r="D2093">
        <v>0</v>
      </c>
    </row>
    <row r="2094" spans="1:4" x14ac:dyDescent="0.25">
      <c r="A2094" s="279">
        <v>39055</v>
      </c>
      <c r="B2094" s="309" t="s">
        <v>411</v>
      </c>
      <c r="C2094" s="309" t="s">
        <v>407</v>
      </c>
      <c r="D2094">
        <v>232031</v>
      </c>
    </row>
    <row r="2095" spans="1:4" x14ac:dyDescent="0.25">
      <c r="A2095" s="279">
        <v>39055</v>
      </c>
      <c r="B2095" s="309" t="s">
        <v>411</v>
      </c>
      <c r="C2095" s="309" t="s">
        <v>412</v>
      </c>
      <c r="D2095">
        <v>1007</v>
      </c>
    </row>
    <row r="2096" spans="1:4" x14ac:dyDescent="0.25">
      <c r="A2096" s="279">
        <v>39055</v>
      </c>
      <c r="B2096" s="309" t="s">
        <v>411</v>
      </c>
      <c r="C2096" s="309" t="s">
        <v>409</v>
      </c>
      <c r="D2096">
        <v>1049</v>
      </c>
    </row>
    <row r="2097" spans="1:4" x14ac:dyDescent="0.25">
      <c r="A2097" s="279">
        <v>39056</v>
      </c>
      <c r="B2097" s="309" t="s">
        <v>405</v>
      </c>
      <c r="C2097" s="309" t="s">
        <v>406</v>
      </c>
      <c r="D2097">
        <v>3765772.1</v>
      </c>
    </row>
    <row r="2098" spans="1:4" x14ac:dyDescent="0.25">
      <c r="A2098" s="279">
        <v>39056</v>
      </c>
      <c r="B2098" s="309" t="s">
        <v>405</v>
      </c>
      <c r="C2098" s="309" t="s">
        <v>89</v>
      </c>
      <c r="D2098">
        <v>0</v>
      </c>
    </row>
    <row r="2099" spans="1:4" x14ac:dyDescent="0.25">
      <c r="A2099" s="279">
        <v>39056</v>
      </c>
      <c r="B2099" s="309" t="s">
        <v>405</v>
      </c>
      <c r="C2099" s="309" t="s">
        <v>198</v>
      </c>
      <c r="D2099">
        <v>0</v>
      </c>
    </row>
    <row r="2100" spans="1:4" x14ac:dyDescent="0.25">
      <c r="A2100" s="279">
        <v>39056</v>
      </c>
      <c r="B2100" s="309" t="s">
        <v>405</v>
      </c>
      <c r="C2100" s="309" t="s">
        <v>199</v>
      </c>
      <c r="D2100">
        <v>0</v>
      </c>
    </row>
    <row r="2101" spans="1:4" x14ac:dyDescent="0.25">
      <c r="A2101" s="279">
        <v>39056</v>
      </c>
      <c r="B2101" s="309" t="s">
        <v>405</v>
      </c>
      <c r="C2101" s="309" t="s">
        <v>90</v>
      </c>
      <c r="D2101">
        <v>2141</v>
      </c>
    </row>
    <row r="2102" spans="1:4" x14ac:dyDescent="0.25">
      <c r="A2102" s="279">
        <v>39056</v>
      </c>
      <c r="B2102" s="309" t="s">
        <v>405</v>
      </c>
      <c r="C2102" s="309" t="s">
        <v>24</v>
      </c>
      <c r="D2102">
        <v>0</v>
      </c>
    </row>
    <row r="2103" spans="1:4" x14ac:dyDescent="0.25">
      <c r="A2103" s="279">
        <v>39056</v>
      </c>
      <c r="B2103" s="309" t="s">
        <v>405</v>
      </c>
      <c r="C2103" s="309" t="s">
        <v>91</v>
      </c>
      <c r="D2103">
        <v>0</v>
      </c>
    </row>
    <row r="2104" spans="1:4" x14ac:dyDescent="0.25">
      <c r="A2104" s="279">
        <v>39056</v>
      </c>
      <c r="B2104" s="309" t="s">
        <v>405</v>
      </c>
      <c r="C2104" s="309" t="s">
        <v>118</v>
      </c>
      <c r="D2104">
        <v>0</v>
      </c>
    </row>
    <row r="2105" spans="1:4" x14ac:dyDescent="0.25">
      <c r="A2105" s="279">
        <v>39056</v>
      </c>
      <c r="B2105" s="309" t="s">
        <v>405</v>
      </c>
      <c r="C2105" s="309" t="s">
        <v>407</v>
      </c>
      <c r="D2105">
        <v>3763631.1</v>
      </c>
    </row>
    <row r="2106" spans="1:4" x14ac:dyDescent="0.25">
      <c r="A2106" s="279">
        <v>39056</v>
      </c>
      <c r="B2106" s="309" t="s">
        <v>405</v>
      </c>
      <c r="C2106" s="309" t="s">
        <v>408</v>
      </c>
      <c r="D2106">
        <v>1007</v>
      </c>
    </row>
    <row r="2107" spans="1:4" x14ac:dyDescent="0.25">
      <c r="A2107" s="279">
        <v>39056</v>
      </c>
      <c r="B2107" s="309" t="s">
        <v>405</v>
      </c>
      <c r="C2107" s="309" t="s">
        <v>409</v>
      </c>
      <c r="D2107">
        <v>1058</v>
      </c>
    </row>
    <row r="2108" spans="1:4" x14ac:dyDescent="0.25">
      <c r="A2108" s="279">
        <v>39056</v>
      </c>
      <c r="B2108" s="309" t="s">
        <v>405</v>
      </c>
      <c r="C2108" s="309" t="s">
        <v>410</v>
      </c>
      <c r="D2108">
        <v>1033</v>
      </c>
    </row>
    <row r="2109" spans="1:4" x14ac:dyDescent="0.25">
      <c r="A2109" s="279">
        <v>39056</v>
      </c>
      <c r="B2109" s="309" t="s">
        <v>411</v>
      </c>
      <c r="C2109" s="309" t="s">
        <v>406</v>
      </c>
      <c r="D2109">
        <v>232031</v>
      </c>
    </row>
    <row r="2110" spans="1:4" x14ac:dyDescent="0.25">
      <c r="A2110" s="279">
        <v>39056</v>
      </c>
      <c r="B2110" s="309" t="s">
        <v>411</v>
      </c>
      <c r="C2110" s="309" t="s">
        <v>198</v>
      </c>
      <c r="D2110">
        <v>0</v>
      </c>
    </row>
    <row r="2111" spans="1:4" x14ac:dyDescent="0.25">
      <c r="A2111" s="279">
        <v>39056</v>
      </c>
      <c r="B2111" s="309" t="s">
        <v>411</v>
      </c>
      <c r="C2111" s="309" t="s">
        <v>199</v>
      </c>
      <c r="D2111">
        <v>0</v>
      </c>
    </row>
    <row r="2112" spans="1:4" x14ac:dyDescent="0.25">
      <c r="A2112" s="279">
        <v>39056</v>
      </c>
      <c r="B2112" s="309" t="s">
        <v>411</v>
      </c>
      <c r="C2112" s="309" t="s">
        <v>90</v>
      </c>
      <c r="D2112">
        <v>50</v>
      </c>
    </row>
    <row r="2113" spans="1:4" x14ac:dyDescent="0.25">
      <c r="A2113" s="279">
        <v>39056</v>
      </c>
      <c r="B2113" s="309" t="s">
        <v>411</v>
      </c>
      <c r="C2113" s="309" t="s">
        <v>24</v>
      </c>
      <c r="D2113">
        <v>1350</v>
      </c>
    </row>
    <row r="2114" spans="1:4" x14ac:dyDescent="0.25">
      <c r="A2114" s="279">
        <v>39056</v>
      </c>
      <c r="B2114" s="309" t="s">
        <v>411</v>
      </c>
      <c r="C2114" s="309" t="s">
        <v>91</v>
      </c>
      <c r="D2114">
        <v>0</v>
      </c>
    </row>
    <row r="2115" spans="1:4" x14ac:dyDescent="0.25">
      <c r="A2115" s="279">
        <v>39056</v>
      </c>
      <c r="B2115" s="309" t="s">
        <v>411</v>
      </c>
      <c r="C2115" s="309" t="s">
        <v>118</v>
      </c>
      <c r="D2115">
        <v>0</v>
      </c>
    </row>
    <row r="2116" spans="1:4" x14ac:dyDescent="0.25">
      <c r="A2116" s="279">
        <v>39056</v>
      </c>
      <c r="B2116" s="309" t="s">
        <v>411</v>
      </c>
      <c r="C2116" s="309" t="s">
        <v>407</v>
      </c>
      <c r="D2116">
        <v>230631</v>
      </c>
    </row>
    <row r="2117" spans="1:4" x14ac:dyDescent="0.25">
      <c r="A2117" s="279">
        <v>39056</v>
      </c>
      <c r="B2117" s="309" t="s">
        <v>411</v>
      </c>
      <c r="C2117" s="309" t="s">
        <v>412</v>
      </c>
      <c r="D2117">
        <v>1007</v>
      </c>
    </row>
    <row r="2118" spans="1:4" x14ac:dyDescent="0.25">
      <c r="A2118" s="279">
        <v>39056</v>
      </c>
      <c r="B2118" s="309" t="s">
        <v>411</v>
      </c>
      <c r="C2118" s="309" t="s">
        <v>409</v>
      </c>
      <c r="D2118">
        <v>1039</v>
      </c>
    </row>
    <row r="2119" spans="1:4" x14ac:dyDescent="0.25">
      <c r="A2119" s="279">
        <v>39057</v>
      </c>
      <c r="B2119" s="309" t="s">
        <v>405</v>
      </c>
      <c r="C2119" s="309" t="s">
        <v>406</v>
      </c>
      <c r="D2119">
        <v>3763631.1</v>
      </c>
    </row>
    <row r="2120" spans="1:4" x14ac:dyDescent="0.25">
      <c r="A2120" s="279">
        <v>39057</v>
      </c>
      <c r="B2120" s="309" t="s">
        <v>405</v>
      </c>
      <c r="C2120" s="309" t="s">
        <v>89</v>
      </c>
      <c r="D2120">
        <v>0</v>
      </c>
    </row>
    <row r="2121" spans="1:4" x14ac:dyDescent="0.25">
      <c r="A2121" s="279">
        <v>39057</v>
      </c>
      <c r="B2121" s="309" t="s">
        <v>405</v>
      </c>
      <c r="C2121" s="309" t="s">
        <v>198</v>
      </c>
      <c r="D2121">
        <v>0</v>
      </c>
    </row>
    <row r="2122" spans="1:4" x14ac:dyDescent="0.25">
      <c r="A2122" s="279">
        <v>39057</v>
      </c>
      <c r="B2122" s="309" t="s">
        <v>405</v>
      </c>
      <c r="C2122" s="309" t="s">
        <v>199</v>
      </c>
      <c r="D2122">
        <v>0</v>
      </c>
    </row>
    <row r="2123" spans="1:4" x14ac:dyDescent="0.25">
      <c r="A2123" s="279">
        <v>39057</v>
      </c>
      <c r="B2123" s="309" t="s">
        <v>405</v>
      </c>
      <c r="C2123" s="309" t="s">
        <v>90</v>
      </c>
      <c r="D2123">
        <v>5615</v>
      </c>
    </row>
    <row r="2124" spans="1:4" x14ac:dyDescent="0.25">
      <c r="A2124" s="279">
        <v>39057</v>
      </c>
      <c r="B2124" s="309" t="s">
        <v>405</v>
      </c>
      <c r="C2124" s="309" t="s">
        <v>24</v>
      </c>
      <c r="D2124">
        <v>0</v>
      </c>
    </row>
    <row r="2125" spans="1:4" x14ac:dyDescent="0.25">
      <c r="A2125" s="279">
        <v>39057</v>
      </c>
      <c r="B2125" s="309" t="s">
        <v>405</v>
      </c>
      <c r="C2125" s="309" t="s">
        <v>91</v>
      </c>
      <c r="D2125">
        <v>0</v>
      </c>
    </row>
    <row r="2126" spans="1:4" x14ac:dyDescent="0.25">
      <c r="A2126" s="279">
        <v>39057</v>
      </c>
      <c r="B2126" s="309" t="s">
        <v>405</v>
      </c>
      <c r="C2126" s="309" t="s">
        <v>118</v>
      </c>
      <c r="D2126">
        <v>0</v>
      </c>
    </row>
    <row r="2127" spans="1:4" x14ac:dyDescent="0.25">
      <c r="A2127" s="279">
        <v>39057</v>
      </c>
      <c r="B2127" s="309" t="s">
        <v>405</v>
      </c>
      <c r="C2127" s="309" t="s">
        <v>407</v>
      </c>
      <c r="D2127">
        <v>3758016.1</v>
      </c>
    </row>
    <row r="2128" spans="1:4" x14ac:dyDescent="0.25">
      <c r="A2128" s="279">
        <v>39057</v>
      </c>
      <c r="B2128" s="309" t="s">
        <v>405</v>
      </c>
      <c r="C2128" s="309" t="s">
        <v>408</v>
      </c>
      <c r="D2128">
        <v>1007</v>
      </c>
    </row>
    <row r="2129" spans="1:4" x14ac:dyDescent="0.25">
      <c r="A2129" s="279">
        <v>39057</v>
      </c>
      <c r="B2129" s="309" t="s">
        <v>405</v>
      </c>
      <c r="C2129" s="309" t="s">
        <v>409</v>
      </c>
      <c r="D2129">
        <v>1058</v>
      </c>
    </row>
    <row r="2130" spans="1:4" x14ac:dyDescent="0.25">
      <c r="A2130" s="279">
        <v>39057</v>
      </c>
      <c r="B2130" s="309" t="s">
        <v>405</v>
      </c>
      <c r="C2130" s="309" t="s">
        <v>410</v>
      </c>
      <c r="D2130">
        <v>1033</v>
      </c>
    </row>
    <row r="2131" spans="1:4" x14ac:dyDescent="0.25">
      <c r="A2131" s="279">
        <v>39057</v>
      </c>
      <c r="B2131" s="309" t="s">
        <v>411</v>
      </c>
      <c r="C2131" s="309" t="s">
        <v>406</v>
      </c>
      <c r="D2131">
        <v>230631</v>
      </c>
    </row>
    <row r="2132" spans="1:4" x14ac:dyDescent="0.25">
      <c r="A2132" s="279">
        <v>39057</v>
      </c>
      <c r="B2132" s="309" t="s">
        <v>411</v>
      </c>
      <c r="C2132" s="309" t="s">
        <v>198</v>
      </c>
      <c r="D2132">
        <v>0</v>
      </c>
    </row>
    <row r="2133" spans="1:4" x14ac:dyDescent="0.25">
      <c r="A2133" s="279">
        <v>39057</v>
      </c>
      <c r="B2133" s="309" t="s">
        <v>411</v>
      </c>
      <c r="C2133" s="309" t="s">
        <v>199</v>
      </c>
      <c r="D2133">
        <v>0</v>
      </c>
    </row>
    <row r="2134" spans="1:4" x14ac:dyDescent="0.25">
      <c r="A2134" s="279">
        <v>39057</v>
      </c>
      <c r="B2134" s="309" t="s">
        <v>411</v>
      </c>
      <c r="C2134" s="309" t="s">
        <v>90</v>
      </c>
      <c r="D2134">
        <v>264</v>
      </c>
    </row>
    <row r="2135" spans="1:4" x14ac:dyDescent="0.25">
      <c r="A2135" s="279">
        <v>39057</v>
      </c>
      <c r="B2135" s="309" t="s">
        <v>411</v>
      </c>
      <c r="C2135" s="309" t="s">
        <v>24</v>
      </c>
      <c r="D2135">
        <v>0</v>
      </c>
    </row>
    <row r="2136" spans="1:4" x14ac:dyDescent="0.25">
      <c r="A2136" s="279">
        <v>39057</v>
      </c>
      <c r="B2136" s="309" t="s">
        <v>411</v>
      </c>
      <c r="C2136" s="309" t="s">
        <v>91</v>
      </c>
      <c r="D2136">
        <v>0</v>
      </c>
    </row>
    <row r="2137" spans="1:4" x14ac:dyDescent="0.25">
      <c r="A2137" s="279">
        <v>39057</v>
      </c>
      <c r="B2137" s="309" t="s">
        <v>411</v>
      </c>
      <c r="C2137" s="309" t="s">
        <v>118</v>
      </c>
      <c r="D2137">
        <v>0</v>
      </c>
    </row>
    <row r="2138" spans="1:4" x14ac:dyDescent="0.25">
      <c r="A2138" s="279">
        <v>39057</v>
      </c>
      <c r="B2138" s="309" t="s">
        <v>411</v>
      </c>
      <c r="C2138" s="309" t="s">
        <v>407</v>
      </c>
      <c r="D2138">
        <v>230367</v>
      </c>
    </row>
    <row r="2139" spans="1:4" x14ac:dyDescent="0.25">
      <c r="A2139" s="279">
        <v>39057</v>
      </c>
      <c r="B2139" s="309" t="s">
        <v>411</v>
      </c>
      <c r="C2139" s="309" t="s">
        <v>412</v>
      </c>
      <c r="D2139">
        <v>1007</v>
      </c>
    </row>
    <row r="2140" spans="1:4" x14ac:dyDescent="0.25">
      <c r="A2140" s="279">
        <v>39057</v>
      </c>
      <c r="B2140" s="309" t="s">
        <v>411</v>
      </c>
      <c r="C2140" s="309" t="s">
        <v>409</v>
      </c>
      <c r="D2140">
        <v>1049</v>
      </c>
    </row>
    <row r="2141" spans="1:4" x14ac:dyDescent="0.25">
      <c r="A2141" s="279">
        <v>39058</v>
      </c>
      <c r="B2141" s="309" t="s">
        <v>405</v>
      </c>
      <c r="C2141" s="309" t="s">
        <v>406</v>
      </c>
      <c r="D2141">
        <v>3758016.1</v>
      </c>
    </row>
    <row r="2142" spans="1:4" x14ac:dyDescent="0.25">
      <c r="A2142" s="279">
        <v>39058</v>
      </c>
      <c r="B2142" s="309" t="s">
        <v>405</v>
      </c>
      <c r="C2142" s="309" t="s">
        <v>89</v>
      </c>
      <c r="D2142">
        <v>0</v>
      </c>
    </row>
    <row r="2143" spans="1:4" x14ac:dyDescent="0.25">
      <c r="A2143" s="279">
        <v>39058</v>
      </c>
      <c r="B2143" s="309" t="s">
        <v>405</v>
      </c>
      <c r="C2143" s="309" t="s">
        <v>198</v>
      </c>
      <c r="D2143">
        <v>0</v>
      </c>
    </row>
    <row r="2144" spans="1:4" x14ac:dyDescent="0.25">
      <c r="A2144" s="279">
        <v>39058</v>
      </c>
      <c r="B2144" s="309" t="s">
        <v>405</v>
      </c>
      <c r="C2144" s="309" t="s">
        <v>199</v>
      </c>
      <c r="D2144">
        <v>0</v>
      </c>
    </row>
    <row r="2145" spans="1:4" x14ac:dyDescent="0.25">
      <c r="A2145" s="279">
        <v>39058</v>
      </c>
      <c r="B2145" s="309" t="s">
        <v>405</v>
      </c>
      <c r="C2145" s="309" t="s">
        <v>90</v>
      </c>
      <c r="D2145">
        <v>3977</v>
      </c>
    </row>
    <row r="2146" spans="1:4" x14ac:dyDescent="0.25">
      <c r="A2146" s="279">
        <v>39058</v>
      </c>
      <c r="B2146" s="309" t="s">
        <v>405</v>
      </c>
      <c r="C2146" s="309" t="s">
        <v>24</v>
      </c>
      <c r="D2146">
        <v>569</v>
      </c>
    </row>
    <row r="2147" spans="1:4" x14ac:dyDescent="0.25">
      <c r="A2147" s="279">
        <v>39058</v>
      </c>
      <c r="B2147" s="309" t="s">
        <v>405</v>
      </c>
      <c r="C2147" s="309" t="s">
        <v>91</v>
      </c>
      <c r="D2147">
        <v>0</v>
      </c>
    </row>
    <row r="2148" spans="1:4" x14ac:dyDescent="0.25">
      <c r="A2148" s="279">
        <v>39058</v>
      </c>
      <c r="B2148" s="309" t="s">
        <v>405</v>
      </c>
      <c r="C2148" s="309" t="s">
        <v>118</v>
      </c>
      <c r="D2148">
        <v>0</v>
      </c>
    </row>
    <row r="2149" spans="1:4" x14ac:dyDescent="0.25">
      <c r="A2149" s="279">
        <v>39058</v>
      </c>
      <c r="B2149" s="309" t="s">
        <v>405</v>
      </c>
      <c r="C2149" s="309" t="s">
        <v>407</v>
      </c>
      <c r="D2149">
        <v>3753470.1</v>
      </c>
    </row>
    <row r="2150" spans="1:4" x14ac:dyDescent="0.25">
      <c r="A2150" s="279">
        <v>39058</v>
      </c>
      <c r="B2150" s="309" t="s">
        <v>405</v>
      </c>
      <c r="C2150" s="309" t="s">
        <v>408</v>
      </c>
      <c r="D2150">
        <v>1007</v>
      </c>
    </row>
    <row r="2151" spans="1:4" x14ac:dyDescent="0.25">
      <c r="A2151" s="279">
        <v>39058</v>
      </c>
      <c r="B2151" s="309" t="s">
        <v>405</v>
      </c>
      <c r="C2151" s="309" t="s">
        <v>409</v>
      </c>
      <c r="D2151">
        <v>1058</v>
      </c>
    </row>
    <row r="2152" spans="1:4" x14ac:dyDescent="0.25">
      <c r="A2152" s="279">
        <v>39058</v>
      </c>
      <c r="B2152" s="309" t="s">
        <v>405</v>
      </c>
      <c r="C2152" s="309" t="s">
        <v>410</v>
      </c>
      <c r="D2152">
        <v>1031</v>
      </c>
    </row>
    <row r="2153" spans="1:4" x14ac:dyDescent="0.25">
      <c r="A2153" s="279">
        <v>39058</v>
      </c>
      <c r="B2153" s="309" t="s">
        <v>411</v>
      </c>
      <c r="C2153" s="309" t="s">
        <v>406</v>
      </c>
      <c r="D2153">
        <v>230367</v>
      </c>
    </row>
    <row r="2154" spans="1:4" x14ac:dyDescent="0.25">
      <c r="A2154" s="279">
        <v>39058</v>
      </c>
      <c r="B2154" s="309" t="s">
        <v>411</v>
      </c>
      <c r="C2154" s="309" t="s">
        <v>198</v>
      </c>
      <c r="D2154">
        <v>0</v>
      </c>
    </row>
    <row r="2155" spans="1:4" x14ac:dyDescent="0.25">
      <c r="A2155" s="279">
        <v>39058</v>
      </c>
      <c r="B2155" s="309" t="s">
        <v>411</v>
      </c>
      <c r="C2155" s="309" t="s">
        <v>199</v>
      </c>
      <c r="D2155">
        <v>0</v>
      </c>
    </row>
    <row r="2156" spans="1:4" x14ac:dyDescent="0.25">
      <c r="A2156" s="279">
        <v>39058</v>
      </c>
      <c r="B2156" s="309" t="s">
        <v>411</v>
      </c>
      <c r="C2156" s="309" t="s">
        <v>90</v>
      </c>
      <c r="D2156">
        <v>277</v>
      </c>
    </row>
    <row r="2157" spans="1:4" x14ac:dyDescent="0.25">
      <c r="A2157" s="279">
        <v>39058</v>
      </c>
      <c r="B2157" s="309" t="s">
        <v>411</v>
      </c>
      <c r="C2157" s="309" t="s">
        <v>24</v>
      </c>
      <c r="D2157">
        <v>0</v>
      </c>
    </row>
    <row r="2158" spans="1:4" x14ac:dyDescent="0.25">
      <c r="A2158" s="279">
        <v>39058</v>
      </c>
      <c r="B2158" s="309" t="s">
        <v>411</v>
      </c>
      <c r="C2158" s="309" t="s">
        <v>91</v>
      </c>
      <c r="D2158">
        <v>0</v>
      </c>
    </row>
    <row r="2159" spans="1:4" x14ac:dyDescent="0.25">
      <c r="A2159" s="279">
        <v>39058</v>
      </c>
      <c r="B2159" s="309" t="s">
        <v>411</v>
      </c>
      <c r="C2159" s="309" t="s">
        <v>118</v>
      </c>
      <c r="D2159">
        <v>0</v>
      </c>
    </row>
    <row r="2160" spans="1:4" x14ac:dyDescent="0.25">
      <c r="A2160" s="279">
        <v>39058</v>
      </c>
      <c r="B2160" s="309" t="s">
        <v>411</v>
      </c>
      <c r="C2160" s="309" t="s">
        <v>407</v>
      </c>
      <c r="D2160">
        <v>230090</v>
      </c>
    </row>
    <row r="2161" spans="1:4" x14ac:dyDescent="0.25">
      <c r="A2161" s="279">
        <v>39058</v>
      </c>
      <c r="B2161" s="309" t="s">
        <v>411</v>
      </c>
      <c r="C2161" s="309" t="s">
        <v>412</v>
      </c>
      <c r="D2161">
        <v>1007</v>
      </c>
    </row>
    <row r="2162" spans="1:4" x14ac:dyDescent="0.25">
      <c r="A2162" s="279">
        <v>39058</v>
      </c>
      <c r="B2162" s="309" t="s">
        <v>411</v>
      </c>
      <c r="C2162" s="309" t="s">
        <v>409</v>
      </c>
      <c r="D2162">
        <v>1049</v>
      </c>
    </row>
    <row r="2163" spans="1:4" x14ac:dyDescent="0.25">
      <c r="A2163" s="279">
        <v>39059</v>
      </c>
      <c r="B2163" s="309" t="s">
        <v>405</v>
      </c>
      <c r="C2163" s="309" t="s">
        <v>406</v>
      </c>
      <c r="D2163">
        <v>3753470.1</v>
      </c>
    </row>
    <row r="2164" spans="1:4" x14ac:dyDescent="0.25">
      <c r="A2164" s="279">
        <v>39059</v>
      </c>
      <c r="B2164" s="309" t="s">
        <v>405</v>
      </c>
      <c r="C2164" s="309" t="s">
        <v>89</v>
      </c>
      <c r="D2164">
        <v>0</v>
      </c>
    </row>
    <row r="2165" spans="1:4" x14ac:dyDescent="0.25">
      <c r="A2165" s="279">
        <v>39059</v>
      </c>
      <c r="B2165" s="309" t="s">
        <v>405</v>
      </c>
      <c r="C2165" s="309" t="s">
        <v>198</v>
      </c>
      <c r="D2165">
        <v>0</v>
      </c>
    </row>
    <row r="2166" spans="1:4" x14ac:dyDescent="0.25">
      <c r="A2166" s="279">
        <v>39059</v>
      </c>
      <c r="B2166" s="309" t="s">
        <v>405</v>
      </c>
      <c r="C2166" s="309" t="s">
        <v>199</v>
      </c>
      <c r="D2166">
        <v>0</v>
      </c>
    </row>
    <row r="2167" spans="1:4" x14ac:dyDescent="0.25">
      <c r="A2167" s="279">
        <v>39059</v>
      </c>
      <c r="B2167" s="309" t="s">
        <v>405</v>
      </c>
      <c r="C2167" s="309" t="s">
        <v>90</v>
      </c>
      <c r="D2167">
        <v>2108</v>
      </c>
    </row>
    <row r="2168" spans="1:4" x14ac:dyDescent="0.25">
      <c r="A2168" s="279">
        <v>39059</v>
      </c>
      <c r="B2168" s="309" t="s">
        <v>405</v>
      </c>
      <c r="C2168" s="309" t="s">
        <v>24</v>
      </c>
      <c r="D2168">
        <v>5379</v>
      </c>
    </row>
    <row r="2169" spans="1:4" x14ac:dyDescent="0.25">
      <c r="A2169" s="279">
        <v>39059</v>
      </c>
      <c r="B2169" s="309" t="s">
        <v>405</v>
      </c>
      <c r="C2169" s="309" t="s">
        <v>91</v>
      </c>
      <c r="D2169">
        <v>0</v>
      </c>
    </row>
    <row r="2170" spans="1:4" x14ac:dyDescent="0.25">
      <c r="A2170" s="279">
        <v>39059</v>
      </c>
      <c r="B2170" s="309" t="s">
        <v>405</v>
      </c>
      <c r="C2170" s="309" t="s">
        <v>118</v>
      </c>
      <c r="D2170">
        <v>0</v>
      </c>
    </row>
    <row r="2171" spans="1:4" x14ac:dyDescent="0.25">
      <c r="A2171" s="279">
        <v>39059</v>
      </c>
      <c r="B2171" s="309" t="s">
        <v>405</v>
      </c>
      <c r="C2171" s="309" t="s">
        <v>407</v>
      </c>
      <c r="D2171">
        <v>3745983.1</v>
      </c>
    </row>
    <row r="2172" spans="1:4" x14ac:dyDescent="0.25">
      <c r="A2172" s="279">
        <v>39059</v>
      </c>
      <c r="B2172" s="309" t="s">
        <v>405</v>
      </c>
      <c r="C2172" s="309" t="s">
        <v>408</v>
      </c>
      <c r="D2172">
        <v>1007</v>
      </c>
    </row>
    <row r="2173" spans="1:4" x14ac:dyDescent="0.25">
      <c r="A2173" s="279">
        <v>39059</v>
      </c>
      <c r="B2173" s="309" t="s">
        <v>405</v>
      </c>
      <c r="C2173" s="309" t="s">
        <v>409</v>
      </c>
      <c r="D2173">
        <v>1058</v>
      </c>
    </row>
    <row r="2174" spans="1:4" x14ac:dyDescent="0.25">
      <c r="A2174" s="279">
        <v>39059</v>
      </c>
      <c r="B2174" s="309" t="s">
        <v>405</v>
      </c>
      <c r="C2174" s="309" t="s">
        <v>410</v>
      </c>
      <c r="D2174">
        <v>1034</v>
      </c>
    </row>
    <row r="2175" spans="1:4" x14ac:dyDescent="0.25">
      <c r="A2175" s="279">
        <v>39059</v>
      </c>
      <c r="B2175" s="309" t="s">
        <v>411</v>
      </c>
      <c r="C2175" s="309" t="s">
        <v>406</v>
      </c>
      <c r="D2175">
        <v>230090</v>
      </c>
    </row>
    <row r="2176" spans="1:4" x14ac:dyDescent="0.25">
      <c r="A2176" s="279">
        <v>39059</v>
      </c>
      <c r="B2176" s="309" t="s">
        <v>411</v>
      </c>
      <c r="C2176" s="309" t="s">
        <v>198</v>
      </c>
      <c r="D2176">
        <v>0</v>
      </c>
    </row>
    <row r="2177" spans="1:4" x14ac:dyDescent="0.25">
      <c r="A2177" s="279">
        <v>39059</v>
      </c>
      <c r="B2177" s="309" t="s">
        <v>411</v>
      </c>
      <c r="C2177" s="309" t="s">
        <v>199</v>
      </c>
      <c r="D2177">
        <v>0</v>
      </c>
    </row>
    <row r="2178" spans="1:4" x14ac:dyDescent="0.25">
      <c r="A2178" s="279">
        <v>39059</v>
      </c>
      <c r="B2178" s="309" t="s">
        <v>411</v>
      </c>
      <c r="C2178" s="309" t="s">
        <v>90</v>
      </c>
      <c r="D2178">
        <v>101</v>
      </c>
    </row>
    <row r="2179" spans="1:4" x14ac:dyDescent="0.25">
      <c r="A2179" s="279">
        <v>39059</v>
      </c>
      <c r="B2179" s="309" t="s">
        <v>411</v>
      </c>
      <c r="C2179" s="309" t="s">
        <v>24</v>
      </c>
      <c r="D2179">
        <v>1286</v>
      </c>
    </row>
    <row r="2180" spans="1:4" x14ac:dyDescent="0.25">
      <c r="A2180" s="279">
        <v>39059</v>
      </c>
      <c r="B2180" s="309" t="s">
        <v>411</v>
      </c>
      <c r="C2180" s="309" t="s">
        <v>91</v>
      </c>
      <c r="D2180">
        <v>0</v>
      </c>
    </row>
    <row r="2181" spans="1:4" x14ac:dyDescent="0.25">
      <c r="A2181" s="279">
        <v>39059</v>
      </c>
      <c r="B2181" s="309" t="s">
        <v>411</v>
      </c>
      <c r="C2181" s="309" t="s">
        <v>118</v>
      </c>
      <c r="D2181">
        <v>0</v>
      </c>
    </row>
    <row r="2182" spans="1:4" x14ac:dyDescent="0.25">
      <c r="A2182" s="279">
        <v>39059</v>
      </c>
      <c r="B2182" s="309" t="s">
        <v>411</v>
      </c>
      <c r="C2182" s="309" t="s">
        <v>407</v>
      </c>
      <c r="D2182">
        <v>228703</v>
      </c>
    </row>
    <row r="2183" spans="1:4" x14ac:dyDescent="0.25">
      <c r="A2183" s="279">
        <v>39059</v>
      </c>
      <c r="B2183" s="309" t="s">
        <v>411</v>
      </c>
      <c r="C2183" s="309" t="s">
        <v>412</v>
      </c>
      <c r="D2183">
        <v>1007</v>
      </c>
    </row>
    <row r="2184" spans="1:4" x14ac:dyDescent="0.25">
      <c r="A2184" s="279">
        <v>39059</v>
      </c>
      <c r="B2184" s="309" t="s">
        <v>411</v>
      </c>
      <c r="C2184" s="309" t="s">
        <v>409</v>
      </c>
      <c r="D2184">
        <v>1049</v>
      </c>
    </row>
    <row r="2185" spans="1:4" x14ac:dyDescent="0.25">
      <c r="A2185" s="279">
        <v>39060</v>
      </c>
      <c r="B2185" s="309" t="s">
        <v>405</v>
      </c>
      <c r="C2185" s="309" t="s">
        <v>406</v>
      </c>
      <c r="D2185">
        <v>3745983.1</v>
      </c>
    </row>
    <row r="2186" spans="1:4" x14ac:dyDescent="0.25">
      <c r="A2186" s="279">
        <v>39060</v>
      </c>
      <c r="B2186" s="309" t="s">
        <v>405</v>
      </c>
      <c r="C2186" s="309" t="s">
        <v>89</v>
      </c>
      <c r="D2186">
        <v>0</v>
      </c>
    </row>
    <row r="2187" spans="1:4" x14ac:dyDescent="0.25">
      <c r="A2187" s="279">
        <v>39060</v>
      </c>
      <c r="B2187" s="309" t="s">
        <v>405</v>
      </c>
      <c r="C2187" s="309" t="s">
        <v>198</v>
      </c>
      <c r="D2187">
        <v>0</v>
      </c>
    </row>
    <row r="2188" spans="1:4" x14ac:dyDescent="0.25">
      <c r="A2188" s="279">
        <v>39060</v>
      </c>
      <c r="B2188" s="309" t="s">
        <v>405</v>
      </c>
      <c r="C2188" s="309" t="s">
        <v>199</v>
      </c>
      <c r="D2188">
        <v>0</v>
      </c>
    </row>
    <row r="2189" spans="1:4" x14ac:dyDescent="0.25">
      <c r="A2189" s="279">
        <v>39060</v>
      </c>
      <c r="B2189" s="309" t="s">
        <v>405</v>
      </c>
      <c r="C2189" s="309" t="s">
        <v>90</v>
      </c>
      <c r="D2189">
        <v>2140</v>
      </c>
    </row>
    <row r="2190" spans="1:4" x14ac:dyDescent="0.25">
      <c r="A2190" s="279">
        <v>39060</v>
      </c>
      <c r="B2190" s="309" t="s">
        <v>405</v>
      </c>
      <c r="C2190" s="309" t="s">
        <v>24</v>
      </c>
      <c r="D2190">
        <v>0</v>
      </c>
    </row>
    <row r="2191" spans="1:4" x14ac:dyDescent="0.25">
      <c r="A2191" s="279">
        <v>39060</v>
      </c>
      <c r="B2191" s="309" t="s">
        <v>405</v>
      </c>
      <c r="C2191" s="309" t="s">
        <v>91</v>
      </c>
      <c r="D2191">
        <v>0</v>
      </c>
    </row>
    <row r="2192" spans="1:4" x14ac:dyDescent="0.25">
      <c r="A2192" s="279">
        <v>39060</v>
      </c>
      <c r="B2192" s="309" t="s">
        <v>405</v>
      </c>
      <c r="C2192" s="309" t="s">
        <v>118</v>
      </c>
      <c r="D2192">
        <v>0</v>
      </c>
    </row>
    <row r="2193" spans="1:4" x14ac:dyDescent="0.25">
      <c r="A2193" s="279">
        <v>39060</v>
      </c>
      <c r="B2193" s="309" t="s">
        <v>405</v>
      </c>
      <c r="C2193" s="309" t="s">
        <v>407</v>
      </c>
      <c r="D2193">
        <v>3743843.1</v>
      </c>
    </row>
    <row r="2194" spans="1:4" x14ac:dyDescent="0.25">
      <c r="A2194" s="279">
        <v>39060</v>
      </c>
      <c r="B2194" s="309" t="s">
        <v>405</v>
      </c>
      <c r="C2194" s="309" t="s">
        <v>408</v>
      </c>
      <c r="D2194">
        <v>1007</v>
      </c>
    </row>
    <row r="2195" spans="1:4" x14ac:dyDescent="0.25">
      <c r="A2195" s="279">
        <v>39060</v>
      </c>
      <c r="B2195" s="309" t="s">
        <v>405</v>
      </c>
      <c r="C2195" s="309" t="s">
        <v>409</v>
      </c>
      <c r="D2195">
        <v>1058</v>
      </c>
    </row>
    <row r="2196" spans="1:4" x14ac:dyDescent="0.25">
      <c r="A2196" s="279">
        <v>39060</v>
      </c>
      <c r="B2196" s="309" t="s">
        <v>405</v>
      </c>
      <c r="C2196" s="309" t="s">
        <v>410</v>
      </c>
      <c r="D2196">
        <v>1034</v>
      </c>
    </row>
    <row r="2197" spans="1:4" x14ac:dyDescent="0.25">
      <c r="A2197" s="279">
        <v>39060</v>
      </c>
      <c r="B2197" s="309" t="s">
        <v>411</v>
      </c>
      <c r="C2197" s="309" t="s">
        <v>406</v>
      </c>
      <c r="D2197">
        <v>228703</v>
      </c>
    </row>
    <row r="2198" spans="1:4" x14ac:dyDescent="0.25">
      <c r="A2198" s="279">
        <v>39060</v>
      </c>
      <c r="B2198" s="309" t="s">
        <v>411</v>
      </c>
      <c r="C2198" s="309" t="s">
        <v>198</v>
      </c>
      <c r="D2198">
        <v>0</v>
      </c>
    </row>
    <row r="2199" spans="1:4" x14ac:dyDescent="0.25">
      <c r="A2199" s="279">
        <v>39060</v>
      </c>
      <c r="B2199" s="309" t="s">
        <v>411</v>
      </c>
      <c r="C2199" s="309" t="s">
        <v>199</v>
      </c>
      <c r="D2199">
        <v>0</v>
      </c>
    </row>
    <row r="2200" spans="1:4" x14ac:dyDescent="0.25">
      <c r="A2200" s="279">
        <v>39060</v>
      </c>
      <c r="B2200" s="309" t="s">
        <v>411</v>
      </c>
      <c r="C2200" s="309" t="s">
        <v>90</v>
      </c>
      <c r="D2200">
        <v>174</v>
      </c>
    </row>
    <row r="2201" spans="1:4" x14ac:dyDescent="0.25">
      <c r="A2201" s="279">
        <v>39060</v>
      </c>
      <c r="B2201" s="309" t="s">
        <v>411</v>
      </c>
      <c r="C2201" s="309" t="s">
        <v>24</v>
      </c>
      <c r="D2201">
        <v>2598</v>
      </c>
    </row>
    <row r="2202" spans="1:4" x14ac:dyDescent="0.25">
      <c r="A2202" s="279">
        <v>39060</v>
      </c>
      <c r="B2202" s="309" t="s">
        <v>411</v>
      </c>
      <c r="C2202" s="309" t="s">
        <v>91</v>
      </c>
      <c r="D2202">
        <v>0</v>
      </c>
    </row>
    <row r="2203" spans="1:4" x14ac:dyDescent="0.25">
      <c r="A2203" s="279">
        <v>39060</v>
      </c>
      <c r="B2203" s="309" t="s">
        <v>411</v>
      </c>
      <c r="C2203" s="309" t="s">
        <v>118</v>
      </c>
      <c r="D2203">
        <v>0</v>
      </c>
    </row>
    <row r="2204" spans="1:4" x14ac:dyDescent="0.25">
      <c r="A2204" s="279">
        <v>39060</v>
      </c>
      <c r="B2204" s="309" t="s">
        <v>411</v>
      </c>
      <c r="C2204" s="309" t="s">
        <v>407</v>
      </c>
      <c r="D2204">
        <v>225931</v>
      </c>
    </row>
    <row r="2205" spans="1:4" x14ac:dyDescent="0.25">
      <c r="A2205" s="279">
        <v>39060</v>
      </c>
      <c r="B2205" s="309" t="s">
        <v>411</v>
      </c>
      <c r="C2205" s="309" t="s">
        <v>412</v>
      </c>
      <c r="D2205">
        <v>1007</v>
      </c>
    </row>
    <row r="2206" spans="1:4" x14ac:dyDescent="0.25">
      <c r="A2206" s="279">
        <v>39060</v>
      </c>
      <c r="B2206" s="309" t="s">
        <v>411</v>
      </c>
      <c r="C2206" s="309" t="s">
        <v>409</v>
      </c>
      <c r="D2206">
        <v>1049</v>
      </c>
    </row>
    <row r="2207" spans="1:4" x14ac:dyDescent="0.25">
      <c r="A2207" s="279">
        <v>39061</v>
      </c>
      <c r="B2207" s="309" t="s">
        <v>405</v>
      </c>
      <c r="C2207" s="309" t="s">
        <v>406</v>
      </c>
      <c r="D2207">
        <v>3743843.1</v>
      </c>
    </row>
    <row r="2208" spans="1:4" x14ac:dyDescent="0.25">
      <c r="A2208" s="279">
        <v>39061</v>
      </c>
      <c r="B2208" s="309" t="s">
        <v>405</v>
      </c>
      <c r="C2208" s="309" t="s">
        <v>89</v>
      </c>
      <c r="D2208">
        <v>0</v>
      </c>
    </row>
    <row r="2209" spans="1:4" x14ac:dyDescent="0.25">
      <c r="A2209" s="279">
        <v>39061</v>
      </c>
      <c r="B2209" s="309" t="s">
        <v>405</v>
      </c>
      <c r="C2209" s="309" t="s">
        <v>198</v>
      </c>
      <c r="D2209">
        <v>0</v>
      </c>
    </row>
    <row r="2210" spans="1:4" x14ac:dyDescent="0.25">
      <c r="A2210" s="279">
        <v>39061</v>
      </c>
      <c r="B2210" s="309" t="s">
        <v>405</v>
      </c>
      <c r="C2210" s="309" t="s">
        <v>199</v>
      </c>
      <c r="D2210">
        <v>0</v>
      </c>
    </row>
    <row r="2211" spans="1:4" x14ac:dyDescent="0.25">
      <c r="A2211" s="279">
        <v>39061</v>
      </c>
      <c r="B2211" s="309" t="s">
        <v>405</v>
      </c>
      <c r="C2211" s="309" t="s">
        <v>90</v>
      </c>
      <c r="D2211">
        <v>3209</v>
      </c>
    </row>
    <row r="2212" spans="1:4" x14ac:dyDescent="0.25">
      <c r="A2212" s="279">
        <v>39061</v>
      </c>
      <c r="B2212" s="309" t="s">
        <v>405</v>
      </c>
      <c r="C2212" s="309" t="s">
        <v>24</v>
      </c>
      <c r="D2212">
        <v>0</v>
      </c>
    </row>
    <row r="2213" spans="1:4" x14ac:dyDescent="0.25">
      <c r="A2213" s="279">
        <v>39061</v>
      </c>
      <c r="B2213" s="309" t="s">
        <v>405</v>
      </c>
      <c r="C2213" s="309" t="s">
        <v>91</v>
      </c>
      <c r="D2213">
        <v>0</v>
      </c>
    </row>
    <row r="2214" spans="1:4" x14ac:dyDescent="0.25">
      <c r="A2214" s="279">
        <v>39061</v>
      </c>
      <c r="B2214" s="309" t="s">
        <v>405</v>
      </c>
      <c r="C2214" s="309" t="s">
        <v>118</v>
      </c>
      <c r="D2214">
        <v>0</v>
      </c>
    </row>
    <row r="2215" spans="1:4" x14ac:dyDescent="0.25">
      <c r="A2215" s="279">
        <v>39061</v>
      </c>
      <c r="B2215" s="309" t="s">
        <v>405</v>
      </c>
      <c r="C2215" s="309" t="s">
        <v>407</v>
      </c>
      <c r="D2215">
        <v>3740634.1</v>
      </c>
    </row>
    <row r="2216" spans="1:4" x14ac:dyDescent="0.25">
      <c r="A2216" s="279">
        <v>39061</v>
      </c>
      <c r="B2216" s="309" t="s">
        <v>405</v>
      </c>
      <c r="C2216" s="309" t="s">
        <v>408</v>
      </c>
      <c r="D2216">
        <v>1007</v>
      </c>
    </row>
    <row r="2217" spans="1:4" x14ac:dyDescent="0.25">
      <c r="A2217" s="279">
        <v>39061</v>
      </c>
      <c r="B2217" s="309" t="s">
        <v>405</v>
      </c>
      <c r="C2217" s="309" t="s">
        <v>409</v>
      </c>
      <c r="D2217">
        <v>1058</v>
      </c>
    </row>
    <row r="2218" spans="1:4" x14ac:dyDescent="0.25">
      <c r="A2218" s="279">
        <v>39061</v>
      </c>
      <c r="B2218" s="309" t="s">
        <v>405</v>
      </c>
      <c r="C2218" s="309" t="s">
        <v>410</v>
      </c>
      <c r="D2218">
        <v>1032</v>
      </c>
    </row>
    <row r="2219" spans="1:4" x14ac:dyDescent="0.25">
      <c r="A2219" s="279">
        <v>39061</v>
      </c>
      <c r="B2219" s="309" t="s">
        <v>411</v>
      </c>
      <c r="C2219" s="309" t="s">
        <v>406</v>
      </c>
      <c r="D2219">
        <v>225931</v>
      </c>
    </row>
    <row r="2220" spans="1:4" x14ac:dyDescent="0.25">
      <c r="A2220" s="279">
        <v>39061</v>
      </c>
      <c r="B2220" s="309" t="s">
        <v>411</v>
      </c>
      <c r="C2220" s="309" t="s">
        <v>198</v>
      </c>
      <c r="D2220">
        <v>0</v>
      </c>
    </row>
    <row r="2221" spans="1:4" x14ac:dyDescent="0.25">
      <c r="A2221" s="279">
        <v>39061</v>
      </c>
      <c r="B2221" s="309" t="s">
        <v>411</v>
      </c>
      <c r="C2221" s="309" t="s">
        <v>199</v>
      </c>
      <c r="D2221">
        <v>0</v>
      </c>
    </row>
    <row r="2222" spans="1:4" x14ac:dyDescent="0.25">
      <c r="A2222" s="279">
        <v>39061</v>
      </c>
      <c r="B2222" s="309" t="s">
        <v>411</v>
      </c>
      <c r="C2222" s="309" t="s">
        <v>90</v>
      </c>
      <c r="D2222">
        <v>276</v>
      </c>
    </row>
    <row r="2223" spans="1:4" x14ac:dyDescent="0.25">
      <c r="A2223" s="279">
        <v>39061</v>
      </c>
      <c r="B2223" s="309" t="s">
        <v>411</v>
      </c>
      <c r="C2223" s="309" t="s">
        <v>24</v>
      </c>
      <c r="D2223">
        <v>0</v>
      </c>
    </row>
    <row r="2224" spans="1:4" x14ac:dyDescent="0.25">
      <c r="A2224" s="279">
        <v>39061</v>
      </c>
      <c r="B2224" s="309" t="s">
        <v>411</v>
      </c>
      <c r="C2224" s="309" t="s">
        <v>91</v>
      </c>
      <c r="D2224">
        <v>0</v>
      </c>
    </row>
    <row r="2225" spans="1:4" x14ac:dyDescent="0.25">
      <c r="A2225" s="279">
        <v>39061</v>
      </c>
      <c r="B2225" s="309" t="s">
        <v>411</v>
      </c>
      <c r="C2225" s="309" t="s">
        <v>118</v>
      </c>
      <c r="D2225">
        <v>0</v>
      </c>
    </row>
    <row r="2226" spans="1:4" x14ac:dyDescent="0.25">
      <c r="A2226" s="279">
        <v>39061</v>
      </c>
      <c r="B2226" s="309" t="s">
        <v>411</v>
      </c>
      <c r="C2226" s="309" t="s">
        <v>407</v>
      </c>
      <c r="D2226">
        <v>225655</v>
      </c>
    </row>
    <row r="2227" spans="1:4" x14ac:dyDescent="0.25">
      <c r="A2227" s="279">
        <v>39061</v>
      </c>
      <c r="B2227" s="309" t="s">
        <v>411</v>
      </c>
      <c r="C2227" s="309" t="s">
        <v>412</v>
      </c>
      <c r="D2227">
        <v>1007</v>
      </c>
    </row>
    <row r="2228" spans="1:4" x14ac:dyDescent="0.25">
      <c r="A2228" s="279">
        <v>39061</v>
      </c>
      <c r="B2228" s="309" t="s">
        <v>411</v>
      </c>
      <c r="C2228" s="309" t="s">
        <v>409</v>
      </c>
      <c r="D2228">
        <v>1049</v>
      </c>
    </row>
    <row r="2229" spans="1:4" x14ac:dyDescent="0.25">
      <c r="A2229" s="279">
        <v>39062</v>
      </c>
      <c r="B2229" s="309" t="s">
        <v>405</v>
      </c>
      <c r="C2229" s="309" t="s">
        <v>406</v>
      </c>
      <c r="D2229">
        <v>3740634.1</v>
      </c>
    </row>
    <row r="2230" spans="1:4" x14ac:dyDescent="0.25">
      <c r="A2230" s="279">
        <v>39062</v>
      </c>
      <c r="B2230" s="309" t="s">
        <v>405</v>
      </c>
      <c r="C2230" s="309" t="s">
        <v>89</v>
      </c>
      <c r="D2230">
        <v>0</v>
      </c>
    </row>
    <row r="2231" spans="1:4" x14ac:dyDescent="0.25">
      <c r="A2231" s="279">
        <v>39062</v>
      </c>
      <c r="B2231" s="309" t="s">
        <v>405</v>
      </c>
      <c r="C2231" s="309" t="s">
        <v>198</v>
      </c>
      <c r="D2231">
        <v>0</v>
      </c>
    </row>
    <row r="2232" spans="1:4" x14ac:dyDescent="0.25">
      <c r="A2232" s="279">
        <v>39062</v>
      </c>
      <c r="B2232" s="309" t="s">
        <v>405</v>
      </c>
      <c r="C2232" s="309" t="s">
        <v>199</v>
      </c>
      <c r="D2232">
        <v>0</v>
      </c>
    </row>
    <row r="2233" spans="1:4" x14ac:dyDescent="0.25">
      <c r="A2233" s="279">
        <v>39062</v>
      </c>
      <c r="B2233" s="309" t="s">
        <v>405</v>
      </c>
      <c r="C2233" s="309" t="s">
        <v>90</v>
      </c>
      <c r="D2233">
        <v>1604</v>
      </c>
    </row>
    <row r="2234" spans="1:4" x14ac:dyDescent="0.25">
      <c r="A2234" s="279">
        <v>39062</v>
      </c>
      <c r="B2234" s="309" t="s">
        <v>405</v>
      </c>
      <c r="C2234" s="309" t="s">
        <v>24</v>
      </c>
      <c r="D2234">
        <v>0</v>
      </c>
    </row>
    <row r="2235" spans="1:4" x14ac:dyDescent="0.25">
      <c r="A2235" s="279">
        <v>39062</v>
      </c>
      <c r="B2235" s="309" t="s">
        <v>405</v>
      </c>
      <c r="C2235" s="309" t="s">
        <v>91</v>
      </c>
      <c r="D2235">
        <v>0</v>
      </c>
    </row>
    <row r="2236" spans="1:4" x14ac:dyDescent="0.25">
      <c r="A2236" s="279">
        <v>39062</v>
      </c>
      <c r="B2236" s="309" t="s">
        <v>405</v>
      </c>
      <c r="C2236" s="309" t="s">
        <v>118</v>
      </c>
      <c r="D2236">
        <v>0</v>
      </c>
    </row>
    <row r="2237" spans="1:4" x14ac:dyDescent="0.25">
      <c r="A2237" s="279">
        <v>39062</v>
      </c>
      <c r="B2237" s="309" t="s">
        <v>405</v>
      </c>
      <c r="C2237" s="309" t="s">
        <v>407</v>
      </c>
      <c r="D2237">
        <v>3739030.1</v>
      </c>
    </row>
    <row r="2238" spans="1:4" x14ac:dyDescent="0.25">
      <c r="A2238" s="279">
        <v>39062</v>
      </c>
      <c r="B2238" s="309" t="s">
        <v>405</v>
      </c>
      <c r="C2238" s="309" t="s">
        <v>408</v>
      </c>
      <c r="D2238">
        <v>1007</v>
      </c>
    </row>
    <row r="2239" spans="1:4" x14ac:dyDescent="0.25">
      <c r="A2239" s="279">
        <v>39062</v>
      </c>
      <c r="B2239" s="309" t="s">
        <v>405</v>
      </c>
      <c r="C2239" s="309" t="s">
        <v>409</v>
      </c>
      <c r="D2239">
        <v>1058</v>
      </c>
    </row>
    <row r="2240" spans="1:4" x14ac:dyDescent="0.25">
      <c r="A2240" s="279">
        <v>39062</v>
      </c>
      <c r="B2240" s="309" t="s">
        <v>405</v>
      </c>
      <c r="C2240" s="309" t="s">
        <v>410</v>
      </c>
      <c r="D2240">
        <v>1032</v>
      </c>
    </row>
    <row r="2241" spans="1:4" x14ac:dyDescent="0.25">
      <c r="A2241" s="279">
        <v>39062</v>
      </c>
      <c r="B2241" s="309" t="s">
        <v>411</v>
      </c>
      <c r="C2241" s="309" t="s">
        <v>406</v>
      </c>
      <c r="D2241">
        <v>225655</v>
      </c>
    </row>
    <row r="2242" spans="1:4" x14ac:dyDescent="0.25">
      <c r="A2242" s="279">
        <v>39062</v>
      </c>
      <c r="B2242" s="309" t="s">
        <v>411</v>
      </c>
      <c r="C2242" s="309" t="s">
        <v>198</v>
      </c>
      <c r="D2242">
        <v>0</v>
      </c>
    </row>
    <row r="2243" spans="1:4" x14ac:dyDescent="0.25">
      <c r="A2243" s="279">
        <v>39062</v>
      </c>
      <c r="B2243" s="309" t="s">
        <v>411</v>
      </c>
      <c r="C2243" s="309" t="s">
        <v>199</v>
      </c>
      <c r="D2243">
        <v>0</v>
      </c>
    </row>
    <row r="2244" spans="1:4" x14ac:dyDescent="0.25">
      <c r="A2244" s="279">
        <v>39062</v>
      </c>
      <c r="B2244" s="309" t="s">
        <v>411</v>
      </c>
      <c r="C2244" s="309" t="s">
        <v>90</v>
      </c>
      <c r="D2244">
        <v>57</v>
      </c>
    </row>
    <row r="2245" spans="1:4" x14ac:dyDescent="0.25">
      <c r="A2245" s="279">
        <v>39062</v>
      </c>
      <c r="B2245" s="309" t="s">
        <v>411</v>
      </c>
      <c r="C2245" s="309" t="s">
        <v>24</v>
      </c>
      <c r="D2245">
        <v>0</v>
      </c>
    </row>
    <row r="2246" spans="1:4" x14ac:dyDescent="0.25">
      <c r="A2246" s="279">
        <v>39062</v>
      </c>
      <c r="B2246" s="309" t="s">
        <v>411</v>
      </c>
      <c r="C2246" s="309" t="s">
        <v>91</v>
      </c>
      <c r="D2246">
        <v>0</v>
      </c>
    </row>
    <row r="2247" spans="1:4" x14ac:dyDescent="0.25">
      <c r="A2247" s="279">
        <v>39062</v>
      </c>
      <c r="B2247" s="309" t="s">
        <v>411</v>
      </c>
      <c r="C2247" s="309" t="s">
        <v>118</v>
      </c>
      <c r="D2247">
        <v>0</v>
      </c>
    </row>
    <row r="2248" spans="1:4" x14ac:dyDescent="0.25">
      <c r="A2248" s="279">
        <v>39062</v>
      </c>
      <c r="B2248" s="309" t="s">
        <v>411</v>
      </c>
      <c r="C2248" s="309" t="s">
        <v>407</v>
      </c>
      <c r="D2248">
        <v>225598</v>
      </c>
    </row>
    <row r="2249" spans="1:4" x14ac:dyDescent="0.25">
      <c r="A2249" s="279">
        <v>39062</v>
      </c>
      <c r="B2249" s="309" t="s">
        <v>411</v>
      </c>
      <c r="C2249" s="309" t="s">
        <v>412</v>
      </c>
      <c r="D2249">
        <v>1007</v>
      </c>
    </row>
    <row r="2250" spans="1:4" x14ac:dyDescent="0.25">
      <c r="A2250" s="279">
        <v>39062</v>
      </c>
      <c r="B2250" s="309" t="s">
        <v>411</v>
      </c>
      <c r="C2250" s="309" t="s">
        <v>409</v>
      </c>
      <c r="D2250">
        <v>1049</v>
      </c>
    </row>
    <row r="2251" spans="1:4" x14ac:dyDescent="0.25">
      <c r="A2251" s="279">
        <v>39063</v>
      </c>
      <c r="B2251" s="309" t="s">
        <v>405</v>
      </c>
      <c r="C2251" s="309" t="s">
        <v>406</v>
      </c>
      <c r="D2251">
        <v>3739030.1</v>
      </c>
    </row>
    <row r="2252" spans="1:4" x14ac:dyDescent="0.25">
      <c r="A2252" s="279">
        <v>39063</v>
      </c>
      <c r="B2252" s="309" t="s">
        <v>405</v>
      </c>
      <c r="C2252" s="309" t="s">
        <v>89</v>
      </c>
      <c r="D2252">
        <v>0</v>
      </c>
    </row>
    <row r="2253" spans="1:4" x14ac:dyDescent="0.25">
      <c r="A2253" s="279">
        <v>39063</v>
      </c>
      <c r="B2253" s="309" t="s">
        <v>405</v>
      </c>
      <c r="C2253" s="309" t="s">
        <v>198</v>
      </c>
      <c r="D2253">
        <v>0</v>
      </c>
    </row>
    <row r="2254" spans="1:4" x14ac:dyDescent="0.25">
      <c r="A2254" s="279">
        <v>39063</v>
      </c>
      <c r="B2254" s="309" t="s">
        <v>405</v>
      </c>
      <c r="C2254" s="309" t="s">
        <v>199</v>
      </c>
      <c r="D2254">
        <v>0</v>
      </c>
    </row>
    <row r="2255" spans="1:4" x14ac:dyDescent="0.25">
      <c r="A2255" s="279">
        <v>39063</v>
      </c>
      <c r="B2255" s="309" t="s">
        <v>405</v>
      </c>
      <c r="C2255" s="309" t="s">
        <v>90</v>
      </c>
      <c r="D2255">
        <v>2407</v>
      </c>
    </row>
    <row r="2256" spans="1:4" x14ac:dyDescent="0.25">
      <c r="A2256" s="279">
        <v>39063</v>
      </c>
      <c r="B2256" s="309" t="s">
        <v>405</v>
      </c>
      <c r="C2256" s="309" t="s">
        <v>24</v>
      </c>
      <c r="D2256">
        <v>0</v>
      </c>
    </row>
    <row r="2257" spans="1:4" x14ac:dyDescent="0.25">
      <c r="A2257" s="279">
        <v>39063</v>
      </c>
      <c r="B2257" s="309" t="s">
        <v>405</v>
      </c>
      <c r="C2257" s="309" t="s">
        <v>91</v>
      </c>
      <c r="D2257">
        <v>0</v>
      </c>
    </row>
    <row r="2258" spans="1:4" x14ac:dyDescent="0.25">
      <c r="A2258" s="279">
        <v>39063</v>
      </c>
      <c r="B2258" s="309" t="s">
        <v>405</v>
      </c>
      <c r="C2258" s="309" t="s">
        <v>118</v>
      </c>
      <c r="D2258">
        <v>0</v>
      </c>
    </row>
    <row r="2259" spans="1:4" x14ac:dyDescent="0.25">
      <c r="A2259" s="279">
        <v>39063</v>
      </c>
      <c r="B2259" s="309" t="s">
        <v>405</v>
      </c>
      <c r="C2259" s="309" t="s">
        <v>407</v>
      </c>
      <c r="D2259">
        <v>3736623.1</v>
      </c>
    </row>
    <row r="2260" spans="1:4" x14ac:dyDescent="0.25">
      <c r="A2260" s="279">
        <v>39063</v>
      </c>
      <c r="B2260" s="309" t="s">
        <v>405</v>
      </c>
      <c r="C2260" s="309" t="s">
        <v>408</v>
      </c>
      <c r="D2260">
        <v>1007</v>
      </c>
    </row>
    <row r="2261" spans="1:4" x14ac:dyDescent="0.25">
      <c r="A2261" s="279">
        <v>39063</v>
      </c>
      <c r="B2261" s="309" t="s">
        <v>405</v>
      </c>
      <c r="C2261" s="309" t="s">
        <v>409</v>
      </c>
      <c r="D2261">
        <v>1058</v>
      </c>
    </row>
    <row r="2262" spans="1:4" x14ac:dyDescent="0.25">
      <c r="A2262" s="279">
        <v>39063</v>
      </c>
      <c r="B2262" s="309" t="s">
        <v>405</v>
      </c>
      <c r="C2262" s="309" t="s">
        <v>410</v>
      </c>
      <c r="D2262">
        <v>1033</v>
      </c>
    </row>
    <row r="2263" spans="1:4" x14ac:dyDescent="0.25">
      <c r="A2263" s="279">
        <v>39063</v>
      </c>
      <c r="B2263" s="309" t="s">
        <v>411</v>
      </c>
      <c r="C2263" s="309" t="s">
        <v>406</v>
      </c>
      <c r="D2263">
        <v>225598</v>
      </c>
    </row>
    <row r="2264" spans="1:4" x14ac:dyDescent="0.25">
      <c r="A2264" s="279">
        <v>39063</v>
      </c>
      <c r="B2264" s="309" t="s">
        <v>411</v>
      </c>
      <c r="C2264" s="309" t="s">
        <v>198</v>
      </c>
      <c r="D2264">
        <v>0</v>
      </c>
    </row>
    <row r="2265" spans="1:4" x14ac:dyDescent="0.25">
      <c r="A2265" s="279">
        <v>39063</v>
      </c>
      <c r="B2265" s="309" t="s">
        <v>411</v>
      </c>
      <c r="C2265" s="309" t="s">
        <v>199</v>
      </c>
      <c r="D2265">
        <v>0</v>
      </c>
    </row>
    <row r="2266" spans="1:4" x14ac:dyDescent="0.25">
      <c r="A2266" s="279">
        <v>39063</v>
      </c>
      <c r="B2266" s="309" t="s">
        <v>411</v>
      </c>
      <c r="C2266" s="309" t="s">
        <v>90</v>
      </c>
      <c r="D2266">
        <v>220</v>
      </c>
    </row>
    <row r="2267" spans="1:4" x14ac:dyDescent="0.25">
      <c r="A2267" s="279">
        <v>39063</v>
      </c>
      <c r="B2267" s="309" t="s">
        <v>411</v>
      </c>
      <c r="C2267" s="309" t="s">
        <v>24</v>
      </c>
      <c r="D2267">
        <v>0</v>
      </c>
    </row>
    <row r="2268" spans="1:4" x14ac:dyDescent="0.25">
      <c r="A2268" s="279">
        <v>39063</v>
      </c>
      <c r="B2268" s="309" t="s">
        <v>411</v>
      </c>
      <c r="C2268" s="309" t="s">
        <v>91</v>
      </c>
      <c r="D2268">
        <v>0</v>
      </c>
    </row>
    <row r="2269" spans="1:4" x14ac:dyDescent="0.25">
      <c r="A2269" s="279">
        <v>39063</v>
      </c>
      <c r="B2269" s="309" t="s">
        <v>411</v>
      </c>
      <c r="C2269" s="309" t="s">
        <v>118</v>
      </c>
      <c r="D2269">
        <v>0</v>
      </c>
    </row>
    <row r="2270" spans="1:4" x14ac:dyDescent="0.25">
      <c r="A2270" s="279">
        <v>39063</v>
      </c>
      <c r="B2270" s="309" t="s">
        <v>411</v>
      </c>
      <c r="C2270" s="309" t="s">
        <v>407</v>
      </c>
      <c r="D2270">
        <v>225378</v>
      </c>
    </row>
    <row r="2271" spans="1:4" x14ac:dyDescent="0.25">
      <c r="A2271" s="279">
        <v>39063</v>
      </c>
      <c r="B2271" s="309" t="s">
        <v>411</v>
      </c>
      <c r="C2271" s="309" t="s">
        <v>412</v>
      </c>
      <c r="D2271">
        <v>1007</v>
      </c>
    </row>
    <row r="2272" spans="1:4" x14ac:dyDescent="0.25">
      <c r="A2272" s="279">
        <v>39063</v>
      </c>
      <c r="B2272" s="309" t="s">
        <v>411</v>
      </c>
      <c r="C2272" s="309" t="s">
        <v>409</v>
      </c>
      <c r="D2272">
        <v>1049</v>
      </c>
    </row>
    <row r="2273" spans="1:4" x14ac:dyDescent="0.25">
      <c r="A2273" s="279">
        <v>39064</v>
      </c>
      <c r="B2273" s="309" t="s">
        <v>405</v>
      </c>
      <c r="C2273" s="309" t="s">
        <v>406</v>
      </c>
      <c r="D2273">
        <v>3736623.1</v>
      </c>
    </row>
    <row r="2274" spans="1:4" x14ac:dyDescent="0.25">
      <c r="A2274" s="279">
        <v>39064</v>
      </c>
      <c r="B2274" s="309" t="s">
        <v>405</v>
      </c>
      <c r="C2274" s="309" t="s">
        <v>89</v>
      </c>
      <c r="D2274">
        <v>0</v>
      </c>
    </row>
    <row r="2275" spans="1:4" x14ac:dyDescent="0.25">
      <c r="A2275" s="279">
        <v>39064</v>
      </c>
      <c r="B2275" s="309" t="s">
        <v>405</v>
      </c>
      <c r="C2275" s="309" t="s">
        <v>198</v>
      </c>
      <c r="D2275">
        <v>0</v>
      </c>
    </row>
    <row r="2276" spans="1:4" x14ac:dyDescent="0.25">
      <c r="A2276" s="279">
        <v>39064</v>
      </c>
      <c r="B2276" s="309" t="s">
        <v>405</v>
      </c>
      <c r="C2276" s="309" t="s">
        <v>199</v>
      </c>
      <c r="D2276">
        <v>0</v>
      </c>
    </row>
    <row r="2277" spans="1:4" x14ac:dyDescent="0.25">
      <c r="A2277" s="279">
        <v>39064</v>
      </c>
      <c r="B2277" s="309" t="s">
        <v>405</v>
      </c>
      <c r="C2277" s="309" t="s">
        <v>90</v>
      </c>
      <c r="D2277">
        <v>2942</v>
      </c>
    </row>
    <row r="2278" spans="1:4" x14ac:dyDescent="0.25">
      <c r="A2278" s="279">
        <v>39064</v>
      </c>
      <c r="B2278" s="309" t="s">
        <v>405</v>
      </c>
      <c r="C2278" s="309" t="s">
        <v>24</v>
      </c>
      <c r="D2278">
        <v>0</v>
      </c>
    </row>
    <row r="2279" spans="1:4" x14ac:dyDescent="0.25">
      <c r="A2279" s="279">
        <v>39064</v>
      </c>
      <c r="B2279" s="309" t="s">
        <v>405</v>
      </c>
      <c r="C2279" s="309" t="s">
        <v>91</v>
      </c>
      <c r="D2279">
        <v>0</v>
      </c>
    </row>
    <row r="2280" spans="1:4" x14ac:dyDescent="0.25">
      <c r="A2280" s="279">
        <v>39064</v>
      </c>
      <c r="B2280" s="309" t="s">
        <v>405</v>
      </c>
      <c r="C2280" s="309" t="s">
        <v>118</v>
      </c>
      <c r="D2280">
        <v>0</v>
      </c>
    </row>
    <row r="2281" spans="1:4" x14ac:dyDescent="0.25">
      <c r="A2281" s="279">
        <v>39064</v>
      </c>
      <c r="B2281" s="309" t="s">
        <v>405</v>
      </c>
      <c r="C2281" s="309" t="s">
        <v>407</v>
      </c>
      <c r="D2281">
        <v>3733681.1</v>
      </c>
    </row>
    <row r="2282" spans="1:4" x14ac:dyDescent="0.25">
      <c r="A2282" s="279">
        <v>39064</v>
      </c>
      <c r="B2282" s="309" t="s">
        <v>405</v>
      </c>
      <c r="C2282" s="309" t="s">
        <v>408</v>
      </c>
      <c r="D2282">
        <v>1007</v>
      </c>
    </row>
    <row r="2283" spans="1:4" x14ac:dyDescent="0.25">
      <c r="A2283" s="279">
        <v>39064</v>
      </c>
      <c r="B2283" s="309" t="s">
        <v>405</v>
      </c>
      <c r="C2283" s="309" t="s">
        <v>409</v>
      </c>
      <c r="D2283">
        <v>1058</v>
      </c>
    </row>
    <row r="2284" spans="1:4" x14ac:dyDescent="0.25">
      <c r="A2284" s="279">
        <v>39064</v>
      </c>
      <c r="B2284" s="309" t="s">
        <v>405</v>
      </c>
      <c r="C2284" s="309" t="s">
        <v>410</v>
      </c>
      <c r="D2284">
        <v>1032</v>
      </c>
    </row>
    <row r="2285" spans="1:4" x14ac:dyDescent="0.25">
      <c r="A2285" s="279">
        <v>39064</v>
      </c>
      <c r="B2285" s="309" t="s">
        <v>411</v>
      </c>
      <c r="C2285" s="309" t="s">
        <v>406</v>
      </c>
      <c r="D2285">
        <v>225378</v>
      </c>
    </row>
    <row r="2286" spans="1:4" x14ac:dyDescent="0.25">
      <c r="A2286" s="279">
        <v>39064</v>
      </c>
      <c r="B2286" s="309" t="s">
        <v>411</v>
      </c>
      <c r="C2286" s="309" t="s">
        <v>198</v>
      </c>
      <c r="D2286">
        <v>0</v>
      </c>
    </row>
    <row r="2287" spans="1:4" x14ac:dyDescent="0.25">
      <c r="A2287" s="279">
        <v>39064</v>
      </c>
      <c r="B2287" s="309" t="s">
        <v>411</v>
      </c>
      <c r="C2287" s="309" t="s">
        <v>199</v>
      </c>
      <c r="D2287">
        <v>0</v>
      </c>
    </row>
    <row r="2288" spans="1:4" x14ac:dyDescent="0.25">
      <c r="A2288" s="279">
        <v>39064</v>
      </c>
      <c r="B2288" s="309" t="s">
        <v>411</v>
      </c>
      <c r="C2288" s="309" t="s">
        <v>90</v>
      </c>
      <c r="D2288">
        <v>0</v>
      </c>
    </row>
    <row r="2289" spans="1:4" x14ac:dyDescent="0.25">
      <c r="A2289" s="279">
        <v>39064</v>
      </c>
      <c r="B2289" s="309" t="s">
        <v>411</v>
      </c>
      <c r="C2289" s="309" t="s">
        <v>24</v>
      </c>
      <c r="D2289">
        <v>0</v>
      </c>
    </row>
    <row r="2290" spans="1:4" x14ac:dyDescent="0.25">
      <c r="A2290" s="279">
        <v>39064</v>
      </c>
      <c r="B2290" s="309" t="s">
        <v>411</v>
      </c>
      <c r="C2290" s="309" t="s">
        <v>91</v>
      </c>
      <c r="D2290">
        <v>0</v>
      </c>
    </row>
    <row r="2291" spans="1:4" x14ac:dyDescent="0.25">
      <c r="A2291" s="279">
        <v>39064</v>
      </c>
      <c r="B2291" s="309" t="s">
        <v>411</v>
      </c>
      <c r="C2291" s="309" t="s">
        <v>118</v>
      </c>
      <c r="D2291">
        <v>0</v>
      </c>
    </row>
    <row r="2292" spans="1:4" x14ac:dyDescent="0.25">
      <c r="A2292" s="279">
        <v>39064</v>
      </c>
      <c r="B2292" s="309" t="s">
        <v>411</v>
      </c>
      <c r="C2292" s="309" t="s">
        <v>407</v>
      </c>
      <c r="D2292">
        <v>225378</v>
      </c>
    </row>
    <row r="2293" spans="1:4" x14ac:dyDescent="0.25">
      <c r="A2293" s="279">
        <v>39064</v>
      </c>
      <c r="B2293" s="309" t="s">
        <v>411</v>
      </c>
      <c r="C2293" s="309" t="s">
        <v>412</v>
      </c>
      <c r="D2293">
        <v>1007</v>
      </c>
    </row>
    <row r="2294" spans="1:4" x14ac:dyDescent="0.25">
      <c r="A2294" s="279">
        <v>39064</v>
      </c>
      <c r="B2294" s="309" t="s">
        <v>411</v>
      </c>
      <c r="C2294" s="309" t="s">
        <v>409</v>
      </c>
      <c r="D2294">
        <v>1049</v>
      </c>
    </row>
    <row r="2295" spans="1:4" x14ac:dyDescent="0.25">
      <c r="A2295" s="279">
        <v>39065</v>
      </c>
      <c r="B2295" s="309" t="s">
        <v>405</v>
      </c>
      <c r="C2295" s="309" t="s">
        <v>406</v>
      </c>
      <c r="D2295">
        <v>3733681.1</v>
      </c>
    </row>
    <row r="2296" spans="1:4" x14ac:dyDescent="0.25">
      <c r="A2296" s="279">
        <v>39065</v>
      </c>
      <c r="B2296" s="309" t="s">
        <v>405</v>
      </c>
      <c r="C2296" s="309" t="s">
        <v>89</v>
      </c>
      <c r="D2296">
        <v>0</v>
      </c>
    </row>
    <row r="2297" spans="1:4" x14ac:dyDescent="0.25">
      <c r="A2297" s="279">
        <v>39065</v>
      </c>
      <c r="B2297" s="309" t="s">
        <v>405</v>
      </c>
      <c r="C2297" s="309" t="s">
        <v>198</v>
      </c>
      <c r="D2297">
        <v>0</v>
      </c>
    </row>
    <row r="2298" spans="1:4" x14ac:dyDescent="0.25">
      <c r="A2298" s="279">
        <v>39065</v>
      </c>
      <c r="B2298" s="309" t="s">
        <v>405</v>
      </c>
      <c r="C2298" s="309" t="s">
        <v>199</v>
      </c>
      <c r="D2298">
        <v>0</v>
      </c>
    </row>
    <row r="2299" spans="1:4" x14ac:dyDescent="0.25">
      <c r="A2299" s="279">
        <v>39065</v>
      </c>
      <c r="B2299" s="309" t="s">
        <v>405</v>
      </c>
      <c r="C2299" s="309" t="s">
        <v>90</v>
      </c>
      <c r="D2299">
        <v>4546</v>
      </c>
    </row>
    <row r="2300" spans="1:4" x14ac:dyDescent="0.25">
      <c r="A2300" s="279">
        <v>39065</v>
      </c>
      <c r="B2300" s="309" t="s">
        <v>405</v>
      </c>
      <c r="C2300" s="309" t="s">
        <v>24</v>
      </c>
      <c r="D2300">
        <v>0</v>
      </c>
    </row>
    <row r="2301" spans="1:4" x14ac:dyDescent="0.25">
      <c r="A2301" s="279">
        <v>39065</v>
      </c>
      <c r="B2301" s="309" t="s">
        <v>405</v>
      </c>
      <c r="C2301" s="309" t="s">
        <v>91</v>
      </c>
      <c r="D2301">
        <v>0</v>
      </c>
    </row>
    <row r="2302" spans="1:4" x14ac:dyDescent="0.25">
      <c r="A2302" s="279">
        <v>39065</v>
      </c>
      <c r="B2302" s="309" t="s">
        <v>405</v>
      </c>
      <c r="C2302" s="309" t="s">
        <v>118</v>
      </c>
      <c r="D2302">
        <v>0</v>
      </c>
    </row>
    <row r="2303" spans="1:4" x14ac:dyDescent="0.25">
      <c r="A2303" s="279">
        <v>39065</v>
      </c>
      <c r="B2303" s="309" t="s">
        <v>405</v>
      </c>
      <c r="C2303" s="309" t="s">
        <v>407</v>
      </c>
      <c r="D2303">
        <v>3729135.1</v>
      </c>
    </row>
    <row r="2304" spans="1:4" x14ac:dyDescent="0.25">
      <c r="A2304" s="279">
        <v>39065</v>
      </c>
      <c r="B2304" s="309" t="s">
        <v>405</v>
      </c>
      <c r="C2304" s="309" t="s">
        <v>408</v>
      </c>
      <c r="D2304">
        <v>1007</v>
      </c>
    </row>
    <row r="2305" spans="1:4" x14ac:dyDescent="0.25">
      <c r="A2305" s="279">
        <v>39065</v>
      </c>
      <c r="B2305" s="309" t="s">
        <v>405</v>
      </c>
      <c r="C2305" s="309" t="s">
        <v>409</v>
      </c>
      <c r="D2305">
        <v>1058</v>
      </c>
    </row>
    <row r="2306" spans="1:4" x14ac:dyDescent="0.25">
      <c r="A2306" s="279">
        <v>39065</v>
      </c>
      <c r="B2306" s="309" t="s">
        <v>405</v>
      </c>
      <c r="C2306" s="309" t="s">
        <v>410</v>
      </c>
      <c r="D2306">
        <v>1033</v>
      </c>
    </row>
    <row r="2307" spans="1:4" x14ac:dyDescent="0.25">
      <c r="A2307" s="279">
        <v>39065</v>
      </c>
      <c r="B2307" s="309" t="s">
        <v>411</v>
      </c>
      <c r="C2307" s="309" t="s">
        <v>406</v>
      </c>
      <c r="D2307">
        <v>225378</v>
      </c>
    </row>
    <row r="2308" spans="1:4" x14ac:dyDescent="0.25">
      <c r="A2308" s="279">
        <v>39065</v>
      </c>
      <c r="B2308" s="309" t="s">
        <v>411</v>
      </c>
      <c r="C2308" s="309" t="s">
        <v>198</v>
      </c>
      <c r="D2308">
        <v>0</v>
      </c>
    </row>
    <row r="2309" spans="1:4" x14ac:dyDescent="0.25">
      <c r="A2309" s="279">
        <v>39065</v>
      </c>
      <c r="B2309" s="309" t="s">
        <v>411</v>
      </c>
      <c r="C2309" s="309" t="s">
        <v>199</v>
      </c>
      <c r="D2309">
        <v>0</v>
      </c>
    </row>
    <row r="2310" spans="1:4" x14ac:dyDescent="0.25">
      <c r="A2310" s="279">
        <v>39065</v>
      </c>
      <c r="B2310" s="309" t="s">
        <v>411</v>
      </c>
      <c r="C2310" s="309" t="s">
        <v>90</v>
      </c>
      <c r="D2310">
        <v>277</v>
      </c>
    </row>
    <row r="2311" spans="1:4" x14ac:dyDescent="0.25">
      <c r="A2311" s="279">
        <v>39065</v>
      </c>
      <c r="B2311" s="309" t="s">
        <v>411</v>
      </c>
      <c r="C2311" s="309" t="s">
        <v>24</v>
      </c>
      <c r="D2311">
        <v>0</v>
      </c>
    </row>
    <row r="2312" spans="1:4" x14ac:dyDescent="0.25">
      <c r="A2312" s="279">
        <v>39065</v>
      </c>
      <c r="B2312" s="309" t="s">
        <v>411</v>
      </c>
      <c r="C2312" s="309" t="s">
        <v>91</v>
      </c>
      <c r="D2312">
        <v>0</v>
      </c>
    </row>
    <row r="2313" spans="1:4" x14ac:dyDescent="0.25">
      <c r="A2313" s="279">
        <v>39065</v>
      </c>
      <c r="B2313" s="309" t="s">
        <v>411</v>
      </c>
      <c r="C2313" s="309" t="s">
        <v>118</v>
      </c>
      <c r="D2313">
        <v>0</v>
      </c>
    </row>
    <row r="2314" spans="1:4" x14ac:dyDescent="0.25">
      <c r="A2314" s="279">
        <v>39065</v>
      </c>
      <c r="B2314" s="309" t="s">
        <v>411</v>
      </c>
      <c r="C2314" s="309" t="s">
        <v>407</v>
      </c>
      <c r="D2314">
        <v>225101</v>
      </c>
    </row>
    <row r="2315" spans="1:4" x14ac:dyDescent="0.25">
      <c r="A2315" s="279">
        <v>39065</v>
      </c>
      <c r="B2315" s="309" t="s">
        <v>411</v>
      </c>
      <c r="C2315" s="309" t="s">
        <v>412</v>
      </c>
      <c r="D2315">
        <v>1007</v>
      </c>
    </row>
    <row r="2316" spans="1:4" x14ac:dyDescent="0.25">
      <c r="A2316" s="279">
        <v>39065</v>
      </c>
      <c r="B2316" s="309" t="s">
        <v>411</v>
      </c>
      <c r="C2316" s="309" t="s">
        <v>409</v>
      </c>
      <c r="D2316">
        <v>1049</v>
      </c>
    </row>
    <row r="2317" spans="1:4" x14ac:dyDescent="0.25">
      <c r="A2317" s="279">
        <v>39066</v>
      </c>
      <c r="B2317" s="309" t="s">
        <v>405</v>
      </c>
      <c r="C2317" s="309" t="s">
        <v>406</v>
      </c>
      <c r="D2317">
        <v>3729135.1</v>
      </c>
    </row>
    <row r="2318" spans="1:4" x14ac:dyDescent="0.25">
      <c r="A2318" s="279">
        <v>39066</v>
      </c>
      <c r="B2318" s="309" t="s">
        <v>405</v>
      </c>
      <c r="C2318" s="309" t="s">
        <v>89</v>
      </c>
      <c r="D2318">
        <v>0</v>
      </c>
    </row>
    <row r="2319" spans="1:4" x14ac:dyDescent="0.25">
      <c r="A2319" s="279">
        <v>39066</v>
      </c>
      <c r="B2319" s="309" t="s">
        <v>405</v>
      </c>
      <c r="C2319" s="309" t="s">
        <v>198</v>
      </c>
      <c r="D2319">
        <v>0</v>
      </c>
    </row>
    <row r="2320" spans="1:4" x14ac:dyDescent="0.25">
      <c r="A2320" s="279">
        <v>39066</v>
      </c>
      <c r="B2320" s="309" t="s">
        <v>405</v>
      </c>
      <c r="C2320" s="309" t="s">
        <v>199</v>
      </c>
      <c r="D2320">
        <v>0</v>
      </c>
    </row>
    <row r="2321" spans="1:4" x14ac:dyDescent="0.25">
      <c r="A2321" s="279">
        <v>39066</v>
      </c>
      <c r="B2321" s="309" t="s">
        <v>405</v>
      </c>
      <c r="C2321" s="309" t="s">
        <v>90</v>
      </c>
      <c r="D2321">
        <v>5078</v>
      </c>
    </row>
    <row r="2322" spans="1:4" x14ac:dyDescent="0.25">
      <c r="A2322" s="279">
        <v>39066</v>
      </c>
      <c r="B2322" s="309" t="s">
        <v>405</v>
      </c>
      <c r="C2322" s="309" t="s">
        <v>24</v>
      </c>
      <c r="D2322">
        <v>0</v>
      </c>
    </row>
    <row r="2323" spans="1:4" x14ac:dyDescent="0.25">
      <c r="A2323" s="279">
        <v>39066</v>
      </c>
      <c r="B2323" s="309" t="s">
        <v>405</v>
      </c>
      <c r="C2323" s="309" t="s">
        <v>91</v>
      </c>
      <c r="D2323">
        <v>0</v>
      </c>
    </row>
    <row r="2324" spans="1:4" x14ac:dyDescent="0.25">
      <c r="A2324" s="279">
        <v>39066</v>
      </c>
      <c r="B2324" s="309" t="s">
        <v>405</v>
      </c>
      <c r="C2324" s="309" t="s">
        <v>118</v>
      </c>
      <c r="D2324">
        <v>0</v>
      </c>
    </row>
    <row r="2325" spans="1:4" x14ac:dyDescent="0.25">
      <c r="A2325" s="279">
        <v>39066</v>
      </c>
      <c r="B2325" s="309" t="s">
        <v>405</v>
      </c>
      <c r="C2325" s="309" t="s">
        <v>407</v>
      </c>
      <c r="D2325">
        <v>3724057.1</v>
      </c>
    </row>
    <row r="2326" spans="1:4" x14ac:dyDescent="0.25">
      <c r="A2326" s="279">
        <v>39066</v>
      </c>
      <c r="B2326" s="309" t="s">
        <v>405</v>
      </c>
      <c r="C2326" s="309" t="s">
        <v>408</v>
      </c>
      <c r="D2326">
        <v>1007</v>
      </c>
    </row>
    <row r="2327" spans="1:4" x14ac:dyDescent="0.25">
      <c r="A2327" s="279">
        <v>39066</v>
      </c>
      <c r="B2327" s="309" t="s">
        <v>405</v>
      </c>
      <c r="C2327" s="309" t="s">
        <v>409</v>
      </c>
      <c r="D2327">
        <v>1058</v>
      </c>
    </row>
    <row r="2328" spans="1:4" x14ac:dyDescent="0.25">
      <c r="A2328" s="279">
        <v>39066</v>
      </c>
      <c r="B2328" s="309" t="s">
        <v>405</v>
      </c>
      <c r="C2328" s="309" t="s">
        <v>410</v>
      </c>
      <c r="D2328">
        <v>1033</v>
      </c>
    </row>
    <row r="2329" spans="1:4" x14ac:dyDescent="0.25">
      <c r="A2329" s="279">
        <v>39066</v>
      </c>
      <c r="B2329" s="309" t="s">
        <v>411</v>
      </c>
      <c r="C2329" s="309" t="s">
        <v>406</v>
      </c>
      <c r="D2329">
        <v>225101</v>
      </c>
    </row>
    <row r="2330" spans="1:4" x14ac:dyDescent="0.25">
      <c r="A2330" s="279">
        <v>39066</v>
      </c>
      <c r="B2330" s="309" t="s">
        <v>411</v>
      </c>
      <c r="C2330" s="309" t="s">
        <v>198</v>
      </c>
      <c r="D2330">
        <v>0</v>
      </c>
    </row>
    <row r="2331" spans="1:4" x14ac:dyDescent="0.25">
      <c r="A2331" s="279">
        <v>39066</v>
      </c>
      <c r="B2331" s="309" t="s">
        <v>411</v>
      </c>
      <c r="C2331" s="309" t="s">
        <v>199</v>
      </c>
      <c r="D2331">
        <v>0</v>
      </c>
    </row>
    <row r="2332" spans="1:4" x14ac:dyDescent="0.25">
      <c r="A2332" s="279">
        <v>39066</v>
      </c>
      <c r="B2332" s="309" t="s">
        <v>411</v>
      </c>
      <c r="C2332" s="309" t="s">
        <v>90</v>
      </c>
      <c r="D2332">
        <v>277</v>
      </c>
    </row>
    <row r="2333" spans="1:4" x14ac:dyDescent="0.25">
      <c r="A2333" s="279">
        <v>39066</v>
      </c>
      <c r="B2333" s="309" t="s">
        <v>411</v>
      </c>
      <c r="C2333" s="309" t="s">
        <v>24</v>
      </c>
      <c r="D2333">
        <v>0</v>
      </c>
    </row>
    <row r="2334" spans="1:4" x14ac:dyDescent="0.25">
      <c r="A2334" s="279">
        <v>39066</v>
      </c>
      <c r="B2334" s="309" t="s">
        <v>411</v>
      </c>
      <c r="C2334" s="309" t="s">
        <v>91</v>
      </c>
      <c r="D2334">
        <v>0</v>
      </c>
    </row>
    <row r="2335" spans="1:4" x14ac:dyDescent="0.25">
      <c r="A2335" s="279">
        <v>39066</v>
      </c>
      <c r="B2335" s="309" t="s">
        <v>411</v>
      </c>
      <c r="C2335" s="309" t="s">
        <v>118</v>
      </c>
      <c r="D2335">
        <v>0</v>
      </c>
    </row>
    <row r="2336" spans="1:4" x14ac:dyDescent="0.25">
      <c r="A2336" s="279">
        <v>39066</v>
      </c>
      <c r="B2336" s="309" t="s">
        <v>411</v>
      </c>
      <c r="C2336" s="309" t="s">
        <v>407</v>
      </c>
      <c r="D2336">
        <v>224824</v>
      </c>
    </row>
    <row r="2337" spans="1:4" x14ac:dyDescent="0.25">
      <c r="A2337" s="279">
        <v>39066</v>
      </c>
      <c r="B2337" s="309" t="s">
        <v>411</v>
      </c>
      <c r="C2337" s="309" t="s">
        <v>412</v>
      </c>
      <c r="D2337">
        <v>1007</v>
      </c>
    </row>
    <row r="2338" spans="1:4" x14ac:dyDescent="0.25">
      <c r="A2338" s="279">
        <v>39066</v>
      </c>
      <c r="B2338" s="309" t="s">
        <v>411</v>
      </c>
      <c r="C2338" s="309" t="s">
        <v>409</v>
      </c>
      <c r="D2338">
        <v>1049</v>
      </c>
    </row>
    <row r="2339" spans="1:4" x14ac:dyDescent="0.25">
      <c r="A2339" s="279">
        <v>39067</v>
      </c>
      <c r="B2339" s="309" t="s">
        <v>405</v>
      </c>
      <c r="C2339" s="309" t="s">
        <v>406</v>
      </c>
      <c r="D2339">
        <v>3724057.1</v>
      </c>
    </row>
    <row r="2340" spans="1:4" x14ac:dyDescent="0.25">
      <c r="A2340" s="279">
        <v>39067</v>
      </c>
      <c r="B2340" s="309" t="s">
        <v>405</v>
      </c>
      <c r="C2340" s="309" t="s">
        <v>89</v>
      </c>
      <c r="D2340">
        <v>0</v>
      </c>
    </row>
    <row r="2341" spans="1:4" x14ac:dyDescent="0.25">
      <c r="A2341" s="279">
        <v>39067</v>
      </c>
      <c r="B2341" s="309" t="s">
        <v>405</v>
      </c>
      <c r="C2341" s="309" t="s">
        <v>198</v>
      </c>
      <c r="D2341">
        <v>0</v>
      </c>
    </row>
    <row r="2342" spans="1:4" x14ac:dyDescent="0.25">
      <c r="A2342" s="279">
        <v>39067</v>
      </c>
      <c r="B2342" s="309" t="s">
        <v>405</v>
      </c>
      <c r="C2342" s="309" t="s">
        <v>199</v>
      </c>
      <c r="D2342">
        <v>0</v>
      </c>
    </row>
    <row r="2343" spans="1:4" x14ac:dyDescent="0.25">
      <c r="A2343" s="279">
        <v>39067</v>
      </c>
      <c r="B2343" s="309" t="s">
        <v>405</v>
      </c>
      <c r="C2343" s="309" t="s">
        <v>90</v>
      </c>
      <c r="D2343">
        <v>535</v>
      </c>
    </row>
    <row r="2344" spans="1:4" x14ac:dyDescent="0.25">
      <c r="A2344" s="279">
        <v>39067</v>
      </c>
      <c r="B2344" s="309" t="s">
        <v>405</v>
      </c>
      <c r="C2344" s="309" t="s">
        <v>24</v>
      </c>
      <c r="D2344">
        <v>0</v>
      </c>
    </row>
    <row r="2345" spans="1:4" x14ac:dyDescent="0.25">
      <c r="A2345" s="279">
        <v>39067</v>
      </c>
      <c r="B2345" s="309" t="s">
        <v>405</v>
      </c>
      <c r="C2345" s="309" t="s">
        <v>91</v>
      </c>
      <c r="D2345">
        <v>0</v>
      </c>
    </row>
    <row r="2346" spans="1:4" x14ac:dyDescent="0.25">
      <c r="A2346" s="279">
        <v>39067</v>
      </c>
      <c r="B2346" s="309" t="s">
        <v>405</v>
      </c>
      <c r="C2346" s="309" t="s">
        <v>118</v>
      </c>
      <c r="D2346">
        <v>0</v>
      </c>
    </row>
    <row r="2347" spans="1:4" x14ac:dyDescent="0.25">
      <c r="A2347" s="279">
        <v>39067</v>
      </c>
      <c r="B2347" s="309" t="s">
        <v>405</v>
      </c>
      <c r="C2347" s="309" t="s">
        <v>407</v>
      </c>
      <c r="D2347">
        <v>3723522.1</v>
      </c>
    </row>
    <row r="2348" spans="1:4" x14ac:dyDescent="0.25">
      <c r="A2348" s="279">
        <v>39067</v>
      </c>
      <c r="B2348" s="309" t="s">
        <v>405</v>
      </c>
      <c r="C2348" s="309" t="s">
        <v>408</v>
      </c>
      <c r="D2348">
        <v>1007</v>
      </c>
    </row>
    <row r="2349" spans="1:4" x14ac:dyDescent="0.25">
      <c r="A2349" s="279">
        <v>39067</v>
      </c>
      <c r="B2349" s="309" t="s">
        <v>405</v>
      </c>
      <c r="C2349" s="309" t="s">
        <v>409</v>
      </c>
      <c r="D2349">
        <v>1058</v>
      </c>
    </row>
    <row r="2350" spans="1:4" x14ac:dyDescent="0.25">
      <c r="A2350" s="279">
        <v>39067</v>
      </c>
      <c r="B2350" s="309" t="s">
        <v>405</v>
      </c>
      <c r="C2350" s="309" t="s">
        <v>410</v>
      </c>
      <c r="D2350">
        <v>1035</v>
      </c>
    </row>
    <row r="2351" spans="1:4" x14ac:dyDescent="0.25">
      <c r="A2351" s="279">
        <v>39067</v>
      </c>
      <c r="B2351" s="309" t="s">
        <v>411</v>
      </c>
      <c r="C2351" s="309" t="s">
        <v>406</v>
      </c>
      <c r="D2351">
        <v>224824</v>
      </c>
    </row>
    <row r="2352" spans="1:4" x14ac:dyDescent="0.25">
      <c r="A2352" s="279">
        <v>39067</v>
      </c>
      <c r="B2352" s="309" t="s">
        <v>411</v>
      </c>
      <c r="C2352" s="309" t="s">
        <v>198</v>
      </c>
      <c r="D2352">
        <v>0</v>
      </c>
    </row>
    <row r="2353" spans="1:4" x14ac:dyDescent="0.25">
      <c r="A2353" s="279">
        <v>39067</v>
      </c>
      <c r="B2353" s="309" t="s">
        <v>411</v>
      </c>
      <c r="C2353" s="309" t="s">
        <v>199</v>
      </c>
      <c r="D2353">
        <v>0</v>
      </c>
    </row>
    <row r="2354" spans="1:4" x14ac:dyDescent="0.25">
      <c r="A2354" s="279">
        <v>39067</v>
      </c>
      <c r="B2354" s="309" t="s">
        <v>411</v>
      </c>
      <c r="C2354" s="309" t="s">
        <v>90</v>
      </c>
      <c r="D2354">
        <v>277</v>
      </c>
    </row>
    <row r="2355" spans="1:4" x14ac:dyDescent="0.25">
      <c r="A2355" s="279">
        <v>39067</v>
      </c>
      <c r="B2355" s="309" t="s">
        <v>411</v>
      </c>
      <c r="C2355" s="309" t="s">
        <v>24</v>
      </c>
      <c r="D2355">
        <v>0</v>
      </c>
    </row>
    <row r="2356" spans="1:4" x14ac:dyDescent="0.25">
      <c r="A2356" s="279">
        <v>39067</v>
      </c>
      <c r="B2356" s="309" t="s">
        <v>411</v>
      </c>
      <c r="C2356" s="309" t="s">
        <v>91</v>
      </c>
      <c r="D2356">
        <v>0</v>
      </c>
    </row>
    <row r="2357" spans="1:4" x14ac:dyDescent="0.25">
      <c r="A2357" s="279">
        <v>39067</v>
      </c>
      <c r="B2357" s="309" t="s">
        <v>411</v>
      </c>
      <c r="C2357" s="309" t="s">
        <v>118</v>
      </c>
      <c r="D2357">
        <v>0</v>
      </c>
    </row>
    <row r="2358" spans="1:4" x14ac:dyDescent="0.25">
      <c r="A2358" s="279">
        <v>39067</v>
      </c>
      <c r="B2358" s="309" t="s">
        <v>411</v>
      </c>
      <c r="C2358" s="309" t="s">
        <v>407</v>
      </c>
      <c r="D2358">
        <v>224547</v>
      </c>
    </row>
    <row r="2359" spans="1:4" x14ac:dyDescent="0.25">
      <c r="A2359" s="279">
        <v>39067</v>
      </c>
      <c r="B2359" s="309" t="s">
        <v>411</v>
      </c>
      <c r="C2359" s="309" t="s">
        <v>412</v>
      </c>
      <c r="D2359">
        <v>1007</v>
      </c>
    </row>
    <row r="2360" spans="1:4" x14ac:dyDescent="0.25">
      <c r="A2360" s="279">
        <v>39067</v>
      </c>
      <c r="B2360" s="309" t="s">
        <v>411</v>
      </c>
      <c r="C2360" s="309" t="s">
        <v>409</v>
      </c>
      <c r="D2360">
        <v>1049</v>
      </c>
    </row>
    <row r="2361" spans="1:4" x14ac:dyDescent="0.25">
      <c r="A2361" s="279">
        <v>39068</v>
      </c>
      <c r="B2361" s="309" t="s">
        <v>405</v>
      </c>
      <c r="C2361" s="309" t="s">
        <v>406</v>
      </c>
      <c r="D2361">
        <v>3723522.1</v>
      </c>
    </row>
    <row r="2362" spans="1:4" x14ac:dyDescent="0.25">
      <c r="A2362" s="279">
        <v>39068</v>
      </c>
      <c r="B2362" s="309" t="s">
        <v>405</v>
      </c>
      <c r="C2362" s="309" t="s">
        <v>89</v>
      </c>
      <c r="D2362">
        <v>0</v>
      </c>
    </row>
    <row r="2363" spans="1:4" x14ac:dyDescent="0.25">
      <c r="A2363" s="279">
        <v>39068</v>
      </c>
      <c r="B2363" s="309" t="s">
        <v>405</v>
      </c>
      <c r="C2363" s="309" t="s">
        <v>198</v>
      </c>
      <c r="D2363">
        <v>0</v>
      </c>
    </row>
    <row r="2364" spans="1:4" x14ac:dyDescent="0.25">
      <c r="A2364" s="279">
        <v>39068</v>
      </c>
      <c r="B2364" s="309" t="s">
        <v>405</v>
      </c>
      <c r="C2364" s="309" t="s">
        <v>199</v>
      </c>
      <c r="D2364">
        <v>0</v>
      </c>
    </row>
    <row r="2365" spans="1:4" x14ac:dyDescent="0.25">
      <c r="A2365" s="279">
        <v>39068</v>
      </c>
      <c r="B2365" s="309" t="s">
        <v>405</v>
      </c>
      <c r="C2365" s="309" t="s">
        <v>90</v>
      </c>
      <c r="D2365">
        <v>1337</v>
      </c>
    </row>
    <row r="2366" spans="1:4" x14ac:dyDescent="0.25">
      <c r="A2366" s="279">
        <v>39068</v>
      </c>
      <c r="B2366" s="309" t="s">
        <v>405</v>
      </c>
      <c r="C2366" s="309" t="s">
        <v>24</v>
      </c>
      <c r="D2366">
        <v>0</v>
      </c>
    </row>
    <row r="2367" spans="1:4" x14ac:dyDescent="0.25">
      <c r="A2367" s="279">
        <v>39068</v>
      </c>
      <c r="B2367" s="309" t="s">
        <v>405</v>
      </c>
      <c r="C2367" s="309" t="s">
        <v>91</v>
      </c>
      <c r="D2367">
        <v>0</v>
      </c>
    </row>
    <row r="2368" spans="1:4" x14ac:dyDescent="0.25">
      <c r="A2368" s="279">
        <v>39068</v>
      </c>
      <c r="B2368" s="309" t="s">
        <v>405</v>
      </c>
      <c r="C2368" s="309" t="s">
        <v>118</v>
      </c>
      <c r="D2368">
        <v>0</v>
      </c>
    </row>
    <row r="2369" spans="1:4" x14ac:dyDescent="0.25">
      <c r="A2369" s="279">
        <v>39068</v>
      </c>
      <c r="B2369" s="309" t="s">
        <v>405</v>
      </c>
      <c r="C2369" s="309" t="s">
        <v>407</v>
      </c>
      <c r="D2369">
        <v>3722185.1</v>
      </c>
    </row>
    <row r="2370" spans="1:4" x14ac:dyDescent="0.25">
      <c r="A2370" s="279">
        <v>39068</v>
      </c>
      <c r="B2370" s="309" t="s">
        <v>405</v>
      </c>
      <c r="C2370" s="309" t="s">
        <v>408</v>
      </c>
      <c r="D2370">
        <v>1007</v>
      </c>
    </row>
    <row r="2371" spans="1:4" x14ac:dyDescent="0.25">
      <c r="A2371" s="279">
        <v>39068</v>
      </c>
      <c r="B2371" s="309" t="s">
        <v>405</v>
      </c>
      <c r="C2371" s="309" t="s">
        <v>409</v>
      </c>
      <c r="D2371">
        <v>1058</v>
      </c>
    </row>
    <row r="2372" spans="1:4" x14ac:dyDescent="0.25">
      <c r="A2372" s="279">
        <v>39068</v>
      </c>
      <c r="B2372" s="309" t="s">
        <v>405</v>
      </c>
      <c r="C2372" s="309" t="s">
        <v>410</v>
      </c>
      <c r="D2372">
        <v>1034</v>
      </c>
    </row>
    <row r="2373" spans="1:4" x14ac:dyDescent="0.25">
      <c r="A2373" s="279">
        <v>39068</v>
      </c>
      <c r="B2373" s="309" t="s">
        <v>411</v>
      </c>
      <c r="C2373" s="309" t="s">
        <v>406</v>
      </c>
      <c r="D2373">
        <v>224547</v>
      </c>
    </row>
    <row r="2374" spans="1:4" x14ac:dyDescent="0.25">
      <c r="A2374" s="279">
        <v>39068</v>
      </c>
      <c r="B2374" s="309" t="s">
        <v>411</v>
      </c>
      <c r="C2374" s="309" t="s">
        <v>198</v>
      </c>
      <c r="D2374">
        <v>0</v>
      </c>
    </row>
    <row r="2375" spans="1:4" x14ac:dyDescent="0.25">
      <c r="A2375" s="279">
        <v>39068</v>
      </c>
      <c r="B2375" s="309" t="s">
        <v>411</v>
      </c>
      <c r="C2375" s="309" t="s">
        <v>199</v>
      </c>
      <c r="D2375">
        <v>0</v>
      </c>
    </row>
    <row r="2376" spans="1:4" x14ac:dyDescent="0.25">
      <c r="A2376" s="279">
        <v>39068</v>
      </c>
      <c r="B2376" s="309" t="s">
        <v>411</v>
      </c>
      <c r="C2376" s="309" t="s">
        <v>90</v>
      </c>
      <c r="D2376">
        <v>277</v>
      </c>
    </row>
    <row r="2377" spans="1:4" x14ac:dyDescent="0.25">
      <c r="A2377" s="279">
        <v>39068</v>
      </c>
      <c r="B2377" s="309" t="s">
        <v>411</v>
      </c>
      <c r="C2377" s="309" t="s">
        <v>24</v>
      </c>
      <c r="D2377">
        <v>0</v>
      </c>
    </row>
    <row r="2378" spans="1:4" x14ac:dyDescent="0.25">
      <c r="A2378" s="279">
        <v>39068</v>
      </c>
      <c r="B2378" s="309" t="s">
        <v>411</v>
      </c>
      <c r="C2378" s="309" t="s">
        <v>91</v>
      </c>
      <c r="D2378">
        <v>0</v>
      </c>
    </row>
    <row r="2379" spans="1:4" x14ac:dyDescent="0.25">
      <c r="A2379" s="279">
        <v>39068</v>
      </c>
      <c r="B2379" s="309" t="s">
        <v>411</v>
      </c>
      <c r="C2379" s="309" t="s">
        <v>118</v>
      </c>
      <c r="D2379">
        <v>0</v>
      </c>
    </row>
    <row r="2380" spans="1:4" x14ac:dyDescent="0.25">
      <c r="A2380" s="279">
        <v>39068</v>
      </c>
      <c r="B2380" s="309" t="s">
        <v>411</v>
      </c>
      <c r="C2380" s="309" t="s">
        <v>407</v>
      </c>
      <c r="D2380">
        <v>224270</v>
      </c>
    </row>
    <row r="2381" spans="1:4" x14ac:dyDescent="0.25">
      <c r="A2381" s="279">
        <v>39068</v>
      </c>
      <c r="B2381" s="309" t="s">
        <v>411</v>
      </c>
      <c r="C2381" s="309" t="s">
        <v>412</v>
      </c>
      <c r="D2381">
        <v>1007</v>
      </c>
    </row>
    <row r="2382" spans="1:4" x14ac:dyDescent="0.25">
      <c r="A2382" s="279">
        <v>39068</v>
      </c>
      <c r="B2382" s="309" t="s">
        <v>411</v>
      </c>
      <c r="C2382" s="309" t="s">
        <v>409</v>
      </c>
      <c r="D2382">
        <v>1049</v>
      </c>
    </row>
    <row r="2383" spans="1:4" x14ac:dyDescent="0.25">
      <c r="A2383" s="279">
        <v>39069</v>
      </c>
      <c r="B2383" s="309" t="s">
        <v>405</v>
      </c>
      <c r="C2383" s="309" t="s">
        <v>406</v>
      </c>
      <c r="D2383">
        <v>3722185.1</v>
      </c>
    </row>
    <row r="2384" spans="1:4" x14ac:dyDescent="0.25">
      <c r="A2384" s="279">
        <v>39069</v>
      </c>
      <c r="B2384" s="309" t="s">
        <v>405</v>
      </c>
      <c r="C2384" s="309" t="s">
        <v>89</v>
      </c>
      <c r="D2384">
        <v>0</v>
      </c>
    </row>
    <row r="2385" spans="1:4" x14ac:dyDescent="0.25">
      <c r="A2385" s="279">
        <v>39069</v>
      </c>
      <c r="B2385" s="309" t="s">
        <v>405</v>
      </c>
      <c r="C2385" s="309" t="s">
        <v>198</v>
      </c>
      <c r="D2385">
        <v>0</v>
      </c>
    </row>
    <row r="2386" spans="1:4" x14ac:dyDescent="0.25">
      <c r="A2386" s="279">
        <v>39069</v>
      </c>
      <c r="B2386" s="309" t="s">
        <v>405</v>
      </c>
      <c r="C2386" s="309" t="s">
        <v>199</v>
      </c>
      <c r="D2386">
        <v>0</v>
      </c>
    </row>
    <row r="2387" spans="1:4" x14ac:dyDescent="0.25">
      <c r="A2387" s="279">
        <v>39069</v>
      </c>
      <c r="B2387" s="309" t="s">
        <v>405</v>
      </c>
      <c r="C2387" s="309" t="s">
        <v>90</v>
      </c>
      <c r="D2387">
        <v>1070</v>
      </c>
    </row>
    <row r="2388" spans="1:4" x14ac:dyDescent="0.25">
      <c r="A2388" s="279">
        <v>39069</v>
      </c>
      <c r="B2388" s="309" t="s">
        <v>405</v>
      </c>
      <c r="C2388" s="309" t="s">
        <v>24</v>
      </c>
      <c r="D2388">
        <v>0</v>
      </c>
    </row>
    <row r="2389" spans="1:4" x14ac:dyDescent="0.25">
      <c r="A2389" s="279">
        <v>39069</v>
      </c>
      <c r="B2389" s="309" t="s">
        <v>405</v>
      </c>
      <c r="C2389" s="309" t="s">
        <v>91</v>
      </c>
      <c r="D2389">
        <v>0</v>
      </c>
    </row>
    <row r="2390" spans="1:4" x14ac:dyDescent="0.25">
      <c r="A2390" s="279">
        <v>39069</v>
      </c>
      <c r="B2390" s="309" t="s">
        <v>405</v>
      </c>
      <c r="C2390" s="309" t="s">
        <v>118</v>
      </c>
      <c r="D2390">
        <v>0</v>
      </c>
    </row>
    <row r="2391" spans="1:4" x14ac:dyDescent="0.25">
      <c r="A2391" s="279">
        <v>39069</v>
      </c>
      <c r="B2391" s="309" t="s">
        <v>405</v>
      </c>
      <c r="C2391" s="309" t="s">
        <v>407</v>
      </c>
      <c r="D2391">
        <v>3721115.1</v>
      </c>
    </row>
    <row r="2392" spans="1:4" x14ac:dyDescent="0.25">
      <c r="A2392" s="279">
        <v>39069</v>
      </c>
      <c r="B2392" s="309" t="s">
        <v>405</v>
      </c>
      <c r="C2392" s="309" t="s">
        <v>408</v>
      </c>
      <c r="D2392">
        <v>1007</v>
      </c>
    </row>
    <row r="2393" spans="1:4" x14ac:dyDescent="0.25">
      <c r="A2393" s="279">
        <v>39069</v>
      </c>
      <c r="B2393" s="309" t="s">
        <v>405</v>
      </c>
      <c r="C2393" s="309" t="s">
        <v>409</v>
      </c>
      <c r="D2393">
        <v>1058</v>
      </c>
    </row>
    <row r="2394" spans="1:4" x14ac:dyDescent="0.25">
      <c r="A2394" s="279">
        <v>39069</v>
      </c>
      <c r="B2394" s="309" t="s">
        <v>405</v>
      </c>
      <c r="C2394" s="309" t="s">
        <v>410</v>
      </c>
      <c r="D2394">
        <v>1032</v>
      </c>
    </row>
    <row r="2395" spans="1:4" x14ac:dyDescent="0.25">
      <c r="A2395" s="279">
        <v>39069</v>
      </c>
      <c r="B2395" s="309" t="s">
        <v>411</v>
      </c>
      <c r="C2395" s="309" t="s">
        <v>406</v>
      </c>
      <c r="D2395">
        <v>224270</v>
      </c>
    </row>
    <row r="2396" spans="1:4" x14ac:dyDescent="0.25">
      <c r="A2396" s="279">
        <v>39069</v>
      </c>
      <c r="B2396" s="309" t="s">
        <v>411</v>
      </c>
      <c r="C2396" s="309" t="s">
        <v>198</v>
      </c>
      <c r="D2396">
        <v>0</v>
      </c>
    </row>
    <row r="2397" spans="1:4" x14ac:dyDescent="0.25">
      <c r="A2397" s="279">
        <v>39069</v>
      </c>
      <c r="B2397" s="309" t="s">
        <v>411</v>
      </c>
      <c r="C2397" s="309" t="s">
        <v>199</v>
      </c>
      <c r="D2397">
        <v>0</v>
      </c>
    </row>
    <row r="2398" spans="1:4" x14ac:dyDescent="0.25">
      <c r="A2398" s="279">
        <v>39069</v>
      </c>
      <c r="B2398" s="309" t="s">
        <v>411</v>
      </c>
      <c r="C2398" s="309" t="s">
        <v>90</v>
      </c>
      <c r="D2398">
        <v>277</v>
      </c>
    </row>
    <row r="2399" spans="1:4" x14ac:dyDescent="0.25">
      <c r="A2399" s="279">
        <v>39069</v>
      </c>
      <c r="B2399" s="309" t="s">
        <v>411</v>
      </c>
      <c r="C2399" s="309" t="s">
        <v>24</v>
      </c>
      <c r="D2399">
        <v>0</v>
      </c>
    </row>
    <row r="2400" spans="1:4" x14ac:dyDescent="0.25">
      <c r="A2400" s="279">
        <v>39069</v>
      </c>
      <c r="B2400" s="309" t="s">
        <v>411</v>
      </c>
      <c r="C2400" s="309" t="s">
        <v>91</v>
      </c>
      <c r="D2400">
        <v>0</v>
      </c>
    </row>
    <row r="2401" spans="1:4" x14ac:dyDescent="0.25">
      <c r="A2401" s="279">
        <v>39069</v>
      </c>
      <c r="B2401" s="309" t="s">
        <v>411</v>
      </c>
      <c r="C2401" s="309" t="s">
        <v>118</v>
      </c>
      <c r="D2401">
        <v>0</v>
      </c>
    </row>
    <row r="2402" spans="1:4" x14ac:dyDescent="0.25">
      <c r="A2402" s="279">
        <v>39069</v>
      </c>
      <c r="B2402" s="309" t="s">
        <v>411</v>
      </c>
      <c r="C2402" s="309" t="s">
        <v>407</v>
      </c>
      <c r="D2402">
        <v>223993</v>
      </c>
    </row>
    <row r="2403" spans="1:4" x14ac:dyDescent="0.25">
      <c r="A2403" s="279">
        <v>39069</v>
      </c>
      <c r="B2403" s="309" t="s">
        <v>411</v>
      </c>
      <c r="C2403" s="309" t="s">
        <v>412</v>
      </c>
      <c r="D2403">
        <v>1007</v>
      </c>
    </row>
    <row r="2404" spans="1:4" x14ac:dyDescent="0.25">
      <c r="A2404" s="279">
        <v>39069</v>
      </c>
      <c r="B2404" s="309" t="s">
        <v>411</v>
      </c>
      <c r="C2404" s="309" t="s">
        <v>409</v>
      </c>
      <c r="D2404">
        <v>1049</v>
      </c>
    </row>
    <row r="2405" spans="1:4" x14ac:dyDescent="0.25">
      <c r="A2405" s="279">
        <v>39070</v>
      </c>
      <c r="B2405" s="309" t="s">
        <v>405</v>
      </c>
      <c r="C2405" s="309" t="s">
        <v>406</v>
      </c>
      <c r="D2405">
        <v>3721115.1</v>
      </c>
    </row>
    <row r="2406" spans="1:4" x14ac:dyDescent="0.25">
      <c r="A2406" s="279">
        <v>39070</v>
      </c>
      <c r="B2406" s="309" t="s">
        <v>405</v>
      </c>
      <c r="C2406" s="309" t="s">
        <v>89</v>
      </c>
      <c r="D2406">
        <v>0</v>
      </c>
    </row>
    <row r="2407" spans="1:4" x14ac:dyDescent="0.25">
      <c r="A2407" s="279">
        <v>39070</v>
      </c>
      <c r="B2407" s="309" t="s">
        <v>405</v>
      </c>
      <c r="C2407" s="309" t="s">
        <v>198</v>
      </c>
      <c r="D2407">
        <v>0</v>
      </c>
    </row>
    <row r="2408" spans="1:4" x14ac:dyDescent="0.25">
      <c r="A2408" s="279">
        <v>39070</v>
      </c>
      <c r="B2408" s="309" t="s">
        <v>405</v>
      </c>
      <c r="C2408" s="309" t="s">
        <v>199</v>
      </c>
      <c r="D2408">
        <v>0</v>
      </c>
    </row>
    <row r="2409" spans="1:4" x14ac:dyDescent="0.25">
      <c r="A2409" s="279">
        <v>39070</v>
      </c>
      <c r="B2409" s="309" t="s">
        <v>405</v>
      </c>
      <c r="C2409" s="309" t="s">
        <v>90</v>
      </c>
      <c r="D2409">
        <v>535</v>
      </c>
    </row>
    <row r="2410" spans="1:4" x14ac:dyDescent="0.25">
      <c r="A2410" s="279">
        <v>39070</v>
      </c>
      <c r="B2410" s="309" t="s">
        <v>405</v>
      </c>
      <c r="C2410" s="309" t="s">
        <v>24</v>
      </c>
      <c r="D2410">
        <v>0</v>
      </c>
    </row>
    <row r="2411" spans="1:4" x14ac:dyDescent="0.25">
      <c r="A2411" s="279">
        <v>39070</v>
      </c>
      <c r="B2411" s="309" t="s">
        <v>405</v>
      </c>
      <c r="C2411" s="309" t="s">
        <v>91</v>
      </c>
      <c r="D2411">
        <v>0</v>
      </c>
    </row>
    <row r="2412" spans="1:4" x14ac:dyDescent="0.25">
      <c r="A2412" s="279">
        <v>39070</v>
      </c>
      <c r="B2412" s="309" t="s">
        <v>405</v>
      </c>
      <c r="C2412" s="309" t="s">
        <v>118</v>
      </c>
      <c r="D2412">
        <v>0</v>
      </c>
    </row>
    <row r="2413" spans="1:4" x14ac:dyDescent="0.25">
      <c r="A2413" s="279">
        <v>39070</v>
      </c>
      <c r="B2413" s="309" t="s">
        <v>405</v>
      </c>
      <c r="C2413" s="309" t="s">
        <v>407</v>
      </c>
      <c r="D2413">
        <v>3720580.1</v>
      </c>
    </row>
    <row r="2414" spans="1:4" x14ac:dyDescent="0.25">
      <c r="A2414" s="279">
        <v>39070</v>
      </c>
      <c r="B2414" s="309" t="s">
        <v>405</v>
      </c>
      <c r="C2414" s="309" t="s">
        <v>408</v>
      </c>
      <c r="D2414">
        <v>1007</v>
      </c>
    </row>
    <row r="2415" spans="1:4" x14ac:dyDescent="0.25">
      <c r="A2415" s="279">
        <v>39070</v>
      </c>
      <c r="B2415" s="309" t="s">
        <v>405</v>
      </c>
      <c r="C2415" s="309" t="s">
        <v>409</v>
      </c>
      <c r="D2415">
        <v>1058</v>
      </c>
    </row>
    <row r="2416" spans="1:4" x14ac:dyDescent="0.25">
      <c r="A2416" s="279">
        <v>39070</v>
      </c>
      <c r="B2416" s="309" t="s">
        <v>405</v>
      </c>
      <c r="C2416" s="309" t="s">
        <v>410</v>
      </c>
      <c r="D2416">
        <v>1032</v>
      </c>
    </row>
    <row r="2417" spans="1:4" x14ac:dyDescent="0.25">
      <c r="A2417" s="279">
        <v>39070</v>
      </c>
      <c r="B2417" s="309" t="s">
        <v>411</v>
      </c>
      <c r="C2417" s="309" t="s">
        <v>406</v>
      </c>
      <c r="D2417">
        <v>223993</v>
      </c>
    </row>
    <row r="2418" spans="1:4" x14ac:dyDescent="0.25">
      <c r="A2418" s="279">
        <v>39070</v>
      </c>
      <c r="B2418" s="309" t="s">
        <v>411</v>
      </c>
      <c r="C2418" s="309" t="s">
        <v>198</v>
      </c>
      <c r="D2418">
        <v>0</v>
      </c>
    </row>
    <row r="2419" spans="1:4" x14ac:dyDescent="0.25">
      <c r="A2419" s="279">
        <v>39070</v>
      </c>
      <c r="B2419" s="309" t="s">
        <v>411</v>
      </c>
      <c r="C2419" s="309" t="s">
        <v>199</v>
      </c>
      <c r="D2419">
        <v>0</v>
      </c>
    </row>
    <row r="2420" spans="1:4" x14ac:dyDescent="0.25">
      <c r="A2420" s="279">
        <v>39070</v>
      </c>
      <c r="B2420" s="309" t="s">
        <v>411</v>
      </c>
      <c r="C2420" s="309" t="s">
        <v>90</v>
      </c>
      <c r="D2420">
        <v>277</v>
      </c>
    </row>
    <row r="2421" spans="1:4" x14ac:dyDescent="0.25">
      <c r="A2421" s="279">
        <v>39070</v>
      </c>
      <c r="B2421" s="309" t="s">
        <v>411</v>
      </c>
      <c r="C2421" s="309" t="s">
        <v>24</v>
      </c>
      <c r="D2421">
        <v>0</v>
      </c>
    </row>
    <row r="2422" spans="1:4" x14ac:dyDescent="0.25">
      <c r="A2422" s="279">
        <v>39070</v>
      </c>
      <c r="B2422" s="309" t="s">
        <v>411</v>
      </c>
      <c r="C2422" s="309" t="s">
        <v>91</v>
      </c>
      <c r="D2422">
        <v>0</v>
      </c>
    </row>
    <row r="2423" spans="1:4" x14ac:dyDescent="0.25">
      <c r="A2423" s="279">
        <v>39070</v>
      </c>
      <c r="B2423" s="309" t="s">
        <v>411</v>
      </c>
      <c r="C2423" s="309" t="s">
        <v>118</v>
      </c>
      <c r="D2423">
        <v>0</v>
      </c>
    </row>
    <row r="2424" spans="1:4" x14ac:dyDescent="0.25">
      <c r="A2424" s="279">
        <v>39070</v>
      </c>
      <c r="B2424" s="309" t="s">
        <v>411</v>
      </c>
      <c r="C2424" s="309" t="s">
        <v>407</v>
      </c>
      <c r="D2424">
        <v>223716</v>
      </c>
    </row>
    <row r="2425" spans="1:4" x14ac:dyDescent="0.25">
      <c r="A2425" s="279">
        <v>39070</v>
      </c>
      <c r="B2425" s="309" t="s">
        <v>411</v>
      </c>
      <c r="C2425" s="309" t="s">
        <v>412</v>
      </c>
      <c r="D2425">
        <v>1007</v>
      </c>
    </row>
    <row r="2426" spans="1:4" x14ac:dyDescent="0.25">
      <c r="A2426" s="279">
        <v>39070</v>
      </c>
      <c r="B2426" s="309" t="s">
        <v>411</v>
      </c>
      <c r="C2426" s="309" t="s">
        <v>409</v>
      </c>
      <c r="D2426">
        <v>1049</v>
      </c>
    </row>
    <row r="2427" spans="1:4" x14ac:dyDescent="0.25">
      <c r="A2427" s="279">
        <v>39071</v>
      </c>
      <c r="B2427" s="309" t="s">
        <v>405</v>
      </c>
      <c r="C2427" s="309" t="s">
        <v>406</v>
      </c>
      <c r="D2427">
        <v>3720580.1</v>
      </c>
    </row>
    <row r="2428" spans="1:4" x14ac:dyDescent="0.25">
      <c r="A2428" s="279">
        <v>39071</v>
      </c>
      <c r="B2428" s="309" t="s">
        <v>405</v>
      </c>
      <c r="C2428" s="309" t="s">
        <v>89</v>
      </c>
      <c r="D2428">
        <v>0</v>
      </c>
    </row>
    <row r="2429" spans="1:4" x14ac:dyDescent="0.25">
      <c r="A2429" s="279">
        <v>39071</v>
      </c>
      <c r="B2429" s="309" t="s">
        <v>405</v>
      </c>
      <c r="C2429" s="309" t="s">
        <v>198</v>
      </c>
      <c r="D2429">
        <v>0</v>
      </c>
    </row>
    <row r="2430" spans="1:4" x14ac:dyDescent="0.25">
      <c r="A2430" s="279">
        <v>39071</v>
      </c>
      <c r="B2430" s="309" t="s">
        <v>405</v>
      </c>
      <c r="C2430" s="309" t="s">
        <v>199</v>
      </c>
      <c r="D2430">
        <v>0</v>
      </c>
    </row>
    <row r="2431" spans="1:4" x14ac:dyDescent="0.25">
      <c r="A2431" s="279">
        <v>39071</v>
      </c>
      <c r="B2431" s="309" t="s">
        <v>405</v>
      </c>
      <c r="C2431" s="309" t="s">
        <v>90</v>
      </c>
      <c r="D2431">
        <v>534</v>
      </c>
    </row>
    <row r="2432" spans="1:4" x14ac:dyDescent="0.25">
      <c r="A2432" s="279">
        <v>39071</v>
      </c>
      <c r="B2432" s="309" t="s">
        <v>405</v>
      </c>
      <c r="C2432" s="309" t="s">
        <v>24</v>
      </c>
      <c r="D2432">
        <v>0</v>
      </c>
    </row>
    <row r="2433" spans="1:4" x14ac:dyDescent="0.25">
      <c r="A2433" s="279">
        <v>39071</v>
      </c>
      <c r="B2433" s="309" t="s">
        <v>405</v>
      </c>
      <c r="C2433" s="309" t="s">
        <v>91</v>
      </c>
      <c r="D2433">
        <v>0</v>
      </c>
    </row>
    <row r="2434" spans="1:4" x14ac:dyDescent="0.25">
      <c r="A2434" s="279">
        <v>39071</v>
      </c>
      <c r="B2434" s="309" t="s">
        <v>405</v>
      </c>
      <c r="C2434" s="309" t="s">
        <v>118</v>
      </c>
      <c r="D2434">
        <v>0</v>
      </c>
    </row>
    <row r="2435" spans="1:4" x14ac:dyDescent="0.25">
      <c r="A2435" s="279">
        <v>39071</v>
      </c>
      <c r="B2435" s="309" t="s">
        <v>405</v>
      </c>
      <c r="C2435" s="309" t="s">
        <v>407</v>
      </c>
      <c r="D2435">
        <v>3720046.1</v>
      </c>
    </row>
    <row r="2436" spans="1:4" x14ac:dyDescent="0.25">
      <c r="A2436" s="279">
        <v>39071</v>
      </c>
      <c r="B2436" s="309" t="s">
        <v>405</v>
      </c>
      <c r="C2436" s="309" t="s">
        <v>408</v>
      </c>
      <c r="D2436">
        <v>1007</v>
      </c>
    </row>
    <row r="2437" spans="1:4" x14ac:dyDescent="0.25">
      <c r="A2437" s="279">
        <v>39071</v>
      </c>
      <c r="B2437" s="309" t="s">
        <v>405</v>
      </c>
      <c r="C2437" s="309" t="s">
        <v>409</v>
      </c>
      <c r="D2437">
        <v>1058</v>
      </c>
    </row>
    <row r="2438" spans="1:4" x14ac:dyDescent="0.25">
      <c r="A2438" s="279">
        <v>39071</v>
      </c>
      <c r="B2438" s="309" t="s">
        <v>405</v>
      </c>
      <c r="C2438" s="309" t="s">
        <v>410</v>
      </c>
      <c r="D2438">
        <v>1032</v>
      </c>
    </row>
    <row r="2439" spans="1:4" x14ac:dyDescent="0.25">
      <c r="A2439" s="279">
        <v>39071</v>
      </c>
      <c r="B2439" s="309" t="s">
        <v>411</v>
      </c>
      <c r="C2439" s="309" t="s">
        <v>406</v>
      </c>
      <c r="D2439">
        <v>223716</v>
      </c>
    </row>
    <row r="2440" spans="1:4" x14ac:dyDescent="0.25">
      <c r="A2440" s="279">
        <v>39071</v>
      </c>
      <c r="B2440" s="309" t="s">
        <v>411</v>
      </c>
      <c r="C2440" s="309" t="s">
        <v>198</v>
      </c>
      <c r="D2440">
        <v>0</v>
      </c>
    </row>
    <row r="2441" spans="1:4" x14ac:dyDescent="0.25">
      <c r="A2441" s="279">
        <v>39071</v>
      </c>
      <c r="B2441" s="309" t="s">
        <v>411</v>
      </c>
      <c r="C2441" s="309" t="s">
        <v>199</v>
      </c>
      <c r="D2441">
        <v>0</v>
      </c>
    </row>
    <row r="2442" spans="1:4" x14ac:dyDescent="0.25">
      <c r="A2442" s="279">
        <v>39071</v>
      </c>
      <c r="B2442" s="309" t="s">
        <v>411</v>
      </c>
      <c r="C2442" s="309" t="s">
        <v>90</v>
      </c>
      <c r="D2442">
        <v>58</v>
      </c>
    </row>
    <row r="2443" spans="1:4" x14ac:dyDescent="0.25">
      <c r="A2443" s="279">
        <v>39071</v>
      </c>
      <c r="B2443" s="309" t="s">
        <v>411</v>
      </c>
      <c r="C2443" s="309" t="s">
        <v>24</v>
      </c>
      <c r="D2443">
        <v>0</v>
      </c>
    </row>
    <row r="2444" spans="1:4" x14ac:dyDescent="0.25">
      <c r="A2444" s="279">
        <v>39071</v>
      </c>
      <c r="B2444" s="309" t="s">
        <v>411</v>
      </c>
      <c r="C2444" s="309" t="s">
        <v>91</v>
      </c>
      <c r="D2444">
        <v>0</v>
      </c>
    </row>
    <row r="2445" spans="1:4" x14ac:dyDescent="0.25">
      <c r="A2445" s="279">
        <v>39071</v>
      </c>
      <c r="B2445" s="309" t="s">
        <v>411</v>
      </c>
      <c r="C2445" s="309" t="s">
        <v>118</v>
      </c>
      <c r="D2445">
        <v>0</v>
      </c>
    </row>
    <row r="2446" spans="1:4" x14ac:dyDescent="0.25">
      <c r="A2446" s="279">
        <v>39071</v>
      </c>
      <c r="B2446" s="309" t="s">
        <v>411</v>
      </c>
      <c r="C2446" s="309" t="s">
        <v>407</v>
      </c>
      <c r="D2446">
        <v>223658</v>
      </c>
    </row>
    <row r="2447" spans="1:4" x14ac:dyDescent="0.25">
      <c r="A2447" s="279">
        <v>39071</v>
      </c>
      <c r="B2447" s="309" t="s">
        <v>411</v>
      </c>
      <c r="C2447" s="309" t="s">
        <v>412</v>
      </c>
      <c r="D2447">
        <v>1007</v>
      </c>
    </row>
    <row r="2448" spans="1:4" x14ac:dyDescent="0.25">
      <c r="A2448" s="279">
        <v>39071</v>
      </c>
      <c r="B2448" s="309" t="s">
        <v>411</v>
      </c>
      <c r="C2448" s="309" t="s">
        <v>409</v>
      </c>
      <c r="D2448">
        <v>1049</v>
      </c>
    </row>
    <row r="2449" spans="1:4" x14ac:dyDescent="0.25">
      <c r="A2449" s="279">
        <v>39072</v>
      </c>
      <c r="B2449" s="309" t="s">
        <v>405</v>
      </c>
      <c r="C2449" s="309" t="s">
        <v>406</v>
      </c>
      <c r="D2449">
        <v>3720046.1</v>
      </c>
    </row>
    <row r="2450" spans="1:4" x14ac:dyDescent="0.25">
      <c r="A2450" s="279">
        <v>39072</v>
      </c>
      <c r="B2450" s="309" t="s">
        <v>405</v>
      </c>
      <c r="C2450" s="309" t="s">
        <v>89</v>
      </c>
      <c r="D2450">
        <v>0</v>
      </c>
    </row>
    <row r="2451" spans="1:4" x14ac:dyDescent="0.25">
      <c r="A2451" s="279">
        <v>39072</v>
      </c>
      <c r="B2451" s="309" t="s">
        <v>405</v>
      </c>
      <c r="C2451" s="309" t="s">
        <v>198</v>
      </c>
      <c r="D2451">
        <v>0</v>
      </c>
    </row>
    <row r="2452" spans="1:4" x14ac:dyDescent="0.25">
      <c r="A2452" s="279">
        <v>39072</v>
      </c>
      <c r="B2452" s="309" t="s">
        <v>405</v>
      </c>
      <c r="C2452" s="309" t="s">
        <v>199</v>
      </c>
      <c r="D2452">
        <v>0</v>
      </c>
    </row>
    <row r="2453" spans="1:4" x14ac:dyDescent="0.25">
      <c r="A2453" s="279">
        <v>39072</v>
      </c>
      <c r="B2453" s="309" t="s">
        <v>405</v>
      </c>
      <c r="C2453" s="309" t="s">
        <v>90</v>
      </c>
      <c r="D2453">
        <v>1604</v>
      </c>
    </row>
    <row r="2454" spans="1:4" x14ac:dyDescent="0.25">
      <c r="A2454" s="279">
        <v>39072</v>
      </c>
      <c r="B2454" s="309" t="s">
        <v>405</v>
      </c>
      <c r="C2454" s="309" t="s">
        <v>24</v>
      </c>
      <c r="D2454">
        <v>0</v>
      </c>
    </row>
    <row r="2455" spans="1:4" x14ac:dyDescent="0.25">
      <c r="A2455" s="279">
        <v>39072</v>
      </c>
      <c r="B2455" s="309" t="s">
        <v>405</v>
      </c>
      <c r="C2455" s="309" t="s">
        <v>91</v>
      </c>
      <c r="D2455">
        <v>0</v>
      </c>
    </row>
    <row r="2456" spans="1:4" x14ac:dyDescent="0.25">
      <c r="A2456" s="279">
        <v>39072</v>
      </c>
      <c r="B2456" s="309" t="s">
        <v>405</v>
      </c>
      <c r="C2456" s="309" t="s">
        <v>118</v>
      </c>
      <c r="D2456">
        <v>0</v>
      </c>
    </row>
    <row r="2457" spans="1:4" x14ac:dyDescent="0.25">
      <c r="A2457" s="279">
        <v>39072</v>
      </c>
      <c r="B2457" s="309" t="s">
        <v>405</v>
      </c>
      <c r="C2457" s="309" t="s">
        <v>407</v>
      </c>
      <c r="D2457">
        <v>3718442.1</v>
      </c>
    </row>
    <row r="2458" spans="1:4" x14ac:dyDescent="0.25">
      <c r="A2458" s="279">
        <v>39072</v>
      </c>
      <c r="B2458" s="309" t="s">
        <v>405</v>
      </c>
      <c r="C2458" s="309" t="s">
        <v>408</v>
      </c>
      <c r="D2458">
        <v>1007</v>
      </c>
    </row>
    <row r="2459" spans="1:4" x14ac:dyDescent="0.25">
      <c r="A2459" s="279">
        <v>39072</v>
      </c>
      <c r="B2459" s="309" t="s">
        <v>405</v>
      </c>
      <c r="C2459" s="309" t="s">
        <v>409</v>
      </c>
      <c r="D2459">
        <v>1058</v>
      </c>
    </row>
    <row r="2460" spans="1:4" x14ac:dyDescent="0.25">
      <c r="A2460" s="279">
        <v>39072</v>
      </c>
      <c r="B2460" s="309" t="s">
        <v>405</v>
      </c>
      <c r="C2460" s="309" t="s">
        <v>410</v>
      </c>
      <c r="D2460">
        <v>1032</v>
      </c>
    </row>
    <row r="2461" spans="1:4" x14ac:dyDescent="0.25">
      <c r="A2461" s="279">
        <v>39072</v>
      </c>
      <c r="B2461" s="309" t="s">
        <v>411</v>
      </c>
      <c r="C2461" s="309" t="s">
        <v>406</v>
      </c>
      <c r="D2461">
        <v>223658</v>
      </c>
    </row>
    <row r="2462" spans="1:4" x14ac:dyDescent="0.25">
      <c r="A2462" s="279">
        <v>39072</v>
      </c>
      <c r="B2462" s="309" t="s">
        <v>411</v>
      </c>
      <c r="C2462" s="309" t="s">
        <v>198</v>
      </c>
      <c r="D2462">
        <v>0</v>
      </c>
    </row>
    <row r="2463" spans="1:4" x14ac:dyDescent="0.25">
      <c r="A2463" s="279">
        <v>39072</v>
      </c>
      <c r="B2463" s="309" t="s">
        <v>411</v>
      </c>
      <c r="C2463" s="309" t="s">
        <v>199</v>
      </c>
      <c r="D2463">
        <v>0</v>
      </c>
    </row>
    <row r="2464" spans="1:4" x14ac:dyDescent="0.25">
      <c r="A2464" s="279">
        <v>39072</v>
      </c>
      <c r="B2464" s="309" t="s">
        <v>411</v>
      </c>
      <c r="C2464" s="309" t="s">
        <v>90</v>
      </c>
      <c r="D2464">
        <v>219</v>
      </c>
    </row>
    <row r="2465" spans="1:4" x14ac:dyDescent="0.25">
      <c r="A2465" s="279">
        <v>39072</v>
      </c>
      <c r="B2465" s="309" t="s">
        <v>411</v>
      </c>
      <c r="C2465" s="309" t="s">
        <v>24</v>
      </c>
      <c r="D2465">
        <v>0</v>
      </c>
    </row>
    <row r="2466" spans="1:4" x14ac:dyDescent="0.25">
      <c r="A2466" s="279">
        <v>39072</v>
      </c>
      <c r="B2466" s="309" t="s">
        <v>411</v>
      </c>
      <c r="C2466" s="309" t="s">
        <v>91</v>
      </c>
      <c r="D2466">
        <v>0</v>
      </c>
    </row>
    <row r="2467" spans="1:4" x14ac:dyDescent="0.25">
      <c r="A2467" s="279">
        <v>39072</v>
      </c>
      <c r="B2467" s="309" t="s">
        <v>411</v>
      </c>
      <c r="C2467" s="309" t="s">
        <v>118</v>
      </c>
      <c r="D2467">
        <v>0</v>
      </c>
    </row>
    <row r="2468" spans="1:4" x14ac:dyDescent="0.25">
      <c r="A2468" s="279">
        <v>39072</v>
      </c>
      <c r="B2468" s="309" t="s">
        <v>411</v>
      </c>
      <c r="C2468" s="309" t="s">
        <v>407</v>
      </c>
      <c r="D2468">
        <v>223439</v>
      </c>
    </row>
    <row r="2469" spans="1:4" x14ac:dyDescent="0.25">
      <c r="A2469" s="279">
        <v>39072</v>
      </c>
      <c r="B2469" s="309" t="s">
        <v>411</v>
      </c>
      <c r="C2469" s="309" t="s">
        <v>412</v>
      </c>
      <c r="D2469">
        <v>1007</v>
      </c>
    </row>
    <row r="2470" spans="1:4" x14ac:dyDescent="0.25">
      <c r="A2470" s="279">
        <v>39072</v>
      </c>
      <c r="B2470" s="309" t="s">
        <v>411</v>
      </c>
      <c r="C2470" s="309" t="s">
        <v>409</v>
      </c>
      <c r="D2470">
        <v>1049</v>
      </c>
    </row>
    <row r="2471" spans="1:4" x14ac:dyDescent="0.25">
      <c r="A2471" s="279">
        <v>39073</v>
      </c>
      <c r="B2471" s="309" t="s">
        <v>405</v>
      </c>
      <c r="C2471" s="309" t="s">
        <v>406</v>
      </c>
      <c r="D2471">
        <v>3718442.1</v>
      </c>
    </row>
    <row r="2472" spans="1:4" x14ac:dyDescent="0.25">
      <c r="A2472" s="279">
        <v>39073</v>
      </c>
      <c r="B2472" s="309" t="s">
        <v>405</v>
      </c>
      <c r="C2472" s="309" t="s">
        <v>89</v>
      </c>
      <c r="D2472">
        <v>0</v>
      </c>
    </row>
    <row r="2473" spans="1:4" x14ac:dyDescent="0.25">
      <c r="A2473" s="279">
        <v>39073</v>
      </c>
      <c r="B2473" s="309" t="s">
        <v>405</v>
      </c>
      <c r="C2473" s="309" t="s">
        <v>198</v>
      </c>
      <c r="D2473">
        <v>0</v>
      </c>
    </row>
    <row r="2474" spans="1:4" x14ac:dyDescent="0.25">
      <c r="A2474" s="279">
        <v>39073</v>
      </c>
      <c r="B2474" s="309" t="s">
        <v>405</v>
      </c>
      <c r="C2474" s="309" t="s">
        <v>199</v>
      </c>
      <c r="D2474">
        <v>0</v>
      </c>
    </row>
    <row r="2475" spans="1:4" x14ac:dyDescent="0.25">
      <c r="A2475" s="279">
        <v>39073</v>
      </c>
      <c r="B2475" s="309" t="s">
        <v>405</v>
      </c>
      <c r="C2475" s="309" t="s">
        <v>90</v>
      </c>
      <c r="D2475">
        <v>5080</v>
      </c>
    </row>
    <row r="2476" spans="1:4" x14ac:dyDescent="0.25">
      <c r="A2476" s="279">
        <v>39073</v>
      </c>
      <c r="B2476" s="309" t="s">
        <v>405</v>
      </c>
      <c r="C2476" s="309" t="s">
        <v>24</v>
      </c>
      <c r="D2476">
        <v>0</v>
      </c>
    </row>
    <row r="2477" spans="1:4" x14ac:dyDescent="0.25">
      <c r="A2477" s="279">
        <v>39073</v>
      </c>
      <c r="B2477" s="309" t="s">
        <v>405</v>
      </c>
      <c r="C2477" s="309" t="s">
        <v>91</v>
      </c>
      <c r="D2477">
        <v>0</v>
      </c>
    </row>
    <row r="2478" spans="1:4" x14ac:dyDescent="0.25">
      <c r="A2478" s="279">
        <v>39073</v>
      </c>
      <c r="B2478" s="309" t="s">
        <v>405</v>
      </c>
      <c r="C2478" s="309" t="s">
        <v>118</v>
      </c>
      <c r="D2478">
        <v>0</v>
      </c>
    </row>
    <row r="2479" spans="1:4" x14ac:dyDescent="0.25">
      <c r="A2479" s="279">
        <v>39073</v>
      </c>
      <c r="B2479" s="309" t="s">
        <v>405</v>
      </c>
      <c r="C2479" s="309" t="s">
        <v>407</v>
      </c>
      <c r="D2479">
        <v>3713362.1</v>
      </c>
    </row>
    <row r="2480" spans="1:4" x14ac:dyDescent="0.25">
      <c r="A2480" s="279">
        <v>39073</v>
      </c>
      <c r="B2480" s="309" t="s">
        <v>405</v>
      </c>
      <c r="C2480" s="309" t="s">
        <v>408</v>
      </c>
      <c r="D2480">
        <v>1007</v>
      </c>
    </row>
    <row r="2481" spans="1:4" x14ac:dyDescent="0.25">
      <c r="A2481" s="279">
        <v>39073</v>
      </c>
      <c r="B2481" s="309" t="s">
        <v>405</v>
      </c>
      <c r="C2481" s="309" t="s">
        <v>409</v>
      </c>
      <c r="D2481">
        <v>1058</v>
      </c>
    </row>
    <row r="2482" spans="1:4" x14ac:dyDescent="0.25">
      <c r="A2482" s="279">
        <v>39073</v>
      </c>
      <c r="B2482" s="309" t="s">
        <v>405</v>
      </c>
      <c r="C2482" s="309" t="s">
        <v>410</v>
      </c>
      <c r="D2482">
        <v>1032</v>
      </c>
    </row>
    <row r="2483" spans="1:4" x14ac:dyDescent="0.25">
      <c r="A2483" s="279">
        <v>39073</v>
      </c>
      <c r="B2483" s="309" t="s">
        <v>411</v>
      </c>
      <c r="C2483" s="309" t="s">
        <v>406</v>
      </c>
      <c r="D2483">
        <v>223439</v>
      </c>
    </row>
    <row r="2484" spans="1:4" x14ac:dyDescent="0.25">
      <c r="A2484" s="279">
        <v>39073</v>
      </c>
      <c r="B2484" s="309" t="s">
        <v>411</v>
      </c>
      <c r="C2484" s="309" t="s">
        <v>198</v>
      </c>
      <c r="D2484">
        <v>0</v>
      </c>
    </row>
    <row r="2485" spans="1:4" x14ac:dyDescent="0.25">
      <c r="A2485" s="279">
        <v>39073</v>
      </c>
      <c r="B2485" s="309" t="s">
        <v>411</v>
      </c>
      <c r="C2485" s="309" t="s">
        <v>199</v>
      </c>
      <c r="D2485">
        <v>0</v>
      </c>
    </row>
    <row r="2486" spans="1:4" x14ac:dyDescent="0.25">
      <c r="A2486" s="279">
        <v>39073</v>
      </c>
      <c r="B2486" s="309" t="s">
        <v>411</v>
      </c>
      <c r="C2486" s="309" t="s">
        <v>90</v>
      </c>
      <c r="D2486">
        <v>70</v>
      </c>
    </row>
    <row r="2487" spans="1:4" x14ac:dyDescent="0.25">
      <c r="A2487" s="279">
        <v>39073</v>
      </c>
      <c r="B2487" s="309" t="s">
        <v>411</v>
      </c>
      <c r="C2487" s="309" t="s">
        <v>24</v>
      </c>
      <c r="D2487">
        <v>0</v>
      </c>
    </row>
    <row r="2488" spans="1:4" x14ac:dyDescent="0.25">
      <c r="A2488" s="279">
        <v>39073</v>
      </c>
      <c r="B2488" s="309" t="s">
        <v>411</v>
      </c>
      <c r="C2488" s="309" t="s">
        <v>91</v>
      </c>
      <c r="D2488">
        <v>0</v>
      </c>
    </row>
    <row r="2489" spans="1:4" x14ac:dyDescent="0.25">
      <c r="A2489" s="279">
        <v>39073</v>
      </c>
      <c r="B2489" s="309" t="s">
        <v>411</v>
      </c>
      <c r="C2489" s="309" t="s">
        <v>118</v>
      </c>
      <c r="D2489">
        <v>0</v>
      </c>
    </row>
    <row r="2490" spans="1:4" x14ac:dyDescent="0.25">
      <c r="A2490" s="279">
        <v>39073</v>
      </c>
      <c r="B2490" s="309" t="s">
        <v>411</v>
      </c>
      <c r="C2490" s="309" t="s">
        <v>407</v>
      </c>
      <c r="D2490">
        <v>223369</v>
      </c>
    </row>
    <row r="2491" spans="1:4" x14ac:dyDescent="0.25">
      <c r="A2491" s="279">
        <v>39073</v>
      </c>
      <c r="B2491" s="309" t="s">
        <v>411</v>
      </c>
      <c r="C2491" s="309" t="s">
        <v>412</v>
      </c>
      <c r="D2491">
        <v>1007</v>
      </c>
    </row>
    <row r="2492" spans="1:4" x14ac:dyDescent="0.25">
      <c r="A2492" s="279">
        <v>39073</v>
      </c>
      <c r="B2492" s="309" t="s">
        <v>411</v>
      </c>
      <c r="C2492" s="309" t="s">
        <v>409</v>
      </c>
      <c r="D2492">
        <v>1049</v>
      </c>
    </row>
    <row r="2493" spans="1:4" x14ac:dyDescent="0.25">
      <c r="A2493" s="279">
        <v>39074</v>
      </c>
      <c r="B2493" s="309" t="s">
        <v>405</v>
      </c>
      <c r="C2493" s="309" t="s">
        <v>406</v>
      </c>
      <c r="D2493">
        <v>3713362.1</v>
      </c>
    </row>
    <row r="2494" spans="1:4" x14ac:dyDescent="0.25">
      <c r="A2494" s="279">
        <v>39074</v>
      </c>
      <c r="B2494" s="309" t="s">
        <v>405</v>
      </c>
      <c r="C2494" s="309" t="s">
        <v>89</v>
      </c>
      <c r="D2494">
        <v>0</v>
      </c>
    </row>
    <row r="2495" spans="1:4" x14ac:dyDescent="0.25">
      <c r="A2495" s="279">
        <v>39074</v>
      </c>
      <c r="B2495" s="309" t="s">
        <v>405</v>
      </c>
      <c r="C2495" s="309" t="s">
        <v>198</v>
      </c>
      <c r="D2495">
        <v>0</v>
      </c>
    </row>
    <row r="2496" spans="1:4" x14ac:dyDescent="0.25">
      <c r="A2496" s="279">
        <v>39074</v>
      </c>
      <c r="B2496" s="309" t="s">
        <v>405</v>
      </c>
      <c r="C2496" s="309" t="s">
        <v>199</v>
      </c>
      <c r="D2496">
        <v>0</v>
      </c>
    </row>
    <row r="2497" spans="1:4" x14ac:dyDescent="0.25">
      <c r="A2497" s="279">
        <v>39074</v>
      </c>
      <c r="B2497" s="309" t="s">
        <v>405</v>
      </c>
      <c r="C2497" s="309" t="s">
        <v>90</v>
      </c>
      <c r="D2497">
        <v>5080</v>
      </c>
    </row>
    <row r="2498" spans="1:4" x14ac:dyDescent="0.25">
      <c r="A2498" s="279">
        <v>39074</v>
      </c>
      <c r="B2498" s="309" t="s">
        <v>405</v>
      </c>
      <c r="C2498" s="309" t="s">
        <v>24</v>
      </c>
      <c r="D2498">
        <v>0</v>
      </c>
    </row>
    <row r="2499" spans="1:4" x14ac:dyDescent="0.25">
      <c r="A2499" s="279">
        <v>39074</v>
      </c>
      <c r="B2499" s="309" t="s">
        <v>405</v>
      </c>
      <c r="C2499" s="309" t="s">
        <v>91</v>
      </c>
      <c r="D2499">
        <v>0</v>
      </c>
    </row>
    <row r="2500" spans="1:4" x14ac:dyDescent="0.25">
      <c r="A2500" s="279">
        <v>39074</v>
      </c>
      <c r="B2500" s="309" t="s">
        <v>405</v>
      </c>
      <c r="C2500" s="309" t="s">
        <v>118</v>
      </c>
      <c r="D2500">
        <v>0</v>
      </c>
    </row>
    <row r="2501" spans="1:4" x14ac:dyDescent="0.25">
      <c r="A2501" s="279">
        <v>39074</v>
      </c>
      <c r="B2501" s="309" t="s">
        <v>405</v>
      </c>
      <c r="C2501" s="309" t="s">
        <v>407</v>
      </c>
      <c r="D2501">
        <v>3708282.1</v>
      </c>
    </row>
    <row r="2502" spans="1:4" x14ac:dyDescent="0.25">
      <c r="A2502" s="279">
        <v>39074</v>
      </c>
      <c r="B2502" s="309" t="s">
        <v>405</v>
      </c>
      <c r="C2502" s="309" t="s">
        <v>408</v>
      </c>
      <c r="D2502">
        <v>1007</v>
      </c>
    </row>
    <row r="2503" spans="1:4" x14ac:dyDescent="0.25">
      <c r="A2503" s="279">
        <v>39074</v>
      </c>
      <c r="B2503" s="309" t="s">
        <v>405</v>
      </c>
      <c r="C2503" s="309" t="s">
        <v>409</v>
      </c>
      <c r="D2503">
        <v>1058</v>
      </c>
    </row>
    <row r="2504" spans="1:4" x14ac:dyDescent="0.25">
      <c r="A2504" s="279">
        <v>39074</v>
      </c>
      <c r="B2504" s="309" t="s">
        <v>405</v>
      </c>
      <c r="C2504" s="309" t="s">
        <v>410</v>
      </c>
      <c r="D2504">
        <v>1032</v>
      </c>
    </row>
    <row r="2505" spans="1:4" x14ac:dyDescent="0.25">
      <c r="A2505" s="279">
        <v>39074</v>
      </c>
      <c r="B2505" s="309" t="s">
        <v>411</v>
      </c>
      <c r="C2505" s="309" t="s">
        <v>406</v>
      </c>
      <c r="D2505">
        <v>223369</v>
      </c>
    </row>
    <row r="2506" spans="1:4" x14ac:dyDescent="0.25">
      <c r="A2506" s="279">
        <v>39074</v>
      </c>
      <c r="B2506" s="309" t="s">
        <v>411</v>
      </c>
      <c r="C2506" s="309" t="s">
        <v>198</v>
      </c>
      <c r="D2506">
        <v>0</v>
      </c>
    </row>
    <row r="2507" spans="1:4" x14ac:dyDescent="0.25">
      <c r="A2507" s="279">
        <v>39074</v>
      </c>
      <c r="B2507" s="309" t="s">
        <v>411</v>
      </c>
      <c r="C2507" s="309" t="s">
        <v>199</v>
      </c>
      <c r="D2507">
        <v>0</v>
      </c>
    </row>
    <row r="2508" spans="1:4" x14ac:dyDescent="0.25">
      <c r="A2508" s="279">
        <v>39074</v>
      </c>
      <c r="B2508" s="309" t="s">
        <v>411</v>
      </c>
      <c r="C2508" s="309" t="s">
        <v>90</v>
      </c>
      <c r="D2508">
        <v>207</v>
      </c>
    </row>
    <row r="2509" spans="1:4" x14ac:dyDescent="0.25">
      <c r="A2509" s="279">
        <v>39074</v>
      </c>
      <c r="B2509" s="309" t="s">
        <v>411</v>
      </c>
      <c r="C2509" s="309" t="s">
        <v>24</v>
      </c>
      <c r="D2509">
        <v>0</v>
      </c>
    </row>
    <row r="2510" spans="1:4" x14ac:dyDescent="0.25">
      <c r="A2510" s="279">
        <v>39074</v>
      </c>
      <c r="B2510" s="309" t="s">
        <v>411</v>
      </c>
      <c r="C2510" s="309" t="s">
        <v>91</v>
      </c>
      <c r="D2510">
        <v>0</v>
      </c>
    </row>
    <row r="2511" spans="1:4" x14ac:dyDescent="0.25">
      <c r="A2511" s="279">
        <v>39074</v>
      </c>
      <c r="B2511" s="309" t="s">
        <v>411</v>
      </c>
      <c r="C2511" s="309" t="s">
        <v>118</v>
      </c>
      <c r="D2511">
        <v>0</v>
      </c>
    </row>
    <row r="2512" spans="1:4" x14ac:dyDescent="0.25">
      <c r="A2512" s="279">
        <v>39074</v>
      </c>
      <c r="B2512" s="309" t="s">
        <v>411</v>
      </c>
      <c r="C2512" s="309" t="s">
        <v>407</v>
      </c>
      <c r="D2512">
        <v>223162</v>
      </c>
    </row>
    <row r="2513" spans="1:4" x14ac:dyDescent="0.25">
      <c r="A2513" s="279">
        <v>39074</v>
      </c>
      <c r="B2513" s="309" t="s">
        <v>411</v>
      </c>
      <c r="C2513" s="309" t="s">
        <v>412</v>
      </c>
      <c r="D2513">
        <v>1007</v>
      </c>
    </row>
    <row r="2514" spans="1:4" x14ac:dyDescent="0.25">
      <c r="A2514" s="279">
        <v>39074</v>
      </c>
      <c r="B2514" s="309" t="s">
        <v>411</v>
      </c>
      <c r="C2514" s="309" t="s">
        <v>409</v>
      </c>
      <c r="D2514">
        <v>1049</v>
      </c>
    </row>
    <row r="2515" spans="1:4" x14ac:dyDescent="0.25">
      <c r="A2515" s="279">
        <v>39075</v>
      </c>
      <c r="B2515" s="309" t="s">
        <v>405</v>
      </c>
      <c r="C2515" s="309" t="s">
        <v>406</v>
      </c>
      <c r="D2515">
        <v>3708282.1</v>
      </c>
    </row>
    <row r="2516" spans="1:4" x14ac:dyDescent="0.25">
      <c r="A2516" s="279">
        <v>39075</v>
      </c>
      <c r="B2516" s="309" t="s">
        <v>405</v>
      </c>
      <c r="C2516" s="309" t="s">
        <v>89</v>
      </c>
      <c r="D2516">
        <v>0</v>
      </c>
    </row>
    <row r="2517" spans="1:4" x14ac:dyDescent="0.25">
      <c r="A2517" s="279">
        <v>39075</v>
      </c>
      <c r="B2517" s="309" t="s">
        <v>405</v>
      </c>
      <c r="C2517" s="309" t="s">
        <v>198</v>
      </c>
      <c r="D2517">
        <v>0</v>
      </c>
    </row>
    <row r="2518" spans="1:4" x14ac:dyDescent="0.25">
      <c r="A2518" s="279">
        <v>39075</v>
      </c>
      <c r="B2518" s="309" t="s">
        <v>405</v>
      </c>
      <c r="C2518" s="309" t="s">
        <v>199</v>
      </c>
      <c r="D2518">
        <v>0</v>
      </c>
    </row>
    <row r="2519" spans="1:4" x14ac:dyDescent="0.25">
      <c r="A2519" s="279">
        <v>39075</v>
      </c>
      <c r="B2519" s="309" t="s">
        <v>405</v>
      </c>
      <c r="C2519" s="309" t="s">
        <v>90</v>
      </c>
      <c r="D2519">
        <v>2138</v>
      </c>
    </row>
    <row r="2520" spans="1:4" x14ac:dyDescent="0.25">
      <c r="A2520" s="279">
        <v>39075</v>
      </c>
      <c r="B2520" s="309" t="s">
        <v>405</v>
      </c>
      <c r="C2520" s="309" t="s">
        <v>24</v>
      </c>
      <c r="D2520">
        <v>0</v>
      </c>
    </row>
    <row r="2521" spans="1:4" x14ac:dyDescent="0.25">
      <c r="A2521" s="279">
        <v>39075</v>
      </c>
      <c r="B2521" s="309" t="s">
        <v>405</v>
      </c>
      <c r="C2521" s="309" t="s">
        <v>91</v>
      </c>
      <c r="D2521">
        <v>0</v>
      </c>
    </row>
    <row r="2522" spans="1:4" x14ac:dyDescent="0.25">
      <c r="A2522" s="279">
        <v>39075</v>
      </c>
      <c r="B2522" s="309" t="s">
        <v>405</v>
      </c>
      <c r="C2522" s="309" t="s">
        <v>118</v>
      </c>
      <c r="D2522">
        <v>0</v>
      </c>
    </row>
    <row r="2523" spans="1:4" x14ac:dyDescent="0.25">
      <c r="A2523" s="279">
        <v>39075</v>
      </c>
      <c r="B2523" s="309" t="s">
        <v>405</v>
      </c>
      <c r="C2523" s="309" t="s">
        <v>407</v>
      </c>
      <c r="D2523">
        <v>3706144.1</v>
      </c>
    </row>
    <row r="2524" spans="1:4" x14ac:dyDescent="0.25">
      <c r="A2524" s="279">
        <v>39075</v>
      </c>
      <c r="B2524" s="309" t="s">
        <v>405</v>
      </c>
      <c r="C2524" s="309" t="s">
        <v>408</v>
      </c>
      <c r="D2524">
        <v>1007</v>
      </c>
    </row>
    <row r="2525" spans="1:4" x14ac:dyDescent="0.25">
      <c r="A2525" s="279">
        <v>39075</v>
      </c>
      <c r="B2525" s="309" t="s">
        <v>405</v>
      </c>
      <c r="C2525" s="309" t="s">
        <v>409</v>
      </c>
      <c r="D2525">
        <v>1058</v>
      </c>
    </row>
    <row r="2526" spans="1:4" x14ac:dyDescent="0.25">
      <c r="A2526" s="279">
        <v>39075</v>
      </c>
      <c r="B2526" s="309" t="s">
        <v>405</v>
      </c>
      <c r="C2526" s="309" t="s">
        <v>410</v>
      </c>
      <c r="D2526">
        <v>1032</v>
      </c>
    </row>
    <row r="2527" spans="1:4" x14ac:dyDescent="0.25">
      <c r="A2527" s="279">
        <v>39075</v>
      </c>
      <c r="B2527" s="309" t="s">
        <v>411</v>
      </c>
      <c r="C2527" s="309" t="s">
        <v>406</v>
      </c>
      <c r="D2527">
        <v>223162</v>
      </c>
    </row>
    <row r="2528" spans="1:4" x14ac:dyDescent="0.25">
      <c r="A2528" s="279">
        <v>39075</v>
      </c>
      <c r="B2528" s="309" t="s">
        <v>411</v>
      </c>
      <c r="C2528" s="309" t="s">
        <v>198</v>
      </c>
      <c r="D2528">
        <v>0</v>
      </c>
    </row>
    <row r="2529" spans="1:4" x14ac:dyDescent="0.25">
      <c r="A2529" s="279">
        <v>39075</v>
      </c>
      <c r="B2529" s="309" t="s">
        <v>411</v>
      </c>
      <c r="C2529" s="309" t="s">
        <v>199</v>
      </c>
      <c r="D2529">
        <v>0</v>
      </c>
    </row>
    <row r="2530" spans="1:4" x14ac:dyDescent="0.25">
      <c r="A2530" s="279">
        <v>39075</v>
      </c>
      <c r="B2530" s="309" t="s">
        <v>411</v>
      </c>
      <c r="C2530" s="309" t="s">
        <v>90</v>
      </c>
      <c r="D2530">
        <v>555</v>
      </c>
    </row>
    <row r="2531" spans="1:4" x14ac:dyDescent="0.25">
      <c r="A2531" s="279">
        <v>39075</v>
      </c>
      <c r="B2531" s="309" t="s">
        <v>411</v>
      </c>
      <c r="C2531" s="309" t="s">
        <v>24</v>
      </c>
      <c r="D2531">
        <v>0</v>
      </c>
    </row>
    <row r="2532" spans="1:4" x14ac:dyDescent="0.25">
      <c r="A2532" s="279">
        <v>39075</v>
      </c>
      <c r="B2532" s="309" t="s">
        <v>411</v>
      </c>
      <c r="C2532" s="309" t="s">
        <v>91</v>
      </c>
      <c r="D2532">
        <v>0</v>
      </c>
    </row>
    <row r="2533" spans="1:4" x14ac:dyDescent="0.25">
      <c r="A2533" s="279">
        <v>39075</v>
      </c>
      <c r="B2533" s="309" t="s">
        <v>411</v>
      </c>
      <c r="C2533" s="309" t="s">
        <v>118</v>
      </c>
      <c r="D2533">
        <v>0</v>
      </c>
    </row>
    <row r="2534" spans="1:4" x14ac:dyDescent="0.25">
      <c r="A2534" s="279">
        <v>39075</v>
      </c>
      <c r="B2534" s="309" t="s">
        <v>411</v>
      </c>
      <c r="C2534" s="309" t="s">
        <v>407</v>
      </c>
      <c r="D2534">
        <v>222607</v>
      </c>
    </row>
    <row r="2535" spans="1:4" x14ac:dyDescent="0.25">
      <c r="A2535" s="279">
        <v>39075</v>
      </c>
      <c r="B2535" s="309" t="s">
        <v>411</v>
      </c>
      <c r="C2535" s="309" t="s">
        <v>412</v>
      </c>
      <c r="D2535">
        <v>1007</v>
      </c>
    </row>
    <row r="2536" spans="1:4" x14ac:dyDescent="0.25">
      <c r="A2536" s="279">
        <v>39075</v>
      </c>
      <c r="B2536" s="309" t="s">
        <v>411</v>
      </c>
      <c r="C2536" s="309" t="s">
        <v>409</v>
      </c>
      <c r="D2536">
        <v>1049</v>
      </c>
    </row>
    <row r="2537" spans="1:4" x14ac:dyDescent="0.25">
      <c r="A2537" s="279">
        <v>39076</v>
      </c>
      <c r="B2537" s="309" t="s">
        <v>405</v>
      </c>
      <c r="C2537" s="309" t="s">
        <v>406</v>
      </c>
      <c r="D2537">
        <v>3706144.1</v>
      </c>
    </row>
    <row r="2538" spans="1:4" x14ac:dyDescent="0.25">
      <c r="A2538" s="279">
        <v>39076</v>
      </c>
      <c r="B2538" s="309" t="s">
        <v>405</v>
      </c>
      <c r="C2538" s="309" t="s">
        <v>89</v>
      </c>
      <c r="D2538">
        <v>0</v>
      </c>
    </row>
    <row r="2539" spans="1:4" x14ac:dyDescent="0.25">
      <c r="A2539" s="279">
        <v>39076</v>
      </c>
      <c r="B2539" s="309" t="s">
        <v>405</v>
      </c>
      <c r="C2539" s="309" t="s">
        <v>198</v>
      </c>
      <c r="D2539">
        <v>0</v>
      </c>
    </row>
    <row r="2540" spans="1:4" x14ac:dyDescent="0.25">
      <c r="A2540" s="279">
        <v>39076</v>
      </c>
      <c r="B2540" s="309" t="s">
        <v>405</v>
      </c>
      <c r="C2540" s="309" t="s">
        <v>199</v>
      </c>
      <c r="D2540">
        <v>0</v>
      </c>
    </row>
    <row r="2541" spans="1:4" x14ac:dyDescent="0.25">
      <c r="A2541" s="279">
        <v>39076</v>
      </c>
      <c r="B2541" s="309" t="s">
        <v>405</v>
      </c>
      <c r="C2541" s="309" t="s">
        <v>90</v>
      </c>
      <c r="D2541">
        <v>4544</v>
      </c>
    </row>
    <row r="2542" spans="1:4" x14ac:dyDescent="0.25">
      <c r="A2542" s="279">
        <v>39076</v>
      </c>
      <c r="B2542" s="309" t="s">
        <v>405</v>
      </c>
      <c r="C2542" s="309" t="s">
        <v>24</v>
      </c>
      <c r="D2542">
        <v>0</v>
      </c>
    </row>
    <row r="2543" spans="1:4" x14ac:dyDescent="0.25">
      <c r="A2543" s="279">
        <v>39076</v>
      </c>
      <c r="B2543" s="309" t="s">
        <v>405</v>
      </c>
      <c r="C2543" s="309" t="s">
        <v>91</v>
      </c>
      <c r="D2543">
        <v>0</v>
      </c>
    </row>
    <row r="2544" spans="1:4" x14ac:dyDescent="0.25">
      <c r="A2544" s="279">
        <v>39076</v>
      </c>
      <c r="B2544" s="309" t="s">
        <v>405</v>
      </c>
      <c r="C2544" s="309" t="s">
        <v>118</v>
      </c>
      <c r="D2544">
        <v>0</v>
      </c>
    </row>
    <row r="2545" spans="1:4" x14ac:dyDescent="0.25">
      <c r="A2545" s="279">
        <v>39076</v>
      </c>
      <c r="B2545" s="309" t="s">
        <v>405</v>
      </c>
      <c r="C2545" s="309" t="s">
        <v>407</v>
      </c>
      <c r="D2545">
        <v>3701600.1</v>
      </c>
    </row>
    <row r="2546" spans="1:4" x14ac:dyDescent="0.25">
      <c r="A2546" s="279">
        <v>39076</v>
      </c>
      <c r="B2546" s="309" t="s">
        <v>405</v>
      </c>
      <c r="C2546" s="309" t="s">
        <v>408</v>
      </c>
      <c r="D2546">
        <v>1007</v>
      </c>
    </row>
    <row r="2547" spans="1:4" x14ac:dyDescent="0.25">
      <c r="A2547" s="279">
        <v>39076</v>
      </c>
      <c r="B2547" s="309" t="s">
        <v>405</v>
      </c>
      <c r="C2547" s="309" t="s">
        <v>409</v>
      </c>
      <c r="D2547">
        <v>1058</v>
      </c>
    </row>
    <row r="2548" spans="1:4" x14ac:dyDescent="0.25">
      <c r="A2548" s="279">
        <v>39076</v>
      </c>
      <c r="B2548" s="309" t="s">
        <v>405</v>
      </c>
      <c r="C2548" s="309" t="s">
        <v>410</v>
      </c>
      <c r="D2548">
        <v>1032</v>
      </c>
    </row>
    <row r="2549" spans="1:4" x14ac:dyDescent="0.25">
      <c r="A2549" s="279">
        <v>39076</v>
      </c>
      <c r="B2549" s="309" t="s">
        <v>411</v>
      </c>
      <c r="C2549" s="309" t="s">
        <v>406</v>
      </c>
      <c r="D2549">
        <v>222607</v>
      </c>
    </row>
    <row r="2550" spans="1:4" x14ac:dyDescent="0.25">
      <c r="A2550" s="279">
        <v>39076</v>
      </c>
      <c r="B2550" s="309" t="s">
        <v>411</v>
      </c>
      <c r="C2550" s="309" t="s">
        <v>198</v>
      </c>
      <c r="D2550">
        <v>0</v>
      </c>
    </row>
    <row r="2551" spans="1:4" x14ac:dyDescent="0.25">
      <c r="A2551" s="279">
        <v>39076</v>
      </c>
      <c r="B2551" s="309" t="s">
        <v>411</v>
      </c>
      <c r="C2551" s="309" t="s">
        <v>199</v>
      </c>
      <c r="D2551">
        <v>0</v>
      </c>
    </row>
    <row r="2552" spans="1:4" x14ac:dyDescent="0.25">
      <c r="A2552" s="279">
        <v>39076</v>
      </c>
      <c r="B2552" s="309" t="s">
        <v>411</v>
      </c>
      <c r="C2552" s="309" t="s">
        <v>90</v>
      </c>
      <c r="D2552">
        <v>61</v>
      </c>
    </row>
    <row r="2553" spans="1:4" x14ac:dyDescent="0.25">
      <c r="A2553" s="279">
        <v>39076</v>
      </c>
      <c r="B2553" s="309" t="s">
        <v>411</v>
      </c>
      <c r="C2553" s="309" t="s">
        <v>24</v>
      </c>
      <c r="D2553">
        <v>0</v>
      </c>
    </row>
    <row r="2554" spans="1:4" x14ac:dyDescent="0.25">
      <c r="A2554" s="279">
        <v>39076</v>
      </c>
      <c r="B2554" s="309" t="s">
        <v>411</v>
      </c>
      <c r="C2554" s="309" t="s">
        <v>91</v>
      </c>
      <c r="D2554">
        <v>0</v>
      </c>
    </row>
    <row r="2555" spans="1:4" x14ac:dyDescent="0.25">
      <c r="A2555" s="279">
        <v>39076</v>
      </c>
      <c r="B2555" s="309" t="s">
        <v>411</v>
      </c>
      <c r="C2555" s="309" t="s">
        <v>118</v>
      </c>
      <c r="D2555">
        <v>0</v>
      </c>
    </row>
    <row r="2556" spans="1:4" x14ac:dyDescent="0.25">
      <c r="A2556" s="279">
        <v>39076</v>
      </c>
      <c r="B2556" s="309" t="s">
        <v>411</v>
      </c>
      <c r="C2556" s="309" t="s">
        <v>407</v>
      </c>
      <c r="D2556">
        <v>222546</v>
      </c>
    </row>
    <row r="2557" spans="1:4" x14ac:dyDescent="0.25">
      <c r="A2557" s="279">
        <v>39076</v>
      </c>
      <c r="B2557" s="309" t="s">
        <v>411</v>
      </c>
      <c r="C2557" s="309" t="s">
        <v>412</v>
      </c>
      <c r="D2557">
        <v>1007</v>
      </c>
    </row>
    <row r="2558" spans="1:4" x14ac:dyDescent="0.25">
      <c r="A2558" s="279">
        <v>39076</v>
      </c>
      <c r="B2558" s="309" t="s">
        <v>411</v>
      </c>
      <c r="C2558" s="309" t="s">
        <v>409</v>
      </c>
      <c r="D2558">
        <v>1049</v>
      </c>
    </row>
    <row r="2559" spans="1:4" x14ac:dyDescent="0.25">
      <c r="A2559" s="279">
        <v>39077</v>
      </c>
      <c r="B2559" s="309" t="s">
        <v>405</v>
      </c>
      <c r="C2559" s="309" t="s">
        <v>406</v>
      </c>
      <c r="D2559">
        <v>3701600.1</v>
      </c>
    </row>
    <row r="2560" spans="1:4" x14ac:dyDescent="0.25">
      <c r="A2560" s="279">
        <v>39077</v>
      </c>
      <c r="B2560" s="309" t="s">
        <v>405</v>
      </c>
      <c r="C2560" s="309" t="s">
        <v>89</v>
      </c>
      <c r="D2560">
        <v>0</v>
      </c>
    </row>
    <row r="2561" spans="1:4" x14ac:dyDescent="0.25">
      <c r="A2561" s="279">
        <v>39077</v>
      </c>
      <c r="B2561" s="309" t="s">
        <v>405</v>
      </c>
      <c r="C2561" s="309" t="s">
        <v>198</v>
      </c>
      <c r="D2561">
        <v>0</v>
      </c>
    </row>
    <row r="2562" spans="1:4" x14ac:dyDescent="0.25">
      <c r="A2562" s="279">
        <v>39077</v>
      </c>
      <c r="B2562" s="309" t="s">
        <v>405</v>
      </c>
      <c r="C2562" s="309" t="s">
        <v>199</v>
      </c>
      <c r="D2562">
        <v>0</v>
      </c>
    </row>
    <row r="2563" spans="1:4" x14ac:dyDescent="0.25">
      <c r="A2563" s="279">
        <v>39077</v>
      </c>
      <c r="B2563" s="309" t="s">
        <v>405</v>
      </c>
      <c r="C2563" s="309" t="s">
        <v>90</v>
      </c>
      <c r="D2563">
        <v>5614</v>
      </c>
    </row>
    <row r="2564" spans="1:4" x14ac:dyDescent="0.25">
      <c r="A2564" s="279">
        <v>39077</v>
      </c>
      <c r="B2564" s="309" t="s">
        <v>405</v>
      </c>
      <c r="C2564" s="309" t="s">
        <v>24</v>
      </c>
      <c r="D2564">
        <v>0</v>
      </c>
    </row>
    <row r="2565" spans="1:4" x14ac:dyDescent="0.25">
      <c r="A2565" s="279">
        <v>39077</v>
      </c>
      <c r="B2565" s="309" t="s">
        <v>405</v>
      </c>
      <c r="C2565" s="309" t="s">
        <v>91</v>
      </c>
      <c r="D2565">
        <v>0</v>
      </c>
    </row>
    <row r="2566" spans="1:4" x14ac:dyDescent="0.25">
      <c r="A2566" s="279">
        <v>39077</v>
      </c>
      <c r="B2566" s="309" t="s">
        <v>405</v>
      </c>
      <c r="C2566" s="309" t="s">
        <v>118</v>
      </c>
      <c r="D2566">
        <v>0</v>
      </c>
    </row>
    <row r="2567" spans="1:4" x14ac:dyDescent="0.25">
      <c r="A2567" s="279">
        <v>39077</v>
      </c>
      <c r="B2567" s="309" t="s">
        <v>405</v>
      </c>
      <c r="C2567" s="309" t="s">
        <v>407</v>
      </c>
      <c r="D2567">
        <v>3695986.1</v>
      </c>
    </row>
    <row r="2568" spans="1:4" x14ac:dyDescent="0.25">
      <c r="A2568" s="279">
        <v>39077</v>
      </c>
      <c r="B2568" s="309" t="s">
        <v>405</v>
      </c>
      <c r="C2568" s="309" t="s">
        <v>408</v>
      </c>
      <c r="D2568">
        <v>1007</v>
      </c>
    </row>
    <row r="2569" spans="1:4" x14ac:dyDescent="0.25">
      <c r="A2569" s="279">
        <v>39077</v>
      </c>
      <c r="B2569" s="309" t="s">
        <v>405</v>
      </c>
      <c r="C2569" s="309" t="s">
        <v>409</v>
      </c>
      <c r="D2569">
        <v>1058</v>
      </c>
    </row>
    <row r="2570" spans="1:4" x14ac:dyDescent="0.25">
      <c r="A2570" s="279">
        <v>39077</v>
      </c>
      <c r="B2570" s="309" t="s">
        <v>405</v>
      </c>
      <c r="C2570" s="309" t="s">
        <v>410</v>
      </c>
      <c r="D2570">
        <v>1030</v>
      </c>
    </row>
    <row r="2571" spans="1:4" x14ac:dyDescent="0.25">
      <c r="A2571" s="279">
        <v>39077</v>
      </c>
      <c r="B2571" s="309" t="s">
        <v>411</v>
      </c>
      <c r="C2571" s="309" t="s">
        <v>406</v>
      </c>
      <c r="D2571">
        <v>222546</v>
      </c>
    </row>
    <row r="2572" spans="1:4" x14ac:dyDescent="0.25">
      <c r="A2572" s="279">
        <v>39077</v>
      </c>
      <c r="B2572" s="309" t="s">
        <v>411</v>
      </c>
      <c r="C2572" s="309" t="s">
        <v>198</v>
      </c>
      <c r="D2572">
        <v>0</v>
      </c>
    </row>
    <row r="2573" spans="1:4" x14ac:dyDescent="0.25">
      <c r="A2573" s="279">
        <v>39077</v>
      </c>
      <c r="B2573" s="309" t="s">
        <v>411</v>
      </c>
      <c r="C2573" s="309" t="s">
        <v>199</v>
      </c>
      <c r="D2573">
        <v>0</v>
      </c>
    </row>
    <row r="2574" spans="1:4" x14ac:dyDescent="0.25">
      <c r="A2574" s="279">
        <v>39077</v>
      </c>
      <c r="B2574" s="309" t="s">
        <v>411</v>
      </c>
      <c r="C2574" s="309" t="s">
        <v>90</v>
      </c>
      <c r="D2574">
        <v>74</v>
      </c>
    </row>
    <row r="2575" spans="1:4" x14ac:dyDescent="0.25">
      <c r="A2575" s="279">
        <v>39077</v>
      </c>
      <c r="B2575" s="309" t="s">
        <v>411</v>
      </c>
      <c r="C2575" s="309" t="s">
        <v>24</v>
      </c>
      <c r="D2575">
        <v>0</v>
      </c>
    </row>
    <row r="2576" spans="1:4" x14ac:dyDescent="0.25">
      <c r="A2576" s="279">
        <v>39077</v>
      </c>
      <c r="B2576" s="309" t="s">
        <v>411</v>
      </c>
      <c r="C2576" s="309" t="s">
        <v>91</v>
      </c>
      <c r="D2576">
        <v>0</v>
      </c>
    </row>
    <row r="2577" spans="1:4" x14ac:dyDescent="0.25">
      <c r="A2577" s="279">
        <v>39077</v>
      </c>
      <c r="B2577" s="309" t="s">
        <v>411</v>
      </c>
      <c r="C2577" s="309" t="s">
        <v>118</v>
      </c>
      <c r="D2577">
        <v>0</v>
      </c>
    </row>
    <row r="2578" spans="1:4" x14ac:dyDescent="0.25">
      <c r="A2578" s="279">
        <v>39077</v>
      </c>
      <c r="B2578" s="309" t="s">
        <v>411</v>
      </c>
      <c r="C2578" s="309" t="s">
        <v>407</v>
      </c>
      <c r="D2578">
        <v>222472</v>
      </c>
    </row>
    <row r="2579" spans="1:4" x14ac:dyDescent="0.25">
      <c r="A2579" s="279">
        <v>39077</v>
      </c>
      <c r="B2579" s="309" t="s">
        <v>411</v>
      </c>
      <c r="C2579" s="309" t="s">
        <v>412</v>
      </c>
      <c r="D2579">
        <v>1007</v>
      </c>
    </row>
    <row r="2580" spans="1:4" x14ac:dyDescent="0.25">
      <c r="A2580" s="279">
        <v>39077</v>
      </c>
      <c r="B2580" s="309" t="s">
        <v>411</v>
      </c>
      <c r="C2580" s="309" t="s">
        <v>409</v>
      </c>
      <c r="D2580">
        <v>1049</v>
      </c>
    </row>
    <row r="2581" spans="1:4" x14ac:dyDescent="0.25">
      <c r="A2581" s="279">
        <v>39078</v>
      </c>
      <c r="B2581" s="309" t="s">
        <v>405</v>
      </c>
      <c r="C2581" s="309" t="s">
        <v>406</v>
      </c>
      <c r="D2581">
        <v>3695986.1</v>
      </c>
    </row>
    <row r="2582" spans="1:4" x14ac:dyDescent="0.25">
      <c r="A2582" s="279">
        <v>39078</v>
      </c>
      <c r="B2582" s="309" t="s">
        <v>405</v>
      </c>
      <c r="C2582" s="309" t="s">
        <v>89</v>
      </c>
      <c r="D2582">
        <v>0</v>
      </c>
    </row>
    <row r="2583" spans="1:4" x14ac:dyDescent="0.25">
      <c r="A2583" s="279">
        <v>39078</v>
      </c>
      <c r="B2583" s="309" t="s">
        <v>405</v>
      </c>
      <c r="C2583" s="309" t="s">
        <v>198</v>
      </c>
      <c r="D2583">
        <v>0</v>
      </c>
    </row>
    <row r="2584" spans="1:4" x14ac:dyDescent="0.25">
      <c r="A2584" s="279">
        <v>39078</v>
      </c>
      <c r="B2584" s="309" t="s">
        <v>405</v>
      </c>
      <c r="C2584" s="309" t="s">
        <v>199</v>
      </c>
      <c r="D2584">
        <v>0</v>
      </c>
    </row>
    <row r="2585" spans="1:4" x14ac:dyDescent="0.25">
      <c r="A2585" s="279">
        <v>39078</v>
      </c>
      <c r="B2585" s="309" t="s">
        <v>405</v>
      </c>
      <c r="C2585" s="309" t="s">
        <v>90</v>
      </c>
      <c r="D2585">
        <v>265</v>
      </c>
    </row>
    <row r="2586" spans="1:4" x14ac:dyDescent="0.25">
      <c r="A2586" s="279">
        <v>39078</v>
      </c>
      <c r="B2586" s="309" t="s">
        <v>405</v>
      </c>
      <c r="C2586" s="309" t="s">
        <v>24</v>
      </c>
      <c r="D2586">
        <v>0</v>
      </c>
    </row>
    <row r="2587" spans="1:4" x14ac:dyDescent="0.25">
      <c r="A2587" s="279">
        <v>39078</v>
      </c>
      <c r="B2587" s="309" t="s">
        <v>405</v>
      </c>
      <c r="C2587" s="309" t="s">
        <v>91</v>
      </c>
      <c r="D2587">
        <v>0</v>
      </c>
    </row>
    <row r="2588" spans="1:4" x14ac:dyDescent="0.25">
      <c r="A2588" s="279">
        <v>39078</v>
      </c>
      <c r="B2588" s="309" t="s">
        <v>405</v>
      </c>
      <c r="C2588" s="309" t="s">
        <v>118</v>
      </c>
      <c r="D2588">
        <v>0</v>
      </c>
    </row>
    <row r="2589" spans="1:4" x14ac:dyDescent="0.25">
      <c r="A2589" s="279">
        <v>39078</v>
      </c>
      <c r="B2589" s="309" t="s">
        <v>405</v>
      </c>
      <c r="C2589" s="309" t="s">
        <v>407</v>
      </c>
      <c r="D2589">
        <v>3695721.1</v>
      </c>
    </row>
    <row r="2590" spans="1:4" x14ac:dyDescent="0.25">
      <c r="A2590" s="279">
        <v>39078</v>
      </c>
      <c r="B2590" s="309" t="s">
        <v>405</v>
      </c>
      <c r="C2590" s="309" t="s">
        <v>408</v>
      </c>
      <c r="D2590">
        <v>1007</v>
      </c>
    </row>
    <row r="2591" spans="1:4" x14ac:dyDescent="0.25">
      <c r="A2591" s="279">
        <v>39078</v>
      </c>
      <c r="B2591" s="309" t="s">
        <v>405</v>
      </c>
      <c r="C2591" s="309" t="s">
        <v>409</v>
      </c>
      <c r="D2591">
        <v>1058</v>
      </c>
    </row>
    <row r="2592" spans="1:4" x14ac:dyDescent="0.25">
      <c r="A2592" s="279">
        <v>39078</v>
      </c>
      <c r="B2592" s="309" t="s">
        <v>405</v>
      </c>
      <c r="C2592" s="309" t="s">
        <v>410</v>
      </c>
      <c r="D2592">
        <v>1028</v>
      </c>
    </row>
    <row r="2593" spans="1:4" x14ac:dyDescent="0.25">
      <c r="A2593" s="279">
        <v>39078</v>
      </c>
      <c r="B2593" s="309" t="s">
        <v>411</v>
      </c>
      <c r="C2593" s="309" t="s">
        <v>406</v>
      </c>
      <c r="D2593">
        <v>222472</v>
      </c>
    </row>
    <row r="2594" spans="1:4" x14ac:dyDescent="0.25">
      <c r="A2594" s="279">
        <v>39078</v>
      </c>
      <c r="B2594" s="309" t="s">
        <v>411</v>
      </c>
      <c r="C2594" s="309" t="s">
        <v>198</v>
      </c>
      <c r="D2594">
        <v>0</v>
      </c>
    </row>
    <row r="2595" spans="1:4" x14ac:dyDescent="0.25">
      <c r="A2595" s="279">
        <v>39078</v>
      </c>
      <c r="B2595" s="309" t="s">
        <v>411</v>
      </c>
      <c r="C2595" s="309" t="s">
        <v>199</v>
      </c>
      <c r="D2595">
        <v>0</v>
      </c>
    </row>
    <row r="2596" spans="1:4" x14ac:dyDescent="0.25">
      <c r="A2596" s="279">
        <v>39078</v>
      </c>
      <c r="B2596" s="309" t="s">
        <v>411</v>
      </c>
      <c r="C2596" s="309" t="s">
        <v>90</v>
      </c>
      <c r="D2596">
        <v>142</v>
      </c>
    </row>
    <row r="2597" spans="1:4" x14ac:dyDescent="0.25">
      <c r="A2597" s="279">
        <v>39078</v>
      </c>
      <c r="B2597" s="309" t="s">
        <v>411</v>
      </c>
      <c r="C2597" s="309" t="s">
        <v>24</v>
      </c>
      <c r="D2597">
        <v>0</v>
      </c>
    </row>
    <row r="2598" spans="1:4" x14ac:dyDescent="0.25">
      <c r="A2598" s="279">
        <v>39078</v>
      </c>
      <c r="B2598" s="309" t="s">
        <v>411</v>
      </c>
      <c r="C2598" s="309" t="s">
        <v>91</v>
      </c>
      <c r="D2598">
        <v>0</v>
      </c>
    </row>
    <row r="2599" spans="1:4" x14ac:dyDescent="0.25">
      <c r="A2599" s="279">
        <v>39078</v>
      </c>
      <c r="B2599" s="309" t="s">
        <v>411</v>
      </c>
      <c r="C2599" s="309" t="s">
        <v>118</v>
      </c>
      <c r="D2599">
        <v>0</v>
      </c>
    </row>
    <row r="2600" spans="1:4" x14ac:dyDescent="0.25">
      <c r="A2600" s="279">
        <v>39078</v>
      </c>
      <c r="B2600" s="309" t="s">
        <v>411</v>
      </c>
      <c r="C2600" s="309" t="s">
        <v>407</v>
      </c>
      <c r="D2600">
        <v>222330</v>
      </c>
    </row>
    <row r="2601" spans="1:4" x14ac:dyDescent="0.25">
      <c r="A2601" s="279">
        <v>39078</v>
      </c>
      <c r="B2601" s="309" t="s">
        <v>411</v>
      </c>
      <c r="C2601" s="309" t="s">
        <v>412</v>
      </c>
      <c r="D2601">
        <v>1007</v>
      </c>
    </row>
    <row r="2602" spans="1:4" x14ac:dyDescent="0.25">
      <c r="A2602" s="279">
        <v>39078</v>
      </c>
      <c r="B2602" s="309" t="s">
        <v>411</v>
      </c>
      <c r="C2602" s="309" t="s">
        <v>409</v>
      </c>
      <c r="D2602">
        <v>1049</v>
      </c>
    </row>
    <row r="2603" spans="1:4" x14ac:dyDescent="0.25">
      <c r="A2603" s="279">
        <v>39079</v>
      </c>
      <c r="B2603" s="309" t="s">
        <v>405</v>
      </c>
      <c r="C2603" s="309" t="s">
        <v>406</v>
      </c>
      <c r="D2603">
        <v>3695721.1</v>
      </c>
    </row>
    <row r="2604" spans="1:4" x14ac:dyDescent="0.25">
      <c r="A2604" s="279">
        <v>39079</v>
      </c>
      <c r="B2604" s="309" t="s">
        <v>405</v>
      </c>
      <c r="C2604" s="309" t="s">
        <v>89</v>
      </c>
      <c r="D2604">
        <v>0</v>
      </c>
    </row>
    <row r="2605" spans="1:4" x14ac:dyDescent="0.25">
      <c r="A2605" s="279">
        <v>39079</v>
      </c>
      <c r="B2605" s="309" t="s">
        <v>405</v>
      </c>
      <c r="C2605" s="309" t="s">
        <v>198</v>
      </c>
      <c r="D2605">
        <v>0</v>
      </c>
    </row>
    <row r="2606" spans="1:4" x14ac:dyDescent="0.25">
      <c r="A2606" s="279">
        <v>39079</v>
      </c>
      <c r="B2606" s="309" t="s">
        <v>405</v>
      </c>
      <c r="C2606" s="309" t="s">
        <v>199</v>
      </c>
      <c r="D2606">
        <v>0</v>
      </c>
    </row>
    <row r="2607" spans="1:4" x14ac:dyDescent="0.25">
      <c r="A2607" s="279">
        <v>39079</v>
      </c>
      <c r="B2607" s="309" t="s">
        <v>405</v>
      </c>
      <c r="C2607" s="309" t="s">
        <v>90</v>
      </c>
      <c r="D2607">
        <v>534</v>
      </c>
    </row>
    <row r="2608" spans="1:4" x14ac:dyDescent="0.25">
      <c r="A2608" s="279">
        <v>39079</v>
      </c>
      <c r="B2608" s="309" t="s">
        <v>405</v>
      </c>
      <c r="C2608" s="309" t="s">
        <v>24</v>
      </c>
      <c r="D2608">
        <v>0</v>
      </c>
    </row>
    <row r="2609" spans="1:4" x14ac:dyDescent="0.25">
      <c r="A2609" s="279">
        <v>39079</v>
      </c>
      <c r="B2609" s="309" t="s">
        <v>405</v>
      </c>
      <c r="C2609" s="309" t="s">
        <v>91</v>
      </c>
      <c r="D2609">
        <v>0</v>
      </c>
    </row>
    <row r="2610" spans="1:4" x14ac:dyDescent="0.25">
      <c r="A2610" s="279">
        <v>39079</v>
      </c>
      <c r="B2610" s="309" t="s">
        <v>405</v>
      </c>
      <c r="C2610" s="309" t="s">
        <v>118</v>
      </c>
      <c r="D2610">
        <v>0</v>
      </c>
    </row>
    <row r="2611" spans="1:4" x14ac:dyDescent="0.25">
      <c r="A2611" s="279">
        <v>39079</v>
      </c>
      <c r="B2611" s="309" t="s">
        <v>405</v>
      </c>
      <c r="C2611" s="309" t="s">
        <v>407</v>
      </c>
      <c r="D2611">
        <v>3695187.1</v>
      </c>
    </row>
    <row r="2612" spans="1:4" x14ac:dyDescent="0.25">
      <c r="A2612" s="279">
        <v>39079</v>
      </c>
      <c r="B2612" s="309" t="s">
        <v>405</v>
      </c>
      <c r="C2612" s="309" t="s">
        <v>408</v>
      </c>
      <c r="D2612">
        <v>1007</v>
      </c>
    </row>
    <row r="2613" spans="1:4" x14ac:dyDescent="0.25">
      <c r="A2613" s="279">
        <v>39079</v>
      </c>
      <c r="B2613" s="309" t="s">
        <v>405</v>
      </c>
      <c r="C2613" s="309" t="s">
        <v>409</v>
      </c>
      <c r="D2613">
        <v>1058</v>
      </c>
    </row>
    <row r="2614" spans="1:4" x14ac:dyDescent="0.25">
      <c r="A2614" s="279">
        <v>39079</v>
      </c>
      <c r="B2614" s="309" t="s">
        <v>405</v>
      </c>
      <c r="C2614" s="309" t="s">
        <v>410</v>
      </c>
      <c r="D2614">
        <v>1028</v>
      </c>
    </row>
    <row r="2615" spans="1:4" x14ac:dyDescent="0.25">
      <c r="A2615" s="279">
        <v>39079</v>
      </c>
      <c r="B2615" s="309" t="s">
        <v>411</v>
      </c>
      <c r="C2615" s="309" t="s">
        <v>406</v>
      </c>
      <c r="D2615">
        <v>222330</v>
      </c>
    </row>
    <row r="2616" spans="1:4" x14ac:dyDescent="0.25">
      <c r="A2616" s="279">
        <v>39079</v>
      </c>
      <c r="B2616" s="309" t="s">
        <v>411</v>
      </c>
      <c r="C2616" s="309" t="s">
        <v>198</v>
      </c>
      <c r="D2616">
        <v>0</v>
      </c>
    </row>
    <row r="2617" spans="1:4" x14ac:dyDescent="0.25">
      <c r="A2617" s="279">
        <v>39079</v>
      </c>
      <c r="B2617" s="309" t="s">
        <v>411</v>
      </c>
      <c r="C2617" s="309" t="s">
        <v>199</v>
      </c>
      <c r="D2617">
        <v>0</v>
      </c>
    </row>
    <row r="2618" spans="1:4" x14ac:dyDescent="0.25">
      <c r="A2618" s="279">
        <v>39079</v>
      </c>
      <c r="B2618" s="309" t="s">
        <v>411</v>
      </c>
      <c r="C2618" s="309" t="s">
        <v>90</v>
      </c>
      <c r="D2618">
        <v>277</v>
      </c>
    </row>
    <row r="2619" spans="1:4" x14ac:dyDescent="0.25">
      <c r="A2619" s="279">
        <v>39079</v>
      </c>
      <c r="B2619" s="309" t="s">
        <v>411</v>
      </c>
      <c r="C2619" s="309" t="s">
        <v>24</v>
      </c>
      <c r="D2619">
        <v>0</v>
      </c>
    </row>
    <row r="2620" spans="1:4" x14ac:dyDescent="0.25">
      <c r="A2620" s="279">
        <v>39079</v>
      </c>
      <c r="B2620" s="309" t="s">
        <v>411</v>
      </c>
      <c r="C2620" s="309" t="s">
        <v>91</v>
      </c>
      <c r="D2620">
        <v>0</v>
      </c>
    </row>
    <row r="2621" spans="1:4" x14ac:dyDescent="0.25">
      <c r="A2621" s="279">
        <v>39079</v>
      </c>
      <c r="B2621" s="309" t="s">
        <v>411</v>
      </c>
      <c r="C2621" s="309" t="s">
        <v>118</v>
      </c>
      <c r="D2621">
        <v>0</v>
      </c>
    </row>
    <row r="2622" spans="1:4" x14ac:dyDescent="0.25">
      <c r="A2622" s="279">
        <v>39079</v>
      </c>
      <c r="B2622" s="309" t="s">
        <v>411</v>
      </c>
      <c r="C2622" s="309" t="s">
        <v>407</v>
      </c>
      <c r="D2622">
        <v>222053</v>
      </c>
    </row>
    <row r="2623" spans="1:4" x14ac:dyDescent="0.25">
      <c r="A2623" s="279">
        <v>39079</v>
      </c>
      <c r="B2623" s="309" t="s">
        <v>411</v>
      </c>
      <c r="C2623" s="309" t="s">
        <v>412</v>
      </c>
      <c r="D2623">
        <v>1007</v>
      </c>
    </row>
    <row r="2624" spans="1:4" x14ac:dyDescent="0.25">
      <c r="A2624" s="279">
        <v>39079</v>
      </c>
      <c r="B2624" s="309" t="s">
        <v>411</v>
      </c>
      <c r="C2624" s="309" t="s">
        <v>409</v>
      </c>
      <c r="D2624">
        <v>1049</v>
      </c>
    </row>
    <row r="2625" spans="1:4" x14ac:dyDescent="0.25">
      <c r="A2625" s="279">
        <v>39080</v>
      </c>
      <c r="B2625" s="309" t="s">
        <v>405</v>
      </c>
      <c r="C2625" s="309" t="s">
        <v>406</v>
      </c>
      <c r="D2625">
        <v>3695187.1</v>
      </c>
    </row>
    <row r="2626" spans="1:4" x14ac:dyDescent="0.25">
      <c r="A2626" s="279">
        <v>39080</v>
      </c>
      <c r="B2626" s="309" t="s">
        <v>405</v>
      </c>
      <c r="C2626" s="309" t="s">
        <v>89</v>
      </c>
      <c r="D2626">
        <v>0</v>
      </c>
    </row>
    <row r="2627" spans="1:4" x14ac:dyDescent="0.25">
      <c r="A2627" s="279">
        <v>39080</v>
      </c>
      <c r="B2627" s="309" t="s">
        <v>405</v>
      </c>
      <c r="C2627" s="309" t="s">
        <v>198</v>
      </c>
      <c r="D2627">
        <v>0</v>
      </c>
    </row>
    <row r="2628" spans="1:4" x14ac:dyDescent="0.25">
      <c r="A2628" s="279">
        <v>39080</v>
      </c>
      <c r="B2628" s="309" t="s">
        <v>405</v>
      </c>
      <c r="C2628" s="309" t="s">
        <v>199</v>
      </c>
      <c r="D2628">
        <v>0</v>
      </c>
    </row>
    <row r="2629" spans="1:4" x14ac:dyDescent="0.25">
      <c r="A2629" s="279">
        <v>39080</v>
      </c>
      <c r="B2629" s="309" t="s">
        <v>405</v>
      </c>
      <c r="C2629" s="309" t="s">
        <v>90</v>
      </c>
      <c r="D2629">
        <v>535</v>
      </c>
    </row>
    <row r="2630" spans="1:4" x14ac:dyDescent="0.25">
      <c r="A2630" s="279">
        <v>39080</v>
      </c>
      <c r="B2630" s="309" t="s">
        <v>405</v>
      </c>
      <c r="C2630" s="309" t="s">
        <v>24</v>
      </c>
      <c r="D2630">
        <v>0</v>
      </c>
    </row>
    <row r="2631" spans="1:4" x14ac:dyDescent="0.25">
      <c r="A2631" s="279">
        <v>39080</v>
      </c>
      <c r="B2631" s="309" t="s">
        <v>405</v>
      </c>
      <c r="C2631" s="309" t="s">
        <v>91</v>
      </c>
      <c r="D2631">
        <v>0</v>
      </c>
    </row>
    <row r="2632" spans="1:4" x14ac:dyDescent="0.25">
      <c r="A2632" s="279">
        <v>39080</v>
      </c>
      <c r="B2632" s="309" t="s">
        <v>405</v>
      </c>
      <c r="C2632" s="309" t="s">
        <v>118</v>
      </c>
      <c r="D2632">
        <v>0</v>
      </c>
    </row>
    <row r="2633" spans="1:4" x14ac:dyDescent="0.25">
      <c r="A2633" s="279">
        <v>39080</v>
      </c>
      <c r="B2633" s="309" t="s">
        <v>405</v>
      </c>
      <c r="C2633" s="309" t="s">
        <v>407</v>
      </c>
      <c r="D2633">
        <v>3694652.1</v>
      </c>
    </row>
    <row r="2634" spans="1:4" x14ac:dyDescent="0.25">
      <c r="A2634" s="279">
        <v>39080</v>
      </c>
      <c r="B2634" s="309" t="s">
        <v>405</v>
      </c>
      <c r="C2634" s="309" t="s">
        <v>408</v>
      </c>
      <c r="D2634">
        <v>1007</v>
      </c>
    </row>
    <row r="2635" spans="1:4" x14ac:dyDescent="0.25">
      <c r="A2635" s="279">
        <v>39080</v>
      </c>
      <c r="B2635" s="309" t="s">
        <v>405</v>
      </c>
      <c r="C2635" s="309" t="s">
        <v>409</v>
      </c>
      <c r="D2635">
        <v>1058</v>
      </c>
    </row>
    <row r="2636" spans="1:4" x14ac:dyDescent="0.25">
      <c r="A2636" s="279">
        <v>39080</v>
      </c>
      <c r="B2636" s="309" t="s">
        <v>405</v>
      </c>
      <c r="C2636" s="309" t="s">
        <v>410</v>
      </c>
      <c r="D2636">
        <v>1028</v>
      </c>
    </row>
    <row r="2637" spans="1:4" x14ac:dyDescent="0.25">
      <c r="A2637" s="279">
        <v>39080</v>
      </c>
      <c r="B2637" s="309" t="s">
        <v>411</v>
      </c>
      <c r="C2637" s="309" t="s">
        <v>406</v>
      </c>
      <c r="D2637">
        <v>222053</v>
      </c>
    </row>
    <row r="2638" spans="1:4" x14ac:dyDescent="0.25">
      <c r="A2638" s="279">
        <v>39080</v>
      </c>
      <c r="B2638" s="309" t="s">
        <v>411</v>
      </c>
      <c r="C2638" s="309" t="s">
        <v>198</v>
      </c>
      <c r="D2638">
        <v>0</v>
      </c>
    </row>
    <row r="2639" spans="1:4" x14ac:dyDescent="0.25">
      <c r="A2639" s="279">
        <v>39080</v>
      </c>
      <c r="B2639" s="309" t="s">
        <v>411</v>
      </c>
      <c r="C2639" s="309" t="s">
        <v>199</v>
      </c>
      <c r="D2639">
        <v>0</v>
      </c>
    </row>
    <row r="2640" spans="1:4" x14ac:dyDescent="0.25">
      <c r="A2640" s="279">
        <v>39080</v>
      </c>
      <c r="B2640" s="309" t="s">
        <v>411</v>
      </c>
      <c r="C2640" s="309" t="s">
        <v>90</v>
      </c>
      <c r="D2640">
        <v>58</v>
      </c>
    </row>
    <row r="2641" spans="1:4" x14ac:dyDescent="0.25">
      <c r="A2641" s="279">
        <v>39080</v>
      </c>
      <c r="B2641" s="309" t="s">
        <v>411</v>
      </c>
      <c r="C2641" s="309" t="s">
        <v>24</v>
      </c>
      <c r="D2641">
        <v>0</v>
      </c>
    </row>
    <row r="2642" spans="1:4" x14ac:dyDescent="0.25">
      <c r="A2642" s="279">
        <v>39080</v>
      </c>
      <c r="B2642" s="309" t="s">
        <v>411</v>
      </c>
      <c r="C2642" s="309" t="s">
        <v>91</v>
      </c>
      <c r="D2642">
        <v>0</v>
      </c>
    </row>
    <row r="2643" spans="1:4" x14ac:dyDescent="0.25">
      <c r="A2643" s="279">
        <v>39080</v>
      </c>
      <c r="B2643" s="309" t="s">
        <v>411</v>
      </c>
      <c r="C2643" s="309" t="s">
        <v>118</v>
      </c>
      <c r="D2643">
        <v>0</v>
      </c>
    </row>
    <row r="2644" spans="1:4" x14ac:dyDescent="0.25">
      <c r="A2644" s="279">
        <v>39080</v>
      </c>
      <c r="B2644" s="309" t="s">
        <v>411</v>
      </c>
      <c r="C2644" s="309" t="s">
        <v>407</v>
      </c>
      <c r="D2644">
        <v>221995</v>
      </c>
    </row>
    <row r="2645" spans="1:4" x14ac:dyDescent="0.25">
      <c r="A2645" s="279">
        <v>39080</v>
      </c>
      <c r="B2645" s="309" t="s">
        <v>411</v>
      </c>
      <c r="C2645" s="309" t="s">
        <v>412</v>
      </c>
      <c r="D2645">
        <v>1007</v>
      </c>
    </row>
    <row r="2646" spans="1:4" x14ac:dyDescent="0.25">
      <c r="A2646" s="279">
        <v>39080</v>
      </c>
      <c r="B2646" s="309" t="s">
        <v>411</v>
      </c>
      <c r="C2646" s="309" t="s">
        <v>409</v>
      </c>
      <c r="D2646">
        <v>1049</v>
      </c>
    </row>
    <row r="2647" spans="1:4" x14ac:dyDescent="0.25">
      <c r="A2647" s="279">
        <v>39081</v>
      </c>
      <c r="B2647" s="309" t="s">
        <v>405</v>
      </c>
      <c r="C2647" s="309" t="s">
        <v>406</v>
      </c>
      <c r="D2647">
        <v>3694652.1</v>
      </c>
    </row>
    <row r="2648" spans="1:4" x14ac:dyDescent="0.25">
      <c r="A2648" s="279">
        <v>39081</v>
      </c>
      <c r="B2648" s="309" t="s">
        <v>405</v>
      </c>
      <c r="C2648" s="309" t="s">
        <v>89</v>
      </c>
      <c r="D2648">
        <v>0</v>
      </c>
    </row>
    <row r="2649" spans="1:4" x14ac:dyDescent="0.25">
      <c r="A2649" s="279">
        <v>39081</v>
      </c>
      <c r="B2649" s="309" t="s">
        <v>405</v>
      </c>
      <c r="C2649" s="309" t="s">
        <v>198</v>
      </c>
      <c r="D2649">
        <v>0</v>
      </c>
    </row>
    <row r="2650" spans="1:4" x14ac:dyDescent="0.25">
      <c r="A2650" s="279">
        <v>39081</v>
      </c>
      <c r="B2650" s="309" t="s">
        <v>405</v>
      </c>
      <c r="C2650" s="309" t="s">
        <v>199</v>
      </c>
      <c r="D2650">
        <v>0</v>
      </c>
    </row>
    <row r="2651" spans="1:4" x14ac:dyDescent="0.25">
      <c r="A2651" s="279">
        <v>39081</v>
      </c>
      <c r="B2651" s="309" t="s">
        <v>405</v>
      </c>
      <c r="C2651" s="309" t="s">
        <v>90</v>
      </c>
      <c r="D2651">
        <v>267</v>
      </c>
    </row>
    <row r="2652" spans="1:4" x14ac:dyDescent="0.25">
      <c r="A2652" s="279">
        <v>39081</v>
      </c>
      <c r="B2652" s="309" t="s">
        <v>405</v>
      </c>
      <c r="C2652" s="309" t="s">
        <v>24</v>
      </c>
      <c r="D2652">
        <v>0</v>
      </c>
    </row>
    <row r="2653" spans="1:4" x14ac:dyDescent="0.25">
      <c r="A2653" s="279">
        <v>39081</v>
      </c>
      <c r="B2653" s="309" t="s">
        <v>405</v>
      </c>
      <c r="C2653" s="309" t="s">
        <v>91</v>
      </c>
      <c r="D2653">
        <v>0</v>
      </c>
    </row>
    <row r="2654" spans="1:4" x14ac:dyDescent="0.25">
      <c r="A2654" s="279">
        <v>39081</v>
      </c>
      <c r="B2654" s="309" t="s">
        <v>405</v>
      </c>
      <c r="C2654" s="309" t="s">
        <v>118</v>
      </c>
      <c r="D2654">
        <v>0</v>
      </c>
    </row>
    <row r="2655" spans="1:4" x14ac:dyDescent="0.25">
      <c r="A2655" s="279">
        <v>39081</v>
      </c>
      <c r="B2655" s="309" t="s">
        <v>405</v>
      </c>
      <c r="C2655" s="309" t="s">
        <v>407</v>
      </c>
      <c r="D2655">
        <v>3694385.1</v>
      </c>
    </row>
    <row r="2656" spans="1:4" x14ac:dyDescent="0.25">
      <c r="A2656" s="279">
        <v>39081</v>
      </c>
      <c r="B2656" s="309" t="s">
        <v>405</v>
      </c>
      <c r="C2656" s="309" t="s">
        <v>408</v>
      </c>
      <c r="D2656">
        <v>1007</v>
      </c>
    </row>
    <row r="2657" spans="1:4" x14ac:dyDescent="0.25">
      <c r="A2657" s="279">
        <v>39081</v>
      </c>
      <c r="B2657" s="309" t="s">
        <v>405</v>
      </c>
      <c r="C2657" s="309" t="s">
        <v>409</v>
      </c>
      <c r="D2657">
        <v>1058</v>
      </c>
    </row>
    <row r="2658" spans="1:4" x14ac:dyDescent="0.25">
      <c r="A2658" s="279">
        <v>39081</v>
      </c>
      <c r="B2658" s="309" t="s">
        <v>405</v>
      </c>
      <c r="C2658" s="309" t="s">
        <v>410</v>
      </c>
      <c r="D2658">
        <v>1030</v>
      </c>
    </row>
    <row r="2659" spans="1:4" x14ac:dyDescent="0.25">
      <c r="A2659" s="279">
        <v>39081</v>
      </c>
      <c r="B2659" s="309" t="s">
        <v>411</v>
      </c>
      <c r="C2659" s="309" t="s">
        <v>406</v>
      </c>
      <c r="D2659">
        <v>221995</v>
      </c>
    </row>
    <row r="2660" spans="1:4" x14ac:dyDescent="0.25">
      <c r="A2660" s="279">
        <v>39081</v>
      </c>
      <c r="B2660" s="309" t="s">
        <v>411</v>
      </c>
      <c r="C2660" s="309" t="s">
        <v>198</v>
      </c>
      <c r="D2660">
        <v>0</v>
      </c>
    </row>
    <row r="2661" spans="1:4" x14ac:dyDescent="0.25">
      <c r="A2661" s="279">
        <v>39081</v>
      </c>
      <c r="B2661" s="309" t="s">
        <v>411</v>
      </c>
      <c r="C2661" s="309" t="s">
        <v>199</v>
      </c>
      <c r="D2661">
        <v>0</v>
      </c>
    </row>
    <row r="2662" spans="1:4" x14ac:dyDescent="0.25">
      <c r="A2662" s="279">
        <v>39081</v>
      </c>
      <c r="B2662" s="309" t="s">
        <v>411</v>
      </c>
      <c r="C2662" s="309" t="s">
        <v>90</v>
      </c>
      <c r="D2662">
        <v>60</v>
      </c>
    </row>
    <row r="2663" spans="1:4" x14ac:dyDescent="0.25">
      <c r="A2663" s="279">
        <v>39081</v>
      </c>
      <c r="B2663" s="309" t="s">
        <v>411</v>
      </c>
      <c r="C2663" s="309" t="s">
        <v>24</v>
      </c>
      <c r="D2663">
        <v>0</v>
      </c>
    </row>
    <row r="2664" spans="1:4" x14ac:dyDescent="0.25">
      <c r="A2664" s="279">
        <v>39081</v>
      </c>
      <c r="B2664" s="309" t="s">
        <v>411</v>
      </c>
      <c r="C2664" s="309" t="s">
        <v>91</v>
      </c>
      <c r="D2664">
        <v>0</v>
      </c>
    </row>
    <row r="2665" spans="1:4" x14ac:dyDescent="0.25">
      <c r="A2665" s="279">
        <v>39081</v>
      </c>
      <c r="B2665" s="309" t="s">
        <v>411</v>
      </c>
      <c r="C2665" s="309" t="s">
        <v>118</v>
      </c>
      <c r="D2665">
        <v>0</v>
      </c>
    </row>
    <row r="2666" spans="1:4" x14ac:dyDescent="0.25">
      <c r="A2666" s="279">
        <v>39081</v>
      </c>
      <c r="B2666" s="309" t="s">
        <v>411</v>
      </c>
      <c r="C2666" s="309" t="s">
        <v>407</v>
      </c>
      <c r="D2666">
        <v>221935</v>
      </c>
    </row>
    <row r="2667" spans="1:4" x14ac:dyDescent="0.25">
      <c r="A2667" s="279">
        <v>39081</v>
      </c>
      <c r="B2667" s="309" t="s">
        <v>411</v>
      </c>
      <c r="C2667" s="309" t="s">
        <v>412</v>
      </c>
      <c r="D2667">
        <v>1007</v>
      </c>
    </row>
    <row r="2668" spans="1:4" x14ac:dyDescent="0.25">
      <c r="A2668" s="279">
        <v>39081</v>
      </c>
      <c r="B2668" s="309" t="s">
        <v>411</v>
      </c>
      <c r="C2668" s="309" t="s">
        <v>409</v>
      </c>
      <c r="D2668">
        <v>1049</v>
      </c>
    </row>
    <row r="2669" spans="1:4" x14ac:dyDescent="0.25">
      <c r="A2669" s="279">
        <v>39082</v>
      </c>
      <c r="B2669" s="309" t="s">
        <v>405</v>
      </c>
      <c r="C2669" s="309" t="s">
        <v>406</v>
      </c>
      <c r="D2669">
        <v>3694385.1</v>
      </c>
    </row>
    <row r="2670" spans="1:4" x14ac:dyDescent="0.25">
      <c r="A2670" s="279">
        <v>39082</v>
      </c>
      <c r="B2670" s="309" t="s">
        <v>405</v>
      </c>
      <c r="C2670" s="309" t="s">
        <v>89</v>
      </c>
      <c r="D2670">
        <v>0</v>
      </c>
    </row>
    <row r="2671" spans="1:4" x14ac:dyDescent="0.25">
      <c r="A2671" s="279">
        <v>39082</v>
      </c>
      <c r="B2671" s="309" t="s">
        <v>405</v>
      </c>
      <c r="C2671" s="309" t="s">
        <v>198</v>
      </c>
      <c r="D2671">
        <v>0</v>
      </c>
    </row>
    <row r="2672" spans="1:4" x14ac:dyDescent="0.25">
      <c r="A2672" s="279">
        <v>39082</v>
      </c>
      <c r="B2672" s="309" t="s">
        <v>405</v>
      </c>
      <c r="C2672" s="309" t="s">
        <v>199</v>
      </c>
      <c r="D2672">
        <v>0</v>
      </c>
    </row>
    <row r="2673" spans="1:4" x14ac:dyDescent="0.25">
      <c r="A2673" s="279">
        <v>39082</v>
      </c>
      <c r="B2673" s="309" t="s">
        <v>405</v>
      </c>
      <c r="C2673" s="309" t="s">
        <v>90</v>
      </c>
      <c r="D2673">
        <v>2941</v>
      </c>
    </row>
    <row r="2674" spans="1:4" x14ac:dyDescent="0.25">
      <c r="A2674" s="279">
        <v>39082</v>
      </c>
      <c r="B2674" s="309" t="s">
        <v>405</v>
      </c>
      <c r="C2674" s="309" t="s">
        <v>24</v>
      </c>
      <c r="D2674">
        <v>0</v>
      </c>
    </row>
    <row r="2675" spans="1:4" x14ac:dyDescent="0.25">
      <c r="A2675" s="279">
        <v>39082</v>
      </c>
      <c r="B2675" s="309" t="s">
        <v>405</v>
      </c>
      <c r="C2675" s="309" t="s">
        <v>91</v>
      </c>
      <c r="D2675">
        <v>0</v>
      </c>
    </row>
    <row r="2676" spans="1:4" x14ac:dyDescent="0.25">
      <c r="A2676" s="279">
        <v>39082</v>
      </c>
      <c r="B2676" s="309" t="s">
        <v>405</v>
      </c>
      <c r="C2676" s="309" t="s">
        <v>118</v>
      </c>
      <c r="D2676">
        <v>0</v>
      </c>
    </row>
    <row r="2677" spans="1:4" x14ac:dyDescent="0.25">
      <c r="A2677" s="279">
        <v>39082</v>
      </c>
      <c r="B2677" s="309" t="s">
        <v>405</v>
      </c>
      <c r="C2677" s="309" t="s">
        <v>407</v>
      </c>
      <c r="D2677">
        <v>3691444.1</v>
      </c>
    </row>
    <row r="2678" spans="1:4" x14ac:dyDescent="0.25">
      <c r="A2678" s="279">
        <v>39082</v>
      </c>
      <c r="B2678" s="309" t="s">
        <v>405</v>
      </c>
      <c r="C2678" s="309" t="s">
        <v>408</v>
      </c>
      <c r="D2678">
        <v>1007</v>
      </c>
    </row>
    <row r="2679" spans="1:4" x14ac:dyDescent="0.25">
      <c r="A2679" s="279">
        <v>39082</v>
      </c>
      <c r="B2679" s="309" t="s">
        <v>405</v>
      </c>
      <c r="C2679" s="309" t="s">
        <v>409</v>
      </c>
      <c r="D2679">
        <v>1058</v>
      </c>
    </row>
    <row r="2680" spans="1:4" x14ac:dyDescent="0.25">
      <c r="A2680" s="279">
        <v>39082</v>
      </c>
      <c r="B2680" s="309" t="s">
        <v>405</v>
      </c>
      <c r="C2680" s="309" t="s">
        <v>410</v>
      </c>
      <c r="D2680">
        <v>1030</v>
      </c>
    </row>
    <row r="2681" spans="1:4" x14ac:dyDescent="0.25">
      <c r="A2681" s="279">
        <v>39082</v>
      </c>
      <c r="B2681" s="309" t="s">
        <v>411</v>
      </c>
      <c r="C2681" s="309" t="s">
        <v>406</v>
      </c>
      <c r="D2681">
        <v>221935</v>
      </c>
    </row>
    <row r="2682" spans="1:4" x14ac:dyDescent="0.25">
      <c r="A2682" s="279">
        <v>39082</v>
      </c>
      <c r="B2682" s="309" t="s">
        <v>411</v>
      </c>
      <c r="C2682" s="309" t="s">
        <v>198</v>
      </c>
      <c r="D2682">
        <v>0</v>
      </c>
    </row>
    <row r="2683" spans="1:4" x14ac:dyDescent="0.25">
      <c r="A2683" s="279">
        <v>39082</v>
      </c>
      <c r="B2683" s="309" t="s">
        <v>411</v>
      </c>
      <c r="C2683" s="309" t="s">
        <v>199</v>
      </c>
      <c r="D2683">
        <v>0</v>
      </c>
    </row>
    <row r="2684" spans="1:4" x14ac:dyDescent="0.25">
      <c r="A2684" s="279">
        <v>39082</v>
      </c>
      <c r="B2684" s="309" t="s">
        <v>411</v>
      </c>
      <c r="C2684" s="309" t="s">
        <v>90</v>
      </c>
      <c r="D2684">
        <v>159</v>
      </c>
    </row>
    <row r="2685" spans="1:4" x14ac:dyDescent="0.25">
      <c r="A2685" s="279">
        <v>39082</v>
      </c>
      <c r="B2685" s="309" t="s">
        <v>411</v>
      </c>
      <c r="C2685" s="309" t="s">
        <v>24</v>
      </c>
      <c r="D2685">
        <v>0</v>
      </c>
    </row>
    <row r="2686" spans="1:4" x14ac:dyDescent="0.25">
      <c r="A2686" s="279">
        <v>39082</v>
      </c>
      <c r="B2686" s="309" t="s">
        <v>411</v>
      </c>
      <c r="C2686" s="309" t="s">
        <v>91</v>
      </c>
      <c r="D2686">
        <v>0</v>
      </c>
    </row>
    <row r="2687" spans="1:4" x14ac:dyDescent="0.25">
      <c r="A2687" s="279">
        <v>39082</v>
      </c>
      <c r="B2687" s="309" t="s">
        <v>411</v>
      </c>
      <c r="C2687" s="309" t="s">
        <v>118</v>
      </c>
      <c r="D2687">
        <v>0</v>
      </c>
    </row>
    <row r="2688" spans="1:4" x14ac:dyDescent="0.25">
      <c r="A2688" s="279">
        <v>39082</v>
      </c>
      <c r="B2688" s="309" t="s">
        <v>411</v>
      </c>
      <c r="C2688" s="309" t="s">
        <v>407</v>
      </c>
      <c r="D2688">
        <v>221776</v>
      </c>
    </row>
    <row r="2689" spans="1:4" x14ac:dyDescent="0.25">
      <c r="A2689" s="279">
        <v>39082</v>
      </c>
      <c r="B2689" s="309" t="s">
        <v>411</v>
      </c>
      <c r="C2689" s="309" t="s">
        <v>412</v>
      </c>
      <c r="D2689">
        <v>1007</v>
      </c>
    </row>
    <row r="2690" spans="1:4" x14ac:dyDescent="0.25">
      <c r="A2690" s="279">
        <v>39082</v>
      </c>
      <c r="B2690" s="309" t="s">
        <v>411</v>
      </c>
      <c r="C2690" s="309" t="s">
        <v>409</v>
      </c>
      <c r="D2690">
        <v>1049</v>
      </c>
    </row>
    <row r="2691" spans="1:4" x14ac:dyDescent="0.25">
      <c r="A2691" s="279">
        <v>39083</v>
      </c>
      <c r="B2691" s="309" t="s">
        <v>405</v>
      </c>
      <c r="C2691" s="309" t="s">
        <v>406</v>
      </c>
      <c r="D2691">
        <v>3691444.1</v>
      </c>
    </row>
    <row r="2692" spans="1:4" x14ac:dyDescent="0.25">
      <c r="A2692" s="279">
        <v>39083</v>
      </c>
      <c r="B2692" s="309" t="s">
        <v>405</v>
      </c>
      <c r="C2692" s="309" t="s">
        <v>89</v>
      </c>
      <c r="D2692">
        <v>0</v>
      </c>
    </row>
    <row r="2693" spans="1:4" x14ac:dyDescent="0.25">
      <c r="A2693" s="279">
        <v>39083</v>
      </c>
      <c r="B2693" s="309" t="s">
        <v>405</v>
      </c>
      <c r="C2693" s="309" t="s">
        <v>198</v>
      </c>
      <c r="D2693">
        <v>0</v>
      </c>
    </row>
    <row r="2694" spans="1:4" x14ac:dyDescent="0.25">
      <c r="A2694" s="279">
        <v>39083</v>
      </c>
      <c r="B2694" s="309" t="s">
        <v>405</v>
      </c>
      <c r="C2694" s="309" t="s">
        <v>199</v>
      </c>
      <c r="D2694">
        <v>0</v>
      </c>
    </row>
    <row r="2695" spans="1:4" x14ac:dyDescent="0.25">
      <c r="A2695" s="279">
        <v>39083</v>
      </c>
      <c r="B2695" s="309" t="s">
        <v>405</v>
      </c>
      <c r="C2695" s="309" t="s">
        <v>90</v>
      </c>
      <c r="D2695">
        <v>6149</v>
      </c>
    </row>
    <row r="2696" spans="1:4" x14ac:dyDescent="0.25">
      <c r="A2696" s="279">
        <v>39083</v>
      </c>
      <c r="B2696" s="309" t="s">
        <v>405</v>
      </c>
      <c r="C2696" s="309" t="s">
        <v>24</v>
      </c>
      <c r="D2696">
        <v>0</v>
      </c>
    </row>
    <row r="2697" spans="1:4" x14ac:dyDescent="0.25">
      <c r="A2697" s="279">
        <v>39083</v>
      </c>
      <c r="B2697" s="309" t="s">
        <v>405</v>
      </c>
      <c r="C2697" s="309" t="s">
        <v>91</v>
      </c>
      <c r="D2697">
        <v>0</v>
      </c>
    </row>
    <row r="2698" spans="1:4" x14ac:dyDescent="0.25">
      <c r="A2698" s="279">
        <v>39083</v>
      </c>
      <c r="B2698" s="309" t="s">
        <v>405</v>
      </c>
      <c r="C2698" s="309" t="s">
        <v>118</v>
      </c>
      <c r="D2698">
        <v>0</v>
      </c>
    </row>
    <row r="2699" spans="1:4" x14ac:dyDescent="0.25">
      <c r="A2699" s="279">
        <v>39083</v>
      </c>
      <c r="B2699" s="309" t="s">
        <v>405</v>
      </c>
      <c r="C2699" s="309" t="s">
        <v>407</v>
      </c>
      <c r="D2699">
        <v>3685295.1</v>
      </c>
    </row>
    <row r="2700" spans="1:4" x14ac:dyDescent="0.25">
      <c r="A2700" s="279">
        <v>39083</v>
      </c>
      <c r="B2700" s="309" t="s">
        <v>405</v>
      </c>
      <c r="C2700" s="309" t="s">
        <v>408</v>
      </c>
      <c r="D2700">
        <v>1007</v>
      </c>
    </row>
    <row r="2701" spans="1:4" x14ac:dyDescent="0.25">
      <c r="A2701" s="279">
        <v>39083</v>
      </c>
      <c r="B2701" s="309" t="s">
        <v>405</v>
      </c>
      <c r="C2701" s="309" t="s">
        <v>409</v>
      </c>
      <c r="D2701">
        <v>1058</v>
      </c>
    </row>
    <row r="2702" spans="1:4" x14ac:dyDescent="0.25">
      <c r="A2702" s="279">
        <v>39083</v>
      </c>
      <c r="B2702" s="309" t="s">
        <v>405</v>
      </c>
      <c r="C2702" s="309" t="s">
        <v>410</v>
      </c>
      <c r="D2702">
        <v>1030</v>
      </c>
    </row>
    <row r="2703" spans="1:4" x14ac:dyDescent="0.25">
      <c r="A2703" s="279">
        <v>39083</v>
      </c>
      <c r="B2703" s="309" t="s">
        <v>411</v>
      </c>
      <c r="C2703" s="309" t="s">
        <v>406</v>
      </c>
      <c r="D2703">
        <v>221776</v>
      </c>
    </row>
    <row r="2704" spans="1:4" x14ac:dyDescent="0.25">
      <c r="A2704" s="279">
        <v>39083</v>
      </c>
      <c r="B2704" s="309" t="s">
        <v>411</v>
      </c>
      <c r="C2704" s="309" t="s">
        <v>198</v>
      </c>
      <c r="D2704">
        <v>0</v>
      </c>
    </row>
    <row r="2705" spans="1:4" x14ac:dyDescent="0.25">
      <c r="A2705" s="279">
        <v>39083</v>
      </c>
      <c r="B2705" s="309" t="s">
        <v>411</v>
      </c>
      <c r="C2705" s="309" t="s">
        <v>199</v>
      </c>
      <c r="D2705">
        <v>0</v>
      </c>
    </row>
    <row r="2706" spans="1:4" x14ac:dyDescent="0.25">
      <c r="A2706" s="279">
        <v>39083</v>
      </c>
      <c r="B2706" s="309" t="s">
        <v>411</v>
      </c>
      <c r="C2706" s="309" t="s">
        <v>90</v>
      </c>
      <c r="D2706">
        <v>59</v>
      </c>
    </row>
    <row r="2707" spans="1:4" x14ac:dyDescent="0.25">
      <c r="A2707" s="279">
        <v>39083</v>
      </c>
      <c r="B2707" s="309" t="s">
        <v>411</v>
      </c>
      <c r="C2707" s="309" t="s">
        <v>24</v>
      </c>
      <c r="D2707">
        <v>0</v>
      </c>
    </row>
    <row r="2708" spans="1:4" x14ac:dyDescent="0.25">
      <c r="A2708" s="279">
        <v>39083</v>
      </c>
      <c r="B2708" s="309" t="s">
        <v>411</v>
      </c>
      <c r="C2708" s="309" t="s">
        <v>91</v>
      </c>
      <c r="D2708">
        <v>0</v>
      </c>
    </row>
    <row r="2709" spans="1:4" x14ac:dyDescent="0.25">
      <c r="A2709" s="279">
        <v>39083</v>
      </c>
      <c r="B2709" s="309" t="s">
        <v>411</v>
      </c>
      <c r="C2709" s="309" t="s">
        <v>118</v>
      </c>
      <c r="D2709">
        <v>0</v>
      </c>
    </row>
    <row r="2710" spans="1:4" x14ac:dyDescent="0.25">
      <c r="A2710" s="279">
        <v>39083</v>
      </c>
      <c r="B2710" s="309" t="s">
        <v>411</v>
      </c>
      <c r="C2710" s="309" t="s">
        <v>407</v>
      </c>
      <c r="D2710">
        <v>221717</v>
      </c>
    </row>
    <row r="2711" spans="1:4" x14ac:dyDescent="0.25">
      <c r="A2711" s="279">
        <v>39083</v>
      </c>
      <c r="B2711" s="309" t="s">
        <v>411</v>
      </c>
      <c r="C2711" s="309" t="s">
        <v>412</v>
      </c>
      <c r="D2711">
        <v>1007</v>
      </c>
    </row>
    <row r="2712" spans="1:4" x14ac:dyDescent="0.25">
      <c r="A2712" s="279">
        <v>39083</v>
      </c>
      <c r="B2712" s="309" t="s">
        <v>411</v>
      </c>
      <c r="C2712" s="309" t="s">
        <v>409</v>
      </c>
      <c r="D2712">
        <v>1049</v>
      </c>
    </row>
    <row r="2713" spans="1:4" x14ac:dyDescent="0.25">
      <c r="A2713" s="279">
        <v>39084</v>
      </c>
      <c r="B2713" s="309" t="s">
        <v>405</v>
      </c>
      <c r="C2713" s="309" t="s">
        <v>406</v>
      </c>
      <c r="D2713">
        <v>3685295.1</v>
      </c>
    </row>
    <row r="2714" spans="1:4" x14ac:dyDescent="0.25">
      <c r="A2714" s="279">
        <v>39084</v>
      </c>
      <c r="B2714" s="309" t="s">
        <v>405</v>
      </c>
      <c r="C2714" s="309" t="s">
        <v>89</v>
      </c>
      <c r="D2714">
        <v>0</v>
      </c>
    </row>
    <row r="2715" spans="1:4" x14ac:dyDescent="0.25">
      <c r="A2715" s="279">
        <v>39084</v>
      </c>
      <c r="B2715" s="309" t="s">
        <v>405</v>
      </c>
      <c r="C2715" s="309" t="s">
        <v>198</v>
      </c>
      <c r="D2715">
        <v>0</v>
      </c>
    </row>
    <row r="2716" spans="1:4" x14ac:dyDescent="0.25">
      <c r="A2716" s="279">
        <v>39084</v>
      </c>
      <c r="B2716" s="309" t="s">
        <v>405</v>
      </c>
      <c r="C2716" s="309" t="s">
        <v>199</v>
      </c>
      <c r="D2716">
        <v>0</v>
      </c>
    </row>
    <row r="2717" spans="1:4" x14ac:dyDescent="0.25">
      <c r="A2717" s="279">
        <v>39084</v>
      </c>
      <c r="B2717" s="309" t="s">
        <v>405</v>
      </c>
      <c r="C2717" s="309" t="s">
        <v>90</v>
      </c>
      <c r="D2717">
        <v>802</v>
      </c>
    </row>
    <row r="2718" spans="1:4" x14ac:dyDescent="0.25">
      <c r="A2718" s="279">
        <v>39084</v>
      </c>
      <c r="B2718" s="309" t="s">
        <v>405</v>
      </c>
      <c r="C2718" s="309" t="s">
        <v>24</v>
      </c>
      <c r="D2718">
        <v>0</v>
      </c>
    </row>
    <row r="2719" spans="1:4" x14ac:dyDescent="0.25">
      <c r="A2719" s="279">
        <v>39084</v>
      </c>
      <c r="B2719" s="309" t="s">
        <v>405</v>
      </c>
      <c r="C2719" s="309" t="s">
        <v>91</v>
      </c>
      <c r="D2719">
        <v>0</v>
      </c>
    </row>
    <row r="2720" spans="1:4" x14ac:dyDescent="0.25">
      <c r="A2720" s="279">
        <v>39084</v>
      </c>
      <c r="B2720" s="309" t="s">
        <v>405</v>
      </c>
      <c r="C2720" s="309" t="s">
        <v>118</v>
      </c>
      <c r="D2720">
        <v>0</v>
      </c>
    </row>
    <row r="2721" spans="1:4" x14ac:dyDescent="0.25">
      <c r="A2721" s="279">
        <v>39084</v>
      </c>
      <c r="B2721" s="309" t="s">
        <v>405</v>
      </c>
      <c r="C2721" s="309" t="s">
        <v>407</v>
      </c>
      <c r="D2721">
        <v>3684493.1</v>
      </c>
    </row>
    <row r="2722" spans="1:4" x14ac:dyDescent="0.25">
      <c r="A2722" s="279">
        <v>39084</v>
      </c>
      <c r="B2722" s="309" t="s">
        <v>405</v>
      </c>
      <c r="C2722" s="309" t="s">
        <v>408</v>
      </c>
      <c r="D2722">
        <v>1007</v>
      </c>
    </row>
    <row r="2723" spans="1:4" x14ac:dyDescent="0.25">
      <c r="A2723" s="279">
        <v>39084</v>
      </c>
      <c r="B2723" s="309" t="s">
        <v>405</v>
      </c>
      <c r="C2723" s="309" t="s">
        <v>409</v>
      </c>
      <c r="D2723">
        <v>1058</v>
      </c>
    </row>
    <row r="2724" spans="1:4" x14ac:dyDescent="0.25">
      <c r="A2724" s="279">
        <v>39084</v>
      </c>
      <c r="B2724" s="309" t="s">
        <v>405</v>
      </c>
      <c r="C2724" s="309" t="s">
        <v>410</v>
      </c>
      <c r="D2724">
        <v>1030</v>
      </c>
    </row>
    <row r="2725" spans="1:4" x14ac:dyDescent="0.25">
      <c r="A2725" s="279">
        <v>39084</v>
      </c>
      <c r="B2725" s="309" t="s">
        <v>411</v>
      </c>
      <c r="C2725" s="309" t="s">
        <v>406</v>
      </c>
      <c r="D2725">
        <v>221717</v>
      </c>
    </row>
    <row r="2726" spans="1:4" x14ac:dyDescent="0.25">
      <c r="A2726" s="279">
        <v>39084</v>
      </c>
      <c r="B2726" s="309" t="s">
        <v>411</v>
      </c>
      <c r="C2726" s="309" t="s">
        <v>198</v>
      </c>
      <c r="D2726">
        <v>0</v>
      </c>
    </row>
    <row r="2727" spans="1:4" x14ac:dyDescent="0.25">
      <c r="A2727" s="279">
        <v>39084</v>
      </c>
      <c r="B2727" s="309" t="s">
        <v>411</v>
      </c>
      <c r="C2727" s="309" t="s">
        <v>199</v>
      </c>
      <c r="D2727">
        <v>0</v>
      </c>
    </row>
    <row r="2728" spans="1:4" x14ac:dyDescent="0.25">
      <c r="A2728" s="279">
        <v>39084</v>
      </c>
      <c r="B2728" s="309" t="s">
        <v>411</v>
      </c>
      <c r="C2728" s="309" t="s">
        <v>90</v>
      </c>
      <c r="D2728">
        <v>218</v>
      </c>
    </row>
    <row r="2729" spans="1:4" x14ac:dyDescent="0.25">
      <c r="A2729" s="279">
        <v>39084</v>
      </c>
      <c r="B2729" s="309" t="s">
        <v>411</v>
      </c>
      <c r="C2729" s="309" t="s">
        <v>24</v>
      </c>
      <c r="D2729">
        <v>0</v>
      </c>
    </row>
    <row r="2730" spans="1:4" x14ac:dyDescent="0.25">
      <c r="A2730" s="279">
        <v>39084</v>
      </c>
      <c r="B2730" s="309" t="s">
        <v>411</v>
      </c>
      <c r="C2730" s="309" t="s">
        <v>91</v>
      </c>
      <c r="D2730">
        <v>0</v>
      </c>
    </row>
    <row r="2731" spans="1:4" x14ac:dyDescent="0.25">
      <c r="A2731" s="279">
        <v>39084</v>
      </c>
      <c r="B2731" s="309" t="s">
        <v>411</v>
      </c>
      <c r="C2731" s="309" t="s">
        <v>118</v>
      </c>
      <c r="D2731">
        <v>0</v>
      </c>
    </row>
    <row r="2732" spans="1:4" x14ac:dyDescent="0.25">
      <c r="A2732" s="279">
        <v>39084</v>
      </c>
      <c r="B2732" s="309" t="s">
        <v>411</v>
      </c>
      <c r="C2732" s="309" t="s">
        <v>407</v>
      </c>
      <c r="D2732">
        <v>221499</v>
      </c>
    </row>
    <row r="2733" spans="1:4" x14ac:dyDescent="0.25">
      <c r="A2733" s="279">
        <v>39084</v>
      </c>
      <c r="B2733" s="309" t="s">
        <v>411</v>
      </c>
      <c r="C2733" s="309" t="s">
        <v>412</v>
      </c>
      <c r="D2733">
        <v>1007</v>
      </c>
    </row>
    <row r="2734" spans="1:4" x14ac:dyDescent="0.25">
      <c r="A2734" s="279">
        <v>39084</v>
      </c>
      <c r="B2734" s="309" t="s">
        <v>411</v>
      </c>
      <c r="C2734" s="309" t="s">
        <v>409</v>
      </c>
      <c r="D2734">
        <v>1049</v>
      </c>
    </row>
    <row r="2735" spans="1:4" x14ac:dyDescent="0.25">
      <c r="A2735" s="279">
        <v>39085</v>
      </c>
      <c r="B2735" s="309" t="s">
        <v>405</v>
      </c>
      <c r="C2735" s="309" t="s">
        <v>406</v>
      </c>
      <c r="D2735">
        <v>3684493.1</v>
      </c>
    </row>
    <row r="2736" spans="1:4" x14ac:dyDescent="0.25">
      <c r="A2736" s="279">
        <v>39085</v>
      </c>
      <c r="B2736" s="309" t="s">
        <v>405</v>
      </c>
      <c r="C2736" s="309" t="s">
        <v>89</v>
      </c>
      <c r="D2736">
        <v>0</v>
      </c>
    </row>
    <row r="2737" spans="1:4" x14ac:dyDescent="0.25">
      <c r="A2737" s="279">
        <v>39085</v>
      </c>
      <c r="B2737" s="309" t="s">
        <v>405</v>
      </c>
      <c r="C2737" s="309" t="s">
        <v>198</v>
      </c>
      <c r="D2737">
        <v>0</v>
      </c>
    </row>
    <row r="2738" spans="1:4" x14ac:dyDescent="0.25">
      <c r="A2738" s="279">
        <v>39085</v>
      </c>
      <c r="B2738" s="309" t="s">
        <v>405</v>
      </c>
      <c r="C2738" s="309" t="s">
        <v>199</v>
      </c>
      <c r="D2738">
        <v>0</v>
      </c>
    </row>
    <row r="2739" spans="1:4" x14ac:dyDescent="0.25">
      <c r="A2739" s="279">
        <v>39085</v>
      </c>
      <c r="B2739" s="309" t="s">
        <v>405</v>
      </c>
      <c r="C2739" s="309" t="s">
        <v>90</v>
      </c>
      <c r="D2739">
        <v>1604</v>
      </c>
    </row>
    <row r="2740" spans="1:4" x14ac:dyDescent="0.25">
      <c r="A2740" s="279">
        <v>39085</v>
      </c>
      <c r="B2740" s="309" t="s">
        <v>405</v>
      </c>
      <c r="C2740" s="309" t="s">
        <v>24</v>
      </c>
      <c r="D2740">
        <v>0</v>
      </c>
    </row>
    <row r="2741" spans="1:4" x14ac:dyDescent="0.25">
      <c r="A2741" s="279">
        <v>39085</v>
      </c>
      <c r="B2741" s="309" t="s">
        <v>405</v>
      </c>
      <c r="C2741" s="309" t="s">
        <v>91</v>
      </c>
      <c r="D2741">
        <v>0</v>
      </c>
    </row>
    <row r="2742" spans="1:4" x14ac:dyDescent="0.25">
      <c r="A2742" s="279">
        <v>39085</v>
      </c>
      <c r="B2742" s="309" t="s">
        <v>405</v>
      </c>
      <c r="C2742" s="309" t="s">
        <v>118</v>
      </c>
      <c r="D2742">
        <v>0</v>
      </c>
    </row>
    <row r="2743" spans="1:4" x14ac:dyDescent="0.25">
      <c r="A2743" s="279">
        <v>39085</v>
      </c>
      <c r="B2743" s="309" t="s">
        <v>405</v>
      </c>
      <c r="C2743" s="309" t="s">
        <v>407</v>
      </c>
      <c r="D2743">
        <v>3682889.1</v>
      </c>
    </row>
    <row r="2744" spans="1:4" x14ac:dyDescent="0.25">
      <c r="A2744" s="279">
        <v>39085</v>
      </c>
      <c r="B2744" s="309" t="s">
        <v>405</v>
      </c>
      <c r="C2744" s="309" t="s">
        <v>408</v>
      </c>
      <c r="D2744">
        <v>1007</v>
      </c>
    </row>
    <row r="2745" spans="1:4" x14ac:dyDescent="0.25">
      <c r="A2745" s="279">
        <v>39085</v>
      </c>
      <c r="B2745" s="309" t="s">
        <v>405</v>
      </c>
      <c r="C2745" s="309" t="s">
        <v>409</v>
      </c>
      <c r="D2745">
        <v>1058</v>
      </c>
    </row>
    <row r="2746" spans="1:4" x14ac:dyDescent="0.25">
      <c r="A2746" s="279">
        <v>39085</v>
      </c>
      <c r="B2746" s="309" t="s">
        <v>405</v>
      </c>
      <c r="C2746" s="309" t="s">
        <v>410</v>
      </c>
      <c r="D2746">
        <v>1030</v>
      </c>
    </row>
    <row r="2747" spans="1:4" x14ac:dyDescent="0.25">
      <c r="A2747" s="279">
        <v>39085</v>
      </c>
      <c r="B2747" s="309" t="s">
        <v>411</v>
      </c>
      <c r="C2747" s="309" t="s">
        <v>406</v>
      </c>
      <c r="D2747">
        <v>221499</v>
      </c>
    </row>
    <row r="2748" spans="1:4" x14ac:dyDescent="0.25">
      <c r="A2748" s="279">
        <v>39085</v>
      </c>
      <c r="B2748" s="309" t="s">
        <v>411</v>
      </c>
      <c r="C2748" s="309" t="s">
        <v>198</v>
      </c>
      <c r="D2748">
        <v>0</v>
      </c>
    </row>
    <row r="2749" spans="1:4" x14ac:dyDescent="0.25">
      <c r="A2749" s="279">
        <v>39085</v>
      </c>
      <c r="B2749" s="309" t="s">
        <v>411</v>
      </c>
      <c r="C2749" s="309" t="s">
        <v>199</v>
      </c>
      <c r="D2749">
        <v>0</v>
      </c>
    </row>
    <row r="2750" spans="1:4" x14ac:dyDescent="0.25">
      <c r="A2750" s="279">
        <v>39085</v>
      </c>
      <c r="B2750" s="309" t="s">
        <v>411</v>
      </c>
      <c r="C2750" s="309" t="s">
        <v>90</v>
      </c>
      <c r="D2750">
        <v>277</v>
      </c>
    </row>
    <row r="2751" spans="1:4" x14ac:dyDescent="0.25">
      <c r="A2751" s="279">
        <v>39085</v>
      </c>
      <c r="B2751" s="309" t="s">
        <v>411</v>
      </c>
      <c r="C2751" s="309" t="s">
        <v>24</v>
      </c>
      <c r="D2751">
        <v>0</v>
      </c>
    </row>
    <row r="2752" spans="1:4" x14ac:dyDescent="0.25">
      <c r="A2752" s="279">
        <v>39085</v>
      </c>
      <c r="B2752" s="309" t="s">
        <v>411</v>
      </c>
      <c r="C2752" s="309" t="s">
        <v>91</v>
      </c>
      <c r="D2752">
        <v>0</v>
      </c>
    </row>
    <row r="2753" spans="1:4" x14ac:dyDescent="0.25">
      <c r="A2753" s="279">
        <v>39085</v>
      </c>
      <c r="B2753" s="309" t="s">
        <v>411</v>
      </c>
      <c r="C2753" s="309" t="s">
        <v>118</v>
      </c>
      <c r="D2753">
        <v>0</v>
      </c>
    </row>
    <row r="2754" spans="1:4" x14ac:dyDescent="0.25">
      <c r="A2754" s="279">
        <v>39085</v>
      </c>
      <c r="B2754" s="309" t="s">
        <v>411</v>
      </c>
      <c r="C2754" s="309" t="s">
        <v>407</v>
      </c>
      <c r="D2754">
        <v>221222</v>
      </c>
    </row>
    <row r="2755" spans="1:4" x14ac:dyDescent="0.25">
      <c r="A2755" s="279">
        <v>39085</v>
      </c>
      <c r="B2755" s="309" t="s">
        <v>411</v>
      </c>
      <c r="C2755" s="309" t="s">
        <v>412</v>
      </c>
      <c r="D2755">
        <v>1007</v>
      </c>
    </row>
    <row r="2756" spans="1:4" x14ac:dyDescent="0.25">
      <c r="A2756" s="279">
        <v>39085</v>
      </c>
      <c r="B2756" s="309" t="s">
        <v>411</v>
      </c>
      <c r="C2756" s="309" t="s">
        <v>409</v>
      </c>
      <c r="D2756">
        <v>1049</v>
      </c>
    </row>
    <row r="2757" spans="1:4" x14ac:dyDescent="0.25">
      <c r="A2757" s="279">
        <v>39086</v>
      </c>
      <c r="B2757" s="309" t="s">
        <v>405</v>
      </c>
      <c r="C2757" s="309" t="s">
        <v>406</v>
      </c>
      <c r="D2757">
        <v>3682889.1</v>
      </c>
    </row>
    <row r="2758" spans="1:4" x14ac:dyDescent="0.25">
      <c r="A2758" s="279">
        <v>39086</v>
      </c>
      <c r="B2758" s="309" t="s">
        <v>405</v>
      </c>
      <c r="C2758" s="309" t="s">
        <v>89</v>
      </c>
      <c r="D2758">
        <v>0</v>
      </c>
    </row>
    <row r="2759" spans="1:4" x14ac:dyDescent="0.25">
      <c r="A2759" s="279">
        <v>39086</v>
      </c>
      <c r="B2759" s="309" t="s">
        <v>405</v>
      </c>
      <c r="C2759" s="309" t="s">
        <v>198</v>
      </c>
      <c r="D2759">
        <v>0</v>
      </c>
    </row>
    <row r="2760" spans="1:4" x14ac:dyDescent="0.25">
      <c r="A2760" s="279">
        <v>39086</v>
      </c>
      <c r="B2760" s="309" t="s">
        <v>405</v>
      </c>
      <c r="C2760" s="309" t="s">
        <v>199</v>
      </c>
      <c r="D2760">
        <v>0</v>
      </c>
    </row>
    <row r="2761" spans="1:4" x14ac:dyDescent="0.25">
      <c r="A2761" s="279">
        <v>39086</v>
      </c>
      <c r="B2761" s="309" t="s">
        <v>405</v>
      </c>
      <c r="C2761" s="309" t="s">
        <v>90</v>
      </c>
      <c r="D2761">
        <v>3743</v>
      </c>
    </row>
    <row r="2762" spans="1:4" x14ac:dyDescent="0.25">
      <c r="A2762" s="279">
        <v>39086</v>
      </c>
      <c r="B2762" s="309" t="s">
        <v>405</v>
      </c>
      <c r="C2762" s="309" t="s">
        <v>24</v>
      </c>
      <c r="D2762">
        <v>0</v>
      </c>
    </row>
    <row r="2763" spans="1:4" x14ac:dyDescent="0.25">
      <c r="A2763" s="279">
        <v>39086</v>
      </c>
      <c r="B2763" s="309" t="s">
        <v>405</v>
      </c>
      <c r="C2763" s="309" t="s">
        <v>91</v>
      </c>
      <c r="D2763">
        <v>0</v>
      </c>
    </row>
    <row r="2764" spans="1:4" x14ac:dyDescent="0.25">
      <c r="A2764" s="279">
        <v>39086</v>
      </c>
      <c r="B2764" s="309" t="s">
        <v>405</v>
      </c>
      <c r="C2764" s="309" t="s">
        <v>118</v>
      </c>
      <c r="D2764">
        <v>0</v>
      </c>
    </row>
    <row r="2765" spans="1:4" x14ac:dyDescent="0.25">
      <c r="A2765" s="279">
        <v>39086</v>
      </c>
      <c r="B2765" s="309" t="s">
        <v>405</v>
      </c>
      <c r="C2765" s="309" t="s">
        <v>407</v>
      </c>
      <c r="D2765">
        <v>3679146.1</v>
      </c>
    </row>
    <row r="2766" spans="1:4" x14ac:dyDescent="0.25">
      <c r="A2766" s="279">
        <v>39086</v>
      </c>
      <c r="B2766" s="309" t="s">
        <v>405</v>
      </c>
      <c r="C2766" s="309" t="s">
        <v>408</v>
      </c>
      <c r="D2766">
        <v>1007</v>
      </c>
    </row>
    <row r="2767" spans="1:4" x14ac:dyDescent="0.25">
      <c r="A2767" s="279">
        <v>39086</v>
      </c>
      <c r="B2767" s="309" t="s">
        <v>405</v>
      </c>
      <c r="C2767" s="309" t="s">
        <v>409</v>
      </c>
      <c r="D2767">
        <v>1058</v>
      </c>
    </row>
    <row r="2768" spans="1:4" x14ac:dyDescent="0.25">
      <c r="A2768" s="279">
        <v>39086</v>
      </c>
      <c r="B2768" s="309" t="s">
        <v>405</v>
      </c>
      <c r="C2768" s="309" t="s">
        <v>410</v>
      </c>
      <c r="D2768">
        <v>1033</v>
      </c>
    </row>
    <row r="2769" spans="1:4" x14ac:dyDescent="0.25">
      <c r="A2769" s="279">
        <v>39086</v>
      </c>
      <c r="B2769" s="309" t="s">
        <v>411</v>
      </c>
      <c r="C2769" s="309" t="s">
        <v>406</v>
      </c>
      <c r="D2769">
        <v>221222</v>
      </c>
    </row>
    <row r="2770" spans="1:4" x14ac:dyDescent="0.25">
      <c r="A2770" s="279">
        <v>39086</v>
      </c>
      <c r="B2770" s="309" t="s">
        <v>411</v>
      </c>
      <c r="C2770" s="309" t="s">
        <v>198</v>
      </c>
      <c r="D2770">
        <v>0</v>
      </c>
    </row>
    <row r="2771" spans="1:4" x14ac:dyDescent="0.25">
      <c r="A2771" s="279">
        <v>39086</v>
      </c>
      <c r="B2771" s="309" t="s">
        <v>411</v>
      </c>
      <c r="C2771" s="309" t="s">
        <v>199</v>
      </c>
      <c r="D2771">
        <v>0</v>
      </c>
    </row>
    <row r="2772" spans="1:4" x14ac:dyDescent="0.25">
      <c r="A2772" s="279">
        <v>39086</v>
      </c>
      <c r="B2772" s="309" t="s">
        <v>411</v>
      </c>
      <c r="C2772" s="309" t="s">
        <v>90</v>
      </c>
      <c r="D2772">
        <v>277</v>
      </c>
    </row>
    <row r="2773" spans="1:4" x14ac:dyDescent="0.25">
      <c r="A2773" s="279">
        <v>39086</v>
      </c>
      <c r="B2773" s="309" t="s">
        <v>411</v>
      </c>
      <c r="C2773" s="309" t="s">
        <v>24</v>
      </c>
      <c r="D2773">
        <v>0</v>
      </c>
    </row>
    <row r="2774" spans="1:4" x14ac:dyDescent="0.25">
      <c r="A2774" s="279">
        <v>39086</v>
      </c>
      <c r="B2774" s="309" t="s">
        <v>411</v>
      </c>
      <c r="C2774" s="309" t="s">
        <v>91</v>
      </c>
      <c r="D2774">
        <v>0</v>
      </c>
    </row>
    <row r="2775" spans="1:4" x14ac:dyDescent="0.25">
      <c r="A2775" s="279">
        <v>39086</v>
      </c>
      <c r="B2775" s="309" t="s">
        <v>411</v>
      </c>
      <c r="C2775" s="309" t="s">
        <v>118</v>
      </c>
      <c r="D2775">
        <v>0</v>
      </c>
    </row>
    <row r="2776" spans="1:4" x14ac:dyDescent="0.25">
      <c r="A2776" s="279">
        <v>39086</v>
      </c>
      <c r="B2776" s="309" t="s">
        <v>411</v>
      </c>
      <c r="C2776" s="309" t="s">
        <v>407</v>
      </c>
      <c r="D2776">
        <v>220945</v>
      </c>
    </row>
    <row r="2777" spans="1:4" x14ac:dyDescent="0.25">
      <c r="A2777" s="279">
        <v>39086</v>
      </c>
      <c r="B2777" s="309" t="s">
        <v>411</v>
      </c>
      <c r="C2777" s="309" t="s">
        <v>412</v>
      </c>
      <c r="D2777">
        <v>1007</v>
      </c>
    </row>
    <row r="2778" spans="1:4" x14ac:dyDescent="0.25">
      <c r="A2778" s="279">
        <v>39086</v>
      </c>
      <c r="B2778" s="309" t="s">
        <v>411</v>
      </c>
      <c r="C2778" s="309" t="s">
        <v>409</v>
      </c>
      <c r="D2778">
        <v>1049</v>
      </c>
    </row>
    <row r="2779" spans="1:4" x14ac:dyDescent="0.25">
      <c r="A2779" s="279">
        <v>39087</v>
      </c>
      <c r="B2779" s="309" t="s">
        <v>405</v>
      </c>
      <c r="C2779" s="309" t="s">
        <v>406</v>
      </c>
      <c r="D2779">
        <v>3679146.1</v>
      </c>
    </row>
    <row r="2780" spans="1:4" x14ac:dyDescent="0.25">
      <c r="A2780" s="279">
        <v>39087</v>
      </c>
      <c r="B2780" s="309" t="s">
        <v>405</v>
      </c>
      <c r="C2780" s="309" t="s">
        <v>89</v>
      </c>
      <c r="D2780">
        <v>0</v>
      </c>
    </row>
    <row r="2781" spans="1:4" x14ac:dyDescent="0.25">
      <c r="A2781" s="279">
        <v>39087</v>
      </c>
      <c r="B2781" s="309" t="s">
        <v>405</v>
      </c>
      <c r="C2781" s="309" t="s">
        <v>198</v>
      </c>
      <c r="D2781">
        <v>0</v>
      </c>
    </row>
    <row r="2782" spans="1:4" x14ac:dyDescent="0.25">
      <c r="A2782" s="279">
        <v>39087</v>
      </c>
      <c r="B2782" s="309" t="s">
        <v>405</v>
      </c>
      <c r="C2782" s="309" t="s">
        <v>199</v>
      </c>
      <c r="D2782">
        <v>0</v>
      </c>
    </row>
    <row r="2783" spans="1:4" x14ac:dyDescent="0.25">
      <c r="A2783" s="279">
        <v>39087</v>
      </c>
      <c r="B2783" s="309" t="s">
        <v>405</v>
      </c>
      <c r="C2783" s="309" t="s">
        <v>90</v>
      </c>
      <c r="D2783">
        <v>4278</v>
      </c>
    </row>
    <row r="2784" spans="1:4" x14ac:dyDescent="0.25">
      <c r="A2784" s="279">
        <v>39087</v>
      </c>
      <c r="B2784" s="309" t="s">
        <v>405</v>
      </c>
      <c r="C2784" s="309" t="s">
        <v>24</v>
      </c>
      <c r="D2784">
        <v>0</v>
      </c>
    </row>
    <row r="2785" spans="1:4" x14ac:dyDescent="0.25">
      <c r="A2785" s="279">
        <v>39087</v>
      </c>
      <c r="B2785" s="309" t="s">
        <v>405</v>
      </c>
      <c r="C2785" s="309" t="s">
        <v>91</v>
      </c>
      <c r="D2785">
        <v>0</v>
      </c>
    </row>
    <row r="2786" spans="1:4" x14ac:dyDescent="0.25">
      <c r="A2786" s="279">
        <v>39087</v>
      </c>
      <c r="B2786" s="309" t="s">
        <v>405</v>
      </c>
      <c r="C2786" s="309" t="s">
        <v>118</v>
      </c>
      <c r="D2786">
        <v>0</v>
      </c>
    </row>
    <row r="2787" spans="1:4" x14ac:dyDescent="0.25">
      <c r="A2787" s="279">
        <v>39087</v>
      </c>
      <c r="B2787" s="309" t="s">
        <v>405</v>
      </c>
      <c r="C2787" s="309" t="s">
        <v>407</v>
      </c>
      <c r="D2787">
        <v>3674868.1</v>
      </c>
    </row>
    <row r="2788" spans="1:4" x14ac:dyDescent="0.25">
      <c r="A2788" s="279">
        <v>39087</v>
      </c>
      <c r="B2788" s="309" t="s">
        <v>405</v>
      </c>
      <c r="C2788" s="309" t="s">
        <v>408</v>
      </c>
      <c r="D2788">
        <v>1007</v>
      </c>
    </row>
    <row r="2789" spans="1:4" x14ac:dyDescent="0.25">
      <c r="A2789" s="279">
        <v>39087</v>
      </c>
      <c r="B2789" s="309" t="s">
        <v>405</v>
      </c>
      <c r="C2789" s="309" t="s">
        <v>409</v>
      </c>
      <c r="D2789">
        <v>1058</v>
      </c>
    </row>
    <row r="2790" spans="1:4" x14ac:dyDescent="0.25">
      <c r="A2790" s="279">
        <v>39087</v>
      </c>
      <c r="B2790" s="309" t="s">
        <v>405</v>
      </c>
      <c r="C2790" s="309" t="s">
        <v>410</v>
      </c>
      <c r="D2790">
        <v>1040</v>
      </c>
    </row>
    <row r="2791" spans="1:4" x14ac:dyDescent="0.25">
      <c r="A2791" s="279">
        <v>39087</v>
      </c>
      <c r="B2791" s="309" t="s">
        <v>411</v>
      </c>
      <c r="C2791" s="309" t="s">
        <v>406</v>
      </c>
      <c r="D2791">
        <v>220945</v>
      </c>
    </row>
    <row r="2792" spans="1:4" x14ac:dyDescent="0.25">
      <c r="A2792" s="279">
        <v>39087</v>
      </c>
      <c r="B2792" s="309" t="s">
        <v>411</v>
      </c>
      <c r="C2792" s="309" t="s">
        <v>198</v>
      </c>
      <c r="D2792">
        <v>0</v>
      </c>
    </row>
    <row r="2793" spans="1:4" x14ac:dyDescent="0.25">
      <c r="A2793" s="279">
        <v>39087</v>
      </c>
      <c r="B2793" s="309" t="s">
        <v>411</v>
      </c>
      <c r="C2793" s="309" t="s">
        <v>199</v>
      </c>
      <c r="D2793">
        <v>0</v>
      </c>
    </row>
    <row r="2794" spans="1:4" x14ac:dyDescent="0.25">
      <c r="A2794" s="279">
        <v>39087</v>
      </c>
      <c r="B2794" s="309" t="s">
        <v>411</v>
      </c>
      <c r="C2794" s="309" t="s">
        <v>90</v>
      </c>
      <c r="D2794">
        <v>59</v>
      </c>
    </row>
    <row r="2795" spans="1:4" x14ac:dyDescent="0.25">
      <c r="A2795" s="279">
        <v>39087</v>
      </c>
      <c r="B2795" s="309" t="s">
        <v>411</v>
      </c>
      <c r="C2795" s="309" t="s">
        <v>24</v>
      </c>
      <c r="D2795">
        <v>0</v>
      </c>
    </row>
    <row r="2796" spans="1:4" x14ac:dyDescent="0.25">
      <c r="A2796" s="279">
        <v>39087</v>
      </c>
      <c r="B2796" s="309" t="s">
        <v>411</v>
      </c>
      <c r="C2796" s="309" t="s">
        <v>91</v>
      </c>
      <c r="D2796">
        <v>0</v>
      </c>
    </row>
    <row r="2797" spans="1:4" x14ac:dyDescent="0.25">
      <c r="A2797" s="279">
        <v>39087</v>
      </c>
      <c r="B2797" s="309" t="s">
        <v>411</v>
      </c>
      <c r="C2797" s="309" t="s">
        <v>118</v>
      </c>
      <c r="D2797">
        <v>0</v>
      </c>
    </row>
    <row r="2798" spans="1:4" x14ac:dyDescent="0.25">
      <c r="A2798" s="279">
        <v>39087</v>
      </c>
      <c r="B2798" s="309" t="s">
        <v>411</v>
      </c>
      <c r="C2798" s="309" t="s">
        <v>407</v>
      </c>
      <c r="D2798">
        <v>220886</v>
      </c>
    </row>
    <row r="2799" spans="1:4" x14ac:dyDescent="0.25">
      <c r="A2799" s="279">
        <v>39087</v>
      </c>
      <c r="B2799" s="309" t="s">
        <v>411</v>
      </c>
      <c r="C2799" s="309" t="s">
        <v>412</v>
      </c>
      <c r="D2799">
        <v>1007</v>
      </c>
    </row>
    <row r="2800" spans="1:4" x14ac:dyDescent="0.25">
      <c r="A2800" s="279">
        <v>39087</v>
      </c>
      <c r="B2800" s="309" t="s">
        <v>411</v>
      </c>
      <c r="C2800" s="309" t="s">
        <v>409</v>
      </c>
      <c r="D2800">
        <v>1049</v>
      </c>
    </row>
    <row r="2801" spans="1:4" x14ac:dyDescent="0.25">
      <c r="A2801" s="279">
        <v>39088</v>
      </c>
      <c r="B2801" s="309" t="s">
        <v>405</v>
      </c>
      <c r="C2801" s="309" t="s">
        <v>406</v>
      </c>
      <c r="D2801">
        <v>3674868.1</v>
      </c>
    </row>
    <row r="2802" spans="1:4" x14ac:dyDescent="0.25">
      <c r="A2802" s="279">
        <v>39088</v>
      </c>
      <c r="B2802" s="309" t="s">
        <v>405</v>
      </c>
      <c r="C2802" s="309" t="s">
        <v>89</v>
      </c>
      <c r="D2802">
        <v>0</v>
      </c>
    </row>
    <row r="2803" spans="1:4" x14ac:dyDescent="0.25">
      <c r="A2803" s="279">
        <v>39088</v>
      </c>
      <c r="B2803" s="309" t="s">
        <v>405</v>
      </c>
      <c r="C2803" s="309" t="s">
        <v>198</v>
      </c>
      <c r="D2803">
        <v>0</v>
      </c>
    </row>
    <row r="2804" spans="1:4" x14ac:dyDescent="0.25">
      <c r="A2804" s="279">
        <v>39088</v>
      </c>
      <c r="B2804" s="309" t="s">
        <v>405</v>
      </c>
      <c r="C2804" s="309" t="s">
        <v>199</v>
      </c>
      <c r="D2804">
        <v>0</v>
      </c>
    </row>
    <row r="2805" spans="1:4" x14ac:dyDescent="0.25">
      <c r="A2805" s="279">
        <v>39088</v>
      </c>
      <c r="B2805" s="309" t="s">
        <v>405</v>
      </c>
      <c r="C2805" s="309" t="s">
        <v>90</v>
      </c>
      <c r="D2805">
        <v>2139</v>
      </c>
    </row>
    <row r="2806" spans="1:4" x14ac:dyDescent="0.25">
      <c r="A2806" s="279">
        <v>39088</v>
      </c>
      <c r="B2806" s="309" t="s">
        <v>405</v>
      </c>
      <c r="C2806" s="309" t="s">
        <v>24</v>
      </c>
      <c r="D2806">
        <v>0</v>
      </c>
    </row>
    <row r="2807" spans="1:4" x14ac:dyDescent="0.25">
      <c r="A2807" s="279">
        <v>39088</v>
      </c>
      <c r="B2807" s="309" t="s">
        <v>405</v>
      </c>
      <c r="C2807" s="309" t="s">
        <v>91</v>
      </c>
      <c r="D2807">
        <v>0</v>
      </c>
    </row>
    <row r="2808" spans="1:4" x14ac:dyDescent="0.25">
      <c r="A2808" s="279">
        <v>39088</v>
      </c>
      <c r="B2808" s="309" t="s">
        <v>405</v>
      </c>
      <c r="C2808" s="309" t="s">
        <v>118</v>
      </c>
      <c r="D2808">
        <v>0</v>
      </c>
    </row>
    <row r="2809" spans="1:4" x14ac:dyDescent="0.25">
      <c r="A2809" s="279">
        <v>39088</v>
      </c>
      <c r="B2809" s="309" t="s">
        <v>405</v>
      </c>
      <c r="C2809" s="309" t="s">
        <v>407</v>
      </c>
      <c r="D2809">
        <v>3672729.1</v>
      </c>
    </row>
    <row r="2810" spans="1:4" x14ac:dyDescent="0.25">
      <c r="A2810" s="279">
        <v>39088</v>
      </c>
      <c r="B2810" s="309" t="s">
        <v>405</v>
      </c>
      <c r="C2810" s="309" t="s">
        <v>408</v>
      </c>
      <c r="D2810">
        <v>1007</v>
      </c>
    </row>
    <row r="2811" spans="1:4" x14ac:dyDescent="0.25">
      <c r="A2811" s="279">
        <v>39088</v>
      </c>
      <c r="B2811" s="309" t="s">
        <v>405</v>
      </c>
      <c r="C2811" s="309" t="s">
        <v>409</v>
      </c>
      <c r="D2811">
        <v>1058</v>
      </c>
    </row>
    <row r="2812" spans="1:4" x14ac:dyDescent="0.25">
      <c r="A2812" s="279">
        <v>39088</v>
      </c>
      <c r="B2812" s="309" t="s">
        <v>405</v>
      </c>
      <c r="C2812" s="309" t="s">
        <v>410</v>
      </c>
      <c r="D2812">
        <v>1031</v>
      </c>
    </row>
    <row r="2813" spans="1:4" x14ac:dyDescent="0.25">
      <c r="A2813" s="279">
        <v>39088</v>
      </c>
      <c r="B2813" s="309" t="s">
        <v>411</v>
      </c>
      <c r="C2813" s="309" t="s">
        <v>406</v>
      </c>
      <c r="D2813">
        <v>220886</v>
      </c>
    </row>
    <row r="2814" spans="1:4" x14ac:dyDescent="0.25">
      <c r="A2814" s="279">
        <v>39088</v>
      </c>
      <c r="B2814" s="309" t="s">
        <v>411</v>
      </c>
      <c r="C2814" s="309" t="s">
        <v>198</v>
      </c>
      <c r="D2814">
        <v>0</v>
      </c>
    </row>
    <row r="2815" spans="1:4" x14ac:dyDescent="0.25">
      <c r="A2815" s="279">
        <v>39088</v>
      </c>
      <c r="B2815" s="309" t="s">
        <v>411</v>
      </c>
      <c r="C2815" s="309" t="s">
        <v>199</v>
      </c>
      <c r="D2815">
        <v>0</v>
      </c>
    </row>
    <row r="2816" spans="1:4" x14ac:dyDescent="0.25">
      <c r="A2816" s="279">
        <v>39088</v>
      </c>
      <c r="B2816" s="309" t="s">
        <v>411</v>
      </c>
      <c r="C2816" s="309" t="s">
        <v>90</v>
      </c>
      <c r="D2816">
        <v>62</v>
      </c>
    </row>
    <row r="2817" spans="1:4" x14ac:dyDescent="0.25">
      <c r="A2817" s="279">
        <v>39088</v>
      </c>
      <c r="B2817" s="309" t="s">
        <v>411</v>
      </c>
      <c r="C2817" s="309" t="s">
        <v>24</v>
      </c>
      <c r="D2817">
        <v>0</v>
      </c>
    </row>
    <row r="2818" spans="1:4" x14ac:dyDescent="0.25">
      <c r="A2818" s="279">
        <v>39088</v>
      </c>
      <c r="B2818" s="309" t="s">
        <v>411</v>
      </c>
      <c r="C2818" s="309" t="s">
        <v>91</v>
      </c>
      <c r="D2818">
        <v>0</v>
      </c>
    </row>
    <row r="2819" spans="1:4" x14ac:dyDescent="0.25">
      <c r="A2819" s="279">
        <v>39088</v>
      </c>
      <c r="B2819" s="309" t="s">
        <v>411</v>
      </c>
      <c r="C2819" s="309" t="s">
        <v>118</v>
      </c>
      <c r="D2819">
        <v>0</v>
      </c>
    </row>
    <row r="2820" spans="1:4" x14ac:dyDescent="0.25">
      <c r="A2820" s="279">
        <v>39088</v>
      </c>
      <c r="B2820" s="309" t="s">
        <v>411</v>
      </c>
      <c r="C2820" s="309" t="s">
        <v>407</v>
      </c>
      <c r="D2820">
        <v>220824</v>
      </c>
    </row>
    <row r="2821" spans="1:4" x14ac:dyDescent="0.25">
      <c r="A2821" s="279">
        <v>39088</v>
      </c>
      <c r="B2821" s="309" t="s">
        <v>411</v>
      </c>
      <c r="C2821" s="309" t="s">
        <v>412</v>
      </c>
      <c r="D2821">
        <v>1007</v>
      </c>
    </row>
    <row r="2822" spans="1:4" x14ac:dyDescent="0.25">
      <c r="A2822" s="279">
        <v>39088</v>
      </c>
      <c r="B2822" s="309" t="s">
        <v>411</v>
      </c>
      <c r="C2822" s="309" t="s">
        <v>409</v>
      </c>
      <c r="D2822">
        <v>1049</v>
      </c>
    </row>
    <row r="2823" spans="1:4" x14ac:dyDescent="0.25">
      <c r="A2823" s="279">
        <v>39089</v>
      </c>
      <c r="B2823" s="309" t="s">
        <v>405</v>
      </c>
      <c r="C2823" s="309" t="s">
        <v>406</v>
      </c>
      <c r="D2823">
        <v>3672729.1</v>
      </c>
    </row>
    <row r="2824" spans="1:4" x14ac:dyDescent="0.25">
      <c r="A2824" s="279">
        <v>39089</v>
      </c>
      <c r="B2824" s="309" t="s">
        <v>405</v>
      </c>
      <c r="C2824" s="309" t="s">
        <v>89</v>
      </c>
      <c r="D2824">
        <v>0</v>
      </c>
    </row>
    <row r="2825" spans="1:4" x14ac:dyDescent="0.25">
      <c r="A2825" s="279">
        <v>39089</v>
      </c>
      <c r="B2825" s="309" t="s">
        <v>405</v>
      </c>
      <c r="C2825" s="309" t="s">
        <v>198</v>
      </c>
      <c r="D2825">
        <v>0</v>
      </c>
    </row>
    <row r="2826" spans="1:4" x14ac:dyDescent="0.25">
      <c r="A2826" s="279">
        <v>39089</v>
      </c>
      <c r="B2826" s="309" t="s">
        <v>405</v>
      </c>
      <c r="C2826" s="309" t="s">
        <v>199</v>
      </c>
      <c r="D2826">
        <v>0</v>
      </c>
    </row>
    <row r="2827" spans="1:4" x14ac:dyDescent="0.25">
      <c r="A2827" s="279">
        <v>39089</v>
      </c>
      <c r="B2827" s="309" t="s">
        <v>405</v>
      </c>
      <c r="C2827" s="309" t="s">
        <v>90</v>
      </c>
      <c r="D2827">
        <v>1604</v>
      </c>
    </row>
    <row r="2828" spans="1:4" x14ac:dyDescent="0.25">
      <c r="A2828" s="279">
        <v>39089</v>
      </c>
      <c r="B2828" s="309" t="s">
        <v>405</v>
      </c>
      <c r="C2828" s="309" t="s">
        <v>24</v>
      </c>
      <c r="D2828">
        <v>0</v>
      </c>
    </row>
    <row r="2829" spans="1:4" x14ac:dyDescent="0.25">
      <c r="A2829" s="279">
        <v>39089</v>
      </c>
      <c r="B2829" s="309" t="s">
        <v>405</v>
      </c>
      <c r="C2829" s="309" t="s">
        <v>91</v>
      </c>
      <c r="D2829">
        <v>0</v>
      </c>
    </row>
    <row r="2830" spans="1:4" x14ac:dyDescent="0.25">
      <c r="A2830" s="279">
        <v>39089</v>
      </c>
      <c r="B2830" s="309" t="s">
        <v>405</v>
      </c>
      <c r="C2830" s="309" t="s">
        <v>118</v>
      </c>
      <c r="D2830">
        <v>0</v>
      </c>
    </row>
    <row r="2831" spans="1:4" x14ac:dyDescent="0.25">
      <c r="A2831" s="279">
        <v>39089</v>
      </c>
      <c r="B2831" s="309" t="s">
        <v>405</v>
      </c>
      <c r="C2831" s="309" t="s">
        <v>407</v>
      </c>
      <c r="D2831">
        <v>3671125.1</v>
      </c>
    </row>
    <row r="2832" spans="1:4" x14ac:dyDescent="0.25">
      <c r="A2832" s="279">
        <v>39089</v>
      </c>
      <c r="B2832" s="309" t="s">
        <v>405</v>
      </c>
      <c r="C2832" s="309" t="s">
        <v>408</v>
      </c>
      <c r="D2832">
        <v>1007</v>
      </c>
    </row>
    <row r="2833" spans="1:4" x14ac:dyDescent="0.25">
      <c r="A2833" s="279">
        <v>39089</v>
      </c>
      <c r="B2833" s="309" t="s">
        <v>405</v>
      </c>
      <c r="C2833" s="309" t="s">
        <v>409</v>
      </c>
      <c r="D2833">
        <v>1058</v>
      </c>
    </row>
    <row r="2834" spans="1:4" x14ac:dyDescent="0.25">
      <c r="A2834" s="279">
        <v>39089</v>
      </c>
      <c r="B2834" s="309" t="s">
        <v>405</v>
      </c>
      <c r="C2834" s="309" t="s">
        <v>410</v>
      </c>
      <c r="D2834">
        <v>1030</v>
      </c>
    </row>
    <row r="2835" spans="1:4" x14ac:dyDescent="0.25">
      <c r="A2835" s="279">
        <v>39089</v>
      </c>
      <c r="B2835" s="309" t="s">
        <v>411</v>
      </c>
      <c r="C2835" s="309" t="s">
        <v>406</v>
      </c>
      <c r="D2835">
        <v>220824</v>
      </c>
    </row>
    <row r="2836" spans="1:4" x14ac:dyDescent="0.25">
      <c r="A2836" s="279">
        <v>39089</v>
      </c>
      <c r="B2836" s="309" t="s">
        <v>411</v>
      </c>
      <c r="C2836" s="309" t="s">
        <v>198</v>
      </c>
      <c r="D2836">
        <v>0</v>
      </c>
    </row>
    <row r="2837" spans="1:4" x14ac:dyDescent="0.25">
      <c r="A2837" s="279">
        <v>39089</v>
      </c>
      <c r="B2837" s="309" t="s">
        <v>411</v>
      </c>
      <c r="C2837" s="309" t="s">
        <v>199</v>
      </c>
      <c r="D2837">
        <v>0</v>
      </c>
    </row>
    <row r="2838" spans="1:4" x14ac:dyDescent="0.25">
      <c r="A2838" s="279">
        <v>39089</v>
      </c>
      <c r="B2838" s="309" t="s">
        <v>411</v>
      </c>
      <c r="C2838" s="309" t="s">
        <v>90</v>
      </c>
      <c r="D2838">
        <v>156</v>
      </c>
    </row>
    <row r="2839" spans="1:4" x14ac:dyDescent="0.25">
      <c r="A2839" s="279">
        <v>39089</v>
      </c>
      <c r="B2839" s="309" t="s">
        <v>411</v>
      </c>
      <c r="C2839" s="309" t="s">
        <v>24</v>
      </c>
      <c r="D2839">
        <v>0</v>
      </c>
    </row>
    <row r="2840" spans="1:4" x14ac:dyDescent="0.25">
      <c r="A2840" s="279">
        <v>39089</v>
      </c>
      <c r="B2840" s="309" t="s">
        <v>411</v>
      </c>
      <c r="C2840" s="309" t="s">
        <v>91</v>
      </c>
      <c r="D2840">
        <v>0</v>
      </c>
    </row>
    <row r="2841" spans="1:4" x14ac:dyDescent="0.25">
      <c r="A2841" s="279">
        <v>39089</v>
      </c>
      <c r="B2841" s="309" t="s">
        <v>411</v>
      </c>
      <c r="C2841" s="309" t="s">
        <v>118</v>
      </c>
      <c r="D2841">
        <v>0</v>
      </c>
    </row>
    <row r="2842" spans="1:4" x14ac:dyDescent="0.25">
      <c r="A2842" s="279">
        <v>39089</v>
      </c>
      <c r="B2842" s="309" t="s">
        <v>411</v>
      </c>
      <c r="C2842" s="309" t="s">
        <v>407</v>
      </c>
      <c r="D2842">
        <v>220668</v>
      </c>
    </row>
    <row r="2843" spans="1:4" x14ac:dyDescent="0.25">
      <c r="A2843" s="279">
        <v>39089</v>
      </c>
      <c r="B2843" s="309" t="s">
        <v>411</v>
      </c>
      <c r="C2843" s="309" t="s">
        <v>412</v>
      </c>
      <c r="D2843">
        <v>1007</v>
      </c>
    </row>
    <row r="2844" spans="1:4" x14ac:dyDescent="0.25">
      <c r="A2844" s="279">
        <v>39089</v>
      </c>
      <c r="B2844" s="309" t="s">
        <v>411</v>
      </c>
      <c r="C2844" s="309" t="s">
        <v>409</v>
      </c>
      <c r="D2844">
        <v>1049</v>
      </c>
    </row>
    <row r="2845" spans="1:4" x14ac:dyDescent="0.25">
      <c r="A2845" s="279">
        <v>39090</v>
      </c>
      <c r="B2845" s="309" t="s">
        <v>405</v>
      </c>
      <c r="C2845" s="309" t="s">
        <v>406</v>
      </c>
      <c r="D2845">
        <v>3671125.1</v>
      </c>
    </row>
    <row r="2846" spans="1:4" x14ac:dyDescent="0.25">
      <c r="A2846" s="279">
        <v>39090</v>
      </c>
      <c r="B2846" s="309" t="s">
        <v>405</v>
      </c>
      <c r="C2846" s="309" t="s">
        <v>89</v>
      </c>
      <c r="D2846">
        <v>0</v>
      </c>
    </row>
    <row r="2847" spans="1:4" x14ac:dyDescent="0.25">
      <c r="A2847" s="279">
        <v>39090</v>
      </c>
      <c r="B2847" s="309" t="s">
        <v>405</v>
      </c>
      <c r="C2847" s="309" t="s">
        <v>198</v>
      </c>
      <c r="D2847">
        <v>0</v>
      </c>
    </row>
    <row r="2848" spans="1:4" x14ac:dyDescent="0.25">
      <c r="A2848" s="279">
        <v>39090</v>
      </c>
      <c r="B2848" s="309" t="s">
        <v>405</v>
      </c>
      <c r="C2848" s="309" t="s">
        <v>199</v>
      </c>
      <c r="D2848">
        <v>0</v>
      </c>
    </row>
    <row r="2849" spans="1:4" x14ac:dyDescent="0.25">
      <c r="A2849" s="279">
        <v>39090</v>
      </c>
      <c r="B2849" s="309" t="s">
        <v>405</v>
      </c>
      <c r="C2849" s="309" t="s">
        <v>90</v>
      </c>
      <c r="D2849">
        <v>1869</v>
      </c>
    </row>
    <row r="2850" spans="1:4" x14ac:dyDescent="0.25">
      <c r="A2850" s="279">
        <v>39090</v>
      </c>
      <c r="B2850" s="309" t="s">
        <v>405</v>
      </c>
      <c r="C2850" s="309" t="s">
        <v>24</v>
      </c>
      <c r="D2850">
        <v>0</v>
      </c>
    </row>
    <row r="2851" spans="1:4" x14ac:dyDescent="0.25">
      <c r="A2851" s="279">
        <v>39090</v>
      </c>
      <c r="B2851" s="309" t="s">
        <v>405</v>
      </c>
      <c r="C2851" s="309" t="s">
        <v>91</v>
      </c>
      <c r="D2851">
        <v>0</v>
      </c>
    </row>
    <row r="2852" spans="1:4" x14ac:dyDescent="0.25">
      <c r="A2852" s="279">
        <v>39090</v>
      </c>
      <c r="B2852" s="309" t="s">
        <v>405</v>
      </c>
      <c r="C2852" s="309" t="s">
        <v>118</v>
      </c>
      <c r="D2852">
        <v>0</v>
      </c>
    </row>
    <row r="2853" spans="1:4" x14ac:dyDescent="0.25">
      <c r="A2853" s="279">
        <v>39090</v>
      </c>
      <c r="B2853" s="309" t="s">
        <v>405</v>
      </c>
      <c r="C2853" s="309" t="s">
        <v>407</v>
      </c>
      <c r="D2853">
        <v>3669256.1</v>
      </c>
    </row>
    <row r="2854" spans="1:4" x14ac:dyDescent="0.25">
      <c r="A2854" s="279">
        <v>39090</v>
      </c>
      <c r="B2854" s="309" t="s">
        <v>405</v>
      </c>
      <c r="C2854" s="309" t="s">
        <v>408</v>
      </c>
      <c r="D2854">
        <v>1007</v>
      </c>
    </row>
    <row r="2855" spans="1:4" x14ac:dyDescent="0.25">
      <c r="A2855" s="279">
        <v>39090</v>
      </c>
      <c r="B2855" s="309" t="s">
        <v>405</v>
      </c>
      <c r="C2855" s="309" t="s">
        <v>409</v>
      </c>
      <c r="D2855">
        <v>1058</v>
      </c>
    </row>
    <row r="2856" spans="1:4" x14ac:dyDescent="0.25">
      <c r="A2856" s="279">
        <v>39090</v>
      </c>
      <c r="B2856" s="309" t="s">
        <v>405</v>
      </c>
      <c r="C2856" s="309" t="s">
        <v>410</v>
      </c>
      <c r="D2856">
        <v>1029</v>
      </c>
    </row>
    <row r="2857" spans="1:4" x14ac:dyDescent="0.25">
      <c r="A2857" s="279">
        <v>39090</v>
      </c>
      <c r="B2857" s="309" t="s">
        <v>411</v>
      </c>
      <c r="C2857" s="309" t="s">
        <v>406</v>
      </c>
      <c r="D2857">
        <v>220668</v>
      </c>
    </row>
    <row r="2858" spans="1:4" x14ac:dyDescent="0.25">
      <c r="A2858" s="279">
        <v>39090</v>
      </c>
      <c r="B2858" s="309" t="s">
        <v>411</v>
      </c>
      <c r="C2858" s="309" t="s">
        <v>198</v>
      </c>
      <c r="D2858">
        <v>0</v>
      </c>
    </row>
    <row r="2859" spans="1:4" x14ac:dyDescent="0.25">
      <c r="A2859" s="279">
        <v>39090</v>
      </c>
      <c r="B2859" s="309" t="s">
        <v>411</v>
      </c>
      <c r="C2859" s="309" t="s">
        <v>199</v>
      </c>
      <c r="D2859">
        <v>0</v>
      </c>
    </row>
    <row r="2860" spans="1:4" x14ac:dyDescent="0.25">
      <c r="A2860" s="279">
        <v>39090</v>
      </c>
      <c r="B2860" s="309" t="s">
        <v>411</v>
      </c>
      <c r="C2860" s="309" t="s">
        <v>90</v>
      </c>
      <c r="D2860">
        <v>277</v>
      </c>
    </row>
    <row r="2861" spans="1:4" x14ac:dyDescent="0.25">
      <c r="A2861" s="279">
        <v>39090</v>
      </c>
      <c r="B2861" s="309" t="s">
        <v>411</v>
      </c>
      <c r="C2861" s="309" t="s">
        <v>24</v>
      </c>
      <c r="D2861">
        <v>0</v>
      </c>
    </row>
    <row r="2862" spans="1:4" x14ac:dyDescent="0.25">
      <c r="A2862" s="279">
        <v>39090</v>
      </c>
      <c r="B2862" s="309" t="s">
        <v>411</v>
      </c>
      <c r="C2862" s="309" t="s">
        <v>91</v>
      </c>
      <c r="D2862">
        <v>0</v>
      </c>
    </row>
    <row r="2863" spans="1:4" x14ac:dyDescent="0.25">
      <c r="A2863" s="279">
        <v>39090</v>
      </c>
      <c r="B2863" s="309" t="s">
        <v>411</v>
      </c>
      <c r="C2863" s="309" t="s">
        <v>118</v>
      </c>
      <c r="D2863">
        <v>0</v>
      </c>
    </row>
    <row r="2864" spans="1:4" x14ac:dyDescent="0.25">
      <c r="A2864" s="279">
        <v>39090</v>
      </c>
      <c r="B2864" s="309" t="s">
        <v>411</v>
      </c>
      <c r="C2864" s="309" t="s">
        <v>407</v>
      </c>
      <c r="D2864">
        <v>220391</v>
      </c>
    </row>
    <row r="2865" spans="1:4" x14ac:dyDescent="0.25">
      <c r="A2865" s="279">
        <v>39090</v>
      </c>
      <c r="B2865" s="309" t="s">
        <v>411</v>
      </c>
      <c r="C2865" s="309" t="s">
        <v>412</v>
      </c>
      <c r="D2865">
        <v>1007</v>
      </c>
    </row>
    <row r="2866" spans="1:4" x14ac:dyDescent="0.25">
      <c r="A2866" s="279">
        <v>39090</v>
      </c>
      <c r="B2866" s="309" t="s">
        <v>411</v>
      </c>
      <c r="C2866" s="309" t="s">
        <v>409</v>
      </c>
      <c r="D2866">
        <v>1049</v>
      </c>
    </row>
    <row r="2867" spans="1:4" x14ac:dyDescent="0.25">
      <c r="A2867" s="279">
        <v>39091</v>
      </c>
      <c r="B2867" s="309" t="s">
        <v>405</v>
      </c>
      <c r="C2867" s="309" t="s">
        <v>406</v>
      </c>
      <c r="D2867">
        <v>3669256.1</v>
      </c>
    </row>
    <row r="2868" spans="1:4" x14ac:dyDescent="0.25">
      <c r="A2868" s="279">
        <v>39091</v>
      </c>
      <c r="B2868" s="309" t="s">
        <v>405</v>
      </c>
      <c r="C2868" s="309" t="s">
        <v>89</v>
      </c>
      <c r="D2868">
        <v>0</v>
      </c>
    </row>
    <row r="2869" spans="1:4" x14ac:dyDescent="0.25">
      <c r="A2869" s="279">
        <v>39091</v>
      </c>
      <c r="B2869" s="309" t="s">
        <v>405</v>
      </c>
      <c r="C2869" s="309" t="s">
        <v>198</v>
      </c>
      <c r="D2869">
        <v>0</v>
      </c>
    </row>
    <row r="2870" spans="1:4" x14ac:dyDescent="0.25">
      <c r="A2870" s="279">
        <v>39091</v>
      </c>
      <c r="B2870" s="309" t="s">
        <v>405</v>
      </c>
      <c r="C2870" s="309" t="s">
        <v>199</v>
      </c>
      <c r="D2870">
        <v>0</v>
      </c>
    </row>
    <row r="2871" spans="1:4" x14ac:dyDescent="0.25">
      <c r="A2871" s="279">
        <v>39091</v>
      </c>
      <c r="B2871" s="309" t="s">
        <v>405</v>
      </c>
      <c r="C2871" s="309" t="s">
        <v>90</v>
      </c>
      <c r="D2871">
        <v>3741</v>
      </c>
    </row>
    <row r="2872" spans="1:4" x14ac:dyDescent="0.25">
      <c r="A2872" s="279">
        <v>39091</v>
      </c>
      <c r="B2872" s="309" t="s">
        <v>405</v>
      </c>
      <c r="C2872" s="309" t="s">
        <v>24</v>
      </c>
      <c r="D2872">
        <v>0</v>
      </c>
    </row>
    <row r="2873" spans="1:4" x14ac:dyDescent="0.25">
      <c r="A2873" s="279">
        <v>39091</v>
      </c>
      <c r="B2873" s="309" t="s">
        <v>405</v>
      </c>
      <c r="C2873" s="309" t="s">
        <v>91</v>
      </c>
      <c r="D2873">
        <v>0</v>
      </c>
    </row>
    <row r="2874" spans="1:4" x14ac:dyDescent="0.25">
      <c r="A2874" s="279">
        <v>39091</v>
      </c>
      <c r="B2874" s="309" t="s">
        <v>405</v>
      </c>
      <c r="C2874" s="309" t="s">
        <v>118</v>
      </c>
      <c r="D2874">
        <v>0</v>
      </c>
    </row>
    <row r="2875" spans="1:4" x14ac:dyDescent="0.25">
      <c r="A2875" s="279">
        <v>39091</v>
      </c>
      <c r="B2875" s="309" t="s">
        <v>405</v>
      </c>
      <c r="C2875" s="309" t="s">
        <v>407</v>
      </c>
      <c r="D2875">
        <v>3665515.1</v>
      </c>
    </row>
    <row r="2876" spans="1:4" x14ac:dyDescent="0.25">
      <c r="A2876" s="279">
        <v>39091</v>
      </c>
      <c r="B2876" s="309" t="s">
        <v>405</v>
      </c>
      <c r="C2876" s="309" t="s">
        <v>408</v>
      </c>
      <c r="D2876">
        <v>1007</v>
      </c>
    </row>
    <row r="2877" spans="1:4" x14ac:dyDescent="0.25">
      <c r="A2877" s="279">
        <v>39091</v>
      </c>
      <c r="B2877" s="309" t="s">
        <v>405</v>
      </c>
      <c r="C2877" s="309" t="s">
        <v>409</v>
      </c>
      <c r="D2877">
        <v>1058</v>
      </c>
    </row>
    <row r="2878" spans="1:4" x14ac:dyDescent="0.25">
      <c r="A2878" s="279">
        <v>39091</v>
      </c>
      <c r="B2878" s="309" t="s">
        <v>405</v>
      </c>
      <c r="C2878" s="309" t="s">
        <v>410</v>
      </c>
      <c r="D2878">
        <v>1039</v>
      </c>
    </row>
    <row r="2879" spans="1:4" x14ac:dyDescent="0.25">
      <c r="A2879" s="279">
        <v>39091</v>
      </c>
      <c r="B2879" s="309" t="s">
        <v>411</v>
      </c>
      <c r="C2879" s="309" t="s">
        <v>406</v>
      </c>
      <c r="D2879">
        <v>220391</v>
      </c>
    </row>
    <row r="2880" spans="1:4" x14ac:dyDescent="0.25">
      <c r="A2880" s="279">
        <v>39091</v>
      </c>
      <c r="B2880" s="309" t="s">
        <v>411</v>
      </c>
      <c r="C2880" s="309" t="s">
        <v>198</v>
      </c>
      <c r="D2880">
        <v>0</v>
      </c>
    </row>
    <row r="2881" spans="1:4" x14ac:dyDescent="0.25">
      <c r="A2881" s="279">
        <v>39091</v>
      </c>
      <c r="B2881" s="309" t="s">
        <v>411</v>
      </c>
      <c r="C2881" s="309" t="s">
        <v>199</v>
      </c>
      <c r="D2881">
        <v>0</v>
      </c>
    </row>
    <row r="2882" spans="1:4" x14ac:dyDescent="0.25">
      <c r="A2882" s="279">
        <v>39091</v>
      </c>
      <c r="B2882" s="309" t="s">
        <v>411</v>
      </c>
      <c r="C2882" s="309" t="s">
        <v>90</v>
      </c>
      <c r="D2882">
        <v>277</v>
      </c>
    </row>
    <row r="2883" spans="1:4" x14ac:dyDescent="0.25">
      <c r="A2883" s="279">
        <v>39091</v>
      </c>
      <c r="B2883" s="309" t="s">
        <v>411</v>
      </c>
      <c r="C2883" s="309" t="s">
        <v>24</v>
      </c>
      <c r="D2883">
        <v>0</v>
      </c>
    </row>
    <row r="2884" spans="1:4" x14ac:dyDescent="0.25">
      <c r="A2884" s="279">
        <v>39091</v>
      </c>
      <c r="B2884" s="309" t="s">
        <v>411</v>
      </c>
      <c r="C2884" s="309" t="s">
        <v>91</v>
      </c>
      <c r="D2884">
        <v>0</v>
      </c>
    </row>
    <row r="2885" spans="1:4" x14ac:dyDescent="0.25">
      <c r="A2885" s="279">
        <v>39091</v>
      </c>
      <c r="B2885" s="309" t="s">
        <v>411</v>
      </c>
      <c r="C2885" s="309" t="s">
        <v>118</v>
      </c>
      <c r="D2885">
        <v>0</v>
      </c>
    </row>
    <row r="2886" spans="1:4" x14ac:dyDescent="0.25">
      <c r="A2886" s="279">
        <v>39091</v>
      </c>
      <c r="B2886" s="309" t="s">
        <v>411</v>
      </c>
      <c r="C2886" s="309" t="s">
        <v>407</v>
      </c>
      <c r="D2886">
        <v>220114</v>
      </c>
    </row>
    <row r="2887" spans="1:4" x14ac:dyDescent="0.25">
      <c r="A2887" s="279">
        <v>39091</v>
      </c>
      <c r="B2887" s="309" t="s">
        <v>411</v>
      </c>
      <c r="C2887" s="309" t="s">
        <v>412</v>
      </c>
      <c r="D2887">
        <v>1007</v>
      </c>
    </row>
    <row r="2888" spans="1:4" x14ac:dyDescent="0.25">
      <c r="A2888" s="279">
        <v>39091</v>
      </c>
      <c r="B2888" s="309" t="s">
        <v>411</v>
      </c>
      <c r="C2888" s="309" t="s">
        <v>409</v>
      </c>
      <c r="D2888">
        <v>1049</v>
      </c>
    </row>
    <row r="2889" spans="1:4" x14ac:dyDescent="0.25">
      <c r="A2889" s="279">
        <v>39092</v>
      </c>
      <c r="B2889" s="309" t="s">
        <v>405</v>
      </c>
      <c r="C2889" s="309" t="s">
        <v>406</v>
      </c>
      <c r="D2889">
        <v>3665515.1</v>
      </c>
    </row>
    <row r="2890" spans="1:4" x14ac:dyDescent="0.25">
      <c r="A2890" s="279">
        <v>39092</v>
      </c>
      <c r="B2890" s="309" t="s">
        <v>405</v>
      </c>
      <c r="C2890" s="309" t="s">
        <v>89</v>
      </c>
      <c r="D2890">
        <v>0</v>
      </c>
    </row>
    <row r="2891" spans="1:4" x14ac:dyDescent="0.25">
      <c r="A2891" s="279">
        <v>39092</v>
      </c>
      <c r="B2891" s="309" t="s">
        <v>405</v>
      </c>
      <c r="C2891" s="309" t="s">
        <v>198</v>
      </c>
      <c r="D2891">
        <v>0</v>
      </c>
    </row>
    <row r="2892" spans="1:4" x14ac:dyDescent="0.25">
      <c r="A2892" s="279">
        <v>39092</v>
      </c>
      <c r="B2892" s="309" t="s">
        <v>405</v>
      </c>
      <c r="C2892" s="309" t="s">
        <v>199</v>
      </c>
      <c r="D2892">
        <v>0</v>
      </c>
    </row>
    <row r="2893" spans="1:4" x14ac:dyDescent="0.25">
      <c r="A2893" s="279">
        <v>39092</v>
      </c>
      <c r="B2893" s="309" t="s">
        <v>405</v>
      </c>
      <c r="C2893" s="309" t="s">
        <v>90</v>
      </c>
      <c r="D2893">
        <v>534</v>
      </c>
    </row>
    <row r="2894" spans="1:4" x14ac:dyDescent="0.25">
      <c r="A2894" s="279">
        <v>39092</v>
      </c>
      <c r="B2894" s="309" t="s">
        <v>405</v>
      </c>
      <c r="C2894" s="309" t="s">
        <v>24</v>
      </c>
      <c r="D2894">
        <v>0</v>
      </c>
    </row>
    <row r="2895" spans="1:4" x14ac:dyDescent="0.25">
      <c r="A2895" s="279">
        <v>39092</v>
      </c>
      <c r="B2895" s="309" t="s">
        <v>405</v>
      </c>
      <c r="C2895" s="309" t="s">
        <v>91</v>
      </c>
      <c r="D2895">
        <v>0</v>
      </c>
    </row>
    <row r="2896" spans="1:4" x14ac:dyDescent="0.25">
      <c r="A2896" s="279">
        <v>39092</v>
      </c>
      <c r="B2896" s="309" t="s">
        <v>405</v>
      </c>
      <c r="C2896" s="309" t="s">
        <v>118</v>
      </c>
      <c r="D2896">
        <v>0</v>
      </c>
    </row>
    <row r="2897" spans="1:4" x14ac:dyDescent="0.25">
      <c r="A2897" s="279">
        <v>39092</v>
      </c>
      <c r="B2897" s="309" t="s">
        <v>405</v>
      </c>
      <c r="C2897" s="309" t="s">
        <v>407</v>
      </c>
      <c r="D2897">
        <v>3664981.1</v>
      </c>
    </row>
    <row r="2898" spans="1:4" x14ac:dyDescent="0.25">
      <c r="A2898" s="279">
        <v>39092</v>
      </c>
      <c r="B2898" s="309" t="s">
        <v>405</v>
      </c>
      <c r="C2898" s="309" t="s">
        <v>408</v>
      </c>
      <c r="D2898">
        <v>1007</v>
      </c>
    </row>
    <row r="2899" spans="1:4" x14ac:dyDescent="0.25">
      <c r="A2899" s="279">
        <v>39092</v>
      </c>
      <c r="B2899" s="309" t="s">
        <v>405</v>
      </c>
      <c r="C2899" s="309" t="s">
        <v>409</v>
      </c>
      <c r="D2899">
        <v>1058</v>
      </c>
    </row>
    <row r="2900" spans="1:4" x14ac:dyDescent="0.25">
      <c r="A2900" s="279">
        <v>39092</v>
      </c>
      <c r="B2900" s="309" t="s">
        <v>405</v>
      </c>
      <c r="C2900" s="309" t="s">
        <v>410</v>
      </c>
      <c r="D2900">
        <v>1028</v>
      </c>
    </row>
    <row r="2901" spans="1:4" x14ac:dyDescent="0.25">
      <c r="A2901" s="279">
        <v>39092</v>
      </c>
      <c r="B2901" s="309" t="s">
        <v>411</v>
      </c>
      <c r="C2901" s="309" t="s">
        <v>406</v>
      </c>
      <c r="D2901">
        <v>220114</v>
      </c>
    </row>
    <row r="2902" spans="1:4" x14ac:dyDescent="0.25">
      <c r="A2902" s="279">
        <v>39092</v>
      </c>
      <c r="B2902" s="309" t="s">
        <v>411</v>
      </c>
      <c r="C2902" s="309" t="s">
        <v>198</v>
      </c>
      <c r="D2902">
        <v>0</v>
      </c>
    </row>
    <row r="2903" spans="1:4" x14ac:dyDescent="0.25">
      <c r="A2903" s="279">
        <v>39092</v>
      </c>
      <c r="B2903" s="309" t="s">
        <v>411</v>
      </c>
      <c r="C2903" s="309" t="s">
        <v>199</v>
      </c>
      <c r="D2903">
        <v>0</v>
      </c>
    </row>
    <row r="2904" spans="1:4" x14ac:dyDescent="0.25">
      <c r="A2904" s="279">
        <v>39092</v>
      </c>
      <c r="B2904" s="309" t="s">
        <v>411</v>
      </c>
      <c r="C2904" s="309" t="s">
        <v>90</v>
      </c>
      <c r="D2904">
        <v>64</v>
      </c>
    </row>
    <row r="2905" spans="1:4" x14ac:dyDescent="0.25">
      <c r="A2905" s="279">
        <v>39092</v>
      </c>
      <c r="B2905" s="309" t="s">
        <v>411</v>
      </c>
      <c r="C2905" s="309" t="s">
        <v>24</v>
      </c>
      <c r="D2905">
        <v>0</v>
      </c>
    </row>
    <row r="2906" spans="1:4" x14ac:dyDescent="0.25">
      <c r="A2906" s="279">
        <v>39092</v>
      </c>
      <c r="B2906" s="309" t="s">
        <v>411</v>
      </c>
      <c r="C2906" s="309" t="s">
        <v>91</v>
      </c>
      <c r="D2906">
        <v>0</v>
      </c>
    </row>
    <row r="2907" spans="1:4" x14ac:dyDescent="0.25">
      <c r="A2907" s="279">
        <v>39092</v>
      </c>
      <c r="B2907" s="309" t="s">
        <v>411</v>
      </c>
      <c r="C2907" s="309" t="s">
        <v>118</v>
      </c>
      <c r="D2907">
        <v>0</v>
      </c>
    </row>
    <row r="2908" spans="1:4" x14ac:dyDescent="0.25">
      <c r="A2908" s="279">
        <v>39092</v>
      </c>
      <c r="B2908" s="309" t="s">
        <v>411</v>
      </c>
      <c r="C2908" s="309" t="s">
        <v>407</v>
      </c>
      <c r="D2908">
        <v>220050</v>
      </c>
    </row>
    <row r="2909" spans="1:4" x14ac:dyDescent="0.25">
      <c r="A2909" s="279">
        <v>39092</v>
      </c>
      <c r="B2909" s="309" t="s">
        <v>411</v>
      </c>
      <c r="C2909" s="309" t="s">
        <v>412</v>
      </c>
      <c r="D2909">
        <v>1007</v>
      </c>
    </row>
    <row r="2910" spans="1:4" x14ac:dyDescent="0.25">
      <c r="A2910" s="279">
        <v>39092</v>
      </c>
      <c r="B2910" s="309" t="s">
        <v>411</v>
      </c>
      <c r="C2910" s="309" t="s">
        <v>409</v>
      </c>
      <c r="D2910">
        <v>1049</v>
      </c>
    </row>
    <row r="2911" spans="1:4" x14ac:dyDescent="0.25">
      <c r="A2911" s="279">
        <v>39093</v>
      </c>
      <c r="B2911" s="309" t="s">
        <v>405</v>
      </c>
      <c r="C2911" s="309" t="s">
        <v>406</v>
      </c>
      <c r="D2911">
        <v>3664981.1</v>
      </c>
    </row>
    <row r="2912" spans="1:4" x14ac:dyDescent="0.25">
      <c r="A2912" s="279">
        <v>39093</v>
      </c>
      <c r="B2912" s="309" t="s">
        <v>405</v>
      </c>
      <c r="C2912" s="309" t="s">
        <v>89</v>
      </c>
      <c r="D2912">
        <v>0</v>
      </c>
    </row>
    <row r="2913" spans="1:4" x14ac:dyDescent="0.25">
      <c r="A2913" s="279">
        <v>39093</v>
      </c>
      <c r="B2913" s="309" t="s">
        <v>405</v>
      </c>
      <c r="C2913" s="309" t="s">
        <v>198</v>
      </c>
      <c r="D2913">
        <v>0</v>
      </c>
    </row>
    <row r="2914" spans="1:4" x14ac:dyDescent="0.25">
      <c r="A2914" s="279">
        <v>39093</v>
      </c>
      <c r="B2914" s="309" t="s">
        <v>405</v>
      </c>
      <c r="C2914" s="309" t="s">
        <v>199</v>
      </c>
      <c r="D2914">
        <v>0</v>
      </c>
    </row>
    <row r="2915" spans="1:4" x14ac:dyDescent="0.25">
      <c r="A2915" s="279">
        <v>39093</v>
      </c>
      <c r="B2915" s="309" t="s">
        <v>405</v>
      </c>
      <c r="C2915" s="309" t="s">
        <v>90</v>
      </c>
      <c r="D2915">
        <v>356</v>
      </c>
    </row>
    <row r="2916" spans="1:4" x14ac:dyDescent="0.25">
      <c r="A2916" s="279">
        <v>39093</v>
      </c>
      <c r="B2916" s="309" t="s">
        <v>405</v>
      </c>
      <c r="C2916" s="309" t="s">
        <v>24</v>
      </c>
      <c r="D2916">
        <v>0</v>
      </c>
    </row>
    <row r="2917" spans="1:4" x14ac:dyDescent="0.25">
      <c r="A2917" s="279">
        <v>39093</v>
      </c>
      <c r="B2917" s="309" t="s">
        <v>405</v>
      </c>
      <c r="C2917" s="309" t="s">
        <v>91</v>
      </c>
      <c r="D2917">
        <v>0</v>
      </c>
    </row>
    <row r="2918" spans="1:4" x14ac:dyDescent="0.25">
      <c r="A2918" s="279">
        <v>39093</v>
      </c>
      <c r="B2918" s="309" t="s">
        <v>405</v>
      </c>
      <c r="C2918" s="309" t="s">
        <v>118</v>
      </c>
      <c r="D2918">
        <v>0</v>
      </c>
    </row>
    <row r="2919" spans="1:4" x14ac:dyDescent="0.25">
      <c r="A2919" s="279">
        <v>39093</v>
      </c>
      <c r="B2919" s="309" t="s">
        <v>405</v>
      </c>
      <c r="C2919" s="309" t="s">
        <v>407</v>
      </c>
      <c r="D2919">
        <v>3664625.1</v>
      </c>
    </row>
    <row r="2920" spans="1:4" x14ac:dyDescent="0.25">
      <c r="A2920" s="279">
        <v>39093</v>
      </c>
      <c r="B2920" s="309" t="s">
        <v>405</v>
      </c>
      <c r="C2920" s="309" t="s">
        <v>408</v>
      </c>
      <c r="D2920">
        <v>1007</v>
      </c>
    </row>
    <row r="2921" spans="1:4" x14ac:dyDescent="0.25">
      <c r="A2921" s="279">
        <v>39093</v>
      </c>
      <c r="B2921" s="309" t="s">
        <v>405</v>
      </c>
      <c r="C2921" s="309" t="s">
        <v>409</v>
      </c>
      <c r="D2921">
        <v>1058</v>
      </c>
    </row>
    <row r="2922" spans="1:4" x14ac:dyDescent="0.25">
      <c r="A2922" s="279">
        <v>39093</v>
      </c>
      <c r="B2922" s="309" t="s">
        <v>405</v>
      </c>
      <c r="C2922" s="309" t="s">
        <v>410</v>
      </c>
      <c r="D2922">
        <v>1032</v>
      </c>
    </row>
    <row r="2923" spans="1:4" x14ac:dyDescent="0.25">
      <c r="A2923" s="279">
        <v>39093</v>
      </c>
      <c r="B2923" s="309" t="s">
        <v>411</v>
      </c>
      <c r="C2923" s="309" t="s">
        <v>406</v>
      </c>
      <c r="D2923">
        <v>220050</v>
      </c>
    </row>
    <row r="2924" spans="1:4" x14ac:dyDescent="0.25">
      <c r="A2924" s="279">
        <v>39093</v>
      </c>
      <c r="B2924" s="309" t="s">
        <v>411</v>
      </c>
      <c r="C2924" s="309" t="s">
        <v>198</v>
      </c>
      <c r="D2924">
        <v>0</v>
      </c>
    </row>
    <row r="2925" spans="1:4" x14ac:dyDescent="0.25">
      <c r="A2925" s="279">
        <v>39093</v>
      </c>
      <c r="B2925" s="309" t="s">
        <v>411</v>
      </c>
      <c r="C2925" s="309" t="s">
        <v>199</v>
      </c>
      <c r="D2925">
        <v>0</v>
      </c>
    </row>
    <row r="2926" spans="1:4" x14ac:dyDescent="0.25">
      <c r="A2926" s="279">
        <v>39093</v>
      </c>
      <c r="B2926" s="309" t="s">
        <v>411</v>
      </c>
      <c r="C2926" s="309" t="s">
        <v>90</v>
      </c>
      <c r="D2926">
        <v>213</v>
      </c>
    </row>
    <row r="2927" spans="1:4" x14ac:dyDescent="0.25">
      <c r="A2927" s="279">
        <v>39093</v>
      </c>
      <c r="B2927" s="309" t="s">
        <v>411</v>
      </c>
      <c r="C2927" s="309" t="s">
        <v>24</v>
      </c>
      <c r="D2927">
        <v>0</v>
      </c>
    </row>
    <row r="2928" spans="1:4" x14ac:dyDescent="0.25">
      <c r="A2928" s="279">
        <v>39093</v>
      </c>
      <c r="B2928" s="309" t="s">
        <v>411</v>
      </c>
      <c r="C2928" s="309" t="s">
        <v>91</v>
      </c>
      <c r="D2928">
        <v>0</v>
      </c>
    </row>
    <row r="2929" spans="1:4" x14ac:dyDescent="0.25">
      <c r="A2929" s="279">
        <v>39093</v>
      </c>
      <c r="B2929" s="309" t="s">
        <v>411</v>
      </c>
      <c r="C2929" s="309" t="s">
        <v>118</v>
      </c>
      <c r="D2929">
        <v>0</v>
      </c>
    </row>
    <row r="2930" spans="1:4" x14ac:dyDescent="0.25">
      <c r="A2930" s="279">
        <v>39093</v>
      </c>
      <c r="B2930" s="309" t="s">
        <v>411</v>
      </c>
      <c r="C2930" s="309" t="s">
        <v>407</v>
      </c>
      <c r="D2930">
        <v>219837</v>
      </c>
    </row>
    <row r="2931" spans="1:4" x14ac:dyDescent="0.25">
      <c r="A2931" s="279">
        <v>39093</v>
      </c>
      <c r="B2931" s="309" t="s">
        <v>411</v>
      </c>
      <c r="C2931" s="309" t="s">
        <v>412</v>
      </c>
      <c r="D2931">
        <v>1007</v>
      </c>
    </row>
    <row r="2932" spans="1:4" x14ac:dyDescent="0.25">
      <c r="A2932" s="279">
        <v>39093</v>
      </c>
      <c r="B2932" s="309" t="s">
        <v>411</v>
      </c>
      <c r="C2932" s="309" t="s">
        <v>409</v>
      </c>
      <c r="D2932">
        <v>1049</v>
      </c>
    </row>
    <row r="2933" spans="1:4" x14ac:dyDescent="0.25">
      <c r="A2933" s="279">
        <v>39094</v>
      </c>
      <c r="B2933" s="309" t="s">
        <v>405</v>
      </c>
      <c r="C2933" s="309" t="s">
        <v>406</v>
      </c>
      <c r="D2933">
        <v>3664625.1</v>
      </c>
    </row>
    <row r="2934" spans="1:4" x14ac:dyDescent="0.25">
      <c r="A2934" s="279">
        <v>39094</v>
      </c>
      <c r="B2934" s="309" t="s">
        <v>405</v>
      </c>
      <c r="C2934" s="309" t="s">
        <v>89</v>
      </c>
      <c r="D2934">
        <v>0</v>
      </c>
    </row>
    <row r="2935" spans="1:4" x14ac:dyDescent="0.25">
      <c r="A2935" s="279">
        <v>39094</v>
      </c>
      <c r="B2935" s="309" t="s">
        <v>405</v>
      </c>
      <c r="C2935" s="309" t="s">
        <v>198</v>
      </c>
      <c r="D2935">
        <v>0</v>
      </c>
    </row>
    <row r="2936" spans="1:4" x14ac:dyDescent="0.25">
      <c r="A2936" s="279">
        <v>39094</v>
      </c>
      <c r="B2936" s="309" t="s">
        <v>405</v>
      </c>
      <c r="C2936" s="309" t="s">
        <v>199</v>
      </c>
      <c r="D2936">
        <v>0</v>
      </c>
    </row>
    <row r="2937" spans="1:4" x14ac:dyDescent="0.25">
      <c r="A2937" s="279">
        <v>39094</v>
      </c>
      <c r="B2937" s="309" t="s">
        <v>405</v>
      </c>
      <c r="C2937" s="309" t="s">
        <v>90</v>
      </c>
      <c r="D2937">
        <v>1782</v>
      </c>
    </row>
    <row r="2938" spans="1:4" x14ac:dyDescent="0.25">
      <c r="A2938" s="279">
        <v>39094</v>
      </c>
      <c r="B2938" s="309" t="s">
        <v>405</v>
      </c>
      <c r="C2938" s="309" t="s">
        <v>24</v>
      </c>
      <c r="D2938">
        <v>0</v>
      </c>
    </row>
    <row r="2939" spans="1:4" x14ac:dyDescent="0.25">
      <c r="A2939" s="279">
        <v>39094</v>
      </c>
      <c r="B2939" s="309" t="s">
        <v>405</v>
      </c>
      <c r="C2939" s="309" t="s">
        <v>91</v>
      </c>
      <c r="D2939">
        <v>0</v>
      </c>
    </row>
    <row r="2940" spans="1:4" x14ac:dyDescent="0.25">
      <c r="A2940" s="279">
        <v>39094</v>
      </c>
      <c r="B2940" s="309" t="s">
        <v>405</v>
      </c>
      <c r="C2940" s="309" t="s">
        <v>118</v>
      </c>
      <c r="D2940">
        <v>0</v>
      </c>
    </row>
    <row r="2941" spans="1:4" x14ac:dyDescent="0.25">
      <c r="A2941" s="279">
        <v>39094</v>
      </c>
      <c r="B2941" s="309" t="s">
        <v>405</v>
      </c>
      <c r="C2941" s="309" t="s">
        <v>407</v>
      </c>
      <c r="D2941">
        <v>3662843.1</v>
      </c>
    </row>
    <row r="2942" spans="1:4" x14ac:dyDescent="0.25">
      <c r="A2942" s="279">
        <v>39094</v>
      </c>
      <c r="B2942" s="309" t="s">
        <v>405</v>
      </c>
      <c r="C2942" s="309" t="s">
        <v>408</v>
      </c>
      <c r="D2942">
        <v>1007</v>
      </c>
    </row>
    <row r="2943" spans="1:4" x14ac:dyDescent="0.25">
      <c r="A2943" s="279">
        <v>39094</v>
      </c>
      <c r="B2943" s="309" t="s">
        <v>405</v>
      </c>
      <c r="C2943" s="309" t="s">
        <v>409</v>
      </c>
      <c r="D2943">
        <v>1058</v>
      </c>
    </row>
    <row r="2944" spans="1:4" x14ac:dyDescent="0.25">
      <c r="A2944" s="279">
        <v>39094</v>
      </c>
      <c r="B2944" s="309" t="s">
        <v>405</v>
      </c>
      <c r="C2944" s="309" t="s">
        <v>410</v>
      </c>
      <c r="D2944">
        <v>1034</v>
      </c>
    </row>
    <row r="2945" spans="1:4" x14ac:dyDescent="0.25">
      <c r="A2945" s="279">
        <v>39094</v>
      </c>
      <c r="B2945" s="309" t="s">
        <v>411</v>
      </c>
      <c r="C2945" s="309" t="s">
        <v>406</v>
      </c>
      <c r="D2945">
        <v>219837</v>
      </c>
    </row>
    <row r="2946" spans="1:4" x14ac:dyDescent="0.25">
      <c r="A2946" s="279">
        <v>39094</v>
      </c>
      <c r="B2946" s="309" t="s">
        <v>411</v>
      </c>
      <c r="C2946" s="309" t="s">
        <v>198</v>
      </c>
      <c r="D2946">
        <v>0</v>
      </c>
    </row>
    <row r="2947" spans="1:4" x14ac:dyDescent="0.25">
      <c r="A2947" s="279">
        <v>39094</v>
      </c>
      <c r="B2947" s="309" t="s">
        <v>411</v>
      </c>
      <c r="C2947" s="309" t="s">
        <v>199</v>
      </c>
      <c r="D2947">
        <v>0</v>
      </c>
    </row>
    <row r="2948" spans="1:4" x14ac:dyDescent="0.25">
      <c r="A2948" s="279">
        <v>39094</v>
      </c>
      <c r="B2948" s="309" t="s">
        <v>411</v>
      </c>
      <c r="C2948" s="309" t="s">
        <v>90</v>
      </c>
      <c r="D2948">
        <v>70</v>
      </c>
    </row>
    <row r="2949" spans="1:4" x14ac:dyDescent="0.25">
      <c r="A2949" s="279">
        <v>39094</v>
      </c>
      <c r="B2949" s="309" t="s">
        <v>411</v>
      </c>
      <c r="C2949" s="309" t="s">
        <v>24</v>
      </c>
      <c r="D2949">
        <v>0</v>
      </c>
    </row>
    <row r="2950" spans="1:4" x14ac:dyDescent="0.25">
      <c r="A2950" s="279">
        <v>39094</v>
      </c>
      <c r="B2950" s="309" t="s">
        <v>411</v>
      </c>
      <c r="C2950" s="309" t="s">
        <v>91</v>
      </c>
      <c r="D2950">
        <v>0</v>
      </c>
    </row>
    <row r="2951" spans="1:4" x14ac:dyDescent="0.25">
      <c r="A2951" s="279">
        <v>39094</v>
      </c>
      <c r="B2951" s="309" t="s">
        <v>411</v>
      </c>
      <c r="C2951" s="309" t="s">
        <v>118</v>
      </c>
      <c r="D2951">
        <v>0</v>
      </c>
    </row>
    <row r="2952" spans="1:4" x14ac:dyDescent="0.25">
      <c r="A2952" s="279">
        <v>39094</v>
      </c>
      <c r="B2952" s="309" t="s">
        <v>411</v>
      </c>
      <c r="C2952" s="309" t="s">
        <v>407</v>
      </c>
      <c r="D2952">
        <v>219767</v>
      </c>
    </row>
    <row r="2953" spans="1:4" x14ac:dyDescent="0.25">
      <c r="A2953" s="279">
        <v>39094</v>
      </c>
      <c r="B2953" s="309" t="s">
        <v>411</v>
      </c>
      <c r="C2953" s="309" t="s">
        <v>412</v>
      </c>
      <c r="D2953">
        <v>1007</v>
      </c>
    </row>
    <row r="2954" spans="1:4" x14ac:dyDescent="0.25">
      <c r="A2954" s="279">
        <v>39094</v>
      </c>
      <c r="B2954" s="309" t="s">
        <v>411</v>
      </c>
      <c r="C2954" s="309" t="s">
        <v>409</v>
      </c>
      <c r="D2954">
        <v>1049</v>
      </c>
    </row>
    <row r="2955" spans="1:4" x14ac:dyDescent="0.25">
      <c r="A2955" s="279">
        <v>39095</v>
      </c>
      <c r="B2955" s="309" t="s">
        <v>405</v>
      </c>
      <c r="C2955" s="309" t="s">
        <v>406</v>
      </c>
      <c r="D2955">
        <v>3662843.1</v>
      </c>
    </row>
    <row r="2956" spans="1:4" x14ac:dyDescent="0.25">
      <c r="A2956" s="279">
        <v>39095</v>
      </c>
      <c r="B2956" s="309" t="s">
        <v>405</v>
      </c>
      <c r="C2956" s="309" t="s">
        <v>89</v>
      </c>
      <c r="D2956">
        <v>0</v>
      </c>
    </row>
    <row r="2957" spans="1:4" x14ac:dyDescent="0.25">
      <c r="A2957" s="279">
        <v>39095</v>
      </c>
      <c r="B2957" s="309" t="s">
        <v>405</v>
      </c>
      <c r="C2957" s="309" t="s">
        <v>198</v>
      </c>
      <c r="D2957">
        <v>0</v>
      </c>
    </row>
    <row r="2958" spans="1:4" x14ac:dyDescent="0.25">
      <c r="A2958" s="279">
        <v>39095</v>
      </c>
      <c r="B2958" s="309" t="s">
        <v>405</v>
      </c>
      <c r="C2958" s="309" t="s">
        <v>199</v>
      </c>
      <c r="D2958">
        <v>0</v>
      </c>
    </row>
    <row r="2959" spans="1:4" x14ac:dyDescent="0.25">
      <c r="A2959" s="279">
        <v>39095</v>
      </c>
      <c r="B2959" s="309" t="s">
        <v>405</v>
      </c>
      <c r="C2959" s="309" t="s">
        <v>90</v>
      </c>
      <c r="D2959">
        <v>2673</v>
      </c>
    </row>
    <row r="2960" spans="1:4" x14ac:dyDescent="0.25">
      <c r="A2960" s="279">
        <v>39095</v>
      </c>
      <c r="B2960" s="309" t="s">
        <v>405</v>
      </c>
      <c r="C2960" s="309" t="s">
        <v>24</v>
      </c>
      <c r="D2960">
        <v>0</v>
      </c>
    </row>
    <row r="2961" spans="1:4" x14ac:dyDescent="0.25">
      <c r="A2961" s="279">
        <v>39095</v>
      </c>
      <c r="B2961" s="309" t="s">
        <v>405</v>
      </c>
      <c r="C2961" s="309" t="s">
        <v>91</v>
      </c>
      <c r="D2961">
        <v>0</v>
      </c>
    </row>
    <row r="2962" spans="1:4" x14ac:dyDescent="0.25">
      <c r="A2962" s="279">
        <v>39095</v>
      </c>
      <c r="B2962" s="309" t="s">
        <v>405</v>
      </c>
      <c r="C2962" s="309" t="s">
        <v>118</v>
      </c>
      <c r="D2962">
        <v>0</v>
      </c>
    </row>
    <row r="2963" spans="1:4" x14ac:dyDescent="0.25">
      <c r="A2963" s="279">
        <v>39095</v>
      </c>
      <c r="B2963" s="309" t="s">
        <v>405</v>
      </c>
      <c r="C2963" s="309" t="s">
        <v>407</v>
      </c>
      <c r="D2963">
        <v>3660170.1</v>
      </c>
    </row>
    <row r="2964" spans="1:4" x14ac:dyDescent="0.25">
      <c r="A2964" s="279">
        <v>39095</v>
      </c>
      <c r="B2964" s="309" t="s">
        <v>405</v>
      </c>
      <c r="C2964" s="309" t="s">
        <v>408</v>
      </c>
      <c r="D2964">
        <v>1007</v>
      </c>
    </row>
    <row r="2965" spans="1:4" x14ac:dyDescent="0.25">
      <c r="A2965" s="279">
        <v>39095</v>
      </c>
      <c r="B2965" s="309" t="s">
        <v>405</v>
      </c>
      <c r="C2965" s="309" t="s">
        <v>409</v>
      </c>
      <c r="D2965">
        <v>1058</v>
      </c>
    </row>
    <row r="2966" spans="1:4" x14ac:dyDescent="0.25">
      <c r="A2966" s="279">
        <v>39095</v>
      </c>
      <c r="B2966" s="309" t="s">
        <v>405</v>
      </c>
      <c r="C2966" s="309" t="s">
        <v>410</v>
      </c>
      <c r="D2966">
        <v>1035</v>
      </c>
    </row>
    <row r="2967" spans="1:4" x14ac:dyDescent="0.25">
      <c r="A2967" s="279">
        <v>39095</v>
      </c>
      <c r="B2967" s="309" t="s">
        <v>411</v>
      </c>
      <c r="C2967" s="309" t="s">
        <v>406</v>
      </c>
      <c r="D2967">
        <v>219767</v>
      </c>
    </row>
    <row r="2968" spans="1:4" x14ac:dyDescent="0.25">
      <c r="A2968" s="279">
        <v>39095</v>
      </c>
      <c r="B2968" s="309" t="s">
        <v>411</v>
      </c>
      <c r="C2968" s="309" t="s">
        <v>198</v>
      </c>
      <c r="D2968">
        <v>0</v>
      </c>
    </row>
    <row r="2969" spans="1:4" x14ac:dyDescent="0.25">
      <c r="A2969" s="279">
        <v>39095</v>
      </c>
      <c r="B2969" s="309" t="s">
        <v>411</v>
      </c>
      <c r="C2969" s="309" t="s">
        <v>199</v>
      </c>
      <c r="D2969">
        <v>0</v>
      </c>
    </row>
    <row r="2970" spans="1:4" x14ac:dyDescent="0.25">
      <c r="A2970" s="279">
        <v>39095</v>
      </c>
      <c r="B2970" s="309" t="s">
        <v>411</v>
      </c>
      <c r="C2970" s="309" t="s">
        <v>90</v>
      </c>
      <c r="D2970">
        <v>65</v>
      </c>
    </row>
    <row r="2971" spans="1:4" x14ac:dyDescent="0.25">
      <c r="A2971" s="279">
        <v>39095</v>
      </c>
      <c r="B2971" s="309" t="s">
        <v>411</v>
      </c>
      <c r="C2971" s="309" t="s">
        <v>24</v>
      </c>
      <c r="D2971">
        <v>0</v>
      </c>
    </row>
    <row r="2972" spans="1:4" x14ac:dyDescent="0.25">
      <c r="A2972" s="279">
        <v>39095</v>
      </c>
      <c r="B2972" s="309" t="s">
        <v>411</v>
      </c>
      <c r="C2972" s="309" t="s">
        <v>91</v>
      </c>
      <c r="D2972">
        <v>0</v>
      </c>
    </row>
    <row r="2973" spans="1:4" x14ac:dyDescent="0.25">
      <c r="A2973" s="279">
        <v>39095</v>
      </c>
      <c r="B2973" s="309" t="s">
        <v>411</v>
      </c>
      <c r="C2973" s="309" t="s">
        <v>118</v>
      </c>
      <c r="D2973">
        <v>0</v>
      </c>
    </row>
    <row r="2974" spans="1:4" x14ac:dyDescent="0.25">
      <c r="A2974" s="279">
        <v>39095</v>
      </c>
      <c r="B2974" s="309" t="s">
        <v>411</v>
      </c>
      <c r="C2974" s="309" t="s">
        <v>407</v>
      </c>
      <c r="D2974">
        <v>219702</v>
      </c>
    </row>
    <row r="2975" spans="1:4" x14ac:dyDescent="0.25">
      <c r="A2975" s="279">
        <v>39095</v>
      </c>
      <c r="B2975" s="309" t="s">
        <v>411</v>
      </c>
      <c r="C2975" s="309" t="s">
        <v>412</v>
      </c>
      <c r="D2975">
        <v>1007</v>
      </c>
    </row>
    <row r="2976" spans="1:4" x14ac:dyDescent="0.25">
      <c r="A2976" s="279">
        <v>39095</v>
      </c>
      <c r="B2976" s="309" t="s">
        <v>411</v>
      </c>
      <c r="C2976" s="309" t="s">
        <v>409</v>
      </c>
      <c r="D2976">
        <v>1049</v>
      </c>
    </row>
    <row r="2977" spans="1:4" x14ac:dyDescent="0.25">
      <c r="A2977" s="279">
        <v>39096</v>
      </c>
      <c r="B2977" s="309" t="s">
        <v>405</v>
      </c>
      <c r="C2977" s="309" t="s">
        <v>406</v>
      </c>
      <c r="D2977">
        <v>3660170.1</v>
      </c>
    </row>
    <row r="2978" spans="1:4" x14ac:dyDescent="0.25">
      <c r="A2978" s="279">
        <v>39096</v>
      </c>
      <c r="B2978" s="309" t="s">
        <v>405</v>
      </c>
      <c r="C2978" s="309" t="s">
        <v>89</v>
      </c>
      <c r="D2978">
        <v>0</v>
      </c>
    </row>
    <row r="2979" spans="1:4" x14ac:dyDescent="0.25">
      <c r="A2979" s="279">
        <v>39096</v>
      </c>
      <c r="B2979" s="309" t="s">
        <v>405</v>
      </c>
      <c r="C2979" s="309" t="s">
        <v>198</v>
      </c>
      <c r="D2979">
        <v>0</v>
      </c>
    </row>
    <row r="2980" spans="1:4" x14ac:dyDescent="0.25">
      <c r="A2980" s="279">
        <v>39096</v>
      </c>
      <c r="B2980" s="309" t="s">
        <v>405</v>
      </c>
      <c r="C2980" s="309" t="s">
        <v>199</v>
      </c>
      <c r="D2980">
        <v>0</v>
      </c>
    </row>
    <row r="2981" spans="1:4" x14ac:dyDescent="0.25">
      <c r="A2981" s="279">
        <v>39096</v>
      </c>
      <c r="B2981" s="309" t="s">
        <v>405</v>
      </c>
      <c r="C2981" s="309" t="s">
        <v>90</v>
      </c>
      <c r="D2981">
        <v>3474</v>
      </c>
    </row>
    <row r="2982" spans="1:4" x14ac:dyDescent="0.25">
      <c r="A2982" s="279">
        <v>39096</v>
      </c>
      <c r="B2982" s="309" t="s">
        <v>405</v>
      </c>
      <c r="C2982" s="309" t="s">
        <v>24</v>
      </c>
      <c r="D2982">
        <v>0</v>
      </c>
    </row>
    <row r="2983" spans="1:4" x14ac:dyDescent="0.25">
      <c r="A2983" s="279">
        <v>39096</v>
      </c>
      <c r="B2983" s="309" t="s">
        <v>405</v>
      </c>
      <c r="C2983" s="309" t="s">
        <v>91</v>
      </c>
      <c r="D2983">
        <v>0</v>
      </c>
    </row>
    <row r="2984" spans="1:4" x14ac:dyDescent="0.25">
      <c r="A2984" s="279">
        <v>39096</v>
      </c>
      <c r="B2984" s="309" t="s">
        <v>405</v>
      </c>
      <c r="C2984" s="309" t="s">
        <v>118</v>
      </c>
      <c r="D2984">
        <v>0</v>
      </c>
    </row>
    <row r="2985" spans="1:4" x14ac:dyDescent="0.25">
      <c r="A2985" s="279">
        <v>39096</v>
      </c>
      <c r="B2985" s="309" t="s">
        <v>405</v>
      </c>
      <c r="C2985" s="309" t="s">
        <v>407</v>
      </c>
      <c r="D2985">
        <v>3656696.1</v>
      </c>
    </row>
    <row r="2986" spans="1:4" x14ac:dyDescent="0.25">
      <c r="A2986" s="279">
        <v>39096</v>
      </c>
      <c r="B2986" s="309" t="s">
        <v>405</v>
      </c>
      <c r="C2986" s="309" t="s">
        <v>408</v>
      </c>
      <c r="D2986">
        <v>1007</v>
      </c>
    </row>
    <row r="2987" spans="1:4" x14ac:dyDescent="0.25">
      <c r="A2987" s="279">
        <v>39096</v>
      </c>
      <c r="B2987" s="309" t="s">
        <v>405</v>
      </c>
      <c r="C2987" s="309" t="s">
        <v>409</v>
      </c>
      <c r="D2987">
        <v>1058</v>
      </c>
    </row>
    <row r="2988" spans="1:4" x14ac:dyDescent="0.25">
      <c r="A2988" s="279">
        <v>39096</v>
      </c>
      <c r="B2988" s="309" t="s">
        <v>405</v>
      </c>
      <c r="C2988" s="309" t="s">
        <v>410</v>
      </c>
      <c r="D2988">
        <v>1036</v>
      </c>
    </row>
    <row r="2989" spans="1:4" x14ac:dyDescent="0.25">
      <c r="A2989" s="279">
        <v>39096</v>
      </c>
      <c r="B2989" s="309" t="s">
        <v>411</v>
      </c>
      <c r="C2989" s="309" t="s">
        <v>406</v>
      </c>
      <c r="D2989">
        <v>219702</v>
      </c>
    </row>
    <row r="2990" spans="1:4" x14ac:dyDescent="0.25">
      <c r="A2990" s="279">
        <v>39096</v>
      </c>
      <c r="B2990" s="309" t="s">
        <v>411</v>
      </c>
      <c r="C2990" s="309" t="s">
        <v>198</v>
      </c>
      <c r="D2990">
        <v>0</v>
      </c>
    </row>
    <row r="2991" spans="1:4" x14ac:dyDescent="0.25">
      <c r="A2991" s="279">
        <v>39096</v>
      </c>
      <c r="B2991" s="309" t="s">
        <v>411</v>
      </c>
      <c r="C2991" s="309" t="s">
        <v>199</v>
      </c>
      <c r="D2991">
        <v>0</v>
      </c>
    </row>
    <row r="2992" spans="1:4" x14ac:dyDescent="0.25">
      <c r="A2992" s="279">
        <v>39096</v>
      </c>
      <c r="B2992" s="309" t="s">
        <v>411</v>
      </c>
      <c r="C2992" s="309" t="s">
        <v>90</v>
      </c>
      <c r="D2992">
        <v>142</v>
      </c>
    </row>
    <row r="2993" spans="1:4" x14ac:dyDescent="0.25">
      <c r="A2993" s="279">
        <v>39096</v>
      </c>
      <c r="B2993" s="309" t="s">
        <v>411</v>
      </c>
      <c r="C2993" s="309" t="s">
        <v>24</v>
      </c>
      <c r="D2993">
        <v>0</v>
      </c>
    </row>
    <row r="2994" spans="1:4" x14ac:dyDescent="0.25">
      <c r="A2994" s="279">
        <v>39096</v>
      </c>
      <c r="B2994" s="309" t="s">
        <v>411</v>
      </c>
      <c r="C2994" s="309" t="s">
        <v>91</v>
      </c>
      <c r="D2994">
        <v>0</v>
      </c>
    </row>
    <row r="2995" spans="1:4" x14ac:dyDescent="0.25">
      <c r="A2995" s="279">
        <v>39096</v>
      </c>
      <c r="B2995" s="309" t="s">
        <v>411</v>
      </c>
      <c r="C2995" s="309" t="s">
        <v>118</v>
      </c>
      <c r="D2995">
        <v>0</v>
      </c>
    </row>
    <row r="2996" spans="1:4" x14ac:dyDescent="0.25">
      <c r="A2996" s="279">
        <v>39096</v>
      </c>
      <c r="B2996" s="309" t="s">
        <v>411</v>
      </c>
      <c r="C2996" s="309" t="s">
        <v>407</v>
      </c>
      <c r="D2996">
        <v>219560</v>
      </c>
    </row>
    <row r="2997" spans="1:4" x14ac:dyDescent="0.25">
      <c r="A2997" s="279">
        <v>39096</v>
      </c>
      <c r="B2997" s="309" t="s">
        <v>411</v>
      </c>
      <c r="C2997" s="309" t="s">
        <v>412</v>
      </c>
      <c r="D2997">
        <v>1007</v>
      </c>
    </row>
    <row r="2998" spans="1:4" x14ac:dyDescent="0.25">
      <c r="A2998" s="279">
        <v>39096</v>
      </c>
      <c r="B2998" s="309" t="s">
        <v>411</v>
      </c>
      <c r="C2998" s="309" t="s">
        <v>409</v>
      </c>
      <c r="D2998">
        <v>1049</v>
      </c>
    </row>
    <row r="2999" spans="1:4" x14ac:dyDescent="0.25">
      <c r="A2999" s="279">
        <v>39097</v>
      </c>
      <c r="B2999" s="309" t="s">
        <v>405</v>
      </c>
      <c r="C2999" s="309" t="s">
        <v>406</v>
      </c>
      <c r="D2999">
        <v>3656696.1</v>
      </c>
    </row>
    <row r="3000" spans="1:4" x14ac:dyDescent="0.25">
      <c r="A3000" s="279">
        <v>39097</v>
      </c>
      <c r="B3000" s="309" t="s">
        <v>405</v>
      </c>
      <c r="C3000" s="309" t="s">
        <v>89</v>
      </c>
      <c r="D3000">
        <v>0</v>
      </c>
    </row>
    <row r="3001" spans="1:4" x14ac:dyDescent="0.25">
      <c r="A3001" s="279">
        <v>39097</v>
      </c>
      <c r="B3001" s="309" t="s">
        <v>405</v>
      </c>
      <c r="C3001" s="309" t="s">
        <v>198</v>
      </c>
      <c r="D3001">
        <v>0</v>
      </c>
    </row>
    <row r="3002" spans="1:4" x14ac:dyDescent="0.25">
      <c r="A3002" s="279">
        <v>39097</v>
      </c>
      <c r="B3002" s="309" t="s">
        <v>405</v>
      </c>
      <c r="C3002" s="309" t="s">
        <v>199</v>
      </c>
      <c r="D3002">
        <v>0</v>
      </c>
    </row>
    <row r="3003" spans="1:4" x14ac:dyDescent="0.25">
      <c r="A3003" s="279">
        <v>39097</v>
      </c>
      <c r="B3003" s="309" t="s">
        <v>405</v>
      </c>
      <c r="C3003" s="309" t="s">
        <v>90</v>
      </c>
      <c r="D3003">
        <v>5614</v>
      </c>
    </row>
    <row r="3004" spans="1:4" x14ac:dyDescent="0.25">
      <c r="A3004" s="279">
        <v>39097</v>
      </c>
      <c r="B3004" s="309" t="s">
        <v>405</v>
      </c>
      <c r="C3004" s="309" t="s">
        <v>24</v>
      </c>
      <c r="D3004">
        <v>0</v>
      </c>
    </row>
    <row r="3005" spans="1:4" x14ac:dyDescent="0.25">
      <c r="A3005" s="279">
        <v>39097</v>
      </c>
      <c r="B3005" s="309" t="s">
        <v>405</v>
      </c>
      <c r="C3005" s="309" t="s">
        <v>91</v>
      </c>
      <c r="D3005">
        <v>0</v>
      </c>
    </row>
    <row r="3006" spans="1:4" x14ac:dyDescent="0.25">
      <c r="A3006" s="279">
        <v>39097</v>
      </c>
      <c r="B3006" s="309" t="s">
        <v>405</v>
      </c>
      <c r="C3006" s="309" t="s">
        <v>118</v>
      </c>
      <c r="D3006">
        <v>0</v>
      </c>
    </row>
    <row r="3007" spans="1:4" x14ac:dyDescent="0.25">
      <c r="A3007" s="279">
        <v>39097</v>
      </c>
      <c r="B3007" s="309" t="s">
        <v>405</v>
      </c>
      <c r="C3007" s="309" t="s">
        <v>407</v>
      </c>
      <c r="D3007">
        <v>3651082.1</v>
      </c>
    </row>
    <row r="3008" spans="1:4" x14ac:dyDescent="0.25">
      <c r="A3008" s="279">
        <v>39097</v>
      </c>
      <c r="B3008" s="309" t="s">
        <v>405</v>
      </c>
      <c r="C3008" s="309" t="s">
        <v>408</v>
      </c>
      <c r="D3008">
        <v>1007</v>
      </c>
    </row>
    <row r="3009" spans="1:4" x14ac:dyDescent="0.25">
      <c r="A3009" s="279">
        <v>39097</v>
      </c>
      <c r="B3009" s="309" t="s">
        <v>405</v>
      </c>
      <c r="C3009" s="309" t="s">
        <v>409</v>
      </c>
      <c r="D3009">
        <v>1058</v>
      </c>
    </row>
    <row r="3010" spans="1:4" x14ac:dyDescent="0.25">
      <c r="A3010" s="279">
        <v>39097</v>
      </c>
      <c r="B3010" s="309" t="s">
        <v>405</v>
      </c>
      <c r="C3010" s="309" t="s">
        <v>410</v>
      </c>
      <c r="D3010">
        <v>1035</v>
      </c>
    </row>
    <row r="3011" spans="1:4" x14ac:dyDescent="0.25">
      <c r="A3011" s="279">
        <v>39097</v>
      </c>
      <c r="B3011" s="309" t="s">
        <v>411</v>
      </c>
      <c r="C3011" s="309" t="s">
        <v>406</v>
      </c>
      <c r="D3011">
        <v>219560</v>
      </c>
    </row>
    <row r="3012" spans="1:4" x14ac:dyDescent="0.25">
      <c r="A3012" s="279">
        <v>39097</v>
      </c>
      <c r="B3012" s="309" t="s">
        <v>411</v>
      </c>
      <c r="C3012" s="309" t="s">
        <v>198</v>
      </c>
      <c r="D3012">
        <v>0</v>
      </c>
    </row>
    <row r="3013" spans="1:4" x14ac:dyDescent="0.25">
      <c r="A3013" s="279">
        <v>39097</v>
      </c>
      <c r="B3013" s="309" t="s">
        <v>411</v>
      </c>
      <c r="C3013" s="309" t="s">
        <v>199</v>
      </c>
      <c r="D3013">
        <v>0</v>
      </c>
    </row>
    <row r="3014" spans="1:4" x14ac:dyDescent="0.25">
      <c r="A3014" s="279">
        <v>39097</v>
      </c>
      <c r="B3014" s="309" t="s">
        <v>411</v>
      </c>
      <c r="C3014" s="309" t="s">
        <v>90</v>
      </c>
      <c r="D3014">
        <v>68</v>
      </c>
    </row>
    <row r="3015" spans="1:4" x14ac:dyDescent="0.25">
      <c r="A3015" s="279">
        <v>39097</v>
      </c>
      <c r="B3015" s="309" t="s">
        <v>411</v>
      </c>
      <c r="C3015" s="309" t="s">
        <v>24</v>
      </c>
      <c r="D3015">
        <v>0</v>
      </c>
    </row>
    <row r="3016" spans="1:4" x14ac:dyDescent="0.25">
      <c r="A3016" s="279">
        <v>39097</v>
      </c>
      <c r="B3016" s="309" t="s">
        <v>411</v>
      </c>
      <c r="C3016" s="309" t="s">
        <v>91</v>
      </c>
      <c r="D3016">
        <v>0</v>
      </c>
    </row>
    <row r="3017" spans="1:4" x14ac:dyDescent="0.25">
      <c r="A3017" s="279">
        <v>39097</v>
      </c>
      <c r="B3017" s="309" t="s">
        <v>411</v>
      </c>
      <c r="C3017" s="309" t="s">
        <v>118</v>
      </c>
      <c r="D3017">
        <v>0</v>
      </c>
    </row>
    <row r="3018" spans="1:4" x14ac:dyDescent="0.25">
      <c r="A3018" s="279">
        <v>39097</v>
      </c>
      <c r="B3018" s="309" t="s">
        <v>411</v>
      </c>
      <c r="C3018" s="309" t="s">
        <v>407</v>
      </c>
      <c r="D3018">
        <v>219492</v>
      </c>
    </row>
    <row r="3019" spans="1:4" x14ac:dyDescent="0.25">
      <c r="A3019" s="279">
        <v>39097</v>
      </c>
      <c r="B3019" s="309" t="s">
        <v>411</v>
      </c>
      <c r="C3019" s="309" t="s">
        <v>412</v>
      </c>
      <c r="D3019">
        <v>1007</v>
      </c>
    </row>
    <row r="3020" spans="1:4" x14ac:dyDescent="0.25">
      <c r="A3020" s="279">
        <v>39097</v>
      </c>
      <c r="B3020" s="309" t="s">
        <v>411</v>
      </c>
      <c r="C3020" s="309" t="s">
        <v>409</v>
      </c>
      <c r="D3020">
        <v>1049</v>
      </c>
    </row>
    <row r="3021" spans="1:4" x14ac:dyDescent="0.25">
      <c r="A3021" s="279">
        <v>39098</v>
      </c>
      <c r="B3021" s="309" t="s">
        <v>405</v>
      </c>
      <c r="C3021" s="309" t="s">
        <v>406</v>
      </c>
      <c r="D3021">
        <v>3651082.1</v>
      </c>
    </row>
    <row r="3022" spans="1:4" x14ac:dyDescent="0.25">
      <c r="A3022" s="279">
        <v>39098</v>
      </c>
      <c r="B3022" s="309" t="s">
        <v>405</v>
      </c>
      <c r="C3022" s="309" t="s">
        <v>89</v>
      </c>
      <c r="D3022">
        <v>0</v>
      </c>
    </row>
    <row r="3023" spans="1:4" x14ac:dyDescent="0.25">
      <c r="A3023" s="279">
        <v>39098</v>
      </c>
      <c r="B3023" s="309" t="s">
        <v>405</v>
      </c>
      <c r="C3023" s="309" t="s">
        <v>198</v>
      </c>
      <c r="D3023">
        <v>0</v>
      </c>
    </row>
    <row r="3024" spans="1:4" x14ac:dyDescent="0.25">
      <c r="A3024" s="279">
        <v>39098</v>
      </c>
      <c r="B3024" s="309" t="s">
        <v>405</v>
      </c>
      <c r="C3024" s="309" t="s">
        <v>199</v>
      </c>
      <c r="D3024">
        <v>0</v>
      </c>
    </row>
    <row r="3025" spans="1:4" x14ac:dyDescent="0.25">
      <c r="A3025" s="279">
        <v>39098</v>
      </c>
      <c r="B3025" s="309" t="s">
        <v>405</v>
      </c>
      <c r="C3025" s="309" t="s">
        <v>90</v>
      </c>
      <c r="D3025">
        <v>801</v>
      </c>
    </row>
    <row r="3026" spans="1:4" x14ac:dyDescent="0.25">
      <c r="A3026" s="279">
        <v>39098</v>
      </c>
      <c r="B3026" s="309" t="s">
        <v>405</v>
      </c>
      <c r="C3026" s="309" t="s">
        <v>24</v>
      </c>
      <c r="D3026">
        <v>0</v>
      </c>
    </row>
    <row r="3027" spans="1:4" x14ac:dyDescent="0.25">
      <c r="A3027" s="279">
        <v>39098</v>
      </c>
      <c r="B3027" s="309" t="s">
        <v>405</v>
      </c>
      <c r="C3027" s="309" t="s">
        <v>91</v>
      </c>
      <c r="D3027">
        <v>0</v>
      </c>
    </row>
    <row r="3028" spans="1:4" x14ac:dyDescent="0.25">
      <c r="A3028" s="279">
        <v>39098</v>
      </c>
      <c r="B3028" s="309" t="s">
        <v>405</v>
      </c>
      <c r="C3028" s="309" t="s">
        <v>118</v>
      </c>
      <c r="D3028">
        <v>0</v>
      </c>
    </row>
    <row r="3029" spans="1:4" x14ac:dyDescent="0.25">
      <c r="A3029" s="279">
        <v>39098</v>
      </c>
      <c r="B3029" s="309" t="s">
        <v>405</v>
      </c>
      <c r="C3029" s="309" t="s">
        <v>407</v>
      </c>
      <c r="D3029">
        <v>3650281.1</v>
      </c>
    </row>
    <row r="3030" spans="1:4" x14ac:dyDescent="0.25">
      <c r="A3030" s="279">
        <v>39098</v>
      </c>
      <c r="B3030" s="309" t="s">
        <v>405</v>
      </c>
      <c r="C3030" s="309" t="s">
        <v>408</v>
      </c>
      <c r="D3030">
        <v>1007</v>
      </c>
    </row>
    <row r="3031" spans="1:4" x14ac:dyDescent="0.25">
      <c r="A3031" s="279">
        <v>39098</v>
      </c>
      <c r="B3031" s="309" t="s">
        <v>405</v>
      </c>
      <c r="C3031" s="309" t="s">
        <v>409</v>
      </c>
      <c r="D3031">
        <v>1058</v>
      </c>
    </row>
    <row r="3032" spans="1:4" x14ac:dyDescent="0.25">
      <c r="A3032" s="279">
        <v>39098</v>
      </c>
      <c r="B3032" s="309" t="s">
        <v>405</v>
      </c>
      <c r="C3032" s="309" t="s">
        <v>410</v>
      </c>
      <c r="D3032">
        <v>1032</v>
      </c>
    </row>
    <row r="3033" spans="1:4" x14ac:dyDescent="0.25">
      <c r="A3033" s="279">
        <v>39098</v>
      </c>
      <c r="B3033" s="309" t="s">
        <v>411</v>
      </c>
      <c r="C3033" s="309" t="s">
        <v>406</v>
      </c>
      <c r="D3033">
        <v>219492</v>
      </c>
    </row>
    <row r="3034" spans="1:4" x14ac:dyDescent="0.25">
      <c r="A3034" s="279">
        <v>39098</v>
      </c>
      <c r="B3034" s="309" t="s">
        <v>411</v>
      </c>
      <c r="C3034" s="309" t="s">
        <v>198</v>
      </c>
      <c r="D3034">
        <v>0</v>
      </c>
    </row>
    <row r="3035" spans="1:4" x14ac:dyDescent="0.25">
      <c r="A3035" s="279">
        <v>39098</v>
      </c>
      <c r="B3035" s="309" t="s">
        <v>411</v>
      </c>
      <c r="C3035" s="309" t="s">
        <v>199</v>
      </c>
      <c r="D3035">
        <v>0</v>
      </c>
    </row>
    <row r="3036" spans="1:4" x14ac:dyDescent="0.25">
      <c r="A3036" s="279">
        <v>39098</v>
      </c>
      <c r="B3036" s="309" t="s">
        <v>411</v>
      </c>
      <c r="C3036" s="309" t="s">
        <v>90</v>
      </c>
      <c r="D3036">
        <v>209</v>
      </c>
    </row>
    <row r="3037" spans="1:4" x14ac:dyDescent="0.25">
      <c r="A3037" s="279">
        <v>39098</v>
      </c>
      <c r="B3037" s="309" t="s">
        <v>411</v>
      </c>
      <c r="C3037" s="309" t="s">
        <v>24</v>
      </c>
      <c r="D3037">
        <v>0</v>
      </c>
    </row>
    <row r="3038" spans="1:4" x14ac:dyDescent="0.25">
      <c r="A3038" s="279">
        <v>39098</v>
      </c>
      <c r="B3038" s="309" t="s">
        <v>411</v>
      </c>
      <c r="C3038" s="309" t="s">
        <v>91</v>
      </c>
      <c r="D3038">
        <v>0</v>
      </c>
    </row>
    <row r="3039" spans="1:4" x14ac:dyDescent="0.25">
      <c r="A3039" s="279">
        <v>39098</v>
      </c>
      <c r="B3039" s="309" t="s">
        <v>411</v>
      </c>
      <c r="C3039" s="309" t="s">
        <v>118</v>
      </c>
      <c r="D3039">
        <v>0</v>
      </c>
    </row>
    <row r="3040" spans="1:4" x14ac:dyDescent="0.25">
      <c r="A3040" s="279">
        <v>39098</v>
      </c>
      <c r="B3040" s="309" t="s">
        <v>411</v>
      </c>
      <c r="C3040" s="309" t="s">
        <v>407</v>
      </c>
      <c r="D3040">
        <v>219283</v>
      </c>
    </row>
    <row r="3041" spans="1:4" x14ac:dyDescent="0.25">
      <c r="A3041" s="279">
        <v>39098</v>
      </c>
      <c r="B3041" s="309" t="s">
        <v>411</v>
      </c>
      <c r="C3041" s="309" t="s">
        <v>412</v>
      </c>
      <c r="D3041">
        <v>1007</v>
      </c>
    </row>
    <row r="3042" spans="1:4" x14ac:dyDescent="0.25">
      <c r="A3042" s="279">
        <v>39098</v>
      </c>
      <c r="B3042" s="309" t="s">
        <v>411</v>
      </c>
      <c r="C3042" s="309" t="s">
        <v>409</v>
      </c>
      <c r="D3042">
        <v>1049</v>
      </c>
    </row>
    <row r="3043" spans="1:4" x14ac:dyDescent="0.25">
      <c r="A3043" s="279">
        <v>39099</v>
      </c>
      <c r="B3043" s="309" t="s">
        <v>405</v>
      </c>
      <c r="C3043" s="309" t="s">
        <v>406</v>
      </c>
      <c r="D3043">
        <v>3650281.1</v>
      </c>
    </row>
    <row r="3044" spans="1:4" x14ac:dyDescent="0.25">
      <c r="A3044" s="279">
        <v>39099</v>
      </c>
      <c r="B3044" s="309" t="s">
        <v>405</v>
      </c>
      <c r="C3044" s="309" t="s">
        <v>89</v>
      </c>
      <c r="D3044">
        <v>0</v>
      </c>
    </row>
    <row r="3045" spans="1:4" x14ac:dyDescent="0.25">
      <c r="A3045" s="279">
        <v>39099</v>
      </c>
      <c r="B3045" s="309" t="s">
        <v>405</v>
      </c>
      <c r="C3045" s="309" t="s">
        <v>198</v>
      </c>
      <c r="D3045">
        <v>0</v>
      </c>
    </row>
    <row r="3046" spans="1:4" x14ac:dyDescent="0.25">
      <c r="A3046" s="279">
        <v>39099</v>
      </c>
      <c r="B3046" s="309" t="s">
        <v>405</v>
      </c>
      <c r="C3046" s="309" t="s">
        <v>199</v>
      </c>
      <c r="D3046">
        <v>0</v>
      </c>
    </row>
    <row r="3047" spans="1:4" x14ac:dyDescent="0.25">
      <c r="A3047" s="279">
        <v>39099</v>
      </c>
      <c r="B3047" s="309" t="s">
        <v>405</v>
      </c>
      <c r="C3047" s="309" t="s">
        <v>90</v>
      </c>
      <c r="D3047">
        <v>189</v>
      </c>
    </row>
    <row r="3048" spans="1:4" x14ac:dyDescent="0.25">
      <c r="A3048" s="279">
        <v>39099</v>
      </c>
      <c r="B3048" s="309" t="s">
        <v>405</v>
      </c>
      <c r="C3048" s="309" t="s">
        <v>24</v>
      </c>
      <c r="D3048">
        <v>11850</v>
      </c>
    </row>
    <row r="3049" spans="1:4" x14ac:dyDescent="0.25">
      <c r="A3049" s="279">
        <v>39099</v>
      </c>
      <c r="B3049" s="309" t="s">
        <v>405</v>
      </c>
      <c r="C3049" s="309" t="s">
        <v>91</v>
      </c>
      <c r="D3049">
        <v>0</v>
      </c>
    </row>
    <row r="3050" spans="1:4" x14ac:dyDescent="0.25">
      <c r="A3050" s="279">
        <v>39099</v>
      </c>
      <c r="B3050" s="309" t="s">
        <v>405</v>
      </c>
      <c r="C3050" s="309" t="s">
        <v>118</v>
      </c>
      <c r="D3050">
        <v>0</v>
      </c>
    </row>
    <row r="3051" spans="1:4" x14ac:dyDescent="0.25">
      <c r="A3051" s="279">
        <v>39099</v>
      </c>
      <c r="B3051" s="309" t="s">
        <v>405</v>
      </c>
      <c r="C3051" s="309" t="s">
        <v>407</v>
      </c>
      <c r="D3051">
        <v>3638242.1</v>
      </c>
    </row>
    <row r="3052" spans="1:4" x14ac:dyDescent="0.25">
      <c r="A3052" s="279">
        <v>39099</v>
      </c>
      <c r="B3052" s="309" t="s">
        <v>405</v>
      </c>
      <c r="C3052" s="309" t="s">
        <v>408</v>
      </c>
      <c r="D3052">
        <v>1007</v>
      </c>
    </row>
    <row r="3053" spans="1:4" x14ac:dyDescent="0.25">
      <c r="A3053" s="279">
        <v>39099</v>
      </c>
      <c r="B3053" s="309" t="s">
        <v>405</v>
      </c>
      <c r="C3053" s="309" t="s">
        <v>409</v>
      </c>
      <c r="D3053">
        <v>1065</v>
      </c>
    </row>
    <row r="3054" spans="1:4" x14ac:dyDescent="0.25">
      <c r="A3054" s="279">
        <v>39099</v>
      </c>
      <c r="B3054" s="309" t="s">
        <v>405</v>
      </c>
      <c r="C3054" s="309" t="s">
        <v>410</v>
      </c>
      <c r="D3054">
        <v>1034</v>
      </c>
    </row>
    <row r="3055" spans="1:4" x14ac:dyDescent="0.25">
      <c r="A3055" s="279">
        <v>39099</v>
      </c>
      <c r="B3055" s="309" t="s">
        <v>411</v>
      </c>
      <c r="C3055" s="309" t="s">
        <v>406</v>
      </c>
      <c r="D3055">
        <v>219283</v>
      </c>
    </row>
    <row r="3056" spans="1:4" x14ac:dyDescent="0.25">
      <c r="A3056" s="279">
        <v>39099</v>
      </c>
      <c r="B3056" s="309" t="s">
        <v>411</v>
      </c>
      <c r="C3056" s="309" t="s">
        <v>198</v>
      </c>
      <c r="D3056">
        <v>0</v>
      </c>
    </row>
    <row r="3057" spans="1:4" x14ac:dyDescent="0.25">
      <c r="A3057" s="279">
        <v>39099</v>
      </c>
      <c r="B3057" s="309" t="s">
        <v>411</v>
      </c>
      <c r="C3057" s="309" t="s">
        <v>199</v>
      </c>
      <c r="D3057">
        <v>0</v>
      </c>
    </row>
    <row r="3058" spans="1:4" x14ac:dyDescent="0.25">
      <c r="A3058" s="279">
        <v>39099</v>
      </c>
      <c r="B3058" s="309" t="s">
        <v>411</v>
      </c>
      <c r="C3058" s="309" t="s">
        <v>90</v>
      </c>
      <c r="D3058">
        <v>277</v>
      </c>
    </row>
    <row r="3059" spans="1:4" x14ac:dyDescent="0.25">
      <c r="A3059" s="279">
        <v>39099</v>
      </c>
      <c r="B3059" s="309" t="s">
        <v>411</v>
      </c>
      <c r="C3059" s="309" t="s">
        <v>24</v>
      </c>
      <c r="D3059">
        <v>0</v>
      </c>
    </row>
    <row r="3060" spans="1:4" x14ac:dyDescent="0.25">
      <c r="A3060" s="279">
        <v>39099</v>
      </c>
      <c r="B3060" s="309" t="s">
        <v>411</v>
      </c>
      <c r="C3060" s="309" t="s">
        <v>91</v>
      </c>
      <c r="D3060">
        <v>0</v>
      </c>
    </row>
    <row r="3061" spans="1:4" x14ac:dyDescent="0.25">
      <c r="A3061" s="279">
        <v>39099</v>
      </c>
      <c r="B3061" s="309" t="s">
        <v>411</v>
      </c>
      <c r="C3061" s="309" t="s">
        <v>118</v>
      </c>
      <c r="D3061">
        <v>0</v>
      </c>
    </row>
    <row r="3062" spans="1:4" x14ac:dyDescent="0.25">
      <c r="A3062" s="279">
        <v>39099</v>
      </c>
      <c r="B3062" s="309" t="s">
        <v>411</v>
      </c>
      <c r="C3062" s="309" t="s">
        <v>407</v>
      </c>
      <c r="D3062">
        <v>219006</v>
      </c>
    </row>
    <row r="3063" spans="1:4" x14ac:dyDescent="0.25">
      <c r="A3063" s="279">
        <v>39099</v>
      </c>
      <c r="B3063" s="309" t="s">
        <v>411</v>
      </c>
      <c r="C3063" s="309" t="s">
        <v>412</v>
      </c>
      <c r="D3063">
        <v>1007</v>
      </c>
    </row>
    <row r="3064" spans="1:4" x14ac:dyDescent="0.25">
      <c r="A3064" s="279">
        <v>39099</v>
      </c>
      <c r="B3064" s="309" t="s">
        <v>411</v>
      </c>
      <c r="C3064" s="309" t="s">
        <v>409</v>
      </c>
      <c r="D3064">
        <v>1049</v>
      </c>
    </row>
    <row r="3065" spans="1:4" x14ac:dyDescent="0.25">
      <c r="A3065" s="279">
        <v>39100</v>
      </c>
      <c r="B3065" s="309" t="s">
        <v>405</v>
      </c>
      <c r="C3065" s="309" t="s">
        <v>406</v>
      </c>
      <c r="D3065">
        <v>3638242.1</v>
      </c>
    </row>
    <row r="3066" spans="1:4" x14ac:dyDescent="0.25">
      <c r="A3066" s="279">
        <v>39100</v>
      </c>
      <c r="B3066" s="309" t="s">
        <v>405</v>
      </c>
      <c r="C3066" s="309" t="s">
        <v>89</v>
      </c>
      <c r="D3066">
        <v>0</v>
      </c>
    </row>
    <row r="3067" spans="1:4" x14ac:dyDescent="0.25">
      <c r="A3067" s="279">
        <v>39100</v>
      </c>
      <c r="B3067" s="309" t="s">
        <v>405</v>
      </c>
      <c r="C3067" s="309" t="s">
        <v>198</v>
      </c>
      <c r="D3067">
        <v>0</v>
      </c>
    </row>
    <row r="3068" spans="1:4" x14ac:dyDescent="0.25">
      <c r="A3068" s="279">
        <v>39100</v>
      </c>
      <c r="B3068" s="309" t="s">
        <v>405</v>
      </c>
      <c r="C3068" s="309" t="s">
        <v>199</v>
      </c>
      <c r="D3068">
        <v>0</v>
      </c>
    </row>
    <row r="3069" spans="1:4" x14ac:dyDescent="0.25">
      <c r="A3069" s="279">
        <v>39100</v>
      </c>
      <c r="B3069" s="309" t="s">
        <v>405</v>
      </c>
      <c r="C3069" s="309" t="s">
        <v>90</v>
      </c>
      <c r="D3069">
        <v>3475</v>
      </c>
    </row>
    <row r="3070" spans="1:4" x14ac:dyDescent="0.25">
      <c r="A3070" s="279">
        <v>39100</v>
      </c>
      <c r="B3070" s="309" t="s">
        <v>405</v>
      </c>
      <c r="C3070" s="309" t="s">
        <v>24</v>
      </c>
      <c r="D3070">
        <v>0</v>
      </c>
    </row>
    <row r="3071" spans="1:4" x14ac:dyDescent="0.25">
      <c r="A3071" s="279">
        <v>39100</v>
      </c>
      <c r="B3071" s="309" t="s">
        <v>405</v>
      </c>
      <c r="C3071" s="309" t="s">
        <v>91</v>
      </c>
      <c r="D3071">
        <v>0</v>
      </c>
    </row>
    <row r="3072" spans="1:4" x14ac:dyDescent="0.25">
      <c r="A3072" s="279">
        <v>39100</v>
      </c>
      <c r="B3072" s="309" t="s">
        <v>405</v>
      </c>
      <c r="C3072" s="309" t="s">
        <v>118</v>
      </c>
      <c r="D3072">
        <v>0</v>
      </c>
    </row>
    <row r="3073" spans="1:4" x14ac:dyDescent="0.25">
      <c r="A3073" s="279">
        <v>39100</v>
      </c>
      <c r="B3073" s="309" t="s">
        <v>405</v>
      </c>
      <c r="C3073" s="309" t="s">
        <v>407</v>
      </c>
      <c r="D3073">
        <v>3634767.1</v>
      </c>
    </row>
    <row r="3074" spans="1:4" x14ac:dyDescent="0.25">
      <c r="A3074" s="279">
        <v>39100</v>
      </c>
      <c r="B3074" s="309" t="s">
        <v>405</v>
      </c>
      <c r="C3074" s="309" t="s">
        <v>408</v>
      </c>
      <c r="D3074">
        <v>1007</v>
      </c>
    </row>
    <row r="3075" spans="1:4" x14ac:dyDescent="0.25">
      <c r="A3075" s="279">
        <v>39100</v>
      </c>
      <c r="B3075" s="309" t="s">
        <v>405</v>
      </c>
      <c r="C3075" s="309" t="s">
        <v>409</v>
      </c>
      <c r="D3075">
        <v>1058</v>
      </c>
    </row>
    <row r="3076" spans="1:4" x14ac:dyDescent="0.25">
      <c r="A3076" s="279">
        <v>39100</v>
      </c>
      <c r="B3076" s="309" t="s">
        <v>405</v>
      </c>
      <c r="C3076" s="309" t="s">
        <v>410</v>
      </c>
      <c r="D3076">
        <v>1035</v>
      </c>
    </row>
    <row r="3077" spans="1:4" x14ac:dyDescent="0.25">
      <c r="A3077" s="279">
        <v>39100</v>
      </c>
      <c r="B3077" s="309" t="s">
        <v>411</v>
      </c>
      <c r="C3077" s="309" t="s">
        <v>406</v>
      </c>
      <c r="D3077">
        <v>219006</v>
      </c>
    </row>
    <row r="3078" spans="1:4" x14ac:dyDescent="0.25">
      <c r="A3078" s="279">
        <v>39100</v>
      </c>
      <c r="B3078" s="309" t="s">
        <v>411</v>
      </c>
      <c r="C3078" s="309" t="s">
        <v>198</v>
      </c>
      <c r="D3078">
        <v>0</v>
      </c>
    </row>
    <row r="3079" spans="1:4" x14ac:dyDescent="0.25">
      <c r="A3079" s="279">
        <v>39100</v>
      </c>
      <c r="B3079" s="309" t="s">
        <v>411</v>
      </c>
      <c r="C3079" s="309" t="s">
        <v>199</v>
      </c>
      <c r="D3079">
        <v>0</v>
      </c>
    </row>
    <row r="3080" spans="1:4" x14ac:dyDescent="0.25">
      <c r="A3080" s="279">
        <v>39100</v>
      </c>
      <c r="B3080" s="309" t="s">
        <v>411</v>
      </c>
      <c r="C3080" s="309" t="s">
        <v>90</v>
      </c>
      <c r="D3080">
        <v>277</v>
      </c>
    </row>
    <row r="3081" spans="1:4" x14ac:dyDescent="0.25">
      <c r="A3081" s="279">
        <v>39100</v>
      </c>
      <c r="B3081" s="309" t="s">
        <v>411</v>
      </c>
      <c r="C3081" s="309" t="s">
        <v>24</v>
      </c>
      <c r="D3081">
        <v>0</v>
      </c>
    </row>
    <row r="3082" spans="1:4" x14ac:dyDescent="0.25">
      <c r="A3082" s="279">
        <v>39100</v>
      </c>
      <c r="B3082" s="309" t="s">
        <v>411</v>
      </c>
      <c r="C3082" s="309" t="s">
        <v>91</v>
      </c>
      <c r="D3082">
        <v>0</v>
      </c>
    </row>
    <row r="3083" spans="1:4" x14ac:dyDescent="0.25">
      <c r="A3083" s="279">
        <v>39100</v>
      </c>
      <c r="B3083" s="309" t="s">
        <v>411</v>
      </c>
      <c r="C3083" s="309" t="s">
        <v>118</v>
      </c>
      <c r="D3083">
        <v>0</v>
      </c>
    </row>
    <row r="3084" spans="1:4" x14ac:dyDescent="0.25">
      <c r="A3084" s="279">
        <v>39100</v>
      </c>
      <c r="B3084" s="309" t="s">
        <v>411</v>
      </c>
      <c r="C3084" s="309" t="s">
        <v>407</v>
      </c>
      <c r="D3084">
        <v>218729</v>
      </c>
    </row>
    <row r="3085" spans="1:4" x14ac:dyDescent="0.25">
      <c r="A3085" s="279">
        <v>39100</v>
      </c>
      <c r="B3085" s="309" t="s">
        <v>411</v>
      </c>
      <c r="C3085" s="309" t="s">
        <v>412</v>
      </c>
      <c r="D3085">
        <v>1007</v>
      </c>
    </row>
    <row r="3086" spans="1:4" x14ac:dyDescent="0.25">
      <c r="A3086" s="279">
        <v>39100</v>
      </c>
      <c r="B3086" s="309" t="s">
        <v>411</v>
      </c>
      <c r="C3086" s="309" t="s">
        <v>409</v>
      </c>
      <c r="D3086">
        <v>1049</v>
      </c>
    </row>
    <row r="3087" spans="1:4" x14ac:dyDescent="0.25">
      <c r="A3087" s="279">
        <v>39101</v>
      </c>
      <c r="B3087" s="309" t="s">
        <v>405</v>
      </c>
      <c r="C3087" s="309" t="s">
        <v>406</v>
      </c>
      <c r="D3087">
        <v>3634767.1</v>
      </c>
    </row>
    <row r="3088" spans="1:4" x14ac:dyDescent="0.25">
      <c r="A3088" s="279">
        <v>39101</v>
      </c>
      <c r="B3088" s="309" t="s">
        <v>405</v>
      </c>
      <c r="C3088" s="309" t="s">
        <v>89</v>
      </c>
      <c r="D3088">
        <v>0</v>
      </c>
    </row>
    <row r="3089" spans="1:4" x14ac:dyDescent="0.25">
      <c r="A3089" s="279">
        <v>39101</v>
      </c>
      <c r="B3089" s="309" t="s">
        <v>405</v>
      </c>
      <c r="C3089" s="309" t="s">
        <v>198</v>
      </c>
      <c r="D3089">
        <v>0</v>
      </c>
    </row>
    <row r="3090" spans="1:4" x14ac:dyDescent="0.25">
      <c r="A3090" s="279">
        <v>39101</v>
      </c>
      <c r="B3090" s="309" t="s">
        <v>405</v>
      </c>
      <c r="C3090" s="309" t="s">
        <v>199</v>
      </c>
      <c r="D3090">
        <v>0</v>
      </c>
    </row>
    <row r="3091" spans="1:4" x14ac:dyDescent="0.25">
      <c r="A3091" s="279">
        <v>39101</v>
      </c>
      <c r="B3091" s="309" t="s">
        <v>405</v>
      </c>
      <c r="C3091" s="309" t="s">
        <v>90</v>
      </c>
      <c r="D3091">
        <v>5079</v>
      </c>
    </row>
    <row r="3092" spans="1:4" x14ac:dyDescent="0.25">
      <c r="A3092" s="279">
        <v>39101</v>
      </c>
      <c r="B3092" s="309" t="s">
        <v>405</v>
      </c>
      <c r="C3092" s="309" t="s">
        <v>24</v>
      </c>
      <c r="D3092">
        <v>0</v>
      </c>
    </row>
    <row r="3093" spans="1:4" x14ac:dyDescent="0.25">
      <c r="A3093" s="279">
        <v>39101</v>
      </c>
      <c r="B3093" s="309" t="s">
        <v>405</v>
      </c>
      <c r="C3093" s="309" t="s">
        <v>91</v>
      </c>
      <c r="D3093">
        <v>0</v>
      </c>
    </row>
    <row r="3094" spans="1:4" x14ac:dyDescent="0.25">
      <c r="A3094" s="279">
        <v>39101</v>
      </c>
      <c r="B3094" s="309" t="s">
        <v>405</v>
      </c>
      <c r="C3094" s="309" t="s">
        <v>118</v>
      </c>
      <c r="D3094">
        <v>0</v>
      </c>
    </row>
    <row r="3095" spans="1:4" x14ac:dyDescent="0.25">
      <c r="A3095" s="279">
        <v>39101</v>
      </c>
      <c r="B3095" s="309" t="s">
        <v>405</v>
      </c>
      <c r="C3095" s="309" t="s">
        <v>407</v>
      </c>
      <c r="D3095">
        <v>3629688.1</v>
      </c>
    </row>
    <row r="3096" spans="1:4" x14ac:dyDescent="0.25">
      <c r="A3096" s="279">
        <v>39101</v>
      </c>
      <c r="B3096" s="309" t="s">
        <v>405</v>
      </c>
      <c r="C3096" s="309" t="s">
        <v>408</v>
      </c>
      <c r="D3096">
        <v>1007</v>
      </c>
    </row>
    <row r="3097" spans="1:4" x14ac:dyDescent="0.25">
      <c r="A3097" s="279">
        <v>39101</v>
      </c>
      <c r="B3097" s="309" t="s">
        <v>405</v>
      </c>
      <c r="C3097" s="309" t="s">
        <v>409</v>
      </c>
      <c r="D3097">
        <v>1058</v>
      </c>
    </row>
    <row r="3098" spans="1:4" x14ac:dyDescent="0.25">
      <c r="A3098" s="279">
        <v>39101</v>
      </c>
      <c r="B3098" s="309" t="s">
        <v>405</v>
      </c>
      <c r="C3098" s="309" t="s">
        <v>410</v>
      </c>
      <c r="D3098">
        <v>1037</v>
      </c>
    </row>
    <row r="3099" spans="1:4" x14ac:dyDescent="0.25">
      <c r="A3099" s="279">
        <v>39101</v>
      </c>
      <c r="B3099" s="309" t="s">
        <v>411</v>
      </c>
      <c r="C3099" s="309" t="s">
        <v>406</v>
      </c>
      <c r="D3099">
        <v>218729</v>
      </c>
    </row>
    <row r="3100" spans="1:4" x14ac:dyDescent="0.25">
      <c r="A3100" s="279">
        <v>39101</v>
      </c>
      <c r="B3100" s="309" t="s">
        <v>411</v>
      </c>
      <c r="C3100" s="309" t="s">
        <v>198</v>
      </c>
      <c r="D3100">
        <v>0</v>
      </c>
    </row>
    <row r="3101" spans="1:4" x14ac:dyDescent="0.25">
      <c r="A3101" s="279">
        <v>39101</v>
      </c>
      <c r="B3101" s="309" t="s">
        <v>411</v>
      </c>
      <c r="C3101" s="309" t="s">
        <v>199</v>
      </c>
      <c r="D3101">
        <v>0</v>
      </c>
    </row>
    <row r="3102" spans="1:4" x14ac:dyDescent="0.25">
      <c r="A3102" s="279">
        <v>39101</v>
      </c>
      <c r="B3102" s="309" t="s">
        <v>411</v>
      </c>
      <c r="C3102" s="309" t="s">
        <v>90</v>
      </c>
      <c r="D3102">
        <v>277</v>
      </c>
    </row>
    <row r="3103" spans="1:4" x14ac:dyDescent="0.25">
      <c r="A3103" s="279">
        <v>39101</v>
      </c>
      <c r="B3103" s="309" t="s">
        <v>411</v>
      </c>
      <c r="C3103" s="309" t="s">
        <v>24</v>
      </c>
      <c r="D3103">
        <v>0</v>
      </c>
    </row>
    <row r="3104" spans="1:4" x14ac:dyDescent="0.25">
      <c r="A3104" s="279">
        <v>39101</v>
      </c>
      <c r="B3104" s="309" t="s">
        <v>411</v>
      </c>
      <c r="C3104" s="309" t="s">
        <v>91</v>
      </c>
      <c r="D3104">
        <v>0</v>
      </c>
    </row>
    <row r="3105" spans="1:4" x14ac:dyDescent="0.25">
      <c r="A3105" s="279">
        <v>39101</v>
      </c>
      <c r="B3105" s="309" t="s">
        <v>411</v>
      </c>
      <c r="C3105" s="309" t="s">
        <v>118</v>
      </c>
      <c r="D3105">
        <v>0</v>
      </c>
    </row>
    <row r="3106" spans="1:4" x14ac:dyDescent="0.25">
      <c r="A3106" s="279">
        <v>39101</v>
      </c>
      <c r="B3106" s="309" t="s">
        <v>411</v>
      </c>
      <c r="C3106" s="309" t="s">
        <v>407</v>
      </c>
      <c r="D3106">
        <v>218452</v>
      </c>
    </row>
    <row r="3107" spans="1:4" x14ac:dyDescent="0.25">
      <c r="A3107" s="279">
        <v>39101</v>
      </c>
      <c r="B3107" s="309" t="s">
        <v>411</v>
      </c>
      <c r="C3107" s="309" t="s">
        <v>412</v>
      </c>
      <c r="D3107">
        <v>1007</v>
      </c>
    </row>
    <row r="3108" spans="1:4" x14ac:dyDescent="0.25">
      <c r="A3108" s="279">
        <v>39101</v>
      </c>
      <c r="B3108" s="309" t="s">
        <v>411</v>
      </c>
      <c r="C3108" s="309" t="s">
        <v>409</v>
      </c>
      <c r="D3108">
        <v>1049</v>
      </c>
    </row>
    <row r="3109" spans="1:4" x14ac:dyDescent="0.25">
      <c r="A3109" s="279">
        <v>39102</v>
      </c>
      <c r="B3109" s="309" t="s">
        <v>405</v>
      </c>
      <c r="C3109" s="309" t="s">
        <v>406</v>
      </c>
      <c r="D3109">
        <v>3629688.1</v>
      </c>
    </row>
    <row r="3110" spans="1:4" x14ac:dyDescent="0.25">
      <c r="A3110" s="279">
        <v>39102</v>
      </c>
      <c r="B3110" s="309" t="s">
        <v>405</v>
      </c>
      <c r="C3110" s="309" t="s">
        <v>89</v>
      </c>
      <c r="D3110">
        <v>0</v>
      </c>
    </row>
    <row r="3111" spans="1:4" x14ac:dyDescent="0.25">
      <c r="A3111" s="279">
        <v>39102</v>
      </c>
      <c r="B3111" s="309" t="s">
        <v>405</v>
      </c>
      <c r="C3111" s="309" t="s">
        <v>198</v>
      </c>
      <c r="D3111">
        <v>0</v>
      </c>
    </row>
    <row r="3112" spans="1:4" x14ac:dyDescent="0.25">
      <c r="A3112" s="279">
        <v>39102</v>
      </c>
      <c r="B3112" s="309" t="s">
        <v>405</v>
      </c>
      <c r="C3112" s="309" t="s">
        <v>199</v>
      </c>
      <c r="D3112">
        <v>0</v>
      </c>
    </row>
    <row r="3113" spans="1:4" x14ac:dyDescent="0.25">
      <c r="A3113" s="279">
        <v>39102</v>
      </c>
      <c r="B3113" s="309" t="s">
        <v>405</v>
      </c>
      <c r="C3113" s="309" t="s">
        <v>90</v>
      </c>
      <c r="D3113">
        <v>201</v>
      </c>
    </row>
    <row r="3114" spans="1:4" x14ac:dyDescent="0.25">
      <c r="A3114" s="279">
        <v>39102</v>
      </c>
      <c r="B3114" s="309" t="s">
        <v>405</v>
      </c>
      <c r="C3114" s="309" t="s">
        <v>24</v>
      </c>
      <c r="D3114">
        <v>8089</v>
      </c>
    </row>
    <row r="3115" spans="1:4" x14ac:dyDescent="0.25">
      <c r="A3115" s="279">
        <v>39102</v>
      </c>
      <c r="B3115" s="309" t="s">
        <v>405</v>
      </c>
      <c r="C3115" s="309" t="s">
        <v>91</v>
      </c>
      <c r="D3115">
        <v>0</v>
      </c>
    </row>
    <row r="3116" spans="1:4" x14ac:dyDescent="0.25">
      <c r="A3116" s="279">
        <v>39102</v>
      </c>
      <c r="B3116" s="309" t="s">
        <v>405</v>
      </c>
      <c r="C3116" s="309" t="s">
        <v>118</v>
      </c>
      <c r="D3116">
        <v>0</v>
      </c>
    </row>
    <row r="3117" spans="1:4" x14ac:dyDescent="0.25">
      <c r="A3117" s="279">
        <v>39102</v>
      </c>
      <c r="B3117" s="309" t="s">
        <v>405</v>
      </c>
      <c r="C3117" s="309" t="s">
        <v>407</v>
      </c>
      <c r="D3117">
        <v>3621398.1</v>
      </c>
    </row>
    <row r="3118" spans="1:4" x14ac:dyDescent="0.25">
      <c r="A3118" s="279">
        <v>39102</v>
      </c>
      <c r="B3118" s="309" t="s">
        <v>405</v>
      </c>
      <c r="C3118" s="309" t="s">
        <v>408</v>
      </c>
      <c r="D3118">
        <v>1007</v>
      </c>
    </row>
    <row r="3119" spans="1:4" x14ac:dyDescent="0.25">
      <c r="A3119" s="279">
        <v>39102</v>
      </c>
      <c r="B3119" s="309" t="s">
        <v>405</v>
      </c>
      <c r="C3119" s="309" t="s">
        <v>409</v>
      </c>
      <c r="D3119">
        <v>1065</v>
      </c>
    </row>
    <row r="3120" spans="1:4" x14ac:dyDescent="0.25">
      <c r="A3120" s="279">
        <v>39102</v>
      </c>
      <c r="B3120" s="309" t="s">
        <v>405</v>
      </c>
      <c r="C3120" s="309" t="s">
        <v>410</v>
      </c>
      <c r="D3120">
        <v>1034</v>
      </c>
    </row>
    <row r="3121" spans="1:4" x14ac:dyDescent="0.25">
      <c r="A3121" s="279">
        <v>39102</v>
      </c>
      <c r="B3121" s="309" t="s">
        <v>411</v>
      </c>
      <c r="C3121" s="309" t="s">
        <v>406</v>
      </c>
      <c r="D3121">
        <v>218452</v>
      </c>
    </row>
    <row r="3122" spans="1:4" x14ac:dyDescent="0.25">
      <c r="A3122" s="279">
        <v>39102</v>
      </c>
      <c r="B3122" s="309" t="s">
        <v>411</v>
      </c>
      <c r="C3122" s="309" t="s">
        <v>198</v>
      </c>
      <c r="D3122">
        <v>0</v>
      </c>
    </row>
    <row r="3123" spans="1:4" x14ac:dyDescent="0.25">
      <c r="A3123" s="279">
        <v>39102</v>
      </c>
      <c r="B3123" s="309" t="s">
        <v>411</v>
      </c>
      <c r="C3123" s="309" t="s">
        <v>199</v>
      </c>
      <c r="D3123">
        <v>0</v>
      </c>
    </row>
    <row r="3124" spans="1:4" x14ac:dyDescent="0.25">
      <c r="A3124" s="279">
        <v>39102</v>
      </c>
      <c r="B3124" s="309" t="s">
        <v>411</v>
      </c>
      <c r="C3124" s="309" t="s">
        <v>90</v>
      </c>
      <c r="D3124">
        <v>60</v>
      </c>
    </row>
    <row r="3125" spans="1:4" x14ac:dyDescent="0.25">
      <c r="A3125" s="279">
        <v>39102</v>
      </c>
      <c r="B3125" s="309" t="s">
        <v>411</v>
      </c>
      <c r="C3125" s="309" t="s">
        <v>24</v>
      </c>
      <c r="D3125">
        <v>0</v>
      </c>
    </row>
    <row r="3126" spans="1:4" x14ac:dyDescent="0.25">
      <c r="A3126" s="279">
        <v>39102</v>
      </c>
      <c r="B3126" s="309" t="s">
        <v>411</v>
      </c>
      <c r="C3126" s="309" t="s">
        <v>91</v>
      </c>
      <c r="D3126">
        <v>0</v>
      </c>
    </row>
    <row r="3127" spans="1:4" x14ac:dyDescent="0.25">
      <c r="A3127" s="279">
        <v>39102</v>
      </c>
      <c r="B3127" s="309" t="s">
        <v>411</v>
      </c>
      <c r="C3127" s="309" t="s">
        <v>118</v>
      </c>
      <c r="D3127">
        <v>0</v>
      </c>
    </row>
    <row r="3128" spans="1:4" x14ac:dyDescent="0.25">
      <c r="A3128" s="279">
        <v>39102</v>
      </c>
      <c r="B3128" s="309" t="s">
        <v>411</v>
      </c>
      <c r="C3128" s="309" t="s">
        <v>407</v>
      </c>
      <c r="D3128">
        <v>218392</v>
      </c>
    </row>
    <row r="3129" spans="1:4" x14ac:dyDescent="0.25">
      <c r="A3129" s="279">
        <v>39102</v>
      </c>
      <c r="B3129" s="309" t="s">
        <v>411</v>
      </c>
      <c r="C3129" s="309" t="s">
        <v>412</v>
      </c>
      <c r="D3129">
        <v>1007</v>
      </c>
    </row>
    <row r="3130" spans="1:4" x14ac:dyDescent="0.25">
      <c r="A3130" s="279">
        <v>39102</v>
      </c>
      <c r="B3130" s="309" t="s">
        <v>411</v>
      </c>
      <c r="C3130" s="309" t="s">
        <v>409</v>
      </c>
      <c r="D3130">
        <v>1049</v>
      </c>
    </row>
    <row r="3131" spans="1:4" x14ac:dyDescent="0.25">
      <c r="A3131" s="279">
        <v>39103</v>
      </c>
      <c r="B3131" s="309" t="s">
        <v>405</v>
      </c>
      <c r="C3131" s="309" t="s">
        <v>406</v>
      </c>
      <c r="D3131">
        <v>3621398.1</v>
      </c>
    </row>
    <row r="3132" spans="1:4" x14ac:dyDescent="0.25">
      <c r="A3132" s="279">
        <v>39103</v>
      </c>
      <c r="B3132" s="309" t="s">
        <v>405</v>
      </c>
      <c r="C3132" s="309" t="s">
        <v>89</v>
      </c>
      <c r="D3132">
        <v>0</v>
      </c>
    </row>
    <row r="3133" spans="1:4" x14ac:dyDescent="0.25">
      <c r="A3133" s="279">
        <v>39103</v>
      </c>
      <c r="B3133" s="309" t="s">
        <v>405</v>
      </c>
      <c r="C3133" s="309" t="s">
        <v>198</v>
      </c>
      <c r="D3133">
        <v>0</v>
      </c>
    </row>
    <row r="3134" spans="1:4" x14ac:dyDescent="0.25">
      <c r="A3134" s="279">
        <v>39103</v>
      </c>
      <c r="B3134" s="309" t="s">
        <v>405</v>
      </c>
      <c r="C3134" s="309" t="s">
        <v>199</v>
      </c>
      <c r="D3134">
        <v>0</v>
      </c>
    </row>
    <row r="3135" spans="1:4" x14ac:dyDescent="0.25">
      <c r="A3135" s="279">
        <v>39103</v>
      </c>
      <c r="B3135" s="309" t="s">
        <v>405</v>
      </c>
      <c r="C3135" s="309" t="s">
        <v>90</v>
      </c>
      <c r="D3135">
        <v>4453</v>
      </c>
    </row>
    <row r="3136" spans="1:4" x14ac:dyDescent="0.25">
      <c r="A3136" s="279">
        <v>39103</v>
      </c>
      <c r="B3136" s="309" t="s">
        <v>405</v>
      </c>
      <c r="C3136" s="309" t="s">
        <v>24</v>
      </c>
      <c r="D3136">
        <v>15867</v>
      </c>
    </row>
    <row r="3137" spans="1:4" x14ac:dyDescent="0.25">
      <c r="A3137" s="279">
        <v>39103</v>
      </c>
      <c r="B3137" s="309" t="s">
        <v>405</v>
      </c>
      <c r="C3137" s="309" t="s">
        <v>91</v>
      </c>
      <c r="D3137">
        <v>0</v>
      </c>
    </row>
    <row r="3138" spans="1:4" x14ac:dyDescent="0.25">
      <c r="A3138" s="279">
        <v>39103</v>
      </c>
      <c r="B3138" s="309" t="s">
        <v>405</v>
      </c>
      <c r="C3138" s="309" t="s">
        <v>118</v>
      </c>
      <c r="D3138">
        <v>0</v>
      </c>
    </row>
    <row r="3139" spans="1:4" x14ac:dyDescent="0.25">
      <c r="A3139" s="279">
        <v>39103</v>
      </c>
      <c r="B3139" s="309" t="s">
        <v>405</v>
      </c>
      <c r="C3139" s="309" t="s">
        <v>407</v>
      </c>
      <c r="D3139">
        <v>3601078.1</v>
      </c>
    </row>
    <row r="3140" spans="1:4" x14ac:dyDescent="0.25">
      <c r="A3140" s="279">
        <v>39103</v>
      </c>
      <c r="B3140" s="309" t="s">
        <v>405</v>
      </c>
      <c r="C3140" s="309" t="s">
        <v>408</v>
      </c>
      <c r="D3140">
        <v>1007</v>
      </c>
    </row>
    <row r="3141" spans="1:4" x14ac:dyDescent="0.25">
      <c r="A3141" s="279">
        <v>39103</v>
      </c>
      <c r="B3141" s="309" t="s">
        <v>405</v>
      </c>
      <c r="C3141" s="309" t="s">
        <v>409</v>
      </c>
      <c r="D3141">
        <v>1065</v>
      </c>
    </row>
    <row r="3142" spans="1:4" x14ac:dyDescent="0.25">
      <c r="A3142" s="279">
        <v>39103</v>
      </c>
      <c r="B3142" s="309" t="s">
        <v>405</v>
      </c>
      <c r="C3142" s="309" t="s">
        <v>410</v>
      </c>
      <c r="D3142">
        <v>1032</v>
      </c>
    </row>
    <row r="3143" spans="1:4" x14ac:dyDescent="0.25">
      <c r="A3143" s="279">
        <v>39103</v>
      </c>
      <c r="B3143" s="309" t="s">
        <v>411</v>
      </c>
      <c r="C3143" s="309" t="s">
        <v>406</v>
      </c>
      <c r="D3143">
        <v>218392</v>
      </c>
    </row>
    <row r="3144" spans="1:4" x14ac:dyDescent="0.25">
      <c r="A3144" s="279">
        <v>39103</v>
      </c>
      <c r="B3144" s="309" t="s">
        <v>411</v>
      </c>
      <c r="C3144" s="309" t="s">
        <v>198</v>
      </c>
      <c r="D3144">
        <v>0</v>
      </c>
    </row>
    <row r="3145" spans="1:4" x14ac:dyDescent="0.25">
      <c r="A3145" s="279">
        <v>39103</v>
      </c>
      <c r="B3145" s="309" t="s">
        <v>411</v>
      </c>
      <c r="C3145" s="309" t="s">
        <v>199</v>
      </c>
      <c r="D3145">
        <v>0</v>
      </c>
    </row>
    <row r="3146" spans="1:4" x14ac:dyDescent="0.25">
      <c r="A3146" s="279">
        <v>39103</v>
      </c>
      <c r="B3146" s="309" t="s">
        <v>411</v>
      </c>
      <c r="C3146" s="309" t="s">
        <v>90</v>
      </c>
      <c r="D3146">
        <v>68</v>
      </c>
    </row>
    <row r="3147" spans="1:4" x14ac:dyDescent="0.25">
      <c r="A3147" s="279">
        <v>39103</v>
      </c>
      <c r="B3147" s="309" t="s">
        <v>411</v>
      </c>
      <c r="C3147" s="309" t="s">
        <v>24</v>
      </c>
      <c r="D3147">
        <v>0</v>
      </c>
    </row>
    <row r="3148" spans="1:4" x14ac:dyDescent="0.25">
      <c r="A3148" s="279">
        <v>39103</v>
      </c>
      <c r="B3148" s="309" t="s">
        <v>411</v>
      </c>
      <c r="C3148" s="309" t="s">
        <v>91</v>
      </c>
      <c r="D3148">
        <v>0</v>
      </c>
    </row>
    <row r="3149" spans="1:4" x14ac:dyDescent="0.25">
      <c r="A3149" s="279">
        <v>39103</v>
      </c>
      <c r="B3149" s="309" t="s">
        <v>411</v>
      </c>
      <c r="C3149" s="309" t="s">
        <v>118</v>
      </c>
      <c r="D3149">
        <v>0</v>
      </c>
    </row>
    <row r="3150" spans="1:4" x14ac:dyDescent="0.25">
      <c r="A3150" s="279">
        <v>39103</v>
      </c>
      <c r="B3150" s="309" t="s">
        <v>411</v>
      </c>
      <c r="C3150" s="309" t="s">
        <v>407</v>
      </c>
      <c r="D3150">
        <v>218324</v>
      </c>
    </row>
    <row r="3151" spans="1:4" x14ac:dyDescent="0.25">
      <c r="A3151" s="279">
        <v>39103</v>
      </c>
      <c r="B3151" s="309" t="s">
        <v>411</v>
      </c>
      <c r="C3151" s="309" t="s">
        <v>412</v>
      </c>
      <c r="D3151">
        <v>1007</v>
      </c>
    </row>
    <row r="3152" spans="1:4" x14ac:dyDescent="0.25">
      <c r="A3152" s="279">
        <v>39103</v>
      </c>
      <c r="B3152" s="309" t="s">
        <v>411</v>
      </c>
      <c r="C3152" s="309" t="s">
        <v>409</v>
      </c>
      <c r="D3152">
        <v>1049</v>
      </c>
    </row>
    <row r="3153" spans="1:4" x14ac:dyDescent="0.25">
      <c r="A3153" s="279">
        <v>39104</v>
      </c>
      <c r="B3153" s="309" t="s">
        <v>405</v>
      </c>
      <c r="C3153" s="309" t="s">
        <v>406</v>
      </c>
      <c r="D3153">
        <v>3601078.1</v>
      </c>
    </row>
    <row r="3154" spans="1:4" x14ac:dyDescent="0.25">
      <c r="A3154" s="279">
        <v>39104</v>
      </c>
      <c r="B3154" s="309" t="s">
        <v>405</v>
      </c>
      <c r="C3154" s="309" t="s">
        <v>89</v>
      </c>
      <c r="D3154">
        <v>0</v>
      </c>
    </row>
    <row r="3155" spans="1:4" x14ac:dyDescent="0.25">
      <c r="A3155" s="279">
        <v>39104</v>
      </c>
      <c r="B3155" s="309" t="s">
        <v>405</v>
      </c>
      <c r="C3155" s="309" t="s">
        <v>198</v>
      </c>
      <c r="D3155">
        <v>0</v>
      </c>
    </row>
    <row r="3156" spans="1:4" x14ac:dyDescent="0.25">
      <c r="A3156" s="279">
        <v>39104</v>
      </c>
      <c r="B3156" s="309" t="s">
        <v>405</v>
      </c>
      <c r="C3156" s="309" t="s">
        <v>199</v>
      </c>
      <c r="D3156">
        <v>0</v>
      </c>
    </row>
    <row r="3157" spans="1:4" x14ac:dyDescent="0.25">
      <c r="A3157" s="279">
        <v>39104</v>
      </c>
      <c r="B3157" s="309" t="s">
        <v>405</v>
      </c>
      <c r="C3157" s="309" t="s">
        <v>90</v>
      </c>
      <c r="D3157">
        <v>5881</v>
      </c>
    </row>
    <row r="3158" spans="1:4" x14ac:dyDescent="0.25">
      <c r="A3158" s="279">
        <v>39104</v>
      </c>
      <c r="B3158" s="309" t="s">
        <v>405</v>
      </c>
      <c r="C3158" s="309" t="s">
        <v>24</v>
      </c>
      <c r="D3158">
        <v>0</v>
      </c>
    </row>
    <row r="3159" spans="1:4" x14ac:dyDescent="0.25">
      <c r="A3159" s="279">
        <v>39104</v>
      </c>
      <c r="B3159" s="309" t="s">
        <v>405</v>
      </c>
      <c r="C3159" s="309" t="s">
        <v>91</v>
      </c>
      <c r="D3159">
        <v>0</v>
      </c>
    </row>
    <row r="3160" spans="1:4" x14ac:dyDescent="0.25">
      <c r="A3160" s="279">
        <v>39104</v>
      </c>
      <c r="B3160" s="309" t="s">
        <v>405</v>
      </c>
      <c r="C3160" s="309" t="s">
        <v>118</v>
      </c>
      <c r="D3160">
        <v>0</v>
      </c>
    </row>
    <row r="3161" spans="1:4" x14ac:dyDescent="0.25">
      <c r="A3161" s="279">
        <v>39104</v>
      </c>
      <c r="B3161" s="309" t="s">
        <v>405</v>
      </c>
      <c r="C3161" s="309" t="s">
        <v>407</v>
      </c>
      <c r="D3161">
        <v>3595197.1</v>
      </c>
    </row>
    <row r="3162" spans="1:4" x14ac:dyDescent="0.25">
      <c r="A3162" s="279">
        <v>39104</v>
      </c>
      <c r="B3162" s="309" t="s">
        <v>405</v>
      </c>
      <c r="C3162" s="309" t="s">
        <v>408</v>
      </c>
      <c r="D3162">
        <v>1007</v>
      </c>
    </row>
    <row r="3163" spans="1:4" x14ac:dyDescent="0.25">
      <c r="A3163" s="279">
        <v>39104</v>
      </c>
      <c r="B3163" s="309" t="s">
        <v>405</v>
      </c>
      <c r="C3163" s="309" t="s">
        <v>409</v>
      </c>
      <c r="D3163">
        <v>1058</v>
      </c>
    </row>
    <row r="3164" spans="1:4" x14ac:dyDescent="0.25">
      <c r="A3164" s="279">
        <v>39104</v>
      </c>
      <c r="B3164" s="309" t="s">
        <v>405</v>
      </c>
      <c r="C3164" s="309" t="s">
        <v>410</v>
      </c>
      <c r="D3164">
        <v>1032</v>
      </c>
    </row>
    <row r="3165" spans="1:4" x14ac:dyDescent="0.25">
      <c r="A3165" s="279">
        <v>39104</v>
      </c>
      <c r="B3165" s="309" t="s">
        <v>411</v>
      </c>
      <c r="C3165" s="309" t="s">
        <v>406</v>
      </c>
      <c r="D3165">
        <v>218324</v>
      </c>
    </row>
    <row r="3166" spans="1:4" x14ac:dyDescent="0.25">
      <c r="A3166" s="279">
        <v>39104</v>
      </c>
      <c r="B3166" s="309" t="s">
        <v>411</v>
      </c>
      <c r="C3166" s="309" t="s">
        <v>198</v>
      </c>
      <c r="D3166">
        <v>0</v>
      </c>
    </row>
    <row r="3167" spans="1:4" x14ac:dyDescent="0.25">
      <c r="A3167" s="279">
        <v>39104</v>
      </c>
      <c r="B3167" s="309" t="s">
        <v>411</v>
      </c>
      <c r="C3167" s="309" t="s">
        <v>199</v>
      </c>
      <c r="D3167">
        <v>0</v>
      </c>
    </row>
    <row r="3168" spans="1:4" x14ac:dyDescent="0.25">
      <c r="A3168" s="279">
        <v>39104</v>
      </c>
      <c r="B3168" s="309" t="s">
        <v>411</v>
      </c>
      <c r="C3168" s="309" t="s">
        <v>90</v>
      </c>
      <c r="D3168">
        <v>149</v>
      </c>
    </row>
    <row r="3169" spans="1:4" x14ac:dyDescent="0.25">
      <c r="A3169" s="279">
        <v>39104</v>
      </c>
      <c r="B3169" s="309" t="s">
        <v>411</v>
      </c>
      <c r="C3169" s="309" t="s">
        <v>24</v>
      </c>
      <c r="D3169">
        <v>0</v>
      </c>
    </row>
    <row r="3170" spans="1:4" x14ac:dyDescent="0.25">
      <c r="A3170" s="279">
        <v>39104</v>
      </c>
      <c r="B3170" s="309" t="s">
        <v>411</v>
      </c>
      <c r="C3170" s="309" t="s">
        <v>91</v>
      </c>
      <c r="D3170">
        <v>0</v>
      </c>
    </row>
    <row r="3171" spans="1:4" x14ac:dyDescent="0.25">
      <c r="A3171" s="279">
        <v>39104</v>
      </c>
      <c r="B3171" s="309" t="s">
        <v>411</v>
      </c>
      <c r="C3171" s="309" t="s">
        <v>118</v>
      </c>
      <c r="D3171">
        <v>0</v>
      </c>
    </row>
    <row r="3172" spans="1:4" x14ac:dyDescent="0.25">
      <c r="A3172" s="279">
        <v>39104</v>
      </c>
      <c r="B3172" s="309" t="s">
        <v>411</v>
      </c>
      <c r="C3172" s="309" t="s">
        <v>407</v>
      </c>
      <c r="D3172">
        <v>218175</v>
      </c>
    </row>
    <row r="3173" spans="1:4" x14ac:dyDescent="0.25">
      <c r="A3173" s="279">
        <v>39104</v>
      </c>
      <c r="B3173" s="309" t="s">
        <v>411</v>
      </c>
      <c r="C3173" s="309" t="s">
        <v>412</v>
      </c>
      <c r="D3173">
        <v>1007</v>
      </c>
    </row>
    <row r="3174" spans="1:4" x14ac:dyDescent="0.25">
      <c r="A3174" s="279">
        <v>39104</v>
      </c>
      <c r="B3174" s="309" t="s">
        <v>411</v>
      </c>
      <c r="C3174" s="309" t="s">
        <v>409</v>
      </c>
      <c r="D3174">
        <v>1049</v>
      </c>
    </row>
    <row r="3175" spans="1:4" x14ac:dyDescent="0.25">
      <c r="A3175" s="279">
        <v>39105</v>
      </c>
      <c r="B3175" s="309" t="s">
        <v>405</v>
      </c>
      <c r="C3175" s="309" t="s">
        <v>406</v>
      </c>
      <c r="D3175">
        <v>3595197.1</v>
      </c>
    </row>
    <row r="3176" spans="1:4" x14ac:dyDescent="0.25">
      <c r="A3176" s="279">
        <v>39105</v>
      </c>
      <c r="B3176" s="309" t="s">
        <v>405</v>
      </c>
      <c r="C3176" s="309" t="s">
        <v>89</v>
      </c>
      <c r="D3176">
        <v>0</v>
      </c>
    </row>
    <row r="3177" spans="1:4" x14ac:dyDescent="0.25">
      <c r="A3177" s="279">
        <v>39105</v>
      </c>
      <c r="B3177" s="309" t="s">
        <v>405</v>
      </c>
      <c r="C3177" s="309" t="s">
        <v>198</v>
      </c>
      <c r="D3177">
        <v>0</v>
      </c>
    </row>
    <row r="3178" spans="1:4" x14ac:dyDescent="0.25">
      <c r="A3178" s="279">
        <v>39105</v>
      </c>
      <c r="B3178" s="309" t="s">
        <v>405</v>
      </c>
      <c r="C3178" s="309" t="s">
        <v>199</v>
      </c>
      <c r="D3178">
        <v>0</v>
      </c>
    </row>
    <row r="3179" spans="1:4" x14ac:dyDescent="0.25">
      <c r="A3179" s="279">
        <v>39105</v>
      </c>
      <c r="B3179" s="309" t="s">
        <v>405</v>
      </c>
      <c r="C3179" s="309" t="s">
        <v>90</v>
      </c>
      <c r="D3179">
        <v>3475</v>
      </c>
    </row>
    <row r="3180" spans="1:4" x14ac:dyDescent="0.25">
      <c r="A3180" s="279">
        <v>39105</v>
      </c>
      <c r="B3180" s="309" t="s">
        <v>405</v>
      </c>
      <c r="C3180" s="309" t="s">
        <v>24</v>
      </c>
      <c r="D3180">
        <v>0</v>
      </c>
    </row>
    <row r="3181" spans="1:4" x14ac:dyDescent="0.25">
      <c r="A3181" s="279">
        <v>39105</v>
      </c>
      <c r="B3181" s="309" t="s">
        <v>405</v>
      </c>
      <c r="C3181" s="309" t="s">
        <v>91</v>
      </c>
      <c r="D3181">
        <v>0</v>
      </c>
    </row>
    <row r="3182" spans="1:4" x14ac:dyDescent="0.25">
      <c r="A3182" s="279">
        <v>39105</v>
      </c>
      <c r="B3182" s="309" t="s">
        <v>405</v>
      </c>
      <c r="C3182" s="309" t="s">
        <v>118</v>
      </c>
      <c r="D3182">
        <v>0</v>
      </c>
    </row>
    <row r="3183" spans="1:4" x14ac:dyDescent="0.25">
      <c r="A3183" s="279">
        <v>39105</v>
      </c>
      <c r="B3183" s="309" t="s">
        <v>405</v>
      </c>
      <c r="C3183" s="309" t="s">
        <v>407</v>
      </c>
      <c r="D3183">
        <v>3591722.1</v>
      </c>
    </row>
    <row r="3184" spans="1:4" x14ac:dyDescent="0.25">
      <c r="A3184" s="279">
        <v>39105</v>
      </c>
      <c r="B3184" s="309" t="s">
        <v>405</v>
      </c>
      <c r="C3184" s="309" t="s">
        <v>408</v>
      </c>
      <c r="D3184">
        <v>1007</v>
      </c>
    </row>
    <row r="3185" spans="1:4" x14ac:dyDescent="0.25">
      <c r="A3185" s="279">
        <v>39105</v>
      </c>
      <c r="B3185" s="309" t="s">
        <v>405</v>
      </c>
      <c r="C3185" s="309" t="s">
        <v>409</v>
      </c>
      <c r="D3185">
        <v>1058</v>
      </c>
    </row>
    <row r="3186" spans="1:4" x14ac:dyDescent="0.25">
      <c r="A3186" s="279">
        <v>39105</v>
      </c>
      <c r="B3186" s="309" t="s">
        <v>405</v>
      </c>
      <c r="C3186" s="309" t="s">
        <v>410</v>
      </c>
      <c r="D3186">
        <v>1030</v>
      </c>
    </row>
    <row r="3187" spans="1:4" x14ac:dyDescent="0.25">
      <c r="A3187" s="279">
        <v>39105</v>
      </c>
      <c r="B3187" s="309" t="s">
        <v>411</v>
      </c>
      <c r="C3187" s="309" t="s">
        <v>406</v>
      </c>
      <c r="D3187">
        <v>218175</v>
      </c>
    </row>
    <row r="3188" spans="1:4" x14ac:dyDescent="0.25">
      <c r="A3188" s="279">
        <v>39105</v>
      </c>
      <c r="B3188" s="309" t="s">
        <v>411</v>
      </c>
      <c r="C3188" s="309" t="s">
        <v>198</v>
      </c>
      <c r="D3188">
        <v>0</v>
      </c>
    </row>
    <row r="3189" spans="1:4" x14ac:dyDescent="0.25">
      <c r="A3189" s="279">
        <v>39105</v>
      </c>
      <c r="B3189" s="309" t="s">
        <v>411</v>
      </c>
      <c r="C3189" s="309" t="s">
        <v>199</v>
      </c>
      <c r="D3189">
        <v>0</v>
      </c>
    </row>
    <row r="3190" spans="1:4" x14ac:dyDescent="0.25">
      <c r="A3190" s="279">
        <v>39105</v>
      </c>
      <c r="B3190" s="309" t="s">
        <v>411</v>
      </c>
      <c r="C3190" s="309" t="s">
        <v>90</v>
      </c>
      <c r="D3190">
        <v>277</v>
      </c>
    </row>
    <row r="3191" spans="1:4" x14ac:dyDescent="0.25">
      <c r="A3191" s="279">
        <v>39105</v>
      </c>
      <c r="B3191" s="309" t="s">
        <v>411</v>
      </c>
      <c r="C3191" s="309" t="s">
        <v>24</v>
      </c>
      <c r="D3191">
        <v>0</v>
      </c>
    </row>
    <row r="3192" spans="1:4" x14ac:dyDescent="0.25">
      <c r="A3192" s="279">
        <v>39105</v>
      </c>
      <c r="B3192" s="309" t="s">
        <v>411</v>
      </c>
      <c r="C3192" s="309" t="s">
        <v>91</v>
      </c>
      <c r="D3192">
        <v>0</v>
      </c>
    </row>
    <row r="3193" spans="1:4" x14ac:dyDescent="0.25">
      <c r="A3193" s="279">
        <v>39105</v>
      </c>
      <c r="B3193" s="309" t="s">
        <v>411</v>
      </c>
      <c r="C3193" s="309" t="s">
        <v>118</v>
      </c>
      <c r="D3193">
        <v>0</v>
      </c>
    </row>
    <row r="3194" spans="1:4" x14ac:dyDescent="0.25">
      <c r="A3194" s="279">
        <v>39105</v>
      </c>
      <c r="B3194" s="309" t="s">
        <v>411</v>
      </c>
      <c r="C3194" s="309" t="s">
        <v>407</v>
      </c>
      <c r="D3194">
        <v>217898</v>
      </c>
    </row>
    <row r="3195" spans="1:4" x14ac:dyDescent="0.25">
      <c r="A3195" s="279">
        <v>39105</v>
      </c>
      <c r="B3195" s="309" t="s">
        <v>411</v>
      </c>
      <c r="C3195" s="309" t="s">
        <v>412</v>
      </c>
      <c r="D3195">
        <v>1007</v>
      </c>
    </row>
    <row r="3196" spans="1:4" x14ac:dyDescent="0.25">
      <c r="A3196" s="279">
        <v>39105</v>
      </c>
      <c r="B3196" s="309" t="s">
        <v>411</v>
      </c>
      <c r="C3196" s="309" t="s">
        <v>409</v>
      </c>
      <c r="D3196">
        <v>1049</v>
      </c>
    </row>
    <row r="3197" spans="1:4" x14ac:dyDescent="0.25">
      <c r="A3197" s="279">
        <v>39106</v>
      </c>
      <c r="B3197" s="309" t="s">
        <v>405</v>
      </c>
      <c r="C3197" s="309" t="s">
        <v>406</v>
      </c>
      <c r="D3197">
        <v>3591722.1</v>
      </c>
    </row>
    <row r="3198" spans="1:4" x14ac:dyDescent="0.25">
      <c r="A3198" s="279">
        <v>39106</v>
      </c>
      <c r="B3198" s="309" t="s">
        <v>405</v>
      </c>
      <c r="C3198" s="309" t="s">
        <v>89</v>
      </c>
      <c r="D3198">
        <v>0</v>
      </c>
    </row>
    <row r="3199" spans="1:4" x14ac:dyDescent="0.25">
      <c r="A3199" s="279">
        <v>39106</v>
      </c>
      <c r="B3199" s="309" t="s">
        <v>405</v>
      </c>
      <c r="C3199" s="309" t="s">
        <v>198</v>
      </c>
      <c r="D3199">
        <v>0</v>
      </c>
    </row>
    <row r="3200" spans="1:4" x14ac:dyDescent="0.25">
      <c r="A3200" s="279">
        <v>39106</v>
      </c>
      <c r="B3200" s="309" t="s">
        <v>405</v>
      </c>
      <c r="C3200" s="309" t="s">
        <v>199</v>
      </c>
      <c r="D3200">
        <v>0</v>
      </c>
    </row>
    <row r="3201" spans="1:4" x14ac:dyDescent="0.25">
      <c r="A3201" s="279">
        <v>39106</v>
      </c>
      <c r="B3201" s="309" t="s">
        <v>405</v>
      </c>
      <c r="C3201" s="309" t="s">
        <v>90</v>
      </c>
      <c r="D3201">
        <v>2405</v>
      </c>
    </row>
    <row r="3202" spans="1:4" x14ac:dyDescent="0.25">
      <c r="A3202" s="279">
        <v>39106</v>
      </c>
      <c r="B3202" s="309" t="s">
        <v>405</v>
      </c>
      <c r="C3202" s="309" t="s">
        <v>24</v>
      </c>
      <c r="D3202">
        <v>0</v>
      </c>
    </row>
    <row r="3203" spans="1:4" x14ac:dyDescent="0.25">
      <c r="A3203" s="279">
        <v>39106</v>
      </c>
      <c r="B3203" s="309" t="s">
        <v>405</v>
      </c>
      <c r="C3203" s="309" t="s">
        <v>91</v>
      </c>
      <c r="D3203">
        <v>0</v>
      </c>
    </row>
    <row r="3204" spans="1:4" x14ac:dyDescent="0.25">
      <c r="A3204" s="279">
        <v>39106</v>
      </c>
      <c r="B3204" s="309" t="s">
        <v>405</v>
      </c>
      <c r="C3204" s="309" t="s">
        <v>118</v>
      </c>
      <c r="D3204">
        <v>0</v>
      </c>
    </row>
    <row r="3205" spans="1:4" x14ac:dyDescent="0.25">
      <c r="A3205" s="279">
        <v>39106</v>
      </c>
      <c r="B3205" s="309" t="s">
        <v>405</v>
      </c>
      <c r="C3205" s="309" t="s">
        <v>407</v>
      </c>
      <c r="D3205">
        <v>3589317.1</v>
      </c>
    </row>
    <row r="3206" spans="1:4" x14ac:dyDescent="0.25">
      <c r="A3206" s="279">
        <v>39106</v>
      </c>
      <c r="B3206" s="309" t="s">
        <v>405</v>
      </c>
      <c r="C3206" s="309" t="s">
        <v>408</v>
      </c>
      <c r="D3206">
        <v>1007</v>
      </c>
    </row>
    <row r="3207" spans="1:4" x14ac:dyDescent="0.25">
      <c r="A3207" s="279">
        <v>39106</v>
      </c>
      <c r="B3207" s="309" t="s">
        <v>405</v>
      </c>
      <c r="C3207" s="309" t="s">
        <v>409</v>
      </c>
      <c r="D3207">
        <v>1058</v>
      </c>
    </row>
    <row r="3208" spans="1:4" x14ac:dyDescent="0.25">
      <c r="A3208" s="279">
        <v>39106</v>
      </c>
      <c r="B3208" s="309" t="s">
        <v>405</v>
      </c>
      <c r="C3208" s="309" t="s">
        <v>410</v>
      </c>
      <c r="D3208">
        <v>1030</v>
      </c>
    </row>
    <row r="3209" spans="1:4" x14ac:dyDescent="0.25">
      <c r="A3209" s="279">
        <v>39106</v>
      </c>
      <c r="B3209" s="309" t="s">
        <v>411</v>
      </c>
      <c r="C3209" s="309" t="s">
        <v>406</v>
      </c>
      <c r="D3209">
        <v>217898</v>
      </c>
    </row>
    <row r="3210" spans="1:4" x14ac:dyDescent="0.25">
      <c r="A3210" s="279">
        <v>39106</v>
      </c>
      <c r="B3210" s="309" t="s">
        <v>411</v>
      </c>
      <c r="C3210" s="309" t="s">
        <v>198</v>
      </c>
      <c r="D3210">
        <v>0</v>
      </c>
    </row>
    <row r="3211" spans="1:4" x14ac:dyDescent="0.25">
      <c r="A3211" s="279">
        <v>39106</v>
      </c>
      <c r="B3211" s="309" t="s">
        <v>411</v>
      </c>
      <c r="C3211" s="309" t="s">
        <v>199</v>
      </c>
      <c r="D3211">
        <v>0</v>
      </c>
    </row>
    <row r="3212" spans="1:4" x14ac:dyDescent="0.25">
      <c r="A3212" s="279">
        <v>39106</v>
      </c>
      <c r="B3212" s="309" t="s">
        <v>411</v>
      </c>
      <c r="C3212" s="309" t="s">
        <v>90</v>
      </c>
      <c r="D3212">
        <v>68</v>
      </c>
    </row>
    <row r="3213" spans="1:4" x14ac:dyDescent="0.25">
      <c r="A3213" s="279">
        <v>39106</v>
      </c>
      <c r="B3213" s="309" t="s">
        <v>411</v>
      </c>
      <c r="C3213" s="309" t="s">
        <v>24</v>
      </c>
      <c r="D3213">
        <v>0</v>
      </c>
    </row>
    <row r="3214" spans="1:4" x14ac:dyDescent="0.25">
      <c r="A3214" s="279">
        <v>39106</v>
      </c>
      <c r="B3214" s="309" t="s">
        <v>411</v>
      </c>
      <c r="C3214" s="309" t="s">
        <v>91</v>
      </c>
      <c r="D3214">
        <v>0</v>
      </c>
    </row>
    <row r="3215" spans="1:4" x14ac:dyDescent="0.25">
      <c r="A3215" s="279">
        <v>39106</v>
      </c>
      <c r="B3215" s="309" t="s">
        <v>411</v>
      </c>
      <c r="C3215" s="309" t="s">
        <v>118</v>
      </c>
      <c r="D3215">
        <v>0</v>
      </c>
    </row>
    <row r="3216" spans="1:4" x14ac:dyDescent="0.25">
      <c r="A3216" s="279">
        <v>39106</v>
      </c>
      <c r="B3216" s="309" t="s">
        <v>411</v>
      </c>
      <c r="C3216" s="309" t="s">
        <v>407</v>
      </c>
      <c r="D3216">
        <v>217830</v>
      </c>
    </row>
    <row r="3217" spans="1:4" x14ac:dyDescent="0.25">
      <c r="A3217" s="279">
        <v>39106</v>
      </c>
      <c r="B3217" s="309" t="s">
        <v>411</v>
      </c>
      <c r="C3217" s="309" t="s">
        <v>412</v>
      </c>
      <c r="D3217">
        <v>1007</v>
      </c>
    </row>
    <row r="3218" spans="1:4" x14ac:dyDescent="0.25">
      <c r="A3218" s="279">
        <v>39106</v>
      </c>
      <c r="B3218" s="309" t="s">
        <v>411</v>
      </c>
      <c r="C3218" s="309" t="s">
        <v>409</v>
      </c>
      <c r="D3218">
        <v>1049</v>
      </c>
    </row>
    <row r="3219" spans="1:4" x14ac:dyDescent="0.25">
      <c r="A3219" s="279">
        <v>39107</v>
      </c>
      <c r="B3219" s="309" t="s">
        <v>405</v>
      </c>
      <c r="C3219" s="309" t="s">
        <v>406</v>
      </c>
      <c r="D3219">
        <v>3589317.1</v>
      </c>
    </row>
    <row r="3220" spans="1:4" x14ac:dyDescent="0.25">
      <c r="A3220" s="279">
        <v>39107</v>
      </c>
      <c r="B3220" s="309" t="s">
        <v>405</v>
      </c>
      <c r="C3220" s="309" t="s">
        <v>89</v>
      </c>
      <c r="D3220">
        <v>0</v>
      </c>
    </row>
    <row r="3221" spans="1:4" x14ac:dyDescent="0.25">
      <c r="A3221" s="279">
        <v>39107</v>
      </c>
      <c r="B3221" s="309" t="s">
        <v>405</v>
      </c>
      <c r="C3221" s="309" t="s">
        <v>198</v>
      </c>
      <c r="D3221">
        <v>0</v>
      </c>
    </row>
    <row r="3222" spans="1:4" x14ac:dyDescent="0.25">
      <c r="A3222" s="279">
        <v>39107</v>
      </c>
      <c r="B3222" s="309" t="s">
        <v>405</v>
      </c>
      <c r="C3222" s="309" t="s">
        <v>199</v>
      </c>
      <c r="D3222">
        <v>0</v>
      </c>
    </row>
    <row r="3223" spans="1:4" x14ac:dyDescent="0.25">
      <c r="A3223" s="279">
        <v>39107</v>
      </c>
      <c r="B3223" s="309" t="s">
        <v>405</v>
      </c>
      <c r="C3223" s="309" t="s">
        <v>90</v>
      </c>
      <c r="D3223">
        <v>2549</v>
      </c>
    </row>
    <row r="3224" spans="1:4" x14ac:dyDescent="0.25">
      <c r="A3224" s="279">
        <v>39107</v>
      </c>
      <c r="B3224" s="309" t="s">
        <v>405</v>
      </c>
      <c r="C3224" s="309" t="s">
        <v>24</v>
      </c>
      <c r="D3224">
        <v>15093</v>
      </c>
    </row>
    <row r="3225" spans="1:4" x14ac:dyDescent="0.25">
      <c r="A3225" s="279">
        <v>39107</v>
      </c>
      <c r="B3225" s="309" t="s">
        <v>405</v>
      </c>
      <c r="C3225" s="309" t="s">
        <v>91</v>
      </c>
      <c r="D3225">
        <v>0</v>
      </c>
    </row>
    <row r="3226" spans="1:4" x14ac:dyDescent="0.25">
      <c r="A3226" s="279">
        <v>39107</v>
      </c>
      <c r="B3226" s="309" t="s">
        <v>405</v>
      </c>
      <c r="C3226" s="309" t="s">
        <v>118</v>
      </c>
      <c r="D3226">
        <v>0</v>
      </c>
    </row>
    <row r="3227" spans="1:4" x14ac:dyDescent="0.25">
      <c r="A3227" s="279">
        <v>39107</v>
      </c>
      <c r="B3227" s="309" t="s">
        <v>405</v>
      </c>
      <c r="C3227" s="309" t="s">
        <v>407</v>
      </c>
      <c r="D3227">
        <v>3571675.1</v>
      </c>
    </row>
    <row r="3228" spans="1:4" x14ac:dyDescent="0.25">
      <c r="A3228" s="279">
        <v>39107</v>
      </c>
      <c r="B3228" s="309" t="s">
        <v>405</v>
      </c>
      <c r="C3228" s="309" t="s">
        <v>408</v>
      </c>
      <c r="D3228">
        <v>1007</v>
      </c>
    </row>
    <row r="3229" spans="1:4" x14ac:dyDescent="0.25">
      <c r="A3229" s="279">
        <v>39107</v>
      </c>
      <c r="B3229" s="309" t="s">
        <v>405</v>
      </c>
      <c r="C3229" s="309" t="s">
        <v>409</v>
      </c>
      <c r="D3229">
        <v>1065</v>
      </c>
    </row>
    <row r="3230" spans="1:4" x14ac:dyDescent="0.25">
      <c r="A3230" s="279">
        <v>39107</v>
      </c>
      <c r="B3230" s="309" t="s">
        <v>405</v>
      </c>
      <c r="C3230" s="309" t="s">
        <v>410</v>
      </c>
      <c r="D3230">
        <v>1035</v>
      </c>
    </row>
    <row r="3231" spans="1:4" x14ac:dyDescent="0.25">
      <c r="A3231" s="279">
        <v>39107</v>
      </c>
      <c r="B3231" s="309" t="s">
        <v>411</v>
      </c>
      <c r="C3231" s="309" t="s">
        <v>406</v>
      </c>
      <c r="D3231">
        <v>217830</v>
      </c>
    </row>
    <row r="3232" spans="1:4" x14ac:dyDescent="0.25">
      <c r="A3232" s="279">
        <v>39107</v>
      </c>
      <c r="B3232" s="309" t="s">
        <v>411</v>
      </c>
      <c r="C3232" s="309" t="s">
        <v>198</v>
      </c>
      <c r="D3232">
        <v>0</v>
      </c>
    </row>
    <row r="3233" spans="1:4" x14ac:dyDescent="0.25">
      <c r="A3233" s="279">
        <v>39107</v>
      </c>
      <c r="B3233" s="309" t="s">
        <v>411</v>
      </c>
      <c r="C3233" s="309" t="s">
        <v>199</v>
      </c>
      <c r="D3233">
        <v>0</v>
      </c>
    </row>
    <row r="3234" spans="1:4" x14ac:dyDescent="0.25">
      <c r="A3234" s="279">
        <v>39107</v>
      </c>
      <c r="B3234" s="309" t="s">
        <v>411</v>
      </c>
      <c r="C3234" s="309" t="s">
        <v>90</v>
      </c>
      <c r="D3234">
        <v>0</v>
      </c>
    </row>
    <row r="3235" spans="1:4" x14ac:dyDescent="0.25">
      <c r="A3235" s="279">
        <v>39107</v>
      </c>
      <c r="B3235" s="309" t="s">
        <v>411</v>
      </c>
      <c r="C3235" s="309" t="s">
        <v>24</v>
      </c>
      <c r="D3235">
        <v>2147</v>
      </c>
    </row>
    <row r="3236" spans="1:4" x14ac:dyDescent="0.25">
      <c r="A3236" s="279">
        <v>39107</v>
      </c>
      <c r="B3236" s="309" t="s">
        <v>411</v>
      </c>
      <c r="C3236" s="309" t="s">
        <v>91</v>
      </c>
      <c r="D3236">
        <v>0</v>
      </c>
    </row>
    <row r="3237" spans="1:4" x14ac:dyDescent="0.25">
      <c r="A3237" s="279">
        <v>39107</v>
      </c>
      <c r="B3237" s="309" t="s">
        <v>411</v>
      </c>
      <c r="C3237" s="309" t="s">
        <v>118</v>
      </c>
      <c r="D3237">
        <v>0</v>
      </c>
    </row>
    <row r="3238" spans="1:4" x14ac:dyDescent="0.25">
      <c r="A3238" s="279">
        <v>39107</v>
      </c>
      <c r="B3238" s="309" t="s">
        <v>411</v>
      </c>
      <c r="C3238" s="309" t="s">
        <v>407</v>
      </c>
      <c r="D3238">
        <v>215683</v>
      </c>
    </row>
    <row r="3239" spans="1:4" x14ac:dyDescent="0.25">
      <c r="A3239" s="279">
        <v>39107</v>
      </c>
      <c r="B3239" s="309" t="s">
        <v>411</v>
      </c>
      <c r="C3239" s="309" t="s">
        <v>412</v>
      </c>
      <c r="D3239">
        <v>1007</v>
      </c>
    </row>
    <row r="3240" spans="1:4" x14ac:dyDescent="0.25">
      <c r="A3240" s="279">
        <v>39107</v>
      </c>
      <c r="B3240" s="309" t="s">
        <v>411</v>
      </c>
      <c r="C3240" s="309" t="s">
        <v>409</v>
      </c>
      <c r="D3240">
        <v>1035</v>
      </c>
    </row>
    <row r="3241" spans="1:4" x14ac:dyDescent="0.25">
      <c r="A3241" s="279">
        <v>39108</v>
      </c>
      <c r="B3241" s="309" t="s">
        <v>405</v>
      </c>
      <c r="C3241" s="309" t="s">
        <v>406</v>
      </c>
      <c r="D3241">
        <v>3571675.1</v>
      </c>
    </row>
    <row r="3242" spans="1:4" x14ac:dyDescent="0.25">
      <c r="A3242" s="279">
        <v>39108</v>
      </c>
      <c r="B3242" s="309" t="s">
        <v>405</v>
      </c>
      <c r="C3242" s="309" t="s">
        <v>89</v>
      </c>
      <c r="D3242">
        <v>0</v>
      </c>
    </row>
    <row r="3243" spans="1:4" x14ac:dyDescent="0.25">
      <c r="A3243" s="279">
        <v>39108</v>
      </c>
      <c r="B3243" s="309" t="s">
        <v>405</v>
      </c>
      <c r="C3243" s="309" t="s">
        <v>198</v>
      </c>
      <c r="D3243">
        <v>0</v>
      </c>
    </row>
    <row r="3244" spans="1:4" x14ac:dyDescent="0.25">
      <c r="A3244" s="279">
        <v>39108</v>
      </c>
      <c r="B3244" s="309" t="s">
        <v>405</v>
      </c>
      <c r="C3244" s="309" t="s">
        <v>199</v>
      </c>
      <c r="D3244">
        <v>0</v>
      </c>
    </row>
    <row r="3245" spans="1:4" x14ac:dyDescent="0.25">
      <c r="A3245" s="279">
        <v>39108</v>
      </c>
      <c r="B3245" s="309" t="s">
        <v>405</v>
      </c>
      <c r="C3245" s="309" t="s">
        <v>90</v>
      </c>
      <c r="D3245">
        <v>4626</v>
      </c>
    </row>
    <row r="3246" spans="1:4" x14ac:dyDescent="0.25">
      <c r="A3246" s="279">
        <v>39108</v>
      </c>
      <c r="B3246" s="309" t="s">
        <v>405</v>
      </c>
      <c r="C3246" s="309" t="s">
        <v>24</v>
      </c>
      <c r="D3246">
        <v>54431</v>
      </c>
    </row>
    <row r="3247" spans="1:4" x14ac:dyDescent="0.25">
      <c r="A3247" s="279">
        <v>39108</v>
      </c>
      <c r="B3247" s="309" t="s">
        <v>405</v>
      </c>
      <c r="C3247" s="309" t="s">
        <v>91</v>
      </c>
      <c r="D3247">
        <v>0</v>
      </c>
    </row>
    <row r="3248" spans="1:4" x14ac:dyDescent="0.25">
      <c r="A3248" s="279">
        <v>39108</v>
      </c>
      <c r="B3248" s="309" t="s">
        <v>405</v>
      </c>
      <c r="C3248" s="309" t="s">
        <v>118</v>
      </c>
      <c r="D3248">
        <v>0</v>
      </c>
    </row>
    <row r="3249" spans="1:4" x14ac:dyDescent="0.25">
      <c r="A3249" s="279">
        <v>39108</v>
      </c>
      <c r="B3249" s="309" t="s">
        <v>405</v>
      </c>
      <c r="C3249" s="309" t="s">
        <v>407</v>
      </c>
      <c r="D3249">
        <v>3512618.1</v>
      </c>
    </row>
    <row r="3250" spans="1:4" x14ac:dyDescent="0.25">
      <c r="A3250" s="279">
        <v>39108</v>
      </c>
      <c r="B3250" s="309" t="s">
        <v>405</v>
      </c>
      <c r="C3250" s="309" t="s">
        <v>408</v>
      </c>
      <c r="D3250">
        <v>1007</v>
      </c>
    </row>
    <row r="3251" spans="1:4" x14ac:dyDescent="0.25">
      <c r="A3251" s="279">
        <v>39108</v>
      </c>
      <c r="B3251" s="309" t="s">
        <v>405</v>
      </c>
      <c r="C3251" s="309" t="s">
        <v>409</v>
      </c>
      <c r="D3251">
        <v>1065</v>
      </c>
    </row>
    <row r="3252" spans="1:4" x14ac:dyDescent="0.25">
      <c r="A3252" s="279">
        <v>39108</v>
      </c>
      <c r="B3252" s="309" t="s">
        <v>405</v>
      </c>
      <c r="C3252" s="309" t="s">
        <v>410</v>
      </c>
      <c r="D3252">
        <v>1032</v>
      </c>
    </row>
    <row r="3253" spans="1:4" x14ac:dyDescent="0.25">
      <c r="A3253" s="279">
        <v>39108</v>
      </c>
      <c r="B3253" s="309" t="s">
        <v>411</v>
      </c>
      <c r="C3253" s="309" t="s">
        <v>406</v>
      </c>
      <c r="D3253">
        <v>215683</v>
      </c>
    </row>
    <row r="3254" spans="1:4" x14ac:dyDescent="0.25">
      <c r="A3254" s="279">
        <v>39108</v>
      </c>
      <c r="B3254" s="309" t="s">
        <v>411</v>
      </c>
      <c r="C3254" s="309" t="s">
        <v>198</v>
      </c>
      <c r="D3254">
        <v>0</v>
      </c>
    </row>
    <row r="3255" spans="1:4" x14ac:dyDescent="0.25">
      <c r="A3255" s="279">
        <v>39108</v>
      </c>
      <c r="B3255" s="309" t="s">
        <v>411</v>
      </c>
      <c r="C3255" s="309" t="s">
        <v>199</v>
      </c>
      <c r="D3255">
        <v>0</v>
      </c>
    </row>
    <row r="3256" spans="1:4" x14ac:dyDescent="0.25">
      <c r="A3256" s="279">
        <v>39108</v>
      </c>
      <c r="B3256" s="309" t="s">
        <v>411</v>
      </c>
      <c r="C3256" s="309" t="s">
        <v>90</v>
      </c>
      <c r="D3256">
        <v>276</v>
      </c>
    </row>
    <row r="3257" spans="1:4" x14ac:dyDescent="0.25">
      <c r="A3257" s="279">
        <v>39108</v>
      </c>
      <c r="B3257" s="309" t="s">
        <v>411</v>
      </c>
      <c r="C3257" s="309" t="s">
        <v>24</v>
      </c>
      <c r="D3257">
        <v>0</v>
      </c>
    </row>
    <row r="3258" spans="1:4" x14ac:dyDescent="0.25">
      <c r="A3258" s="279">
        <v>39108</v>
      </c>
      <c r="B3258" s="309" t="s">
        <v>411</v>
      </c>
      <c r="C3258" s="309" t="s">
        <v>91</v>
      </c>
      <c r="D3258">
        <v>0</v>
      </c>
    </row>
    <row r="3259" spans="1:4" x14ac:dyDescent="0.25">
      <c r="A3259" s="279">
        <v>39108</v>
      </c>
      <c r="B3259" s="309" t="s">
        <v>411</v>
      </c>
      <c r="C3259" s="309" t="s">
        <v>118</v>
      </c>
      <c r="D3259">
        <v>0</v>
      </c>
    </row>
    <row r="3260" spans="1:4" x14ac:dyDescent="0.25">
      <c r="A3260" s="279">
        <v>39108</v>
      </c>
      <c r="B3260" s="309" t="s">
        <v>411</v>
      </c>
      <c r="C3260" s="309" t="s">
        <v>407</v>
      </c>
      <c r="D3260">
        <v>215407</v>
      </c>
    </row>
    <row r="3261" spans="1:4" x14ac:dyDescent="0.25">
      <c r="A3261" s="279">
        <v>39108</v>
      </c>
      <c r="B3261" s="309" t="s">
        <v>411</v>
      </c>
      <c r="C3261" s="309" t="s">
        <v>412</v>
      </c>
      <c r="D3261">
        <v>1007</v>
      </c>
    </row>
    <row r="3262" spans="1:4" x14ac:dyDescent="0.25">
      <c r="A3262" s="279">
        <v>39108</v>
      </c>
      <c r="B3262" s="309" t="s">
        <v>411</v>
      </c>
      <c r="C3262" s="309" t="s">
        <v>409</v>
      </c>
      <c r="D3262">
        <v>1049</v>
      </c>
    </row>
    <row r="3263" spans="1:4" x14ac:dyDescent="0.25">
      <c r="A3263" s="279">
        <v>39109</v>
      </c>
      <c r="B3263" s="309" t="s">
        <v>405</v>
      </c>
      <c r="C3263" s="309" t="s">
        <v>406</v>
      </c>
      <c r="D3263">
        <v>3512618.1</v>
      </c>
    </row>
    <row r="3264" spans="1:4" x14ac:dyDescent="0.25">
      <c r="A3264" s="279">
        <v>39109</v>
      </c>
      <c r="B3264" s="309" t="s">
        <v>405</v>
      </c>
      <c r="C3264" s="309" t="s">
        <v>89</v>
      </c>
      <c r="D3264">
        <v>0</v>
      </c>
    </row>
    <row r="3265" spans="1:4" x14ac:dyDescent="0.25">
      <c r="A3265" s="279">
        <v>39109</v>
      </c>
      <c r="B3265" s="309" t="s">
        <v>405</v>
      </c>
      <c r="C3265" s="309" t="s">
        <v>198</v>
      </c>
      <c r="D3265">
        <v>0</v>
      </c>
    </row>
    <row r="3266" spans="1:4" x14ac:dyDescent="0.25">
      <c r="A3266" s="279">
        <v>39109</v>
      </c>
      <c r="B3266" s="309" t="s">
        <v>405</v>
      </c>
      <c r="C3266" s="309" t="s">
        <v>199</v>
      </c>
      <c r="D3266">
        <v>0</v>
      </c>
    </row>
    <row r="3267" spans="1:4" x14ac:dyDescent="0.25">
      <c r="A3267" s="279">
        <v>39109</v>
      </c>
      <c r="B3267" s="309" t="s">
        <v>405</v>
      </c>
      <c r="C3267" s="309" t="s">
        <v>90</v>
      </c>
      <c r="D3267">
        <v>5349</v>
      </c>
    </row>
    <row r="3268" spans="1:4" x14ac:dyDescent="0.25">
      <c r="A3268" s="279">
        <v>39109</v>
      </c>
      <c r="B3268" s="309" t="s">
        <v>405</v>
      </c>
      <c r="C3268" s="309" t="s">
        <v>24</v>
      </c>
      <c r="D3268">
        <v>0</v>
      </c>
    </row>
    <row r="3269" spans="1:4" x14ac:dyDescent="0.25">
      <c r="A3269" s="279">
        <v>39109</v>
      </c>
      <c r="B3269" s="309" t="s">
        <v>405</v>
      </c>
      <c r="C3269" s="309" t="s">
        <v>91</v>
      </c>
      <c r="D3269">
        <v>0</v>
      </c>
    </row>
    <row r="3270" spans="1:4" x14ac:dyDescent="0.25">
      <c r="A3270" s="279">
        <v>39109</v>
      </c>
      <c r="B3270" s="309" t="s">
        <v>405</v>
      </c>
      <c r="C3270" s="309" t="s">
        <v>118</v>
      </c>
      <c r="D3270">
        <v>0</v>
      </c>
    </row>
    <row r="3271" spans="1:4" x14ac:dyDescent="0.25">
      <c r="A3271" s="279">
        <v>39109</v>
      </c>
      <c r="B3271" s="309" t="s">
        <v>405</v>
      </c>
      <c r="C3271" s="309" t="s">
        <v>407</v>
      </c>
      <c r="D3271">
        <v>3507269.1</v>
      </c>
    </row>
    <row r="3272" spans="1:4" x14ac:dyDescent="0.25">
      <c r="A3272" s="279">
        <v>39109</v>
      </c>
      <c r="B3272" s="309" t="s">
        <v>405</v>
      </c>
      <c r="C3272" s="309" t="s">
        <v>408</v>
      </c>
      <c r="D3272">
        <v>1007</v>
      </c>
    </row>
    <row r="3273" spans="1:4" x14ac:dyDescent="0.25">
      <c r="A3273" s="279">
        <v>39109</v>
      </c>
      <c r="B3273" s="309" t="s">
        <v>405</v>
      </c>
      <c r="C3273" s="309" t="s">
        <v>409</v>
      </c>
      <c r="D3273">
        <v>1058</v>
      </c>
    </row>
    <row r="3274" spans="1:4" x14ac:dyDescent="0.25">
      <c r="A3274" s="279">
        <v>39109</v>
      </c>
      <c r="B3274" s="309" t="s">
        <v>405</v>
      </c>
      <c r="C3274" s="309" t="s">
        <v>410</v>
      </c>
      <c r="D3274">
        <v>1034</v>
      </c>
    </row>
    <row r="3275" spans="1:4" x14ac:dyDescent="0.25">
      <c r="A3275" s="279">
        <v>39109</v>
      </c>
      <c r="B3275" s="309" t="s">
        <v>411</v>
      </c>
      <c r="C3275" s="309" t="s">
        <v>406</v>
      </c>
      <c r="D3275">
        <v>215407</v>
      </c>
    </row>
    <row r="3276" spans="1:4" x14ac:dyDescent="0.25">
      <c r="A3276" s="279">
        <v>39109</v>
      </c>
      <c r="B3276" s="309" t="s">
        <v>411</v>
      </c>
      <c r="C3276" s="309" t="s">
        <v>198</v>
      </c>
      <c r="D3276">
        <v>0</v>
      </c>
    </row>
    <row r="3277" spans="1:4" x14ac:dyDescent="0.25">
      <c r="A3277" s="279">
        <v>39109</v>
      </c>
      <c r="B3277" s="309" t="s">
        <v>411</v>
      </c>
      <c r="C3277" s="309" t="s">
        <v>199</v>
      </c>
      <c r="D3277">
        <v>0</v>
      </c>
    </row>
    <row r="3278" spans="1:4" x14ac:dyDescent="0.25">
      <c r="A3278" s="279">
        <v>39109</v>
      </c>
      <c r="B3278" s="309" t="s">
        <v>411</v>
      </c>
      <c r="C3278" s="309" t="s">
        <v>90</v>
      </c>
      <c r="D3278">
        <v>75</v>
      </c>
    </row>
    <row r="3279" spans="1:4" x14ac:dyDescent="0.25">
      <c r="A3279" s="279">
        <v>39109</v>
      </c>
      <c r="B3279" s="309" t="s">
        <v>411</v>
      </c>
      <c r="C3279" s="309" t="s">
        <v>24</v>
      </c>
      <c r="D3279">
        <v>0</v>
      </c>
    </row>
    <row r="3280" spans="1:4" x14ac:dyDescent="0.25">
      <c r="A3280" s="279">
        <v>39109</v>
      </c>
      <c r="B3280" s="309" t="s">
        <v>411</v>
      </c>
      <c r="C3280" s="309" t="s">
        <v>91</v>
      </c>
      <c r="D3280">
        <v>0</v>
      </c>
    </row>
    <row r="3281" spans="1:4" x14ac:dyDescent="0.25">
      <c r="A3281" s="279">
        <v>39109</v>
      </c>
      <c r="B3281" s="309" t="s">
        <v>411</v>
      </c>
      <c r="C3281" s="309" t="s">
        <v>118</v>
      </c>
      <c r="D3281">
        <v>0</v>
      </c>
    </row>
    <row r="3282" spans="1:4" x14ac:dyDescent="0.25">
      <c r="A3282" s="279">
        <v>39109</v>
      </c>
      <c r="B3282" s="309" t="s">
        <v>411</v>
      </c>
      <c r="C3282" s="309" t="s">
        <v>407</v>
      </c>
      <c r="D3282">
        <v>215332</v>
      </c>
    </row>
    <row r="3283" spans="1:4" x14ac:dyDescent="0.25">
      <c r="A3283" s="279">
        <v>39109</v>
      </c>
      <c r="B3283" s="309" t="s">
        <v>411</v>
      </c>
      <c r="C3283" s="309" t="s">
        <v>412</v>
      </c>
      <c r="D3283">
        <v>1007</v>
      </c>
    </row>
    <row r="3284" spans="1:4" x14ac:dyDescent="0.25">
      <c r="A3284" s="279">
        <v>39109</v>
      </c>
      <c r="B3284" s="309" t="s">
        <v>411</v>
      </c>
      <c r="C3284" s="309" t="s">
        <v>409</v>
      </c>
      <c r="D3284">
        <v>1049</v>
      </c>
    </row>
    <row r="3285" spans="1:4" x14ac:dyDescent="0.25">
      <c r="A3285" s="279">
        <v>39110</v>
      </c>
      <c r="B3285" s="309" t="s">
        <v>405</v>
      </c>
      <c r="C3285" s="309" t="s">
        <v>406</v>
      </c>
      <c r="D3285">
        <v>3507269.1</v>
      </c>
    </row>
    <row r="3286" spans="1:4" x14ac:dyDescent="0.25">
      <c r="A3286" s="279">
        <v>39110</v>
      </c>
      <c r="B3286" s="309" t="s">
        <v>405</v>
      </c>
      <c r="C3286" s="309" t="s">
        <v>89</v>
      </c>
      <c r="D3286">
        <v>0</v>
      </c>
    </row>
    <row r="3287" spans="1:4" x14ac:dyDescent="0.25">
      <c r="A3287" s="279">
        <v>39110</v>
      </c>
      <c r="B3287" s="309" t="s">
        <v>405</v>
      </c>
      <c r="C3287" s="309" t="s">
        <v>198</v>
      </c>
      <c r="D3287">
        <v>0</v>
      </c>
    </row>
    <row r="3288" spans="1:4" x14ac:dyDescent="0.25">
      <c r="A3288" s="279">
        <v>39110</v>
      </c>
      <c r="B3288" s="309" t="s">
        <v>405</v>
      </c>
      <c r="C3288" s="309" t="s">
        <v>199</v>
      </c>
      <c r="D3288">
        <v>0</v>
      </c>
    </row>
    <row r="3289" spans="1:4" x14ac:dyDescent="0.25">
      <c r="A3289" s="279">
        <v>39110</v>
      </c>
      <c r="B3289" s="309" t="s">
        <v>405</v>
      </c>
      <c r="C3289" s="309" t="s">
        <v>90</v>
      </c>
      <c r="D3289">
        <v>3211</v>
      </c>
    </row>
    <row r="3290" spans="1:4" x14ac:dyDescent="0.25">
      <c r="A3290" s="279">
        <v>39110</v>
      </c>
      <c r="B3290" s="309" t="s">
        <v>405</v>
      </c>
      <c r="C3290" s="309" t="s">
        <v>24</v>
      </c>
      <c r="D3290">
        <v>0</v>
      </c>
    </row>
    <row r="3291" spans="1:4" x14ac:dyDescent="0.25">
      <c r="A3291" s="279">
        <v>39110</v>
      </c>
      <c r="B3291" s="309" t="s">
        <v>405</v>
      </c>
      <c r="C3291" s="309" t="s">
        <v>91</v>
      </c>
      <c r="D3291">
        <v>0</v>
      </c>
    </row>
    <row r="3292" spans="1:4" x14ac:dyDescent="0.25">
      <c r="A3292" s="279">
        <v>39110</v>
      </c>
      <c r="B3292" s="309" t="s">
        <v>405</v>
      </c>
      <c r="C3292" s="309" t="s">
        <v>118</v>
      </c>
      <c r="D3292">
        <v>0</v>
      </c>
    </row>
    <row r="3293" spans="1:4" x14ac:dyDescent="0.25">
      <c r="A3293" s="279">
        <v>39110</v>
      </c>
      <c r="B3293" s="309" t="s">
        <v>405</v>
      </c>
      <c r="C3293" s="309" t="s">
        <v>407</v>
      </c>
      <c r="D3293">
        <v>3504058.1</v>
      </c>
    </row>
    <row r="3294" spans="1:4" x14ac:dyDescent="0.25">
      <c r="A3294" s="279">
        <v>39110</v>
      </c>
      <c r="B3294" s="309" t="s">
        <v>405</v>
      </c>
      <c r="C3294" s="309" t="s">
        <v>408</v>
      </c>
      <c r="D3294">
        <v>1007</v>
      </c>
    </row>
    <row r="3295" spans="1:4" x14ac:dyDescent="0.25">
      <c r="A3295" s="279">
        <v>39110</v>
      </c>
      <c r="B3295" s="309" t="s">
        <v>405</v>
      </c>
      <c r="C3295" s="309" t="s">
        <v>409</v>
      </c>
      <c r="D3295">
        <v>1058</v>
      </c>
    </row>
    <row r="3296" spans="1:4" x14ac:dyDescent="0.25">
      <c r="A3296" s="279">
        <v>39110</v>
      </c>
      <c r="B3296" s="309" t="s">
        <v>405</v>
      </c>
      <c r="C3296" s="309" t="s">
        <v>410</v>
      </c>
      <c r="D3296">
        <v>1037</v>
      </c>
    </row>
    <row r="3297" spans="1:4" x14ac:dyDescent="0.25">
      <c r="A3297" s="279">
        <v>39110</v>
      </c>
      <c r="B3297" s="309" t="s">
        <v>411</v>
      </c>
      <c r="C3297" s="309" t="s">
        <v>406</v>
      </c>
      <c r="D3297">
        <v>215332</v>
      </c>
    </row>
    <row r="3298" spans="1:4" x14ac:dyDescent="0.25">
      <c r="A3298" s="279">
        <v>39110</v>
      </c>
      <c r="B3298" s="309" t="s">
        <v>411</v>
      </c>
      <c r="C3298" s="309" t="s">
        <v>198</v>
      </c>
      <c r="D3298">
        <v>0</v>
      </c>
    </row>
    <row r="3299" spans="1:4" x14ac:dyDescent="0.25">
      <c r="A3299" s="279">
        <v>39110</v>
      </c>
      <c r="B3299" s="309" t="s">
        <v>411</v>
      </c>
      <c r="C3299" s="309" t="s">
        <v>199</v>
      </c>
      <c r="D3299">
        <v>0</v>
      </c>
    </row>
    <row r="3300" spans="1:4" x14ac:dyDescent="0.25">
      <c r="A3300" s="279">
        <v>39110</v>
      </c>
      <c r="B3300" s="309" t="s">
        <v>411</v>
      </c>
      <c r="C3300" s="309" t="s">
        <v>90</v>
      </c>
      <c r="D3300">
        <v>202</v>
      </c>
    </row>
    <row r="3301" spans="1:4" x14ac:dyDescent="0.25">
      <c r="A3301" s="279">
        <v>39110</v>
      </c>
      <c r="B3301" s="309" t="s">
        <v>411</v>
      </c>
      <c r="C3301" s="309" t="s">
        <v>24</v>
      </c>
      <c r="D3301">
        <v>0</v>
      </c>
    </row>
    <row r="3302" spans="1:4" x14ac:dyDescent="0.25">
      <c r="A3302" s="279">
        <v>39110</v>
      </c>
      <c r="B3302" s="309" t="s">
        <v>411</v>
      </c>
      <c r="C3302" s="309" t="s">
        <v>91</v>
      </c>
      <c r="D3302">
        <v>0</v>
      </c>
    </row>
    <row r="3303" spans="1:4" x14ac:dyDescent="0.25">
      <c r="A3303" s="279">
        <v>39110</v>
      </c>
      <c r="B3303" s="309" t="s">
        <v>411</v>
      </c>
      <c r="C3303" s="309" t="s">
        <v>118</v>
      </c>
      <c r="D3303">
        <v>0</v>
      </c>
    </row>
    <row r="3304" spans="1:4" x14ac:dyDescent="0.25">
      <c r="A3304" s="279">
        <v>39110</v>
      </c>
      <c r="B3304" s="309" t="s">
        <v>411</v>
      </c>
      <c r="C3304" s="309" t="s">
        <v>407</v>
      </c>
      <c r="D3304">
        <v>215130</v>
      </c>
    </row>
    <row r="3305" spans="1:4" x14ac:dyDescent="0.25">
      <c r="A3305" s="279">
        <v>39110</v>
      </c>
      <c r="B3305" s="309" t="s">
        <v>411</v>
      </c>
      <c r="C3305" s="309" t="s">
        <v>412</v>
      </c>
      <c r="D3305">
        <v>1007</v>
      </c>
    </row>
    <row r="3306" spans="1:4" x14ac:dyDescent="0.25">
      <c r="A3306" s="279">
        <v>39110</v>
      </c>
      <c r="B3306" s="309" t="s">
        <v>411</v>
      </c>
      <c r="C3306" s="309" t="s">
        <v>409</v>
      </c>
      <c r="D3306">
        <v>1049</v>
      </c>
    </row>
    <row r="3307" spans="1:4" x14ac:dyDescent="0.25">
      <c r="A3307" s="279">
        <v>39111</v>
      </c>
      <c r="B3307" s="309" t="s">
        <v>405</v>
      </c>
      <c r="C3307" s="309" t="s">
        <v>406</v>
      </c>
      <c r="D3307">
        <v>3504058.1</v>
      </c>
    </row>
    <row r="3308" spans="1:4" x14ac:dyDescent="0.25">
      <c r="A3308" s="279">
        <v>39111</v>
      </c>
      <c r="B3308" s="309" t="s">
        <v>405</v>
      </c>
      <c r="C3308" s="309" t="s">
        <v>89</v>
      </c>
      <c r="D3308">
        <v>0</v>
      </c>
    </row>
    <row r="3309" spans="1:4" x14ac:dyDescent="0.25">
      <c r="A3309" s="279">
        <v>39111</v>
      </c>
      <c r="B3309" s="309" t="s">
        <v>405</v>
      </c>
      <c r="C3309" s="309" t="s">
        <v>198</v>
      </c>
      <c r="D3309">
        <v>0</v>
      </c>
    </row>
    <row r="3310" spans="1:4" x14ac:dyDescent="0.25">
      <c r="A3310" s="279">
        <v>39111</v>
      </c>
      <c r="B3310" s="309" t="s">
        <v>405</v>
      </c>
      <c r="C3310" s="309" t="s">
        <v>199</v>
      </c>
      <c r="D3310">
        <v>0</v>
      </c>
    </row>
    <row r="3311" spans="1:4" x14ac:dyDescent="0.25">
      <c r="A3311" s="279">
        <v>39111</v>
      </c>
      <c r="B3311" s="309" t="s">
        <v>405</v>
      </c>
      <c r="C3311" s="309" t="s">
        <v>90</v>
      </c>
      <c r="D3311">
        <v>2222</v>
      </c>
    </row>
    <row r="3312" spans="1:4" x14ac:dyDescent="0.25">
      <c r="A3312" s="279">
        <v>39111</v>
      </c>
      <c r="B3312" s="309" t="s">
        <v>405</v>
      </c>
      <c r="C3312" s="309" t="s">
        <v>24</v>
      </c>
      <c r="D3312">
        <v>9542</v>
      </c>
    </row>
    <row r="3313" spans="1:4" x14ac:dyDescent="0.25">
      <c r="A3313" s="279">
        <v>39111</v>
      </c>
      <c r="B3313" s="309" t="s">
        <v>405</v>
      </c>
      <c r="C3313" s="309" t="s">
        <v>91</v>
      </c>
      <c r="D3313">
        <v>0</v>
      </c>
    </row>
    <row r="3314" spans="1:4" x14ac:dyDescent="0.25">
      <c r="A3314" s="279">
        <v>39111</v>
      </c>
      <c r="B3314" s="309" t="s">
        <v>405</v>
      </c>
      <c r="C3314" s="309" t="s">
        <v>118</v>
      </c>
      <c r="D3314">
        <v>0</v>
      </c>
    </row>
    <row r="3315" spans="1:4" x14ac:dyDescent="0.25">
      <c r="A3315" s="279">
        <v>39111</v>
      </c>
      <c r="B3315" s="309" t="s">
        <v>405</v>
      </c>
      <c r="C3315" s="309" t="s">
        <v>407</v>
      </c>
      <c r="D3315">
        <v>3492294.1</v>
      </c>
    </row>
    <row r="3316" spans="1:4" x14ac:dyDescent="0.25">
      <c r="A3316" s="279">
        <v>39111</v>
      </c>
      <c r="B3316" s="309" t="s">
        <v>405</v>
      </c>
      <c r="C3316" s="309" t="s">
        <v>408</v>
      </c>
      <c r="D3316">
        <v>1007</v>
      </c>
    </row>
    <row r="3317" spans="1:4" x14ac:dyDescent="0.25">
      <c r="A3317" s="279">
        <v>39111</v>
      </c>
      <c r="B3317" s="309" t="s">
        <v>405</v>
      </c>
      <c r="C3317" s="309" t="s">
        <v>409</v>
      </c>
      <c r="D3317">
        <v>1065</v>
      </c>
    </row>
    <row r="3318" spans="1:4" x14ac:dyDescent="0.25">
      <c r="A3318" s="279">
        <v>39111</v>
      </c>
      <c r="B3318" s="309" t="s">
        <v>405</v>
      </c>
      <c r="C3318" s="309" t="s">
        <v>410</v>
      </c>
      <c r="D3318">
        <v>1036</v>
      </c>
    </row>
    <row r="3319" spans="1:4" x14ac:dyDescent="0.25">
      <c r="A3319" s="279">
        <v>39111</v>
      </c>
      <c r="B3319" s="309" t="s">
        <v>411</v>
      </c>
      <c r="C3319" s="309" t="s">
        <v>406</v>
      </c>
      <c r="D3319">
        <v>215130</v>
      </c>
    </row>
    <row r="3320" spans="1:4" x14ac:dyDescent="0.25">
      <c r="A3320" s="279">
        <v>39111</v>
      </c>
      <c r="B3320" s="309" t="s">
        <v>411</v>
      </c>
      <c r="C3320" s="309" t="s">
        <v>198</v>
      </c>
      <c r="D3320">
        <v>0</v>
      </c>
    </row>
    <row r="3321" spans="1:4" x14ac:dyDescent="0.25">
      <c r="A3321" s="279">
        <v>39111</v>
      </c>
      <c r="B3321" s="309" t="s">
        <v>411</v>
      </c>
      <c r="C3321" s="309" t="s">
        <v>199</v>
      </c>
      <c r="D3321">
        <v>0</v>
      </c>
    </row>
    <row r="3322" spans="1:4" x14ac:dyDescent="0.25">
      <c r="A3322" s="279">
        <v>39111</v>
      </c>
      <c r="B3322" s="309" t="s">
        <v>411</v>
      </c>
      <c r="C3322" s="309" t="s">
        <v>90</v>
      </c>
      <c r="D3322">
        <v>553</v>
      </c>
    </row>
    <row r="3323" spans="1:4" x14ac:dyDescent="0.25">
      <c r="A3323" s="279">
        <v>39111</v>
      </c>
      <c r="B3323" s="309" t="s">
        <v>411</v>
      </c>
      <c r="C3323" s="309" t="s">
        <v>24</v>
      </c>
      <c r="D3323">
        <v>0</v>
      </c>
    </row>
    <row r="3324" spans="1:4" x14ac:dyDescent="0.25">
      <c r="A3324" s="279">
        <v>39111</v>
      </c>
      <c r="B3324" s="309" t="s">
        <v>411</v>
      </c>
      <c r="C3324" s="309" t="s">
        <v>91</v>
      </c>
      <c r="D3324">
        <v>0</v>
      </c>
    </row>
    <row r="3325" spans="1:4" x14ac:dyDescent="0.25">
      <c r="A3325" s="279">
        <v>39111</v>
      </c>
      <c r="B3325" s="309" t="s">
        <v>411</v>
      </c>
      <c r="C3325" s="309" t="s">
        <v>118</v>
      </c>
      <c r="D3325">
        <v>0</v>
      </c>
    </row>
    <row r="3326" spans="1:4" x14ac:dyDescent="0.25">
      <c r="A3326" s="279">
        <v>39111</v>
      </c>
      <c r="B3326" s="309" t="s">
        <v>411</v>
      </c>
      <c r="C3326" s="309" t="s">
        <v>407</v>
      </c>
      <c r="D3326">
        <v>214577</v>
      </c>
    </row>
    <row r="3327" spans="1:4" x14ac:dyDescent="0.25">
      <c r="A3327" s="279">
        <v>39111</v>
      </c>
      <c r="B3327" s="309" t="s">
        <v>411</v>
      </c>
      <c r="C3327" s="309" t="s">
        <v>412</v>
      </c>
      <c r="D3327">
        <v>1007</v>
      </c>
    </row>
    <row r="3328" spans="1:4" x14ac:dyDescent="0.25">
      <c r="A3328" s="279">
        <v>39111</v>
      </c>
      <c r="B3328" s="309" t="s">
        <v>411</v>
      </c>
      <c r="C3328" s="309" t="s">
        <v>409</v>
      </c>
      <c r="D3328">
        <v>1049</v>
      </c>
    </row>
    <row r="3329" spans="1:4" x14ac:dyDescent="0.25">
      <c r="A3329" s="279">
        <v>39112</v>
      </c>
      <c r="B3329" s="309" t="s">
        <v>405</v>
      </c>
      <c r="C3329" s="309" t="s">
        <v>406</v>
      </c>
      <c r="D3329">
        <v>3492294.1</v>
      </c>
    </row>
    <row r="3330" spans="1:4" x14ac:dyDescent="0.25">
      <c r="A3330" s="279">
        <v>39112</v>
      </c>
      <c r="B3330" s="309" t="s">
        <v>405</v>
      </c>
      <c r="C3330" s="309" t="s">
        <v>89</v>
      </c>
      <c r="D3330">
        <v>0</v>
      </c>
    </row>
    <row r="3331" spans="1:4" x14ac:dyDescent="0.25">
      <c r="A3331" s="279">
        <v>39112</v>
      </c>
      <c r="B3331" s="309" t="s">
        <v>405</v>
      </c>
      <c r="C3331" s="309" t="s">
        <v>198</v>
      </c>
      <c r="D3331">
        <v>0</v>
      </c>
    </row>
    <row r="3332" spans="1:4" x14ac:dyDescent="0.25">
      <c r="A3332" s="279">
        <v>39112</v>
      </c>
      <c r="B3332" s="309" t="s">
        <v>405</v>
      </c>
      <c r="C3332" s="309" t="s">
        <v>199</v>
      </c>
      <c r="D3332">
        <v>0</v>
      </c>
    </row>
    <row r="3333" spans="1:4" x14ac:dyDescent="0.25">
      <c r="A3333" s="279">
        <v>39112</v>
      </c>
      <c r="B3333" s="309" t="s">
        <v>405</v>
      </c>
      <c r="C3333" s="309" t="s">
        <v>90</v>
      </c>
      <c r="D3333">
        <v>2406</v>
      </c>
    </row>
    <row r="3334" spans="1:4" x14ac:dyDescent="0.25">
      <c r="A3334" s="279">
        <v>39112</v>
      </c>
      <c r="B3334" s="309" t="s">
        <v>405</v>
      </c>
      <c r="C3334" s="309" t="s">
        <v>24</v>
      </c>
      <c r="D3334">
        <v>0</v>
      </c>
    </row>
    <row r="3335" spans="1:4" x14ac:dyDescent="0.25">
      <c r="A3335" s="279">
        <v>39112</v>
      </c>
      <c r="B3335" s="309" t="s">
        <v>405</v>
      </c>
      <c r="C3335" s="309" t="s">
        <v>91</v>
      </c>
      <c r="D3335">
        <v>0</v>
      </c>
    </row>
    <row r="3336" spans="1:4" x14ac:dyDescent="0.25">
      <c r="A3336" s="279">
        <v>39112</v>
      </c>
      <c r="B3336" s="309" t="s">
        <v>405</v>
      </c>
      <c r="C3336" s="309" t="s">
        <v>118</v>
      </c>
      <c r="D3336">
        <v>0</v>
      </c>
    </row>
    <row r="3337" spans="1:4" x14ac:dyDescent="0.25">
      <c r="A3337" s="279">
        <v>39112</v>
      </c>
      <c r="B3337" s="309" t="s">
        <v>405</v>
      </c>
      <c r="C3337" s="309" t="s">
        <v>407</v>
      </c>
      <c r="D3337">
        <v>3489888.1</v>
      </c>
    </row>
    <row r="3338" spans="1:4" x14ac:dyDescent="0.25">
      <c r="A3338" s="279">
        <v>39112</v>
      </c>
      <c r="B3338" s="309" t="s">
        <v>405</v>
      </c>
      <c r="C3338" s="309" t="s">
        <v>408</v>
      </c>
      <c r="D3338">
        <v>1007</v>
      </c>
    </row>
    <row r="3339" spans="1:4" x14ac:dyDescent="0.25">
      <c r="A3339" s="279">
        <v>39112</v>
      </c>
      <c r="B3339" s="309" t="s">
        <v>405</v>
      </c>
      <c r="C3339" s="309" t="s">
        <v>409</v>
      </c>
      <c r="D3339">
        <v>1058</v>
      </c>
    </row>
    <row r="3340" spans="1:4" x14ac:dyDescent="0.25">
      <c r="A3340" s="279">
        <v>39112</v>
      </c>
      <c r="B3340" s="309" t="s">
        <v>405</v>
      </c>
      <c r="C3340" s="309" t="s">
        <v>410</v>
      </c>
      <c r="D3340">
        <v>1036</v>
      </c>
    </row>
    <row r="3341" spans="1:4" x14ac:dyDescent="0.25">
      <c r="A3341" s="279">
        <v>39112</v>
      </c>
      <c r="B3341" s="309" t="s">
        <v>411</v>
      </c>
      <c r="C3341" s="309" t="s">
        <v>406</v>
      </c>
      <c r="D3341">
        <v>214577</v>
      </c>
    </row>
    <row r="3342" spans="1:4" x14ac:dyDescent="0.25">
      <c r="A3342" s="279">
        <v>39112</v>
      </c>
      <c r="B3342" s="309" t="s">
        <v>411</v>
      </c>
      <c r="C3342" s="309" t="s">
        <v>198</v>
      </c>
      <c r="D3342">
        <v>0</v>
      </c>
    </row>
    <row r="3343" spans="1:4" x14ac:dyDescent="0.25">
      <c r="A3343" s="279">
        <v>39112</v>
      </c>
      <c r="B3343" s="309" t="s">
        <v>411</v>
      </c>
      <c r="C3343" s="309" t="s">
        <v>199</v>
      </c>
      <c r="D3343">
        <v>0</v>
      </c>
    </row>
    <row r="3344" spans="1:4" x14ac:dyDescent="0.25">
      <c r="A3344" s="279">
        <v>39112</v>
      </c>
      <c r="B3344" s="309" t="s">
        <v>411</v>
      </c>
      <c r="C3344" s="309" t="s">
        <v>90</v>
      </c>
      <c r="D3344">
        <v>277</v>
      </c>
    </row>
    <row r="3345" spans="1:4" x14ac:dyDescent="0.25">
      <c r="A3345" s="279">
        <v>39112</v>
      </c>
      <c r="B3345" s="309" t="s">
        <v>411</v>
      </c>
      <c r="C3345" s="309" t="s">
        <v>24</v>
      </c>
      <c r="D3345">
        <v>0</v>
      </c>
    </row>
    <row r="3346" spans="1:4" x14ac:dyDescent="0.25">
      <c r="A3346" s="279">
        <v>39112</v>
      </c>
      <c r="B3346" s="309" t="s">
        <v>411</v>
      </c>
      <c r="C3346" s="309" t="s">
        <v>91</v>
      </c>
      <c r="D3346">
        <v>0</v>
      </c>
    </row>
    <row r="3347" spans="1:4" x14ac:dyDescent="0.25">
      <c r="A3347" s="279">
        <v>39112</v>
      </c>
      <c r="B3347" s="309" t="s">
        <v>411</v>
      </c>
      <c r="C3347" s="309" t="s">
        <v>118</v>
      </c>
      <c r="D3347">
        <v>0</v>
      </c>
    </row>
    <row r="3348" spans="1:4" x14ac:dyDescent="0.25">
      <c r="A3348" s="279">
        <v>39112</v>
      </c>
      <c r="B3348" s="309" t="s">
        <v>411</v>
      </c>
      <c r="C3348" s="309" t="s">
        <v>407</v>
      </c>
      <c r="D3348">
        <v>214300</v>
      </c>
    </row>
    <row r="3349" spans="1:4" x14ac:dyDescent="0.25">
      <c r="A3349" s="279">
        <v>39112</v>
      </c>
      <c r="B3349" s="309" t="s">
        <v>411</v>
      </c>
      <c r="C3349" s="309" t="s">
        <v>412</v>
      </c>
      <c r="D3349">
        <v>1007</v>
      </c>
    </row>
    <row r="3350" spans="1:4" x14ac:dyDescent="0.25">
      <c r="A3350" s="279">
        <v>39112</v>
      </c>
      <c r="B3350" s="309" t="s">
        <v>411</v>
      </c>
      <c r="C3350" s="309" t="s">
        <v>409</v>
      </c>
      <c r="D3350">
        <v>1049</v>
      </c>
    </row>
    <row r="3351" spans="1:4" x14ac:dyDescent="0.25">
      <c r="A3351" s="279">
        <v>39113</v>
      </c>
      <c r="B3351" s="309" t="s">
        <v>405</v>
      </c>
      <c r="C3351" s="309" t="s">
        <v>406</v>
      </c>
      <c r="D3351">
        <v>3489888.1</v>
      </c>
    </row>
    <row r="3352" spans="1:4" x14ac:dyDescent="0.25">
      <c r="A3352" s="279">
        <v>39113</v>
      </c>
      <c r="B3352" s="309" t="s">
        <v>405</v>
      </c>
      <c r="C3352" s="309" t="s">
        <v>89</v>
      </c>
      <c r="D3352">
        <v>0</v>
      </c>
    </row>
    <row r="3353" spans="1:4" x14ac:dyDescent="0.25">
      <c r="A3353" s="279">
        <v>39113</v>
      </c>
      <c r="B3353" s="309" t="s">
        <v>405</v>
      </c>
      <c r="C3353" s="309" t="s">
        <v>198</v>
      </c>
      <c r="D3353">
        <v>0</v>
      </c>
    </row>
    <row r="3354" spans="1:4" x14ac:dyDescent="0.25">
      <c r="A3354" s="279">
        <v>39113</v>
      </c>
      <c r="B3354" s="309" t="s">
        <v>405</v>
      </c>
      <c r="C3354" s="309" t="s">
        <v>199</v>
      </c>
      <c r="D3354">
        <v>0</v>
      </c>
    </row>
    <row r="3355" spans="1:4" x14ac:dyDescent="0.25">
      <c r="A3355" s="279">
        <v>39113</v>
      </c>
      <c r="B3355" s="309" t="s">
        <v>405</v>
      </c>
      <c r="C3355" s="309" t="s">
        <v>90</v>
      </c>
      <c r="D3355">
        <v>1337</v>
      </c>
    </row>
    <row r="3356" spans="1:4" x14ac:dyDescent="0.25">
      <c r="A3356" s="279">
        <v>39113</v>
      </c>
      <c r="B3356" s="309" t="s">
        <v>405</v>
      </c>
      <c r="C3356" s="309" t="s">
        <v>24</v>
      </c>
      <c r="D3356">
        <v>0</v>
      </c>
    </row>
    <row r="3357" spans="1:4" x14ac:dyDescent="0.25">
      <c r="A3357" s="279">
        <v>39113</v>
      </c>
      <c r="B3357" s="309" t="s">
        <v>405</v>
      </c>
      <c r="C3357" s="309" t="s">
        <v>91</v>
      </c>
      <c r="D3357">
        <v>0</v>
      </c>
    </row>
    <row r="3358" spans="1:4" x14ac:dyDescent="0.25">
      <c r="A3358" s="279">
        <v>39113</v>
      </c>
      <c r="B3358" s="309" t="s">
        <v>405</v>
      </c>
      <c r="C3358" s="309" t="s">
        <v>118</v>
      </c>
      <c r="D3358">
        <v>0</v>
      </c>
    </row>
    <row r="3359" spans="1:4" x14ac:dyDescent="0.25">
      <c r="A3359" s="279">
        <v>39113</v>
      </c>
      <c r="B3359" s="309" t="s">
        <v>405</v>
      </c>
      <c r="C3359" s="309" t="s">
        <v>407</v>
      </c>
      <c r="D3359">
        <v>3488551.1</v>
      </c>
    </row>
    <row r="3360" spans="1:4" x14ac:dyDescent="0.25">
      <c r="A3360" s="279">
        <v>39113</v>
      </c>
      <c r="B3360" s="309" t="s">
        <v>405</v>
      </c>
      <c r="C3360" s="309" t="s">
        <v>408</v>
      </c>
      <c r="D3360">
        <v>1007</v>
      </c>
    </row>
    <row r="3361" spans="1:4" x14ac:dyDescent="0.25">
      <c r="A3361" s="279">
        <v>39113</v>
      </c>
      <c r="B3361" s="309" t="s">
        <v>405</v>
      </c>
      <c r="C3361" s="309" t="s">
        <v>409</v>
      </c>
      <c r="D3361">
        <v>1058</v>
      </c>
    </row>
    <row r="3362" spans="1:4" x14ac:dyDescent="0.25">
      <c r="A3362" s="279">
        <v>39113</v>
      </c>
      <c r="B3362" s="309" t="s">
        <v>405</v>
      </c>
      <c r="C3362" s="309" t="s">
        <v>410</v>
      </c>
      <c r="D3362">
        <v>1038</v>
      </c>
    </row>
    <row r="3363" spans="1:4" x14ac:dyDescent="0.25">
      <c r="A3363" s="279">
        <v>39113</v>
      </c>
      <c r="B3363" s="309" t="s">
        <v>411</v>
      </c>
      <c r="C3363" s="309" t="s">
        <v>406</v>
      </c>
      <c r="D3363">
        <v>214300</v>
      </c>
    </row>
    <row r="3364" spans="1:4" x14ac:dyDescent="0.25">
      <c r="A3364" s="279">
        <v>39113</v>
      </c>
      <c r="B3364" s="309" t="s">
        <v>411</v>
      </c>
      <c r="C3364" s="309" t="s">
        <v>198</v>
      </c>
      <c r="D3364">
        <v>0</v>
      </c>
    </row>
    <row r="3365" spans="1:4" x14ac:dyDescent="0.25">
      <c r="A3365" s="279">
        <v>39113</v>
      </c>
      <c r="B3365" s="309" t="s">
        <v>411</v>
      </c>
      <c r="C3365" s="309" t="s">
        <v>199</v>
      </c>
      <c r="D3365">
        <v>0</v>
      </c>
    </row>
    <row r="3366" spans="1:4" x14ac:dyDescent="0.25">
      <c r="A3366" s="279">
        <v>39113</v>
      </c>
      <c r="B3366" s="309" t="s">
        <v>411</v>
      </c>
      <c r="C3366" s="309" t="s">
        <v>90</v>
      </c>
      <c r="D3366">
        <v>76</v>
      </c>
    </row>
    <row r="3367" spans="1:4" x14ac:dyDescent="0.25">
      <c r="A3367" s="279">
        <v>39113</v>
      </c>
      <c r="B3367" s="309" t="s">
        <v>411</v>
      </c>
      <c r="C3367" s="309" t="s">
        <v>24</v>
      </c>
      <c r="D3367">
        <v>0</v>
      </c>
    </row>
    <row r="3368" spans="1:4" x14ac:dyDescent="0.25">
      <c r="A3368" s="279">
        <v>39113</v>
      </c>
      <c r="B3368" s="309" t="s">
        <v>411</v>
      </c>
      <c r="C3368" s="309" t="s">
        <v>91</v>
      </c>
      <c r="D3368">
        <v>0</v>
      </c>
    </row>
    <row r="3369" spans="1:4" x14ac:dyDescent="0.25">
      <c r="A3369" s="279">
        <v>39113</v>
      </c>
      <c r="B3369" s="309" t="s">
        <v>411</v>
      </c>
      <c r="C3369" s="309" t="s">
        <v>118</v>
      </c>
      <c r="D3369">
        <v>0</v>
      </c>
    </row>
    <row r="3370" spans="1:4" x14ac:dyDescent="0.25">
      <c r="A3370" s="279">
        <v>39113</v>
      </c>
      <c r="B3370" s="309" t="s">
        <v>411</v>
      </c>
      <c r="C3370" s="309" t="s">
        <v>407</v>
      </c>
      <c r="D3370">
        <v>214224</v>
      </c>
    </row>
    <row r="3371" spans="1:4" x14ac:dyDescent="0.25">
      <c r="A3371" s="279">
        <v>39113</v>
      </c>
      <c r="B3371" s="309" t="s">
        <v>411</v>
      </c>
      <c r="C3371" s="309" t="s">
        <v>412</v>
      </c>
      <c r="D3371">
        <v>1007</v>
      </c>
    </row>
    <row r="3372" spans="1:4" x14ac:dyDescent="0.25">
      <c r="A3372" s="279">
        <v>39113</v>
      </c>
      <c r="B3372" s="309" t="s">
        <v>411</v>
      </c>
      <c r="C3372" s="309" t="s">
        <v>409</v>
      </c>
      <c r="D3372">
        <v>1049</v>
      </c>
    </row>
    <row r="3373" spans="1:4" x14ac:dyDescent="0.25">
      <c r="A3373" s="279">
        <v>39114</v>
      </c>
      <c r="B3373" s="309" t="s">
        <v>405</v>
      </c>
      <c r="C3373" s="309" t="s">
        <v>406</v>
      </c>
      <c r="D3373">
        <v>3488551.1</v>
      </c>
    </row>
    <row r="3374" spans="1:4" x14ac:dyDescent="0.25">
      <c r="A3374" s="279">
        <v>39114</v>
      </c>
      <c r="B3374" s="309" t="s">
        <v>405</v>
      </c>
      <c r="C3374" s="309" t="s">
        <v>89</v>
      </c>
      <c r="D3374">
        <v>0</v>
      </c>
    </row>
    <row r="3375" spans="1:4" x14ac:dyDescent="0.25">
      <c r="A3375" s="279">
        <v>39114</v>
      </c>
      <c r="B3375" s="309" t="s">
        <v>405</v>
      </c>
      <c r="C3375" s="309" t="s">
        <v>198</v>
      </c>
      <c r="D3375">
        <v>0</v>
      </c>
    </row>
    <row r="3376" spans="1:4" x14ac:dyDescent="0.25">
      <c r="A3376" s="279">
        <v>39114</v>
      </c>
      <c r="B3376" s="309" t="s">
        <v>405</v>
      </c>
      <c r="C3376" s="309" t="s">
        <v>199</v>
      </c>
      <c r="D3376">
        <v>0</v>
      </c>
    </row>
    <row r="3377" spans="1:4" x14ac:dyDescent="0.25">
      <c r="A3377" s="279">
        <v>39114</v>
      </c>
      <c r="B3377" s="309" t="s">
        <v>405</v>
      </c>
      <c r="C3377" s="309" t="s">
        <v>90</v>
      </c>
      <c r="D3377">
        <v>2940</v>
      </c>
    </row>
    <row r="3378" spans="1:4" x14ac:dyDescent="0.25">
      <c r="A3378" s="279">
        <v>39114</v>
      </c>
      <c r="B3378" s="309" t="s">
        <v>405</v>
      </c>
      <c r="C3378" s="309" t="s">
        <v>24</v>
      </c>
      <c r="D3378">
        <v>0</v>
      </c>
    </row>
    <row r="3379" spans="1:4" x14ac:dyDescent="0.25">
      <c r="A3379" s="279">
        <v>39114</v>
      </c>
      <c r="B3379" s="309" t="s">
        <v>405</v>
      </c>
      <c r="C3379" s="309" t="s">
        <v>91</v>
      </c>
      <c r="D3379">
        <v>0</v>
      </c>
    </row>
    <row r="3380" spans="1:4" x14ac:dyDescent="0.25">
      <c r="A3380" s="279">
        <v>39114</v>
      </c>
      <c r="B3380" s="309" t="s">
        <v>405</v>
      </c>
      <c r="C3380" s="309" t="s">
        <v>118</v>
      </c>
      <c r="D3380">
        <v>0</v>
      </c>
    </row>
    <row r="3381" spans="1:4" x14ac:dyDescent="0.25">
      <c r="A3381" s="279">
        <v>39114</v>
      </c>
      <c r="B3381" s="309" t="s">
        <v>405</v>
      </c>
      <c r="C3381" s="309" t="s">
        <v>407</v>
      </c>
      <c r="D3381">
        <v>3485611.1</v>
      </c>
    </row>
    <row r="3382" spans="1:4" x14ac:dyDescent="0.25">
      <c r="A3382" s="279">
        <v>39114</v>
      </c>
      <c r="B3382" s="309" t="s">
        <v>405</v>
      </c>
      <c r="C3382" s="309" t="s">
        <v>408</v>
      </c>
      <c r="D3382">
        <v>1007</v>
      </c>
    </row>
    <row r="3383" spans="1:4" x14ac:dyDescent="0.25">
      <c r="A3383" s="279">
        <v>39114</v>
      </c>
      <c r="B3383" s="309" t="s">
        <v>405</v>
      </c>
      <c r="C3383" s="309" t="s">
        <v>409</v>
      </c>
      <c r="D3383">
        <v>1058</v>
      </c>
    </row>
    <row r="3384" spans="1:4" x14ac:dyDescent="0.25">
      <c r="A3384" s="279">
        <v>39114</v>
      </c>
      <c r="B3384" s="309" t="s">
        <v>405</v>
      </c>
      <c r="C3384" s="309" t="s">
        <v>410</v>
      </c>
      <c r="D3384">
        <v>1040</v>
      </c>
    </row>
    <row r="3385" spans="1:4" x14ac:dyDescent="0.25">
      <c r="A3385" s="279">
        <v>39114</v>
      </c>
      <c r="B3385" s="309" t="s">
        <v>411</v>
      </c>
      <c r="C3385" s="309" t="s">
        <v>406</v>
      </c>
      <c r="D3385">
        <v>214224</v>
      </c>
    </row>
    <row r="3386" spans="1:4" x14ac:dyDescent="0.25">
      <c r="A3386" s="279">
        <v>39114</v>
      </c>
      <c r="B3386" s="309" t="s">
        <v>411</v>
      </c>
      <c r="C3386" s="309" t="s">
        <v>198</v>
      </c>
      <c r="D3386">
        <v>0</v>
      </c>
    </row>
    <row r="3387" spans="1:4" x14ac:dyDescent="0.25">
      <c r="A3387" s="279">
        <v>39114</v>
      </c>
      <c r="B3387" s="309" t="s">
        <v>411</v>
      </c>
      <c r="C3387" s="309" t="s">
        <v>199</v>
      </c>
      <c r="D3387">
        <v>0</v>
      </c>
    </row>
    <row r="3388" spans="1:4" x14ac:dyDescent="0.25">
      <c r="A3388" s="279">
        <v>39114</v>
      </c>
      <c r="B3388" s="309" t="s">
        <v>411</v>
      </c>
      <c r="C3388" s="309" t="s">
        <v>90</v>
      </c>
      <c r="D3388">
        <v>71</v>
      </c>
    </row>
    <row r="3389" spans="1:4" x14ac:dyDescent="0.25">
      <c r="A3389" s="279">
        <v>39114</v>
      </c>
      <c r="B3389" s="309" t="s">
        <v>411</v>
      </c>
      <c r="C3389" s="309" t="s">
        <v>24</v>
      </c>
      <c r="D3389">
        <v>0</v>
      </c>
    </row>
    <row r="3390" spans="1:4" x14ac:dyDescent="0.25">
      <c r="A3390" s="279">
        <v>39114</v>
      </c>
      <c r="B3390" s="309" t="s">
        <v>411</v>
      </c>
      <c r="C3390" s="309" t="s">
        <v>91</v>
      </c>
      <c r="D3390">
        <v>0</v>
      </c>
    </row>
    <row r="3391" spans="1:4" x14ac:dyDescent="0.25">
      <c r="A3391" s="279">
        <v>39114</v>
      </c>
      <c r="B3391" s="309" t="s">
        <v>411</v>
      </c>
      <c r="C3391" s="309" t="s">
        <v>118</v>
      </c>
      <c r="D3391">
        <v>0</v>
      </c>
    </row>
    <row r="3392" spans="1:4" x14ac:dyDescent="0.25">
      <c r="A3392" s="279">
        <v>39114</v>
      </c>
      <c r="B3392" s="309" t="s">
        <v>411</v>
      </c>
      <c r="C3392" s="309" t="s">
        <v>407</v>
      </c>
      <c r="D3392">
        <v>214153</v>
      </c>
    </row>
    <row r="3393" spans="1:4" x14ac:dyDescent="0.25">
      <c r="A3393" s="279">
        <v>39114</v>
      </c>
      <c r="B3393" s="309" t="s">
        <v>411</v>
      </c>
      <c r="C3393" s="309" t="s">
        <v>412</v>
      </c>
      <c r="D3393">
        <v>1007</v>
      </c>
    </row>
    <row r="3394" spans="1:4" x14ac:dyDescent="0.25">
      <c r="A3394" s="279">
        <v>39114</v>
      </c>
      <c r="B3394" s="309" t="s">
        <v>411</v>
      </c>
      <c r="C3394" s="309" t="s">
        <v>409</v>
      </c>
      <c r="D3394">
        <v>1049</v>
      </c>
    </row>
    <row r="3395" spans="1:4" x14ac:dyDescent="0.25">
      <c r="A3395" s="279">
        <v>39115</v>
      </c>
      <c r="B3395" s="309" t="s">
        <v>405</v>
      </c>
      <c r="C3395" s="309" t="s">
        <v>406</v>
      </c>
      <c r="D3395">
        <v>3485611.1</v>
      </c>
    </row>
    <row r="3396" spans="1:4" x14ac:dyDescent="0.25">
      <c r="A3396" s="279">
        <v>39115</v>
      </c>
      <c r="B3396" s="309" t="s">
        <v>405</v>
      </c>
      <c r="C3396" s="309" t="s">
        <v>89</v>
      </c>
      <c r="D3396">
        <v>0</v>
      </c>
    </row>
    <row r="3397" spans="1:4" x14ac:dyDescent="0.25">
      <c r="A3397" s="279">
        <v>39115</v>
      </c>
      <c r="B3397" s="309" t="s">
        <v>405</v>
      </c>
      <c r="C3397" s="309" t="s">
        <v>198</v>
      </c>
      <c r="D3397">
        <v>0</v>
      </c>
    </row>
    <row r="3398" spans="1:4" x14ac:dyDescent="0.25">
      <c r="A3398" s="279">
        <v>39115</v>
      </c>
      <c r="B3398" s="309" t="s">
        <v>405</v>
      </c>
      <c r="C3398" s="309" t="s">
        <v>199</v>
      </c>
      <c r="D3398">
        <v>0</v>
      </c>
    </row>
    <row r="3399" spans="1:4" x14ac:dyDescent="0.25">
      <c r="A3399" s="279">
        <v>39115</v>
      </c>
      <c r="B3399" s="309" t="s">
        <v>405</v>
      </c>
      <c r="C3399" s="309" t="s">
        <v>90</v>
      </c>
      <c r="D3399">
        <v>4276</v>
      </c>
    </row>
    <row r="3400" spans="1:4" x14ac:dyDescent="0.25">
      <c r="A3400" s="279">
        <v>39115</v>
      </c>
      <c r="B3400" s="309" t="s">
        <v>405</v>
      </c>
      <c r="C3400" s="309" t="s">
        <v>24</v>
      </c>
      <c r="D3400">
        <v>0</v>
      </c>
    </row>
    <row r="3401" spans="1:4" x14ac:dyDescent="0.25">
      <c r="A3401" s="279">
        <v>39115</v>
      </c>
      <c r="B3401" s="309" t="s">
        <v>405</v>
      </c>
      <c r="C3401" s="309" t="s">
        <v>91</v>
      </c>
      <c r="D3401">
        <v>0</v>
      </c>
    </row>
    <row r="3402" spans="1:4" x14ac:dyDescent="0.25">
      <c r="A3402" s="279">
        <v>39115</v>
      </c>
      <c r="B3402" s="309" t="s">
        <v>405</v>
      </c>
      <c r="C3402" s="309" t="s">
        <v>118</v>
      </c>
      <c r="D3402">
        <v>0</v>
      </c>
    </row>
    <row r="3403" spans="1:4" x14ac:dyDescent="0.25">
      <c r="A3403" s="279">
        <v>39115</v>
      </c>
      <c r="B3403" s="309" t="s">
        <v>405</v>
      </c>
      <c r="C3403" s="309" t="s">
        <v>407</v>
      </c>
      <c r="D3403">
        <v>3481335.1</v>
      </c>
    </row>
    <row r="3404" spans="1:4" x14ac:dyDescent="0.25">
      <c r="A3404" s="279">
        <v>39115</v>
      </c>
      <c r="B3404" s="309" t="s">
        <v>405</v>
      </c>
      <c r="C3404" s="309" t="s">
        <v>408</v>
      </c>
      <c r="D3404">
        <v>1007</v>
      </c>
    </row>
    <row r="3405" spans="1:4" x14ac:dyDescent="0.25">
      <c r="A3405" s="279">
        <v>39115</v>
      </c>
      <c r="B3405" s="309" t="s">
        <v>405</v>
      </c>
      <c r="C3405" s="309" t="s">
        <v>409</v>
      </c>
      <c r="D3405">
        <v>1058</v>
      </c>
    </row>
    <row r="3406" spans="1:4" x14ac:dyDescent="0.25">
      <c r="A3406" s="279">
        <v>39115</v>
      </c>
      <c r="B3406" s="309" t="s">
        <v>405</v>
      </c>
      <c r="C3406" s="309" t="s">
        <v>410</v>
      </c>
      <c r="D3406">
        <v>1037</v>
      </c>
    </row>
    <row r="3407" spans="1:4" x14ac:dyDescent="0.25">
      <c r="A3407" s="279">
        <v>39115</v>
      </c>
      <c r="B3407" s="309" t="s">
        <v>411</v>
      </c>
      <c r="C3407" s="309" t="s">
        <v>406</v>
      </c>
      <c r="D3407">
        <v>214153</v>
      </c>
    </row>
    <row r="3408" spans="1:4" x14ac:dyDescent="0.25">
      <c r="A3408" s="279">
        <v>39115</v>
      </c>
      <c r="B3408" s="309" t="s">
        <v>411</v>
      </c>
      <c r="C3408" s="309" t="s">
        <v>198</v>
      </c>
      <c r="D3408">
        <v>0</v>
      </c>
    </row>
    <row r="3409" spans="1:4" x14ac:dyDescent="0.25">
      <c r="A3409" s="279">
        <v>39115</v>
      </c>
      <c r="B3409" s="309" t="s">
        <v>411</v>
      </c>
      <c r="C3409" s="309" t="s">
        <v>199</v>
      </c>
      <c r="D3409">
        <v>0</v>
      </c>
    </row>
    <row r="3410" spans="1:4" x14ac:dyDescent="0.25">
      <c r="A3410" s="279">
        <v>39115</v>
      </c>
      <c r="B3410" s="309" t="s">
        <v>411</v>
      </c>
      <c r="C3410" s="309" t="s">
        <v>90</v>
      </c>
      <c r="D3410">
        <v>130</v>
      </c>
    </row>
    <row r="3411" spans="1:4" x14ac:dyDescent="0.25">
      <c r="A3411" s="279">
        <v>39115</v>
      </c>
      <c r="B3411" s="309" t="s">
        <v>411</v>
      </c>
      <c r="C3411" s="309" t="s">
        <v>24</v>
      </c>
      <c r="D3411">
        <v>0</v>
      </c>
    </row>
    <row r="3412" spans="1:4" x14ac:dyDescent="0.25">
      <c r="A3412" s="279">
        <v>39115</v>
      </c>
      <c r="B3412" s="309" t="s">
        <v>411</v>
      </c>
      <c r="C3412" s="309" t="s">
        <v>91</v>
      </c>
      <c r="D3412">
        <v>0</v>
      </c>
    </row>
    <row r="3413" spans="1:4" x14ac:dyDescent="0.25">
      <c r="A3413" s="279">
        <v>39115</v>
      </c>
      <c r="B3413" s="309" t="s">
        <v>411</v>
      </c>
      <c r="C3413" s="309" t="s">
        <v>118</v>
      </c>
      <c r="D3413">
        <v>0</v>
      </c>
    </row>
    <row r="3414" spans="1:4" x14ac:dyDescent="0.25">
      <c r="A3414" s="279">
        <v>39115</v>
      </c>
      <c r="B3414" s="309" t="s">
        <v>411</v>
      </c>
      <c r="C3414" s="309" t="s">
        <v>407</v>
      </c>
      <c r="D3414">
        <v>214023</v>
      </c>
    </row>
    <row r="3415" spans="1:4" x14ac:dyDescent="0.25">
      <c r="A3415" s="279">
        <v>39115</v>
      </c>
      <c r="B3415" s="309" t="s">
        <v>411</v>
      </c>
      <c r="C3415" s="309" t="s">
        <v>412</v>
      </c>
      <c r="D3415">
        <v>1007</v>
      </c>
    </row>
    <row r="3416" spans="1:4" x14ac:dyDescent="0.25">
      <c r="A3416" s="279">
        <v>39115</v>
      </c>
      <c r="B3416" s="309" t="s">
        <v>411</v>
      </c>
      <c r="C3416" s="309" t="s">
        <v>409</v>
      </c>
      <c r="D3416">
        <v>1049</v>
      </c>
    </row>
    <row r="3417" spans="1:4" x14ac:dyDescent="0.25">
      <c r="A3417" s="279">
        <v>39116</v>
      </c>
      <c r="B3417" s="309" t="s">
        <v>405</v>
      </c>
      <c r="C3417" s="309" t="s">
        <v>406</v>
      </c>
      <c r="D3417">
        <v>3481335.1</v>
      </c>
    </row>
    <row r="3418" spans="1:4" x14ac:dyDescent="0.25">
      <c r="A3418" s="279">
        <v>39116</v>
      </c>
      <c r="B3418" s="309" t="s">
        <v>405</v>
      </c>
      <c r="C3418" s="309" t="s">
        <v>89</v>
      </c>
      <c r="D3418">
        <v>0</v>
      </c>
    </row>
    <row r="3419" spans="1:4" x14ac:dyDescent="0.25">
      <c r="A3419" s="279">
        <v>39116</v>
      </c>
      <c r="B3419" s="309" t="s">
        <v>405</v>
      </c>
      <c r="C3419" s="309" t="s">
        <v>198</v>
      </c>
      <c r="D3419">
        <v>0</v>
      </c>
    </row>
    <row r="3420" spans="1:4" x14ac:dyDescent="0.25">
      <c r="A3420" s="279">
        <v>39116</v>
      </c>
      <c r="B3420" s="309" t="s">
        <v>405</v>
      </c>
      <c r="C3420" s="309" t="s">
        <v>199</v>
      </c>
      <c r="D3420">
        <v>0</v>
      </c>
    </row>
    <row r="3421" spans="1:4" x14ac:dyDescent="0.25">
      <c r="A3421" s="279">
        <v>39116</v>
      </c>
      <c r="B3421" s="309" t="s">
        <v>405</v>
      </c>
      <c r="C3421" s="309" t="s">
        <v>90</v>
      </c>
      <c r="D3421">
        <v>1336</v>
      </c>
    </row>
    <row r="3422" spans="1:4" x14ac:dyDescent="0.25">
      <c r="A3422" s="279">
        <v>39116</v>
      </c>
      <c r="B3422" s="309" t="s">
        <v>405</v>
      </c>
      <c r="C3422" s="309" t="s">
        <v>24</v>
      </c>
      <c r="D3422">
        <v>0</v>
      </c>
    </row>
    <row r="3423" spans="1:4" x14ac:dyDescent="0.25">
      <c r="A3423" s="279">
        <v>39116</v>
      </c>
      <c r="B3423" s="309" t="s">
        <v>405</v>
      </c>
      <c r="C3423" s="309" t="s">
        <v>91</v>
      </c>
      <c r="D3423">
        <v>0</v>
      </c>
    </row>
    <row r="3424" spans="1:4" x14ac:dyDescent="0.25">
      <c r="A3424" s="279">
        <v>39116</v>
      </c>
      <c r="B3424" s="309" t="s">
        <v>405</v>
      </c>
      <c r="C3424" s="309" t="s">
        <v>118</v>
      </c>
      <c r="D3424">
        <v>0</v>
      </c>
    </row>
    <row r="3425" spans="1:4" x14ac:dyDescent="0.25">
      <c r="A3425" s="279">
        <v>39116</v>
      </c>
      <c r="B3425" s="309" t="s">
        <v>405</v>
      </c>
      <c r="C3425" s="309" t="s">
        <v>407</v>
      </c>
      <c r="D3425">
        <v>3479999.1</v>
      </c>
    </row>
    <row r="3426" spans="1:4" x14ac:dyDescent="0.25">
      <c r="A3426" s="279">
        <v>39116</v>
      </c>
      <c r="B3426" s="309" t="s">
        <v>405</v>
      </c>
      <c r="C3426" s="309" t="s">
        <v>408</v>
      </c>
      <c r="D3426">
        <v>1007</v>
      </c>
    </row>
    <row r="3427" spans="1:4" x14ac:dyDescent="0.25">
      <c r="A3427" s="279">
        <v>39116</v>
      </c>
      <c r="B3427" s="309" t="s">
        <v>405</v>
      </c>
      <c r="C3427" s="309" t="s">
        <v>409</v>
      </c>
      <c r="D3427">
        <v>1058</v>
      </c>
    </row>
    <row r="3428" spans="1:4" x14ac:dyDescent="0.25">
      <c r="A3428" s="279">
        <v>39116</v>
      </c>
      <c r="B3428" s="309" t="s">
        <v>405</v>
      </c>
      <c r="C3428" s="309" t="s">
        <v>410</v>
      </c>
      <c r="D3428">
        <v>1040</v>
      </c>
    </row>
    <row r="3429" spans="1:4" x14ac:dyDescent="0.25">
      <c r="A3429" s="279">
        <v>39116</v>
      </c>
      <c r="B3429" s="309" t="s">
        <v>411</v>
      </c>
      <c r="C3429" s="309" t="s">
        <v>406</v>
      </c>
      <c r="D3429">
        <v>214023</v>
      </c>
    </row>
    <row r="3430" spans="1:4" x14ac:dyDescent="0.25">
      <c r="A3430" s="279">
        <v>39116</v>
      </c>
      <c r="B3430" s="309" t="s">
        <v>411</v>
      </c>
      <c r="C3430" s="309" t="s">
        <v>198</v>
      </c>
      <c r="D3430">
        <v>0</v>
      </c>
    </row>
    <row r="3431" spans="1:4" x14ac:dyDescent="0.25">
      <c r="A3431" s="279">
        <v>39116</v>
      </c>
      <c r="B3431" s="309" t="s">
        <v>411</v>
      </c>
      <c r="C3431" s="309" t="s">
        <v>199</v>
      </c>
      <c r="D3431">
        <v>0</v>
      </c>
    </row>
    <row r="3432" spans="1:4" x14ac:dyDescent="0.25">
      <c r="A3432" s="279">
        <v>39116</v>
      </c>
      <c r="B3432" s="309" t="s">
        <v>411</v>
      </c>
      <c r="C3432" s="309" t="s">
        <v>90</v>
      </c>
      <c r="D3432">
        <v>277</v>
      </c>
    </row>
    <row r="3433" spans="1:4" x14ac:dyDescent="0.25">
      <c r="A3433" s="279">
        <v>39116</v>
      </c>
      <c r="B3433" s="309" t="s">
        <v>411</v>
      </c>
      <c r="C3433" s="309" t="s">
        <v>24</v>
      </c>
      <c r="D3433">
        <v>0</v>
      </c>
    </row>
    <row r="3434" spans="1:4" x14ac:dyDescent="0.25">
      <c r="A3434" s="279">
        <v>39116</v>
      </c>
      <c r="B3434" s="309" t="s">
        <v>411</v>
      </c>
      <c r="C3434" s="309" t="s">
        <v>91</v>
      </c>
      <c r="D3434">
        <v>0</v>
      </c>
    </row>
    <row r="3435" spans="1:4" x14ac:dyDescent="0.25">
      <c r="A3435" s="279">
        <v>39116</v>
      </c>
      <c r="B3435" s="309" t="s">
        <v>411</v>
      </c>
      <c r="C3435" s="309" t="s">
        <v>118</v>
      </c>
      <c r="D3435">
        <v>0</v>
      </c>
    </row>
    <row r="3436" spans="1:4" x14ac:dyDescent="0.25">
      <c r="A3436" s="279">
        <v>39116</v>
      </c>
      <c r="B3436" s="309" t="s">
        <v>411</v>
      </c>
      <c r="C3436" s="309" t="s">
        <v>407</v>
      </c>
      <c r="D3436">
        <v>213746</v>
      </c>
    </row>
    <row r="3437" spans="1:4" x14ac:dyDescent="0.25">
      <c r="A3437" s="279">
        <v>39116</v>
      </c>
      <c r="B3437" s="309" t="s">
        <v>411</v>
      </c>
      <c r="C3437" s="309" t="s">
        <v>412</v>
      </c>
      <c r="D3437">
        <v>1007</v>
      </c>
    </row>
    <row r="3438" spans="1:4" x14ac:dyDescent="0.25">
      <c r="A3438" s="279">
        <v>39116</v>
      </c>
      <c r="B3438" s="309" t="s">
        <v>411</v>
      </c>
      <c r="C3438" s="309" t="s">
        <v>409</v>
      </c>
      <c r="D3438">
        <v>1049</v>
      </c>
    </row>
    <row r="3439" spans="1:4" x14ac:dyDescent="0.25">
      <c r="A3439" s="279">
        <v>39117</v>
      </c>
      <c r="B3439" s="309" t="s">
        <v>405</v>
      </c>
      <c r="C3439" s="309" t="s">
        <v>406</v>
      </c>
      <c r="D3439">
        <v>3479999.1</v>
      </c>
    </row>
    <row r="3440" spans="1:4" x14ac:dyDescent="0.25">
      <c r="A3440" s="279">
        <v>39117</v>
      </c>
      <c r="B3440" s="309" t="s">
        <v>405</v>
      </c>
      <c r="C3440" s="309" t="s">
        <v>89</v>
      </c>
      <c r="D3440">
        <v>0</v>
      </c>
    </row>
    <row r="3441" spans="1:4" x14ac:dyDescent="0.25">
      <c r="A3441" s="279">
        <v>39117</v>
      </c>
      <c r="B3441" s="309" t="s">
        <v>405</v>
      </c>
      <c r="C3441" s="309" t="s">
        <v>198</v>
      </c>
      <c r="D3441">
        <v>0</v>
      </c>
    </row>
    <row r="3442" spans="1:4" x14ac:dyDescent="0.25">
      <c r="A3442" s="279">
        <v>39117</v>
      </c>
      <c r="B3442" s="309" t="s">
        <v>405</v>
      </c>
      <c r="C3442" s="309" t="s">
        <v>199</v>
      </c>
      <c r="D3442">
        <v>0</v>
      </c>
    </row>
    <row r="3443" spans="1:4" x14ac:dyDescent="0.25">
      <c r="A3443" s="279">
        <v>39117</v>
      </c>
      <c r="B3443" s="309" t="s">
        <v>405</v>
      </c>
      <c r="C3443" s="309" t="s">
        <v>90</v>
      </c>
      <c r="D3443">
        <v>3378</v>
      </c>
    </row>
    <row r="3444" spans="1:4" x14ac:dyDescent="0.25">
      <c r="A3444" s="279">
        <v>39117</v>
      </c>
      <c r="B3444" s="309" t="s">
        <v>405</v>
      </c>
      <c r="C3444" s="309" t="s">
        <v>24</v>
      </c>
      <c r="D3444">
        <v>61821</v>
      </c>
    </row>
    <row r="3445" spans="1:4" x14ac:dyDescent="0.25">
      <c r="A3445" s="279">
        <v>39117</v>
      </c>
      <c r="B3445" s="309" t="s">
        <v>405</v>
      </c>
      <c r="C3445" s="309" t="s">
        <v>91</v>
      </c>
      <c r="D3445">
        <v>0</v>
      </c>
    </row>
    <row r="3446" spans="1:4" x14ac:dyDescent="0.25">
      <c r="A3446" s="279">
        <v>39117</v>
      </c>
      <c r="B3446" s="309" t="s">
        <v>405</v>
      </c>
      <c r="C3446" s="309" t="s">
        <v>118</v>
      </c>
      <c r="D3446">
        <v>0</v>
      </c>
    </row>
    <row r="3447" spans="1:4" x14ac:dyDescent="0.25">
      <c r="A3447" s="279">
        <v>39117</v>
      </c>
      <c r="B3447" s="309" t="s">
        <v>405</v>
      </c>
      <c r="C3447" s="309" t="s">
        <v>407</v>
      </c>
      <c r="D3447">
        <v>3414800.1</v>
      </c>
    </row>
    <row r="3448" spans="1:4" x14ac:dyDescent="0.25">
      <c r="A3448" s="279">
        <v>39117</v>
      </c>
      <c r="B3448" s="309" t="s">
        <v>405</v>
      </c>
      <c r="C3448" s="309" t="s">
        <v>408</v>
      </c>
      <c r="D3448">
        <v>1007</v>
      </c>
    </row>
    <row r="3449" spans="1:4" x14ac:dyDescent="0.25">
      <c r="A3449" s="279">
        <v>39117</v>
      </c>
      <c r="B3449" s="309" t="s">
        <v>405</v>
      </c>
      <c r="C3449" s="309" t="s">
        <v>409</v>
      </c>
      <c r="D3449">
        <v>1065</v>
      </c>
    </row>
    <row r="3450" spans="1:4" x14ac:dyDescent="0.25">
      <c r="A3450" s="279">
        <v>39117</v>
      </c>
      <c r="B3450" s="309" t="s">
        <v>405</v>
      </c>
      <c r="C3450" s="309" t="s">
        <v>410</v>
      </c>
      <c r="D3450">
        <v>1037</v>
      </c>
    </row>
    <row r="3451" spans="1:4" x14ac:dyDescent="0.25">
      <c r="A3451" s="279">
        <v>39117</v>
      </c>
      <c r="B3451" s="309" t="s">
        <v>411</v>
      </c>
      <c r="C3451" s="309" t="s">
        <v>406</v>
      </c>
      <c r="D3451">
        <v>213746</v>
      </c>
    </row>
    <row r="3452" spans="1:4" x14ac:dyDescent="0.25">
      <c r="A3452" s="279">
        <v>39117</v>
      </c>
      <c r="B3452" s="309" t="s">
        <v>411</v>
      </c>
      <c r="C3452" s="309" t="s">
        <v>198</v>
      </c>
      <c r="D3452">
        <v>0</v>
      </c>
    </row>
    <row r="3453" spans="1:4" x14ac:dyDescent="0.25">
      <c r="A3453" s="279">
        <v>39117</v>
      </c>
      <c r="B3453" s="309" t="s">
        <v>411</v>
      </c>
      <c r="C3453" s="309" t="s">
        <v>199</v>
      </c>
      <c r="D3453">
        <v>0</v>
      </c>
    </row>
    <row r="3454" spans="1:4" x14ac:dyDescent="0.25">
      <c r="A3454" s="279">
        <v>39117</v>
      </c>
      <c r="B3454" s="309" t="s">
        <v>411</v>
      </c>
      <c r="C3454" s="309" t="s">
        <v>90</v>
      </c>
      <c r="D3454">
        <v>275</v>
      </c>
    </row>
    <row r="3455" spans="1:4" x14ac:dyDescent="0.25">
      <c r="A3455" s="279">
        <v>39117</v>
      </c>
      <c r="B3455" s="309" t="s">
        <v>411</v>
      </c>
      <c r="C3455" s="309" t="s">
        <v>24</v>
      </c>
      <c r="D3455">
        <v>0</v>
      </c>
    </row>
    <row r="3456" spans="1:4" x14ac:dyDescent="0.25">
      <c r="A3456" s="279">
        <v>39117</v>
      </c>
      <c r="B3456" s="309" t="s">
        <v>411</v>
      </c>
      <c r="C3456" s="309" t="s">
        <v>91</v>
      </c>
      <c r="D3456">
        <v>0</v>
      </c>
    </row>
    <row r="3457" spans="1:4" x14ac:dyDescent="0.25">
      <c r="A3457" s="279">
        <v>39117</v>
      </c>
      <c r="B3457" s="309" t="s">
        <v>411</v>
      </c>
      <c r="C3457" s="309" t="s">
        <v>118</v>
      </c>
      <c r="D3457">
        <v>0</v>
      </c>
    </row>
    <row r="3458" spans="1:4" x14ac:dyDescent="0.25">
      <c r="A3458" s="279">
        <v>39117</v>
      </c>
      <c r="B3458" s="309" t="s">
        <v>411</v>
      </c>
      <c r="C3458" s="309" t="s">
        <v>407</v>
      </c>
      <c r="D3458">
        <v>213471</v>
      </c>
    </row>
    <row r="3459" spans="1:4" x14ac:dyDescent="0.25">
      <c r="A3459" s="279">
        <v>39117</v>
      </c>
      <c r="B3459" s="309" t="s">
        <v>411</v>
      </c>
      <c r="C3459" s="309" t="s">
        <v>412</v>
      </c>
      <c r="D3459">
        <v>1007</v>
      </c>
    </row>
    <row r="3460" spans="1:4" x14ac:dyDescent="0.25">
      <c r="A3460" s="279">
        <v>39117</v>
      </c>
      <c r="B3460" s="309" t="s">
        <v>411</v>
      </c>
      <c r="C3460" s="309" t="s">
        <v>409</v>
      </c>
      <c r="D3460">
        <v>1049</v>
      </c>
    </row>
    <row r="3461" spans="1:4" x14ac:dyDescent="0.25">
      <c r="A3461" s="279">
        <v>39118</v>
      </c>
      <c r="B3461" s="309" t="s">
        <v>405</v>
      </c>
      <c r="C3461" s="309" t="s">
        <v>406</v>
      </c>
      <c r="D3461">
        <v>3414800.1</v>
      </c>
    </row>
    <row r="3462" spans="1:4" x14ac:dyDescent="0.25">
      <c r="A3462" s="279">
        <v>39118</v>
      </c>
      <c r="B3462" s="309" t="s">
        <v>405</v>
      </c>
      <c r="C3462" s="309" t="s">
        <v>89</v>
      </c>
      <c r="D3462">
        <v>0</v>
      </c>
    </row>
    <row r="3463" spans="1:4" x14ac:dyDescent="0.25">
      <c r="A3463" s="279">
        <v>39118</v>
      </c>
      <c r="B3463" s="309" t="s">
        <v>405</v>
      </c>
      <c r="C3463" s="309" t="s">
        <v>198</v>
      </c>
      <c r="D3463">
        <v>0</v>
      </c>
    </row>
    <row r="3464" spans="1:4" x14ac:dyDescent="0.25">
      <c r="A3464" s="279">
        <v>39118</v>
      </c>
      <c r="B3464" s="309" t="s">
        <v>405</v>
      </c>
      <c r="C3464" s="309" t="s">
        <v>199</v>
      </c>
      <c r="D3464">
        <v>0</v>
      </c>
    </row>
    <row r="3465" spans="1:4" x14ac:dyDescent="0.25">
      <c r="A3465" s="279">
        <v>39118</v>
      </c>
      <c r="B3465" s="309" t="s">
        <v>405</v>
      </c>
      <c r="C3465" s="309" t="s">
        <v>90</v>
      </c>
      <c r="D3465">
        <v>8132</v>
      </c>
    </row>
    <row r="3466" spans="1:4" x14ac:dyDescent="0.25">
      <c r="A3466" s="279">
        <v>39118</v>
      </c>
      <c r="B3466" s="309" t="s">
        <v>405</v>
      </c>
      <c r="C3466" s="309" t="s">
        <v>24</v>
      </c>
      <c r="D3466">
        <v>142829</v>
      </c>
    </row>
    <row r="3467" spans="1:4" x14ac:dyDescent="0.25">
      <c r="A3467" s="279">
        <v>39118</v>
      </c>
      <c r="B3467" s="309" t="s">
        <v>405</v>
      </c>
      <c r="C3467" s="309" t="s">
        <v>91</v>
      </c>
      <c r="D3467">
        <v>0</v>
      </c>
    </row>
    <row r="3468" spans="1:4" x14ac:dyDescent="0.25">
      <c r="A3468" s="279">
        <v>39118</v>
      </c>
      <c r="B3468" s="309" t="s">
        <v>405</v>
      </c>
      <c r="C3468" s="309" t="s">
        <v>118</v>
      </c>
      <c r="D3468">
        <v>0</v>
      </c>
    </row>
    <row r="3469" spans="1:4" x14ac:dyDescent="0.25">
      <c r="A3469" s="279">
        <v>39118</v>
      </c>
      <c r="B3469" s="309" t="s">
        <v>405</v>
      </c>
      <c r="C3469" s="309" t="s">
        <v>407</v>
      </c>
      <c r="D3469">
        <v>3263839.1</v>
      </c>
    </row>
    <row r="3470" spans="1:4" x14ac:dyDescent="0.25">
      <c r="A3470" s="279">
        <v>39118</v>
      </c>
      <c r="B3470" s="309" t="s">
        <v>405</v>
      </c>
      <c r="C3470" s="309" t="s">
        <v>408</v>
      </c>
      <c r="D3470">
        <v>1007</v>
      </c>
    </row>
    <row r="3471" spans="1:4" x14ac:dyDescent="0.25">
      <c r="A3471" s="279">
        <v>39118</v>
      </c>
      <c r="B3471" s="309" t="s">
        <v>405</v>
      </c>
      <c r="C3471" s="309" t="s">
        <v>409</v>
      </c>
      <c r="D3471">
        <v>1065</v>
      </c>
    </row>
    <row r="3472" spans="1:4" x14ac:dyDescent="0.25">
      <c r="A3472" s="279">
        <v>39118</v>
      </c>
      <c r="B3472" s="309" t="s">
        <v>405</v>
      </c>
      <c r="C3472" s="309" t="s">
        <v>410</v>
      </c>
      <c r="D3472">
        <v>1034</v>
      </c>
    </row>
    <row r="3473" spans="1:4" x14ac:dyDescent="0.25">
      <c r="A3473" s="279">
        <v>39118</v>
      </c>
      <c r="B3473" s="309" t="s">
        <v>411</v>
      </c>
      <c r="C3473" s="309" t="s">
        <v>406</v>
      </c>
      <c r="D3473">
        <v>213471</v>
      </c>
    </row>
    <row r="3474" spans="1:4" x14ac:dyDescent="0.25">
      <c r="A3474" s="279">
        <v>39118</v>
      </c>
      <c r="B3474" s="309" t="s">
        <v>411</v>
      </c>
      <c r="C3474" s="309" t="s">
        <v>198</v>
      </c>
      <c r="D3474">
        <v>0</v>
      </c>
    </row>
    <row r="3475" spans="1:4" x14ac:dyDescent="0.25">
      <c r="A3475" s="279">
        <v>39118</v>
      </c>
      <c r="B3475" s="309" t="s">
        <v>411</v>
      </c>
      <c r="C3475" s="309" t="s">
        <v>199</v>
      </c>
      <c r="D3475">
        <v>0</v>
      </c>
    </row>
    <row r="3476" spans="1:4" x14ac:dyDescent="0.25">
      <c r="A3476" s="279">
        <v>39118</v>
      </c>
      <c r="B3476" s="309" t="s">
        <v>411</v>
      </c>
      <c r="C3476" s="309" t="s">
        <v>90</v>
      </c>
      <c r="D3476">
        <v>277</v>
      </c>
    </row>
    <row r="3477" spans="1:4" x14ac:dyDescent="0.25">
      <c r="A3477" s="279">
        <v>39118</v>
      </c>
      <c r="B3477" s="309" t="s">
        <v>411</v>
      </c>
      <c r="C3477" s="309" t="s">
        <v>24</v>
      </c>
      <c r="D3477">
        <v>0</v>
      </c>
    </row>
    <row r="3478" spans="1:4" x14ac:dyDescent="0.25">
      <c r="A3478" s="279">
        <v>39118</v>
      </c>
      <c r="B3478" s="309" t="s">
        <v>411</v>
      </c>
      <c r="C3478" s="309" t="s">
        <v>91</v>
      </c>
      <c r="D3478">
        <v>0</v>
      </c>
    </row>
    <row r="3479" spans="1:4" x14ac:dyDescent="0.25">
      <c r="A3479" s="279">
        <v>39118</v>
      </c>
      <c r="B3479" s="309" t="s">
        <v>411</v>
      </c>
      <c r="C3479" s="309" t="s">
        <v>118</v>
      </c>
      <c r="D3479">
        <v>0</v>
      </c>
    </row>
    <row r="3480" spans="1:4" x14ac:dyDescent="0.25">
      <c r="A3480" s="279">
        <v>39118</v>
      </c>
      <c r="B3480" s="309" t="s">
        <v>411</v>
      </c>
      <c r="C3480" s="309" t="s">
        <v>407</v>
      </c>
      <c r="D3480">
        <v>213194</v>
      </c>
    </row>
    <row r="3481" spans="1:4" x14ac:dyDescent="0.25">
      <c r="A3481" s="279">
        <v>39118</v>
      </c>
      <c r="B3481" s="309" t="s">
        <v>411</v>
      </c>
      <c r="C3481" s="309" t="s">
        <v>412</v>
      </c>
      <c r="D3481">
        <v>1007</v>
      </c>
    </row>
    <row r="3482" spans="1:4" x14ac:dyDescent="0.25">
      <c r="A3482" s="279">
        <v>39118</v>
      </c>
      <c r="B3482" s="309" t="s">
        <v>411</v>
      </c>
      <c r="C3482" s="309" t="s">
        <v>409</v>
      </c>
      <c r="D3482">
        <v>1049</v>
      </c>
    </row>
    <row r="3483" spans="1:4" x14ac:dyDescent="0.25">
      <c r="A3483" s="279">
        <v>39119</v>
      </c>
      <c r="B3483" s="309" t="s">
        <v>405</v>
      </c>
      <c r="C3483" s="309" t="s">
        <v>406</v>
      </c>
      <c r="D3483">
        <v>3263839.1</v>
      </c>
    </row>
    <row r="3484" spans="1:4" x14ac:dyDescent="0.25">
      <c r="A3484" s="279">
        <v>39119</v>
      </c>
      <c r="B3484" s="309" t="s">
        <v>405</v>
      </c>
      <c r="C3484" s="309" t="s">
        <v>89</v>
      </c>
      <c r="D3484">
        <v>0</v>
      </c>
    </row>
    <row r="3485" spans="1:4" x14ac:dyDescent="0.25">
      <c r="A3485" s="279">
        <v>39119</v>
      </c>
      <c r="B3485" s="309" t="s">
        <v>405</v>
      </c>
      <c r="C3485" s="309" t="s">
        <v>198</v>
      </c>
      <c r="D3485">
        <v>0</v>
      </c>
    </row>
    <row r="3486" spans="1:4" x14ac:dyDescent="0.25">
      <c r="A3486" s="279">
        <v>39119</v>
      </c>
      <c r="B3486" s="309" t="s">
        <v>405</v>
      </c>
      <c r="C3486" s="309" t="s">
        <v>199</v>
      </c>
      <c r="D3486">
        <v>0</v>
      </c>
    </row>
    <row r="3487" spans="1:4" x14ac:dyDescent="0.25">
      <c r="A3487" s="279">
        <v>39119</v>
      </c>
      <c r="B3487" s="309" t="s">
        <v>405</v>
      </c>
      <c r="C3487" s="309" t="s">
        <v>90</v>
      </c>
      <c r="D3487">
        <v>3729</v>
      </c>
    </row>
    <row r="3488" spans="1:4" x14ac:dyDescent="0.25">
      <c r="A3488" s="279">
        <v>39119</v>
      </c>
      <c r="B3488" s="309" t="s">
        <v>405</v>
      </c>
      <c r="C3488" s="309" t="s">
        <v>24</v>
      </c>
      <c r="D3488">
        <v>111371</v>
      </c>
    </row>
    <row r="3489" spans="1:4" x14ac:dyDescent="0.25">
      <c r="A3489" s="279">
        <v>39119</v>
      </c>
      <c r="B3489" s="309" t="s">
        <v>405</v>
      </c>
      <c r="C3489" s="309" t="s">
        <v>91</v>
      </c>
      <c r="D3489">
        <v>0</v>
      </c>
    </row>
    <row r="3490" spans="1:4" x14ac:dyDescent="0.25">
      <c r="A3490" s="279">
        <v>39119</v>
      </c>
      <c r="B3490" s="309" t="s">
        <v>405</v>
      </c>
      <c r="C3490" s="309" t="s">
        <v>118</v>
      </c>
      <c r="D3490">
        <v>0</v>
      </c>
    </row>
    <row r="3491" spans="1:4" x14ac:dyDescent="0.25">
      <c r="A3491" s="279">
        <v>39119</v>
      </c>
      <c r="B3491" s="309" t="s">
        <v>405</v>
      </c>
      <c r="C3491" s="309" t="s">
        <v>407</v>
      </c>
      <c r="D3491">
        <v>3148739.1</v>
      </c>
    </row>
    <row r="3492" spans="1:4" x14ac:dyDescent="0.25">
      <c r="A3492" s="279">
        <v>39119</v>
      </c>
      <c r="B3492" s="309" t="s">
        <v>405</v>
      </c>
      <c r="C3492" s="309" t="s">
        <v>408</v>
      </c>
      <c r="D3492">
        <v>1007</v>
      </c>
    </row>
    <row r="3493" spans="1:4" x14ac:dyDescent="0.25">
      <c r="A3493" s="279">
        <v>39119</v>
      </c>
      <c r="B3493" s="309" t="s">
        <v>405</v>
      </c>
      <c r="C3493" s="309" t="s">
        <v>409</v>
      </c>
      <c r="D3493">
        <v>1058</v>
      </c>
    </row>
    <row r="3494" spans="1:4" x14ac:dyDescent="0.25">
      <c r="A3494" s="279">
        <v>39119</v>
      </c>
      <c r="B3494" s="309" t="s">
        <v>405</v>
      </c>
      <c r="C3494" s="309" t="s">
        <v>410</v>
      </c>
      <c r="D3494">
        <v>1034</v>
      </c>
    </row>
    <row r="3495" spans="1:4" x14ac:dyDescent="0.25">
      <c r="A3495" s="279">
        <v>39119</v>
      </c>
      <c r="B3495" s="309" t="s">
        <v>411</v>
      </c>
      <c r="C3495" s="309" t="s">
        <v>406</v>
      </c>
      <c r="D3495">
        <v>213194</v>
      </c>
    </row>
    <row r="3496" spans="1:4" x14ac:dyDescent="0.25">
      <c r="A3496" s="279">
        <v>39119</v>
      </c>
      <c r="B3496" s="309" t="s">
        <v>411</v>
      </c>
      <c r="C3496" s="309" t="s">
        <v>198</v>
      </c>
      <c r="D3496">
        <v>0</v>
      </c>
    </row>
    <row r="3497" spans="1:4" x14ac:dyDescent="0.25">
      <c r="A3497" s="279">
        <v>39119</v>
      </c>
      <c r="B3497" s="309" t="s">
        <v>411</v>
      </c>
      <c r="C3497" s="309" t="s">
        <v>199</v>
      </c>
      <c r="D3497">
        <v>0</v>
      </c>
    </row>
    <row r="3498" spans="1:4" x14ac:dyDescent="0.25">
      <c r="A3498" s="279">
        <v>39119</v>
      </c>
      <c r="B3498" s="309" t="s">
        <v>411</v>
      </c>
      <c r="C3498" s="309" t="s">
        <v>90</v>
      </c>
      <c r="D3498">
        <v>96</v>
      </c>
    </row>
    <row r="3499" spans="1:4" x14ac:dyDescent="0.25">
      <c r="A3499" s="279">
        <v>39119</v>
      </c>
      <c r="B3499" s="309" t="s">
        <v>411</v>
      </c>
      <c r="C3499" s="309" t="s">
        <v>24</v>
      </c>
      <c r="D3499">
        <v>2396</v>
      </c>
    </row>
    <row r="3500" spans="1:4" x14ac:dyDescent="0.25">
      <c r="A3500" s="279">
        <v>39119</v>
      </c>
      <c r="B3500" s="309" t="s">
        <v>411</v>
      </c>
      <c r="C3500" s="309" t="s">
        <v>91</v>
      </c>
      <c r="D3500">
        <v>0</v>
      </c>
    </row>
    <row r="3501" spans="1:4" x14ac:dyDescent="0.25">
      <c r="A3501" s="279">
        <v>39119</v>
      </c>
      <c r="B3501" s="309" t="s">
        <v>411</v>
      </c>
      <c r="C3501" s="309" t="s">
        <v>118</v>
      </c>
      <c r="D3501">
        <v>0</v>
      </c>
    </row>
    <row r="3502" spans="1:4" x14ac:dyDescent="0.25">
      <c r="A3502" s="279">
        <v>39119</v>
      </c>
      <c r="B3502" s="309" t="s">
        <v>411</v>
      </c>
      <c r="C3502" s="309" t="s">
        <v>407</v>
      </c>
      <c r="D3502">
        <v>210702</v>
      </c>
    </row>
    <row r="3503" spans="1:4" x14ac:dyDescent="0.25">
      <c r="A3503" s="279">
        <v>39119</v>
      </c>
      <c r="B3503" s="309" t="s">
        <v>411</v>
      </c>
      <c r="C3503" s="309" t="s">
        <v>412</v>
      </c>
      <c r="D3503">
        <v>1007</v>
      </c>
    </row>
    <row r="3504" spans="1:4" x14ac:dyDescent="0.25">
      <c r="A3504" s="279">
        <v>39119</v>
      </c>
      <c r="B3504" s="309" t="s">
        <v>411</v>
      </c>
      <c r="C3504" s="309" t="s">
        <v>409</v>
      </c>
      <c r="D3504">
        <v>1049</v>
      </c>
    </row>
    <row r="3505" spans="1:4" x14ac:dyDescent="0.25">
      <c r="A3505" s="279">
        <v>39120</v>
      </c>
      <c r="B3505" s="309" t="s">
        <v>405</v>
      </c>
      <c r="C3505" s="309" t="s">
        <v>406</v>
      </c>
      <c r="D3505">
        <v>3148739.1</v>
      </c>
    </row>
    <row r="3506" spans="1:4" x14ac:dyDescent="0.25">
      <c r="A3506" s="279">
        <v>39120</v>
      </c>
      <c r="B3506" s="309" t="s">
        <v>405</v>
      </c>
      <c r="C3506" s="309" t="s">
        <v>89</v>
      </c>
      <c r="D3506">
        <v>0</v>
      </c>
    </row>
    <row r="3507" spans="1:4" x14ac:dyDescent="0.25">
      <c r="A3507" s="279">
        <v>39120</v>
      </c>
      <c r="B3507" s="309" t="s">
        <v>405</v>
      </c>
      <c r="C3507" s="309" t="s">
        <v>198</v>
      </c>
      <c r="D3507">
        <v>0</v>
      </c>
    </row>
    <row r="3508" spans="1:4" x14ac:dyDescent="0.25">
      <c r="A3508" s="279">
        <v>39120</v>
      </c>
      <c r="B3508" s="309" t="s">
        <v>405</v>
      </c>
      <c r="C3508" s="309" t="s">
        <v>199</v>
      </c>
      <c r="D3508">
        <v>0</v>
      </c>
    </row>
    <row r="3509" spans="1:4" x14ac:dyDescent="0.25">
      <c r="A3509" s="279">
        <v>39120</v>
      </c>
      <c r="B3509" s="309" t="s">
        <v>405</v>
      </c>
      <c r="C3509" s="309" t="s">
        <v>90</v>
      </c>
      <c r="D3509">
        <v>5779</v>
      </c>
    </row>
    <row r="3510" spans="1:4" x14ac:dyDescent="0.25">
      <c r="A3510" s="279">
        <v>39120</v>
      </c>
      <c r="B3510" s="309" t="s">
        <v>405</v>
      </c>
      <c r="C3510" s="309" t="s">
        <v>24</v>
      </c>
      <c r="D3510">
        <v>92250</v>
      </c>
    </row>
    <row r="3511" spans="1:4" x14ac:dyDescent="0.25">
      <c r="A3511" s="279">
        <v>39120</v>
      </c>
      <c r="B3511" s="309" t="s">
        <v>405</v>
      </c>
      <c r="C3511" s="309" t="s">
        <v>91</v>
      </c>
      <c r="D3511">
        <v>0</v>
      </c>
    </row>
    <row r="3512" spans="1:4" x14ac:dyDescent="0.25">
      <c r="A3512" s="279">
        <v>39120</v>
      </c>
      <c r="B3512" s="309" t="s">
        <v>405</v>
      </c>
      <c r="C3512" s="309" t="s">
        <v>118</v>
      </c>
      <c r="D3512">
        <v>0</v>
      </c>
    </row>
    <row r="3513" spans="1:4" x14ac:dyDescent="0.25">
      <c r="A3513" s="279">
        <v>39120</v>
      </c>
      <c r="B3513" s="309" t="s">
        <v>405</v>
      </c>
      <c r="C3513" s="309" t="s">
        <v>407</v>
      </c>
      <c r="D3513">
        <v>3050710.1</v>
      </c>
    </row>
    <row r="3514" spans="1:4" x14ac:dyDescent="0.25">
      <c r="A3514" s="279">
        <v>39120</v>
      </c>
      <c r="B3514" s="309" t="s">
        <v>405</v>
      </c>
      <c r="C3514" s="309" t="s">
        <v>408</v>
      </c>
      <c r="D3514">
        <v>1007</v>
      </c>
    </row>
    <row r="3515" spans="1:4" x14ac:dyDescent="0.25">
      <c r="A3515" s="279">
        <v>39120</v>
      </c>
      <c r="B3515" s="309" t="s">
        <v>405</v>
      </c>
      <c r="C3515" s="309" t="s">
        <v>409</v>
      </c>
      <c r="D3515">
        <v>1058</v>
      </c>
    </row>
    <row r="3516" spans="1:4" x14ac:dyDescent="0.25">
      <c r="A3516" s="279">
        <v>39120</v>
      </c>
      <c r="B3516" s="309" t="s">
        <v>405</v>
      </c>
      <c r="C3516" s="309" t="s">
        <v>410</v>
      </c>
      <c r="D3516">
        <v>1040</v>
      </c>
    </row>
    <row r="3517" spans="1:4" x14ac:dyDescent="0.25">
      <c r="A3517" s="279">
        <v>39120</v>
      </c>
      <c r="B3517" s="309" t="s">
        <v>411</v>
      </c>
      <c r="C3517" s="309" t="s">
        <v>406</v>
      </c>
      <c r="D3517">
        <v>210702</v>
      </c>
    </row>
    <row r="3518" spans="1:4" x14ac:dyDescent="0.25">
      <c r="A3518" s="279">
        <v>39120</v>
      </c>
      <c r="B3518" s="309" t="s">
        <v>411</v>
      </c>
      <c r="C3518" s="309" t="s">
        <v>198</v>
      </c>
      <c r="D3518">
        <v>0</v>
      </c>
    </row>
    <row r="3519" spans="1:4" x14ac:dyDescent="0.25">
      <c r="A3519" s="279">
        <v>39120</v>
      </c>
      <c r="B3519" s="309" t="s">
        <v>411</v>
      </c>
      <c r="C3519" s="309" t="s">
        <v>199</v>
      </c>
      <c r="D3519">
        <v>0</v>
      </c>
    </row>
    <row r="3520" spans="1:4" x14ac:dyDescent="0.25">
      <c r="A3520" s="279">
        <v>39120</v>
      </c>
      <c r="B3520" s="309" t="s">
        <v>411</v>
      </c>
      <c r="C3520" s="309" t="s">
        <v>90</v>
      </c>
      <c r="D3520">
        <v>140</v>
      </c>
    </row>
    <row r="3521" spans="1:4" x14ac:dyDescent="0.25">
      <c r="A3521" s="279">
        <v>39120</v>
      </c>
      <c r="B3521" s="309" t="s">
        <v>411</v>
      </c>
      <c r="C3521" s="309" t="s">
        <v>24</v>
      </c>
      <c r="D3521">
        <v>2626</v>
      </c>
    </row>
    <row r="3522" spans="1:4" x14ac:dyDescent="0.25">
      <c r="A3522" s="279">
        <v>39120</v>
      </c>
      <c r="B3522" s="309" t="s">
        <v>411</v>
      </c>
      <c r="C3522" s="309" t="s">
        <v>91</v>
      </c>
      <c r="D3522">
        <v>0</v>
      </c>
    </row>
    <row r="3523" spans="1:4" x14ac:dyDescent="0.25">
      <c r="A3523" s="279">
        <v>39120</v>
      </c>
      <c r="B3523" s="309" t="s">
        <v>411</v>
      </c>
      <c r="C3523" s="309" t="s">
        <v>118</v>
      </c>
      <c r="D3523">
        <v>0</v>
      </c>
    </row>
    <row r="3524" spans="1:4" x14ac:dyDescent="0.25">
      <c r="A3524" s="279">
        <v>39120</v>
      </c>
      <c r="B3524" s="309" t="s">
        <v>411</v>
      </c>
      <c r="C3524" s="309" t="s">
        <v>407</v>
      </c>
      <c r="D3524">
        <v>207936</v>
      </c>
    </row>
    <row r="3525" spans="1:4" x14ac:dyDescent="0.25">
      <c r="A3525" s="279">
        <v>39120</v>
      </c>
      <c r="B3525" s="309" t="s">
        <v>411</v>
      </c>
      <c r="C3525" s="309" t="s">
        <v>412</v>
      </c>
      <c r="D3525">
        <v>1007</v>
      </c>
    </row>
    <row r="3526" spans="1:4" x14ac:dyDescent="0.25">
      <c r="A3526" s="279">
        <v>39120</v>
      </c>
      <c r="B3526" s="309" t="s">
        <v>411</v>
      </c>
      <c r="C3526" s="309" t="s">
        <v>409</v>
      </c>
      <c r="D3526">
        <v>1049</v>
      </c>
    </row>
    <row r="3527" spans="1:4" x14ac:dyDescent="0.25">
      <c r="A3527" s="279">
        <v>39121</v>
      </c>
      <c r="B3527" s="309" t="s">
        <v>405</v>
      </c>
      <c r="C3527" s="309" t="s">
        <v>406</v>
      </c>
      <c r="D3527">
        <v>3050710.1</v>
      </c>
    </row>
    <row r="3528" spans="1:4" x14ac:dyDescent="0.25">
      <c r="A3528" s="279">
        <v>39121</v>
      </c>
      <c r="B3528" s="309" t="s">
        <v>405</v>
      </c>
      <c r="C3528" s="309" t="s">
        <v>89</v>
      </c>
      <c r="D3528">
        <v>0</v>
      </c>
    </row>
    <row r="3529" spans="1:4" x14ac:dyDescent="0.25">
      <c r="A3529" s="279">
        <v>39121</v>
      </c>
      <c r="B3529" s="309" t="s">
        <v>405</v>
      </c>
      <c r="C3529" s="309" t="s">
        <v>198</v>
      </c>
      <c r="D3529">
        <v>0</v>
      </c>
    </row>
    <row r="3530" spans="1:4" x14ac:dyDescent="0.25">
      <c r="A3530" s="279">
        <v>39121</v>
      </c>
      <c r="B3530" s="309" t="s">
        <v>405</v>
      </c>
      <c r="C3530" s="309" t="s">
        <v>199</v>
      </c>
      <c r="D3530">
        <v>0</v>
      </c>
    </row>
    <row r="3531" spans="1:4" x14ac:dyDescent="0.25">
      <c r="A3531" s="279">
        <v>39121</v>
      </c>
      <c r="B3531" s="309" t="s">
        <v>405</v>
      </c>
      <c r="C3531" s="309" t="s">
        <v>90</v>
      </c>
      <c r="D3531">
        <v>3553</v>
      </c>
    </row>
    <row r="3532" spans="1:4" x14ac:dyDescent="0.25">
      <c r="A3532" s="279">
        <v>39121</v>
      </c>
      <c r="B3532" s="309" t="s">
        <v>405</v>
      </c>
      <c r="C3532" s="309" t="s">
        <v>24</v>
      </c>
      <c r="D3532">
        <v>63735</v>
      </c>
    </row>
    <row r="3533" spans="1:4" x14ac:dyDescent="0.25">
      <c r="A3533" s="279">
        <v>39121</v>
      </c>
      <c r="B3533" s="309" t="s">
        <v>405</v>
      </c>
      <c r="C3533" s="309" t="s">
        <v>91</v>
      </c>
      <c r="D3533">
        <v>0</v>
      </c>
    </row>
    <row r="3534" spans="1:4" x14ac:dyDescent="0.25">
      <c r="A3534" s="279">
        <v>39121</v>
      </c>
      <c r="B3534" s="309" t="s">
        <v>405</v>
      </c>
      <c r="C3534" s="309" t="s">
        <v>118</v>
      </c>
      <c r="D3534">
        <v>0</v>
      </c>
    </row>
    <row r="3535" spans="1:4" x14ac:dyDescent="0.25">
      <c r="A3535" s="279">
        <v>39121</v>
      </c>
      <c r="B3535" s="309" t="s">
        <v>405</v>
      </c>
      <c r="C3535" s="309" t="s">
        <v>407</v>
      </c>
      <c r="D3535">
        <v>2983422.1</v>
      </c>
    </row>
    <row r="3536" spans="1:4" x14ac:dyDescent="0.25">
      <c r="A3536" s="279">
        <v>39121</v>
      </c>
      <c r="B3536" s="309" t="s">
        <v>405</v>
      </c>
      <c r="C3536" s="309" t="s">
        <v>408</v>
      </c>
      <c r="D3536">
        <v>1007</v>
      </c>
    </row>
    <row r="3537" spans="1:4" x14ac:dyDescent="0.25">
      <c r="A3537" s="279">
        <v>39121</v>
      </c>
      <c r="B3537" s="309" t="s">
        <v>405</v>
      </c>
      <c r="C3537" s="309" t="s">
        <v>409</v>
      </c>
      <c r="D3537">
        <v>1058</v>
      </c>
    </row>
    <row r="3538" spans="1:4" x14ac:dyDescent="0.25">
      <c r="A3538" s="279">
        <v>39121</v>
      </c>
      <c r="B3538" s="309" t="s">
        <v>405</v>
      </c>
      <c r="C3538" s="309" t="s">
        <v>410</v>
      </c>
      <c r="D3538">
        <v>1036</v>
      </c>
    </row>
    <row r="3539" spans="1:4" x14ac:dyDescent="0.25">
      <c r="A3539" s="279">
        <v>39121</v>
      </c>
      <c r="B3539" s="309" t="s">
        <v>411</v>
      </c>
      <c r="C3539" s="309" t="s">
        <v>406</v>
      </c>
      <c r="D3539">
        <v>207936</v>
      </c>
    </row>
    <row r="3540" spans="1:4" x14ac:dyDescent="0.25">
      <c r="A3540" s="279">
        <v>39121</v>
      </c>
      <c r="B3540" s="309" t="s">
        <v>411</v>
      </c>
      <c r="C3540" s="309" t="s">
        <v>198</v>
      </c>
      <c r="D3540">
        <v>0</v>
      </c>
    </row>
    <row r="3541" spans="1:4" x14ac:dyDescent="0.25">
      <c r="A3541" s="279">
        <v>39121</v>
      </c>
      <c r="B3541" s="309" t="s">
        <v>411</v>
      </c>
      <c r="C3541" s="309" t="s">
        <v>199</v>
      </c>
      <c r="D3541">
        <v>0</v>
      </c>
    </row>
    <row r="3542" spans="1:4" x14ac:dyDescent="0.25">
      <c r="A3542" s="279">
        <v>39121</v>
      </c>
      <c r="B3542" s="309" t="s">
        <v>411</v>
      </c>
      <c r="C3542" s="309" t="s">
        <v>90</v>
      </c>
      <c r="D3542">
        <v>70</v>
      </c>
    </row>
    <row r="3543" spans="1:4" x14ac:dyDescent="0.25">
      <c r="A3543" s="279">
        <v>39121</v>
      </c>
      <c r="B3543" s="309" t="s">
        <v>411</v>
      </c>
      <c r="C3543" s="309" t="s">
        <v>24</v>
      </c>
      <c r="D3543">
        <v>0</v>
      </c>
    </row>
    <row r="3544" spans="1:4" x14ac:dyDescent="0.25">
      <c r="A3544" s="279">
        <v>39121</v>
      </c>
      <c r="B3544" s="309" t="s">
        <v>411</v>
      </c>
      <c r="C3544" s="309" t="s">
        <v>91</v>
      </c>
      <c r="D3544">
        <v>0</v>
      </c>
    </row>
    <row r="3545" spans="1:4" x14ac:dyDescent="0.25">
      <c r="A3545" s="279">
        <v>39121</v>
      </c>
      <c r="B3545" s="309" t="s">
        <v>411</v>
      </c>
      <c r="C3545" s="309" t="s">
        <v>118</v>
      </c>
      <c r="D3545">
        <v>0</v>
      </c>
    </row>
    <row r="3546" spans="1:4" x14ac:dyDescent="0.25">
      <c r="A3546" s="279">
        <v>39121</v>
      </c>
      <c r="B3546" s="309" t="s">
        <v>411</v>
      </c>
      <c r="C3546" s="309" t="s">
        <v>407</v>
      </c>
      <c r="D3546">
        <v>207866</v>
      </c>
    </row>
    <row r="3547" spans="1:4" x14ac:dyDescent="0.25">
      <c r="A3547" s="279">
        <v>39121</v>
      </c>
      <c r="B3547" s="309" t="s">
        <v>411</v>
      </c>
      <c r="C3547" s="309" t="s">
        <v>412</v>
      </c>
      <c r="D3547">
        <v>1007</v>
      </c>
    </row>
    <row r="3548" spans="1:4" x14ac:dyDescent="0.25">
      <c r="A3548" s="279">
        <v>39121</v>
      </c>
      <c r="B3548" s="309" t="s">
        <v>411</v>
      </c>
      <c r="C3548" s="309" t="s">
        <v>409</v>
      </c>
      <c r="D3548">
        <v>1049</v>
      </c>
    </row>
    <row r="3549" spans="1:4" x14ac:dyDescent="0.25">
      <c r="A3549" s="279">
        <v>39122</v>
      </c>
      <c r="B3549" s="309" t="s">
        <v>405</v>
      </c>
      <c r="C3549" s="309" t="s">
        <v>406</v>
      </c>
      <c r="D3549">
        <v>2983422.1</v>
      </c>
    </row>
    <row r="3550" spans="1:4" x14ac:dyDescent="0.25">
      <c r="A3550" s="279">
        <v>39122</v>
      </c>
      <c r="B3550" s="309" t="s">
        <v>405</v>
      </c>
      <c r="C3550" s="309" t="s">
        <v>89</v>
      </c>
      <c r="D3550">
        <v>0</v>
      </c>
    </row>
    <row r="3551" spans="1:4" x14ac:dyDescent="0.25">
      <c r="A3551" s="279">
        <v>39122</v>
      </c>
      <c r="B3551" s="309" t="s">
        <v>405</v>
      </c>
      <c r="C3551" s="309" t="s">
        <v>198</v>
      </c>
      <c r="D3551">
        <v>0</v>
      </c>
    </row>
    <row r="3552" spans="1:4" x14ac:dyDescent="0.25">
      <c r="A3552" s="279">
        <v>39122</v>
      </c>
      <c r="B3552" s="309" t="s">
        <v>405</v>
      </c>
      <c r="C3552" s="309" t="s">
        <v>199</v>
      </c>
      <c r="D3552">
        <v>0</v>
      </c>
    </row>
    <row r="3553" spans="1:4" x14ac:dyDescent="0.25">
      <c r="A3553" s="279">
        <v>39122</v>
      </c>
      <c r="B3553" s="309" t="s">
        <v>405</v>
      </c>
      <c r="C3553" s="309" t="s">
        <v>90</v>
      </c>
      <c r="D3553">
        <v>4501</v>
      </c>
    </row>
    <row r="3554" spans="1:4" x14ac:dyDescent="0.25">
      <c r="A3554" s="279">
        <v>39122</v>
      </c>
      <c r="B3554" s="309" t="s">
        <v>405</v>
      </c>
      <c r="C3554" s="309" t="s">
        <v>24</v>
      </c>
      <c r="D3554">
        <v>11254</v>
      </c>
    </row>
    <row r="3555" spans="1:4" x14ac:dyDescent="0.25">
      <c r="A3555" s="279">
        <v>39122</v>
      </c>
      <c r="B3555" s="309" t="s">
        <v>405</v>
      </c>
      <c r="C3555" s="309" t="s">
        <v>91</v>
      </c>
      <c r="D3555">
        <v>0</v>
      </c>
    </row>
    <row r="3556" spans="1:4" x14ac:dyDescent="0.25">
      <c r="A3556" s="279">
        <v>39122</v>
      </c>
      <c r="B3556" s="309" t="s">
        <v>405</v>
      </c>
      <c r="C3556" s="309" t="s">
        <v>118</v>
      </c>
      <c r="D3556">
        <v>0</v>
      </c>
    </row>
    <row r="3557" spans="1:4" x14ac:dyDescent="0.25">
      <c r="A3557" s="279">
        <v>39122</v>
      </c>
      <c r="B3557" s="309" t="s">
        <v>405</v>
      </c>
      <c r="C3557" s="309" t="s">
        <v>407</v>
      </c>
      <c r="D3557">
        <v>2967667.1</v>
      </c>
    </row>
    <row r="3558" spans="1:4" x14ac:dyDescent="0.25">
      <c r="A3558" s="279">
        <v>39122</v>
      </c>
      <c r="B3558" s="309" t="s">
        <v>405</v>
      </c>
      <c r="C3558" s="309" t="s">
        <v>408</v>
      </c>
      <c r="D3558">
        <v>1007</v>
      </c>
    </row>
    <row r="3559" spans="1:4" x14ac:dyDescent="0.25">
      <c r="A3559" s="279">
        <v>39122</v>
      </c>
      <c r="B3559" s="309" t="s">
        <v>405</v>
      </c>
      <c r="C3559" s="309" t="s">
        <v>409</v>
      </c>
      <c r="D3559">
        <v>1058</v>
      </c>
    </row>
    <row r="3560" spans="1:4" x14ac:dyDescent="0.25">
      <c r="A3560" s="279">
        <v>39122</v>
      </c>
      <c r="B3560" s="309" t="s">
        <v>405</v>
      </c>
      <c r="C3560" s="309" t="s">
        <v>410</v>
      </c>
      <c r="D3560">
        <v>1038</v>
      </c>
    </row>
    <row r="3561" spans="1:4" x14ac:dyDescent="0.25">
      <c r="A3561" s="279">
        <v>39122</v>
      </c>
      <c r="B3561" s="309" t="s">
        <v>411</v>
      </c>
      <c r="C3561" s="309" t="s">
        <v>406</v>
      </c>
      <c r="D3561">
        <v>207866</v>
      </c>
    </row>
    <row r="3562" spans="1:4" x14ac:dyDescent="0.25">
      <c r="A3562" s="279">
        <v>39122</v>
      </c>
      <c r="B3562" s="309" t="s">
        <v>411</v>
      </c>
      <c r="C3562" s="309" t="s">
        <v>198</v>
      </c>
      <c r="D3562">
        <v>0</v>
      </c>
    </row>
    <row r="3563" spans="1:4" x14ac:dyDescent="0.25">
      <c r="A3563" s="279">
        <v>39122</v>
      </c>
      <c r="B3563" s="309" t="s">
        <v>411</v>
      </c>
      <c r="C3563" s="309" t="s">
        <v>199</v>
      </c>
      <c r="D3563">
        <v>0</v>
      </c>
    </row>
    <row r="3564" spans="1:4" x14ac:dyDescent="0.25">
      <c r="A3564" s="279">
        <v>39122</v>
      </c>
      <c r="B3564" s="309" t="s">
        <v>411</v>
      </c>
      <c r="C3564" s="309" t="s">
        <v>90</v>
      </c>
      <c r="D3564">
        <v>81</v>
      </c>
    </row>
    <row r="3565" spans="1:4" x14ac:dyDescent="0.25">
      <c r="A3565" s="279">
        <v>39122</v>
      </c>
      <c r="B3565" s="309" t="s">
        <v>411</v>
      </c>
      <c r="C3565" s="309" t="s">
        <v>24</v>
      </c>
      <c r="D3565">
        <v>0</v>
      </c>
    </row>
    <row r="3566" spans="1:4" x14ac:dyDescent="0.25">
      <c r="A3566" s="279">
        <v>39122</v>
      </c>
      <c r="B3566" s="309" t="s">
        <v>411</v>
      </c>
      <c r="C3566" s="309" t="s">
        <v>91</v>
      </c>
      <c r="D3566">
        <v>0</v>
      </c>
    </row>
    <row r="3567" spans="1:4" x14ac:dyDescent="0.25">
      <c r="A3567" s="279">
        <v>39122</v>
      </c>
      <c r="B3567" s="309" t="s">
        <v>411</v>
      </c>
      <c r="C3567" s="309" t="s">
        <v>118</v>
      </c>
      <c r="D3567">
        <v>0</v>
      </c>
    </row>
    <row r="3568" spans="1:4" x14ac:dyDescent="0.25">
      <c r="A3568" s="279">
        <v>39122</v>
      </c>
      <c r="B3568" s="309" t="s">
        <v>411</v>
      </c>
      <c r="C3568" s="309" t="s">
        <v>407</v>
      </c>
      <c r="D3568">
        <v>207785</v>
      </c>
    </row>
    <row r="3569" spans="1:4" x14ac:dyDescent="0.25">
      <c r="A3569" s="279">
        <v>39122</v>
      </c>
      <c r="B3569" s="309" t="s">
        <v>411</v>
      </c>
      <c r="C3569" s="309" t="s">
        <v>412</v>
      </c>
      <c r="D3569">
        <v>1007</v>
      </c>
    </row>
    <row r="3570" spans="1:4" x14ac:dyDescent="0.25">
      <c r="A3570" s="279">
        <v>39122</v>
      </c>
      <c r="B3570" s="309" t="s">
        <v>411</v>
      </c>
      <c r="C3570" s="309" t="s">
        <v>409</v>
      </c>
      <c r="D3570">
        <v>1049</v>
      </c>
    </row>
    <row r="3571" spans="1:4" x14ac:dyDescent="0.25">
      <c r="A3571" s="279">
        <v>39123</v>
      </c>
      <c r="B3571" s="309" t="s">
        <v>405</v>
      </c>
      <c r="C3571" s="309" t="s">
        <v>406</v>
      </c>
      <c r="D3571">
        <v>2967667.1</v>
      </c>
    </row>
    <row r="3572" spans="1:4" x14ac:dyDescent="0.25">
      <c r="A3572" s="279">
        <v>39123</v>
      </c>
      <c r="B3572" s="309" t="s">
        <v>405</v>
      </c>
      <c r="C3572" s="309" t="s">
        <v>89</v>
      </c>
      <c r="D3572">
        <v>0</v>
      </c>
    </row>
    <row r="3573" spans="1:4" x14ac:dyDescent="0.25">
      <c r="A3573" s="279">
        <v>39123</v>
      </c>
      <c r="B3573" s="309" t="s">
        <v>405</v>
      </c>
      <c r="C3573" s="309" t="s">
        <v>198</v>
      </c>
      <c r="D3573">
        <v>0</v>
      </c>
    </row>
    <row r="3574" spans="1:4" x14ac:dyDescent="0.25">
      <c r="A3574" s="279">
        <v>39123</v>
      </c>
      <c r="B3574" s="309" t="s">
        <v>405</v>
      </c>
      <c r="C3574" s="309" t="s">
        <v>199</v>
      </c>
      <c r="D3574">
        <v>0</v>
      </c>
    </row>
    <row r="3575" spans="1:4" x14ac:dyDescent="0.25">
      <c r="A3575" s="279">
        <v>39123</v>
      </c>
      <c r="B3575" s="309" t="s">
        <v>405</v>
      </c>
      <c r="C3575" s="309" t="s">
        <v>90</v>
      </c>
      <c r="D3575">
        <v>2241</v>
      </c>
    </row>
    <row r="3576" spans="1:4" x14ac:dyDescent="0.25">
      <c r="A3576" s="279">
        <v>39123</v>
      </c>
      <c r="B3576" s="309" t="s">
        <v>405</v>
      </c>
      <c r="C3576" s="309" t="s">
        <v>24</v>
      </c>
      <c r="D3576">
        <v>3099</v>
      </c>
    </row>
    <row r="3577" spans="1:4" x14ac:dyDescent="0.25">
      <c r="A3577" s="279">
        <v>39123</v>
      </c>
      <c r="B3577" s="309" t="s">
        <v>405</v>
      </c>
      <c r="C3577" s="309" t="s">
        <v>91</v>
      </c>
      <c r="D3577">
        <v>0</v>
      </c>
    </row>
    <row r="3578" spans="1:4" x14ac:dyDescent="0.25">
      <c r="A3578" s="279">
        <v>39123</v>
      </c>
      <c r="B3578" s="309" t="s">
        <v>405</v>
      </c>
      <c r="C3578" s="309" t="s">
        <v>118</v>
      </c>
      <c r="D3578">
        <v>0</v>
      </c>
    </row>
    <row r="3579" spans="1:4" x14ac:dyDescent="0.25">
      <c r="A3579" s="279">
        <v>39123</v>
      </c>
      <c r="B3579" s="309" t="s">
        <v>405</v>
      </c>
      <c r="C3579" s="309" t="s">
        <v>407</v>
      </c>
      <c r="D3579">
        <v>2962327.1</v>
      </c>
    </row>
    <row r="3580" spans="1:4" x14ac:dyDescent="0.25">
      <c r="A3580" s="279">
        <v>39123</v>
      </c>
      <c r="B3580" s="309" t="s">
        <v>405</v>
      </c>
      <c r="C3580" s="309" t="s">
        <v>408</v>
      </c>
      <c r="D3580">
        <v>1007</v>
      </c>
    </row>
    <row r="3581" spans="1:4" x14ac:dyDescent="0.25">
      <c r="A3581" s="279">
        <v>39123</v>
      </c>
      <c r="B3581" s="309" t="s">
        <v>405</v>
      </c>
      <c r="C3581" s="309" t="s">
        <v>409</v>
      </c>
      <c r="D3581">
        <v>1058</v>
      </c>
    </row>
    <row r="3582" spans="1:4" x14ac:dyDescent="0.25">
      <c r="A3582" s="279">
        <v>39123</v>
      </c>
      <c r="B3582" s="309" t="s">
        <v>405</v>
      </c>
      <c r="C3582" s="309" t="s">
        <v>410</v>
      </c>
      <c r="D3582">
        <v>1038</v>
      </c>
    </row>
    <row r="3583" spans="1:4" x14ac:dyDescent="0.25">
      <c r="A3583" s="279">
        <v>39123</v>
      </c>
      <c r="B3583" s="309" t="s">
        <v>411</v>
      </c>
      <c r="C3583" s="309" t="s">
        <v>406</v>
      </c>
      <c r="D3583">
        <v>207785</v>
      </c>
    </row>
    <row r="3584" spans="1:4" x14ac:dyDescent="0.25">
      <c r="A3584" s="279">
        <v>39123</v>
      </c>
      <c r="B3584" s="309" t="s">
        <v>411</v>
      </c>
      <c r="C3584" s="309" t="s">
        <v>198</v>
      </c>
      <c r="D3584">
        <v>0</v>
      </c>
    </row>
    <row r="3585" spans="1:4" x14ac:dyDescent="0.25">
      <c r="A3585" s="279">
        <v>39123</v>
      </c>
      <c r="B3585" s="309" t="s">
        <v>411</v>
      </c>
      <c r="C3585" s="309" t="s">
        <v>199</v>
      </c>
      <c r="D3585">
        <v>0</v>
      </c>
    </row>
    <row r="3586" spans="1:4" x14ac:dyDescent="0.25">
      <c r="A3586" s="279">
        <v>39123</v>
      </c>
      <c r="B3586" s="309" t="s">
        <v>411</v>
      </c>
      <c r="C3586" s="309" t="s">
        <v>90</v>
      </c>
      <c r="D3586">
        <v>126</v>
      </c>
    </row>
    <row r="3587" spans="1:4" x14ac:dyDescent="0.25">
      <c r="A3587" s="279">
        <v>39123</v>
      </c>
      <c r="B3587" s="309" t="s">
        <v>411</v>
      </c>
      <c r="C3587" s="309" t="s">
        <v>24</v>
      </c>
      <c r="D3587">
        <v>0</v>
      </c>
    </row>
    <row r="3588" spans="1:4" x14ac:dyDescent="0.25">
      <c r="A3588" s="279">
        <v>39123</v>
      </c>
      <c r="B3588" s="309" t="s">
        <v>411</v>
      </c>
      <c r="C3588" s="309" t="s">
        <v>91</v>
      </c>
      <c r="D3588">
        <v>0</v>
      </c>
    </row>
    <row r="3589" spans="1:4" x14ac:dyDescent="0.25">
      <c r="A3589" s="279">
        <v>39123</v>
      </c>
      <c r="B3589" s="309" t="s">
        <v>411</v>
      </c>
      <c r="C3589" s="309" t="s">
        <v>118</v>
      </c>
      <c r="D3589">
        <v>0</v>
      </c>
    </row>
    <row r="3590" spans="1:4" x14ac:dyDescent="0.25">
      <c r="A3590" s="279">
        <v>39123</v>
      </c>
      <c r="B3590" s="309" t="s">
        <v>411</v>
      </c>
      <c r="C3590" s="309" t="s">
        <v>407</v>
      </c>
      <c r="D3590">
        <v>207659</v>
      </c>
    </row>
    <row r="3591" spans="1:4" x14ac:dyDescent="0.25">
      <c r="A3591" s="279">
        <v>39123</v>
      </c>
      <c r="B3591" s="309" t="s">
        <v>411</v>
      </c>
      <c r="C3591" s="309" t="s">
        <v>412</v>
      </c>
      <c r="D3591">
        <v>1007</v>
      </c>
    </row>
    <row r="3592" spans="1:4" x14ac:dyDescent="0.25">
      <c r="A3592" s="279">
        <v>39123</v>
      </c>
      <c r="B3592" s="309" t="s">
        <v>411</v>
      </c>
      <c r="C3592" s="309" t="s">
        <v>409</v>
      </c>
      <c r="D3592">
        <v>1049</v>
      </c>
    </row>
    <row r="3593" spans="1:4" x14ac:dyDescent="0.25">
      <c r="A3593" s="279">
        <v>39124</v>
      </c>
      <c r="B3593" s="309" t="s">
        <v>405</v>
      </c>
      <c r="C3593" s="309" t="s">
        <v>406</v>
      </c>
      <c r="D3593">
        <v>2962327.1</v>
      </c>
    </row>
    <row r="3594" spans="1:4" x14ac:dyDescent="0.25">
      <c r="A3594" s="279">
        <v>39124</v>
      </c>
      <c r="B3594" s="309" t="s">
        <v>405</v>
      </c>
      <c r="C3594" s="309" t="s">
        <v>89</v>
      </c>
      <c r="D3594">
        <v>0</v>
      </c>
    </row>
    <row r="3595" spans="1:4" x14ac:dyDescent="0.25">
      <c r="A3595" s="279">
        <v>39124</v>
      </c>
      <c r="B3595" s="309" t="s">
        <v>405</v>
      </c>
      <c r="C3595" s="309" t="s">
        <v>198</v>
      </c>
      <c r="D3595">
        <v>0</v>
      </c>
    </row>
    <row r="3596" spans="1:4" x14ac:dyDescent="0.25">
      <c r="A3596" s="279">
        <v>39124</v>
      </c>
      <c r="B3596" s="309" t="s">
        <v>405</v>
      </c>
      <c r="C3596" s="309" t="s">
        <v>199</v>
      </c>
      <c r="D3596">
        <v>0</v>
      </c>
    </row>
    <row r="3597" spans="1:4" x14ac:dyDescent="0.25">
      <c r="A3597" s="279">
        <v>39124</v>
      </c>
      <c r="B3597" s="309" t="s">
        <v>405</v>
      </c>
      <c r="C3597" s="309" t="s">
        <v>90</v>
      </c>
      <c r="D3597">
        <v>1721</v>
      </c>
    </row>
    <row r="3598" spans="1:4" x14ac:dyDescent="0.25">
      <c r="A3598" s="279">
        <v>39124</v>
      </c>
      <c r="B3598" s="309" t="s">
        <v>405</v>
      </c>
      <c r="C3598" s="309" t="s">
        <v>24</v>
      </c>
      <c r="D3598">
        <v>1216</v>
      </c>
    </row>
    <row r="3599" spans="1:4" x14ac:dyDescent="0.25">
      <c r="A3599" s="279">
        <v>39124</v>
      </c>
      <c r="B3599" s="309" t="s">
        <v>405</v>
      </c>
      <c r="C3599" s="309" t="s">
        <v>91</v>
      </c>
      <c r="D3599">
        <v>0</v>
      </c>
    </row>
    <row r="3600" spans="1:4" x14ac:dyDescent="0.25">
      <c r="A3600" s="279">
        <v>39124</v>
      </c>
      <c r="B3600" s="309" t="s">
        <v>405</v>
      </c>
      <c r="C3600" s="309" t="s">
        <v>118</v>
      </c>
      <c r="D3600">
        <v>0</v>
      </c>
    </row>
    <row r="3601" spans="1:4" x14ac:dyDescent="0.25">
      <c r="A3601" s="279">
        <v>39124</v>
      </c>
      <c r="B3601" s="309" t="s">
        <v>405</v>
      </c>
      <c r="C3601" s="309" t="s">
        <v>407</v>
      </c>
      <c r="D3601">
        <v>2959390.1</v>
      </c>
    </row>
    <row r="3602" spans="1:4" x14ac:dyDescent="0.25">
      <c r="A3602" s="279">
        <v>39124</v>
      </c>
      <c r="B3602" s="309" t="s">
        <v>405</v>
      </c>
      <c r="C3602" s="309" t="s">
        <v>408</v>
      </c>
      <c r="D3602">
        <v>1007</v>
      </c>
    </row>
    <row r="3603" spans="1:4" x14ac:dyDescent="0.25">
      <c r="A3603" s="279">
        <v>39124</v>
      </c>
      <c r="B3603" s="309" t="s">
        <v>405</v>
      </c>
      <c r="C3603" s="309" t="s">
        <v>409</v>
      </c>
      <c r="D3603">
        <v>1058</v>
      </c>
    </row>
    <row r="3604" spans="1:4" x14ac:dyDescent="0.25">
      <c r="A3604" s="279">
        <v>39124</v>
      </c>
      <c r="B3604" s="309" t="s">
        <v>405</v>
      </c>
      <c r="C3604" s="309" t="s">
        <v>410</v>
      </c>
      <c r="D3604">
        <v>1036</v>
      </c>
    </row>
    <row r="3605" spans="1:4" x14ac:dyDescent="0.25">
      <c r="A3605" s="279">
        <v>39124</v>
      </c>
      <c r="B3605" s="309" t="s">
        <v>411</v>
      </c>
      <c r="C3605" s="309" t="s">
        <v>406</v>
      </c>
      <c r="D3605">
        <v>207659</v>
      </c>
    </row>
    <row r="3606" spans="1:4" x14ac:dyDescent="0.25">
      <c r="A3606" s="279">
        <v>39124</v>
      </c>
      <c r="B3606" s="309" t="s">
        <v>411</v>
      </c>
      <c r="C3606" s="309" t="s">
        <v>198</v>
      </c>
      <c r="D3606">
        <v>0</v>
      </c>
    </row>
    <row r="3607" spans="1:4" x14ac:dyDescent="0.25">
      <c r="A3607" s="279">
        <v>39124</v>
      </c>
      <c r="B3607" s="309" t="s">
        <v>411</v>
      </c>
      <c r="C3607" s="309" t="s">
        <v>199</v>
      </c>
      <c r="D3607">
        <v>0</v>
      </c>
    </row>
    <row r="3608" spans="1:4" x14ac:dyDescent="0.25">
      <c r="A3608" s="279">
        <v>39124</v>
      </c>
      <c r="B3608" s="309" t="s">
        <v>411</v>
      </c>
      <c r="C3608" s="309" t="s">
        <v>90</v>
      </c>
      <c r="D3608">
        <v>277</v>
      </c>
    </row>
    <row r="3609" spans="1:4" x14ac:dyDescent="0.25">
      <c r="A3609" s="279">
        <v>39124</v>
      </c>
      <c r="B3609" s="309" t="s">
        <v>411</v>
      </c>
      <c r="C3609" s="309" t="s">
        <v>24</v>
      </c>
      <c r="D3609">
        <v>0</v>
      </c>
    </row>
    <row r="3610" spans="1:4" x14ac:dyDescent="0.25">
      <c r="A3610" s="279">
        <v>39124</v>
      </c>
      <c r="B3610" s="309" t="s">
        <v>411</v>
      </c>
      <c r="C3610" s="309" t="s">
        <v>91</v>
      </c>
      <c r="D3610">
        <v>0</v>
      </c>
    </row>
    <row r="3611" spans="1:4" x14ac:dyDescent="0.25">
      <c r="A3611" s="279">
        <v>39124</v>
      </c>
      <c r="B3611" s="309" t="s">
        <v>411</v>
      </c>
      <c r="C3611" s="309" t="s">
        <v>118</v>
      </c>
      <c r="D3611">
        <v>0</v>
      </c>
    </row>
    <row r="3612" spans="1:4" x14ac:dyDescent="0.25">
      <c r="A3612" s="279">
        <v>39124</v>
      </c>
      <c r="B3612" s="309" t="s">
        <v>411</v>
      </c>
      <c r="C3612" s="309" t="s">
        <v>407</v>
      </c>
      <c r="D3612">
        <v>207382</v>
      </c>
    </row>
    <row r="3613" spans="1:4" x14ac:dyDescent="0.25">
      <c r="A3613" s="279">
        <v>39124</v>
      </c>
      <c r="B3613" s="309" t="s">
        <v>411</v>
      </c>
      <c r="C3613" s="309" t="s">
        <v>412</v>
      </c>
      <c r="D3613">
        <v>1007</v>
      </c>
    </row>
    <row r="3614" spans="1:4" x14ac:dyDescent="0.25">
      <c r="A3614" s="279">
        <v>39124</v>
      </c>
      <c r="B3614" s="309" t="s">
        <v>411</v>
      </c>
      <c r="C3614" s="309" t="s">
        <v>409</v>
      </c>
      <c r="D3614">
        <v>1049</v>
      </c>
    </row>
    <row r="3615" spans="1:4" x14ac:dyDescent="0.25">
      <c r="A3615" s="279">
        <v>39125</v>
      </c>
      <c r="B3615" s="309" t="s">
        <v>405</v>
      </c>
      <c r="C3615" s="309" t="s">
        <v>406</v>
      </c>
      <c r="D3615">
        <v>2959390.1</v>
      </c>
    </row>
    <row r="3616" spans="1:4" x14ac:dyDescent="0.25">
      <c r="A3616" s="279">
        <v>39125</v>
      </c>
      <c r="B3616" s="309" t="s">
        <v>405</v>
      </c>
      <c r="C3616" s="309" t="s">
        <v>89</v>
      </c>
      <c r="D3616">
        <v>0</v>
      </c>
    </row>
    <row r="3617" spans="1:4" x14ac:dyDescent="0.25">
      <c r="A3617" s="279">
        <v>39125</v>
      </c>
      <c r="B3617" s="309" t="s">
        <v>405</v>
      </c>
      <c r="C3617" s="309" t="s">
        <v>198</v>
      </c>
      <c r="D3617">
        <v>0</v>
      </c>
    </row>
    <row r="3618" spans="1:4" x14ac:dyDescent="0.25">
      <c r="A3618" s="279">
        <v>39125</v>
      </c>
      <c r="B3618" s="309" t="s">
        <v>405</v>
      </c>
      <c r="C3618" s="309" t="s">
        <v>199</v>
      </c>
      <c r="D3618">
        <v>0</v>
      </c>
    </row>
    <row r="3619" spans="1:4" x14ac:dyDescent="0.25">
      <c r="A3619" s="279">
        <v>39125</v>
      </c>
      <c r="B3619" s="309" t="s">
        <v>405</v>
      </c>
      <c r="C3619" s="309" t="s">
        <v>90</v>
      </c>
      <c r="D3619">
        <v>2136</v>
      </c>
    </row>
    <row r="3620" spans="1:4" x14ac:dyDescent="0.25">
      <c r="A3620" s="279">
        <v>39125</v>
      </c>
      <c r="B3620" s="309" t="s">
        <v>405</v>
      </c>
      <c r="C3620" s="309" t="s">
        <v>24</v>
      </c>
      <c r="D3620">
        <v>0</v>
      </c>
    </row>
    <row r="3621" spans="1:4" x14ac:dyDescent="0.25">
      <c r="A3621" s="279">
        <v>39125</v>
      </c>
      <c r="B3621" s="309" t="s">
        <v>405</v>
      </c>
      <c r="C3621" s="309" t="s">
        <v>91</v>
      </c>
      <c r="D3621">
        <v>0</v>
      </c>
    </row>
    <row r="3622" spans="1:4" x14ac:dyDescent="0.25">
      <c r="A3622" s="279">
        <v>39125</v>
      </c>
      <c r="B3622" s="309" t="s">
        <v>405</v>
      </c>
      <c r="C3622" s="309" t="s">
        <v>118</v>
      </c>
      <c r="D3622">
        <v>0</v>
      </c>
    </row>
    <row r="3623" spans="1:4" x14ac:dyDescent="0.25">
      <c r="A3623" s="279">
        <v>39125</v>
      </c>
      <c r="B3623" s="309" t="s">
        <v>405</v>
      </c>
      <c r="C3623" s="309" t="s">
        <v>407</v>
      </c>
      <c r="D3623">
        <v>2957254.1</v>
      </c>
    </row>
    <row r="3624" spans="1:4" x14ac:dyDescent="0.25">
      <c r="A3624" s="279">
        <v>39125</v>
      </c>
      <c r="B3624" s="309" t="s">
        <v>405</v>
      </c>
      <c r="C3624" s="309" t="s">
        <v>408</v>
      </c>
      <c r="D3624">
        <v>1007</v>
      </c>
    </row>
    <row r="3625" spans="1:4" x14ac:dyDescent="0.25">
      <c r="A3625" s="279">
        <v>39125</v>
      </c>
      <c r="B3625" s="309" t="s">
        <v>405</v>
      </c>
      <c r="C3625" s="309" t="s">
        <v>409</v>
      </c>
      <c r="D3625">
        <v>1058</v>
      </c>
    </row>
    <row r="3626" spans="1:4" x14ac:dyDescent="0.25">
      <c r="A3626" s="279">
        <v>39125</v>
      </c>
      <c r="B3626" s="309" t="s">
        <v>405</v>
      </c>
      <c r="C3626" s="309" t="s">
        <v>410</v>
      </c>
      <c r="D3626">
        <v>1034</v>
      </c>
    </row>
    <row r="3627" spans="1:4" x14ac:dyDescent="0.25">
      <c r="A3627" s="279">
        <v>39125</v>
      </c>
      <c r="B3627" s="309" t="s">
        <v>411</v>
      </c>
      <c r="C3627" s="309" t="s">
        <v>406</v>
      </c>
      <c r="D3627">
        <v>207382</v>
      </c>
    </row>
    <row r="3628" spans="1:4" x14ac:dyDescent="0.25">
      <c r="A3628" s="279">
        <v>39125</v>
      </c>
      <c r="B3628" s="309" t="s">
        <v>411</v>
      </c>
      <c r="C3628" s="309" t="s">
        <v>198</v>
      </c>
      <c r="D3628">
        <v>0</v>
      </c>
    </row>
    <row r="3629" spans="1:4" x14ac:dyDescent="0.25">
      <c r="A3629" s="279">
        <v>39125</v>
      </c>
      <c r="B3629" s="309" t="s">
        <v>411</v>
      </c>
      <c r="C3629" s="309" t="s">
        <v>199</v>
      </c>
      <c r="D3629">
        <v>0</v>
      </c>
    </row>
    <row r="3630" spans="1:4" x14ac:dyDescent="0.25">
      <c r="A3630" s="279">
        <v>39125</v>
      </c>
      <c r="B3630" s="309" t="s">
        <v>411</v>
      </c>
      <c r="C3630" s="309" t="s">
        <v>90</v>
      </c>
      <c r="D3630">
        <v>75</v>
      </c>
    </row>
    <row r="3631" spans="1:4" x14ac:dyDescent="0.25">
      <c r="A3631" s="279">
        <v>39125</v>
      </c>
      <c r="B3631" s="309" t="s">
        <v>411</v>
      </c>
      <c r="C3631" s="309" t="s">
        <v>24</v>
      </c>
      <c r="D3631">
        <v>0</v>
      </c>
    </row>
    <row r="3632" spans="1:4" x14ac:dyDescent="0.25">
      <c r="A3632" s="279">
        <v>39125</v>
      </c>
      <c r="B3632" s="309" t="s">
        <v>411</v>
      </c>
      <c r="C3632" s="309" t="s">
        <v>91</v>
      </c>
      <c r="D3632">
        <v>0</v>
      </c>
    </row>
    <row r="3633" spans="1:4" x14ac:dyDescent="0.25">
      <c r="A3633" s="279">
        <v>39125</v>
      </c>
      <c r="B3633" s="309" t="s">
        <v>411</v>
      </c>
      <c r="C3633" s="309" t="s">
        <v>118</v>
      </c>
      <c r="D3633">
        <v>0</v>
      </c>
    </row>
    <row r="3634" spans="1:4" x14ac:dyDescent="0.25">
      <c r="A3634" s="279">
        <v>39125</v>
      </c>
      <c r="B3634" s="309" t="s">
        <v>411</v>
      </c>
      <c r="C3634" s="309" t="s">
        <v>407</v>
      </c>
      <c r="D3634">
        <v>207307</v>
      </c>
    </row>
    <row r="3635" spans="1:4" x14ac:dyDescent="0.25">
      <c r="A3635" s="279">
        <v>39125</v>
      </c>
      <c r="B3635" s="309" t="s">
        <v>411</v>
      </c>
      <c r="C3635" s="309" t="s">
        <v>412</v>
      </c>
      <c r="D3635">
        <v>1007</v>
      </c>
    </row>
    <row r="3636" spans="1:4" x14ac:dyDescent="0.25">
      <c r="A3636" s="279">
        <v>39125</v>
      </c>
      <c r="B3636" s="309" t="s">
        <v>411</v>
      </c>
      <c r="C3636" s="309" t="s">
        <v>409</v>
      </c>
      <c r="D3636">
        <v>1049</v>
      </c>
    </row>
    <row r="3637" spans="1:4" x14ac:dyDescent="0.25">
      <c r="A3637" s="279">
        <v>39126</v>
      </c>
      <c r="B3637" s="309" t="s">
        <v>405</v>
      </c>
      <c r="C3637" s="309" t="s">
        <v>406</v>
      </c>
      <c r="D3637">
        <v>2957254.1</v>
      </c>
    </row>
    <row r="3638" spans="1:4" x14ac:dyDescent="0.25">
      <c r="A3638" s="279">
        <v>39126</v>
      </c>
      <c r="B3638" s="309" t="s">
        <v>405</v>
      </c>
      <c r="C3638" s="309" t="s">
        <v>89</v>
      </c>
      <c r="D3638">
        <v>0</v>
      </c>
    </row>
    <row r="3639" spans="1:4" x14ac:dyDescent="0.25">
      <c r="A3639" s="279">
        <v>39126</v>
      </c>
      <c r="B3639" s="309" t="s">
        <v>405</v>
      </c>
      <c r="C3639" s="309" t="s">
        <v>198</v>
      </c>
      <c r="D3639">
        <v>0</v>
      </c>
    </row>
    <row r="3640" spans="1:4" x14ac:dyDescent="0.25">
      <c r="A3640" s="279">
        <v>39126</v>
      </c>
      <c r="B3640" s="309" t="s">
        <v>405</v>
      </c>
      <c r="C3640" s="309" t="s">
        <v>199</v>
      </c>
      <c r="D3640">
        <v>0</v>
      </c>
    </row>
    <row r="3641" spans="1:4" x14ac:dyDescent="0.25">
      <c r="A3641" s="279">
        <v>39126</v>
      </c>
      <c r="B3641" s="309" t="s">
        <v>405</v>
      </c>
      <c r="C3641" s="309" t="s">
        <v>90</v>
      </c>
      <c r="D3641">
        <v>4539</v>
      </c>
    </row>
    <row r="3642" spans="1:4" x14ac:dyDescent="0.25">
      <c r="A3642" s="279">
        <v>39126</v>
      </c>
      <c r="B3642" s="309" t="s">
        <v>405</v>
      </c>
      <c r="C3642" s="309" t="s">
        <v>24</v>
      </c>
      <c r="D3642">
        <v>0</v>
      </c>
    </row>
    <row r="3643" spans="1:4" x14ac:dyDescent="0.25">
      <c r="A3643" s="279">
        <v>39126</v>
      </c>
      <c r="B3643" s="309" t="s">
        <v>405</v>
      </c>
      <c r="C3643" s="309" t="s">
        <v>91</v>
      </c>
      <c r="D3643">
        <v>0</v>
      </c>
    </row>
    <row r="3644" spans="1:4" x14ac:dyDescent="0.25">
      <c r="A3644" s="279">
        <v>39126</v>
      </c>
      <c r="B3644" s="309" t="s">
        <v>405</v>
      </c>
      <c r="C3644" s="309" t="s">
        <v>118</v>
      </c>
      <c r="D3644">
        <v>0</v>
      </c>
    </row>
    <row r="3645" spans="1:4" x14ac:dyDescent="0.25">
      <c r="A3645" s="279">
        <v>39126</v>
      </c>
      <c r="B3645" s="309" t="s">
        <v>405</v>
      </c>
      <c r="C3645" s="309" t="s">
        <v>407</v>
      </c>
      <c r="D3645">
        <v>2952715.1</v>
      </c>
    </row>
    <row r="3646" spans="1:4" x14ac:dyDescent="0.25">
      <c r="A3646" s="279">
        <v>39126</v>
      </c>
      <c r="B3646" s="309" t="s">
        <v>405</v>
      </c>
      <c r="C3646" s="309" t="s">
        <v>408</v>
      </c>
      <c r="D3646">
        <v>1007</v>
      </c>
    </row>
    <row r="3647" spans="1:4" x14ac:dyDescent="0.25">
      <c r="A3647" s="279">
        <v>39126</v>
      </c>
      <c r="B3647" s="309" t="s">
        <v>405</v>
      </c>
      <c r="C3647" s="309" t="s">
        <v>409</v>
      </c>
      <c r="D3647">
        <v>1058</v>
      </c>
    </row>
    <row r="3648" spans="1:4" x14ac:dyDescent="0.25">
      <c r="A3648" s="279">
        <v>39126</v>
      </c>
      <c r="B3648" s="309" t="s">
        <v>405</v>
      </c>
      <c r="C3648" s="309" t="s">
        <v>410</v>
      </c>
      <c r="D3648">
        <v>1032</v>
      </c>
    </row>
    <row r="3649" spans="1:4" x14ac:dyDescent="0.25">
      <c r="A3649" s="279">
        <v>39126</v>
      </c>
      <c r="B3649" s="309" t="s">
        <v>411</v>
      </c>
      <c r="C3649" s="309" t="s">
        <v>406</v>
      </c>
      <c r="D3649">
        <v>207307</v>
      </c>
    </row>
    <row r="3650" spans="1:4" x14ac:dyDescent="0.25">
      <c r="A3650" s="279">
        <v>39126</v>
      </c>
      <c r="B3650" s="309" t="s">
        <v>411</v>
      </c>
      <c r="C3650" s="309" t="s">
        <v>198</v>
      </c>
      <c r="D3650">
        <v>0</v>
      </c>
    </row>
    <row r="3651" spans="1:4" x14ac:dyDescent="0.25">
      <c r="A3651" s="279">
        <v>39126</v>
      </c>
      <c r="B3651" s="309" t="s">
        <v>411</v>
      </c>
      <c r="C3651" s="309" t="s">
        <v>199</v>
      </c>
      <c r="D3651">
        <v>0</v>
      </c>
    </row>
    <row r="3652" spans="1:4" x14ac:dyDescent="0.25">
      <c r="A3652" s="279">
        <v>39126</v>
      </c>
      <c r="B3652" s="309" t="s">
        <v>411</v>
      </c>
      <c r="C3652" s="309" t="s">
        <v>90</v>
      </c>
      <c r="D3652">
        <v>81</v>
      </c>
    </row>
    <row r="3653" spans="1:4" x14ac:dyDescent="0.25">
      <c r="A3653" s="279">
        <v>39126</v>
      </c>
      <c r="B3653" s="309" t="s">
        <v>411</v>
      </c>
      <c r="C3653" s="309" t="s">
        <v>24</v>
      </c>
      <c r="D3653">
        <v>0</v>
      </c>
    </row>
    <row r="3654" spans="1:4" x14ac:dyDescent="0.25">
      <c r="A3654" s="279">
        <v>39126</v>
      </c>
      <c r="B3654" s="309" t="s">
        <v>411</v>
      </c>
      <c r="C3654" s="309" t="s">
        <v>91</v>
      </c>
      <c r="D3654">
        <v>0</v>
      </c>
    </row>
    <row r="3655" spans="1:4" x14ac:dyDescent="0.25">
      <c r="A3655" s="279">
        <v>39126</v>
      </c>
      <c r="B3655" s="309" t="s">
        <v>411</v>
      </c>
      <c r="C3655" s="309" t="s">
        <v>118</v>
      </c>
      <c r="D3655">
        <v>0</v>
      </c>
    </row>
    <row r="3656" spans="1:4" x14ac:dyDescent="0.25">
      <c r="A3656" s="279">
        <v>39126</v>
      </c>
      <c r="B3656" s="309" t="s">
        <v>411</v>
      </c>
      <c r="C3656" s="309" t="s">
        <v>407</v>
      </c>
      <c r="D3656">
        <v>207226</v>
      </c>
    </row>
    <row r="3657" spans="1:4" x14ac:dyDescent="0.25">
      <c r="A3657" s="279">
        <v>39126</v>
      </c>
      <c r="B3657" s="309" t="s">
        <v>411</v>
      </c>
      <c r="C3657" s="309" t="s">
        <v>412</v>
      </c>
      <c r="D3657">
        <v>1007</v>
      </c>
    </row>
    <row r="3658" spans="1:4" x14ac:dyDescent="0.25">
      <c r="A3658" s="279">
        <v>39126</v>
      </c>
      <c r="B3658" s="309" t="s">
        <v>411</v>
      </c>
      <c r="C3658" s="309" t="s">
        <v>409</v>
      </c>
      <c r="D3658">
        <v>1049</v>
      </c>
    </row>
    <row r="3659" spans="1:4" x14ac:dyDescent="0.25">
      <c r="A3659" s="279">
        <v>39127</v>
      </c>
      <c r="B3659" s="309" t="s">
        <v>405</v>
      </c>
      <c r="C3659" s="309" t="s">
        <v>406</v>
      </c>
      <c r="D3659">
        <v>2952715.1</v>
      </c>
    </row>
    <row r="3660" spans="1:4" x14ac:dyDescent="0.25">
      <c r="A3660" s="279">
        <v>39127</v>
      </c>
      <c r="B3660" s="309" t="s">
        <v>405</v>
      </c>
      <c r="C3660" s="309" t="s">
        <v>89</v>
      </c>
      <c r="D3660">
        <v>0</v>
      </c>
    </row>
    <row r="3661" spans="1:4" x14ac:dyDescent="0.25">
      <c r="A3661" s="279">
        <v>39127</v>
      </c>
      <c r="B3661" s="309" t="s">
        <v>405</v>
      </c>
      <c r="C3661" s="309" t="s">
        <v>198</v>
      </c>
      <c r="D3661">
        <v>0</v>
      </c>
    </row>
    <row r="3662" spans="1:4" x14ac:dyDescent="0.25">
      <c r="A3662" s="279">
        <v>39127</v>
      </c>
      <c r="B3662" s="309" t="s">
        <v>405</v>
      </c>
      <c r="C3662" s="309" t="s">
        <v>199</v>
      </c>
      <c r="D3662">
        <v>0</v>
      </c>
    </row>
    <row r="3663" spans="1:4" x14ac:dyDescent="0.25">
      <c r="A3663" s="279">
        <v>39127</v>
      </c>
      <c r="B3663" s="309" t="s">
        <v>405</v>
      </c>
      <c r="C3663" s="309" t="s">
        <v>90</v>
      </c>
      <c r="D3663">
        <v>3042</v>
      </c>
    </row>
    <row r="3664" spans="1:4" x14ac:dyDescent="0.25">
      <c r="A3664" s="279">
        <v>39127</v>
      </c>
      <c r="B3664" s="309" t="s">
        <v>405</v>
      </c>
      <c r="C3664" s="309" t="s">
        <v>24</v>
      </c>
      <c r="D3664">
        <v>48742</v>
      </c>
    </row>
    <row r="3665" spans="1:4" x14ac:dyDescent="0.25">
      <c r="A3665" s="279">
        <v>39127</v>
      </c>
      <c r="B3665" s="309" t="s">
        <v>405</v>
      </c>
      <c r="C3665" s="309" t="s">
        <v>91</v>
      </c>
      <c r="D3665">
        <v>0</v>
      </c>
    </row>
    <row r="3666" spans="1:4" x14ac:dyDescent="0.25">
      <c r="A3666" s="279">
        <v>39127</v>
      </c>
      <c r="B3666" s="309" t="s">
        <v>405</v>
      </c>
      <c r="C3666" s="309" t="s">
        <v>118</v>
      </c>
      <c r="D3666">
        <v>0</v>
      </c>
    </row>
    <row r="3667" spans="1:4" x14ac:dyDescent="0.25">
      <c r="A3667" s="279">
        <v>39127</v>
      </c>
      <c r="B3667" s="309" t="s">
        <v>405</v>
      </c>
      <c r="C3667" s="309" t="s">
        <v>407</v>
      </c>
      <c r="D3667">
        <v>2900931.1</v>
      </c>
    </row>
    <row r="3668" spans="1:4" x14ac:dyDescent="0.25">
      <c r="A3668" s="279">
        <v>39127</v>
      </c>
      <c r="B3668" s="309" t="s">
        <v>405</v>
      </c>
      <c r="C3668" s="309" t="s">
        <v>408</v>
      </c>
      <c r="D3668">
        <v>1007</v>
      </c>
    </row>
    <row r="3669" spans="1:4" x14ac:dyDescent="0.25">
      <c r="A3669" s="279">
        <v>39127</v>
      </c>
      <c r="B3669" s="309" t="s">
        <v>405</v>
      </c>
      <c r="C3669" s="309" t="s">
        <v>409</v>
      </c>
      <c r="D3669">
        <v>1058</v>
      </c>
    </row>
    <row r="3670" spans="1:4" x14ac:dyDescent="0.25">
      <c r="A3670" s="279">
        <v>39127</v>
      </c>
      <c r="B3670" s="309" t="s">
        <v>405</v>
      </c>
      <c r="C3670" s="309" t="s">
        <v>410</v>
      </c>
      <c r="D3670">
        <v>1032</v>
      </c>
    </row>
    <row r="3671" spans="1:4" x14ac:dyDescent="0.25">
      <c r="A3671" s="279">
        <v>39127</v>
      </c>
      <c r="B3671" s="309" t="s">
        <v>411</v>
      </c>
      <c r="C3671" s="309" t="s">
        <v>406</v>
      </c>
      <c r="D3671">
        <v>207226</v>
      </c>
    </row>
    <row r="3672" spans="1:4" x14ac:dyDescent="0.25">
      <c r="A3672" s="279">
        <v>39127</v>
      </c>
      <c r="B3672" s="309" t="s">
        <v>411</v>
      </c>
      <c r="C3672" s="309" t="s">
        <v>198</v>
      </c>
      <c r="D3672">
        <v>0</v>
      </c>
    </row>
    <row r="3673" spans="1:4" x14ac:dyDescent="0.25">
      <c r="A3673" s="279">
        <v>39127</v>
      </c>
      <c r="B3673" s="309" t="s">
        <v>411</v>
      </c>
      <c r="C3673" s="309" t="s">
        <v>199</v>
      </c>
      <c r="D3673">
        <v>0</v>
      </c>
    </row>
    <row r="3674" spans="1:4" x14ac:dyDescent="0.25">
      <c r="A3674" s="279">
        <v>39127</v>
      </c>
      <c r="B3674" s="309" t="s">
        <v>411</v>
      </c>
      <c r="C3674" s="309" t="s">
        <v>90</v>
      </c>
      <c r="D3674">
        <v>84</v>
      </c>
    </row>
    <row r="3675" spans="1:4" x14ac:dyDescent="0.25">
      <c r="A3675" s="279">
        <v>39127</v>
      </c>
      <c r="B3675" s="309" t="s">
        <v>411</v>
      </c>
      <c r="C3675" s="309" t="s">
        <v>24</v>
      </c>
      <c r="D3675">
        <v>1972</v>
      </c>
    </row>
    <row r="3676" spans="1:4" x14ac:dyDescent="0.25">
      <c r="A3676" s="279">
        <v>39127</v>
      </c>
      <c r="B3676" s="309" t="s">
        <v>411</v>
      </c>
      <c r="C3676" s="309" t="s">
        <v>91</v>
      </c>
      <c r="D3676">
        <v>0</v>
      </c>
    </row>
    <row r="3677" spans="1:4" x14ac:dyDescent="0.25">
      <c r="A3677" s="279">
        <v>39127</v>
      </c>
      <c r="B3677" s="309" t="s">
        <v>411</v>
      </c>
      <c r="C3677" s="309" t="s">
        <v>118</v>
      </c>
      <c r="D3677">
        <v>0</v>
      </c>
    </row>
    <row r="3678" spans="1:4" x14ac:dyDescent="0.25">
      <c r="A3678" s="279">
        <v>39127</v>
      </c>
      <c r="B3678" s="309" t="s">
        <v>411</v>
      </c>
      <c r="C3678" s="309" t="s">
        <v>407</v>
      </c>
      <c r="D3678">
        <v>205170</v>
      </c>
    </row>
    <row r="3679" spans="1:4" x14ac:dyDescent="0.25">
      <c r="A3679" s="279">
        <v>39127</v>
      </c>
      <c r="B3679" s="309" t="s">
        <v>411</v>
      </c>
      <c r="C3679" s="309" t="s">
        <v>412</v>
      </c>
      <c r="D3679">
        <v>1007</v>
      </c>
    </row>
    <row r="3680" spans="1:4" x14ac:dyDescent="0.25">
      <c r="A3680" s="279">
        <v>39127</v>
      </c>
      <c r="B3680" s="309" t="s">
        <v>411</v>
      </c>
      <c r="C3680" s="309" t="s">
        <v>409</v>
      </c>
      <c r="D3680">
        <v>1049</v>
      </c>
    </row>
    <row r="3681" spans="1:4" x14ac:dyDescent="0.25">
      <c r="A3681" s="279">
        <v>39128</v>
      </c>
      <c r="B3681" s="309" t="s">
        <v>405</v>
      </c>
      <c r="C3681" s="309" t="s">
        <v>406</v>
      </c>
      <c r="D3681">
        <v>2900931.1</v>
      </c>
    </row>
    <row r="3682" spans="1:4" x14ac:dyDescent="0.25">
      <c r="A3682" s="279">
        <v>39128</v>
      </c>
      <c r="B3682" s="309" t="s">
        <v>405</v>
      </c>
      <c r="C3682" s="309" t="s">
        <v>89</v>
      </c>
      <c r="D3682">
        <v>0</v>
      </c>
    </row>
    <row r="3683" spans="1:4" x14ac:dyDescent="0.25">
      <c r="A3683" s="279">
        <v>39128</v>
      </c>
      <c r="B3683" s="309" t="s">
        <v>405</v>
      </c>
      <c r="C3683" s="309" t="s">
        <v>198</v>
      </c>
      <c r="D3683">
        <v>0</v>
      </c>
    </row>
    <row r="3684" spans="1:4" x14ac:dyDescent="0.25">
      <c r="A3684" s="279">
        <v>39128</v>
      </c>
      <c r="B3684" s="309" t="s">
        <v>405</v>
      </c>
      <c r="C3684" s="309" t="s">
        <v>199</v>
      </c>
      <c r="D3684">
        <v>0</v>
      </c>
    </row>
    <row r="3685" spans="1:4" x14ac:dyDescent="0.25">
      <c r="A3685" s="279">
        <v>39128</v>
      </c>
      <c r="B3685" s="309" t="s">
        <v>405</v>
      </c>
      <c r="C3685" s="309" t="s">
        <v>90</v>
      </c>
      <c r="D3685">
        <v>3202</v>
      </c>
    </row>
    <row r="3686" spans="1:4" x14ac:dyDescent="0.25">
      <c r="A3686" s="279">
        <v>39128</v>
      </c>
      <c r="B3686" s="309" t="s">
        <v>405</v>
      </c>
      <c r="C3686" s="309" t="s">
        <v>24</v>
      </c>
      <c r="D3686">
        <v>69634</v>
      </c>
    </row>
    <row r="3687" spans="1:4" x14ac:dyDescent="0.25">
      <c r="A3687" s="279">
        <v>39128</v>
      </c>
      <c r="B3687" s="309" t="s">
        <v>405</v>
      </c>
      <c r="C3687" s="309" t="s">
        <v>91</v>
      </c>
      <c r="D3687">
        <v>0</v>
      </c>
    </row>
    <row r="3688" spans="1:4" x14ac:dyDescent="0.25">
      <c r="A3688" s="279">
        <v>39128</v>
      </c>
      <c r="B3688" s="309" t="s">
        <v>405</v>
      </c>
      <c r="C3688" s="309" t="s">
        <v>118</v>
      </c>
      <c r="D3688">
        <v>0</v>
      </c>
    </row>
    <row r="3689" spans="1:4" x14ac:dyDescent="0.25">
      <c r="A3689" s="279">
        <v>39128</v>
      </c>
      <c r="B3689" s="309" t="s">
        <v>405</v>
      </c>
      <c r="C3689" s="309" t="s">
        <v>407</v>
      </c>
      <c r="D3689">
        <v>2828095.1</v>
      </c>
    </row>
    <row r="3690" spans="1:4" x14ac:dyDescent="0.25">
      <c r="A3690" s="279">
        <v>39128</v>
      </c>
      <c r="B3690" s="309" t="s">
        <v>405</v>
      </c>
      <c r="C3690" s="309" t="s">
        <v>408</v>
      </c>
      <c r="D3690">
        <v>1007</v>
      </c>
    </row>
    <row r="3691" spans="1:4" x14ac:dyDescent="0.25">
      <c r="A3691" s="279">
        <v>39128</v>
      </c>
      <c r="B3691" s="309" t="s">
        <v>405</v>
      </c>
      <c r="C3691" s="309" t="s">
        <v>409</v>
      </c>
      <c r="D3691">
        <v>1058</v>
      </c>
    </row>
    <row r="3692" spans="1:4" x14ac:dyDescent="0.25">
      <c r="A3692" s="279">
        <v>39128</v>
      </c>
      <c r="B3692" s="309" t="s">
        <v>405</v>
      </c>
      <c r="C3692" s="309" t="s">
        <v>410</v>
      </c>
      <c r="D3692">
        <v>1034</v>
      </c>
    </row>
    <row r="3693" spans="1:4" x14ac:dyDescent="0.25">
      <c r="A3693" s="279">
        <v>39128</v>
      </c>
      <c r="B3693" s="309" t="s">
        <v>411</v>
      </c>
      <c r="C3693" s="309" t="s">
        <v>406</v>
      </c>
      <c r="D3693">
        <v>205170</v>
      </c>
    </row>
    <row r="3694" spans="1:4" x14ac:dyDescent="0.25">
      <c r="A3694" s="279">
        <v>39128</v>
      </c>
      <c r="B3694" s="309" t="s">
        <v>411</v>
      </c>
      <c r="C3694" s="309" t="s">
        <v>198</v>
      </c>
      <c r="D3694">
        <v>0</v>
      </c>
    </row>
    <row r="3695" spans="1:4" x14ac:dyDescent="0.25">
      <c r="A3695" s="279">
        <v>39128</v>
      </c>
      <c r="B3695" s="309" t="s">
        <v>411</v>
      </c>
      <c r="C3695" s="309" t="s">
        <v>199</v>
      </c>
      <c r="D3695">
        <v>0</v>
      </c>
    </row>
    <row r="3696" spans="1:4" x14ac:dyDescent="0.25">
      <c r="A3696" s="279">
        <v>39128</v>
      </c>
      <c r="B3696" s="309" t="s">
        <v>411</v>
      </c>
      <c r="C3696" s="309" t="s">
        <v>90</v>
      </c>
      <c r="D3696">
        <v>105</v>
      </c>
    </row>
    <row r="3697" spans="1:4" x14ac:dyDescent="0.25">
      <c r="A3697" s="279">
        <v>39128</v>
      </c>
      <c r="B3697" s="309" t="s">
        <v>411</v>
      </c>
      <c r="C3697" s="309" t="s">
        <v>24</v>
      </c>
      <c r="D3697">
        <v>1554</v>
      </c>
    </row>
    <row r="3698" spans="1:4" x14ac:dyDescent="0.25">
      <c r="A3698" s="279">
        <v>39128</v>
      </c>
      <c r="B3698" s="309" t="s">
        <v>411</v>
      </c>
      <c r="C3698" s="309" t="s">
        <v>91</v>
      </c>
      <c r="D3698">
        <v>0</v>
      </c>
    </row>
    <row r="3699" spans="1:4" x14ac:dyDescent="0.25">
      <c r="A3699" s="279">
        <v>39128</v>
      </c>
      <c r="B3699" s="309" t="s">
        <v>411</v>
      </c>
      <c r="C3699" s="309" t="s">
        <v>118</v>
      </c>
      <c r="D3699">
        <v>0</v>
      </c>
    </row>
    <row r="3700" spans="1:4" x14ac:dyDescent="0.25">
      <c r="A3700" s="279">
        <v>39128</v>
      </c>
      <c r="B3700" s="309" t="s">
        <v>411</v>
      </c>
      <c r="C3700" s="309" t="s">
        <v>407</v>
      </c>
      <c r="D3700">
        <v>203511</v>
      </c>
    </row>
    <row r="3701" spans="1:4" x14ac:dyDescent="0.25">
      <c r="A3701" s="279">
        <v>39128</v>
      </c>
      <c r="B3701" s="309" t="s">
        <v>411</v>
      </c>
      <c r="C3701" s="309" t="s">
        <v>412</v>
      </c>
      <c r="D3701">
        <v>1007</v>
      </c>
    </row>
    <row r="3702" spans="1:4" x14ac:dyDescent="0.25">
      <c r="A3702" s="279">
        <v>39128</v>
      </c>
      <c r="B3702" s="309" t="s">
        <v>411</v>
      </c>
      <c r="C3702" s="309" t="s">
        <v>409</v>
      </c>
      <c r="D3702">
        <v>1049</v>
      </c>
    </row>
    <row r="3703" spans="1:4" x14ac:dyDescent="0.25">
      <c r="A3703" s="279">
        <v>39129</v>
      </c>
      <c r="B3703" s="309" t="s">
        <v>405</v>
      </c>
      <c r="C3703" s="309" t="s">
        <v>406</v>
      </c>
      <c r="D3703">
        <v>2828095.1</v>
      </c>
    </row>
    <row r="3704" spans="1:4" x14ac:dyDescent="0.25">
      <c r="A3704" s="279">
        <v>39129</v>
      </c>
      <c r="B3704" s="309" t="s">
        <v>405</v>
      </c>
      <c r="C3704" s="309" t="s">
        <v>89</v>
      </c>
      <c r="D3704">
        <v>0</v>
      </c>
    </row>
    <row r="3705" spans="1:4" x14ac:dyDescent="0.25">
      <c r="A3705" s="279">
        <v>39129</v>
      </c>
      <c r="B3705" s="309" t="s">
        <v>405</v>
      </c>
      <c r="C3705" s="309" t="s">
        <v>198</v>
      </c>
      <c r="D3705">
        <v>0</v>
      </c>
    </row>
    <row r="3706" spans="1:4" x14ac:dyDescent="0.25">
      <c r="A3706" s="279">
        <v>39129</v>
      </c>
      <c r="B3706" s="309" t="s">
        <v>405</v>
      </c>
      <c r="C3706" s="309" t="s">
        <v>199</v>
      </c>
      <c r="D3706">
        <v>0</v>
      </c>
    </row>
    <row r="3707" spans="1:4" x14ac:dyDescent="0.25">
      <c r="A3707" s="279">
        <v>39129</v>
      </c>
      <c r="B3707" s="309" t="s">
        <v>405</v>
      </c>
      <c r="C3707" s="309" t="s">
        <v>90</v>
      </c>
      <c r="D3707">
        <v>3077</v>
      </c>
    </row>
    <row r="3708" spans="1:4" x14ac:dyDescent="0.25">
      <c r="A3708" s="279">
        <v>39129</v>
      </c>
      <c r="B3708" s="309" t="s">
        <v>405</v>
      </c>
      <c r="C3708" s="309" t="s">
        <v>24</v>
      </c>
      <c r="D3708">
        <v>40994</v>
      </c>
    </row>
    <row r="3709" spans="1:4" x14ac:dyDescent="0.25">
      <c r="A3709" s="279">
        <v>39129</v>
      </c>
      <c r="B3709" s="309" t="s">
        <v>405</v>
      </c>
      <c r="C3709" s="309" t="s">
        <v>91</v>
      </c>
      <c r="D3709">
        <v>0</v>
      </c>
    </row>
    <row r="3710" spans="1:4" x14ac:dyDescent="0.25">
      <c r="A3710" s="279">
        <v>39129</v>
      </c>
      <c r="B3710" s="309" t="s">
        <v>405</v>
      </c>
      <c r="C3710" s="309" t="s">
        <v>118</v>
      </c>
      <c r="D3710">
        <v>0</v>
      </c>
    </row>
    <row r="3711" spans="1:4" x14ac:dyDescent="0.25">
      <c r="A3711" s="279">
        <v>39129</v>
      </c>
      <c r="B3711" s="309" t="s">
        <v>405</v>
      </c>
      <c r="C3711" s="309" t="s">
        <v>407</v>
      </c>
      <c r="D3711">
        <v>2784024.1</v>
      </c>
    </row>
    <row r="3712" spans="1:4" x14ac:dyDescent="0.25">
      <c r="A3712" s="279">
        <v>39129</v>
      </c>
      <c r="B3712" s="309" t="s">
        <v>405</v>
      </c>
      <c r="C3712" s="309" t="s">
        <v>408</v>
      </c>
      <c r="D3712">
        <v>1007</v>
      </c>
    </row>
    <row r="3713" spans="1:4" x14ac:dyDescent="0.25">
      <c r="A3713" s="279">
        <v>39129</v>
      </c>
      <c r="B3713" s="309" t="s">
        <v>405</v>
      </c>
      <c r="C3713" s="309" t="s">
        <v>409</v>
      </c>
      <c r="D3713">
        <v>1058</v>
      </c>
    </row>
    <row r="3714" spans="1:4" x14ac:dyDescent="0.25">
      <c r="A3714" s="279">
        <v>39129</v>
      </c>
      <c r="B3714" s="309" t="s">
        <v>405</v>
      </c>
      <c r="C3714" s="309" t="s">
        <v>410</v>
      </c>
      <c r="D3714">
        <v>1034</v>
      </c>
    </row>
    <row r="3715" spans="1:4" x14ac:dyDescent="0.25">
      <c r="A3715" s="279">
        <v>39129</v>
      </c>
      <c r="B3715" s="309" t="s">
        <v>411</v>
      </c>
      <c r="C3715" s="309" t="s">
        <v>406</v>
      </c>
      <c r="D3715">
        <v>203511</v>
      </c>
    </row>
    <row r="3716" spans="1:4" x14ac:dyDescent="0.25">
      <c r="A3716" s="279">
        <v>39129</v>
      </c>
      <c r="B3716" s="309" t="s">
        <v>411</v>
      </c>
      <c r="C3716" s="309" t="s">
        <v>198</v>
      </c>
      <c r="D3716">
        <v>0</v>
      </c>
    </row>
    <row r="3717" spans="1:4" x14ac:dyDescent="0.25">
      <c r="A3717" s="279">
        <v>39129</v>
      </c>
      <c r="B3717" s="309" t="s">
        <v>411</v>
      </c>
      <c r="C3717" s="309" t="s">
        <v>199</v>
      </c>
      <c r="D3717">
        <v>0</v>
      </c>
    </row>
    <row r="3718" spans="1:4" x14ac:dyDescent="0.25">
      <c r="A3718" s="279">
        <v>39129</v>
      </c>
      <c r="B3718" s="309" t="s">
        <v>411</v>
      </c>
      <c r="C3718" s="309" t="s">
        <v>90</v>
      </c>
      <c r="D3718">
        <v>0</v>
      </c>
    </row>
    <row r="3719" spans="1:4" x14ac:dyDescent="0.25">
      <c r="A3719" s="279">
        <v>39129</v>
      </c>
      <c r="B3719" s="309" t="s">
        <v>411</v>
      </c>
      <c r="C3719" s="309" t="s">
        <v>24</v>
      </c>
      <c r="D3719">
        <v>0</v>
      </c>
    </row>
    <row r="3720" spans="1:4" x14ac:dyDescent="0.25">
      <c r="A3720" s="279">
        <v>39129</v>
      </c>
      <c r="B3720" s="309" t="s">
        <v>411</v>
      </c>
      <c r="C3720" s="309" t="s">
        <v>91</v>
      </c>
      <c r="D3720">
        <v>0</v>
      </c>
    </row>
    <row r="3721" spans="1:4" x14ac:dyDescent="0.25">
      <c r="A3721" s="279">
        <v>39129</v>
      </c>
      <c r="B3721" s="309" t="s">
        <v>411</v>
      </c>
      <c r="C3721" s="309" t="s">
        <v>118</v>
      </c>
      <c r="D3721">
        <v>0</v>
      </c>
    </row>
    <row r="3722" spans="1:4" x14ac:dyDescent="0.25">
      <c r="A3722" s="279">
        <v>39129</v>
      </c>
      <c r="B3722" s="309" t="s">
        <v>411</v>
      </c>
      <c r="C3722" s="309" t="s">
        <v>407</v>
      </c>
      <c r="D3722">
        <v>203511</v>
      </c>
    </row>
    <row r="3723" spans="1:4" x14ac:dyDescent="0.25">
      <c r="A3723" s="279">
        <v>39129</v>
      </c>
      <c r="B3723" s="309" t="s">
        <v>411</v>
      </c>
      <c r="C3723" s="309" t="s">
        <v>412</v>
      </c>
      <c r="D3723">
        <v>1007</v>
      </c>
    </row>
    <row r="3724" spans="1:4" x14ac:dyDescent="0.25">
      <c r="A3724" s="279">
        <v>39129</v>
      </c>
      <c r="B3724" s="309" t="s">
        <v>411</v>
      </c>
      <c r="C3724" s="309" t="s">
        <v>409</v>
      </c>
      <c r="D3724">
        <v>1049</v>
      </c>
    </row>
    <row r="3725" spans="1:4" x14ac:dyDescent="0.25">
      <c r="A3725" s="279">
        <v>39130</v>
      </c>
      <c r="B3725" s="309" t="s">
        <v>405</v>
      </c>
      <c r="C3725" s="309" t="s">
        <v>406</v>
      </c>
      <c r="D3725">
        <v>2784024.1</v>
      </c>
    </row>
    <row r="3726" spans="1:4" x14ac:dyDescent="0.25">
      <c r="A3726" s="279">
        <v>39130</v>
      </c>
      <c r="B3726" s="309" t="s">
        <v>405</v>
      </c>
      <c r="C3726" s="309" t="s">
        <v>89</v>
      </c>
      <c r="D3726">
        <v>0</v>
      </c>
    </row>
    <row r="3727" spans="1:4" x14ac:dyDescent="0.25">
      <c r="A3727" s="279">
        <v>39130</v>
      </c>
      <c r="B3727" s="309" t="s">
        <v>405</v>
      </c>
      <c r="C3727" s="309" t="s">
        <v>198</v>
      </c>
      <c r="D3727">
        <v>0</v>
      </c>
    </row>
    <row r="3728" spans="1:4" x14ac:dyDescent="0.25">
      <c r="A3728" s="279">
        <v>39130</v>
      </c>
      <c r="B3728" s="309" t="s">
        <v>405</v>
      </c>
      <c r="C3728" s="309" t="s">
        <v>199</v>
      </c>
      <c r="D3728">
        <v>0</v>
      </c>
    </row>
    <row r="3729" spans="1:4" x14ac:dyDescent="0.25">
      <c r="A3729" s="279">
        <v>39130</v>
      </c>
      <c r="B3729" s="309" t="s">
        <v>405</v>
      </c>
      <c r="C3729" s="309" t="s">
        <v>90</v>
      </c>
      <c r="D3729">
        <v>4004</v>
      </c>
    </row>
    <row r="3730" spans="1:4" x14ac:dyDescent="0.25">
      <c r="A3730" s="279">
        <v>39130</v>
      </c>
      <c r="B3730" s="309" t="s">
        <v>405</v>
      </c>
      <c r="C3730" s="309" t="s">
        <v>24</v>
      </c>
      <c r="D3730">
        <v>0</v>
      </c>
    </row>
    <row r="3731" spans="1:4" x14ac:dyDescent="0.25">
      <c r="A3731" s="279">
        <v>39130</v>
      </c>
      <c r="B3731" s="309" t="s">
        <v>405</v>
      </c>
      <c r="C3731" s="309" t="s">
        <v>91</v>
      </c>
      <c r="D3731">
        <v>0</v>
      </c>
    </row>
    <row r="3732" spans="1:4" x14ac:dyDescent="0.25">
      <c r="A3732" s="279">
        <v>39130</v>
      </c>
      <c r="B3732" s="309" t="s">
        <v>405</v>
      </c>
      <c r="C3732" s="309" t="s">
        <v>118</v>
      </c>
      <c r="D3732">
        <v>0</v>
      </c>
    </row>
    <row r="3733" spans="1:4" x14ac:dyDescent="0.25">
      <c r="A3733" s="279">
        <v>39130</v>
      </c>
      <c r="B3733" s="309" t="s">
        <v>405</v>
      </c>
      <c r="C3733" s="309" t="s">
        <v>407</v>
      </c>
      <c r="D3733">
        <v>2780020.1</v>
      </c>
    </row>
    <row r="3734" spans="1:4" x14ac:dyDescent="0.25">
      <c r="A3734" s="279">
        <v>39130</v>
      </c>
      <c r="B3734" s="309" t="s">
        <v>405</v>
      </c>
      <c r="C3734" s="309" t="s">
        <v>408</v>
      </c>
      <c r="D3734">
        <v>1007</v>
      </c>
    </row>
    <row r="3735" spans="1:4" x14ac:dyDescent="0.25">
      <c r="A3735" s="279">
        <v>39130</v>
      </c>
      <c r="B3735" s="309" t="s">
        <v>405</v>
      </c>
      <c r="C3735" s="309" t="s">
        <v>409</v>
      </c>
      <c r="D3735">
        <v>1058</v>
      </c>
    </row>
    <row r="3736" spans="1:4" x14ac:dyDescent="0.25">
      <c r="A3736" s="279">
        <v>39130</v>
      </c>
      <c r="B3736" s="309" t="s">
        <v>405</v>
      </c>
      <c r="C3736" s="309" t="s">
        <v>410</v>
      </c>
      <c r="D3736">
        <v>1040</v>
      </c>
    </row>
    <row r="3737" spans="1:4" x14ac:dyDescent="0.25">
      <c r="A3737" s="279">
        <v>39130</v>
      </c>
      <c r="B3737" s="309" t="s">
        <v>411</v>
      </c>
      <c r="C3737" s="309" t="s">
        <v>406</v>
      </c>
      <c r="D3737">
        <v>203511</v>
      </c>
    </row>
    <row r="3738" spans="1:4" x14ac:dyDescent="0.25">
      <c r="A3738" s="279">
        <v>39130</v>
      </c>
      <c r="B3738" s="309" t="s">
        <v>411</v>
      </c>
      <c r="C3738" s="309" t="s">
        <v>198</v>
      </c>
      <c r="D3738">
        <v>0</v>
      </c>
    </row>
    <row r="3739" spans="1:4" x14ac:dyDescent="0.25">
      <c r="A3739" s="279">
        <v>39130</v>
      </c>
      <c r="B3739" s="309" t="s">
        <v>411</v>
      </c>
      <c r="C3739" s="309" t="s">
        <v>199</v>
      </c>
      <c r="D3739">
        <v>0</v>
      </c>
    </row>
    <row r="3740" spans="1:4" x14ac:dyDescent="0.25">
      <c r="A3740" s="279">
        <v>39130</v>
      </c>
      <c r="B3740" s="309" t="s">
        <v>411</v>
      </c>
      <c r="C3740" s="309" t="s">
        <v>90</v>
      </c>
      <c r="D3740">
        <v>277</v>
      </c>
    </row>
    <row r="3741" spans="1:4" x14ac:dyDescent="0.25">
      <c r="A3741" s="279">
        <v>39130</v>
      </c>
      <c r="B3741" s="309" t="s">
        <v>411</v>
      </c>
      <c r="C3741" s="309" t="s">
        <v>24</v>
      </c>
      <c r="D3741">
        <v>0</v>
      </c>
    </row>
    <row r="3742" spans="1:4" x14ac:dyDescent="0.25">
      <c r="A3742" s="279">
        <v>39130</v>
      </c>
      <c r="B3742" s="309" t="s">
        <v>411</v>
      </c>
      <c r="C3742" s="309" t="s">
        <v>91</v>
      </c>
      <c r="D3742">
        <v>0</v>
      </c>
    </row>
    <row r="3743" spans="1:4" x14ac:dyDescent="0.25">
      <c r="A3743" s="279">
        <v>39130</v>
      </c>
      <c r="B3743" s="309" t="s">
        <v>411</v>
      </c>
      <c r="C3743" s="309" t="s">
        <v>118</v>
      </c>
      <c r="D3743">
        <v>0</v>
      </c>
    </row>
    <row r="3744" spans="1:4" x14ac:dyDescent="0.25">
      <c r="A3744" s="279">
        <v>39130</v>
      </c>
      <c r="B3744" s="309" t="s">
        <v>411</v>
      </c>
      <c r="C3744" s="309" t="s">
        <v>407</v>
      </c>
      <c r="D3744">
        <v>203234</v>
      </c>
    </row>
    <row r="3745" spans="1:4" x14ac:dyDescent="0.25">
      <c r="A3745" s="279">
        <v>39130</v>
      </c>
      <c r="B3745" s="309" t="s">
        <v>411</v>
      </c>
      <c r="C3745" s="309" t="s">
        <v>412</v>
      </c>
      <c r="D3745">
        <v>1007</v>
      </c>
    </row>
    <row r="3746" spans="1:4" x14ac:dyDescent="0.25">
      <c r="A3746" s="279">
        <v>39130</v>
      </c>
      <c r="B3746" s="309" t="s">
        <v>411</v>
      </c>
      <c r="C3746" s="309" t="s">
        <v>409</v>
      </c>
      <c r="D3746">
        <v>1049</v>
      </c>
    </row>
    <row r="3747" spans="1:4" x14ac:dyDescent="0.25">
      <c r="A3747" s="279">
        <v>39131</v>
      </c>
      <c r="B3747" s="309" t="s">
        <v>405</v>
      </c>
      <c r="C3747" s="309" t="s">
        <v>406</v>
      </c>
      <c r="D3747">
        <v>2780020.1</v>
      </c>
    </row>
    <row r="3748" spans="1:4" x14ac:dyDescent="0.25">
      <c r="A3748" s="279">
        <v>39131</v>
      </c>
      <c r="B3748" s="309" t="s">
        <v>405</v>
      </c>
      <c r="C3748" s="309" t="s">
        <v>89</v>
      </c>
      <c r="D3748">
        <v>0</v>
      </c>
    </row>
    <row r="3749" spans="1:4" x14ac:dyDescent="0.25">
      <c r="A3749" s="279">
        <v>39131</v>
      </c>
      <c r="B3749" s="309" t="s">
        <v>405</v>
      </c>
      <c r="C3749" s="309" t="s">
        <v>198</v>
      </c>
      <c r="D3749">
        <v>0</v>
      </c>
    </row>
    <row r="3750" spans="1:4" x14ac:dyDescent="0.25">
      <c r="A3750" s="279">
        <v>39131</v>
      </c>
      <c r="B3750" s="309" t="s">
        <v>405</v>
      </c>
      <c r="C3750" s="309" t="s">
        <v>199</v>
      </c>
      <c r="D3750">
        <v>0</v>
      </c>
    </row>
    <row r="3751" spans="1:4" x14ac:dyDescent="0.25">
      <c r="A3751" s="279">
        <v>39131</v>
      </c>
      <c r="B3751" s="309" t="s">
        <v>405</v>
      </c>
      <c r="C3751" s="309" t="s">
        <v>90</v>
      </c>
      <c r="D3751">
        <v>2132</v>
      </c>
    </row>
    <row r="3752" spans="1:4" x14ac:dyDescent="0.25">
      <c r="A3752" s="279">
        <v>39131</v>
      </c>
      <c r="B3752" s="309" t="s">
        <v>405</v>
      </c>
      <c r="C3752" s="309" t="s">
        <v>24</v>
      </c>
      <c r="D3752">
        <v>7482</v>
      </c>
    </row>
    <row r="3753" spans="1:4" x14ac:dyDescent="0.25">
      <c r="A3753" s="279">
        <v>39131</v>
      </c>
      <c r="B3753" s="309" t="s">
        <v>405</v>
      </c>
      <c r="C3753" s="309" t="s">
        <v>91</v>
      </c>
      <c r="D3753">
        <v>0</v>
      </c>
    </row>
    <row r="3754" spans="1:4" x14ac:dyDescent="0.25">
      <c r="A3754" s="279">
        <v>39131</v>
      </c>
      <c r="B3754" s="309" t="s">
        <v>405</v>
      </c>
      <c r="C3754" s="309" t="s">
        <v>118</v>
      </c>
      <c r="D3754">
        <v>0</v>
      </c>
    </row>
    <row r="3755" spans="1:4" x14ac:dyDescent="0.25">
      <c r="A3755" s="279">
        <v>39131</v>
      </c>
      <c r="B3755" s="309" t="s">
        <v>405</v>
      </c>
      <c r="C3755" s="309" t="s">
        <v>407</v>
      </c>
      <c r="D3755">
        <v>2770406.1</v>
      </c>
    </row>
    <row r="3756" spans="1:4" x14ac:dyDescent="0.25">
      <c r="A3756" s="279">
        <v>39131</v>
      </c>
      <c r="B3756" s="309" t="s">
        <v>405</v>
      </c>
      <c r="C3756" s="309" t="s">
        <v>408</v>
      </c>
      <c r="D3756">
        <v>1007</v>
      </c>
    </row>
    <row r="3757" spans="1:4" x14ac:dyDescent="0.25">
      <c r="A3757" s="279">
        <v>39131</v>
      </c>
      <c r="B3757" s="309" t="s">
        <v>405</v>
      </c>
      <c r="C3757" s="309" t="s">
        <v>409</v>
      </c>
      <c r="D3757">
        <v>1058</v>
      </c>
    </row>
    <row r="3758" spans="1:4" x14ac:dyDescent="0.25">
      <c r="A3758" s="279">
        <v>39131</v>
      </c>
      <c r="B3758" s="309" t="s">
        <v>405</v>
      </c>
      <c r="C3758" s="309" t="s">
        <v>410</v>
      </c>
      <c r="D3758">
        <v>1038</v>
      </c>
    </row>
    <row r="3759" spans="1:4" x14ac:dyDescent="0.25">
      <c r="A3759" s="279">
        <v>39131</v>
      </c>
      <c r="B3759" s="309" t="s">
        <v>411</v>
      </c>
      <c r="C3759" s="309" t="s">
        <v>406</v>
      </c>
      <c r="D3759">
        <v>203234</v>
      </c>
    </row>
    <row r="3760" spans="1:4" x14ac:dyDescent="0.25">
      <c r="A3760" s="279">
        <v>39131</v>
      </c>
      <c r="B3760" s="309" t="s">
        <v>411</v>
      </c>
      <c r="C3760" s="309" t="s">
        <v>198</v>
      </c>
      <c r="D3760">
        <v>0</v>
      </c>
    </row>
    <row r="3761" spans="1:4" x14ac:dyDescent="0.25">
      <c r="A3761" s="279">
        <v>39131</v>
      </c>
      <c r="B3761" s="309" t="s">
        <v>411</v>
      </c>
      <c r="C3761" s="309" t="s">
        <v>199</v>
      </c>
      <c r="D3761">
        <v>0</v>
      </c>
    </row>
    <row r="3762" spans="1:4" x14ac:dyDescent="0.25">
      <c r="A3762" s="279">
        <v>39131</v>
      </c>
      <c r="B3762" s="309" t="s">
        <v>411</v>
      </c>
      <c r="C3762" s="309" t="s">
        <v>90</v>
      </c>
      <c r="D3762">
        <v>277</v>
      </c>
    </row>
    <row r="3763" spans="1:4" x14ac:dyDescent="0.25">
      <c r="A3763" s="279">
        <v>39131</v>
      </c>
      <c r="B3763" s="309" t="s">
        <v>411</v>
      </c>
      <c r="C3763" s="309" t="s">
        <v>24</v>
      </c>
      <c r="D3763">
        <v>0</v>
      </c>
    </row>
    <row r="3764" spans="1:4" x14ac:dyDescent="0.25">
      <c r="A3764" s="279">
        <v>39131</v>
      </c>
      <c r="B3764" s="309" t="s">
        <v>411</v>
      </c>
      <c r="C3764" s="309" t="s">
        <v>91</v>
      </c>
      <c r="D3764">
        <v>0</v>
      </c>
    </row>
    <row r="3765" spans="1:4" x14ac:dyDescent="0.25">
      <c r="A3765" s="279">
        <v>39131</v>
      </c>
      <c r="B3765" s="309" t="s">
        <v>411</v>
      </c>
      <c r="C3765" s="309" t="s">
        <v>118</v>
      </c>
      <c r="D3765">
        <v>0</v>
      </c>
    </row>
    <row r="3766" spans="1:4" x14ac:dyDescent="0.25">
      <c r="A3766" s="279">
        <v>39131</v>
      </c>
      <c r="B3766" s="309" t="s">
        <v>411</v>
      </c>
      <c r="C3766" s="309" t="s">
        <v>407</v>
      </c>
      <c r="D3766">
        <v>202957</v>
      </c>
    </row>
    <row r="3767" spans="1:4" x14ac:dyDescent="0.25">
      <c r="A3767" s="279">
        <v>39131</v>
      </c>
      <c r="B3767" s="309" t="s">
        <v>411</v>
      </c>
      <c r="C3767" s="309" t="s">
        <v>412</v>
      </c>
      <c r="D3767">
        <v>1007</v>
      </c>
    </row>
    <row r="3768" spans="1:4" x14ac:dyDescent="0.25">
      <c r="A3768" s="279">
        <v>39131</v>
      </c>
      <c r="B3768" s="309" t="s">
        <v>411</v>
      </c>
      <c r="C3768" s="309" t="s">
        <v>409</v>
      </c>
      <c r="D3768">
        <v>1049</v>
      </c>
    </row>
    <row r="3769" spans="1:4" x14ac:dyDescent="0.25">
      <c r="A3769" s="279">
        <v>39132</v>
      </c>
      <c r="B3769" s="309" t="s">
        <v>405</v>
      </c>
      <c r="C3769" s="309" t="s">
        <v>406</v>
      </c>
      <c r="D3769">
        <v>2770406.1</v>
      </c>
    </row>
    <row r="3770" spans="1:4" x14ac:dyDescent="0.25">
      <c r="A3770" s="279">
        <v>39132</v>
      </c>
      <c r="B3770" s="309" t="s">
        <v>405</v>
      </c>
      <c r="C3770" s="309" t="s">
        <v>89</v>
      </c>
      <c r="D3770">
        <v>0</v>
      </c>
    </row>
    <row r="3771" spans="1:4" x14ac:dyDescent="0.25">
      <c r="A3771" s="279">
        <v>39132</v>
      </c>
      <c r="B3771" s="309" t="s">
        <v>405</v>
      </c>
      <c r="C3771" s="309" t="s">
        <v>198</v>
      </c>
      <c r="D3771">
        <v>0</v>
      </c>
    </row>
    <row r="3772" spans="1:4" x14ac:dyDescent="0.25">
      <c r="A3772" s="279">
        <v>39132</v>
      </c>
      <c r="B3772" s="309" t="s">
        <v>405</v>
      </c>
      <c r="C3772" s="309" t="s">
        <v>199</v>
      </c>
      <c r="D3772">
        <v>0</v>
      </c>
    </row>
    <row r="3773" spans="1:4" x14ac:dyDescent="0.25">
      <c r="A3773" s="279">
        <v>39132</v>
      </c>
      <c r="B3773" s="309" t="s">
        <v>405</v>
      </c>
      <c r="C3773" s="309" t="s">
        <v>90</v>
      </c>
      <c r="D3773">
        <v>2907</v>
      </c>
    </row>
    <row r="3774" spans="1:4" x14ac:dyDescent="0.25">
      <c r="A3774" s="279">
        <v>39132</v>
      </c>
      <c r="B3774" s="309" t="s">
        <v>405</v>
      </c>
      <c r="C3774" s="309" t="s">
        <v>24</v>
      </c>
      <c r="D3774">
        <v>9640</v>
      </c>
    </row>
    <row r="3775" spans="1:4" x14ac:dyDescent="0.25">
      <c r="A3775" s="279">
        <v>39132</v>
      </c>
      <c r="B3775" s="309" t="s">
        <v>405</v>
      </c>
      <c r="C3775" s="309" t="s">
        <v>91</v>
      </c>
      <c r="D3775">
        <v>0</v>
      </c>
    </row>
    <row r="3776" spans="1:4" x14ac:dyDescent="0.25">
      <c r="A3776" s="279">
        <v>39132</v>
      </c>
      <c r="B3776" s="309" t="s">
        <v>405</v>
      </c>
      <c r="C3776" s="309" t="s">
        <v>118</v>
      </c>
      <c r="D3776">
        <v>0</v>
      </c>
    </row>
    <row r="3777" spans="1:4" x14ac:dyDescent="0.25">
      <c r="A3777" s="279">
        <v>39132</v>
      </c>
      <c r="B3777" s="309" t="s">
        <v>405</v>
      </c>
      <c r="C3777" s="309" t="s">
        <v>407</v>
      </c>
      <c r="D3777">
        <v>2757859.1</v>
      </c>
    </row>
    <row r="3778" spans="1:4" x14ac:dyDescent="0.25">
      <c r="A3778" s="279">
        <v>39132</v>
      </c>
      <c r="B3778" s="309" t="s">
        <v>405</v>
      </c>
      <c r="C3778" s="309" t="s">
        <v>408</v>
      </c>
      <c r="D3778">
        <v>1007</v>
      </c>
    </row>
    <row r="3779" spans="1:4" x14ac:dyDescent="0.25">
      <c r="A3779" s="279">
        <v>39132</v>
      </c>
      <c r="B3779" s="309" t="s">
        <v>405</v>
      </c>
      <c r="C3779" s="309" t="s">
        <v>409</v>
      </c>
      <c r="D3779">
        <v>1058</v>
      </c>
    </row>
    <row r="3780" spans="1:4" x14ac:dyDescent="0.25">
      <c r="A3780" s="279">
        <v>39132</v>
      </c>
      <c r="B3780" s="309" t="s">
        <v>405</v>
      </c>
      <c r="C3780" s="309" t="s">
        <v>410</v>
      </c>
      <c r="D3780">
        <v>1039</v>
      </c>
    </row>
    <row r="3781" spans="1:4" x14ac:dyDescent="0.25">
      <c r="A3781" s="279">
        <v>39132</v>
      </c>
      <c r="B3781" s="309" t="s">
        <v>411</v>
      </c>
      <c r="C3781" s="309" t="s">
        <v>406</v>
      </c>
      <c r="D3781">
        <v>202957</v>
      </c>
    </row>
    <row r="3782" spans="1:4" x14ac:dyDescent="0.25">
      <c r="A3782" s="279">
        <v>39132</v>
      </c>
      <c r="B3782" s="309" t="s">
        <v>411</v>
      </c>
      <c r="C3782" s="309" t="s">
        <v>198</v>
      </c>
      <c r="D3782">
        <v>0</v>
      </c>
    </row>
    <row r="3783" spans="1:4" x14ac:dyDescent="0.25">
      <c r="A3783" s="279">
        <v>39132</v>
      </c>
      <c r="B3783" s="309" t="s">
        <v>411</v>
      </c>
      <c r="C3783" s="309" t="s">
        <v>199</v>
      </c>
      <c r="D3783">
        <v>0</v>
      </c>
    </row>
    <row r="3784" spans="1:4" x14ac:dyDescent="0.25">
      <c r="A3784" s="279">
        <v>39132</v>
      </c>
      <c r="B3784" s="309" t="s">
        <v>411</v>
      </c>
      <c r="C3784" s="309" t="s">
        <v>90</v>
      </c>
      <c r="D3784">
        <v>0</v>
      </c>
    </row>
    <row r="3785" spans="1:4" x14ac:dyDescent="0.25">
      <c r="A3785" s="279">
        <v>39132</v>
      </c>
      <c r="B3785" s="309" t="s">
        <v>411</v>
      </c>
      <c r="C3785" s="309" t="s">
        <v>24</v>
      </c>
      <c r="D3785">
        <v>0</v>
      </c>
    </row>
    <row r="3786" spans="1:4" x14ac:dyDescent="0.25">
      <c r="A3786" s="279">
        <v>39132</v>
      </c>
      <c r="B3786" s="309" t="s">
        <v>411</v>
      </c>
      <c r="C3786" s="309" t="s">
        <v>91</v>
      </c>
      <c r="D3786">
        <v>0</v>
      </c>
    </row>
    <row r="3787" spans="1:4" x14ac:dyDescent="0.25">
      <c r="A3787" s="279">
        <v>39132</v>
      </c>
      <c r="B3787" s="309" t="s">
        <v>411</v>
      </c>
      <c r="C3787" s="309" t="s">
        <v>118</v>
      </c>
      <c r="D3787">
        <v>0</v>
      </c>
    </row>
    <row r="3788" spans="1:4" x14ac:dyDescent="0.25">
      <c r="A3788" s="279">
        <v>39132</v>
      </c>
      <c r="B3788" s="309" t="s">
        <v>411</v>
      </c>
      <c r="C3788" s="309" t="s">
        <v>407</v>
      </c>
      <c r="D3788">
        <v>202957</v>
      </c>
    </row>
    <row r="3789" spans="1:4" x14ac:dyDescent="0.25">
      <c r="A3789" s="279">
        <v>39132</v>
      </c>
      <c r="B3789" s="309" t="s">
        <v>411</v>
      </c>
      <c r="C3789" s="309" t="s">
        <v>412</v>
      </c>
      <c r="D3789">
        <v>1007</v>
      </c>
    </row>
    <row r="3790" spans="1:4" x14ac:dyDescent="0.25">
      <c r="A3790" s="279">
        <v>39132</v>
      </c>
      <c r="B3790" s="309" t="s">
        <v>411</v>
      </c>
      <c r="C3790" s="309" t="s">
        <v>409</v>
      </c>
      <c r="D3790">
        <v>1049</v>
      </c>
    </row>
    <row r="3791" spans="1:4" x14ac:dyDescent="0.25">
      <c r="A3791" s="279">
        <v>39133</v>
      </c>
      <c r="B3791" s="309" t="s">
        <v>405</v>
      </c>
      <c r="C3791" s="309" t="s">
        <v>406</v>
      </c>
      <c r="D3791">
        <v>2757859.1</v>
      </c>
    </row>
    <row r="3792" spans="1:4" x14ac:dyDescent="0.25">
      <c r="A3792" s="279">
        <v>39133</v>
      </c>
      <c r="B3792" s="309" t="s">
        <v>405</v>
      </c>
      <c r="C3792" s="309" t="s">
        <v>89</v>
      </c>
      <c r="D3792">
        <v>0</v>
      </c>
    </row>
    <row r="3793" spans="1:4" x14ac:dyDescent="0.25">
      <c r="A3793" s="279">
        <v>39133</v>
      </c>
      <c r="B3793" s="309" t="s">
        <v>405</v>
      </c>
      <c r="C3793" s="309" t="s">
        <v>198</v>
      </c>
      <c r="D3793">
        <v>0</v>
      </c>
    </row>
    <row r="3794" spans="1:4" x14ac:dyDescent="0.25">
      <c r="A3794" s="279">
        <v>39133</v>
      </c>
      <c r="B3794" s="309" t="s">
        <v>405</v>
      </c>
      <c r="C3794" s="309" t="s">
        <v>199</v>
      </c>
      <c r="D3794">
        <v>0</v>
      </c>
    </row>
    <row r="3795" spans="1:4" x14ac:dyDescent="0.25">
      <c r="A3795" s="279">
        <v>39133</v>
      </c>
      <c r="B3795" s="309" t="s">
        <v>405</v>
      </c>
      <c r="C3795" s="309" t="s">
        <v>90</v>
      </c>
      <c r="D3795">
        <v>3471</v>
      </c>
    </row>
    <row r="3796" spans="1:4" x14ac:dyDescent="0.25">
      <c r="A3796" s="279">
        <v>39133</v>
      </c>
      <c r="B3796" s="309" t="s">
        <v>405</v>
      </c>
      <c r="C3796" s="309" t="s">
        <v>24</v>
      </c>
      <c r="D3796">
        <v>0</v>
      </c>
    </row>
    <row r="3797" spans="1:4" x14ac:dyDescent="0.25">
      <c r="A3797" s="279">
        <v>39133</v>
      </c>
      <c r="B3797" s="309" t="s">
        <v>405</v>
      </c>
      <c r="C3797" s="309" t="s">
        <v>91</v>
      </c>
      <c r="D3797">
        <v>0</v>
      </c>
    </row>
    <row r="3798" spans="1:4" x14ac:dyDescent="0.25">
      <c r="A3798" s="279">
        <v>39133</v>
      </c>
      <c r="B3798" s="309" t="s">
        <v>405</v>
      </c>
      <c r="C3798" s="309" t="s">
        <v>118</v>
      </c>
      <c r="D3798">
        <v>0</v>
      </c>
    </row>
    <row r="3799" spans="1:4" x14ac:dyDescent="0.25">
      <c r="A3799" s="279">
        <v>39133</v>
      </c>
      <c r="B3799" s="309" t="s">
        <v>405</v>
      </c>
      <c r="C3799" s="309" t="s">
        <v>407</v>
      </c>
      <c r="D3799">
        <v>2754388.1</v>
      </c>
    </row>
    <row r="3800" spans="1:4" x14ac:dyDescent="0.25">
      <c r="A3800" s="279">
        <v>39133</v>
      </c>
      <c r="B3800" s="309" t="s">
        <v>405</v>
      </c>
      <c r="C3800" s="309" t="s">
        <v>408</v>
      </c>
      <c r="D3800">
        <v>1007</v>
      </c>
    </row>
    <row r="3801" spans="1:4" x14ac:dyDescent="0.25">
      <c r="A3801" s="279">
        <v>39133</v>
      </c>
      <c r="B3801" s="309" t="s">
        <v>405</v>
      </c>
      <c r="C3801" s="309" t="s">
        <v>409</v>
      </c>
      <c r="D3801">
        <v>1058</v>
      </c>
    </row>
    <row r="3802" spans="1:4" x14ac:dyDescent="0.25">
      <c r="A3802" s="279">
        <v>39133</v>
      </c>
      <c r="B3802" s="309" t="s">
        <v>405</v>
      </c>
      <c r="C3802" s="309" t="s">
        <v>410</v>
      </c>
      <c r="D3802">
        <v>1037</v>
      </c>
    </row>
    <row r="3803" spans="1:4" x14ac:dyDescent="0.25">
      <c r="A3803" s="279">
        <v>39133</v>
      </c>
      <c r="B3803" s="309" t="s">
        <v>411</v>
      </c>
      <c r="C3803" s="309" t="s">
        <v>406</v>
      </c>
      <c r="D3803">
        <v>202957</v>
      </c>
    </row>
    <row r="3804" spans="1:4" x14ac:dyDescent="0.25">
      <c r="A3804" s="279">
        <v>39133</v>
      </c>
      <c r="B3804" s="309" t="s">
        <v>411</v>
      </c>
      <c r="C3804" s="309" t="s">
        <v>198</v>
      </c>
      <c r="D3804">
        <v>0</v>
      </c>
    </row>
    <row r="3805" spans="1:4" x14ac:dyDescent="0.25">
      <c r="A3805" s="279">
        <v>39133</v>
      </c>
      <c r="B3805" s="309" t="s">
        <v>411</v>
      </c>
      <c r="C3805" s="309" t="s">
        <v>199</v>
      </c>
      <c r="D3805">
        <v>0</v>
      </c>
    </row>
    <row r="3806" spans="1:4" x14ac:dyDescent="0.25">
      <c r="A3806" s="279">
        <v>39133</v>
      </c>
      <c r="B3806" s="309" t="s">
        <v>411</v>
      </c>
      <c r="C3806" s="309" t="s">
        <v>90</v>
      </c>
      <c r="D3806">
        <v>277</v>
      </c>
    </row>
    <row r="3807" spans="1:4" x14ac:dyDescent="0.25">
      <c r="A3807" s="279">
        <v>39133</v>
      </c>
      <c r="B3807" s="309" t="s">
        <v>411</v>
      </c>
      <c r="C3807" s="309" t="s">
        <v>24</v>
      </c>
      <c r="D3807">
        <v>0</v>
      </c>
    </row>
    <row r="3808" spans="1:4" x14ac:dyDescent="0.25">
      <c r="A3808" s="279">
        <v>39133</v>
      </c>
      <c r="B3808" s="309" t="s">
        <v>411</v>
      </c>
      <c r="C3808" s="309" t="s">
        <v>91</v>
      </c>
      <c r="D3808">
        <v>0</v>
      </c>
    </row>
    <row r="3809" spans="1:4" x14ac:dyDescent="0.25">
      <c r="A3809" s="279">
        <v>39133</v>
      </c>
      <c r="B3809" s="309" t="s">
        <v>411</v>
      </c>
      <c r="C3809" s="309" t="s">
        <v>118</v>
      </c>
      <c r="D3809">
        <v>0</v>
      </c>
    </row>
    <row r="3810" spans="1:4" x14ac:dyDescent="0.25">
      <c r="A3810" s="279">
        <v>39133</v>
      </c>
      <c r="B3810" s="309" t="s">
        <v>411</v>
      </c>
      <c r="C3810" s="309" t="s">
        <v>407</v>
      </c>
      <c r="D3810">
        <v>202680</v>
      </c>
    </row>
    <row r="3811" spans="1:4" x14ac:dyDescent="0.25">
      <c r="A3811" s="279">
        <v>39133</v>
      </c>
      <c r="B3811" s="309" t="s">
        <v>411</v>
      </c>
      <c r="C3811" s="309" t="s">
        <v>412</v>
      </c>
      <c r="D3811">
        <v>1007</v>
      </c>
    </row>
    <row r="3812" spans="1:4" x14ac:dyDescent="0.25">
      <c r="A3812" s="279">
        <v>39133</v>
      </c>
      <c r="B3812" s="309" t="s">
        <v>411</v>
      </c>
      <c r="C3812" s="309" t="s">
        <v>409</v>
      </c>
      <c r="D3812">
        <v>1049</v>
      </c>
    </row>
    <row r="3813" spans="1:4" x14ac:dyDescent="0.25">
      <c r="A3813" s="279">
        <v>39134</v>
      </c>
      <c r="B3813" s="309" t="s">
        <v>405</v>
      </c>
      <c r="C3813" s="309" t="s">
        <v>406</v>
      </c>
      <c r="D3813">
        <v>2754388.1</v>
      </c>
    </row>
    <row r="3814" spans="1:4" x14ac:dyDescent="0.25">
      <c r="A3814" s="279">
        <v>39134</v>
      </c>
      <c r="B3814" s="309" t="s">
        <v>405</v>
      </c>
      <c r="C3814" s="309" t="s">
        <v>89</v>
      </c>
      <c r="D3814">
        <v>0</v>
      </c>
    </row>
    <row r="3815" spans="1:4" x14ac:dyDescent="0.25">
      <c r="A3815" s="279">
        <v>39134</v>
      </c>
      <c r="B3815" s="309" t="s">
        <v>405</v>
      </c>
      <c r="C3815" s="309" t="s">
        <v>198</v>
      </c>
      <c r="D3815">
        <v>0</v>
      </c>
    </row>
    <row r="3816" spans="1:4" x14ac:dyDescent="0.25">
      <c r="A3816" s="279">
        <v>39134</v>
      </c>
      <c r="B3816" s="309" t="s">
        <v>405</v>
      </c>
      <c r="C3816" s="309" t="s">
        <v>199</v>
      </c>
      <c r="D3816">
        <v>0</v>
      </c>
    </row>
    <row r="3817" spans="1:4" x14ac:dyDescent="0.25">
      <c r="A3817" s="279">
        <v>39134</v>
      </c>
      <c r="B3817" s="309" t="s">
        <v>405</v>
      </c>
      <c r="C3817" s="309" t="s">
        <v>90</v>
      </c>
      <c r="D3817">
        <v>2135</v>
      </c>
    </row>
    <row r="3818" spans="1:4" x14ac:dyDescent="0.25">
      <c r="A3818" s="279">
        <v>39134</v>
      </c>
      <c r="B3818" s="309" t="s">
        <v>405</v>
      </c>
      <c r="C3818" s="309" t="s">
        <v>24</v>
      </c>
      <c r="D3818">
        <v>0</v>
      </c>
    </row>
    <row r="3819" spans="1:4" x14ac:dyDescent="0.25">
      <c r="A3819" s="279">
        <v>39134</v>
      </c>
      <c r="B3819" s="309" t="s">
        <v>405</v>
      </c>
      <c r="C3819" s="309" t="s">
        <v>91</v>
      </c>
      <c r="D3819">
        <v>0</v>
      </c>
    </row>
    <row r="3820" spans="1:4" x14ac:dyDescent="0.25">
      <c r="A3820" s="279">
        <v>39134</v>
      </c>
      <c r="B3820" s="309" t="s">
        <v>405</v>
      </c>
      <c r="C3820" s="309" t="s">
        <v>118</v>
      </c>
      <c r="D3820">
        <v>0</v>
      </c>
    </row>
    <row r="3821" spans="1:4" x14ac:dyDescent="0.25">
      <c r="A3821" s="279">
        <v>39134</v>
      </c>
      <c r="B3821" s="309" t="s">
        <v>405</v>
      </c>
      <c r="C3821" s="309" t="s">
        <v>407</v>
      </c>
      <c r="D3821">
        <v>2752253.1</v>
      </c>
    </row>
    <row r="3822" spans="1:4" x14ac:dyDescent="0.25">
      <c r="A3822" s="279">
        <v>39134</v>
      </c>
      <c r="B3822" s="309" t="s">
        <v>405</v>
      </c>
      <c r="C3822" s="309" t="s">
        <v>408</v>
      </c>
      <c r="D3822">
        <v>1007</v>
      </c>
    </row>
    <row r="3823" spans="1:4" x14ac:dyDescent="0.25">
      <c r="A3823" s="279">
        <v>39134</v>
      </c>
      <c r="B3823" s="309" t="s">
        <v>405</v>
      </c>
      <c r="C3823" s="309" t="s">
        <v>409</v>
      </c>
      <c r="D3823">
        <v>1058</v>
      </c>
    </row>
    <row r="3824" spans="1:4" x14ac:dyDescent="0.25">
      <c r="A3824" s="279">
        <v>39134</v>
      </c>
      <c r="B3824" s="309" t="s">
        <v>405</v>
      </c>
      <c r="C3824" s="309" t="s">
        <v>410</v>
      </c>
      <c r="D3824">
        <v>1037</v>
      </c>
    </row>
    <row r="3825" spans="1:4" x14ac:dyDescent="0.25">
      <c r="A3825" s="279">
        <v>39134</v>
      </c>
      <c r="B3825" s="309" t="s">
        <v>411</v>
      </c>
      <c r="C3825" s="309" t="s">
        <v>406</v>
      </c>
      <c r="D3825">
        <v>202680</v>
      </c>
    </row>
    <row r="3826" spans="1:4" x14ac:dyDescent="0.25">
      <c r="A3826" s="279">
        <v>39134</v>
      </c>
      <c r="B3826" s="309" t="s">
        <v>411</v>
      </c>
      <c r="C3826" s="309" t="s">
        <v>198</v>
      </c>
      <c r="D3826">
        <v>0</v>
      </c>
    </row>
    <row r="3827" spans="1:4" x14ac:dyDescent="0.25">
      <c r="A3827" s="279">
        <v>39134</v>
      </c>
      <c r="B3827" s="309" t="s">
        <v>411</v>
      </c>
      <c r="C3827" s="309" t="s">
        <v>199</v>
      </c>
      <c r="D3827">
        <v>0</v>
      </c>
    </row>
    <row r="3828" spans="1:4" x14ac:dyDescent="0.25">
      <c r="A3828" s="279">
        <v>39134</v>
      </c>
      <c r="B3828" s="309" t="s">
        <v>411</v>
      </c>
      <c r="C3828" s="309" t="s">
        <v>90</v>
      </c>
      <c r="D3828">
        <v>62</v>
      </c>
    </row>
    <row r="3829" spans="1:4" x14ac:dyDescent="0.25">
      <c r="A3829" s="279">
        <v>39134</v>
      </c>
      <c r="B3829" s="309" t="s">
        <v>411</v>
      </c>
      <c r="C3829" s="309" t="s">
        <v>24</v>
      </c>
      <c r="D3829">
        <v>0</v>
      </c>
    </row>
    <row r="3830" spans="1:4" x14ac:dyDescent="0.25">
      <c r="A3830" s="279">
        <v>39134</v>
      </c>
      <c r="B3830" s="309" t="s">
        <v>411</v>
      </c>
      <c r="C3830" s="309" t="s">
        <v>91</v>
      </c>
      <c r="D3830">
        <v>0</v>
      </c>
    </row>
    <row r="3831" spans="1:4" x14ac:dyDescent="0.25">
      <c r="A3831" s="279">
        <v>39134</v>
      </c>
      <c r="B3831" s="309" t="s">
        <v>411</v>
      </c>
      <c r="C3831" s="309" t="s">
        <v>118</v>
      </c>
      <c r="D3831">
        <v>0</v>
      </c>
    </row>
    <row r="3832" spans="1:4" x14ac:dyDescent="0.25">
      <c r="A3832" s="279">
        <v>39134</v>
      </c>
      <c r="B3832" s="309" t="s">
        <v>411</v>
      </c>
      <c r="C3832" s="309" t="s">
        <v>407</v>
      </c>
      <c r="D3832">
        <v>202618</v>
      </c>
    </row>
    <row r="3833" spans="1:4" x14ac:dyDescent="0.25">
      <c r="A3833" s="279">
        <v>39134</v>
      </c>
      <c r="B3833" s="309" t="s">
        <v>411</v>
      </c>
      <c r="C3833" s="309" t="s">
        <v>412</v>
      </c>
      <c r="D3833">
        <v>1007</v>
      </c>
    </row>
    <row r="3834" spans="1:4" x14ac:dyDescent="0.25">
      <c r="A3834" s="279">
        <v>39134</v>
      </c>
      <c r="B3834" s="309" t="s">
        <v>411</v>
      </c>
      <c r="C3834" s="309" t="s">
        <v>409</v>
      </c>
      <c r="D3834">
        <v>1049</v>
      </c>
    </row>
    <row r="3835" spans="1:4" x14ac:dyDescent="0.25">
      <c r="A3835" s="279">
        <v>39135</v>
      </c>
      <c r="B3835" s="309" t="s">
        <v>405</v>
      </c>
      <c r="C3835" s="309" t="s">
        <v>406</v>
      </c>
      <c r="D3835">
        <v>2752253.1</v>
      </c>
    </row>
    <row r="3836" spans="1:4" x14ac:dyDescent="0.25">
      <c r="A3836" s="279">
        <v>39135</v>
      </c>
      <c r="B3836" s="309" t="s">
        <v>405</v>
      </c>
      <c r="C3836" s="309" t="s">
        <v>89</v>
      </c>
      <c r="D3836">
        <v>0</v>
      </c>
    </row>
    <row r="3837" spans="1:4" x14ac:dyDescent="0.25">
      <c r="A3837" s="279">
        <v>39135</v>
      </c>
      <c r="B3837" s="309" t="s">
        <v>405</v>
      </c>
      <c r="C3837" s="309" t="s">
        <v>198</v>
      </c>
      <c r="D3837">
        <v>0</v>
      </c>
    </row>
    <row r="3838" spans="1:4" x14ac:dyDescent="0.25">
      <c r="A3838" s="279">
        <v>39135</v>
      </c>
      <c r="B3838" s="309" t="s">
        <v>405</v>
      </c>
      <c r="C3838" s="309" t="s">
        <v>199</v>
      </c>
      <c r="D3838">
        <v>0</v>
      </c>
    </row>
    <row r="3839" spans="1:4" x14ac:dyDescent="0.25">
      <c r="A3839" s="279">
        <v>39135</v>
      </c>
      <c r="B3839" s="309" t="s">
        <v>405</v>
      </c>
      <c r="C3839" s="309" t="s">
        <v>90</v>
      </c>
      <c r="D3839">
        <v>3737</v>
      </c>
    </row>
    <row r="3840" spans="1:4" x14ac:dyDescent="0.25">
      <c r="A3840" s="279">
        <v>39135</v>
      </c>
      <c r="B3840" s="309" t="s">
        <v>405</v>
      </c>
      <c r="C3840" s="309" t="s">
        <v>24</v>
      </c>
      <c r="D3840">
        <v>0</v>
      </c>
    </row>
    <row r="3841" spans="1:4" x14ac:dyDescent="0.25">
      <c r="A3841" s="279">
        <v>39135</v>
      </c>
      <c r="B3841" s="309" t="s">
        <v>405</v>
      </c>
      <c r="C3841" s="309" t="s">
        <v>91</v>
      </c>
      <c r="D3841">
        <v>0</v>
      </c>
    </row>
    <row r="3842" spans="1:4" x14ac:dyDescent="0.25">
      <c r="A3842" s="279">
        <v>39135</v>
      </c>
      <c r="B3842" s="309" t="s">
        <v>405</v>
      </c>
      <c r="C3842" s="309" t="s">
        <v>118</v>
      </c>
      <c r="D3842">
        <v>0</v>
      </c>
    </row>
    <row r="3843" spans="1:4" x14ac:dyDescent="0.25">
      <c r="A3843" s="279">
        <v>39135</v>
      </c>
      <c r="B3843" s="309" t="s">
        <v>405</v>
      </c>
      <c r="C3843" s="309" t="s">
        <v>407</v>
      </c>
      <c r="D3843">
        <v>2748516.1</v>
      </c>
    </row>
    <row r="3844" spans="1:4" x14ac:dyDescent="0.25">
      <c r="A3844" s="279">
        <v>39135</v>
      </c>
      <c r="B3844" s="309" t="s">
        <v>405</v>
      </c>
      <c r="C3844" s="309" t="s">
        <v>408</v>
      </c>
      <c r="D3844">
        <v>1007</v>
      </c>
    </row>
    <row r="3845" spans="1:4" x14ac:dyDescent="0.25">
      <c r="A3845" s="279">
        <v>39135</v>
      </c>
      <c r="B3845" s="309" t="s">
        <v>405</v>
      </c>
      <c r="C3845" s="309" t="s">
        <v>409</v>
      </c>
      <c r="D3845">
        <v>1058</v>
      </c>
    </row>
    <row r="3846" spans="1:4" x14ac:dyDescent="0.25">
      <c r="A3846" s="279">
        <v>39135</v>
      </c>
      <c r="B3846" s="309" t="s">
        <v>405</v>
      </c>
      <c r="C3846" s="309" t="s">
        <v>410</v>
      </c>
      <c r="D3846">
        <v>1038</v>
      </c>
    </row>
    <row r="3847" spans="1:4" x14ac:dyDescent="0.25">
      <c r="A3847" s="279">
        <v>39135</v>
      </c>
      <c r="B3847" s="309" t="s">
        <v>411</v>
      </c>
      <c r="C3847" s="309" t="s">
        <v>406</v>
      </c>
      <c r="D3847">
        <v>202618</v>
      </c>
    </row>
    <row r="3848" spans="1:4" x14ac:dyDescent="0.25">
      <c r="A3848" s="279">
        <v>39135</v>
      </c>
      <c r="B3848" s="309" t="s">
        <v>411</v>
      </c>
      <c r="C3848" s="309" t="s">
        <v>198</v>
      </c>
      <c r="D3848">
        <v>0</v>
      </c>
    </row>
    <row r="3849" spans="1:4" x14ac:dyDescent="0.25">
      <c r="A3849" s="279">
        <v>39135</v>
      </c>
      <c r="B3849" s="309" t="s">
        <v>411</v>
      </c>
      <c r="C3849" s="309" t="s">
        <v>199</v>
      </c>
      <c r="D3849">
        <v>0</v>
      </c>
    </row>
    <row r="3850" spans="1:4" x14ac:dyDescent="0.25">
      <c r="A3850" s="279">
        <v>39135</v>
      </c>
      <c r="B3850" s="309" t="s">
        <v>411</v>
      </c>
      <c r="C3850" s="309" t="s">
        <v>90</v>
      </c>
      <c r="D3850">
        <v>64</v>
      </c>
    </row>
    <row r="3851" spans="1:4" x14ac:dyDescent="0.25">
      <c r="A3851" s="279">
        <v>39135</v>
      </c>
      <c r="B3851" s="309" t="s">
        <v>411</v>
      </c>
      <c r="C3851" s="309" t="s">
        <v>24</v>
      </c>
      <c r="D3851">
        <v>0</v>
      </c>
    </row>
    <row r="3852" spans="1:4" x14ac:dyDescent="0.25">
      <c r="A3852" s="279">
        <v>39135</v>
      </c>
      <c r="B3852" s="309" t="s">
        <v>411</v>
      </c>
      <c r="C3852" s="309" t="s">
        <v>91</v>
      </c>
      <c r="D3852">
        <v>0</v>
      </c>
    </row>
    <row r="3853" spans="1:4" x14ac:dyDescent="0.25">
      <c r="A3853" s="279">
        <v>39135</v>
      </c>
      <c r="B3853" s="309" t="s">
        <v>411</v>
      </c>
      <c r="C3853" s="309" t="s">
        <v>118</v>
      </c>
      <c r="D3853">
        <v>0</v>
      </c>
    </row>
    <row r="3854" spans="1:4" x14ac:dyDescent="0.25">
      <c r="A3854" s="279">
        <v>39135</v>
      </c>
      <c r="B3854" s="309" t="s">
        <v>411</v>
      </c>
      <c r="C3854" s="309" t="s">
        <v>407</v>
      </c>
      <c r="D3854">
        <v>202554</v>
      </c>
    </row>
    <row r="3855" spans="1:4" x14ac:dyDescent="0.25">
      <c r="A3855" s="279">
        <v>39135</v>
      </c>
      <c r="B3855" s="309" t="s">
        <v>411</v>
      </c>
      <c r="C3855" s="309" t="s">
        <v>412</v>
      </c>
      <c r="D3855">
        <v>1007</v>
      </c>
    </row>
    <row r="3856" spans="1:4" x14ac:dyDescent="0.25">
      <c r="A3856" s="279">
        <v>39135</v>
      </c>
      <c r="B3856" s="309" t="s">
        <v>411</v>
      </c>
      <c r="C3856" s="309" t="s">
        <v>409</v>
      </c>
      <c r="D3856">
        <v>1049</v>
      </c>
    </row>
    <row r="3857" spans="1:4" x14ac:dyDescent="0.25">
      <c r="A3857" s="279">
        <v>39136</v>
      </c>
      <c r="B3857" s="309" t="s">
        <v>405</v>
      </c>
      <c r="C3857" s="309" t="s">
        <v>406</v>
      </c>
      <c r="D3857">
        <v>2748516.1</v>
      </c>
    </row>
    <row r="3858" spans="1:4" x14ac:dyDescent="0.25">
      <c r="A3858" s="279">
        <v>39136</v>
      </c>
      <c r="B3858" s="309" t="s">
        <v>405</v>
      </c>
      <c r="C3858" s="309" t="s">
        <v>89</v>
      </c>
      <c r="D3858">
        <v>0</v>
      </c>
    </row>
    <row r="3859" spans="1:4" x14ac:dyDescent="0.25">
      <c r="A3859" s="279">
        <v>39136</v>
      </c>
      <c r="B3859" s="309" t="s">
        <v>405</v>
      </c>
      <c r="C3859" s="309" t="s">
        <v>198</v>
      </c>
      <c r="D3859">
        <v>0</v>
      </c>
    </row>
    <row r="3860" spans="1:4" x14ac:dyDescent="0.25">
      <c r="A3860" s="279">
        <v>39136</v>
      </c>
      <c r="B3860" s="309" t="s">
        <v>405</v>
      </c>
      <c r="C3860" s="309" t="s">
        <v>199</v>
      </c>
      <c r="D3860">
        <v>0</v>
      </c>
    </row>
    <row r="3861" spans="1:4" x14ac:dyDescent="0.25">
      <c r="A3861" s="279">
        <v>39136</v>
      </c>
      <c r="B3861" s="309" t="s">
        <v>405</v>
      </c>
      <c r="C3861" s="309" t="s">
        <v>90</v>
      </c>
      <c r="D3861">
        <v>2450</v>
      </c>
    </row>
    <row r="3862" spans="1:4" x14ac:dyDescent="0.25">
      <c r="A3862" s="279">
        <v>39136</v>
      </c>
      <c r="B3862" s="309" t="s">
        <v>405</v>
      </c>
      <c r="C3862" s="309" t="s">
        <v>24</v>
      </c>
      <c r="D3862">
        <v>7959</v>
      </c>
    </row>
    <row r="3863" spans="1:4" x14ac:dyDescent="0.25">
      <c r="A3863" s="279">
        <v>39136</v>
      </c>
      <c r="B3863" s="309" t="s">
        <v>405</v>
      </c>
      <c r="C3863" s="309" t="s">
        <v>91</v>
      </c>
      <c r="D3863">
        <v>0</v>
      </c>
    </row>
    <row r="3864" spans="1:4" x14ac:dyDescent="0.25">
      <c r="A3864" s="279">
        <v>39136</v>
      </c>
      <c r="B3864" s="309" t="s">
        <v>405</v>
      </c>
      <c r="C3864" s="309" t="s">
        <v>118</v>
      </c>
      <c r="D3864">
        <v>0</v>
      </c>
    </row>
    <row r="3865" spans="1:4" x14ac:dyDescent="0.25">
      <c r="A3865" s="279">
        <v>39136</v>
      </c>
      <c r="B3865" s="309" t="s">
        <v>405</v>
      </c>
      <c r="C3865" s="309" t="s">
        <v>407</v>
      </c>
      <c r="D3865">
        <v>2738107.1</v>
      </c>
    </row>
    <row r="3866" spans="1:4" x14ac:dyDescent="0.25">
      <c r="A3866" s="279">
        <v>39136</v>
      </c>
      <c r="B3866" s="309" t="s">
        <v>405</v>
      </c>
      <c r="C3866" s="309" t="s">
        <v>408</v>
      </c>
      <c r="D3866">
        <v>1007</v>
      </c>
    </row>
    <row r="3867" spans="1:4" x14ac:dyDescent="0.25">
      <c r="A3867" s="279">
        <v>39136</v>
      </c>
      <c r="B3867" s="309" t="s">
        <v>405</v>
      </c>
      <c r="C3867" s="309" t="s">
        <v>409</v>
      </c>
      <c r="D3867">
        <v>1058</v>
      </c>
    </row>
    <row r="3868" spans="1:4" x14ac:dyDescent="0.25">
      <c r="A3868" s="279">
        <v>39136</v>
      </c>
      <c r="B3868" s="309" t="s">
        <v>405</v>
      </c>
      <c r="C3868" s="309" t="s">
        <v>410</v>
      </c>
      <c r="D3868">
        <v>1038</v>
      </c>
    </row>
    <row r="3869" spans="1:4" x14ac:dyDescent="0.25">
      <c r="A3869" s="279">
        <v>39136</v>
      </c>
      <c r="B3869" s="309" t="s">
        <v>411</v>
      </c>
      <c r="C3869" s="309" t="s">
        <v>406</v>
      </c>
      <c r="D3869">
        <v>202554</v>
      </c>
    </row>
    <row r="3870" spans="1:4" x14ac:dyDescent="0.25">
      <c r="A3870" s="279">
        <v>39136</v>
      </c>
      <c r="B3870" s="309" t="s">
        <v>411</v>
      </c>
      <c r="C3870" s="309" t="s">
        <v>198</v>
      </c>
      <c r="D3870">
        <v>0</v>
      </c>
    </row>
    <row r="3871" spans="1:4" x14ac:dyDescent="0.25">
      <c r="A3871" s="279">
        <v>39136</v>
      </c>
      <c r="B3871" s="309" t="s">
        <v>411</v>
      </c>
      <c r="C3871" s="309" t="s">
        <v>199</v>
      </c>
      <c r="D3871">
        <v>0</v>
      </c>
    </row>
    <row r="3872" spans="1:4" x14ac:dyDescent="0.25">
      <c r="A3872" s="279">
        <v>39136</v>
      </c>
      <c r="B3872" s="309" t="s">
        <v>411</v>
      </c>
      <c r="C3872" s="309" t="s">
        <v>90</v>
      </c>
      <c r="D3872">
        <v>151</v>
      </c>
    </row>
    <row r="3873" spans="1:4" x14ac:dyDescent="0.25">
      <c r="A3873" s="279">
        <v>39136</v>
      </c>
      <c r="B3873" s="309" t="s">
        <v>411</v>
      </c>
      <c r="C3873" s="309" t="s">
        <v>24</v>
      </c>
      <c r="D3873">
        <v>0</v>
      </c>
    </row>
    <row r="3874" spans="1:4" x14ac:dyDescent="0.25">
      <c r="A3874" s="279">
        <v>39136</v>
      </c>
      <c r="B3874" s="309" t="s">
        <v>411</v>
      </c>
      <c r="C3874" s="309" t="s">
        <v>91</v>
      </c>
      <c r="D3874">
        <v>0</v>
      </c>
    </row>
    <row r="3875" spans="1:4" x14ac:dyDescent="0.25">
      <c r="A3875" s="279">
        <v>39136</v>
      </c>
      <c r="B3875" s="309" t="s">
        <v>411</v>
      </c>
      <c r="C3875" s="309" t="s">
        <v>118</v>
      </c>
      <c r="D3875">
        <v>0</v>
      </c>
    </row>
    <row r="3876" spans="1:4" x14ac:dyDescent="0.25">
      <c r="A3876" s="279">
        <v>39136</v>
      </c>
      <c r="B3876" s="309" t="s">
        <v>411</v>
      </c>
      <c r="C3876" s="309" t="s">
        <v>407</v>
      </c>
      <c r="D3876">
        <v>202403</v>
      </c>
    </row>
    <row r="3877" spans="1:4" x14ac:dyDescent="0.25">
      <c r="A3877" s="279">
        <v>39136</v>
      </c>
      <c r="B3877" s="309" t="s">
        <v>411</v>
      </c>
      <c r="C3877" s="309" t="s">
        <v>412</v>
      </c>
      <c r="D3877">
        <v>1007</v>
      </c>
    </row>
    <row r="3878" spans="1:4" x14ac:dyDescent="0.25">
      <c r="A3878" s="279">
        <v>39136</v>
      </c>
      <c r="B3878" s="309" t="s">
        <v>411</v>
      </c>
      <c r="C3878" s="309" t="s">
        <v>409</v>
      </c>
      <c r="D3878">
        <v>1049</v>
      </c>
    </row>
    <row r="3879" spans="1:4" x14ac:dyDescent="0.25">
      <c r="A3879" s="279">
        <v>39137</v>
      </c>
      <c r="B3879" s="309" t="s">
        <v>405</v>
      </c>
      <c r="C3879" s="309" t="s">
        <v>406</v>
      </c>
      <c r="D3879">
        <v>2738107.1</v>
      </c>
    </row>
    <row r="3880" spans="1:4" x14ac:dyDescent="0.25">
      <c r="A3880" s="279">
        <v>39137</v>
      </c>
      <c r="B3880" s="309" t="s">
        <v>405</v>
      </c>
      <c r="C3880" s="309" t="s">
        <v>89</v>
      </c>
      <c r="D3880">
        <v>0</v>
      </c>
    </row>
    <row r="3881" spans="1:4" x14ac:dyDescent="0.25">
      <c r="A3881" s="279">
        <v>39137</v>
      </c>
      <c r="B3881" s="309" t="s">
        <v>405</v>
      </c>
      <c r="C3881" s="309" t="s">
        <v>198</v>
      </c>
      <c r="D3881">
        <v>0</v>
      </c>
    </row>
    <row r="3882" spans="1:4" x14ac:dyDescent="0.25">
      <c r="A3882" s="279">
        <v>39137</v>
      </c>
      <c r="B3882" s="309" t="s">
        <v>405</v>
      </c>
      <c r="C3882" s="309" t="s">
        <v>199</v>
      </c>
      <c r="D3882">
        <v>0</v>
      </c>
    </row>
    <row r="3883" spans="1:4" x14ac:dyDescent="0.25">
      <c r="A3883" s="279">
        <v>39137</v>
      </c>
      <c r="B3883" s="309" t="s">
        <v>405</v>
      </c>
      <c r="C3883" s="309" t="s">
        <v>90</v>
      </c>
      <c r="D3883">
        <v>392</v>
      </c>
    </row>
    <row r="3884" spans="1:4" x14ac:dyDescent="0.25">
      <c r="A3884" s="279">
        <v>39137</v>
      </c>
      <c r="B3884" s="309" t="s">
        <v>405</v>
      </c>
      <c r="C3884" s="309" t="s">
        <v>24</v>
      </c>
      <c r="D3884">
        <v>8948</v>
      </c>
    </row>
    <row r="3885" spans="1:4" x14ac:dyDescent="0.25">
      <c r="A3885" s="279">
        <v>39137</v>
      </c>
      <c r="B3885" s="309" t="s">
        <v>405</v>
      </c>
      <c r="C3885" s="309" t="s">
        <v>91</v>
      </c>
      <c r="D3885">
        <v>0</v>
      </c>
    </row>
    <row r="3886" spans="1:4" x14ac:dyDescent="0.25">
      <c r="A3886" s="279">
        <v>39137</v>
      </c>
      <c r="B3886" s="309" t="s">
        <v>405</v>
      </c>
      <c r="C3886" s="309" t="s">
        <v>118</v>
      </c>
      <c r="D3886">
        <v>0</v>
      </c>
    </row>
    <row r="3887" spans="1:4" x14ac:dyDescent="0.25">
      <c r="A3887" s="279">
        <v>39137</v>
      </c>
      <c r="B3887" s="309" t="s">
        <v>405</v>
      </c>
      <c r="C3887" s="309" t="s">
        <v>407</v>
      </c>
      <c r="D3887">
        <v>2728767.1</v>
      </c>
    </row>
    <row r="3888" spans="1:4" x14ac:dyDescent="0.25">
      <c r="A3888" s="279">
        <v>39137</v>
      </c>
      <c r="B3888" s="309" t="s">
        <v>405</v>
      </c>
      <c r="C3888" s="309" t="s">
        <v>408</v>
      </c>
      <c r="D3888">
        <v>1007</v>
      </c>
    </row>
    <row r="3889" spans="1:4" x14ac:dyDescent="0.25">
      <c r="A3889" s="279">
        <v>39137</v>
      </c>
      <c r="B3889" s="309" t="s">
        <v>405</v>
      </c>
      <c r="C3889" s="309" t="s">
        <v>409</v>
      </c>
      <c r="D3889">
        <v>1058</v>
      </c>
    </row>
    <row r="3890" spans="1:4" x14ac:dyDescent="0.25">
      <c r="A3890" s="279">
        <v>39137</v>
      </c>
      <c r="B3890" s="309" t="s">
        <v>405</v>
      </c>
      <c r="C3890" s="309" t="s">
        <v>410</v>
      </c>
      <c r="D3890">
        <v>1024</v>
      </c>
    </row>
    <row r="3891" spans="1:4" x14ac:dyDescent="0.25">
      <c r="A3891" s="279">
        <v>39137</v>
      </c>
      <c r="B3891" s="309" t="s">
        <v>411</v>
      </c>
      <c r="C3891" s="309" t="s">
        <v>406</v>
      </c>
      <c r="D3891">
        <v>202403</v>
      </c>
    </row>
    <row r="3892" spans="1:4" x14ac:dyDescent="0.25">
      <c r="A3892" s="279">
        <v>39137</v>
      </c>
      <c r="B3892" s="309" t="s">
        <v>411</v>
      </c>
      <c r="C3892" s="309" t="s">
        <v>198</v>
      </c>
      <c r="D3892">
        <v>0</v>
      </c>
    </row>
    <row r="3893" spans="1:4" x14ac:dyDescent="0.25">
      <c r="A3893" s="279">
        <v>39137</v>
      </c>
      <c r="B3893" s="309" t="s">
        <v>411</v>
      </c>
      <c r="C3893" s="309" t="s">
        <v>199</v>
      </c>
      <c r="D3893">
        <v>0</v>
      </c>
    </row>
    <row r="3894" spans="1:4" x14ac:dyDescent="0.25">
      <c r="A3894" s="279">
        <v>39137</v>
      </c>
      <c r="B3894" s="309" t="s">
        <v>411</v>
      </c>
      <c r="C3894" s="309" t="s">
        <v>90</v>
      </c>
      <c r="D3894">
        <v>277</v>
      </c>
    </row>
    <row r="3895" spans="1:4" x14ac:dyDescent="0.25">
      <c r="A3895" s="279">
        <v>39137</v>
      </c>
      <c r="B3895" s="309" t="s">
        <v>411</v>
      </c>
      <c r="C3895" s="309" t="s">
        <v>24</v>
      </c>
      <c r="D3895">
        <v>0</v>
      </c>
    </row>
    <row r="3896" spans="1:4" x14ac:dyDescent="0.25">
      <c r="A3896" s="279">
        <v>39137</v>
      </c>
      <c r="B3896" s="309" t="s">
        <v>411</v>
      </c>
      <c r="C3896" s="309" t="s">
        <v>91</v>
      </c>
      <c r="D3896">
        <v>0</v>
      </c>
    </row>
    <row r="3897" spans="1:4" x14ac:dyDescent="0.25">
      <c r="A3897" s="279">
        <v>39137</v>
      </c>
      <c r="B3897" s="309" t="s">
        <v>411</v>
      </c>
      <c r="C3897" s="309" t="s">
        <v>118</v>
      </c>
      <c r="D3897">
        <v>0</v>
      </c>
    </row>
    <row r="3898" spans="1:4" x14ac:dyDescent="0.25">
      <c r="A3898" s="279">
        <v>39137</v>
      </c>
      <c r="B3898" s="309" t="s">
        <v>411</v>
      </c>
      <c r="C3898" s="309" t="s">
        <v>407</v>
      </c>
      <c r="D3898">
        <v>202126</v>
      </c>
    </row>
    <row r="3899" spans="1:4" x14ac:dyDescent="0.25">
      <c r="A3899" s="279">
        <v>39137</v>
      </c>
      <c r="B3899" s="309" t="s">
        <v>411</v>
      </c>
      <c r="C3899" s="309" t="s">
        <v>412</v>
      </c>
      <c r="D3899">
        <v>1007</v>
      </c>
    </row>
    <row r="3900" spans="1:4" x14ac:dyDescent="0.25">
      <c r="A3900" s="279">
        <v>39137</v>
      </c>
      <c r="B3900" s="309" t="s">
        <v>411</v>
      </c>
      <c r="C3900" s="309" t="s">
        <v>409</v>
      </c>
      <c r="D3900">
        <v>1049</v>
      </c>
    </row>
    <row r="3901" spans="1:4" x14ac:dyDescent="0.25">
      <c r="A3901" s="279">
        <v>39138</v>
      </c>
      <c r="B3901" s="309" t="s">
        <v>405</v>
      </c>
      <c r="C3901" s="309" t="s">
        <v>406</v>
      </c>
      <c r="D3901">
        <v>2728767.1</v>
      </c>
    </row>
    <row r="3902" spans="1:4" x14ac:dyDescent="0.25">
      <c r="A3902" s="279">
        <v>39138</v>
      </c>
      <c r="B3902" s="309" t="s">
        <v>405</v>
      </c>
      <c r="C3902" s="309" t="s">
        <v>89</v>
      </c>
      <c r="D3902">
        <v>0</v>
      </c>
    </row>
    <row r="3903" spans="1:4" x14ac:dyDescent="0.25">
      <c r="A3903" s="279">
        <v>39138</v>
      </c>
      <c r="B3903" s="309" t="s">
        <v>405</v>
      </c>
      <c r="C3903" s="309" t="s">
        <v>198</v>
      </c>
      <c r="D3903">
        <v>0</v>
      </c>
    </row>
    <row r="3904" spans="1:4" x14ac:dyDescent="0.25">
      <c r="A3904" s="279">
        <v>39138</v>
      </c>
      <c r="B3904" s="309" t="s">
        <v>405</v>
      </c>
      <c r="C3904" s="309" t="s">
        <v>199</v>
      </c>
      <c r="D3904">
        <v>0</v>
      </c>
    </row>
    <row r="3905" spans="1:4" x14ac:dyDescent="0.25">
      <c r="A3905" s="279">
        <v>39138</v>
      </c>
      <c r="B3905" s="309" t="s">
        <v>405</v>
      </c>
      <c r="C3905" s="309" t="s">
        <v>90</v>
      </c>
      <c r="D3905">
        <v>3434</v>
      </c>
    </row>
    <row r="3906" spans="1:4" x14ac:dyDescent="0.25">
      <c r="A3906" s="279">
        <v>39138</v>
      </c>
      <c r="B3906" s="309" t="s">
        <v>405</v>
      </c>
      <c r="C3906" s="309" t="s">
        <v>24</v>
      </c>
      <c r="D3906">
        <v>568</v>
      </c>
    </row>
    <row r="3907" spans="1:4" x14ac:dyDescent="0.25">
      <c r="A3907" s="279">
        <v>39138</v>
      </c>
      <c r="B3907" s="309" t="s">
        <v>405</v>
      </c>
      <c r="C3907" s="309" t="s">
        <v>91</v>
      </c>
      <c r="D3907">
        <v>0</v>
      </c>
    </row>
    <row r="3908" spans="1:4" x14ac:dyDescent="0.25">
      <c r="A3908" s="279">
        <v>39138</v>
      </c>
      <c r="B3908" s="309" t="s">
        <v>405</v>
      </c>
      <c r="C3908" s="309" t="s">
        <v>118</v>
      </c>
      <c r="D3908">
        <v>0</v>
      </c>
    </row>
    <row r="3909" spans="1:4" x14ac:dyDescent="0.25">
      <c r="A3909" s="279">
        <v>39138</v>
      </c>
      <c r="B3909" s="309" t="s">
        <v>405</v>
      </c>
      <c r="C3909" s="309" t="s">
        <v>407</v>
      </c>
      <c r="D3909">
        <v>2724765.1</v>
      </c>
    </row>
    <row r="3910" spans="1:4" x14ac:dyDescent="0.25">
      <c r="A3910" s="279">
        <v>39138</v>
      </c>
      <c r="B3910" s="309" t="s">
        <v>405</v>
      </c>
      <c r="C3910" s="309" t="s">
        <v>408</v>
      </c>
      <c r="D3910">
        <v>1007</v>
      </c>
    </row>
    <row r="3911" spans="1:4" x14ac:dyDescent="0.25">
      <c r="A3911" s="279">
        <v>39138</v>
      </c>
      <c r="B3911" s="309" t="s">
        <v>405</v>
      </c>
      <c r="C3911" s="309" t="s">
        <v>409</v>
      </c>
      <c r="D3911">
        <v>1058</v>
      </c>
    </row>
    <row r="3912" spans="1:4" x14ac:dyDescent="0.25">
      <c r="A3912" s="279">
        <v>39138</v>
      </c>
      <c r="B3912" s="309" t="s">
        <v>405</v>
      </c>
      <c r="C3912" s="309" t="s">
        <v>410</v>
      </c>
      <c r="D3912">
        <v>1024</v>
      </c>
    </row>
    <row r="3913" spans="1:4" x14ac:dyDescent="0.25">
      <c r="A3913" s="279">
        <v>39138</v>
      </c>
      <c r="B3913" s="309" t="s">
        <v>411</v>
      </c>
      <c r="C3913" s="309" t="s">
        <v>406</v>
      </c>
      <c r="D3913">
        <v>202126</v>
      </c>
    </row>
    <row r="3914" spans="1:4" x14ac:dyDescent="0.25">
      <c r="A3914" s="279">
        <v>39138</v>
      </c>
      <c r="B3914" s="309" t="s">
        <v>411</v>
      </c>
      <c r="C3914" s="309" t="s">
        <v>198</v>
      </c>
      <c r="D3914">
        <v>0</v>
      </c>
    </row>
    <row r="3915" spans="1:4" x14ac:dyDescent="0.25">
      <c r="A3915" s="279">
        <v>39138</v>
      </c>
      <c r="B3915" s="309" t="s">
        <v>411</v>
      </c>
      <c r="C3915" s="309" t="s">
        <v>199</v>
      </c>
      <c r="D3915">
        <v>0</v>
      </c>
    </row>
    <row r="3916" spans="1:4" x14ac:dyDescent="0.25">
      <c r="A3916" s="279">
        <v>39138</v>
      </c>
      <c r="B3916" s="309" t="s">
        <v>411</v>
      </c>
      <c r="C3916" s="309" t="s">
        <v>90</v>
      </c>
      <c r="D3916">
        <v>62</v>
      </c>
    </row>
    <row r="3917" spans="1:4" x14ac:dyDescent="0.25">
      <c r="A3917" s="279">
        <v>39138</v>
      </c>
      <c r="B3917" s="309" t="s">
        <v>411</v>
      </c>
      <c r="C3917" s="309" t="s">
        <v>24</v>
      </c>
      <c r="D3917">
        <v>0</v>
      </c>
    </row>
    <row r="3918" spans="1:4" x14ac:dyDescent="0.25">
      <c r="A3918" s="279">
        <v>39138</v>
      </c>
      <c r="B3918" s="309" t="s">
        <v>411</v>
      </c>
      <c r="C3918" s="309" t="s">
        <v>91</v>
      </c>
      <c r="D3918">
        <v>0</v>
      </c>
    </row>
    <row r="3919" spans="1:4" x14ac:dyDescent="0.25">
      <c r="A3919" s="279">
        <v>39138</v>
      </c>
      <c r="B3919" s="309" t="s">
        <v>411</v>
      </c>
      <c r="C3919" s="309" t="s">
        <v>118</v>
      </c>
      <c r="D3919">
        <v>0</v>
      </c>
    </row>
    <row r="3920" spans="1:4" x14ac:dyDescent="0.25">
      <c r="A3920" s="279">
        <v>39138</v>
      </c>
      <c r="B3920" s="309" t="s">
        <v>411</v>
      </c>
      <c r="C3920" s="309" t="s">
        <v>407</v>
      </c>
      <c r="D3920">
        <v>202064</v>
      </c>
    </row>
    <row r="3921" spans="1:4" x14ac:dyDescent="0.25">
      <c r="A3921" s="279">
        <v>39138</v>
      </c>
      <c r="B3921" s="309" t="s">
        <v>411</v>
      </c>
      <c r="C3921" s="309" t="s">
        <v>412</v>
      </c>
      <c r="D3921">
        <v>1007</v>
      </c>
    </row>
    <row r="3922" spans="1:4" x14ac:dyDescent="0.25">
      <c r="A3922" s="279">
        <v>39138</v>
      </c>
      <c r="B3922" s="309" t="s">
        <v>411</v>
      </c>
      <c r="C3922" s="309" t="s">
        <v>409</v>
      </c>
      <c r="D3922">
        <v>1049</v>
      </c>
    </row>
    <row r="3923" spans="1:4" x14ac:dyDescent="0.25">
      <c r="A3923" s="279">
        <v>39139</v>
      </c>
      <c r="B3923" s="309" t="s">
        <v>405</v>
      </c>
      <c r="C3923" s="309" t="s">
        <v>406</v>
      </c>
      <c r="D3923">
        <v>2724765.1</v>
      </c>
    </row>
    <row r="3924" spans="1:4" x14ac:dyDescent="0.25">
      <c r="A3924" s="279">
        <v>39139</v>
      </c>
      <c r="B3924" s="309" t="s">
        <v>405</v>
      </c>
      <c r="C3924" s="309" t="s">
        <v>89</v>
      </c>
      <c r="D3924">
        <v>0</v>
      </c>
    </row>
    <row r="3925" spans="1:4" x14ac:dyDescent="0.25">
      <c r="A3925" s="279">
        <v>39139</v>
      </c>
      <c r="B3925" s="309" t="s">
        <v>405</v>
      </c>
      <c r="C3925" s="309" t="s">
        <v>198</v>
      </c>
      <c r="D3925">
        <v>0</v>
      </c>
    </row>
    <row r="3926" spans="1:4" x14ac:dyDescent="0.25">
      <c r="A3926" s="279">
        <v>39139</v>
      </c>
      <c r="B3926" s="309" t="s">
        <v>405</v>
      </c>
      <c r="C3926" s="309" t="s">
        <v>199</v>
      </c>
      <c r="D3926">
        <v>0</v>
      </c>
    </row>
    <row r="3927" spans="1:4" x14ac:dyDescent="0.25">
      <c r="A3927" s="279">
        <v>39139</v>
      </c>
      <c r="B3927" s="309" t="s">
        <v>405</v>
      </c>
      <c r="C3927" s="309" t="s">
        <v>90</v>
      </c>
      <c r="D3927">
        <v>2667</v>
      </c>
    </row>
    <row r="3928" spans="1:4" x14ac:dyDescent="0.25">
      <c r="A3928" s="279">
        <v>39139</v>
      </c>
      <c r="B3928" s="309" t="s">
        <v>405</v>
      </c>
      <c r="C3928" s="309" t="s">
        <v>24</v>
      </c>
      <c r="D3928">
        <v>0</v>
      </c>
    </row>
    <row r="3929" spans="1:4" x14ac:dyDescent="0.25">
      <c r="A3929" s="279">
        <v>39139</v>
      </c>
      <c r="B3929" s="309" t="s">
        <v>405</v>
      </c>
      <c r="C3929" s="309" t="s">
        <v>91</v>
      </c>
      <c r="D3929">
        <v>0</v>
      </c>
    </row>
    <row r="3930" spans="1:4" x14ac:dyDescent="0.25">
      <c r="A3930" s="279">
        <v>39139</v>
      </c>
      <c r="B3930" s="309" t="s">
        <v>405</v>
      </c>
      <c r="C3930" s="309" t="s">
        <v>118</v>
      </c>
      <c r="D3930">
        <v>0</v>
      </c>
    </row>
    <row r="3931" spans="1:4" x14ac:dyDescent="0.25">
      <c r="A3931" s="279">
        <v>39139</v>
      </c>
      <c r="B3931" s="309" t="s">
        <v>405</v>
      </c>
      <c r="C3931" s="309" t="s">
        <v>407</v>
      </c>
      <c r="D3931">
        <v>2722098.1</v>
      </c>
    </row>
    <row r="3932" spans="1:4" x14ac:dyDescent="0.25">
      <c r="A3932" s="279">
        <v>39139</v>
      </c>
      <c r="B3932" s="309" t="s">
        <v>405</v>
      </c>
      <c r="C3932" s="309" t="s">
        <v>408</v>
      </c>
      <c r="D3932">
        <v>1007</v>
      </c>
    </row>
    <row r="3933" spans="1:4" x14ac:dyDescent="0.25">
      <c r="A3933" s="279">
        <v>39139</v>
      </c>
      <c r="B3933" s="309" t="s">
        <v>405</v>
      </c>
      <c r="C3933" s="309" t="s">
        <v>409</v>
      </c>
      <c r="D3933">
        <v>1058</v>
      </c>
    </row>
    <row r="3934" spans="1:4" x14ac:dyDescent="0.25">
      <c r="A3934" s="279">
        <v>39139</v>
      </c>
      <c r="B3934" s="309" t="s">
        <v>405</v>
      </c>
      <c r="C3934" s="309" t="s">
        <v>410</v>
      </c>
      <c r="D3934">
        <v>1032</v>
      </c>
    </row>
    <row r="3935" spans="1:4" x14ac:dyDescent="0.25">
      <c r="A3935" s="279">
        <v>39139</v>
      </c>
      <c r="B3935" s="309" t="s">
        <v>411</v>
      </c>
      <c r="C3935" s="309" t="s">
        <v>406</v>
      </c>
      <c r="D3935">
        <v>202064</v>
      </c>
    </row>
    <row r="3936" spans="1:4" x14ac:dyDescent="0.25">
      <c r="A3936" s="279">
        <v>39139</v>
      </c>
      <c r="B3936" s="309" t="s">
        <v>411</v>
      </c>
      <c r="C3936" s="309" t="s">
        <v>198</v>
      </c>
      <c r="D3936">
        <v>0</v>
      </c>
    </row>
    <row r="3937" spans="1:4" x14ac:dyDescent="0.25">
      <c r="A3937" s="279">
        <v>39139</v>
      </c>
      <c r="B3937" s="309" t="s">
        <v>411</v>
      </c>
      <c r="C3937" s="309" t="s">
        <v>199</v>
      </c>
      <c r="D3937">
        <v>0</v>
      </c>
    </row>
    <row r="3938" spans="1:4" x14ac:dyDescent="0.25">
      <c r="A3938" s="279">
        <v>39139</v>
      </c>
      <c r="B3938" s="309" t="s">
        <v>411</v>
      </c>
      <c r="C3938" s="309" t="s">
        <v>90</v>
      </c>
      <c r="D3938">
        <v>71</v>
      </c>
    </row>
    <row r="3939" spans="1:4" x14ac:dyDescent="0.25">
      <c r="A3939" s="279">
        <v>39139</v>
      </c>
      <c r="B3939" s="309" t="s">
        <v>411</v>
      </c>
      <c r="C3939" s="309" t="s">
        <v>24</v>
      </c>
      <c r="D3939">
        <v>0</v>
      </c>
    </row>
    <row r="3940" spans="1:4" x14ac:dyDescent="0.25">
      <c r="A3940" s="279">
        <v>39139</v>
      </c>
      <c r="B3940" s="309" t="s">
        <v>411</v>
      </c>
      <c r="C3940" s="309" t="s">
        <v>91</v>
      </c>
      <c r="D3940">
        <v>0</v>
      </c>
    </row>
    <row r="3941" spans="1:4" x14ac:dyDescent="0.25">
      <c r="A3941" s="279">
        <v>39139</v>
      </c>
      <c r="B3941" s="309" t="s">
        <v>411</v>
      </c>
      <c r="C3941" s="309" t="s">
        <v>118</v>
      </c>
      <c r="D3941">
        <v>0</v>
      </c>
    </row>
    <row r="3942" spans="1:4" x14ac:dyDescent="0.25">
      <c r="A3942" s="279">
        <v>39139</v>
      </c>
      <c r="B3942" s="309" t="s">
        <v>411</v>
      </c>
      <c r="C3942" s="309" t="s">
        <v>407</v>
      </c>
      <c r="D3942">
        <v>201993</v>
      </c>
    </row>
    <row r="3943" spans="1:4" x14ac:dyDescent="0.25">
      <c r="A3943" s="279">
        <v>39139</v>
      </c>
      <c r="B3943" s="309" t="s">
        <v>411</v>
      </c>
      <c r="C3943" s="309" t="s">
        <v>412</v>
      </c>
      <c r="D3943">
        <v>1007</v>
      </c>
    </row>
    <row r="3944" spans="1:4" x14ac:dyDescent="0.25">
      <c r="A3944" s="279">
        <v>39139</v>
      </c>
      <c r="B3944" s="309" t="s">
        <v>411</v>
      </c>
      <c r="C3944" s="309" t="s">
        <v>409</v>
      </c>
      <c r="D3944">
        <v>1049</v>
      </c>
    </row>
    <row r="3945" spans="1:4" x14ac:dyDescent="0.25">
      <c r="A3945" s="279">
        <v>39140</v>
      </c>
      <c r="B3945" s="309" t="s">
        <v>405</v>
      </c>
      <c r="C3945" s="309" t="s">
        <v>406</v>
      </c>
      <c r="D3945">
        <v>2722098.1</v>
      </c>
    </row>
    <row r="3946" spans="1:4" x14ac:dyDescent="0.25">
      <c r="A3946" s="279">
        <v>39140</v>
      </c>
      <c r="B3946" s="309" t="s">
        <v>405</v>
      </c>
      <c r="C3946" s="309" t="s">
        <v>89</v>
      </c>
      <c r="D3946">
        <v>0</v>
      </c>
    </row>
    <row r="3947" spans="1:4" x14ac:dyDescent="0.25">
      <c r="A3947" s="279">
        <v>39140</v>
      </c>
      <c r="B3947" s="309" t="s">
        <v>405</v>
      </c>
      <c r="C3947" s="309" t="s">
        <v>198</v>
      </c>
      <c r="D3947">
        <v>0</v>
      </c>
    </row>
    <row r="3948" spans="1:4" x14ac:dyDescent="0.25">
      <c r="A3948" s="279">
        <v>39140</v>
      </c>
      <c r="B3948" s="309" t="s">
        <v>405</v>
      </c>
      <c r="C3948" s="309" t="s">
        <v>199</v>
      </c>
      <c r="D3948">
        <v>0</v>
      </c>
    </row>
    <row r="3949" spans="1:4" x14ac:dyDescent="0.25">
      <c r="A3949" s="279">
        <v>39140</v>
      </c>
      <c r="B3949" s="309" t="s">
        <v>405</v>
      </c>
      <c r="C3949" s="309" t="s">
        <v>90</v>
      </c>
      <c r="D3949">
        <v>1603</v>
      </c>
    </row>
    <row r="3950" spans="1:4" x14ac:dyDescent="0.25">
      <c r="A3950" s="279">
        <v>39140</v>
      </c>
      <c r="B3950" s="309" t="s">
        <v>405</v>
      </c>
      <c r="C3950" s="309" t="s">
        <v>24</v>
      </c>
      <c r="D3950">
        <v>0</v>
      </c>
    </row>
    <row r="3951" spans="1:4" x14ac:dyDescent="0.25">
      <c r="A3951" s="279">
        <v>39140</v>
      </c>
      <c r="B3951" s="309" t="s">
        <v>405</v>
      </c>
      <c r="C3951" s="309" t="s">
        <v>91</v>
      </c>
      <c r="D3951">
        <v>0</v>
      </c>
    </row>
    <row r="3952" spans="1:4" x14ac:dyDescent="0.25">
      <c r="A3952" s="279">
        <v>39140</v>
      </c>
      <c r="B3952" s="309" t="s">
        <v>405</v>
      </c>
      <c r="C3952" s="309" t="s">
        <v>118</v>
      </c>
      <c r="D3952">
        <v>0</v>
      </c>
    </row>
    <row r="3953" spans="1:4" x14ac:dyDescent="0.25">
      <c r="A3953" s="279">
        <v>39140</v>
      </c>
      <c r="B3953" s="309" t="s">
        <v>405</v>
      </c>
      <c r="C3953" s="309" t="s">
        <v>407</v>
      </c>
      <c r="D3953">
        <v>2720495.1</v>
      </c>
    </row>
    <row r="3954" spans="1:4" x14ac:dyDescent="0.25">
      <c r="A3954" s="279">
        <v>39140</v>
      </c>
      <c r="B3954" s="309" t="s">
        <v>405</v>
      </c>
      <c r="C3954" s="309" t="s">
        <v>408</v>
      </c>
      <c r="D3954">
        <v>1007</v>
      </c>
    </row>
    <row r="3955" spans="1:4" x14ac:dyDescent="0.25">
      <c r="A3955" s="279">
        <v>39140</v>
      </c>
      <c r="B3955" s="309" t="s">
        <v>405</v>
      </c>
      <c r="C3955" s="309" t="s">
        <v>409</v>
      </c>
      <c r="D3955">
        <v>1058</v>
      </c>
    </row>
    <row r="3956" spans="1:4" x14ac:dyDescent="0.25">
      <c r="A3956" s="279">
        <v>39140</v>
      </c>
      <c r="B3956" s="309" t="s">
        <v>405</v>
      </c>
      <c r="C3956" s="309" t="s">
        <v>410</v>
      </c>
      <c r="D3956">
        <v>1032</v>
      </c>
    </row>
    <row r="3957" spans="1:4" x14ac:dyDescent="0.25">
      <c r="A3957" s="279">
        <v>39140</v>
      </c>
      <c r="B3957" s="309" t="s">
        <v>411</v>
      </c>
      <c r="C3957" s="309" t="s">
        <v>406</v>
      </c>
      <c r="D3957">
        <v>201993</v>
      </c>
    </row>
    <row r="3958" spans="1:4" x14ac:dyDescent="0.25">
      <c r="A3958" s="279">
        <v>39140</v>
      </c>
      <c r="B3958" s="309" t="s">
        <v>411</v>
      </c>
      <c r="C3958" s="309" t="s">
        <v>198</v>
      </c>
      <c r="D3958">
        <v>0</v>
      </c>
    </row>
    <row r="3959" spans="1:4" x14ac:dyDescent="0.25">
      <c r="A3959" s="279">
        <v>39140</v>
      </c>
      <c r="B3959" s="309" t="s">
        <v>411</v>
      </c>
      <c r="C3959" s="309" t="s">
        <v>199</v>
      </c>
      <c r="D3959">
        <v>0</v>
      </c>
    </row>
    <row r="3960" spans="1:4" x14ac:dyDescent="0.25">
      <c r="A3960" s="279">
        <v>39140</v>
      </c>
      <c r="B3960" s="309" t="s">
        <v>411</v>
      </c>
      <c r="C3960" s="309" t="s">
        <v>90</v>
      </c>
      <c r="D3960">
        <v>143</v>
      </c>
    </row>
    <row r="3961" spans="1:4" x14ac:dyDescent="0.25">
      <c r="A3961" s="279">
        <v>39140</v>
      </c>
      <c r="B3961" s="309" t="s">
        <v>411</v>
      </c>
      <c r="C3961" s="309" t="s">
        <v>24</v>
      </c>
      <c r="D3961">
        <v>0</v>
      </c>
    </row>
    <row r="3962" spans="1:4" x14ac:dyDescent="0.25">
      <c r="A3962" s="279">
        <v>39140</v>
      </c>
      <c r="B3962" s="309" t="s">
        <v>411</v>
      </c>
      <c r="C3962" s="309" t="s">
        <v>91</v>
      </c>
      <c r="D3962">
        <v>0</v>
      </c>
    </row>
    <row r="3963" spans="1:4" x14ac:dyDescent="0.25">
      <c r="A3963" s="279">
        <v>39140</v>
      </c>
      <c r="B3963" s="309" t="s">
        <v>411</v>
      </c>
      <c r="C3963" s="309" t="s">
        <v>118</v>
      </c>
      <c r="D3963">
        <v>0</v>
      </c>
    </row>
    <row r="3964" spans="1:4" x14ac:dyDescent="0.25">
      <c r="A3964" s="279">
        <v>39140</v>
      </c>
      <c r="B3964" s="309" t="s">
        <v>411</v>
      </c>
      <c r="C3964" s="309" t="s">
        <v>407</v>
      </c>
      <c r="D3964">
        <v>201850</v>
      </c>
    </row>
    <row r="3965" spans="1:4" x14ac:dyDescent="0.25">
      <c r="A3965" s="279">
        <v>39140</v>
      </c>
      <c r="B3965" s="309" t="s">
        <v>411</v>
      </c>
      <c r="C3965" s="309" t="s">
        <v>412</v>
      </c>
      <c r="D3965">
        <v>1007</v>
      </c>
    </row>
    <row r="3966" spans="1:4" x14ac:dyDescent="0.25">
      <c r="A3966" s="279">
        <v>39140</v>
      </c>
      <c r="B3966" s="309" t="s">
        <v>411</v>
      </c>
      <c r="C3966" s="309" t="s">
        <v>409</v>
      </c>
      <c r="D3966">
        <v>1049</v>
      </c>
    </row>
    <row r="3967" spans="1:4" x14ac:dyDescent="0.25">
      <c r="A3967" s="279">
        <v>39141</v>
      </c>
      <c r="B3967" s="309" t="s">
        <v>405</v>
      </c>
      <c r="C3967" s="309" t="s">
        <v>406</v>
      </c>
      <c r="D3967">
        <v>2720495.1</v>
      </c>
    </row>
    <row r="3968" spans="1:4" x14ac:dyDescent="0.25">
      <c r="A3968" s="279">
        <v>39141</v>
      </c>
      <c r="B3968" s="309" t="s">
        <v>405</v>
      </c>
      <c r="C3968" s="309" t="s">
        <v>89</v>
      </c>
      <c r="D3968">
        <v>0</v>
      </c>
    </row>
    <row r="3969" spans="1:4" x14ac:dyDescent="0.25">
      <c r="A3969" s="279">
        <v>39141</v>
      </c>
      <c r="B3969" s="309" t="s">
        <v>405</v>
      </c>
      <c r="C3969" s="309" t="s">
        <v>198</v>
      </c>
      <c r="D3969">
        <v>0</v>
      </c>
    </row>
    <row r="3970" spans="1:4" x14ac:dyDescent="0.25">
      <c r="A3970" s="279">
        <v>39141</v>
      </c>
      <c r="B3970" s="309" t="s">
        <v>405</v>
      </c>
      <c r="C3970" s="309" t="s">
        <v>199</v>
      </c>
      <c r="D3970">
        <v>0</v>
      </c>
    </row>
    <row r="3971" spans="1:4" x14ac:dyDescent="0.25">
      <c r="A3971" s="279">
        <v>39141</v>
      </c>
      <c r="B3971" s="309" t="s">
        <v>405</v>
      </c>
      <c r="C3971" s="309" t="s">
        <v>90</v>
      </c>
      <c r="D3971">
        <v>1866</v>
      </c>
    </row>
    <row r="3972" spans="1:4" x14ac:dyDescent="0.25">
      <c r="A3972" s="279">
        <v>39141</v>
      </c>
      <c r="B3972" s="309" t="s">
        <v>405</v>
      </c>
      <c r="C3972" s="309" t="s">
        <v>24</v>
      </c>
      <c r="D3972">
        <v>0</v>
      </c>
    </row>
    <row r="3973" spans="1:4" x14ac:dyDescent="0.25">
      <c r="A3973" s="279">
        <v>39141</v>
      </c>
      <c r="B3973" s="309" t="s">
        <v>405</v>
      </c>
      <c r="C3973" s="309" t="s">
        <v>91</v>
      </c>
      <c r="D3973">
        <v>0</v>
      </c>
    </row>
    <row r="3974" spans="1:4" x14ac:dyDescent="0.25">
      <c r="A3974" s="279">
        <v>39141</v>
      </c>
      <c r="B3974" s="309" t="s">
        <v>405</v>
      </c>
      <c r="C3974" s="309" t="s">
        <v>118</v>
      </c>
      <c r="D3974">
        <v>0</v>
      </c>
    </row>
    <row r="3975" spans="1:4" x14ac:dyDescent="0.25">
      <c r="A3975" s="279">
        <v>39141</v>
      </c>
      <c r="B3975" s="309" t="s">
        <v>405</v>
      </c>
      <c r="C3975" s="309" t="s">
        <v>407</v>
      </c>
      <c r="D3975">
        <v>2718629.1</v>
      </c>
    </row>
    <row r="3976" spans="1:4" x14ac:dyDescent="0.25">
      <c r="A3976" s="279">
        <v>39141</v>
      </c>
      <c r="B3976" s="309" t="s">
        <v>405</v>
      </c>
      <c r="C3976" s="309" t="s">
        <v>408</v>
      </c>
      <c r="D3976">
        <v>1007</v>
      </c>
    </row>
    <row r="3977" spans="1:4" x14ac:dyDescent="0.25">
      <c r="A3977" s="279">
        <v>39141</v>
      </c>
      <c r="B3977" s="309" t="s">
        <v>405</v>
      </c>
      <c r="C3977" s="309" t="s">
        <v>409</v>
      </c>
      <c r="D3977">
        <v>1058</v>
      </c>
    </row>
    <row r="3978" spans="1:4" x14ac:dyDescent="0.25">
      <c r="A3978" s="279">
        <v>39141</v>
      </c>
      <c r="B3978" s="309" t="s">
        <v>405</v>
      </c>
      <c r="C3978" s="309" t="s">
        <v>410</v>
      </c>
      <c r="D3978">
        <v>1033</v>
      </c>
    </row>
    <row r="3979" spans="1:4" x14ac:dyDescent="0.25">
      <c r="A3979" s="279">
        <v>39141</v>
      </c>
      <c r="B3979" s="309" t="s">
        <v>411</v>
      </c>
      <c r="C3979" s="309" t="s">
        <v>406</v>
      </c>
      <c r="D3979">
        <v>201850</v>
      </c>
    </row>
    <row r="3980" spans="1:4" x14ac:dyDescent="0.25">
      <c r="A3980" s="279">
        <v>39141</v>
      </c>
      <c r="B3980" s="309" t="s">
        <v>411</v>
      </c>
      <c r="C3980" s="309" t="s">
        <v>198</v>
      </c>
      <c r="D3980">
        <v>0</v>
      </c>
    </row>
    <row r="3981" spans="1:4" x14ac:dyDescent="0.25">
      <c r="A3981" s="279">
        <v>39141</v>
      </c>
      <c r="B3981" s="309" t="s">
        <v>411</v>
      </c>
      <c r="C3981" s="309" t="s">
        <v>199</v>
      </c>
      <c r="D3981">
        <v>0</v>
      </c>
    </row>
    <row r="3982" spans="1:4" x14ac:dyDescent="0.25">
      <c r="A3982" s="279">
        <v>39141</v>
      </c>
      <c r="B3982" s="309" t="s">
        <v>411</v>
      </c>
      <c r="C3982" s="309" t="s">
        <v>90</v>
      </c>
      <c r="D3982">
        <v>70</v>
      </c>
    </row>
    <row r="3983" spans="1:4" x14ac:dyDescent="0.25">
      <c r="A3983" s="279">
        <v>39141</v>
      </c>
      <c r="B3983" s="309" t="s">
        <v>411</v>
      </c>
      <c r="C3983" s="309" t="s">
        <v>24</v>
      </c>
      <c r="D3983">
        <v>0</v>
      </c>
    </row>
    <row r="3984" spans="1:4" x14ac:dyDescent="0.25">
      <c r="A3984" s="279">
        <v>39141</v>
      </c>
      <c r="B3984" s="309" t="s">
        <v>411</v>
      </c>
      <c r="C3984" s="309" t="s">
        <v>91</v>
      </c>
      <c r="D3984">
        <v>0</v>
      </c>
    </row>
    <row r="3985" spans="1:4" x14ac:dyDescent="0.25">
      <c r="A3985" s="279">
        <v>39141</v>
      </c>
      <c r="B3985" s="309" t="s">
        <v>411</v>
      </c>
      <c r="C3985" s="309" t="s">
        <v>118</v>
      </c>
      <c r="D3985">
        <v>0</v>
      </c>
    </row>
    <row r="3986" spans="1:4" x14ac:dyDescent="0.25">
      <c r="A3986" s="279">
        <v>39141</v>
      </c>
      <c r="B3986" s="309" t="s">
        <v>411</v>
      </c>
      <c r="C3986" s="309" t="s">
        <v>407</v>
      </c>
      <c r="D3986">
        <v>201780</v>
      </c>
    </row>
    <row r="3987" spans="1:4" x14ac:dyDescent="0.25">
      <c r="A3987" s="279">
        <v>39141</v>
      </c>
      <c r="B3987" s="309" t="s">
        <v>411</v>
      </c>
      <c r="C3987" s="309" t="s">
        <v>412</v>
      </c>
      <c r="D3987">
        <v>1007</v>
      </c>
    </row>
    <row r="3988" spans="1:4" x14ac:dyDescent="0.25">
      <c r="A3988" s="279">
        <v>39141</v>
      </c>
      <c r="B3988" s="309" t="s">
        <v>411</v>
      </c>
      <c r="C3988" s="309" t="s">
        <v>409</v>
      </c>
      <c r="D3988">
        <v>1049</v>
      </c>
    </row>
    <row r="3989" spans="1:4" x14ac:dyDescent="0.25">
      <c r="A3989" s="279">
        <v>39142</v>
      </c>
      <c r="B3989" s="309" t="s">
        <v>405</v>
      </c>
      <c r="C3989" s="309" t="s">
        <v>406</v>
      </c>
      <c r="D3989">
        <v>2718629.1</v>
      </c>
    </row>
    <row r="3990" spans="1:4" x14ac:dyDescent="0.25">
      <c r="A3990" s="279">
        <v>39142</v>
      </c>
      <c r="B3990" s="309" t="s">
        <v>405</v>
      </c>
      <c r="C3990" s="309" t="s">
        <v>89</v>
      </c>
      <c r="D3990">
        <v>0</v>
      </c>
    </row>
    <row r="3991" spans="1:4" x14ac:dyDescent="0.25">
      <c r="A3991" s="279">
        <v>39142</v>
      </c>
      <c r="B3991" s="309" t="s">
        <v>405</v>
      </c>
      <c r="C3991" s="309" t="s">
        <v>198</v>
      </c>
      <c r="D3991">
        <v>0</v>
      </c>
    </row>
    <row r="3992" spans="1:4" x14ac:dyDescent="0.25">
      <c r="A3992" s="279">
        <v>39142</v>
      </c>
      <c r="B3992" s="309" t="s">
        <v>405</v>
      </c>
      <c r="C3992" s="309" t="s">
        <v>199</v>
      </c>
      <c r="D3992">
        <v>0</v>
      </c>
    </row>
    <row r="3993" spans="1:4" x14ac:dyDescent="0.25">
      <c r="A3993" s="279">
        <v>39142</v>
      </c>
      <c r="B3993" s="309" t="s">
        <v>405</v>
      </c>
      <c r="C3993" s="309" t="s">
        <v>90</v>
      </c>
      <c r="D3993">
        <v>4535</v>
      </c>
    </row>
    <row r="3994" spans="1:4" x14ac:dyDescent="0.25">
      <c r="A3994" s="279">
        <v>39142</v>
      </c>
      <c r="B3994" s="309" t="s">
        <v>405</v>
      </c>
      <c r="C3994" s="309" t="s">
        <v>24</v>
      </c>
      <c r="D3994">
        <v>0</v>
      </c>
    </row>
    <row r="3995" spans="1:4" x14ac:dyDescent="0.25">
      <c r="A3995" s="279">
        <v>39142</v>
      </c>
      <c r="B3995" s="309" t="s">
        <v>405</v>
      </c>
      <c r="C3995" s="309" t="s">
        <v>91</v>
      </c>
      <c r="D3995">
        <v>0</v>
      </c>
    </row>
    <row r="3996" spans="1:4" x14ac:dyDescent="0.25">
      <c r="A3996" s="279">
        <v>39142</v>
      </c>
      <c r="B3996" s="309" t="s">
        <v>405</v>
      </c>
      <c r="C3996" s="309" t="s">
        <v>118</v>
      </c>
      <c r="D3996">
        <v>0</v>
      </c>
    </row>
    <row r="3997" spans="1:4" x14ac:dyDescent="0.25">
      <c r="A3997" s="279">
        <v>39142</v>
      </c>
      <c r="B3997" s="309" t="s">
        <v>405</v>
      </c>
      <c r="C3997" s="309" t="s">
        <v>407</v>
      </c>
      <c r="D3997">
        <v>2714094.1</v>
      </c>
    </row>
    <row r="3998" spans="1:4" x14ac:dyDescent="0.25">
      <c r="A3998" s="279">
        <v>39142</v>
      </c>
      <c r="B3998" s="309" t="s">
        <v>405</v>
      </c>
      <c r="C3998" s="309" t="s">
        <v>408</v>
      </c>
      <c r="D3998">
        <v>1007</v>
      </c>
    </row>
    <row r="3999" spans="1:4" x14ac:dyDescent="0.25">
      <c r="A3999" s="279">
        <v>39142</v>
      </c>
      <c r="B3999" s="309" t="s">
        <v>405</v>
      </c>
      <c r="C3999" s="309" t="s">
        <v>409</v>
      </c>
      <c r="D3999">
        <v>1058</v>
      </c>
    </row>
    <row r="4000" spans="1:4" x14ac:dyDescent="0.25">
      <c r="A4000" s="279">
        <v>39142</v>
      </c>
      <c r="B4000" s="309" t="s">
        <v>405</v>
      </c>
      <c r="C4000" s="309" t="s">
        <v>410</v>
      </c>
      <c r="D4000">
        <v>1032</v>
      </c>
    </row>
    <row r="4001" spans="1:4" x14ac:dyDescent="0.25">
      <c r="A4001" s="279">
        <v>39142</v>
      </c>
      <c r="B4001" s="309" t="s">
        <v>411</v>
      </c>
      <c r="C4001" s="309" t="s">
        <v>406</v>
      </c>
      <c r="D4001">
        <v>201780</v>
      </c>
    </row>
    <row r="4002" spans="1:4" x14ac:dyDescent="0.25">
      <c r="A4002" s="279">
        <v>39142</v>
      </c>
      <c r="B4002" s="309" t="s">
        <v>411</v>
      </c>
      <c r="C4002" s="309" t="s">
        <v>198</v>
      </c>
      <c r="D4002">
        <v>0</v>
      </c>
    </row>
    <row r="4003" spans="1:4" x14ac:dyDescent="0.25">
      <c r="A4003" s="279">
        <v>39142</v>
      </c>
      <c r="B4003" s="309" t="s">
        <v>411</v>
      </c>
      <c r="C4003" s="309" t="s">
        <v>199</v>
      </c>
      <c r="D4003">
        <v>0</v>
      </c>
    </row>
    <row r="4004" spans="1:4" x14ac:dyDescent="0.25">
      <c r="A4004" s="279">
        <v>39142</v>
      </c>
      <c r="B4004" s="309" t="s">
        <v>411</v>
      </c>
      <c r="C4004" s="309" t="s">
        <v>90</v>
      </c>
      <c r="D4004">
        <v>207</v>
      </c>
    </row>
    <row r="4005" spans="1:4" x14ac:dyDescent="0.25">
      <c r="A4005" s="279">
        <v>39142</v>
      </c>
      <c r="B4005" s="309" t="s">
        <v>411</v>
      </c>
      <c r="C4005" s="309" t="s">
        <v>24</v>
      </c>
      <c r="D4005">
        <v>0</v>
      </c>
    </row>
    <row r="4006" spans="1:4" x14ac:dyDescent="0.25">
      <c r="A4006" s="279">
        <v>39142</v>
      </c>
      <c r="B4006" s="309" t="s">
        <v>411</v>
      </c>
      <c r="C4006" s="309" t="s">
        <v>91</v>
      </c>
      <c r="D4006">
        <v>0</v>
      </c>
    </row>
    <row r="4007" spans="1:4" x14ac:dyDescent="0.25">
      <c r="A4007" s="279">
        <v>39142</v>
      </c>
      <c r="B4007" s="309" t="s">
        <v>411</v>
      </c>
      <c r="C4007" s="309" t="s">
        <v>118</v>
      </c>
      <c r="D4007">
        <v>0</v>
      </c>
    </row>
    <row r="4008" spans="1:4" x14ac:dyDescent="0.25">
      <c r="A4008" s="279">
        <v>39142</v>
      </c>
      <c r="B4008" s="309" t="s">
        <v>411</v>
      </c>
      <c r="C4008" s="309" t="s">
        <v>407</v>
      </c>
      <c r="D4008">
        <v>201573</v>
      </c>
    </row>
    <row r="4009" spans="1:4" x14ac:dyDescent="0.25">
      <c r="A4009" s="279">
        <v>39142</v>
      </c>
      <c r="B4009" s="309" t="s">
        <v>411</v>
      </c>
      <c r="C4009" s="309" t="s">
        <v>412</v>
      </c>
      <c r="D4009">
        <v>1007</v>
      </c>
    </row>
    <row r="4010" spans="1:4" x14ac:dyDescent="0.25">
      <c r="A4010" s="279">
        <v>39142</v>
      </c>
      <c r="B4010" s="309" t="s">
        <v>411</v>
      </c>
      <c r="C4010" s="309" t="s">
        <v>409</v>
      </c>
      <c r="D4010">
        <v>1049</v>
      </c>
    </row>
    <row r="4011" spans="1:4" x14ac:dyDescent="0.25">
      <c r="A4011" s="279">
        <v>39143</v>
      </c>
      <c r="B4011" s="309" t="s">
        <v>405</v>
      </c>
      <c r="C4011" s="309" t="s">
        <v>406</v>
      </c>
      <c r="D4011">
        <v>2714094.1</v>
      </c>
    </row>
    <row r="4012" spans="1:4" x14ac:dyDescent="0.25">
      <c r="A4012" s="279">
        <v>39143</v>
      </c>
      <c r="B4012" s="309" t="s">
        <v>405</v>
      </c>
      <c r="C4012" s="309" t="s">
        <v>89</v>
      </c>
      <c r="D4012">
        <v>0</v>
      </c>
    </row>
    <row r="4013" spans="1:4" x14ac:dyDescent="0.25">
      <c r="A4013" s="279">
        <v>39143</v>
      </c>
      <c r="B4013" s="309" t="s">
        <v>405</v>
      </c>
      <c r="C4013" s="309" t="s">
        <v>198</v>
      </c>
      <c r="D4013">
        <v>0</v>
      </c>
    </row>
    <row r="4014" spans="1:4" x14ac:dyDescent="0.25">
      <c r="A4014" s="279">
        <v>39143</v>
      </c>
      <c r="B4014" s="309" t="s">
        <v>405</v>
      </c>
      <c r="C4014" s="309" t="s">
        <v>199</v>
      </c>
      <c r="D4014">
        <v>0</v>
      </c>
    </row>
    <row r="4015" spans="1:4" x14ac:dyDescent="0.25">
      <c r="A4015" s="279">
        <v>39143</v>
      </c>
      <c r="B4015" s="309" t="s">
        <v>405</v>
      </c>
      <c r="C4015" s="309" t="s">
        <v>90</v>
      </c>
      <c r="D4015">
        <v>4268</v>
      </c>
    </row>
    <row r="4016" spans="1:4" x14ac:dyDescent="0.25">
      <c r="A4016" s="279">
        <v>39143</v>
      </c>
      <c r="B4016" s="309" t="s">
        <v>405</v>
      </c>
      <c r="C4016" s="309" t="s">
        <v>24</v>
      </c>
      <c r="D4016">
        <v>0</v>
      </c>
    </row>
    <row r="4017" spans="1:4" x14ac:dyDescent="0.25">
      <c r="A4017" s="279">
        <v>39143</v>
      </c>
      <c r="B4017" s="309" t="s">
        <v>405</v>
      </c>
      <c r="C4017" s="309" t="s">
        <v>91</v>
      </c>
      <c r="D4017">
        <v>0</v>
      </c>
    </row>
    <row r="4018" spans="1:4" x14ac:dyDescent="0.25">
      <c r="A4018" s="279">
        <v>39143</v>
      </c>
      <c r="B4018" s="309" t="s">
        <v>405</v>
      </c>
      <c r="C4018" s="309" t="s">
        <v>118</v>
      </c>
      <c r="D4018">
        <v>0</v>
      </c>
    </row>
    <row r="4019" spans="1:4" x14ac:dyDescent="0.25">
      <c r="A4019" s="279">
        <v>39143</v>
      </c>
      <c r="B4019" s="309" t="s">
        <v>405</v>
      </c>
      <c r="C4019" s="309" t="s">
        <v>407</v>
      </c>
      <c r="D4019">
        <v>2709826.1</v>
      </c>
    </row>
    <row r="4020" spans="1:4" x14ac:dyDescent="0.25">
      <c r="A4020" s="279">
        <v>39143</v>
      </c>
      <c r="B4020" s="309" t="s">
        <v>405</v>
      </c>
      <c r="C4020" s="309" t="s">
        <v>408</v>
      </c>
      <c r="D4020">
        <v>1007</v>
      </c>
    </row>
    <row r="4021" spans="1:4" x14ac:dyDescent="0.25">
      <c r="A4021" s="279">
        <v>39143</v>
      </c>
      <c r="B4021" s="309" t="s">
        <v>405</v>
      </c>
      <c r="C4021" s="309" t="s">
        <v>409</v>
      </c>
      <c r="D4021">
        <v>1058</v>
      </c>
    </row>
    <row r="4022" spans="1:4" x14ac:dyDescent="0.25">
      <c r="A4022" s="279">
        <v>39143</v>
      </c>
      <c r="B4022" s="309" t="s">
        <v>405</v>
      </c>
      <c r="C4022" s="309" t="s">
        <v>410</v>
      </c>
      <c r="D4022">
        <v>1033</v>
      </c>
    </row>
    <row r="4023" spans="1:4" x14ac:dyDescent="0.25">
      <c r="A4023" s="279">
        <v>39143</v>
      </c>
      <c r="B4023" s="309" t="s">
        <v>411</v>
      </c>
      <c r="C4023" s="309" t="s">
        <v>406</v>
      </c>
      <c r="D4023">
        <v>201573</v>
      </c>
    </row>
    <row r="4024" spans="1:4" x14ac:dyDescent="0.25">
      <c r="A4024" s="279">
        <v>39143</v>
      </c>
      <c r="B4024" s="309" t="s">
        <v>411</v>
      </c>
      <c r="C4024" s="309" t="s">
        <v>198</v>
      </c>
      <c r="D4024">
        <v>0</v>
      </c>
    </row>
    <row r="4025" spans="1:4" x14ac:dyDescent="0.25">
      <c r="A4025" s="279">
        <v>39143</v>
      </c>
      <c r="B4025" s="309" t="s">
        <v>411</v>
      </c>
      <c r="C4025" s="309" t="s">
        <v>199</v>
      </c>
      <c r="D4025">
        <v>0</v>
      </c>
    </row>
    <row r="4026" spans="1:4" x14ac:dyDescent="0.25">
      <c r="A4026" s="279">
        <v>39143</v>
      </c>
      <c r="B4026" s="309" t="s">
        <v>411</v>
      </c>
      <c r="C4026" s="309" t="s">
        <v>90</v>
      </c>
      <c r="D4026">
        <v>74</v>
      </c>
    </row>
    <row r="4027" spans="1:4" x14ac:dyDescent="0.25">
      <c r="A4027" s="279">
        <v>39143</v>
      </c>
      <c r="B4027" s="309" t="s">
        <v>411</v>
      </c>
      <c r="C4027" s="309" t="s">
        <v>24</v>
      </c>
      <c r="D4027">
        <v>0</v>
      </c>
    </row>
    <row r="4028" spans="1:4" x14ac:dyDescent="0.25">
      <c r="A4028" s="279">
        <v>39143</v>
      </c>
      <c r="B4028" s="309" t="s">
        <v>411</v>
      </c>
      <c r="C4028" s="309" t="s">
        <v>91</v>
      </c>
      <c r="D4028">
        <v>0</v>
      </c>
    </row>
    <row r="4029" spans="1:4" x14ac:dyDescent="0.25">
      <c r="A4029" s="279">
        <v>39143</v>
      </c>
      <c r="B4029" s="309" t="s">
        <v>411</v>
      </c>
      <c r="C4029" s="309" t="s">
        <v>118</v>
      </c>
      <c r="D4029">
        <v>0</v>
      </c>
    </row>
    <row r="4030" spans="1:4" x14ac:dyDescent="0.25">
      <c r="A4030" s="279">
        <v>39143</v>
      </c>
      <c r="B4030" s="309" t="s">
        <v>411</v>
      </c>
      <c r="C4030" s="309" t="s">
        <v>407</v>
      </c>
      <c r="D4030">
        <v>201499</v>
      </c>
    </row>
    <row r="4031" spans="1:4" x14ac:dyDescent="0.25">
      <c r="A4031" s="279">
        <v>39143</v>
      </c>
      <c r="B4031" s="309" t="s">
        <v>411</v>
      </c>
      <c r="C4031" s="309" t="s">
        <v>412</v>
      </c>
      <c r="D4031">
        <v>1007</v>
      </c>
    </row>
    <row r="4032" spans="1:4" x14ac:dyDescent="0.25">
      <c r="A4032" s="279">
        <v>39143</v>
      </c>
      <c r="B4032" s="309" t="s">
        <v>411</v>
      </c>
      <c r="C4032" s="309" t="s">
        <v>409</v>
      </c>
      <c r="D4032">
        <v>1049</v>
      </c>
    </row>
    <row r="4033" spans="1:4" x14ac:dyDescent="0.25">
      <c r="A4033" s="279">
        <v>39144</v>
      </c>
      <c r="B4033" s="309" t="s">
        <v>405</v>
      </c>
      <c r="C4033" s="309" t="s">
        <v>406</v>
      </c>
      <c r="D4033">
        <v>2709826.1</v>
      </c>
    </row>
    <row r="4034" spans="1:4" x14ac:dyDescent="0.25">
      <c r="A4034" s="279">
        <v>39144</v>
      </c>
      <c r="B4034" s="309" t="s">
        <v>405</v>
      </c>
      <c r="C4034" s="309" t="s">
        <v>89</v>
      </c>
      <c r="D4034">
        <v>0</v>
      </c>
    </row>
    <row r="4035" spans="1:4" x14ac:dyDescent="0.25">
      <c r="A4035" s="279">
        <v>39144</v>
      </c>
      <c r="B4035" s="309" t="s">
        <v>405</v>
      </c>
      <c r="C4035" s="309" t="s">
        <v>198</v>
      </c>
      <c r="D4035">
        <v>0</v>
      </c>
    </row>
    <row r="4036" spans="1:4" x14ac:dyDescent="0.25">
      <c r="A4036" s="279">
        <v>39144</v>
      </c>
      <c r="B4036" s="309" t="s">
        <v>405</v>
      </c>
      <c r="C4036" s="309" t="s">
        <v>199</v>
      </c>
      <c r="D4036">
        <v>0</v>
      </c>
    </row>
    <row r="4037" spans="1:4" x14ac:dyDescent="0.25">
      <c r="A4037" s="279">
        <v>39144</v>
      </c>
      <c r="B4037" s="309" t="s">
        <v>405</v>
      </c>
      <c r="C4037" s="309" t="s">
        <v>90</v>
      </c>
      <c r="D4037">
        <v>2667</v>
      </c>
    </row>
    <row r="4038" spans="1:4" x14ac:dyDescent="0.25">
      <c r="A4038" s="279">
        <v>39144</v>
      </c>
      <c r="B4038" s="309" t="s">
        <v>405</v>
      </c>
      <c r="C4038" s="309" t="s">
        <v>24</v>
      </c>
      <c r="D4038">
        <v>0</v>
      </c>
    </row>
    <row r="4039" spans="1:4" x14ac:dyDescent="0.25">
      <c r="A4039" s="279">
        <v>39144</v>
      </c>
      <c r="B4039" s="309" t="s">
        <v>405</v>
      </c>
      <c r="C4039" s="309" t="s">
        <v>91</v>
      </c>
      <c r="D4039">
        <v>0</v>
      </c>
    </row>
    <row r="4040" spans="1:4" x14ac:dyDescent="0.25">
      <c r="A4040" s="279">
        <v>39144</v>
      </c>
      <c r="B4040" s="309" t="s">
        <v>405</v>
      </c>
      <c r="C4040" s="309" t="s">
        <v>118</v>
      </c>
      <c r="D4040">
        <v>0</v>
      </c>
    </row>
    <row r="4041" spans="1:4" x14ac:dyDescent="0.25">
      <c r="A4041" s="279">
        <v>39144</v>
      </c>
      <c r="B4041" s="309" t="s">
        <v>405</v>
      </c>
      <c r="C4041" s="309" t="s">
        <v>407</v>
      </c>
      <c r="D4041">
        <v>2707159.1</v>
      </c>
    </row>
    <row r="4042" spans="1:4" x14ac:dyDescent="0.25">
      <c r="A4042" s="279">
        <v>39144</v>
      </c>
      <c r="B4042" s="309" t="s">
        <v>405</v>
      </c>
      <c r="C4042" s="309" t="s">
        <v>408</v>
      </c>
      <c r="D4042">
        <v>1007</v>
      </c>
    </row>
    <row r="4043" spans="1:4" x14ac:dyDescent="0.25">
      <c r="A4043" s="279">
        <v>39144</v>
      </c>
      <c r="B4043" s="309" t="s">
        <v>405</v>
      </c>
      <c r="C4043" s="309" t="s">
        <v>409</v>
      </c>
      <c r="D4043">
        <v>1058</v>
      </c>
    </row>
    <row r="4044" spans="1:4" x14ac:dyDescent="0.25">
      <c r="A4044" s="279">
        <v>39144</v>
      </c>
      <c r="B4044" s="309" t="s">
        <v>405</v>
      </c>
      <c r="C4044" s="309" t="s">
        <v>410</v>
      </c>
      <c r="D4044">
        <v>1033</v>
      </c>
    </row>
    <row r="4045" spans="1:4" x14ac:dyDescent="0.25">
      <c r="A4045" s="279">
        <v>39144</v>
      </c>
      <c r="B4045" s="309" t="s">
        <v>411</v>
      </c>
      <c r="C4045" s="309" t="s">
        <v>406</v>
      </c>
      <c r="D4045">
        <v>201499</v>
      </c>
    </row>
    <row r="4046" spans="1:4" x14ac:dyDescent="0.25">
      <c r="A4046" s="279">
        <v>39144</v>
      </c>
      <c r="B4046" s="309" t="s">
        <v>411</v>
      </c>
      <c r="C4046" s="309" t="s">
        <v>198</v>
      </c>
      <c r="D4046">
        <v>0</v>
      </c>
    </row>
    <row r="4047" spans="1:4" x14ac:dyDescent="0.25">
      <c r="A4047" s="279">
        <v>39144</v>
      </c>
      <c r="B4047" s="309" t="s">
        <v>411</v>
      </c>
      <c r="C4047" s="309" t="s">
        <v>199</v>
      </c>
      <c r="D4047">
        <v>0</v>
      </c>
    </row>
    <row r="4048" spans="1:4" x14ac:dyDescent="0.25">
      <c r="A4048" s="279">
        <v>39144</v>
      </c>
      <c r="B4048" s="309" t="s">
        <v>411</v>
      </c>
      <c r="C4048" s="309" t="s">
        <v>90</v>
      </c>
      <c r="D4048">
        <v>203</v>
      </c>
    </row>
    <row r="4049" spans="1:4" x14ac:dyDescent="0.25">
      <c r="A4049" s="279">
        <v>39144</v>
      </c>
      <c r="B4049" s="309" t="s">
        <v>411</v>
      </c>
      <c r="C4049" s="309" t="s">
        <v>24</v>
      </c>
      <c r="D4049">
        <v>0</v>
      </c>
    </row>
    <row r="4050" spans="1:4" x14ac:dyDescent="0.25">
      <c r="A4050" s="279">
        <v>39144</v>
      </c>
      <c r="B4050" s="309" t="s">
        <v>411</v>
      </c>
      <c r="C4050" s="309" t="s">
        <v>91</v>
      </c>
      <c r="D4050">
        <v>0</v>
      </c>
    </row>
    <row r="4051" spans="1:4" x14ac:dyDescent="0.25">
      <c r="A4051" s="279">
        <v>39144</v>
      </c>
      <c r="B4051" s="309" t="s">
        <v>411</v>
      </c>
      <c r="C4051" s="309" t="s">
        <v>118</v>
      </c>
      <c r="D4051">
        <v>0</v>
      </c>
    </row>
    <row r="4052" spans="1:4" x14ac:dyDescent="0.25">
      <c r="A4052" s="279">
        <v>39144</v>
      </c>
      <c r="B4052" s="309" t="s">
        <v>411</v>
      </c>
      <c r="C4052" s="309" t="s">
        <v>407</v>
      </c>
      <c r="D4052">
        <v>201296</v>
      </c>
    </row>
    <row r="4053" spans="1:4" x14ac:dyDescent="0.25">
      <c r="A4053" s="279">
        <v>39144</v>
      </c>
      <c r="B4053" s="309" t="s">
        <v>411</v>
      </c>
      <c r="C4053" s="309" t="s">
        <v>412</v>
      </c>
      <c r="D4053">
        <v>1007</v>
      </c>
    </row>
    <row r="4054" spans="1:4" x14ac:dyDescent="0.25">
      <c r="A4054" s="279">
        <v>39144</v>
      </c>
      <c r="B4054" s="309" t="s">
        <v>411</v>
      </c>
      <c r="C4054" s="309" t="s">
        <v>409</v>
      </c>
      <c r="D4054">
        <v>1049</v>
      </c>
    </row>
    <row r="4055" spans="1:4" x14ac:dyDescent="0.25">
      <c r="A4055" s="279">
        <v>39145</v>
      </c>
      <c r="B4055" s="309" t="s">
        <v>405</v>
      </c>
      <c r="C4055" s="309" t="s">
        <v>406</v>
      </c>
      <c r="D4055">
        <v>2707159.1</v>
      </c>
    </row>
    <row r="4056" spans="1:4" x14ac:dyDescent="0.25">
      <c r="A4056" s="279">
        <v>39145</v>
      </c>
      <c r="B4056" s="309" t="s">
        <v>405</v>
      </c>
      <c r="C4056" s="309" t="s">
        <v>89</v>
      </c>
      <c r="D4056">
        <v>0</v>
      </c>
    </row>
    <row r="4057" spans="1:4" x14ac:dyDescent="0.25">
      <c r="A4057" s="279">
        <v>39145</v>
      </c>
      <c r="B4057" s="309" t="s">
        <v>405</v>
      </c>
      <c r="C4057" s="309" t="s">
        <v>198</v>
      </c>
      <c r="D4057">
        <v>0</v>
      </c>
    </row>
    <row r="4058" spans="1:4" x14ac:dyDescent="0.25">
      <c r="A4058" s="279">
        <v>39145</v>
      </c>
      <c r="B4058" s="309" t="s">
        <v>405</v>
      </c>
      <c r="C4058" s="309" t="s">
        <v>199</v>
      </c>
      <c r="D4058">
        <v>0</v>
      </c>
    </row>
    <row r="4059" spans="1:4" x14ac:dyDescent="0.25">
      <c r="A4059" s="279">
        <v>39145</v>
      </c>
      <c r="B4059" s="309" t="s">
        <v>405</v>
      </c>
      <c r="C4059" s="309" t="s">
        <v>90</v>
      </c>
      <c r="D4059">
        <v>1598</v>
      </c>
    </row>
    <row r="4060" spans="1:4" x14ac:dyDescent="0.25">
      <c r="A4060" s="279">
        <v>39145</v>
      </c>
      <c r="B4060" s="309" t="s">
        <v>405</v>
      </c>
      <c r="C4060" s="309" t="s">
        <v>24</v>
      </c>
      <c r="D4060">
        <v>0</v>
      </c>
    </row>
    <row r="4061" spans="1:4" x14ac:dyDescent="0.25">
      <c r="A4061" s="279">
        <v>39145</v>
      </c>
      <c r="B4061" s="309" t="s">
        <v>405</v>
      </c>
      <c r="C4061" s="309" t="s">
        <v>91</v>
      </c>
      <c r="D4061">
        <v>0</v>
      </c>
    </row>
    <row r="4062" spans="1:4" x14ac:dyDescent="0.25">
      <c r="A4062" s="279">
        <v>39145</v>
      </c>
      <c r="B4062" s="309" t="s">
        <v>405</v>
      </c>
      <c r="C4062" s="309" t="s">
        <v>118</v>
      </c>
      <c r="D4062">
        <v>0</v>
      </c>
    </row>
    <row r="4063" spans="1:4" x14ac:dyDescent="0.25">
      <c r="A4063" s="279">
        <v>39145</v>
      </c>
      <c r="B4063" s="309" t="s">
        <v>405</v>
      </c>
      <c r="C4063" s="309" t="s">
        <v>407</v>
      </c>
      <c r="D4063">
        <v>2705561.1</v>
      </c>
    </row>
    <row r="4064" spans="1:4" x14ac:dyDescent="0.25">
      <c r="A4064" s="279">
        <v>39145</v>
      </c>
      <c r="B4064" s="309" t="s">
        <v>405</v>
      </c>
      <c r="C4064" s="309" t="s">
        <v>408</v>
      </c>
      <c r="D4064">
        <v>1007</v>
      </c>
    </row>
    <row r="4065" spans="1:4" x14ac:dyDescent="0.25">
      <c r="A4065" s="279">
        <v>39145</v>
      </c>
      <c r="B4065" s="309" t="s">
        <v>405</v>
      </c>
      <c r="C4065" s="309" t="s">
        <v>409</v>
      </c>
      <c r="D4065">
        <v>1058</v>
      </c>
    </row>
    <row r="4066" spans="1:4" x14ac:dyDescent="0.25">
      <c r="A4066" s="279">
        <v>39145</v>
      </c>
      <c r="B4066" s="309" t="s">
        <v>405</v>
      </c>
      <c r="C4066" s="309" t="s">
        <v>410</v>
      </c>
      <c r="D4066">
        <v>1034</v>
      </c>
    </row>
    <row r="4067" spans="1:4" x14ac:dyDescent="0.25">
      <c r="A4067" s="279">
        <v>39145</v>
      </c>
      <c r="B4067" s="309" t="s">
        <v>411</v>
      </c>
      <c r="C4067" s="309" t="s">
        <v>406</v>
      </c>
      <c r="D4067">
        <v>201296</v>
      </c>
    </row>
    <row r="4068" spans="1:4" x14ac:dyDescent="0.25">
      <c r="A4068" s="279">
        <v>39145</v>
      </c>
      <c r="B4068" s="309" t="s">
        <v>411</v>
      </c>
      <c r="C4068" s="309" t="s">
        <v>198</v>
      </c>
      <c r="D4068">
        <v>0</v>
      </c>
    </row>
    <row r="4069" spans="1:4" x14ac:dyDescent="0.25">
      <c r="A4069" s="279">
        <v>39145</v>
      </c>
      <c r="B4069" s="309" t="s">
        <v>411</v>
      </c>
      <c r="C4069" s="309" t="s">
        <v>199</v>
      </c>
      <c r="D4069">
        <v>0</v>
      </c>
    </row>
    <row r="4070" spans="1:4" x14ac:dyDescent="0.25">
      <c r="A4070" s="279">
        <v>39145</v>
      </c>
      <c r="B4070" s="309" t="s">
        <v>411</v>
      </c>
      <c r="C4070" s="309" t="s">
        <v>90</v>
      </c>
      <c r="D4070">
        <v>71</v>
      </c>
    </row>
    <row r="4071" spans="1:4" x14ac:dyDescent="0.25">
      <c r="A4071" s="279">
        <v>39145</v>
      </c>
      <c r="B4071" s="309" t="s">
        <v>411</v>
      </c>
      <c r="C4071" s="309" t="s">
        <v>24</v>
      </c>
      <c r="D4071">
        <v>0</v>
      </c>
    </row>
    <row r="4072" spans="1:4" x14ac:dyDescent="0.25">
      <c r="A4072" s="279">
        <v>39145</v>
      </c>
      <c r="B4072" s="309" t="s">
        <v>411</v>
      </c>
      <c r="C4072" s="309" t="s">
        <v>91</v>
      </c>
      <c r="D4072">
        <v>0</v>
      </c>
    </row>
    <row r="4073" spans="1:4" x14ac:dyDescent="0.25">
      <c r="A4073" s="279">
        <v>39145</v>
      </c>
      <c r="B4073" s="309" t="s">
        <v>411</v>
      </c>
      <c r="C4073" s="309" t="s">
        <v>118</v>
      </c>
      <c r="D4073">
        <v>0</v>
      </c>
    </row>
    <row r="4074" spans="1:4" x14ac:dyDescent="0.25">
      <c r="A4074" s="279">
        <v>39145</v>
      </c>
      <c r="B4074" s="309" t="s">
        <v>411</v>
      </c>
      <c r="C4074" s="309" t="s">
        <v>407</v>
      </c>
      <c r="D4074">
        <v>201225</v>
      </c>
    </row>
    <row r="4075" spans="1:4" x14ac:dyDescent="0.25">
      <c r="A4075" s="279">
        <v>39145</v>
      </c>
      <c r="B4075" s="309" t="s">
        <v>411</v>
      </c>
      <c r="C4075" s="309" t="s">
        <v>412</v>
      </c>
      <c r="D4075">
        <v>1007</v>
      </c>
    </row>
    <row r="4076" spans="1:4" x14ac:dyDescent="0.25">
      <c r="A4076" s="279">
        <v>39145</v>
      </c>
      <c r="B4076" s="309" t="s">
        <v>411</v>
      </c>
      <c r="C4076" s="309" t="s">
        <v>409</v>
      </c>
      <c r="D4076">
        <v>1049</v>
      </c>
    </row>
    <row r="4077" spans="1:4" x14ac:dyDescent="0.25">
      <c r="A4077" s="279">
        <v>39146</v>
      </c>
      <c r="B4077" s="309" t="s">
        <v>405</v>
      </c>
      <c r="C4077" s="309" t="s">
        <v>406</v>
      </c>
      <c r="D4077">
        <v>2705561.1</v>
      </c>
    </row>
    <row r="4078" spans="1:4" x14ac:dyDescent="0.25">
      <c r="A4078" s="279">
        <v>39146</v>
      </c>
      <c r="B4078" s="309" t="s">
        <v>405</v>
      </c>
      <c r="C4078" s="309" t="s">
        <v>89</v>
      </c>
      <c r="D4078">
        <v>0</v>
      </c>
    </row>
    <row r="4079" spans="1:4" x14ac:dyDescent="0.25">
      <c r="A4079" s="279">
        <v>39146</v>
      </c>
      <c r="B4079" s="309" t="s">
        <v>405</v>
      </c>
      <c r="C4079" s="309" t="s">
        <v>198</v>
      </c>
      <c r="D4079">
        <v>0</v>
      </c>
    </row>
    <row r="4080" spans="1:4" x14ac:dyDescent="0.25">
      <c r="A4080" s="279">
        <v>39146</v>
      </c>
      <c r="B4080" s="309" t="s">
        <v>405</v>
      </c>
      <c r="C4080" s="309" t="s">
        <v>199</v>
      </c>
      <c r="D4080">
        <v>0</v>
      </c>
    </row>
    <row r="4081" spans="1:4" x14ac:dyDescent="0.25">
      <c r="A4081" s="279">
        <v>39146</v>
      </c>
      <c r="B4081" s="309" t="s">
        <v>405</v>
      </c>
      <c r="C4081" s="309" t="s">
        <v>90</v>
      </c>
      <c r="D4081">
        <v>1144</v>
      </c>
    </row>
    <row r="4082" spans="1:4" x14ac:dyDescent="0.25">
      <c r="A4082" s="279">
        <v>39146</v>
      </c>
      <c r="B4082" s="309" t="s">
        <v>405</v>
      </c>
      <c r="C4082" s="309" t="s">
        <v>24</v>
      </c>
      <c r="D4082">
        <v>24479</v>
      </c>
    </row>
    <row r="4083" spans="1:4" x14ac:dyDescent="0.25">
      <c r="A4083" s="279">
        <v>39146</v>
      </c>
      <c r="B4083" s="309" t="s">
        <v>405</v>
      </c>
      <c r="C4083" s="309" t="s">
        <v>91</v>
      </c>
      <c r="D4083">
        <v>0</v>
      </c>
    </row>
    <row r="4084" spans="1:4" x14ac:dyDescent="0.25">
      <c r="A4084" s="279">
        <v>39146</v>
      </c>
      <c r="B4084" s="309" t="s">
        <v>405</v>
      </c>
      <c r="C4084" s="309" t="s">
        <v>118</v>
      </c>
      <c r="D4084">
        <v>0</v>
      </c>
    </row>
    <row r="4085" spans="1:4" x14ac:dyDescent="0.25">
      <c r="A4085" s="279">
        <v>39146</v>
      </c>
      <c r="B4085" s="309" t="s">
        <v>405</v>
      </c>
      <c r="C4085" s="309" t="s">
        <v>407</v>
      </c>
      <c r="D4085">
        <v>2679938.1</v>
      </c>
    </row>
    <row r="4086" spans="1:4" x14ac:dyDescent="0.25">
      <c r="A4086" s="279">
        <v>39146</v>
      </c>
      <c r="B4086" s="309" t="s">
        <v>405</v>
      </c>
      <c r="C4086" s="309" t="s">
        <v>408</v>
      </c>
      <c r="D4086">
        <v>1007</v>
      </c>
    </row>
    <row r="4087" spans="1:4" x14ac:dyDescent="0.25">
      <c r="A4087" s="279">
        <v>39146</v>
      </c>
      <c r="B4087" s="309" t="s">
        <v>405</v>
      </c>
      <c r="C4087" s="309" t="s">
        <v>409</v>
      </c>
      <c r="D4087">
        <v>1058</v>
      </c>
    </row>
    <row r="4088" spans="1:4" x14ac:dyDescent="0.25">
      <c r="A4088" s="279">
        <v>39146</v>
      </c>
      <c r="B4088" s="309" t="s">
        <v>405</v>
      </c>
      <c r="C4088" s="309" t="s">
        <v>410</v>
      </c>
      <c r="D4088">
        <v>1038</v>
      </c>
    </row>
    <row r="4089" spans="1:4" x14ac:dyDescent="0.25">
      <c r="A4089" s="279">
        <v>39146</v>
      </c>
      <c r="B4089" s="309" t="s">
        <v>411</v>
      </c>
      <c r="C4089" s="309" t="s">
        <v>406</v>
      </c>
      <c r="D4089">
        <v>201225</v>
      </c>
    </row>
    <row r="4090" spans="1:4" x14ac:dyDescent="0.25">
      <c r="A4090" s="279">
        <v>39146</v>
      </c>
      <c r="B4090" s="309" t="s">
        <v>411</v>
      </c>
      <c r="C4090" s="309" t="s">
        <v>198</v>
      </c>
      <c r="D4090">
        <v>0</v>
      </c>
    </row>
    <row r="4091" spans="1:4" x14ac:dyDescent="0.25">
      <c r="A4091" s="279">
        <v>39146</v>
      </c>
      <c r="B4091" s="309" t="s">
        <v>411</v>
      </c>
      <c r="C4091" s="309" t="s">
        <v>199</v>
      </c>
      <c r="D4091">
        <v>0</v>
      </c>
    </row>
    <row r="4092" spans="1:4" x14ac:dyDescent="0.25">
      <c r="A4092" s="279">
        <v>39146</v>
      </c>
      <c r="B4092" s="309" t="s">
        <v>411</v>
      </c>
      <c r="C4092" s="309" t="s">
        <v>90</v>
      </c>
      <c r="D4092">
        <v>205</v>
      </c>
    </row>
    <row r="4093" spans="1:4" x14ac:dyDescent="0.25">
      <c r="A4093" s="279">
        <v>39146</v>
      </c>
      <c r="B4093" s="309" t="s">
        <v>411</v>
      </c>
      <c r="C4093" s="309" t="s">
        <v>24</v>
      </c>
      <c r="D4093">
        <v>0</v>
      </c>
    </row>
    <row r="4094" spans="1:4" x14ac:dyDescent="0.25">
      <c r="A4094" s="279">
        <v>39146</v>
      </c>
      <c r="B4094" s="309" t="s">
        <v>411</v>
      </c>
      <c r="C4094" s="309" t="s">
        <v>91</v>
      </c>
      <c r="D4094">
        <v>0</v>
      </c>
    </row>
    <row r="4095" spans="1:4" x14ac:dyDescent="0.25">
      <c r="A4095" s="279">
        <v>39146</v>
      </c>
      <c r="B4095" s="309" t="s">
        <v>411</v>
      </c>
      <c r="C4095" s="309" t="s">
        <v>118</v>
      </c>
      <c r="D4095">
        <v>0</v>
      </c>
    </row>
    <row r="4096" spans="1:4" x14ac:dyDescent="0.25">
      <c r="A4096" s="279">
        <v>39146</v>
      </c>
      <c r="B4096" s="309" t="s">
        <v>411</v>
      </c>
      <c r="C4096" s="309" t="s">
        <v>407</v>
      </c>
      <c r="D4096">
        <v>201020</v>
      </c>
    </row>
    <row r="4097" spans="1:4" x14ac:dyDescent="0.25">
      <c r="A4097" s="279">
        <v>39146</v>
      </c>
      <c r="B4097" s="309" t="s">
        <v>411</v>
      </c>
      <c r="C4097" s="309" t="s">
        <v>412</v>
      </c>
      <c r="D4097">
        <v>1007</v>
      </c>
    </row>
    <row r="4098" spans="1:4" x14ac:dyDescent="0.25">
      <c r="A4098" s="279">
        <v>39146</v>
      </c>
      <c r="B4098" s="309" t="s">
        <v>411</v>
      </c>
      <c r="C4098" s="309" t="s">
        <v>409</v>
      </c>
      <c r="D4098">
        <v>1049</v>
      </c>
    </row>
    <row r="4099" spans="1:4" x14ac:dyDescent="0.25">
      <c r="A4099" s="279">
        <v>39147</v>
      </c>
      <c r="B4099" s="309" t="s">
        <v>405</v>
      </c>
      <c r="C4099" s="309" t="s">
        <v>406</v>
      </c>
      <c r="D4099">
        <v>2679938.1</v>
      </c>
    </row>
    <row r="4100" spans="1:4" x14ac:dyDescent="0.25">
      <c r="A4100" s="279">
        <v>39147</v>
      </c>
      <c r="B4100" s="309" t="s">
        <v>405</v>
      </c>
      <c r="C4100" s="309" t="s">
        <v>89</v>
      </c>
      <c r="D4100">
        <v>0</v>
      </c>
    </row>
    <row r="4101" spans="1:4" x14ac:dyDescent="0.25">
      <c r="A4101" s="279">
        <v>39147</v>
      </c>
      <c r="B4101" s="309" t="s">
        <v>405</v>
      </c>
      <c r="C4101" s="309" t="s">
        <v>198</v>
      </c>
      <c r="D4101">
        <v>0</v>
      </c>
    </row>
    <row r="4102" spans="1:4" x14ac:dyDescent="0.25">
      <c r="A4102" s="279">
        <v>39147</v>
      </c>
      <c r="B4102" s="309" t="s">
        <v>405</v>
      </c>
      <c r="C4102" s="309" t="s">
        <v>199</v>
      </c>
      <c r="D4102">
        <v>0</v>
      </c>
    </row>
    <row r="4103" spans="1:4" x14ac:dyDescent="0.25">
      <c r="A4103" s="279">
        <v>39147</v>
      </c>
      <c r="B4103" s="309" t="s">
        <v>405</v>
      </c>
      <c r="C4103" s="309" t="s">
        <v>90</v>
      </c>
      <c r="D4103">
        <v>1027</v>
      </c>
    </row>
    <row r="4104" spans="1:4" x14ac:dyDescent="0.25">
      <c r="A4104" s="279">
        <v>39147</v>
      </c>
      <c r="B4104" s="309" t="s">
        <v>405</v>
      </c>
      <c r="C4104" s="309" t="s">
        <v>24</v>
      </c>
      <c r="D4104">
        <v>89423</v>
      </c>
    </row>
    <row r="4105" spans="1:4" x14ac:dyDescent="0.25">
      <c r="A4105" s="279">
        <v>39147</v>
      </c>
      <c r="B4105" s="309" t="s">
        <v>405</v>
      </c>
      <c r="C4105" s="309" t="s">
        <v>91</v>
      </c>
      <c r="D4105">
        <v>0</v>
      </c>
    </row>
    <row r="4106" spans="1:4" x14ac:dyDescent="0.25">
      <c r="A4106" s="279">
        <v>39147</v>
      </c>
      <c r="B4106" s="309" t="s">
        <v>405</v>
      </c>
      <c r="C4106" s="309" t="s">
        <v>118</v>
      </c>
      <c r="D4106">
        <v>0</v>
      </c>
    </row>
    <row r="4107" spans="1:4" x14ac:dyDescent="0.25">
      <c r="A4107" s="279">
        <v>39147</v>
      </c>
      <c r="B4107" s="309" t="s">
        <v>405</v>
      </c>
      <c r="C4107" s="309" t="s">
        <v>407</v>
      </c>
      <c r="D4107">
        <v>2589488.1</v>
      </c>
    </row>
    <row r="4108" spans="1:4" x14ac:dyDescent="0.25">
      <c r="A4108" s="279">
        <v>39147</v>
      </c>
      <c r="B4108" s="309" t="s">
        <v>405</v>
      </c>
      <c r="C4108" s="309" t="s">
        <v>408</v>
      </c>
      <c r="D4108">
        <v>1007</v>
      </c>
    </row>
    <row r="4109" spans="1:4" x14ac:dyDescent="0.25">
      <c r="A4109" s="279">
        <v>39147</v>
      </c>
      <c r="B4109" s="309" t="s">
        <v>405</v>
      </c>
      <c r="C4109" s="309" t="s">
        <v>409</v>
      </c>
      <c r="D4109">
        <v>1058</v>
      </c>
    </row>
    <row r="4110" spans="1:4" x14ac:dyDescent="0.25">
      <c r="A4110" s="279">
        <v>39147</v>
      </c>
      <c r="B4110" s="309" t="s">
        <v>405</v>
      </c>
      <c r="C4110" s="309" t="s">
        <v>410</v>
      </c>
      <c r="D4110">
        <v>1042</v>
      </c>
    </row>
    <row r="4111" spans="1:4" x14ac:dyDescent="0.25">
      <c r="A4111" s="279">
        <v>39147</v>
      </c>
      <c r="B4111" s="309" t="s">
        <v>411</v>
      </c>
      <c r="C4111" s="309" t="s">
        <v>406</v>
      </c>
      <c r="D4111">
        <v>201020</v>
      </c>
    </row>
    <row r="4112" spans="1:4" x14ac:dyDescent="0.25">
      <c r="A4112" s="279">
        <v>39147</v>
      </c>
      <c r="B4112" s="309" t="s">
        <v>411</v>
      </c>
      <c r="C4112" s="309" t="s">
        <v>198</v>
      </c>
      <c r="D4112">
        <v>0</v>
      </c>
    </row>
    <row r="4113" spans="1:4" x14ac:dyDescent="0.25">
      <c r="A4113" s="279">
        <v>39147</v>
      </c>
      <c r="B4113" s="309" t="s">
        <v>411</v>
      </c>
      <c r="C4113" s="309" t="s">
        <v>199</v>
      </c>
      <c r="D4113">
        <v>0</v>
      </c>
    </row>
    <row r="4114" spans="1:4" x14ac:dyDescent="0.25">
      <c r="A4114" s="279">
        <v>39147</v>
      </c>
      <c r="B4114" s="309" t="s">
        <v>411</v>
      </c>
      <c r="C4114" s="309" t="s">
        <v>90</v>
      </c>
      <c r="D4114">
        <v>75</v>
      </c>
    </row>
    <row r="4115" spans="1:4" x14ac:dyDescent="0.25">
      <c r="A4115" s="279">
        <v>39147</v>
      </c>
      <c r="B4115" s="309" t="s">
        <v>411</v>
      </c>
      <c r="C4115" s="309" t="s">
        <v>24</v>
      </c>
      <c r="D4115">
        <v>3244</v>
      </c>
    </row>
    <row r="4116" spans="1:4" x14ac:dyDescent="0.25">
      <c r="A4116" s="279">
        <v>39147</v>
      </c>
      <c r="B4116" s="309" t="s">
        <v>411</v>
      </c>
      <c r="C4116" s="309" t="s">
        <v>91</v>
      </c>
      <c r="D4116">
        <v>0</v>
      </c>
    </row>
    <row r="4117" spans="1:4" x14ac:dyDescent="0.25">
      <c r="A4117" s="279">
        <v>39147</v>
      </c>
      <c r="B4117" s="309" t="s">
        <v>411</v>
      </c>
      <c r="C4117" s="309" t="s">
        <v>118</v>
      </c>
      <c r="D4117">
        <v>0</v>
      </c>
    </row>
    <row r="4118" spans="1:4" x14ac:dyDescent="0.25">
      <c r="A4118" s="279">
        <v>39147</v>
      </c>
      <c r="B4118" s="309" t="s">
        <v>411</v>
      </c>
      <c r="C4118" s="309" t="s">
        <v>407</v>
      </c>
      <c r="D4118">
        <v>197701</v>
      </c>
    </row>
    <row r="4119" spans="1:4" x14ac:dyDescent="0.25">
      <c r="A4119" s="279">
        <v>39147</v>
      </c>
      <c r="B4119" s="309" t="s">
        <v>411</v>
      </c>
      <c r="C4119" s="309" t="s">
        <v>412</v>
      </c>
      <c r="D4119">
        <v>1007</v>
      </c>
    </row>
    <row r="4120" spans="1:4" x14ac:dyDescent="0.25">
      <c r="A4120" s="279">
        <v>39147</v>
      </c>
      <c r="B4120" s="309" t="s">
        <v>411</v>
      </c>
      <c r="C4120" s="309" t="s">
        <v>409</v>
      </c>
      <c r="D4120">
        <v>1049</v>
      </c>
    </row>
    <row r="4121" spans="1:4" x14ac:dyDescent="0.25">
      <c r="A4121" s="279">
        <v>39148</v>
      </c>
      <c r="B4121" s="309" t="s">
        <v>405</v>
      </c>
      <c r="C4121" s="309" t="s">
        <v>406</v>
      </c>
      <c r="D4121">
        <v>2589488.1</v>
      </c>
    </row>
    <row r="4122" spans="1:4" x14ac:dyDescent="0.25">
      <c r="A4122" s="279">
        <v>39148</v>
      </c>
      <c r="B4122" s="309" t="s">
        <v>405</v>
      </c>
      <c r="C4122" s="309" t="s">
        <v>89</v>
      </c>
      <c r="D4122">
        <v>0</v>
      </c>
    </row>
    <row r="4123" spans="1:4" x14ac:dyDescent="0.25">
      <c r="A4123" s="279">
        <v>39148</v>
      </c>
      <c r="B4123" s="309" t="s">
        <v>405</v>
      </c>
      <c r="C4123" s="309" t="s">
        <v>198</v>
      </c>
      <c r="D4123">
        <v>0</v>
      </c>
    </row>
    <row r="4124" spans="1:4" x14ac:dyDescent="0.25">
      <c r="A4124" s="279">
        <v>39148</v>
      </c>
      <c r="B4124" s="309" t="s">
        <v>405</v>
      </c>
      <c r="C4124" s="309" t="s">
        <v>199</v>
      </c>
      <c r="D4124">
        <v>0</v>
      </c>
    </row>
    <row r="4125" spans="1:4" x14ac:dyDescent="0.25">
      <c r="A4125" s="279">
        <v>39148</v>
      </c>
      <c r="B4125" s="309" t="s">
        <v>405</v>
      </c>
      <c r="C4125" s="309" t="s">
        <v>90</v>
      </c>
      <c r="D4125">
        <v>1244</v>
      </c>
    </row>
    <row r="4126" spans="1:4" x14ac:dyDescent="0.25">
      <c r="A4126" s="279">
        <v>39148</v>
      </c>
      <c r="B4126" s="309" t="s">
        <v>405</v>
      </c>
      <c r="C4126" s="309" t="s">
        <v>24</v>
      </c>
      <c r="D4126">
        <v>74740</v>
      </c>
    </row>
    <row r="4127" spans="1:4" x14ac:dyDescent="0.25">
      <c r="A4127" s="279">
        <v>39148</v>
      </c>
      <c r="B4127" s="309" t="s">
        <v>405</v>
      </c>
      <c r="C4127" s="309" t="s">
        <v>91</v>
      </c>
      <c r="D4127">
        <v>0</v>
      </c>
    </row>
    <row r="4128" spans="1:4" x14ac:dyDescent="0.25">
      <c r="A4128" s="279">
        <v>39148</v>
      </c>
      <c r="B4128" s="309" t="s">
        <v>405</v>
      </c>
      <c r="C4128" s="309" t="s">
        <v>118</v>
      </c>
      <c r="D4128">
        <v>0</v>
      </c>
    </row>
    <row r="4129" spans="1:4" x14ac:dyDescent="0.25">
      <c r="A4129" s="279">
        <v>39148</v>
      </c>
      <c r="B4129" s="309" t="s">
        <v>405</v>
      </c>
      <c r="C4129" s="309" t="s">
        <v>407</v>
      </c>
      <c r="D4129">
        <v>2513504.1</v>
      </c>
    </row>
    <row r="4130" spans="1:4" x14ac:dyDescent="0.25">
      <c r="A4130" s="279">
        <v>39148</v>
      </c>
      <c r="B4130" s="309" t="s">
        <v>405</v>
      </c>
      <c r="C4130" s="309" t="s">
        <v>408</v>
      </c>
      <c r="D4130">
        <v>1007</v>
      </c>
    </row>
    <row r="4131" spans="1:4" x14ac:dyDescent="0.25">
      <c r="A4131" s="279">
        <v>39148</v>
      </c>
      <c r="B4131" s="309" t="s">
        <v>405</v>
      </c>
      <c r="C4131" s="309" t="s">
        <v>409</v>
      </c>
      <c r="D4131">
        <v>1058</v>
      </c>
    </row>
    <row r="4132" spans="1:4" x14ac:dyDescent="0.25">
      <c r="A4132" s="279">
        <v>39148</v>
      </c>
      <c r="B4132" s="309" t="s">
        <v>405</v>
      </c>
      <c r="C4132" s="309" t="s">
        <v>410</v>
      </c>
      <c r="D4132">
        <v>1039</v>
      </c>
    </row>
    <row r="4133" spans="1:4" x14ac:dyDescent="0.25">
      <c r="A4133" s="279">
        <v>39148</v>
      </c>
      <c r="B4133" s="309" t="s">
        <v>411</v>
      </c>
      <c r="C4133" s="309" t="s">
        <v>406</v>
      </c>
      <c r="D4133">
        <v>197701</v>
      </c>
    </row>
    <row r="4134" spans="1:4" x14ac:dyDescent="0.25">
      <c r="A4134" s="279">
        <v>39148</v>
      </c>
      <c r="B4134" s="309" t="s">
        <v>411</v>
      </c>
      <c r="C4134" s="309" t="s">
        <v>198</v>
      </c>
      <c r="D4134">
        <v>0</v>
      </c>
    </row>
    <row r="4135" spans="1:4" x14ac:dyDescent="0.25">
      <c r="A4135" s="279">
        <v>39148</v>
      </c>
      <c r="B4135" s="309" t="s">
        <v>411</v>
      </c>
      <c r="C4135" s="309" t="s">
        <v>199</v>
      </c>
      <c r="D4135">
        <v>0</v>
      </c>
    </row>
    <row r="4136" spans="1:4" x14ac:dyDescent="0.25">
      <c r="A4136" s="279">
        <v>39148</v>
      </c>
      <c r="B4136" s="309" t="s">
        <v>411</v>
      </c>
      <c r="C4136" s="309" t="s">
        <v>90</v>
      </c>
      <c r="D4136">
        <v>85</v>
      </c>
    </row>
    <row r="4137" spans="1:4" x14ac:dyDescent="0.25">
      <c r="A4137" s="279">
        <v>39148</v>
      </c>
      <c r="B4137" s="309" t="s">
        <v>411</v>
      </c>
      <c r="C4137" s="309" t="s">
        <v>24</v>
      </c>
      <c r="D4137">
        <v>1573</v>
      </c>
    </row>
    <row r="4138" spans="1:4" x14ac:dyDescent="0.25">
      <c r="A4138" s="279">
        <v>39148</v>
      </c>
      <c r="B4138" s="309" t="s">
        <v>411</v>
      </c>
      <c r="C4138" s="309" t="s">
        <v>91</v>
      </c>
      <c r="D4138">
        <v>0</v>
      </c>
    </row>
    <row r="4139" spans="1:4" x14ac:dyDescent="0.25">
      <c r="A4139" s="279">
        <v>39148</v>
      </c>
      <c r="B4139" s="309" t="s">
        <v>411</v>
      </c>
      <c r="C4139" s="309" t="s">
        <v>118</v>
      </c>
      <c r="D4139">
        <v>0</v>
      </c>
    </row>
    <row r="4140" spans="1:4" x14ac:dyDescent="0.25">
      <c r="A4140" s="279">
        <v>39148</v>
      </c>
      <c r="B4140" s="309" t="s">
        <v>411</v>
      </c>
      <c r="C4140" s="309" t="s">
        <v>407</v>
      </c>
      <c r="D4140">
        <v>196043</v>
      </c>
    </row>
    <row r="4141" spans="1:4" x14ac:dyDescent="0.25">
      <c r="A4141" s="279">
        <v>39148</v>
      </c>
      <c r="B4141" s="309" t="s">
        <v>411</v>
      </c>
      <c r="C4141" s="309" t="s">
        <v>412</v>
      </c>
      <c r="D4141">
        <v>1007</v>
      </c>
    </row>
    <row r="4142" spans="1:4" x14ac:dyDescent="0.25">
      <c r="A4142" s="279">
        <v>39148</v>
      </c>
      <c r="B4142" s="309" t="s">
        <v>411</v>
      </c>
      <c r="C4142" s="309" t="s">
        <v>409</v>
      </c>
      <c r="D4142">
        <v>1049</v>
      </c>
    </row>
    <row r="4143" spans="1:4" x14ac:dyDescent="0.25">
      <c r="A4143" s="279">
        <v>39149</v>
      </c>
      <c r="B4143" s="309" t="s">
        <v>405</v>
      </c>
      <c r="C4143" s="309" t="s">
        <v>406</v>
      </c>
      <c r="D4143">
        <v>2513504.1</v>
      </c>
    </row>
    <row r="4144" spans="1:4" x14ac:dyDescent="0.25">
      <c r="A4144" s="279">
        <v>39149</v>
      </c>
      <c r="B4144" s="309" t="s">
        <v>405</v>
      </c>
      <c r="C4144" s="309" t="s">
        <v>89</v>
      </c>
      <c r="D4144">
        <v>0</v>
      </c>
    </row>
    <row r="4145" spans="1:4" x14ac:dyDescent="0.25">
      <c r="A4145" s="279">
        <v>39149</v>
      </c>
      <c r="B4145" s="309" t="s">
        <v>405</v>
      </c>
      <c r="C4145" s="309" t="s">
        <v>198</v>
      </c>
      <c r="D4145">
        <v>0</v>
      </c>
    </row>
    <row r="4146" spans="1:4" x14ac:dyDescent="0.25">
      <c r="A4146" s="279">
        <v>39149</v>
      </c>
      <c r="B4146" s="309" t="s">
        <v>405</v>
      </c>
      <c r="C4146" s="309" t="s">
        <v>199</v>
      </c>
      <c r="D4146">
        <v>0</v>
      </c>
    </row>
    <row r="4147" spans="1:4" x14ac:dyDescent="0.25">
      <c r="A4147" s="279">
        <v>39149</v>
      </c>
      <c r="B4147" s="309" t="s">
        <v>405</v>
      </c>
      <c r="C4147" s="309" t="s">
        <v>90</v>
      </c>
      <c r="D4147">
        <v>4903</v>
      </c>
    </row>
    <row r="4148" spans="1:4" x14ac:dyDescent="0.25">
      <c r="A4148" s="279">
        <v>39149</v>
      </c>
      <c r="B4148" s="309" t="s">
        <v>405</v>
      </c>
      <c r="C4148" s="309" t="s">
        <v>24</v>
      </c>
      <c r="D4148">
        <v>19652</v>
      </c>
    </row>
    <row r="4149" spans="1:4" x14ac:dyDescent="0.25">
      <c r="A4149" s="279">
        <v>39149</v>
      </c>
      <c r="B4149" s="309" t="s">
        <v>405</v>
      </c>
      <c r="C4149" s="309" t="s">
        <v>91</v>
      </c>
      <c r="D4149">
        <v>0</v>
      </c>
    </row>
    <row r="4150" spans="1:4" x14ac:dyDescent="0.25">
      <c r="A4150" s="279">
        <v>39149</v>
      </c>
      <c r="B4150" s="309" t="s">
        <v>405</v>
      </c>
      <c r="C4150" s="309" t="s">
        <v>118</v>
      </c>
      <c r="D4150">
        <v>0</v>
      </c>
    </row>
    <row r="4151" spans="1:4" x14ac:dyDescent="0.25">
      <c r="A4151" s="279">
        <v>39149</v>
      </c>
      <c r="B4151" s="309" t="s">
        <v>405</v>
      </c>
      <c r="C4151" s="309" t="s">
        <v>407</v>
      </c>
      <c r="D4151">
        <v>2488949.1</v>
      </c>
    </row>
    <row r="4152" spans="1:4" x14ac:dyDescent="0.25">
      <c r="A4152" s="279">
        <v>39149</v>
      </c>
      <c r="B4152" s="309" t="s">
        <v>405</v>
      </c>
      <c r="C4152" s="309" t="s">
        <v>408</v>
      </c>
      <c r="D4152">
        <v>1007</v>
      </c>
    </row>
    <row r="4153" spans="1:4" x14ac:dyDescent="0.25">
      <c r="A4153" s="279">
        <v>39149</v>
      </c>
      <c r="B4153" s="309" t="s">
        <v>405</v>
      </c>
      <c r="C4153" s="309" t="s">
        <v>409</v>
      </c>
      <c r="D4153">
        <v>1058</v>
      </c>
    </row>
    <row r="4154" spans="1:4" x14ac:dyDescent="0.25">
      <c r="A4154" s="279">
        <v>39149</v>
      </c>
      <c r="B4154" s="309" t="s">
        <v>405</v>
      </c>
      <c r="C4154" s="309" t="s">
        <v>410</v>
      </c>
      <c r="D4154">
        <v>1041</v>
      </c>
    </row>
    <row r="4155" spans="1:4" x14ac:dyDescent="0.25">
      <c r="A4155" s="279">
        <v>39149</v>
      </c>
      <c r="B4155" s="309" t="s">
        <v>411</v>
      </c>
      <c r="C4155" s="309" t="s">
        <v>406</v>
      </c>
      <c r="D4155">
        <v>196043</v>
      </c>
    </row>
    <row r="4156" spans="1:4" x14ac:dyDescent="0.25">
      <c r="A4156" s="279">
        <v>39149</v>
      </c>
      <c r="B4156" s="309" t="s">
        <v>411</v>
      </c>
      <c r="C4156" s="309" t="s">
        <v>198</v>
      </c>
      <c r="D4156">
        <v>0</v>
      </c>
    </row>
    <row r="4157" spans="1:4" x14ac:dyDescent="0.25">
      <c r="A4157" s="279">
        <v>39149</v>
      </c>
      <c r="B4157" s="309" t="s">
        <v>411</v>
      </c>
      <c r="C4157" s="309" t="s">
        <v>199</v>
      </c>
      <c r="D4157">
        <v>0</v>
      </c>
    </row>
    <row r="4158" spans="1:4" x14ac:dyDescent="0.25">
      <c r="A4158" s="279">
        <v>39149</v>
      </c>
      <c r="B4158" s="309" t="s">
        <v>411</v>
      </c>
      <c r="C4158" s="309" t="s">
        <v>90</v>
      </c>
      <c r="D4158">
        <v>552</v>
      </c>
    </row>
    <row r="4159" spans="1:4" x14ac:dyDescent="0.25">
      <c r="A4159" s="279">
        <v>39149</v>
      </c>
      <c r="B4159" s="309" t="s">
        <v>411</v>
      </c>
      <c r="C4159" s="309" t="s">
        <v>24</v>
      </c>
      <c r="D4159">
        <v>0</v>
      </c>
    </row>
    <row r="4160" spans="1:4" x14ac:dyDescent="0.25">
      <c r="A4160" s="279">
        <v>39149</v>
      </c>
      <c r="B4160" s="309" t="s">
        <v>411</v>
      </c>
      <c r="C4160" s="309" t="s">
        <v>91</v>
      </c>
      <c r="D4160">
        <v>0</v>
      </c>
    </row>
    <row r="4161" spans="1:4" x14ac:dyDescent="0.25">
      <c r="A4161" s="279">
        <v>39149</v>
      </c>
      <c r="B4161" s="309" t="s">
        <v>411</v>
      </c>
      <c r="C4161" s="309" t="s">
        <v>118</v>
      </c>
      <c r="D4161">
        <v>0</v>
      </c>
    </row>
    <row r="4162" spans="1:4" x14ac:dyDescent="0.25">
      <c r="A4162" s="279">
        <v>39149</v>
      </c>
      <c r="B4162" s="309" t="s">
        <v>411</v>
      </c>
      <c r="C4162" s="309" t="s">
        <v>407</v>
      </c>
      <c r="D4162">
        <v>195491</v>
      </c>
    </row>
    <row r="4163" spans="1:4" x14ac:dyDescent="0.25">
      <c r="A4163" s="279">
        <v>39149</v>
      </c>
      <c r="B4163" s="309" t="s">
        <v>411</v>
      </c>
      <c r="C4163" s="309" t="s">
        <v>412</v>
      </c>
      <c r="D4163">
        <v>1007</v>
      </c>
    </row>
    <row r="4164" spans="1:4" x14ac:dyDescent="0.25">
      <c r="A4164" s="279">
        <v>39149</v>
      </c>
      <c r="B4164" s="309" t="s">
        <v>411</v>
      </c>
      <c r="C4164" s="309" t="s">
        <v>409</v>
      </c>
      <c r="D4164">
        <v>1049</v>
      </c>
    </row>
    <row r="4165" spans="1:4" x14ac:dyDescent="0.25">
      <c r="A4165" s="279">
        <v>39150</v>
      </c>
      <c r="B4165" s="309" t="s">
        <v>405</v>
      </c>
      <c r="C4165" s="309" t="s">
        <v>406</v>
      </c>
      <c r="D4165">
        <v>2488949.1</v>
      </c>
    </row>
    <row r="4166" spans="1:4" x14ac:dyDescent="0.25">
      <c r="A4166" s="279">
        <v>39150</v>
      </c>
      <c r="B4166" s="309" t="s">
        <v>405</v>
      </c>
      <c r="C4166" s="309" t="s">
        <v>89</v>
      </c>
      <c r="D4166">
        <v>0</v>
      </c>
    </row>
    <row r="4167" spans="1:4" x14ac:dyDescent="0.25">
      <c r="A4167" s="279">
        <v>39150</v>
      </c>
      <c r="B4167" s="309" t="s">
        <v>405</v>
      </c>
      <c r="C4167" s="309" t="s">
        <v>198</v>
      </c>
      <c r="D4167">
        <v>0</v>
      </c>
    </row>
    <row r="4168" spans="1:4" x14ac:dyDescent="0.25">
      <c r="A4168" s="279">
        <v>39150</v>
      </c>
      <c r="B4168" s="309" t="s">
        <v>405</v>
      </c>
      <c r="C4168" s="309" t="s">
        <v>199</v>
      </c>
      <c r="D4168">
        <v>0</v>
      </c>
    </row>
    <row r="4169" spans="1:4" x14ac:dyDescent="0.25">
      <c r="A4169" s="279">
        <v>39150</v>
      </c>
      <c r="B4169" s="309" t="s">
        <v>405</v>
      </c>
      <c r="C4169" s="309" t="s">
        <v>90</v>
      </c>
      <c r="D4169">
        <v>2004</v>
      </c>
    </row>
    <row r="4170" spans="1:4" x14ac:dyDescent="0.25">
      <c r="A4170" s="279">
        <v>39150</v>
      </c>
      <c r="B4170" s="309" t="s">
        <v>405</v>
      </c>
      <c r="C4170" s="309" t="s">
        <v>24</v>
      </c>
      <c r="D4170">
        <v>1465</v>
      </c>
    </row>
    <row r="4171" spans="1:4" x14ac:dyDescent="0.25">
      <c r="A4171" s="279">
        <v>39150</v>
      </c>
      <c r="B4171" s="309" t="s">
        <v>405</v>
      </c>
      <c r="C4171" s="309" t="s">
        <v>91</v>
      </c>
      <c r="D4171">
        <v>0</v>
      </c>
    </row>
    <row r="4172" spans="1:4" x14ac:dyDescent="0.25">
      <c r="A4172" s="279">
        <v>39150</v>
      </c>
      <c r="B4172" s="309" t="s">
        <v>405</v>
      </c>
      <c r="C4172" s="309" t="s">
        <v>118</v>
      </c>
      <c r="D4172">
        <v>0</v>
      </c>
    </row>
    <row r="4173" spans="1:4" x14ac:dyDescent="0.25">
      <c r="A4173" s="279">
        <v>39150</v>
      </c>
      <c r="B4173" s="309" t="s">
        <v>405</v>
      </c>
      <c r="C4173" s="309" t="s">
        <v>407</v>
      </c>
      <c r="D4173">
        <v>2485480.1</v>
      </c>
    </row>
    <row r="4174" spans="1:4" x14ac:dyDescent="0.25">
      <c r="A4174" s="279">
        <v>39150</v>
      </c>
      <c r="B4174" s="309" t="s">
        <v>405</v>
      </c>
      <c r="C4174" s="309" t="s">
        <v>408</v>
      </c>
      <c r="D4174">
        <v>1007</v>
      </c>
    </row>
    <row r="4175" spans="1:4" x14ac:dyDescent="0.25">
      <c r="A4175" s="279">
        <v>39150</v>
      </c>
      <c r="B4175" s="309" t="s">
        <v>405</v>
      </c>
      <c r="C4175" s="309" t="s">
        <v>409</v>
      </c>
      <c r="D4175">
        <v>1058</v>
      </c>
    </row>
    <row r="4176" spans="1:4" x14ac:dyDescent="0.25">
      <c r="A4176" s="279">
        <v>39150</v>
      </c>
      <c r="B4176" s="309" t="s">
        <v>405</v>
      </c>
      <c r="C4176" s="309" t="s">
        <v>410</v>
      </c>
      <c r="D4176">
        <v>1036</v>
      </c>
    </row>
    <row r="4177" spans="1:4" x14ac:dyDescent="0.25">
      <c r="A4177" s="279">
        <v>39150</v>
      </c>
      <c r="B4177" s="309" t="s">
        <v>411</v>
      </c>
      <c r="C4177" s="309" t="s">
        <v>406</v>
      </c>
      <c r="D4177">
        <v>195491</v>
      </c>
    </row>
    <row r="4178" spans="1:4" x14ac:dyDescent="0.25">
      <c r="A4178" s="279">
        <v>39150</v>
      </c>
      <c r="B4178" s="309" t="s">
        <v>411</v>
      </c>
      <c r="C4178" s="309" t="s">
        <v>198</v>
      </c>
      <c r="D4178">
        <v>0</v>
      </c>
    </row>
    <row r="4179" spans="1:4" x14ac:dyDescent="0.25">
      <c r="A4179" s="279">
        <v>39150</v>
      </c>
      <c r="B4179" s="309" t="s">
        <v>411</v>
      </c>
      <c r="C4179" s="309" t="s">
        <v>199</v>
      </c>
      <c r="D4179">
        <v>0</v>
      </c>
    </row>
    <row r="4180" spans="1:4" x14ac:dyDescent="0.25">
      <c r="A4180" s="279">
        <v>39150</v>
      </c>
      <c r="B4180" s="309" t="s">
        <v>411</v>
      </c>
      <c r="C4180" s="309" t="s">
        <v>90</v>
      </c>
      <c r="D4180">
        <v>74</v>
      </c>
    </row>
    <row r="4181" spans="1:4" x14ac:dyDescent="0.25">
      <c r="A4181" s="279">
        <v>39150</v>
      </c>
      <c r="B4181" s="309" t="s">
        <v>411</v>
      </c>
      <c r="C4181" s="309" t="s">
        <v>24</v>
      </c>
      <c r="D4181">
        <v>0</v>
      </c>
    </row>
    <row r="4182" spans="1:4" x14ac:dyDescent="0.25">
      <c r="A4182" s="279">
        <v>39150</v>
      </c>
      <c r="B4182" s="309" t="s">
        <v>411</v>
      </c>
      <c r="C4182" s="309" t="s">
        <v>91</v>
      </c>
      <c r="D4182">
        <v>0</v>
      </c>
    </row>
    <row r="4183" spans="1:4" x14ac:dyDescent="0.25">
      <c r="A4183" s="279">
        <v>39150</v>
      </c>
      <c r="B4183" s="309" t="s">
        <v>411</v>
      </c>
      <c r="C4183" s="309" t="s">
        <v>118</v>
      </c>
      <c r="D4183">
        <v>0</v>
      </c>
    </row>
    <row r="4184" spans="1:4" x14ac:dyDescent="0.25">
      <c r="A4184" s="279">
        <v>39150</v>
      </c>
      <c r="B4184" s="309" t="s">
        <v>411</v>
      </c>
      <c r="C4184" s="309" t="s">
        <v>407</v>
      </c>
      <c r="D4184">
        <v>195417</v>
      </c>
    </row>
    <row r="4185" spans="1:4" x14ac:dyDescent="0.25">
      <c r="A4185" s="279">
        <v>39150</v>
      </c>
      <c r="B4185" s="309" t="s">
        <v>411</v>
      </c>
      <c r="C4185" s="309" t="s">
        <v>412</v>
      </c>
      <c r="D4185">
        <v>1007</v>
      </c>
    </row>
    <row r="4186" spans="1:4" x14ac:dyDescent="0.25">
      <c r="A4186" s="279">
        <v>39150</v>
      </c>
      <c r="B4186" s="309" t="s">
        <v>411</v>
      </c>
      <c r="C4186" s="309" t="s">
        <v>409</v>
      </c>
      <c r="D4186">
        <v>1049</v>
      </c>
    </row>
    <row r="4187" spans="1:4" x14ac:dyDescent="0.25">
      <c r="A4187" s="279">
        <v>39151</v>
      </c>
      <c r="B4187" s="309" t="s">
        <v>405</v>
      </c>
      <c r="C4187" s="309" t="s">
        <v>406</v>
      </c>
      <c r="D4187">
        <v>2485480.1</v>
      </c>
    </row>
    <row r="4188" spans="1:4" x14ac:dyDescent="0.25">
      <c r="A4188" s="279">
        <v>39151</v>
      </c>
      <c r="B4188" s="309" t="s">
        <v>405</v>
      </c>
      <c r="C4188" s="309" t="s">
        <v>89</v>
      </c>
      <c r="D4188">
        <v>0</v>
      </c>
    </row>
    <row r="4189" spans="1:4" x14ac:dyDescent="0.25">
      <c r="A4189" s="279">
        <v>39151</v>
      </c>
      <c r="B4189" s="309" t="s">
        <v>405</v>
      </c>
      <c r="C4189" s="309" t="s">
        <v>198</v>
      </c>
      <c r="D4189">
        <v>0</v>
      </c>
    </row>
    <row r="4190" spans="1:4" x14ac:dyDescent="0.25">
      <c r="A4190" s="279">
        <v>39151</v>
      </c>
      <c r="B4190" s="309" t="s">
        <v>405</v>
      </c>
      <c r="C4190" s="309" t="s">
        <v>199</v>
      </c>
      <c r="D4190">
        <v>0</v>
      </c>
    </row>
    <row r="4191" spans="1:4" x14ac:dyDescent="0.25">
      <c r="A4191" s="279">
        <v>39151</v>
      </c>
      <c r="B4191" s="309" t="s">
        <v>405</v>
      </c>
      <c r="C4191" s="309" t="s">
        <v>90</v>
      </c>
      <c r="D4191">
        <v>4272</v>
      </c>
    </row>
    <row r="4192" spans="1:4" x14ac:dyDescent="0.25">
      <c r="A4192" s="279">
        <v>39151</v>
      </c>
      <c r="B4192" s="309" t="s">
        <v>405</v>
      </c>
      <c r="C4192" s="309" t="s">
        <v>24</v>
      </c>
      <c r="D4192">
        <v>0</v>
      </c>
    </row>
    <row r="4193" spans="1:4" x14ac:dyDescent="0.25">
      <c r="A4193" s="279">
        <v>39151</v>
      </c>
      <c r="B4193" s="309" t="s">
        <v>405</v>
      </c>
      <c r="C4193" s="309" t="s">
        <v>91</v>
      </c>
      <c r="D4193">
        <v>0</v>
      </c>
    </row>
    <row r="4194" spans="1:4" x14ac:dyDescent="0.25">
      <c r="A4194" s="279">
        <v>39151</v>
      </c>
      <c r="B4194" s="309" t="s">
        <v>405</v>
      </c>
      <c r="C4194" s="309" t="s">
        <v>118</v>
      </c>
      <c r="D4194">
        <v>0</v>
      </c>
    </row>
    <row r="4195" spans="1:4" x14ac:dyDescent="0.25">
      <c r="A4195" s="279">
        <v>39151</v>
      </c>
      <c r="B4195" s="309" t="s">
        <v>405</v>
      </c>
      <c r="C4195" s="309" t="s">
        <v>407</v>
      </c>
      <c r="D4195">
        <v>2481208.1</v>
      </c>
    </row>
    <row r="4196" spans="1:4" x14ac:dyDescent="0.25">
      <c r="A4196" s="279">
        <v>39151</v>
      </c>
      <c r="B4196" s="309" t="s">
        <v>405</v>
      </c>
      <c r="C4196" s="309" t="s">
        <v>408</v>
      </c>
      <c r="D4196">
        <v>1007</v>
      </c>
    </row>
    <row r="4197" spans="1:4" x14ac:dyDescent="0.25">
      <c r="A4197" s="279">
        <v>39151</v>
      </c>
      <c r="B4197" s="309" t="s">
        <v>405</v>
      </c>
      <c r="C4197" s="309" t="s">
        <v>409</v>
      </c>
      <c r="D4197">
        <v>1058</v>
      </c>
    </row>
    <row r="4198" spans="1:4" x14ac:dyDescent="0.25">
      <c r="A4198" s="279">
        <v>39151</v>
      </c>
      <c r="B4198" s="309" t="s">
        <v>405</v>
      </c>
      <c r="C4198" s="309" t="s">
        <v>410</v>
      </c>
      <c r="D4198">
        <v>1038</v>
      </c>
    </row>
    <row r="4199" spans="1:4" x14ac:dyDescent="0.25">
      <c r="A4199" s="279">
        <v>39151</v>
      </c>
      <c r="B4199" s="309" t="s">
        <v>411</v>
      </c>
      <c r="C4199" s="309" t="s">
        <v>406</v>
      </c>
      <c r="D4199">
        <v>195417</v>
      </c>
    </row>
    <row r="4200" spans="1:4" x14ac:dyDescent="0.25">
      <c r="A4200" s="279">
        <v>39151</v>
      </c>
      <c r="B4200" s="309" t="s">
        <v>411</v>
      </c>
      <c r="C4200" s="309" t="s">
        <v>198</v>
      </c>
      <c r="D4200">
        <v>0</v>
      </c>
    </row>
    <row r="4201" spans="1:4" x14ac:dyDescent="0.25">
      <c r="A4201" s="279">
        <v>39151</v>
      </c>
      <c r="B4201" s="309" t="s">
        <v>411</v>
      </c>
      <c r="C4201" s="309" t="s">
        <v>199</v>
      </c>
      <c r="D4201">
        <v>0</v>
      </c>
    </row>
    <row r="4202" spans="1:4" x14ac:dyDescent="0.25">
      <c r="A4202" s="279">
        <v>39151</v>
      </c>
      <c r="B4202" s="309" t="s">
        <v>411</v>
      </c>
      <c r="C4202" s="309" t="s">
        <v>90</v>
      </c>
      <c r="D4202">
        <v>70</v>
      </c>
    </row>
    <row r="4203" spans="1:4" x14ac:dyDescent="0.25">
      <c r="A4203" s="279">
        <v>39151</v>
      </c>
      <c r="B4203" s="309" t="s">
        <v>411</v>
      </c>
      <c r="C4203" s="309" t="s">
        <v>24</v>
      </c>
      <c r="D4203">
        <v>0</v>
      </c>
    </row>
    <row r="4204" spans="1:4" x14ac:dyDescent="0.25">
      <c r="A4204" s="279">
        <v>39151</v>
      </c>
      <c r="B4204" s="309" t="s">
        <v>411</v>
      </c>
      <c r="C4204" s="309" t="s">
        <v>91</v>
      </c>
      <c r="D4204">
        <v>0</v>
      </c>
    </row>
    <row r="4205" spans="1:4" x14ac:dyDescent="0.25">
      <c r="A4205" s="279">
        <v>39151</v>
      </c>
      <c r="B4205" s="309" t="s">
        <v>411</v>
      </c>
      <c r="C4205" s="309" t="s">
        <v>118</v>
      </c>
      <c r="D4205">
        <v>0</v>
      </c>
    </row>
    <row r="4206" spans="1:4" x14ac:dyDescent="0.25">
      <c r="A4206" s="279">
        <v>39151</v>
      </c>
      <c r="B4206" s="309" t="s">
        <v>411</v>
      </c>
      <c r="C4206" s="309" t="s">
        <v>407</v>
      </c>
      <c r="D4206">
        <v>195347</v>
      </c>
    </row>
    <row r="4207" spans="1:4" x14ac:dyDescent="0.25">
      <c r="A4207" s="279">
        <v>39151</v>
      </c>
      <c r="B4207" s="309" t="s">
        <v>411</v>
      </c>
      <c r="C4207" s="309" t="s">
        <v>412</v>
      </c>
      <c r="D4207">
        <v>1007</v>
      </c>
    </row>
    <row r="4208" spans="1:4" x14ac:dyDescent="0.25">
      <c r="A4208" s="279">
        <v>39151</v>
      </c>
      <c r="B4208" s="309" t="s">
        <v>411</v>
      </c>
      <c r="C4208" s="309" t="s">
        <v>409</v>
      </c>
      <c r="D4208">
        <v>1049</v>
      </c>
    </row>
    <row r="4209" spans="1:4" x14ac:dyDescent="0.25">
      <c r="A4209" s="279">
        <v>39152</v>
      </c>
      <c r="B4209" s="309" t="s">
        <v>405</v>
      </c>
      <c r="C4209" s="309" t="s">
        <v>406</v>
      </c>
      <c r="D4209">
        <v>2481208.1</v>
      </c>
    </row>
    <row r="4210" spans="1:4" x14ac:dyDescent="0.25">
      <c r="A4210" s="279">
        <v>39152</v>
      </c>
      <c r="B4210" s="309" t="s">
        <v>405</v>
      </c>
      <c r="C4210" s="309" t="s">
        <v>89</v>
      </c>
      <c r="D4210">
        <v>0</v>
      </c>
    </row>
    <row r="4211" spans="1:4" x14ac:dyDescent="0.25">
      <c r="A4211" s="279">
        <v>39152</v>
      </c>
      <c r="B4211" s="309" t="s">
        <v>405</v>
      </c>
      <c r="C4211" s="309" t="s">
        <v>198</v>
      </c>
      <c r="D4211">
        <v>0</v>
      </c>
    </row>
    <row r="4212" spans="1:4" x14ac:dyDescent="0.25">
      <c r="A4212" s="279">
        <v>39152</v>
      </c>
      <c r="B4212" s="309" t="s">
        <v>405</v>
      </c>
      <c r="C4212" s="309" t="s">
        <v>199</v>
      </c>
      <c r="D4212">
        <v>0</v>
      </c>
    </row>
    <row r="4213" spans="1:4" x14ac:dyDescent="0.25">
      <c r="A4213" s="279">
        <v>39152</v>
      </c>
      <c r="B4213" s="309" t="s">
        <v>405</v>
      </c>
      <c r="C4213" s="309" t="s">
        <v>90</v>
      </c>
      <c r="D4213">
        <v>2405</v>
      </c>
    </row>
    <row r="4214" spans="1:4" x14ac:dyDescent="0.25">
      <c r="A4214" s="279">
        <v>39152</v>
      </c>
      <c r="B4214" s="309" t="s">
        <v>405</v>
      </c>
      <c r="C4214" s="309" t="s">
        <v>24</v>
      </c>
      <c r="D4214">
        <v>0</v>
      </c>
    </row>
    <row r="4215" spans="1:4" x14ac:dyDescent="0.25">
      <c r="A4215" s="279">
        <v>39152</v>
      </c>
      <c r="B4215" s="309" t="s">
        <v>405</v>
      </c>
      <c r="C4215" s="309" t="s">
        <v>91</v>
      </c>
      <c r="D4215">
        <v>0</v>
      </c>
    </row>
    <row r="4216" spans="1:4" x14ac:dyDescent="0.25">
      <c r="A4216" s="279">
        <v>39152</v>
      </c>
      <c r="B4216" s="309" t="s">
        <v>405</v>
      </c>
      <c r="C4216" s="309" t="s">
        <v>118</v>
      </c>
      <c r="D4216">
        <v>0</v>
      </c>
    </row>
    <row r="4217" spans="1:4" x14ac:dyDescent="0.25">
      <c r="A4217" s="279">
        <v>39152</v>
      </c>
      <c r="B4217" s="309" t="s">
        <v>405</v>
      </c>
      <c r="C4217" s="309" t="s">
        <v>407</v>
      </c>
      <c r="D4217">
        <v>2478803.1</v>
      </c>
    </row>
    <row r="4218" spans="1:4" x14ac:dyDescent="0.25">
      <c r="A4218" s="279">
        <v>39152</v>
      </c>
      <c r="B4218" s="309" t="s">
        <v>405</v>
      </c>
      <c r="C4218" s="309" t="s">
        <v>408</v>
      </c>
      <c r="D4218">
        <v>1007</v>
      </c>
    </row>
    <row r="4219" spans="1:4" x14ac:dyDescent="0.25">
      <c r="A4219" s="279">
        <v>39152</v>
      </c>
      <c r="B4219" s="309" t="s">
        <v>405</v>
      </c>
      <c r="C4219" s="309" t="s">
        <v>409</v>
      </c>
      <c r="D4219">
        <v>1058</v>
      </c>
    </row>
    <row r="4220" spans="1:4" x14ac:dyDescent="0.25">
      <c r="A4220" s="279">
        <v>39152</v>
      </c>
      <c r="B4220" s="309" t="s">
        <v>405</v>
      </c>
      <c r="C4220" s="309" t="s">
        <v>410</v>
      </c>
      <c r="D4220">
        <v>1036</v>
      </c>
    </row>
    <row r="4221" spans="1:4" x14ac:dyDescent="0.25">
      <c r="A4221" s="279">
        <v>39152</v>
      </c>
      <c r="B4221" s="309" t="s">
        <v>411</v>
      </c>
      <c r="C4221" s="309" t="s">
        <v>406</v>
      </c>
      <c r="D4221">
        <v>195347</v>
      </c>
    </row>
    <row r="4222" spans="1:4" x14ac:dyDescent="0.25">
      <c r="A4222" s="279">
        <v>39152</v>
      </c>
      <c r="B4222" s="309" t="s">
        <v>411</v>
      </c>
      <c r="C4222" s="309" t="s">
        <v>198</v>
      </c>
      <c r="D4222">
        <v>0</v>
      </c>
    </row>
    <row r="4223" spans="1:4" x14ac:dyDescent="0.25">
      <c r="A4223" s="279">
        <v>39152</v>
      </c>
      <c r="B4223" s="309" t="s">
        <v>411</v>
      </c>
      <c r="C4223" s="309" t="s">
        <v>199</v>
      </c>
      <c r="D4223">
        <v>0</v>
      </c>
    </row>
    <row r="4224" spans="1:4" x14ac:dyDescent="0.25">
      <c r="A4224" s="279">
        <v>39152</v>
      </c>
      <c r="B4224" s="309" t="s">
        <v>411</v>
      </c>
      <c r="C4224" s="309" t="s">
        <v>90</v>
      </c>
      <c r="D4224">
        <v>132</v>
      </c>
    </row>
    <row r="4225" spans="1:4" x14ac:dyDescent="0.25">
      <c r="A4225" s="279">
        <v>39152</v>
      </c>
      <c r="B4225" s="309" t="s">
        <v>411</v>
      </c>
      <c r="C4225" s="309" t="s">
        <v>24</v>
      </c>
      <c r="D4225">
        <v>0</v>
      </c>
    </row>
    <row r="4226" spans="1:4" x14ac:dyDescent="0.25">
      <c r="A4226" s="279">
        <v>39152</v>
      </c>
      <c r="B4226" s="309" t="s">
        <v>411</v>
      </c>
      <c r="C4226" s="309" t="s">
        <v>91</v>
      </c>
      <c r="D4226">
        <v>0</v>
      </c>
    </row>
    <row r="4227" spans="1:4" x14ac:dyDescent="0.25">
      <c r="A4227" s="279">
        <v>39152</v>
      </c>
      <c r="B4227" s="309" t="s">
        <v>411</v>
      </c>
      <c r="C4227" s="309" t="s">
        <v>118</v>
      </c>
      <c r="D4227">
        <v>0</v>
      </c>
    </row>
    <row r="4228" spans="1:4" x14ac:dyDescent="0.25">
      <c r="A4228" s="279">
        <v>39152</v>
      </c>
      <c r="B4228" s="309" t="s">
        <v>411</v>
      </c>
      <c r="C4228" s="309" t="s">
        <v>407</v>
      </c>
      <c r="D4228">
        <v>195215</v>
      </c>
    </row>
    <row r="4229" spans="1:4" x14ac:dyDescent="0.25">
      <c r="A4229" s="279">
        <v>39152</v>
      </c>
      <c r="B4229" s="309" t="s">
        <v>411</v>
      </c>
      <c r="C4229" s="309" t="s">
        <v>412</v>
      </c>
      <c r="D4229">
        <v>1007</v>
      </c>
    </row>
    <row r="4230" spans="1:4" x14ac:dyDescent="0.25">
      <c r="A4230" s="279">
        <v>39152</v>
      </c>
      <c r="B4230" s="309" t="s">
        <v>411</v>
      </c>
      <c r="C4230" s="309" t="s">
        <v>409</v>
      </c>
      <c r="D4230">
        <v>1049</v>
      </c>
    </row>
    <row r="4231" spans="1:4" x14ac:dyDescent="0.25">
      <c r="A4231" s="279">
        <v>39153</v>
      </c>
      <c r="B4231" s="309" t="s">
        <v>405</v>
      </c>
      <c r="C4231" s="309" t="s">
        <v>406</v>
      </c>
      <c r="D4231">
        <v>2478803.1</v>
      </c>
    </row>
    <row r="4232" spans="1:4" x14ac:dyDescent="0.25">
      <c r="A4232" s="279">
        <v>39153</v>
      </c>
      <c r="B4232" s="309" t="s">
        <v>405</v>
      </c>
      <c r="C4232" s="309" t="s">
        <v>89</v>
      </c>
      <c r="D4232">
        <v>0</v>
      </c>
    </row>
    <row r="4233" spans="1:4" x14ac:dyDescent="0.25">
      <c r="A4233" s="279">
        <v>39153</v>
      </c>
      <c r="B4233" s="309" t="s">
        <v>405</v>
      </c>
      <c r="C4233" s="309" t="s">
        <v>198</v>
      </c>
      <c r="D4233">
        <v>0</v>
      </c>
    </row>
    <row r="4234" spans="1:4" x14ac:dyDescent="0.25">
      <c r="A4234" s="279">
        <v>39153</v>
      </c>
      <c r="B4234" s="309" t="s">
        <v>405</v>
      </c>
      <c r="C4234" s="309" t="s">
        <v>199</v>
      </c>
      <c r="D4234">
        <v>0</v>
      </c>
    </row>
    <row r="4235" spans="1:4" x14ac:dyDescent="0.25">
      <c r="A4235" s="279">
        <v>39153</v>
      </c>
      <c r="B4235" s="309" t="s">
        <v>405</v>
      </c>
      <c r="C4235" s="309" t="s">
        <v>90</v>
      </c>
      <c r="D4235">
        <v>2938</v>
      </c>
    </row>
    <row r="4236" spans="1:4" x14ac:dyDescent="0.25">
      <c r="A4236" s="279">
        <v>39153</v>
      </c>
      <c r="B4236" s="309" t="s">
        <v>405</v>
      </c>
      <c r="C4236" s="309" t="s">
        <v>24</v>
      </c>
      <c r="D4236">
        <v>0</v>
      </c>
    </row>
    <row r="4237" spans="1:4" x14ac:dyDescent="0.25">
      <c r="A4237" s="279">
        <v>39153</v>
      </c>
      <c r="B4237" s="309" t="s">
        <v>405</v>
      </c>
      <c r="C4237" s="309" t="s">
        <v>91</v>
      </c>
      <c r="D4237">
        <v>0</v>
      </c>
    </row>
    <row r="4238" spans="1:4" x14ac:dyDescent="0.25">
      <c r="A4238" s="279">
        <v>39153</v>
      </c>
      <c r="B4238" s="309" t="s">
        <v>405</v>
      </c>
      <c r="C4238" s="309" t="s">
        <v>118</v>
      </c>
      <c r="D4238">
        <v>0</v>
      </c>
    </row>
    <row r="4239" spans="1:4" x14ac:dyDescent="0.25">
      <c r="A4239" s="279">
        <v>39153</v>
      </c>
      <c r="B4239" s="309" t="s">
        <v>405</v>
      </c>
      <c r="C4239" s="309" t="s">
        <v>407</v>
      </c>
      <c r="D4239">
        <v>2475865.1</v>
      </c>
    </row>
    <row r="4240" spans="1:4" x14ac:dyDescent="0.25">
      <c r="A4240" s="279">
        <v>39153</v>
      </c>
      <c r="B4240" s="309" t="s">
        <v>405</v>
      </c>
      <c r="C4240" s="309" t="s">
        <v>408</v>
      </c>
      <c r="D4240">
        <v>1007</v>
      </c>
    </row>
    <row r="4241" spans="1:4" x14ac:dyDescent="0.25">
      <c r="A4241" s="279">
        <v>39153</v>
      </c>
      <c r="B4241" s="309" t="s">
        <v>405</v>
      </c>
      <c r="C4241" s="309" t="s">
        <v>409</v>
      </c>
      <c r="D4241">
        <v>1058</v>
      </c>
    </row>
    <row r="4242" spans="1:4" x14ac:dyDescent="0.25">
      <c r="A4242" s="279">
        <v>39153</v>
      </c>
      <c r="B4242" s="309" t="s">
        <v>405</v>
      </c>
      <c r="C4242" s="309" t="s">
        <v>410</v>
      </c>
      <c r="D4242">
        <v>1034</v>
      </c>
    </row>
    <row r="4243" spans="1:4" x14ac:dyDescent="0.25">
      <c r="A4243" s="279">
        <v>39153</v>
      </c>
      <c r="B4243" s="309" t="s">
        <v>411</v>
      </c>
      <c r="C4243" s="309" t="s">
        <v>406</v>
      </c>
      <c r="D4243">
        <v>195215</v>
      </c>
    </row>
    <row r="4244" spans="1:4" x14ac:dyDescent="0.25">
      <c r="A4244" s="279">
        <v>39153</v>
      </c>
      <c r="B4244" s="309" t="s">
        <v>411</v>
      </c>
      <c r="C4244" s="309" t="s">
        <v>198</v>
      </c>
      <c r="D4244">
        <v>0</v>
      </c>
    </row>
    <row r="4245" spans="1:4" x14ac:dyDescent="0.25">
      <c r="A4245" s="279">
        <v>39153</v>
      </c>
      <c r="B4245" s="309" t="s">
        <v>411</v>
      </c>
      <c r="C4245" s="309" t="s">
        <v>199</v>
      </c>
      <c r="D4245">
        <v>0</v>
      </c>
    </row>
    <row r="4246" spans="1:4" x14ac:dyDescent="0.25">
      <c r="A4246" s="279">
        <v>39153</v>
      </c>
      <c r="B4246" s="309" t="s">
        <v>411</v>
      </c>
      <c r="C4246" s="309" t="s">
        <v>90</v>
      </c>
      <c r="D4246">
        <v>75</v>
      </c>
    </row>
    <row r="4247" spans="1:4" x14ac:dyDescent="0.25">
      <c r="A4247" s="279">
        <v>39153</v>
      </c>
      <c r="B4247" s="309" t="s">
        <v>411</v>
      </c>
      <c r="C4247" s="309" t="s">
        <v>24</v>
      </c>
      <c r="D4247">
        <v>0</v>
      </c>
    </row>
    <row r="4248" spans="1:4" x14ac:dyDescent="0.25">
      <c r="A4248" s="279">
        <v>39153</v>
      </c>
      <c r="B4248" s="309" t="s">
        <v>411</v>
      </c>
      <c r="C4248" s="309" t="s">
        <v>91</v>
      </c>
      <c r="D4248">
        <v>0</v>
      </c>
    </row>
    <row r="4249" spans="1:4" x14ac:dyDescent="0.25">
      <c r="A4249" s="279">
        <v>39153</v>
      </c>
      <c r="B4249" s="309" t="s">
        <v>411</v>
      </c>
      <c r="C4249" s="309" t="s">
        <v>118</v>
      </c>
      <c r="D4249">
        <v>0</v>
      </c>
    </row>
    <row r="4250" spans="1:4" x14ac:dyDescent="0.25">
      <c r="A4250" s="279">
        <v>39153</v>
      </c>
      <c r="B4250" s="309" t="s">
        <v>411</v>
      </c>
      <c r="C4250" s="309" t="s">
        <v>407</v>
      </c>
      <c r="D4250">
        <v>195140</v>
      </c>
    </row>
    <row r="4251" spans="1:4" x14ac:dyDescent="0.25">
      <c r="A4251" s="279">
        <v>39153</v>
      </c>
      <c r="B4251" s="309" t="s">
        <v>411</v>
      </c>
      <c r="C4251" s="309" t="s">
        <v>412</v>
      </c>
      <c r="D4251">
        <v>1007</v>
      </c>
    </row>
    <row r="4252" spans="1:4" x14ac:dyDescent="0.25">
      <c r="A4252" s="279">
        <v>39153</v>
      </c>
      <c r="B4252" s="309" t="s">
        <v>411</v>
      </c>
      <c r="C4252" s="309" t="s">
        <v>409</v>
      </c>
      <c r="D4252">
        <v>1049</v>
      </c>
    </row>
    <row r="4253" spans="1:4" x14ac:dyDescent="0.25">
      <c r="A4253" s="279">
        <v>39154</v>
      </c>
      <c r="B4253" s="309" t="s">
        <v>405</v>
      </c>
      <c r="C4253" s="309" t="s">
        <v>406</v>
      </c>
      <c r="D4253">
        <v>2475865.1</v>
      </c>
    </row>
    <row r="4254" spans="1:4" x14ac:dyDescent="0.25">
      <c r="A4254" s="279">
        <v>39154</v>
      </c>
      <c r="B4254" s="309" t="s">
        <v>405</v>
      </c>
      <c r="C4254" s="309" t="s">
        <v>89</v>
      </c>
      <c r="D4254">
        <v>0</v>
      </c>
    </row>
    <row r="4255" spans="1:4" x14ac:dyDescent="0.25">
      <c r="A4255" s="279">
        <v>39154</v>
      </c>
      <c r="B4255" s="309" t="s">
        <v>405</v>
      </c>
      <c r="C4255" s="309" t="s">
        <v>198</v>
      </c>
      <c r="D4255">
        <v>0</v>
      </c>
    </row>
    <row r="4256" spans="1:4" x14ac:dyDescent="0.25">
      <c r="A4256" s="279">
        <v>39154</v>
      </c>
      <c r="B4256" s="309" t="s">
        <v>405</v>
      </c>
      <c r="C4256" s="309" t="s">
        <v>199</v>
      </c>
      <c r="D4256">
        <v>0</v>
      </c>
    </row>
    <row r="4257" spans="1:4" x14ac:dyDescent="0.25">
      <c r="A4257" s="279">
        <v>39154</v>
      </c>
      <c r="B4257" s="309" t="s">
        <v>405</v>
      </c>
      <c r="C4257" s="309" t="s">
        <v>90</v>
      </c>
      <c r="D4257">
        <v>3737</v>
      </c>
    </row>
    <row r="4258" spans="1:4" x14ac:dyDescent="0.25">
      <c r="A4258" s="279">
        <v>39154</v>
      </c>
      <c r="B4258" s="309" t="s">
        <v>405</v>
      </c>
      <c r="C4258" s="309" t="s">
        <v>24</v>
      </c>
      <c r="D4258">
        <v>0</v>
      </c>
    </row>
    <row r="4259" spans="1:4" x14ac:dyDescent="0.25">
      <c r="A4259" s="279">
        <v>39154</v>
      </c>
      <c r="B4259" s="309" t="s">
        <v>405</v>
      </c>
      <c r="C4259" s="309" t="s">
        <v>91</v>
      </c>
      <c r="D4259">
        <v>0</v>
      </c>
    </row>
    <row r="4260" spans="1:4" x14ac:dyDescent="0.25">
      <c r="A4260" s="279">
        <v>39154</v>
      </c>
      <c r="B4260" s="309" t="s">
        <v>405</v>
      </c>
      <c r="C4260" s="309" t="s">
        <v>118</v>
      </c>
      <c r="D4260">
        <v>0</v>
      </c>
    </row>
    <row r="4261" spans="1:4" x14ac:dyDescent="0.25">
      <c r="A4261" s="279">
        <v>39154</v>
      </c>
      <c r="B4261" s="309" t="s">
        <v>405</v>
      </c>
      <c r="C4261" s="309" t="s">
        <v>407</v>
      </c>
      <c r="D4261">
        <v>2472128.1</v>
      </c>
    </row>
    <row r="4262" spans="1:4" x14ac:dyDescent="0.25">
      <c r="A4262" s="279">
        <v>39154</v>
      </c>
      <c r="B4262" s="309" t="s">
        <v>405</v>
      </c>
      <c r="C4262" s="309" t="s">
        <v>408</v>
      </c>
      <c r="D4262">
        <v>1007</v>
      </c>
    </row>
    <row r="4263" spans="1:4" x14ac:dyDescent="0.25">
      <c r="A4263" s="279">
        <v>39154</v>
      </c>
      <c r="B4263" s="309" t="s">
        <v>405</v>
      </c>
      <c r="C4263" s="309" t="s">
        <v>409</v>
      </c>
      <c r="D4263">
        <v>1058</v>
      </c>
    </row>
    <row r="4264" spans="1:4" x14ac:dyDescent="0.25">
      <c r="A4264" s="279">
        <v>39154</v>
      </c>
      <c r="B4264" s="309" t="s">
        <v>405</v>
      </c>
      <c r="C4264" s="309" t="s">
        <v>410</v>
      </c>
      <c r="D4264">
        <v>1034</v>
      </c>
    </row>
    <row r="4265" spans="1:4" x14ac:dyDescent="0.25">
      <c r="A4265" s="279">
        <v>39154</v>
      </c>
      <c r="B4265" s="309" t="s">
        <v>411</v>
      </c>
      <c r="C4265" s="309" t="s">
        <v>406</v>
      </c>
      <c r="D4265">
        <v>195140</v>
      </c>
    </row>
    <row r="4266" spans="1:4" x14ac:dyDescent="0.25">
      <c r="A4266" s="279">
        <v>39154</v>
      </c>
      <c r="B4266" s="309" t="s">
        <v>411</v>
      </c>
      <c r="C4266" s="309" t="s">
        <v>198</v>
      </c>
      <c r="D4266">
        <v>0</v>
      </c>
    </row>
    <row r="4267" spans="1:4" x14ac:dyDescent="0.25">
      <c r="A4267" s="279">
        <v>39154</v>
      </c>
      <c r="B4267" s="309" t="s">
        <v>411</v>
      </c>
      <c r="C4267" s="309" t="s">
        <v>199</v>
      </c>
      <c r="D4267">
        <v>0</v>
      </c>
    </row>
    <row r="4268" spans="1:4" x14ac:dyDescent="0.25">
      <c r="A4268" s="279">
        <v>39154</v>
      </c>
      <c r="B4268" s="309" t="s">
        <v>411</v>
      </c>
      <c r="C4268" s="309" t="s">
        <v>90</v>
      </c>
      <c r="D4268">
        <v>50</v>
      </c>
    </row>
    <row r="4269" spans="1:4" x14ac:dyDescent="0.25">
      <c r="A4269" s="279">
        <v>39154</v>
      </c>
      <c r="B4269" s="309" t="s">
        <v>411</v>
      </c>
      <c r="C4269" s="309" t="s">
        <v>24</v>
      </c>
      <c r="D4269">
        <v>0</v>
      </c>
    </row>
    <row r="4270" spans="1:4" x14ac:dyDescent="0.25">
      <c r="A4270" s="279">
        <v>39154</v>
      </c>
      <c r="B4270" s="309" t="s">
        <v>411</v>
      </c>
      <c r="C4270" s="309" t="s">
        <v>91</v>
      </c>
      <c r="D4270">
        <v>0</v>
      </c>
    </row>
    <row r="4271" spans="1:4" x14ac:dyDescent="0.25">
      <c r="A4271" s="279">
        <v>39154</v>
      </c>
      <c r="B4271" s="309" t="s">
        <v>411</v>
      </c>
      <c r="C4271" s="309" t="s">
        <v>118</v>
      </c>
      <c r="D4271">
        <v>0</v>
      </c>
    </row>
    <row r="4272" spans="1:4" x14ac:dyDescent="0.25">
      <c r="A4272" s="279">
        <v>39154</v>
      </c>
      <c r="B4272" s="309" t="s">
        <v>411</v>
      </c>
      <c r="C4272" s="309" t="s">
        <v>407</v>
      </c>
      <c r="D4272">
        <v>195090</v>
      </c>
    </row>
    <row r="4273" spans="1:4" x14ac:dyDescent="0.25">
      <c r="A4273" s="279">
        <v>39154</v>
      </c>
      <c r="B4273" s="309" t="s">
        <v>411</v>
      </c>
      <c r="C4273" s="309" t="s">
        <v>412</v>
      </c>
      <c r="D4273">
        <v>1007</v>
      </c>
    </row>
    <row r="4274" spans="1:4" x14ac:dyDescent="0.25">
      <c r="A4274" s="279">
        <v>39154</v>
      </c>
      <c r="B4274" s="309" t="s">
        <v>411</v>
      </c>
      <c r="C4274" s="309" t="s">
        <v>409</v>
      </c>
      <c r="D4274">
        <v>1049</v>
      </c>
    </row>
    <row r="4275" spans="1:4" x14ac:dyDescent="0.25">
      <c r="A4275" s="279">
        <v>39155</v>
      </c>
      <c r="B4275" s="309" t="s">
        <v>405</v>
      </c>
      <c r="C4275" s="309" t="s">
        <v>406</v>
      </c>
      <c r="D4275">
        <v>2472128.1</v>
      </c>
    </row>
    <row r="4276" spans="1:4" x14ac:dyDescent="0.25">
      <c r="A4276" s="279">
        <v>39155</v>
      </c>
      <c r="B4276" s="309" t="s">
        <v>405</v>
      </c>
      <c r="C4276" s="309" t="s">
        <v>89</v>
      </c>
      <c r="D4276">
        <v>0</v>
      </c>
    </row>
    <row r="4277" spans="1:4" x14ac:dyDescent="0.25">
      <c r="A4277" s="279">
        <v>39155</v>
      </c>
      <c r="B4277" s="309" t="s">
        <v>405</v>
      </c>
      <c r="C4277" s="309" t="s">
        <v>198</v>
      </c>
      <c r="D4277">
        <v>0</v>
      </c>
    </row>
    <row r="4278" spans="1:4" x14ac:dyDescent="0.25">
      <c r="A4278" s="279">
        <v>39155</v>
      </c>
      <c r="B4278" s="309" t="s">
        <v>405</v>
      </c>
      <c r="C4278" s="309" t="s">
        <v>199</v>
      </c>
      <c r="D4278">
        <v>0</v>
      </c>
    </row>
    <row r="4279" spans="1:4" x14ac:dyDescent="0.25">
      <c r="A4279" s="279">
        <v>39155</v>
      </c>
      <c r="B4279" s="309" t="s">
        <v>405</v>
      </c>
      <c r="C4279" s="309" t="s">
        <v>90</v>
      </c>
      <c r="D4279">
        <v>4271</v>
      </c>
    </row>
    <row r="4280" spans="1:4" x14ac:dyDescent="0.25">
      <c r="A4280" s="279">
        <v>39155</v>
      </c>
      <c r="B4280" s="309" t="s">
        <v>405</v>
      </c>
      <c r="C4280" s="309" t="s">
        <v>24</v>
      </c>
      <c r="D4280">
        <v>0</v>
      </c>
    </row>
    <row r="4281" spans="1:4" x14ac:dyDescent="0.25">
      <c r="A4281" s="279">
        <v>39155</v>
      </c>
      <c r="B4281" s="309" t="s">
        <v>405</v>
      </c>
      <c r="C4281" s="309" t="s">
        <v>91</v>
      </c>
      <c r="D4281">
        <v>0</v>
      </c>
    </row>
    <row r="4282" spans="1:4" x14ac:dyDescent="0.25">
      <c r="A4282" s="279">
        <v>39155</v>
      </c>
      <c r="B4282" s="309" t="s">
        <v>405</v>
      </c>
      <c r="C4282" s="309" t="s">
        <v>118</v>
      </c>
      <c r="D4282">
        <v>0</v>
      </c>
    </row>
    <row r="4283" spans="1:4" x14ac:dyDescent="0.25">
      <c r="A4283" s="279">
        <v>39155</v>
      </c>
      <c r="B4283" s="309" t="s">
        <v>405</v>
      </c>
      <c r="C4283" s="309" t="s">
        <v>407</v>
      </c>
      <c r="D4283">
        <v>2467857.1</v>
      </c>
    </row>
    <row r="4284" spans="1:4" x14ac:dyDescent="0.25">
      <c r="A4284" s="279">
        <v>39155</v>
      </c>
      <c r="B4284" s="309" t="s">
        <v>405</v>
      </c>
      <c r="C4284" s="309" t="s">
        <v>408</v>
      </c>
      <c r="D4284">
        <v>1007</v>
      </c>
    </row>
    <row r="4285" spans="1:4" x14ac:dyDescent="0.25">
      <c r="A4285" s="279">
        <v>39155</v>
      </c>
      <c r="B4285" s="309" t="s">
        <v>405</v>
      </c>
      <c r="C4285" s="309" t="s">
        <v>409</v>
      </c>
      <c r="D4285">
        <v>1058</v>
      </c>
    </row>
    <row r="4286" spans="1:4" x14ac:dyDescent="0.25">
      <c r="A4286" s="279">
        <v>39155</v>
      </c>
      <c r="B4286" s="309" t="s">
        <v>405</v>
      </c>
      <c r="C4286" s="309" t="s">
        <v>410</v>
      </c>
      <c r="D4286">
        <v>1036</v>
      </c>
    </row>
    <row r="4287" spans="1:4" x14ac:dyDescent="0.25">
      <c r="A4287" s="279">
        <v>39155</v>
      </c>
      <c r="B4287" s="309" t="s">
        <v>411</v>
      </c>
      <c r="C4287" s="309" t="s">
        <v>406</v>
      </c>
      <c r="D4287">
        <v>195090</v>
      </c>
    </row>
    <row r="4288" spans="1:4" x14ac:dyDescent="0.25">
      <c r="A4288" s="279">
        <v>39155</v>
      </c>
      <c r="B4288" s="309" t="s">
        <v>411</v>
      </c>
      <c r="C4288" s="309" t="s">
        <v>198</v>
      </c>
      <c r="D4288">
        <v>0</v>
      </c>
    </row>
    <row r="4289" spans="1:4" x14ac:dyDescent="0.25">
      <c r="A4289" s="279">
        <v>39155</v>
      </c>
      <c r="B4289" s="309" t="s">
        <v>411</v>
      </c>
      <c r="C4289" s="309" t="s">
        <v>199</v>
      </c>
      <c r="D4289">
        <v>0</v>
      </c>
    </row>
    <row r="4290" spans="1:4" x14ac:dyDescent="0.25">
      <c r="A4290" s="279">
        <v>39155</v>
      </c>
      <c r="B4290" s="309" t="s">
        <v>411</v>
      </c>
      <c r="C4290" s="309" t="s">
        <v>90</v>
      </c>
      <c r="D4290">
        <v>151</v>
      </c>
    </row>
    <row r="4291" spans="1:4" x14ac:dyDescent="0.25">
      <c r="A4291" s="279">
        <v>39155</v>
      </c>
      <c r="B4291" s="309" t="s">
        <v>411</v>
      </c>
      <c r="C4291" s="309" t="s">
        <v>24</v>
      </c>
      <c r="D4291">
        <v>0</v>
      </c>
    </row>
    <row r="4292" spans="1:4" x14ac:dyDescent="0.25">
      <c r="A4292" s="279">
        <v>39155</v>
      </c>
      <c r="B4292" s="309" t="s">
        <v>411</v>
      </c>
      <c r="C4292" s="309" t="s">
        <v>91</v>
      </c>
      <c r="D4292">
        <v>0</v>
      </c>
    </row>
    <row r="4293" spans="1:4" x14ac:dyDescent="0.25">
      <c r="A4293" s="279">
        <v>39155</v>
      </c>
      <c r="B4293" s="309" t="s">
        <v>411</v>
      </c>
      <c r="C4293" s="309" t="s">
        <v>118</v>
      </c>
      <c r="D4293">
        <v>0</v>
      </c>
    </row>
    <row r="4294" spans="1:4" x14ac:dyDescent="0.25">
      <c r="A4294" s="279">
        <v>39155</v>
      </c>
      <c r="B4294" s="309" t="s">
        <v>411</v>
      </c>
      <c r="C4294" s="309" t="s">
        <v>407</v>
      </c>
      <c r="D4294">
        <v>194939</v>
      </c>
    </row>
    <row r="4295" spans="1:4" x14ac:dyDescent="0.25">
      <c r="A4295" s="279">
        <v>39155</v>
      </c>
      <c r="B4295" s="309" t="s">
        <v>411</v>
      </c>
      <c r="C4295" s="309" t="s">
        <v>412</v>
      </c>
      <c r="D4295">
        <v>1007</v>
      </c>
    </row>
    <row r="4296" spans="1:4" x14ac:dyDescent="0.25">
      <c r="A4296" s="279">
        <v>39155</v>
      </c>
      <c r="B4296" s="309" t="s">
        <v>411</v>
      </c>
      <c r="C4296" s="309" t="s">
        <v>409</v>
      </c>
      <c r="D4296">
        <v>1049</v>
      </c>
    </row>
    <row r="4297" spans="1:4" x14ac:dyDescent="0.25">
      <c r="A4297" s="279">
        <v>39156</v>
      </c>
      <c r="B4297" s="309" t="s">
        <v>405</v>
      </c>
      <c r="C4297" s="309" t="s">
        <v>406</v>
      </c>
      <c r="D4297">
        <v>2467857.1</v>
      </c>
    </row>
    <row r="4298" spans="1:4" x14ac:dyDescent="0.25">
      <c r="A4298" s="279">
        <v>39156</v>
      </c>
      <c r="B4298" s="309" t="s">
        <v>405</v>
      </c>
      <c r="C4298" s="309" t="s">
        <v>89</v>
      </c>
      <c r="D4298">
        <v>0</v>
      </c>
    </row>
    <row r="4299" spans="1:4" x14ac:dyDescent="0.25">
      <c r="A4299" s="279">
        <v>39156</v>
      </c>
      <c r="B4299" s="309" t="s">
        <v>405</v>
      </c>
      <c r="C4299" s="309" t="s">
        <v>198</v>
      </c>
      <c r="D4299">
        <v>0</v>
      </c>
    </row>
    <row r="4300" spans="1:4" x14ac:dyDescent="0.25">
      <c r="A4300" s="279">
        <v>39156</v>
      </c>
      <c r="B4300" s="309" t="s">
        <v>405</v>
      </c>
      <c r="C4300" s="309" t="s">
        <v>199</v>
      </c>
      <c r="D4300">
        <v>0</v>
      </c>
    </row>
    <row r="4301" spans="1:4" x14ac:dyDescent="0.25">
      <c r="A4301" s="279">
        <v>39156</v>
      </c>
      <c r="B4301" s="309" t="s">
        <v>405</v>
      </c>
      <c r="C4301" s="309" t="s">
        <v>90</v>
      </c>
      <c r="D4301">
        <v>1604</v>
      </c>
    </row>
    <row r="4302" spans="1:4" x14ac:dyDescent="0.25">
      <c r="A4302" s="279">
        <v>39156</v>
      </c>
      <c r="B4302" s="309" t="s">
        <v>405</v>
      </c>
      <c r="C4302" s="309" t="s">
        <v>24</v>
      </c>
      <c r="D4302">
        <v>0</v>
      </c>
    </row>
    <row r="4303" spans="1:4" x14ac:dyDescent="0.25">
      <c r="A4303" s="279">
        <v>39156</v>
      </c>
      <c r="B4303" s="309" t="s">
        <v>405</v>
      </c>
      <c r="C4303" s="309" t="s">
        <v>91</v>
      </c>
      <c r="D4303">
        <v>0</v>
      </c>
    </row>
    <row r="4304" spans="1:4" x14ac:dyDescent="0.25">
      <c r="A4304" s="279">
        <v>39156</v>
      </c>
      <c r="B4304" s="309" t="s">
        <v>405</v>
      </c>
      <c r="C4304" s="309" t="s">
        <v>118</v>
      </c>
      <c r="D4304">
        <v>0</v>
      </c>
    </row>
    <row r="4305" spans="1:4" x14ac:dyDescent="0.25">
      <c r="A4305" s="279">
        <v>39156</v>
      </c>
      <c r="B4305" s="309" t="s">
        <v>405</v>
      </c>
      <c r="C4305" s="309" t="s">
        <v>407</v>
      </c>
      <c r="D4305">
        <v>2466253.1</v>
      </c>
    </row>
    <row r="4306" spans="1:4" x14ac:dyDescent="0.25">
      <c r="A4306" s="279">
        <v>39156</v>
      </c>
      <c r="B4306" s="309" t="s">
        <v>405</v>
      </c>
      <c r="C4306" s="309" t="s">
        <v>408</v>
      </c>
      <c r="D4306">
        <v>1007</v>
      </c>
    </row>
    <row r="4307" spans="1:4" x14ac:dyDescent="0.25">
      <c r="A4307" s="279">
        <v>39156</v>
      </c>
      <c r="B4307" s="309" t="s">
        <v>405</v>
      </c>
      <c r="C4307" s="309" t="s">
        <v>409</v>
      </c>
      <c r="D4307">
        <v>1058</v>
      </c>
    </row>
    <row r="4308" spans="1:4" x14ac:dyDescent="0.25">
      <c r="A4308" s="279">
        <v>39156</v>
      </c>
      <c r="B4308" s="309" t="s">
        <v>405</v>
      </c>
      <c r="C4308" s="309" t="s">
        <v>410</v>
      </c>
      <c r="D4308">
        <v>1035</v>
      </c>
    </row>
    <row r="4309" spans="1:4" x14ac:dyDescent="0.25">
      <c r="A4309" s="279">
        <v>39156</v>
      </c>
      <c r="B4309" s="309" t="s">
        <v>411</v>
      </c>
      <c r="C4309" s="309" t="s">
        <v>406</v>
      </c>
      <c r="D4309">
        <v>194939</v>
      </c>
    </row>
    <row r="4310" spans="1:4" x14ac:dyDescent="0.25">
      <c r="A4310" s="279">
        <v>39156</v>
      </c>
      <c r="B4310" s="309" t="s">
        <v>411</v>
      </c>
      <c r="C4310" s="309" t="s">
        <v>198</v>
      </c>
      <c r="D4310">
        <v>0</v>
      </c>
    </row>
    <row r="4311" spans="1:4" x14ac:dyDescent="0.25">
      <c r="A4311" s="279">
        <v>39156</v>
      </c>
      <c r="B4311" s="309" t="s">
        <v>411</v>
      </c>
      <c r="C4311" s="309" t="s">
        <v>199</v>
      </c>
      <c r="D4311">
        <v>0</v>
      </c>
    </row>
    <row r="4312" spans="1:4" x14ac:dyDescent="0.25">
      <c r="A4312" s="279">
        <v>39156</v>
      </c>
      <c r="B4312" s="309" t="s">
        <v>411</v>
      </c>
      <c r="C4312" s="309" t="s">
        <v>90</v>
      </c>
      <c r="D4312">
        <v>276</v>
      </c>
    </row>
    <row r="4313" spans="1:4" x14ac:dyDescent="0.25">
      <c r="A4313" s="279">
        <v>39156</v>
      </c>
      <c r="B4313" s="309" t="s">
        <v>411</v>
      </c>
      <c r="C4313" s="309" t="s">
        <v>24</v>
      </c>
      <c r="D4313">
        <v>0</v>
      </c>
    </row>
    <row r="4314" spans="1:4" x14ac:dyDescent="0.25">
      <c r="A4314" s="279">
        <v>39156</v>
      </c>
      <c r="B4314" s="309" t="s">
        <v>411</v>
      </c>
      <c r="C4314" s="309" t="s">
        <v>91</v>
      </c>
      <c r="D4314">
        <v>0</v>
      </c>
    </row>
    <row r="4315" spans="1:4" x14ac:dyDescent="0.25">
      <c r="A4315" s="279">
        <v>39156</v>
      </c>
      <c r="B4315" s="309" t="s">
        <v>411</v>
      </c>
      <c r="C4315" s="309" t="s">
        <v>118</v>
      </c>
      <c r="D4315">
        <v>0</v>
      </c>
    </row>
    <row r="4316" spans="1:4" x14ac:dyDescent="0.25">
      <c r="A4316" s="279">
        <v>39156</v>
      </c>
      <c r="B4316" s="309" t="s">
        <v>411</v>
      </c>
      <c r="C4316" s="309" t="s">
        <v>407</v>
      </c>
      <c r="D4316">
        <v>194663</v>
      </c>
    </row>
    <row r="4317" spans="1:4" x14ac:dyDescent="0.25">
      <c r="A4317" s="279">
        <v>39156</v>
      </c>
      <c r="B4317" s="309" t="s">
        <v>411</v>
      </c>
      <c r="C4317" s="309" t="s">
        <v>412</v>
      </c>
      <c r="D4317">
        <v>1007</v>
      </c>
    </row>
    <row r="4318" spans="1:4" x14ac:dyDescent="0.25">
      <c r="A4318" s="279">
        <v>39156</v>
      </c>
      <c r="B4318" s="309" t="s">
        <v>411</v>
      </c>
      <c r="C4318" s="309" t="s">
        <v>409</v>
      </c>
      <c r="D4318">
        <v>1049</v>
      </c>
    </row>
    <row r="4319" spans="1:4" x14ac:dyDescent="0.25">
      <c r="A4319" s="279">
        <v>39157</v>
      </c>
      <c r="B4319" s="309" t="s">
        <v>405</v>
      </c>
      <c r="C4319" s="309" t="s">
        <v>406</v>
      </c>
      <c r="D4319">
        <v>2466253.1</v>
      </c>
    </row>
    <row r="4320" spans="1:4" x14ac:dyDescent="0.25">
      <c r="A4320" s="279">
        <v>39157</v>
      </c>
      <c r="B4320" s="309" t="s">
        <v>405</v>
      </c>
      <c r="C4320" s="309" t="s">
        <v>89</v>
      </c>
      <c r="D4320">
        <v>0</v>
      </c>
    </row>
    <row r="4321" spans="1:4" x14ac:dyDescent="0.25">
      <c r="A4321" s="279">
        <v>39157</v>
      </c>
      <c r="B4321" s="309" t="s">
        <v>405</v>
      </c>
      <c r="C4321" s="309" t="s">
        <v>198</v>
      </c>
      <c r="D4321">
        <v>0</v>
      </c>
    </row>
    <row r="4322" spans="1:4" x14ac:dyDescent="0.25">
      <c r="A4322" s="279">
        <v>39157</v>
      </c>
      <c r="B4322" s="309" t="s">
        <v>405</v>
      </c>
      <c r="C4322" s="309" t="s">
        <v>199</v>
      </c>
      <c r="D4322">
        <v>0</v>
      </c>
    </row>
    <row r="4323" spans="1:4" x14ac:dyDescent="0.25">
      <c r="A4323" s="279">
        <v>39157</v>
      </c>
      <c r="B4323" s="309" t="s">
        <v>405</v>
      </c>
      <c r="C4323" s="309" t="s">
        <v>90</v>
      </c>
      <c r="D4323">
        <v>4537</v>
      </c>
    </row>
    <row r="4324" spans="1:4" x14ac:dyDescent="0.25">
      <c r="A4324" s="279">
        <v>39157</v>
      </c>
      <c r="B4324" s="309" t="s">
        <v>405</v>
      </c>
      <c r="C4324" s="309" t="s">
        <v>24</v>
      </c>
      <c r="D4324">
        <v>0</v>
      </c>
    </row>
    <row r="4325" spans="1:4" x14ac:dyDescent="0.25">
      <c r="A4325" s="279">
        <v>39157</v>
      </c>
      <c r="B4325" s="309" t="s">
        <v>405</v>
      </c>
      <c r="C4325" s="309" t="s">
        <v>91</v>
      </c>
      <c r="D4325">
        <v>0</v>
      </c>
    </row>
    <row r="4326" spans="1:4" x14ac:dyDescent="0.25">
      <c r="A4326" s="279">
        <v>39157</v>
      </c>
      <c r="B4326" s="309" t="s">
        <v>405</v>
      </c>
      <c r="C4326" s="309" t="s">
        <v>118</v>
      </c>
      <c r="D4326">
        <v>0</v>
      </c>
    </row>
    <row r="4327" spans="1:4" x14ac:dyDescent="0.25">
      <c r="A4327" s="279">
        <v>39157</v>
      </c>
      <c r="B4327" s="309" t="s">
        <v>405</v>
      </c>
      <c r="C4327" s="309" t="s">
        <v>407</v>
      </c>
      <c r="D4327">
        <v>2461716.1</v>
      </c>
    </row>
    <row r="4328" spans="1:4" x14ac:dyDescent="0.25">
      <c r="A4328" s="279">
        <v>39157</v>
      </c>
      <c r="B4328" s="309" t="s">
        <v>405</v>
      </c>
      <c r="C4328" s="309" t="s">
        <v>408</v>
      </c>
      <c r="D4328">
        <v>1007</v>
      </c>
    </row>
    <row r="4329" spans="1:4" x14ac:dyDescent="0.25">
      <c r="A4329" s="279">
        <v>39157</v>
      </c>
      <c r="B4329" s="309" t="s">
        <v>405</v>
      </c>
      <c r="C4329" s="309" t="s">
        <v>409</v>
      </c>
      <c r="D4329">
        <v>1058</v>
      </c>
    </row>
    <row r="4330" spans="1:4" x14ac:dyDescent="0.25">
      <c r="A4330" s="279">
        <v>39157</v>
      </c>
      <c r="B4330" s="309" t="s">
        <v>405</v>
      </c>
      <c r="C4330" s="309" t="s">
        <v>410</v>
      </c>
      <c r="D4330">
        <v>1034</v>
      </c>
    </row>
    <row r="4331" spans="1:4" x14ac:dyDescent="0.25">
      <c r="A4331" s="279">
        <v>39157</v>
      </c>
      <c r="B4331" s="309" t="s">
        <v>411</v>
      </c>
      <c r="C4331" s="309" t="s">
        <v>406</v>
      </c>
      <c r="D4331">
        <v>194663</v>
      </c>
    </row>
    <row r="4332" spans="1:4" x14ac:dyDescent="0.25">
      <c r="A4332" s="279">
        <v>39157</v>
      </c>
      <c r="B4332" s="309" t="s">
        <v>411</v>
      </c>
      <c r="C4332" s="309" t="s">
        <v>198</v>
      </c>
      <c r="D4332">
        <v>0</v>
      </c>
    </row>
    <row r="4333" spans="1:4" x14ac:dyDescent="0.25">
      <c r="A4333" s="279">
        <v>39157</v>
      </c>
      <c r="B4333" s="309" t="s">
        <v>411</v>
      </c>
      <c r="C4333" s="309" t="s">
        <v>199</v>
      </c>
      <c r="D4333">
        <v>0</v>
      </c>
    </row>
    <row r="4334" spans="1:4" x14ac:dyDescent="0.25">
      <c r="A4334" s="279">
        <v>39157</v>
      </c>
      <c r="B4334" s="309" t="s">
        <v>411</v>
      </c>
      <c r="C4334" s="309" t="s">
        <v>90</v>
      </c>
      <c r="D4334">
        <v>0</v>
      </c>
    </row>
    <row r="4335" spans="1:4" x14ac:dyDescent="0.25">
      <c r="A4335" s="279">
        <v>39157</v>
      </c>
      <c r="B4335" s="309" t="s">
        <v>411</v>
      </c>
      <c r="C4335" s="309" t="s">
        <v>24</v>
      </c>
      <c r="D4335">
        <v>0</v>
      </c>
    </row>
    <row r="4336" spans="1:4" x14ac:dyDescent="0.25">
      <c r="A4336" s="279">
        <v>39157</v>
      </c>
      <c r="B4336" s="309" t="s">
        <v>411</v>
      </c>
      <c r="C4336" s="309" t="s">
        <v>91</v>
      </c>
      <c r="D4336">
        <v>0</v>
      </c>
    </row>
    <row r="4337" spans="1:4" x14ac:dyDescent="0.25">
      <c r="A4337" s="279">
        <v>39157</v>
      </c>
      <c r="B4337" s="309" t="s">
        <v>411</v>
      </c>
      <c r="C4337" s="309" t="s">
        <v>118</v>
      </c>
      <c r="D4337">
        <v>0</v>
      </c>
    </row>
    <row r="4338" spans="1:4" x14ac:dyDescent="0.25">
      <c r="A4338" s="279">
        <v>39157</v>
      </c>
      <c r="B4338" s="309" t="s">
        <v>411</v>
      </c>
      <c r="C4338" s="309" t="s">
        <v>407</v>
      </c>
      <c r="D4338">
        <v>194663</v>
      </c>
    </row>
    <row r="4339" spans="1:4" x14ac:dyDescent="0.25">
      <c r="A4339" s="279">
        <v>39157</v>
      </c>
      <c r="B4339" s="309" t="s">
        <v>411</v>
      </c>
      <c r="C4339" s="309" t="s">
        <v>412</v>
      </c>
      <c r="D4339">
        <v>1007</v>
      </c>
    </row>
    <row r="4340" spans="1:4" x14ac:dyDescent="0.25">
      <c r="A4340" s="279">
        <v>39157</v>
      </c>
      <c r="B4340" s="309" t="s">
        <v>411</v>
      </c>
      <c r="C4340" s="309" t="s">
        <v>409</v>
      </c>
      <c r="D4340">
        <v>1049</v>
      </c>
    </row>
    <row r="4341" spans="1:4" x14ac:dyDescent="0.25">
      <c r="A4341" s="279">
        <v>39158</v>
      </c>
      <c r="B4341" s="309" t="s">
        <v>405</v>
      </c>
      <c r="C4341" s="309" t="s">
        <v>406</v>
      </c>
      <c r="D4341">
        <v>2461716.1</v>
      </c>
    </row>
    <row r="4342" spans="1:4" x14ac:dyDescent="0.25">
      <c r="A4342" s="279">
        <v>39158</v>
      </c>
      <c r="B4342" s="309" t="s">
        <v>405</v>
      </c>
      <c r="C4342" s="309" t="s">
        <v>89</v>
      </c>
      <c r="D4342">
        <v>0</v>
      </c>
    </row>
    <row r="4343" spans="1:4" x14ac:dyDescent="0.25">
      <c r="A4343" s="279">
        <v>39158</v>
      </c>
      <c r="B4343" s="309" t="s">
        <v>405</v>
      </c>
      <c r="C4343" s="309" t="s">
        <v>198</v>
      </c>
      <c r="D4343">
        <v>0</v>
      </c>
    </row>
    <row r="4344" spans="1:4" x14ac:dyDescent="0.25">
      <c r="A4344" s="279">
        <v>39158</v>
      </c>
      <c r="B4344" s="309" t="s">
        <v>405</v>
      </c>
      <c r="C4344" s="309" t="s">
        <v>199</v>
      </c>
      <c r="D4344">
        <v>0</v>
      </c>
    </row>
    <row r="4345" spans="1:4" x14ac:dyDescent="0.25">
      <c r="A4345" s="279">
        <v>39158</v>
      </c>
      <c r="B4345" s="309" t="s">
        <v>405</v>
      </c>
      <c r="C4345" s="309" t="s">
        <v>90</v>
      </c>
      <c r="D4345">
        <v>2404</v>
      </c>
    </row>
    <row r="4346" spans="1:4" x14ac:dyDescent="0.25">
      <c r="A4346" s="279">
        <v>39158</v>
      </c>
      <c r="B4346" s="309" t="s">
        <v>405</v>
      </c>
      <c r="C4346" s="309" t="s">
        <v>24</v>
      </c>
      <c r="D4346">
        <v>0</v>
      </c>
    </row>
    <row r="4347" spans="1:4" x14ac:dyDescent="0.25">
      <c r="A4347" s="279">
        <v>39158</v>
      </c>
      <c r="B4347" s="309" t="s">
        <v>405</v>
      </c>
      <c r="C4347" s="309" t="s">
        <v>91</v>
      </c>
      <c r="D4347">
        <v>0</v>
      </c>
    </row>
    <row r="4348" spans="1:4" x14ac:dyDescent="0.25">
      <c r="A4348" s="279">
        <v>39158</v>
      </c>
      <c r="B4348" s="309" t="s">
        <v>405</v>
      </c>
      <c r="C4348" s="309" t="s">
        <v>118</v>
      </c>
      <c r="D4348">
        <v>0</v>
      </c>
    </row>
    <row r="4349" spans="1:4" x14ac:dyDescent="0.25">
      <c r="A4349" s="279">
        <v>39158</v>
      </c>
      <c r="B4349" s="309" t="s">
        <v>405</v>
      </c>
      <c r="C4349" s="309" t="s">
        <v>407</v>
      </c>
      <c r="D4349">
        <v>2459312.1</v>
      </c>
    </row>
    <row r="4350" spans="1:4" x14ac:dyDescent="0.25">
      <c r="A4350" s="279">
        <v>39158</v>
      </c>
      <c r="B4350" s="309" t="s">
        <v>405</v>
      </c>
      <c r="C4350" s="309" t="s">
        <v>408</v>
      </c>
      <c r="D4350">
        <v>1007</v>
      </c>
    </row>
    <row r="4351" spans="1:4" x14ac:dyDescent="0.25">
      <c r="A4351" s="279">
        <v>39158</v>
      </c>
      <c r="B4351" s="309" t="s">
        <v>405</v>
      </c>
      <c r="C4351" s="309" t="s">
        <v>409</v>
      </c>
      <c r="D4351">
        <v>1058</v>
      </c>
    </row>
    <row r="4352" spans="1:4" x14ac:dyDescent="0.25">
      <c r="A4352" s="279">
        <v>39158</v>
      </c>
      <c r="B4352" s="309" t="s">
        <v>405</v>
      </c>
      <c r="C4352" s="309" t="s">
        <v>410</v>
      </c>
      <c r="D4352">
        <v>1037</v>
      </c>
    </row>
    <row r="4353" spans="1:4" x14ac:dyDescent="0.25">
      <c r="A4353" s="279">
        <v>39158</v>
      </c>
      <c r="B4353" s="309" t="s">
        <v>411</v>
      </c>
      <c r="C4353" s="309" t="s">
        <v>406</v>
      </c>
      <c r="D4353">
        <v>194663</v>
      </c>
    </row>
    <row r="4354" spans="1:4" x14ac:dyDescent="0.25">
      <c r="A4354" s="279">
        <v>39158</v>
      </c>
      <c r="B4354" s="309" t="s">
        <v>411</v>
      </c>
      <c r="C4354" s="309" t="s">
        <v>198</v>
      </c>
      <c r="D4354">
        <v>0</v>
      </c>
    </row>
    <row r="4355" spans="1:4" x14ac:dyDescent="0.25">
      <c r="A4355" s="279">
        <v>39158</v>
      </c>
      <c r="B4355" s="309" t="s">
        <v>411</v>
      </c>
      <c r="C4355" s="309" t="s">
        <v>199</v>
      </c>
      <c r="D4355">
        <v>0</v>
      </c>
    </row>
    <row r="4356" spans="1:4" x14ac:dyDescent="0.25">
      <c r="A4356" s="279">
        <v>39158</v>
      </c>
      <c r="B4356" s="309" t="s">
        <v>411</v>
      </c>
      <c r="C4356" s="309" t="s">
        <v>90</v>
      </c>
      <c r="D4356">
        <v>552</v>
      </c>
    </row>
    <row r="4357" spans="1:4" x14ac:dyDescent="0.25">
      <c r="A4357" s="279">
        <v>39158</v>
      </c>
      <c r="B4357" s="309" t="s">
        <v>411</v>
      </c>
      <c r="C4357" s="309" t="s">
        <v>24</v>
      </c>
      <c r="D4357">
        <v>0</v>
      </c>
    </row>
    <row r="4358" spans="1:4" x14ac:dyDescent="0.25">
      <c r="A4358" s="279">
        <v>39158</v>
      </c>
      <c r="B4358" s="309" t="s">
        <v>411</v>
      </c>
      <c r="C4358" s="309" t="s">
        <v>91</v>
      </c>
      <c r="D4358">
        <v>0</v>
      </c>
    </row>
    <row r="4359" spans="1:4" x14ac:dyDescent="0.25">
      <c r="A4359" s="279">
        <v>39158</v>
      </c>
      <c r="B4359" s="309" t="s">
        <v>411</v>
      </c>
      <c r="C4359" s="309" t="s">
        <v>118</v>
      </c>
      <c r="D4359">
        <v>0</v>
      </c>
    </row>
    <row r="4360" spans="1:4" x14ac:dyDescent="0.25">
      <c r="A4360" s="279">
        <v>39158</v>
      </c>
      <c r="B4360" s="309" t="s">
        <v>411</v>
      </c>
      <c r="C4360" s="309" t="s">
        <v>407</v>
      </c>
      <c r="D4360">
        <v>194111</v>
      </c>
    </row>
    <row r="4361" spans="1:4" x14ac:dyDescent="0.25">
      <c r="A4361" s="279">
        <v>39158</v>
      </c>
      <c r="B4361" s="309" t="s">
        <v>411</v>
      </c>
      <c r="C4361" s="309" t="s">
        <v>412</v>
      </c>
      <c r="D4361">
        <v>1007</v>
      </c>
    </row>
    <row r="4362" spans="1:4" x14ac:dyDescent="0.25">
      <c r="A4362" s="279">
        <v>39158</v>
      </c>
      <c r="B4362" s="309" t="s">
        <v>411</v>
      </c>
      <c r="C4362" s="309" t="s">
        <v>409</v>
      </c>
      <c r="D4362">
        <v>1049</v>
      </c>
    </row>
    <row r="4363" spans="1:4" x14ac:dyDescent="0.25">
      <c r="A4363" s="279">
        <v>39159</v>
      </c>
      <c r="B4363" s="309" t="s">
        <v>405</v>
      </c>
      <c r="C4363" s="309" t="s">
        <v>406</v>
      </c>
      <c r="D4363">
        <v>2459312.1</v>
      </c>
    </row>
    <row r="4364" spans="1:4" x14ac:dyDescent="0.25">
      <c r="A4364" s="279">
        <v>39159</v>
      </c>
      <c r="B4364" s="309" t="s">
        <v>405</v>
      </c>
      <c r="C4364" s="309" t="s">
        <v>89</v>
      </c>
      <c r="D4364">
        <v>0</v>
      </c>
    </row>
    <row r="4365" spans="1:4" x14ac:dyDescent="0.25">
      <c r="A4365" s="279">
        <v>39159</v>
      </c>
      <c r="B4365" s="309" t="s">
        <v>405</v>
      </c>
      <c r="C4365" s="309" t="s">
        <v>198</v>
      </c>
      <c r="D4365">
        <v>0</v>
      </c>
    </row>
    <row r="4366" spans="1:4" x14ac:dyDescent="0.25">
      <c r="A4366" s="279">
        <v>39159</v>
      </c>
      <c r="B4366" s="309" t="s">
        <v>405</v>
      </c>
      <c r="C4366" s="309" t="s">
        <v>199</v>
      </c>
      <c r="D4366">
        <v>0</v>
      </c>
    </row>
    <row r="4367" spans="1:4" x14ac:dyDescent="0.25">
      <c r="A4367" s="279">
        <v>39159</v>
      </c>
      <c r="B4367" s="309" t="s">
        <v>405</v>
      </c>
      <c r="C4367" s="309" t="s">
        <v>90</v>
      </c>
      <c r="D4367">
        <v>802</v>
      </c>
    </row>
    <row r="4368" spans="1:4" x14ac:dyDescent="0.25">
      <c r="A4368" s="279">
        <v>39159</v>
      </c>
      <c r="B4368" s="309" t="s">
        <v>405</v>
      </c>
      <c r="C4368" s="309" t="s">
        <v>24</v>
      </c>
      <c r="D4368">
        <v>0</v>
      </c>
    </row>
    <row r="4369" spans="1:4" x14ac:dyDescent="0.25">
      <c r="A4369" s="279">
        <v>39159</v>
      </c>
      <c r="B4369" s="309" t="s">
        <v>405</v>
      </c>
      <c r="C4369" s="309" t="s">
        <v>91</v>
      </c>
      <c r="D4369">
        <v>0</v>
      </c>
    </row>
    <row r="4370" spans="1:4" x14ac:dyDescent="0.25">
      <c r="A4370" s="279">
        <v>39159</v>
      </c>
      <c r="B4370" s="309" t="s">
        <v>405</v>
      </c>
      <c r="C4370" s="309" t="s">
        <v>118</v>
      </c>
      <c r="D4370">
        <v>0</v>
      </c>
    </row>
    <row r="4371" spans="1:4" x14ac:dyDescent="0.25">
      <c r="A4371" s="279">
        <v>39159</v>
      </c>
      <c r="B4371" s="309" t="s">
        <v>405</v>
      </c>
      <c r="C4371" s="309" t="s">
        <v>407</v>
      </c>
      <c r="D4371">
        <v>2458510.1</v>
      </c>
    </row>
    <row r="4372" spans="1:4" x14ac:dyDescent="0.25">
      <c r="A4372" s="279">
        <v>39159</v>
      </c>
      <c r="B4372" s="309" t="s">
        <v>405</v>
      </c>
      <c r="C4372" s="309" t="s">
        <v>408</v>
      </c>
      <c r="D4372">
        <v>1007</v>
      </c>
    </row>
    <row r="4373" spans="1:4" x14ac:dyDescent="0.25">
      <c r="A4373" s="279">
        <v>39159</v>
      </c>
      <c r="B4373" s="309" t="s">
        <v>405</v>
      </c>
      <c r="C4373" s="309" t="s">
        <v>409</v>
      </c>
      <c r="D4373">
        <v>1058</v>
      </c>
    </row>
    <row r="4374" spans="1:4" x14ac:dyDescent="0.25">
      <c r="A4374" s="279">
        <v>39159</v>
      </c>
      <c r="B4374" s="309" t="s">
        <v>405</v>
      </c>
      <c r="C4374" s="309" t="s">
        <v>410</v>
      </c>
      <c r="D4374">
        <v>1038</v>
      </c>
    </row>
    <row r="4375" spans="1:4" x14ac:dyDescent="0.25">
      <c r="A4375" s="279">
        <v>39159</v>
      </c>
      <c r="B4375" s="309" t="s">
        <v>411</v>
      </c>
      <c r="C4375" s="309" t="s">
        <v>406</v>
      </c>
      <c r="D4375">
        <v>194111</v>
      </c>
    </row>
    <row r="4376" spans="1:4" x14ac:dyDescent="0.25">
      <c r="A4376" s="279">
        <v>39159</v>
      </c>
      <c r="B4376" s="309" t="s">
        <v>411</v>
      </c>
      <c r="C4376" s="309" t="s">
        <v>198</v>
      </c>
      <c r="D4376">
        <v>0</v>
      </c>
    </row>
    <row r="4377" spans="1:4" x14ac:dyDescent="0.25">
      <c r="A4377" s="279">
        <v>39159</v>
      </c>
      <c r="B4377" s="309" t="s">
        <v>411</v>
      </c>
      <c r="C4377" s="309" t="s">
        <v>199</v>
      </c>
      <c r="D4377">
        <v>0</v>
      </c>
    </row>
    <row r="4378" spans="1:4" x14ac:dyDescent="0.25">
      <c r="A4378" s="279">
        <v>39159</v>
      </c>
      <c r="B4378" s="309" t="s">
        <v>411</v>
      </c>
      <c r="C4378" s="309" t="s">
        <v>90</v>
      </c>
      <c r="D4378">
        <v>276</v>
      </c>
    </row>
    <row r="4379" spans="1:4" x14ac:dyDescent="0.25">
      <c r="A4379" s="279">
        <v>39159</v>
      </c>
      <c r="B4379" s="309" t="s">
        <v>411</v>
      </c>
      <c r="C4379" s="309" t="s">
        <v>24</v>
      </c>
      <c r="D4379">
        <v>0</v>
      </c>
    </row>
    <row r="4380" spans="1:4" x14ac:dyDescent="0.25">
      <c r="A4380" s="279">
        <v>39159</v>
      </c>
      <c r="B4380" s="309" t="s">
        <v>411</v>
      </c>
      <c r="C4380" s="309" t="s">
        <v>91</v>
      </c>
      <c r="D4380">
        <v>0</v>
      </c>
    </row>
    <row r="4381" spans="1:4" x14ac:dyDescent="0.25">
      <c r="A4381" s="279">
        <v>39159</v>
      </c>
      <c r="B4381" s="309" t="s">
        <v>411</v>
      </c>
      <c r="C4381" s="309" t="s">
        <v>118</v>
      </c>
      <c r="D4381">
        <v>0</v>
      </c>
    </row>
    <row r="4382" spans="1:4" x14ac:dyDescent="0.25">
      <c r="A4382" s="279">
        <v>39159</v>
      </c>
      <c r="B4382" s="309" t="s">
        <v>411</v>
      </c>
      <c r="C4382" s="309" t="s">
        <v>407</v>
      </c>
      <c r="D4382">
        <v>193835</v>
      </c>
    </row>
    <row r="4383" spans="1:4" x14ac:dyDescent="0.25">
      <c r="A4383" s="279">
        <v>39159</v>
      </c>
      <c r="B4383" s="309" t="s">
        <v>411</v>
      </c>
      <c r="C4383" s="309" t="s">
        <v>412</v>
      </c>
      <c r="D4383">
        <v>1007</v>
      </c>
    </row>
    <row r="4384" spans="1:4" x14ac:dyDescent="0.25">
      <c r="A4384" s="279">
        <v>39159</v>
      </c>
      <c r="B4384" s="309" t="s">
        <v>411</v>
      </c>
      <c r="C4384" s="309" t="s">
        <v>409</v>
      </c>
      <c r="D4384">
        <v>1049</v>
      </c>
    </row>
    <row r="4385" spans="1:4" x14ac:dyDescent="0.25">
      <c r="A4385" s="279">
        <v>39160</v>
      </c>
      <c r="B4385" s="309" t="s">
        <v>405</v>
      </c>
      <c r="C4385" s="309" t="s">
        <v>406</v>
      </c>
      <c r="D4385">
        <v>2458510.1</v>
      </c>
    </row>
    <row r="4386" spans="1:4" x14ac:dyDescent="0.25">
      <c r="A4386" s="279">
        <v>39160</v>
      </c>
      <c r="B4386" s="309" t="s">
        <v>405</v>
      </c>
      <c r="C4386" s="309" t="s">
        <v>89</v>
      </c>
      <c r="D4386">
        <v>0</v>
      </c>
    </row>
    <row r="4387" spans="1:4" x14ac:dyDescent="0.25">
      <c r="A4387" s="279">
        <v>39160</v>
      </c>
      <c r="B4387" s="309" t="s">
        <v>405</v>
      </c>
      <c r="C4387" s="309" t="s">
        <v>198</v>
      </c>
      <c r="D4387">
        <v>0</v>
      </c>
    </row>
    <row r="4388" spans="1:4" x14ac:dyDescent="0.25">
      <c r="A4388" s="279">
        <v>39160</v>
      </c>
      <c r="B4388" s="309" t="s">
        <v>405</v>
      </c>
      <c r="C4388" s="309" t="s">
        <v>199</v>
      </c>
      <c r="D4388">
        <v>0</v>
      </c>
    </row>
    <row r="4389" spans="1:4" x14ac:dyDescent="0.25">
      <c r="A4389" s="279">
        <v>39160</v>
      </c>
      <c r="B4389" s="309" t="s">
        <v>405</v>
      </c>
      <c r="C4389" s="309" t="s">
        <v>90</v>
      </c>
      <c r="D4389">
        <v>2136</v>
      </c>
    </row>
    <row r="4390" spans="1:4" x14ac:dyDescent="0.25">
      <c r="A4390" s="279">
        <v>39160</v>
      </c>
      <c r="B4390" s="309" t="s">
        <v>405</v>
      </c>
      <c r="C4390" s="309" t="s">
        <v>24</v>
      </c>
      <c r="D4390">
        <v>0</v>
      </c>
    </row>
    <row r="4391" spans="1:4" x14ac:dyDescent="0.25">
      <c r="A4391" s="279">
        <v>39160</v>
      </c>
      <c r="B4391" s="309" t="s">
        <v>405</v>
      </c>
      <c r="C4391" s="309" t="s">
        <v>91</v>
      </c>
      <c r="D4391">
        <v>0</v>
      </c>
    </row>
    <row r="4392" spans="1:4" x14ac:dyDescent="0.25">
      <c r="A4392" s="279">
        <v>39160</v>
      </c>
      <c r="B4392" s="309" t="s">
        <v>405</v>
      </c>
      <c r="C4392" s="309" t="s">
        <v>118</v>
      </c>
      <c r="D4392">
        <v>0</v>
      </c>
    </row>
    <row r="4393" spans="1:4" x14ac:dyDescent="0.25">
      <c r="A4393" s="279">
        <v>39160</v>
      </c>
      <c r="B4393" s="309" t="s">
        <v>405</v>
      </c>
      <c r="C4393" s="309" t="s">
        <v>407</v>
      </c>
      <c r="D4393">
        <v>2456374.1</v>
      </c>
    </row>
    <row r="4394" spans="1:4" x14ac:dyDescent="0.25">
      <c r="A4394" s="279">
        <v>39160</v>
      </c>
      <c r="B4394" s="309" t="s">
        <v>405</v>
      </c>
      <c r="C4394" s="309" t="s">
        <v>408</v>
      </c>
      <c r="D4394">
        <v>1007</v>
      </c>
    </row>
    <row r="4395" spans="1:4" x14ac:dyDescent="0.25">
      <c r="A4395" s="279">
        <v>39160</v>
      </c>
      <c r="B4395" s="309" t="s">
        <v>405</v>
      </c>
      <c r="C4395" s="309" t="s">
        <v>409</v>
      </c>
      <c r="D4395">
        <v>1058</v>
      </c>
    </row>
    <row r="4396" spans="1:4" x14ac:dyDescent="0.25">
      <c r="A4396" s="279">
        <v>39160</v>
      </c>
      <c r="B4396" s="309" t="s">
        <v>405</v>
      </c>
      <c r="C4396" s="309" t="s">
        <v>410</v>
      </c>
      <c r="D4396">
        <v>1039</v>
      </c>
    </row>
    <row r="4397" spans="1:4" x14ac:dyDescent="0.25">
      <c r="A4397" s="279">
        <v>39160</v>
      </c>
      <c r="B4397" s="309" t="s">
        <v>411</v>
      </c>
      <c r="C4397" s="309" t="s">
        <v>406</v>
      </c>
      <c r="D4397">
        <v>193835</v>
      </c>
    </row>
    <row r="4398" spans="1:4" x14ac:dyDescent="0.25">
      <c r="A4398" s="279">
        <v>39160</v>
      </c>
      <c r="B4398" s="309" t="s">
        <v>411</v>
      </c>
      <c r="C4398" s="309" t="s">
        <v>198</v>
      </c>
      <c r="D4398">
        <v>0</v>
      </c>
    </row>
    <row r="4399" spans="1:4" x14ac:dyDescent="0.25">
      <c r="A4399" s="279">
        <v>39160</v>
      </c>
      <c r="B4399" s="309" t="s">
        <v>411</v>
      </c>
      <c r="C4399" s="309" t="s">
        <v>199</v>
      </c>
      <c r="D4399">
        <v>0</v>
      </c>
    </row>
    <row r="4400" spans="1:4" x14ac:dyDescent="0.25">
      <c r="A4400" s="279">
        <v>39160</v>
      </c>
      <c r="B4400" s="309" t="s">
        <v>411</v>
      </c>
      <c r="C4400" s="309" t="s">
        <v>90</v>
      </c>
      <c r="D4400">
        <v>0</v>
      </c>
    </row>
    <row r="4401" spans="1:4" x14ac:dyDescent="0.25">
      <c r="A4401" s="279">
        <v>39160</v>
      </c>
      <c r="B4401" s="309" t="s">
        <v>411</v>
      </c>
      <c r="C4401" s="309" t="s">
        <v>24</v>
      </c>
      <c r="D4401">
        <v>0</v>
      </c>
    </row>
    <row r="4402" spans="1:4" x14ac:dyDescent="0.25">
      <c r="A4402" s="279">
        <v>39160</v>
      </c>
      <c r="B4402" s="309" t="s">
        <v>411</v>
      </c>
      <c r="C4402" s="309" t="s">
        <v>91</v>
      </c>
      <c r="D4402">
        <v>0</v>
      </c>
    </row>
    <row r="4403" spans="1:4" x14ac:dyDescent="0.25">
      <c r="A4403" s="279">
        <v>39160</v>
      </c>
      <c r="B4403" s="309" t="s">
        <v>411</v>
      </c>
      <c r="C4403" s="309" t="s">
        <v>118</v>
      </c>
      <c r="D4403">
        <v>0</v>
      </c>
    </row>
    <row r="4404" spans="1:4" x14ac:dyDescent="0.25">
      <c r="A4404" s="279">
        <v>39160</v>
      </c>
      <c r="B4404" s="309" t="s">
        <v>411</v>
      </c>
      <c r="C4404" s="309" t="s">
        <v>407</v>
      </c>
      <c r="D4404">
        <v>193835</v>
      </c>
    </row>
    <row r="4405" spans="1:4" x14ac:dyDescent="0.25">
      <c r="A4405" s="279">
        <v>39160</v>
      </c>
      <c r="B4405" s="309" t="s">
        <v>411</v>
      </c>
      <c r="C4405" s="309" t="s">
        <v>412</v>
      </c>
      <c r="D4405">
        <v>1007</v>
      </c>
    </row>
    <row r="4406" spans="1:4" x14ac:dyDescent="0.25">
      <c r="A4406" s="279">
        <v>39160</v>
      </c>
      <c r="B4406" s="309" t="s">
        <v>411</v>
      </c>
      <c r="C4406" s="309" t="s">
        <v>409</v>
      </c>
      <c r="D4406">
        <v>1049</v>
      </c>
    </row>
    <row r="4407" spans="1:4" x14ac:dyDescent="0.25">
      <c r="A4407" s="279">
        <v>39161</v>
      </c>
      <c r="B4407" s="309" t="s">
        <v>405</v>
      </c>
      <c r="C4407" s="309" t="s">
        <v>406</v>
      </c>
      <c r="D4407">
        <v>2456374.1</v>
      </c>
    </row>
    <row r="4408" spans="1:4" x14ac:dyDescent="0.25">
      <c r="A4408" s="279">
        <v>39161</v>
      </c>
      <c r="B4408" s="309" t="s">
        <v>405</v>
      </c>
      <c r="C4408" s="309" t="s">
        <v>89</v>
      </c>
      <c r="D4408">
        <v>0</v>
      </c>
    </row>
    <row r="4409" spans="1:4" x14ac:dyDescent="0.25">
      <c r="A4409" s="279">
        <v>39161</v>
      </c>
      <c r="B4409" s="309" t="s">
        <v>405</v>
      </c>
      <c r="C4409" s="309" t="s">
        <v>198</v>
      </c>
      <c r="D4409">
        <v>0</v>
      </c>
    </row>
    <row r="4410" spans="1:4" x14ac:dyDescent="0.25">
      <c r="A4410" s="279">
        <v>39161</v>
      </c>
      <c r="B4410" s="309" t="s">
        <v>405</v>
      </c>
      <c r="C4410" s="309" t="s">
        <v>199</v>
      </c>
      <c r="D4410">
        <v>0</v>
      </c>
    </row>
    <row r="4411" spans="1:4" x14ac:dyDescent="0.25">
      <c r="A4411" s="279">
        <v>39161</v>
      </c>
      <c r="B4411" s="309" t="s">
        <v>405</v>
      </c>
      <c r="C4411" s="309" t="s">
        <v>90</v>
      </c>
      <c r="D4411">
        <v>268</v>
      </c>
    </row>
    <row r="4412" spans="1:4" x14ac:dyDescent="0.25">
      <c r="A4412" s="279">
        <v>39161</v>
      </c>
      <c r="B4412" s="309" t="s">
        <v>405</v>
      </c>
      <c r="C4412" s="309" t="s">
        <v>24</v>
      </c>
      <c r="D4412">
        <v>0</v>
      </c>
    </row>
    <row r="4413" spans="1:4" x14ac:dyDescent="0.25">
      <c r="A4413" s="279">
        <v>39161</v>
      </c>
      <c r="B4413" s="309" t="s">
        <v>405</v>
      </c>
      <c r="C4413" s="309" t="s">
        <v>91</v>
      </c>
      <c r="D4413">
        <v>0</v>
      </c>
    </row>
    <row r="4414" spans="1:4" x14ac:dyDescent="0.25">
      <c r="A4414" s="279">
        <v>39161</v>
      </c>
      <c r="B4414" s="309" t="s">
        <v>405</v>
      </c>
      <c r="C4414" s="309" t="s">
        <v>118</v>
      </c>
      <c r="D4414">
        <v>0</v>
      </c>
    </row>
    <row r="4415" spans="1:4" x14ac:dyDescent="0.25">
      <c r="A4415" s="279">
        <v>39161</v>
      </c>
      <c r="B4415" s="309" t="s">
        <v>405</v>
      </c>
      <c r="C4415" s="309" t="s">
        <v>407</v>
      </c>
      <c r="D4415">
        <v>2456106.1</v>
      </c>
    </row>
    <row r="4416" spans="1:4" x14ac:dyDescent="0.25">
      <c r="A4416" s="279">
        <v>39161</v>
      </c>
      <c r="B4416" s="309" t="s">
        <v>405</v>
      </c>
      <c r="C4416" s="309" t="s">
        <v>408</v>
      </c>
      <c r="D4416">
        <v>1007</v>
      </c>
    </row>
    <row r="4417" spans="1:4" x14ac:dyDescent="0.25">
      <c r="A4417" s="279">
        <v>39161</v>
      </c>
      <c r="B4417" s="309" t="s">
        <v>405</v>
      </c>
      <c r="C4417" s="309" t="s">
        <v>409</v>
      </c>
      <c r="D4417">
        <v>1058</v>
      </c>
    </row>
    <row r="4418" spans="1:4" x14ac:dyDescent="0.25">
      <c r="A4418" s="279">
        <v>39161</v>
      </c>
      <c r="B4418" s="309" t="s">
        <v>405</v>
      </c>
      <c r="C4418" s="309" t="s">
        <v>410</v>
      </c>
      <c r="D4418">
        <v>1038</v>
      </c>
    </row>
    <row r="4419" spans="1:4" x14ac:dyDescent="0.25">
      <c r="A4419" s="279">
        <v>39161</v>
      </c>
      <c r="B4419" s="309" t="s">
        <v>411</v>
      </c>
      <c r="C4419" s="309" t="s">
        <v>406</v>
      </c>
      <c r="D4419">
        <v>193835</v>
      </c>
    </row>
    <row r="4420" spans="1:4" x14ac:dyDescent="0.25">
      <c r="A4420" s="279">
        <v>39161</v>
      </c>
      <c r="B4420" s="309" t="s">
        <v>411</v>
      </c>
      <c r="C4420" s="309" t="s">
        <v>198</v>
      </c>
      <c r="D4420">
        <v>0</v>
      </c>
    </row>
    <row r="4421" spans="1:4" x14ac:dyDescent="0.25">
      <c r="A4421" s="279">
        <v>39161</v>
      </c>
      <c r="B4421" s="309" t="s">
        <v>411</v>
      </c>
      <c r="C4421" s="309" t="s">
        <v>199</v>
      </c>
      <c r="D4421">
        <v>0</v>
      </c>
    </row>
    <row r="4422" spans="1:4" x14ac:dyDescent="0.25">
      <c r="A4422" s="279">
        <v>39161</v>
      </c>
      <c r="B4422" s="309" t="s">
        <v>411</v>
      </c>
      <c r="C4422" s="309" t="s">
        <v>90</v>
      </c>
      <c r="D4422">
        <v>0</v>
      </c>
    </row>
    <row r="4423" spans="1:4" x14ac:dyDescent="0.25">
      <c r="A4423" s="279">
        <v>39161</v>
      </c>
      <c r="B4423" s="309" t="s">
        <v>411</v>
      </c>
      <c r="C4423" s="309" t="s">
        <v>24</v>
      </c>
      <c r="D4423">
        <v>0</v>
      </c>
    </row>
    <row r="4424" spans="1:4" x14ac:dyDescent="0.25">
      <c r="A4424" s="279">
        <v>39161</v>
      </c>
      <c r="B4424" s="309" t="s">
        <v>411</v>
      </c>
      <c r="C4424" s="309" t="s">
        <v>91</v>
      </c>
      <c r="D4424">
        <v>0</v>
      </c>
    </row>
    <row r="4425" spans="1:4" x14ac:dyDescent="0.25">
      <c r="A4425" s="279">
        <v>39161</v>
      </c>
      <c r="B4425" s="309" t="s">
        <v>411</v>
      </c>
      <c r="C4425" s="309" t="s">
        <v>118</v>
      </c>
      <c r="D4425">
        <v>0</v>
      </c>
    </row>
    <row r="4426" spans="1:4" x14ac:dyDescent="0.25">
      <c r="A4426" s="279">
        <v>39161</v>
      </c>
      <c r="B4426" s="309" t="s">
        <v>411</v>
      </c>
      <c r="C4426" s="309" t="s">
        <v>407</v>
      </c>
      <c r="D4426">
        <v>193835</v>
      </c>
    </row>
    <row r="4427" spans="1:4" x14ac:dyDescent="0.25">
      <c r="A4427" s="279">
        <v>39161</v>
      </c>
      <c r="B4427" s="309" t="s">
        <v>411</v>
      </c>
      <c r="C4427" s="309" t="s">
        <v>412</v>
      </c>
      <c r="D4427">
        <v>1007</v>
      </c>
    </row>
    <row r="4428" spans="1:4" x14ac:dyDescent="0.25">
      <c r="A4428" s="279">
        <v>39161</v>
      </c>
      <c r="B4428" s="309" t="s">
        <v>411</v>
      </c>
      <c r="C4428" s="309" t="s">
        <v>409</v>
      </c>
      <c r="D4428">
        <v>1049</v>
      </c>
    </row>
    <row r="4429" spans="1:4" x14ac:dyDescent="0.25">
      <c r="A4429" s="279">
        <v>39162</v>
      </c>
      <c r="B4429" s="309" t="s">
        <v>405</v>
      </c>
      <c r="C4429" s="309" t="s">
        <v>406</v>
      </c>
      <c r="D4429">
        <v>2456106.1</v>
      </c>
    </row>
    <row r="4430" spans="1:4" x14ac:dyDescent="0.25">
      <c r="A4430" s="279">
        <v>39162</v>
      </c>
      <c r="B4430" s="309" t="s">
        <v>405</v>
      </c>
      <c r="C4430" s="309" t="s">
        <v>89</v>
      </c>
      <c r="D4430">
        <v>0</v>
      </c>
    </row>
    <row r="4431" spans="1:4" x14ac:dyDescent="0.25">
      <c r="A4431" s="279">
        <v>39162</v>
      </c>
      <c r="B4431" s="309" t="s">
        <v>405</v>
      </c>
      <c r="C4431" s="309" t="s">
        <v>198</v>
      </c>
      <c r="D4431">
        <v>0</v>
      </c>
    </row>
    <row r="4432" spans="1:4" x14ac:dyDescent="0.25">
      <c r="A4432" s="279">
        <v>39162</v>
      </c>
      <c r="B4432" s="309" t="s">
        <v>405</v>
      </c>
      <c r="C4432" s="309" t="s">
        <v>199</v>
      </c>
      <c r="D4432">
        <v>0</v>
      </c>
    </row>
    <row r="4433" spans="1:4" x14ac:dyDescent="0.25">
      <c r="A4433" s="279">
        <v>39162</v>
      </c>
      <c r="B4433" s="309" t="s">
        <v>405</v>
      </c>
      <c r="C4433" s="309" t="s">
        <v>90</v>
      </c>
      <c r="D4433">
        <v>1069</v>
      </c>
    </row>
    <row r="4434" spans="1:4" x14ac:dyDescent="0.25">
      <c r="A4434" s="279">
        <v>39162</v>
      </c>
      <c r="B4434" s="309" t="s">
        <v>405</v>
      </c>
      <c r="C4434" s="309" t="s">
        <v>24</v>
      </c>
      <c r="D4434">
        <v>0</v>
      </c>
    </row>
    <row r="4435" spans="1:4" x14ac:dyDescent="0.25">
      <c r="A4435" s="279">
        <v>39162</v>
      </c>
      <c r="B4435" s="309" t="s">
        <v>405</v>
      </c>
      <c r="C4435" s="309" t="s">
        <v>91</v>
      </c>
      <c r="D4435">
        <v>0</v>
      </c>
    </row>
    <row r="4436" spans="1:4" x14ac:dyDescent="0.25">
      <c r="A4436" s="279">
        <v>39162</v>
      </c>
      <c r="B4436" s="309" t="s">
        <v>405</v>
      </c>
      <c r="C4436" s="309" t="s">
        <v>118</v>
      </c>
      <c r="D4436">
        <v>0</v>
      </c>
    </row>
    <row r="4437" spans="1:4" x14ac:dyDescent="0.25">
      <c r="A4437" s="279">
        <v>39162</v>
      </c>
      <c r="B4437" s="309" t="s">
        <v>405</v>
      </c>
      <c r="C4437" s="309" t="s">
        <v>407</v>
      </c>
      <c r="D4437">
        <v>2455037.1</v>
      </c>
    </row>
    <row r="4438" spans="1:4" x14ac:dyDescent="0.25">
      <c r="A4438" s="279">
        <v>39162</v>
      </c>
      <c r="B4438" s="309" t="s">
        <v>405</v>
      </c>
      <c r="C4438" s="309" t="s">
        <v>408</v>
      </c>
      <c r="D4438">
        <v>1007</v>
      </c>
    </row>
    <row r="4439" spans="1:4" x14ac:dyDescent="0.25">
      <c r="A4439" s="279">
        <v>39162</v>
      </c>
      <c r="B4439" s="309" t="s">
        <v>405</v>
      </c>
      <c r="C4439" s="309" t="s">
        <v>409</v>
      </c>
      <c r="D4439">
        <v>1058</v>
      </c>
    </row>
    <row r="4440" spans="1:4" x14ac:dyDescent="0.25">
      <c r="A4440" s="279">
        <v>39162</v>
      </c>
      <c r="B4440" s="309" t="s">
        <v>405</v>
      </c>
      <c r="C4440" s="309" t="s">
        <v>410</v>
      </c>
      <c r="D4440">
        <v>1034</v>
      </c>
    </row>
    <row r="4441" spans="1:4" x14ac:dyDescent="0.25">
      <c r="A4441" s="279">
        <v>39162</v>
      </c>
      <c r="B4441" s="309" t="s">
        <v>411</v>
      </c>
      <c r="C4441" s="309" t="s">
        <v>406</v>
      </c>
      <c r="D4441">
        <v>193835</v>
      </c>
    </row>
    <row r="4442" spans="1:4" x14ac:dyDescent="0.25">
      <c r="A4442" s="279">
        <v>39162</v>
      </c>
      <c r="B4442" s="309" t="s">
        <v>411</v>
      </c>
      <c r="C4442" s="309" t="s">
        <v>198</v>
      </c>
      <c r="D4442">
        <v>0</v>
      </c>
    </row>
    <row r="4443" spans="1:4" x14ac:dyDescent="0.25">
      <c r="A4443" s="279">
        <v>39162</v>
      </c>
      <c r="B4443" s="309" t="s">
        <v>411</v>
      </c>
      <c r="C4443" s="309" t="s">
        <v>199</v>
      </c>
      <c r="D4443">
        <v>0</v>
      </c>
    </row>
    <row r="4444" spans="1:4" x14ac:dyDescent="0.25">
      <c r="A4444" s="279">
        <v>39162</v>
      </c>
      <c r="B4444" s="309" t="s">
        <v>411</v>
      </c>
      <c r="C4444" s="309" t="s">
        <v>90</v>
      </c>
      <c r="D4444">
        <v>0</v>
      </c>
    </row>
    <row r="4445" spans="1:4" x14ac:dyDescent="0.25">
      <c r="A4445" s="279">
        <v>39162</v>
      </c>
      <c r="B4445" s="309" t="s">
        <v>411</v>
      </c>
      <c r="C4445" s="309" t="s">
        <v>24</v>
      </c>
      <c r="D4445">
        <v>0</v>
      </c>
    </row>
    <row r="4446" spans="1:4" x14ac:dyDescent="0.25">
      <c r="A4446" s="279">
        <v>39162</v>
      </c>
      <c r="B4446" s="309" t="s">
        <v>411</v>
      </c>
      <c r="C4446" s="309" t="s">
        <v>91</v>
      </c>
      <c r="D4446">
        <v>0</v>
      </c>
    </row>
    <row r="4447" spans="1:4" x14ac:dyDescent="0.25">
      <c r="A4447" s="279">
        <v>39162</v>
      </c>
      <c r="B4447" s="309" t="s">
        <v>411</v>
      </c>
      <c r="C4447" s="309" t="s">
        <v>118</v>
      </c>
      <c r="D4447">
        <v>0</v>
      </c>
    </row>
    <row r="4448" spans="1:4" x14ac:dyDescent="0.25">
      <c r="A4448" s="279">
        <v>39162</v>
      </c>
      <c r="B4448" s="309" t="s">
        <v>411</v>
      </c>
      <c r="C4448" s="309" t="s">
        <v>407</v>
      </c>
      <c r="D4448">
        <v>193835</v>
      </c>
    </row>
    <row r="4449" spans="1:4" x14ac:dyDescent="0.25">
      <c r="A4449" s="279">
        <v>39162</v>
      </c>
      <c r="B4449" s="309" t="s">
        <v>411</v>
      </c>
      <c r="C4449" s="309" t="s">
        <v>412</v>
      </c>
      <c r="D4449">
        <v>1007</v>
      </c>
    </row>
    <row r="4450" spans="1:4" x14ac:dyDescent="0.25">
      <c r="A4450" s="279">
        <v>39162</v>
      </c>
      <c r="B4450" s="309" t="s">
        <v>411</v>
      </c>
      <c r="C4450" s="309" t="s">
        <v>409</v>
      </c>
      <c r="D4450">
        <v>1049</v>
      </c>
    </row>
    <row r="4451" spans="1:4" x14ac:dyDescent="0.25">
      <c r="A4451" s="279">
        <v>39163</v>
      </c>
      <c r="B4451" s="309" t="s">
        <v>405</v>
      </c>
      <c r="C4451" s="309" t="s">
        <v>406</v>
      </c>
      <c r="D4451">
        <v>2455037.1</v>
      </c>
    </row>
    <row r="4452" spans="1:4" x14ac:dyDescent="0.25">
      <c r="A4452" s="279">
        <v>39163</v>
      </c>
      <c r="B4452" s="309" t="s">
        <v>405</v>
      </c>
      <c r="C4452" s="309" t="s">
        <v>89</v>
      </c>
      <c r="D4452">
        <v>0</v>
      </c>
    </row>
    <row r="4453" spans="1:4" x14ac:dyDescent="0.25">
      <c r="A4453" s="279">
        <v>39163</v>
      </c>
      <c r="B4453" s="309" t="s">
        <v>405</v>
      </c>
      <c r="C4453" s="309" t="s">
        <v>198</v>
      </c>
      <c r="D4453">
        <v>0</v>
      </c>
    </row>
    <row r="4454" spans="1:4" x14ac:dyDescent="0.25">
      <c r="A4454" s="279">
        <v>39163</v>
      </c>
      <c r="B4454" s="309" t="s">
        <v>405</v>
      </c>
      <c r="C4454" s="309" t="s">
        <v>199</v>
      </c>
      <c r="D4454">
        <v>0</v>
      </c>
    </row>
    <row r="4455" spans="1:4" x14ac:dyDescent="0.25">
      <c r="A4455" s="279">
        <v>39163</v>
      </c>
      <c r="B4455" s="309" t="s">
        <v>405</v>
      </c>
      <c r="C4455" s="309" t="s">
        <v>90</v>
      </c>
      <c r="D4455">
        <v>5068</v>
      </c>
    </row>
    <row r="4456" spans="1:4" x14ac:dyDescent="0.25">
      <c r="A4456" s="279">
        <v>39163</v>
      </c>
      <c r="B4456" s="309" t="s">
        <v>405</v>
      </c>
      <c r="C4456" s="309" t="s">
        <v>24</v>
      </c>
      <c r="D4456">
        <v>0</v>
      </c>
    </row>
    <row r="4457" spans="1:4" x14ac:dyDescent="0.25">
      <c r="A4457" s="279">
        <v>39163</v>
      </c>
      <c r="B4457" s="309" t="s">
        <v>405</v>
      </c>
      <c r="C4457" s="309" t="s">
        <v>91</v>
      </c>
      <c r="D4457">
        <v>0</v>
      </c>
    </row>
    <row r="4458" spans="1:4" x14ac:dyDescent="0.25">
      <c r="A4458" s="279">
        <v>39163</v>
      </c>
      <c r="B4458" s="309" t="s">
        <v>405</v>
      </c>
      <c r="C4458" s="309" t="s">
        <v>118</v>
      </c>
      <c r="D4458">
        <v>0</v>
      </c>
    </row>
    <row r="4459" spans="1:4" x14ac:dyDescent="0.25">
      <c r="A4459" s="279">
        <v>39163</v>
      </c>
      <c r="B4459" s="309" t="s">
        <v>405</v>
      </c>
      <c r="C4459" s="309" t="s">
        <v>407</v>
      </c>
      <c r="D4459">
        <v>2449969.1</v>
      </c>
    </row>
    <row r="4460" spans="1:4" x14ac:dyDescent="0.25">
      <c r="A4460" s="279">
        <v>39163</v>
      </c>
      <c r="B4460" s="309" t="s">
        <v>405</v>
      </c>
      <c r="C4460" s="309" t="s">
        <v>408</v>
      </c>
      <c r="D4460">
        <v>1007</v>
      </c>
    </row>
    <row r="4461" spans="1:4" x14ac:dyDescent="0.25">
      <c r="A4461" s="279">
        <v>39163</v>
      </c>
      <c r="B4461" s="309" t="s">
        <v>405</v>
      </c>
      <c r="C4461" s="309" t="s">
        <v>409</v>
      </c>
      <c r="D4461">
        <v>1058</v>
      </c>
    </row>
    <row r="4462" spans="1:4" x14ac:dyDescent="0.25">
      <c r="A4462" s="279">
        <v>39163</v>
      </c>
      <c r="B4462" s="309" t="s">
        <v>405</v>
      </c>
      <c r="C4462" s="309" t="s">
        <v>410</v>
      </c>
      <c r="D4462">
        <v>1034</v>
      </c>
    </row>
    <row r="4463" spans="1:4" x14ac:dyDescent="0.25">
      <c r="A4463" s="279">
        <v>39163</v>
      </c>
      <c r="B4463" s="309" t="s">
        <v>411</v>
      </c>
      <c r="C4463" s="309" t="s">
        <v>406</v>
      </c>
      <c r="D4463">
        <v>193835</v>
      </c>
    </row>
    <row r="4464" spans="1:4" x14ac:dyDescent="0.25">
      <c r="A4464" s="279">
        <v>39163</v>
      </c>
      <c r="B4464" s="309" t="s">
        <v>411</v>
      </c>
      <c r="C4464" s="309" t="s">
        <v>198</v>
      </c>
      <c r="D4464">
        <v>0</v>
      </c>
    </row>
    <row r="4465" spans="1:4" x14ac:dyDescent="0.25">
      <c r="A4465" s="279">
        <v>39163</v>
      </c>
      <c r="B4465" s="309" t="s">
        <v>411</v>
      </c>
      <c r="C4465" s="309" t="s">
        <v>199</v>
      </c>
      <c r="D4465">
        <v>0</v>
      </c>
    </row>
    <row r="4466" spans="1:4" x14ac:dyDescent="0.25">
      <c r="A4466" s="279">
        <v>39163</v>
      </c>
      <c r="B4466" s="309" t="s">
        <v>411</v>
      </c>
      <c r="C4466" s="309" t="s">
        <v>90</v>
      </c>
      <c r="D4466">
        <v>68</v>
      </c>
    </row>
    <row r="4467" spans="1:4" x14ac:dyDescent="0.25">
      <c r="A4467" s="279">
        <v>39163</v>
      </c>
      <c r="B4467" s="309" t="s">
        <v>411</v>
      </c>
      <c r="C4467" s="309" t="s">
        <v>24</v>
      </c>
      <c r="D4467">
        <v>0</v>
      </c>
    </row>
    <row r="4468" spans="1:4" x14ac:dyDescent="0.25">
      <c r="A4468" s="279">
        <v>39163</v>
      </c>
      <c r="B4468" s="309" t="s">
        <v>411</v>
      </c>
      <c r="C4468" s="309" t="s">
        <v>91</v>
      </c>
      <c r="D4468">
        <v>0</v>
      </c>
    </row>
    <row r="4469" spans="1:4" x14ac:dyDescent="0.25">
      <c r="A4469" s="279">
        <v>39163</v>
      </c>
      <c r="B4469" s="309" t="s">
        <v>411</v>
      </c>
      <c r="C4469" s="309" t="s">
        <v>118</v>
      </c>
      <c r="D4469">
        <v>0</v>
      </c>
    </row>
    <row r="4470" spans="1:4" x14ac:dyDescent="0.25">
      <c r="A4470" s="279">
        <v>39163</v>
      </c>
      <c r="B4470" s="309" t="s">
        <v>411</v>
      </c>
      <c r="C4470" s="309" t="s">
        <v>407</v>
      </c>
      <c r="D4470">
        <v>193767</v>
      </c>
    </row>
    <row r="4471" spans="1:4" x14ac:dyDescent="0.25">
      <c r="A4471" s="279">
        <v>39163</v>
      </c>
      <c r="B4471" s="309" t="s">
        <v>411</v>
      </c>
      <c r="C4471" s="309" t="s">
        <v>412</v>
      </c>
      <c r="D4471">
        <v>1007</v>
      </c>
    </row>
    <row r="4472" spans="1:4" x14ac:dyDescent="0.25">
      <c r="A4472" s="279">
        <v>39163</v>
      </c>
      <c r="B4472" s="309" t="s">
        <v>411</v>
      </c>
      <c r="C4472" s="309" t="s">
        <v>409</v>
      </c>
      <c r="D4472">
        <v>1049</v>
      </c>
    </row>
    <row r="4473" spans="1:4" x14ac:dyDescent="0.25">
      <c r="A4473" s="279">
        <v>39164</v>
      </c>
      <c r="B4473" s="309" t="s">
        <v>405</v>
      </c>
      <c r="C4473" s="309" t="s">
        <v>406</v>
      </c>
      <c r="D4473">
        <v>2449969.1</v>
      </c>
    </row>
    <row r="4474" spans="1:4" x14ac:dyDescent="0.25">
      <c r="A4474" s="279">
        <v>39164</v>
      </c>
      <c r="B4474" s="309" t="s">
        <v>405</v>
      </c>
      <c r="C4474" s="309" t="s">
        <v>89</v>
      </c>
      <c r="D4474">
        <v>0</v>
      </c>
    </row>
    <row r="4475" spans="1:4" x14ac:dyDescent="0.25">
      <c r="A4475" s="279">
        <v>39164</v>
      </c>
      <c r="B4475" s="309" t="s">
        <v>405</v>
      </c>
      <c r="C4475" s="309" t="s">
        <v>198</v>
      </c>
      <c r="D4475">
        <v>0</v>
      </c>
    </row>
    <row r="4476" spans="1:4" x14ac:dyDescent="0.25">
      <c r="A4476" s="279">
        <v>39164</v>
      </c>
      <c r="B4476" s="309" t="s">
        <v>405</v>
      </c>
      <c r="C4476" s="309" t="s">
        <v>199</v>
      </c>
      <c r="D4476">
        <v>0</v>
      </c>
    </row>
    <row r="4477" spans="1:4" x14ac:dyDescent="0.25">
      <c r="A4477" s="279">
        <v>39164</v>
      </c>
      <c r="B4477" s="309" t="s">
        <v>405</v>
      </c>
      <c r="C4477" s="309" t="s">
        <v>90</v>
      </c>
      <c r="D4477">
        <v>2670</v>
      </c>
    </row>
    <row r="4478" spans="1:4" x14ac:dyDescent="0.25">
      <c r="A4478" s="279">
        <v>39164</v>
      </c>
      <c r="B4478" s="309" t="s">
        <v>405</v>
      </c>
      <c r="C4478" s="309" t="s">
        <v>24</v>
      </c>
      <c r="D4478">
        <v>0</v>
      </c>
    </row>
    <row r="4479" spans="1:4" x14ac:dyDescent="0.25">
      <c r="A4479" s="279">
        <v>39164</v>
      </c>
      <c r="B4479" s="309" t="s">
        <v>405</v>
      </c>
      <c r="C4479" s="309" t="s">
        <v>91</v>
      </c>
      <c r="D4479">
        <v>0</v>
      </c>
    </row>
    <row r="4480" spans="1:4" x14ac:dyDescent="0.25">
      <c r="A4480" s="279">
        <v>39164</v>
      </c>
      <c r="B4480" s="309" t="s">
        <v>405</v>
      </c>
      <c r="C4480" s="309" t="s">
        <v>118</v>
      </c>
      <c r="D4480">
        <v>0</v>
      </c>
    </row>
    <row r="4481" spans="1:4" x14ac:dyDescent="0.25">
      <c r="A4481" s="279">
        <v>39164</v>
      </c>
      <c r="B4481" s="309" t="s">
        <v>405</v>
      </c>
      <c r="C4481" s="309" t="s">
        <v>407</v>
      </c>
      <c r="D4481">
        <v>2447299.1</v>
      </c>
    </row>
    <row r="4482" spans="1:4" x14ac:dyDescent="0.25">
      <c r="A4482" s="279">
        <v>39164</v>
      </c>
      <c r="B4482" s="309" t="s">
        <v>405</v>
      </c>
      <c r="C4482" s="309" t="s">
        <v>408</v>
      </c>
      <c r="D4482">
        <v>1007</v>
      </c>
    </row>
    <row r="4483" spans="1:4" x14ac:dyDescent="0.25">
      <c r="A4483" s="279">
        <v>39164</v>
      </c>
      <c r="B4483" s="309" t="s">
        <v>405</v>
      </c>
      <c r="C4483" s="309" t="s">
        <v>409</v>
      </c>
      <c r="D4483">
        <v>1058</v>
      </c>
    </row>
    <row r="4484" spans="1:4" x14ac:dyDescent="0.25">
      <c r="A4484" s="279">
        <v>39164</v>
      </c>
      <c r="B4484" s="309" t="s">
        <v>405</v>
      </c>
      <c r="C4484" s="309" t="s">
        <v>410</v>
      </c>
      <c r="D4484">
        <v>1033</v>
      </c>
    </row>
    <row r="4485" spans="1:4" x14ac:dyDescent="0.25">
      <c r="A4485" s="279">
        <v>39164</v>
      </c>
      <c r="B4485" s="309" t="s">
        <v>411</v>
      </c>
      <c r="C4485" s="309" t="s">
        <v>406</v>
      </c>
      <c r="D4485">
        <v>193767</v>
      </c>
    </row>
    <row r="4486" spans="1:4" x14ac:dyDescent="0.25">
      <c r="A4486" s="279">
        <v>39164</v>
      </c>
      <c r="B4486" s="309" t="s">
        <v>411</v>
      </c>
      <c r="C4486" s="309" t="s">
        <v>198</v>
      </c>
      <c r="D4486">
        <v>0</v>
      </c>
    </row>
    <row r="4487" spans="1:4" x14ac:dyDescent="0.25">
      <c r="A4487" s="279">
        <v>39164</v>
      </c>
      <c r="B4487" s="309" t="s">
        <v>411</v>
      </c>
      <c r="C4487" s="309" t="s">
        <v>199</v>
      </c>
      <c r="D4487">
        <v>0</v>
      </c>
    </row>
    <row r="4488" spans="1:4" x14ac:dyDescent="0.25">
      <c r="A4488" s="279">
        <v>39164</v>
      </c>
      <c r="B4488" s="309" t="s">
        <v>411</v>
      </c>
      <c r="C4488" s="309" t="s">
        <v>90</v>
      </c>
      <c r="D4488">
        <v>208</v>
      </c>
    </row>
    <row r="4489" spans="1:4" x14ac:dyDescent="0.25">
      <c r="A4489" s="279">
        <v>39164</v>
      </c>
      <c r="B4489" s="309" t="s">
        <v>411</v>
      </c>
      <c r="C4489" s="309" t="s">
        <v>24</v>
      </c>
      <c r="D4489">
        <v>0</v>
      </c>
    </row>
    <row r="4490" spans="1:4" x14ac:dyDescent="0.25">
      <c r="A4490" s="279">
        <v>39164</v>
      </c>
      <c r="B4490" s="309" t="s">
        <v>411</v>
      </c>
      <c r="C4490" s="309" t="s">
        <v>91</v>
      </c>
      <c r="D4490">
        <v>0</v>
      </c>
    </row>
    <row r="4491" spans="1:4" x14ac:dyDescent="0.25">
      <c r="A4491" s="279">
        <v>39164</v>
      </c>
      <c r="B4491" s="309" t="s">
        <v>411</v>
      </c>
      <c r="C4491" s="309" t="s">
        <v>118</v>
      </c>
      <c r="D4491">
        <v>0</v>
      </c>
    </row>
    <row r="4492" spans="1:4" x14ac:dyDescent="0.25">
      <c r="A4492" s="279">
        <v>39164</v>
      </c>
      <c r="B4492" s="309" t="s">
        <v>411</v>
      </c>
      <c r="C4492" s="309" t="s">
        <v>407</v>
      </c>
      <c r="D4492">
        <v>193559</v>
      </c>
    </row>
    <row r="4493" spans="1:4" x14ac:dyDescent="0.25">
      <c r="A4493" s="279">
        <v>39164</v>
      </c>
      <c r="B4493" s="309" t="s">
        <v>411</v>
      </c>
      <c r="C4493" s="309" t="s">
        <v>412</v>
      </c>
      <c r="D4493">
        <v>1007</v>
      </c>
    </row>
    <row r="4494" spans="1:4" x14ac:dyDescent="0.25">
      <c r="A4494" s="279">
        <v>39164</v>
      </c>
      <c r="B4494" s="309" t="s">
        <v>411</v>
      </c>
      <c r="C4494" s="309" t="s">
        <v>409</v>
      </c>
      <c r="D4494">
        <v>1049</v>
      </c>
    </row>
    <row r="4495" spans="1:4" x14ac:dyDescent="0.25">
      <c r="A4495" s="279">
        <v>39165</v>
      </c>
      <c r="B4495" s="309" t="s">
        <v>405</v>
      </c>
      <c r="C4495" s="309" t="s">
        <v>406</v>
      </c>
      <c r="D4495">
        <v>2447299.1</v>
      </c>
    </row>
    <row r="4496" spans="1:4" x14ac:dyDescent="0.25">
      <c r="A4496" s="279">
        <v>39165</v>
      </c>
      <c r="B4496" s="309" t="s">
        <v>405</v>
      </c>
      <c r="C4496" s="309" t="s">
        <v>89</v>
      </c>
      <c r="D4496">
        <v>0</v>
      </c>
    </row>
    <row r="4497" spans="1:4" x14ac:dyDescent="0.25">
      <c r="A4497" s="279">
        <v>39165</v>
      </c>
      <c r="B4497" s="309" t="s">
        <v>405</v>
      </c>
      <c r="C4497" s="309" t="s">
        <v>198</v>
      </c>
      <c r="D4497">
        <v>0</v>
      </c>
    </row>
    <row r="4498" spans="1:4" x14ac:dyDescent="0.25">
      <c r="A4498" s="279">
        <v>39165</v>
      </c>
      <c r="B4498" s="309" t="s">
        <v>405</v>
      </c>
      <c r="C4498" s="309" t="s">
        <v>199</v>
      </c>
      <c r="D4498">
        <v>0</v>
      </c>
    </row>
    <row r="4499" spans="1:4" x14ac:dyDescent="0.25">
      <c r="A4499" s="279">
        <v>39165</v>
      </c>
      <c r="B4499" s="309" t="s">
        <v>405</v>
      </c>
      <c r="C4499" s="309" t="s">
        <v>90</v>
      </c>
      <c r="D4499">
        <v>1601</v>
      </c>
    </row>
    <row r="4500" spans="1:4" x14ac:dyDescent="0.25">
      <c r="A4500" s="279">
        <v>39165</v>
      </c>
      <c r="B4500" s="309" t="s">
        <v>405</v>
      </c>
      <c r="C4500" s="309" t="s">
        <v>24</v>
      </c>
      <c r="D4500">
        <v>0</v>
      </c>
    </row>
    <row r="4501" spans="1:4" x14ac:dyDescent="0.25">
      <c r="A4501" s="279">
        <v>39165</v>
      </c>
      <c r="B4501" s="309" t="s">
        <v>405</v>
      </c>
      <c r="C4501" s="309" t="s">
        <v>91</v>
      </c>
      <c r="D4501">
        <v>0</v>
      </c>
    </row>
    <row r="4502" spans="1:4" x14ac:dyDescent="0.25">
      <c r="A4502" s="279">
        <v>39165</v>
      </c>
      <c r="B4502" s="309" t="s">
        <v>405</v>
      </c>
      <c r="C4502" s="309" t="s">
        <v>118</v>
      </c>
      <c r="D4502">
        <v>0</v>
      </c>
    </row>
    <row r="4503" spans="1:4" x14ac:dyDescent="0.25">
      <c r="A4503" s="279">
        <v>39165</v>
      </c>
      <c r="B4503" s="309" t="s">
        <v>405</v>
      </c>
      <c r="C4503" s="309" t="s">
        <v>407</v>
      </c>
      <c r="D4503">
        <v>2445698.1</v>
      </c>
    </row>
    <row r="4504" spans="1:4" x14ac:dyDescent="0.25">
      <c r="A4504" s="279">
        <v>39165</v>
      </c>
      <c r="B4504" s="309" t="s">
        <v>405</v>
      </c>
      <c r="C4504" s="309" t="s">
        <v>408</v>
      </c>
      <c r="D4504">
        <v>1007</v>
      </c>
    </row>
    <row r="4505" spans="1:4" x14ac:dyDescent="0.25">
      <c r="A4505" s="279">
        <v>39165</v>
      </c>
      <c r="B4505" s="309" t="s">
        <v>405</v>
      </c>
      <c r="C4505" s="309" t="s">
        <v>409</v>
      </c>
      <c r="D4505">
        <v>1058</v>
      </c>
    </row>
    <row r="4506" spans="1:4" x14ac:dyDescent="0.25">
      <c r="A4506" s="279">
        <v>39165</v>
      </c>
      <c r="B4506" s="309" t="s">
        <v>405</v>
      </c>
      <c r="C4506" s="309" t="s">
        <v>410</v>
      </c>
      <c r="D4506">
        <v>1037</v>
      </c>
    </row>
    <row r="4507" spans="1:4" x14ac:dyDescent="0.25">
      <c r="A4507" s="279">
        <v>39165</v>
      </c>
      <c r="B4507" s="309" t="s">
        <v>411</v>
      </c>
      <c r="C4507" s="309" t="s">
        <v>406</v>
      </c>
      <c r="D4507">
        <v>193559</v>
      </c>
    </row>
    <row r="4508" spans="1:4" x14ac:dyDescent="0.25">
      <c r="A4508" s="279">
        <v>39165</v>
      </c>
      <c r="B4508" s="309" t="s">
        <v>411</v>
      </c>
      <c r="C4508" s="309" t="s">
        <v>198</v>
      </c>
      <c r="D4508">
        <v>0</v>
      </c>
    </row>
    <row r="4509" spans="1:4" x14ac:dyDescent="0.25">
      <c r="A4509" s="279">
        <v>39165</v>
      </c>
      <c r="B4509" s="309" t="s">
        <v>411</v>
      </c>
      <c r="C4509" s="309" t="s">
        <v>199</v>
      </c>
      <c r="D4509">
        <v>0</v>
      </c>
    </row>
    <row r="4510" spans="1:4" x14ac:dyDescent="0.25">
      <c r="A4510" s="279">
        <v>39165</v>
      </c>
      <c r="B4510" s="309" t="s">
        <v>411</v>
      </c>
      <c r="C4510" s="309" t="s">
        <v>90</v>
      </c>
      <c r="D4510">
        <v>276</v>
      </c>
    </row>
    <row r="4511" spans="1:4" x14ac:dyDescent="0.25">
      <c r="A4511" s="279">
        <v>39165</v>
      </c>
      <c r="B4511" s="309" t="s">
        <v>411</v>
      </c>
      <c r="C4511" s="309" t="s">
        <v>24</v>
      </c>
      <c r="D4511">
        <v>0</v>
      </c>
    </row>
    <row r="4512" spans="1:4" x14ac:dyDescent="0.25">
      <c r="A4512" s="279">
        <v>39165</v>
      </c>
      <c r="B4512" s="309" t="s">
        <v>411</v>
      </c>
      <c r="C4512" s="309" t="s">
        <v>91</v>
      </c>
      <c r="D4512">
        <v>0</v>
      </c>
    </row>
    <row r="4513" spans="1:4" x14ac:dyDescent="0.25">
      <c r="A4513" s="279">
        <v>39165</v>
      </c>
      <c r="B4513" s="309" t="s">
        <v>411</v>
      </c>
      <c r="C4513" s="309" t="s">
        <v>118</v>
      </c>
      <c r="D4513">
        <v>0</v>
      </c>
    </row>
    <row r="4514" spans="1:4" x14ac:dyDescent="0.25">
      <c r="A4514" s="279">
        <v>39165</v>
      </c>
      <c r="B4514" s="309" t="s">
        <v>411</v>
      </c>
      <c r="C4514" s="309" t="s">
        <v>407</v>
      </c>
      <c r="D4514">
        <v>193283</v>
      </c>
    </row>
    <row r="4515" spans="1:4" x14ac:dyDescent="0.25">
      <c r="A4515" s="279">
        <v>39165</v>
      </c>
      <c r="B4515" s="309" t="s">
        <v>411</v>
      </c>
      <c r="C4515" s="309" t="s">
        <v>412</v>
      </c>
      <c r="D4515">
        <v>1007</v>
      </c>
    </row>
    <row r="4516" spans="1:4" x14ac:dyDescent="0.25">
      <c r="A4516" s="279">
        <v>39165</v>
      </c>
      <c r="B4516" s="309" t="s">
        <v>411</v>
      </c>
      <c r="C4516" s="309" t="s">
        <v>409</v>
      </c>
      <c r="D4516">
        <v>1049</v>
      </c>
    </row>
    <row r="4517" spans="1:4" x14ac:dyDescent="0.25">
      <c r="A4517" s="279">
        <v>39166</v>
      </c>
      <c r="B4517" s="309" t="s">
        <v>405</v>
      </c>
      <c r="C4517" s="309" t="s">
        <v>406</v>
      </c>
      <c r="D4517">
        <v>2445698.1</v>
      </c>
    </row>
    <row r="4518" spans="1:4" x14ac:dyDescent="0.25">
      <c r="A4518" s="279">
        <v>39166</v>
      </c>
      <c r="B4518" s="309" t="s">
        <v>405</v>
      </c>
      <c r="C4518" s="309" t="s">
        <v>89</v>
      </c>
      <c r="D4518">
        <v>0</v>
      </c>
    </row>
    <row r="4519" spans="1:4" x14ac:dyDescent="0.25">
      <c r="A4519" s="279">
        <v>39166</v>
      </c>
      <c r="B4519" s="309" t="s">
        <v>405</v>
      </c>
      <c r="C4519" s="309" t="s">
        <v>198</v>
      </c>
      <c r="D4519">
        <v>0</v>
      </c>
    </row>
    <row r="4520" spans="1:4" x14ac:dyDescent="0.25">
      <c r="A4520" s="279">
        <v>39166</v>
      </c>
      <c r="B4520" s="309" t="s">
        <v>405</v>
      </c>
      <c r="C4520" s="309" t="s">
        <v>199</v>
      </c>
      <c r="D4520">
        <v>0</v>
      </c>
    </row>
    <row r="4521" spans="1:4" x14ac:dyDescent="0.25">
      <c r="A4521" s="279">
        <v>39166</v>
      </c>
      <c r="B4521" s="309" t="s">
        <v>405</v>
      </c>
      <c r="C4521" s="309" t="s">
        <v>90</v>
      </c>
      <c r="D4521">
        <v>1601</v>
      </c>
    </row>
    <row r="4522" spans="1:4" x14ac:dyDescent="0.25">
      <c r="A4522" s="279">
        <v>39166</v>
      </c>
      <c r="B4522" s="309" t="s">
        <v>405</v>
      </c>
      <c r="C4522" s="309" t="s">
        <v>24</v>
      </c>
      <c r="D4522">
        <v>0</v>
      </c>
    </row>
    <row r="4523" spans="1:4" x14ac:dyDescent="0.25">
      <c r="A4523" s="279">
        <v>39166</v>
      </c>
      <c r="B4523" s="309" t="s">
        <v>405</v>
      </c>
      <c r="C4523" s="309" t="s">
        <v>91</v>
      </c>
      <c r="D4523">
        <v>0</v>
      </c>
    </row>
    <row r="4524" spans="1:4" x14ac:dyDescent="0.25">
      <c r="A4524" s="279">
        <v>39166</v>
      </c>
      <c r="B4524" s="309" t="s">
        <v>405</v>
      </c>
      <c r="C4524" s="309" t="s">
        <v>118</v>
      </c>
      <c r="D4524">
        <v>0</v>
      </c>
    </row>
    <row r="4525" spans="1:4" x14ac:dyDescent="0.25">
      <c r="A4525" s="279">
        <v>39166</v>
      </c>
      <c r="B4525" s="309" t="s">
        <v>405</v>
      </c>
      <c r="C4525" s="309" t="s">
        <v>407</v>
      </c>
      <c r="D4525">
        <v>2444097.1</v>
      </c>
    </row>
    <row r="4526" spans="1:4" x14ac:dyDescent="0.25">
      <c r="A4526" s="279">
        <v>39166</v>
      </c>
      <c r="B4526" s="309" t="s">
        <v>405</v>
      </c>
      <c r="C4526" s="309" t="s">
        <v>408</v>
      </c>
      <c r="D4526">
        <v>1007</v>
      </c>
    </row>
    <row r="4527" spans="1:4" x14ac:dyDescent="0.25">
      <c r="A4527" s="279">
        <v>39166</v>
      </c>
      <c r="B4527" s="309" t="s">
        <v>405</v>
      </c>
      <c r="C4527" s="309" t="s">
        <v>409</v>
      </c>
      <c r="D4527">
        <v>1058</v>
      </c>
    </row>
    <row r="4528" spans="1:4" x14ac:dyDescent="0.25">
      <c r="A4528" s="279">
        <v>39166</v>
      </c>
      <c r="B4528" s="309" t="s">
        <v>405</v>
      </c>
      <c r="C4528" s="309" t="s">
        <v>410</v>
      </c>
      <c r="D4528">
        <v>1035</v>
      </c>
    </row>
    <row r="4529" spans="1:4" x14ac:dyDescent="0.25">
      <c r="A4529" s="279">
        <v>39166</v>
      </c>
      <c r="B4529" s="309" t="s">
        <v>411</v>
      </c>
      <c r="C4529" s="309" t="s">
        <v>406</v>
      </c>
      <c r="D4529">
        <v>193283</v>
      </c>
    </row>
    <row r="4530" spans="1:4" x14ac:dyDescent="0.25">
      <c r="A4530" s="279">
        <v>39166</v>
      </c>
      <c r="B4530" s="309" t="s">
        <v>411</v>
      </c>
      <c r="C4530" s="309" t="s">
        <v>198</v>
      </c>
      <c r="D4530">
        <v>0</v>
      </c>
    </row>
    <row r="4531" spans="1:4" x14ac:dyDescent="0.25">
      <c r="A4531" s="279">
        <v>39166</v>
      </c>
      <c r="B4531" s="309" t="s">
        <v>411</v>
      </c>
      <c r="C4531" s="309" t="s">
        <v>199</v>
      </c>
      <c r="D4531">
        <v>0</v>
      </c>
    </row>
    <row r="4532" spans="1:4" x14ac:dyDescent="0.25">
      <c r="A4532" s="279">
        <v>39166</v>
      </c>
      <c r="B4532" s="309" t="s">
        <v>411</v>
      </c>
      <c r="C4532" s="309" t="s">
        <v>90</v>
      </c>
      <c r="D4532">
        <v>70</v>
      </c>
    </row>
    <row r="4533" spans="1:4" x14ac:dyDescent="0.25">
      <c r="A4533" s="279">
        <v>39166</v>
      </c>
      <c r="B4533" s="309" t="s">
        <v>411</v>
      </c>
      <c r="C4533" s="309" t="s">
        <v>24</v>
      </c>
      <c r="D4533">
        <v>0</v>
      </c>
    </row>
    <row r="4534" spans="1:4" x14ac:dyDescent="0.25">
      <c r="A4534" s="279">
        <v>39166</v>
      </c>
      <c r="B4534" s="309" t="s">
        <v>411</v>
      </c>
      <c r="C4534" s="309" t="s">
        <v>91</v>
      </c>
      <c r="D4534">
        <v>0</v>
      </c>
    </row>
    <row r="4535" spans="1:4" x14ac:dyDescent="0.25">
      <c r="A4535" s="279">
        <v>39166</v>
      </c>
      <c r="B4535" s="309" t="s">
        <v>411</v>
      </c>
      <c r="C4535" s="309" t="s">
        <v>118</v>
      </c>
      <c r="D4535">
        <v>0</v>
      </c>
    </row>
    <row r="4536" spans="1:4" x14ac:dyDescent="0.25">
      <c r="A4536" s="279">
        <v>39166</v>
      </c>
      <c r="B4536" s="309" t="s">
        <v>411</v>
      </c>
      <c r="C4536" s="309" t="s">
        <v>407</v>
      </c>
      <c r="D4536">
        <v>193213</v>
      </c>
    </row>
    <row r="4537" spans="1:4" x14ac:dyDescent="0.25">
      <c r="A4537" s="279">
        <v>39166</v>
      </c>
      <c r="B4537" s="309" t="s">
        <v>411</v>
      </c>
      <c r="C4537" s="309" t="s">
        <v>412</v>
      </c>
      <c r="D4537">
        <v>1007</v>
      </c>
    </row>
    <row r="4538" spans="1:4" x14ac:dyDescent="0.25">
      <c r="A4538" s="279">
        <v>39166</v>
      </c>
      <c r="B4538" s="309" t="s">
        <v>411</v>
      </c>
      <c r="C4538" s="309" t="s">
        <v>409</v>
      </c>
      <c r="D4538">
        <v>1049</v>
      </c>
    </row>
    <row r="4539" spans="1:4" x14ac:dyDescent="0.25">
      <c r="A4539" s="279">
        <v>39167</v>
      </c>
      <c r="B4539" s="309" t="s">
        <v>405</v>
      </c>
      <c r="C4539" s="309" t="s">
        <v>406</v>
      </c>
      <c r="D4539">
        <v>2444097.1</v>
      </c>
    </row>
    <row r="4540" spans="1:4" x14ac:dyDescent="0.25">
      <c r="A4540" s="279">
        <v>39167</v>
      </c>
      <c r="B4540" s="309" t="s">
        <v>405</v>
      </c>
      <c r="C4540" s="309" t="s">
        <v>89</v>
      </c>
      <c r="D4540">
        <v>0</v>
      </c>
    </row>
    <row r="4541" spans="1:4" x14ac:dyDescent="0.25">
      <c r="A4541" s="279">
        <v>39167</v>
      </c>
      <c r="B4541" s="309" t="s">
        <v>405</v>
      </c>
      <c r="C4541" s="309" t="s">
        <v>198</v>
      </c>
      <c r="D4541">
        <v>0</v>
      </c>
    </row>
    <row r="4542" spans="1:4" x14ac:dyDescent="0.25">
      <c r="A4542" s="279">
        <v>39167</v>
      </c>
      <c r="B4542" s="309" t="s">
        <v>405</v>
      </c>
      <c r="C4542" s="309" t="s">
        <v>199</v>
      </c>
      <c r="D4542">
        <v>0</v>
      </c>
    </row>
    <row r="4543" spans="1:4" x14ac:dyDescent="0.25">
      <c r="A4543" s="279">
        <v>39167</v>
      </c>
      <c r="B4543" s="309" t="s">
        <v>405</v>
      </c>
      <c r="C4543" s="309" t="s">
        <v>90</v>
      </c>
      <c r="D4543">
        <v>4801</v>
      </c>
    </row>
    <row r="4544" spans="1:4" x14ac:dyDescent="0.25">
      <c r="A4544" s="279">
        <v>39167</v>
      </c>
      <c r="B4544" s="309" t="s">
        <v>405</v>
      </c>
      <c r="C4544" s="309" t="s">
        <v>24</v>
      </c>
      <c r="D4544">
        <v>0</v>
      </c>
    </row>
    <row r="4545" spans="1:4" x14ac:dyDescent="0.25">
      <c r="A4545" s="279">
        <v>39167</v>
      </c>
      <c r="B4545" s="309" t="s">
        <v>405</v>
      </c>
      <c r="C4545" s="309" t="s">
        <v>91</v>
      </c>
      <c r="D4545">
        <v>0</v>
      </c>
    </row>
    <row r="4546" spans="1:4" x14ac:dyDescent="0.25">
      <c r="A4546" s="279">
        <v>39167</v>
      </c>
      <c r="B4546" s="309" t="s">
        <v>405</v>
      </c>
      <c r="C4546" s="309" t="s">
        <v>118</v>
      </c>
      <c r="D4546">
        <v>0</v>
      </c>
    </row>
    <row r="4547" spans="1:4" x14ac:dyDescent="0.25">
      <c r="A4547" s="279">
        <v>39167</v>
      </c>
      <c r="B4547" s="309" t="s">
        <v>405</v>
      </c>
      <c r="C4547" s="309" t="s">
        <v>407</v>
      </c>
      <c r="D4547">
        <v>2439296.1</v>
      </c>
    </row>
    <row r="4548" spans="1:4" x14ac:dyDescent="0.25">
      <c r="A4548" s="279">
        <v>39167</v>
      </c>
      <c r="B4548" s="309" t="s">
        <v>405</v>
      </c>
      <c r="C4548" s="309" t="s">
        <v>408</v>
      </c>
      <c r="D4548">
        <v>1007</v>
      </c>
    </row>
    <row r="4549" spans="1:4" x14ac:dyDescent="0.25">
      <c r="A4549" s="279">
        <v>39167</v>
      </c>
      <c r="B4549" s="309" t="s">
        <v>405</v>
      </c>
      <c r="C4549" s="309" t="s">
        <v>409</v>
      </c>
      <c r="D4549">
        <v>1058</v>
      </c>
    </row>
    <row r="4550" spans="1:4" x14ac:dyDescent="0.25">
      <c r="A4550" s="279">
        <v>39167</v>
      </c>
      <c r="B4550" s="309" t="s">
        <v>405</v>
      </c>
      <c r="C4550" s="309" t="s">
        <v>410</v>
      </c>
      <c r="D4550">
        <v>1035</v>
      </c>
    </row>
    <row r="4551" spans="1:4" x14ac:dyDescent="0.25">
      <c r="A4551" s="279">
        <v>39167</v>
      </c>
      <c r="B4551" s="309" t="s">
        <v>411</v>
      </c>
      <c r="C4551" s="309" t="s">
        <v>406</v>
      </c>
      <c r="D4551">
        <v>193213</v>
      </c>
    </row>
    <row r="4552" spans="1:4" x14ac:dyDescent="0.25">
      <c r="A4552" s="279">
        <v>39167</v>
      </c>
      <c r="B4552" s="309" t="s">
        <v>411</v>
      </c>
      <c r="C4552" s="309" t="s">
        <v>198</v>
      </c>
      <c r="D4552">
        <v>0</v>
      </c>
    </row>
    <row r="4553" spans="1:4" x14ac:dyDescent="0.25">
      <c r="A4553" s="279">
        <v>39167</v>
      </c>
      <c r="B4553" s="309" t="s">
        <v>411</v>
      </c>
      <c r="C4553" s="309" t="s">
        <v>199</v>
      </c>
      <c r="D4553">
        <v>0</v>
      </c>
    </row>
    <row r="4554" spans="1:4" x14ac:dyDescent="0.25">
      <c r="A4554" s="279">
        <v>39167</v>
      </c>
      <c r="B4554" s="309" t="s">
        <v>411</v>
      </c>
      <c r="C4554" s="309" t="s">
        <v>90</v>
      </c>
      <c r="D4554">
        <v>206</v>
      </c>
    </row>
    <row r="4555" spans="1:4" x14ac:dyDescent="0.25">
      <c r="A4555" s="279">
        <v>39167</v>
      </c>
      <c r="B4555" s="309" t="s">
        <v>411</v>
      </c>
      <c r="C4555" s="309" t="s">
        <v>24</v>
      </c>
      <c r="D4555">
        <v>0</v>
      </c>
    </row>
    <row r="4556" spans="1:4" x14ac:dyDescent="0.25">
      <c r="A4556" s="279">
        <v>39167</v>
      </c>
      <c r="B4556" s="309" t="s">
        <v>411</v>
      </c>
      <c r="C4556" s="309" t="s">
        <v>91</v>
      </c>
      <c r="D4556">
        <v>0</v>
      </c>
    </row>
    <row r="4557" spans="1:4" x14ac:dyDescent="0.25">
      <c r="A4557" s="279">
        <v>39167</v>
      </c>
      <c r="B4557" s="309" t="s">
        <v>411</v>
      </c>
      <c r="C4557" s="309" t="s">
        <v>118</v>
      </c>
      <c r="D4557">
        <v>0</v>
      </c>
    </row>
    <row r="4558" spans="1:4" x14ac:dyDescent="0.25">
      <c r="A4558" s="279">
        <v>39167</v>
      </c>
      <c r="B4558" s="309" t="s">
        <v>411</v>
      </c>
      <c r="C4558" s="309" t="s">
        <v>407</v>
      </c>
      <c r="D4558">
        <v>193007</v>
      </c>
    </row>
    <row r="4559" spans="1:4" x14ac:dyDescent="0.25">
      <c r="A4559" s="279">
        <v>39167</v>
      </c>
      <c r="B4559" s="309" t="s">
        <v>411</v>
      </c>
      <c r="C4559" s="309" t="s">
        <v>412</v>
      </c>
      <c r="D4559">
        <v>1007</v>
      </c>
    </row>
    <row r="4560" spans="1:4" x14ac:dyDescent="0.25">
      <c r="A4560" s="279">
        <v>39167</v>
      </c>
      <c r="B4560" s="309" t="s">
        <v>411</v>
      </c>
      <c r="C4560" s="309" t="s">
        <v>409</v>
      </c>
      <c r="D4560">
        <v>1049</v>
      </c>
    </row>
    <row r="4561" spans="1:4" x14ac:dyDescent="0.25">
      <c r="A4561" s="279">
        <v>39168</v>
      </c>
      <c r="B4561" s="309" t="s">
        <v>405</v>
      </c>
      <c r="C4561" s="309" t="s">
        <v>406</v>
      </c>
      <c r="D4561">
        <v>2439296.1</v>
      </c>
    </row>
    <row r="4562" spans="1:4" x14ac:dyDescent="0.25">
      <c r="A4562" s="279">
        <v>39168</v>
      </c>
      <c r="B4562" s="309" t="s">
        <v>405</v>
      </c>
      <c r="C4562" s="309" t="s">
        <v>89</v>
      </c>
      <c r="D4562">
        <v>0</v>
      </c>
    </row>
    <row r="4563" spans="1:4" x14ac:dyDescent="0.25">
      <c r="A4563" s="279">
        <v>39168</v>
      </c>
      <c r="B4563" s="309" t="s">
        <v>405</v>
      </c>
      <c r="C4563" s="309" t="s">
        <v>198</v>
      </c>
      <c r="D4563">
        <v>0</v>
      </c>
    </row>
    <row r="4564" spans="1:4" x14ac:dyDescent="0.25">
      <c r="A4564" s="279">
        <v>39168</v>
      </c>
      <c r="B4564" s="309" t="s">
        <v>405</v>
      </c>
      <c r="C4564" s="309" t="s">
        <v>199</v>
      </c>
      <c r="D4564">
        <v>0</v>
      </c>
    </row>
    <row r="4565" spans="1:4" x14ac:dyDescent="0.25">
      <c r="A4565" s="279">
        <v>39168</v>
      </c>
      <c r="B4565" s="309" t="s">
        <v>405</v>
      </c>
      <c r="C4565" s="309" t="s">
        <v>90</v>
      </c>
      <c r="D4565">
        <v>3734</v>
      </c>
    </row>
    <row r="4566" spans="1:4" x14ac:dyDescent="0.25">
      <c r="A4566" s="279">
        <v>39168</v>
      </c>
      <c r="B4566" s="309" t="s">
        <v>405</v>
      </c>
      <c r="C4566" s="309" t="s">
        <v>24</v>
      </c>
      <c r="D4566">
        <v>0</v>
      </c>
    </row>
    <row r="4567" spans="1:4" x14ac:dyDescent="0.25">
      <c r="A4567" s="279">
        <v>39168</v>
      </c>
      <c r="B4567" s="309" t="s">
        <v>405</v>
      </c>
      <c r="C4567" s="309" t="s">
        <v>91</v>
      </c>
      <c r="D4567">
        <v>0</v>
      </c>
    </row>
    <row r="4568" spans="1:4" x14ac:dyDescent="0.25">
      <c r="A4568" s="279">
        <v>39168</v>
      </c>
      <c r="B4568" s="309" t="s">
        <v>405</v>
      </c>
      <c r="C4568" s="309" t="s">
        <v>118</v>
      </c>
      <c r="D4568">
        <v>0</v>
      </c>
    </row>
    <row r="4569" spans="1:4" x14ac:dyDescent="0.25">
      <c r="A4569" s="279">
        <v>39168</v>
      </c>
      <c r="B4569" s="309" t="s">
        <v>405</v>
      </c>
      <c r="C4569" s="309" t="s">
        <v>407</v>
      </c>
      <c r="D4569">
        <v>2435562.1</v>
      </c>
    </row>
    <row r="4570" spans="1:4" x14ac:dyDescent="0.25">
      <c r="A4570" s="279">
        <v>39168</v>
      </c>
      <c r="B4570" s="309" t="s">
        <v>405</v>
      </c>
      <c r="C4570" s="309" t="s">
        <v>408</v>
      </c>
      <c r="D4570">
        <v>1007</v>
      </c>
    </row>
    <row r="4571" spans="1:4" x14ac:dyDescent="0.25">
      <c r="A4571" s="279">
        <v>39168</v>
      </c>
      <c r="B4571" s="309" t="s">
        <v>405</v>
      </c>
      <c r="C4571" s="309" t="s">
        <v>409</v>
      </c>
      <c r="D4571">
        <v>1058</v>
      </c>
    </row>
    <row r="4572" spans="1:4" x14ac:dyDescent="0.25">
      <c r="A4572" s="279">
        <v>39168</v>
      </c>
      <c r="B4572" s="309" t="s">
        <v>405</v>
      </c>
      <c r="C4572" s="309" t="s">
        <v>410</v>
      </c>
      <c r="D4572">
        <v>1034</v>
      </c>
    </row>
    <row r="4573" spans="1:4" x14ac:dyDescent="0.25">
      <c r="A4573" s="279">
        <v>39168</v>
      </c>
      <c r="B4573" s="309" t="s">
        <v>411</v>
      </c>
      <c r="C4573" s="309" t="s">
        <v>406</v>
      </c>
      <c r="D4573">
        <v>193007</v>
      </c>
    </row>
    <row r="4574" spans="1:4" x14ac:dyDescent="0.25">
      <c r="A4574" s="279">
        <v>39168</v>
      </c>
      <c r="B4574" s="309" t="s">
        <v>411</v>
      </c>
      <c r="C4574" s="309" t="s">
        <v>198</v>
      </c>
      <c r="D4574">
        <v>0</v>
      </c>
    </row>
    <row r="4575" spans="1:4" x14ac:dyDescent="0.25">
      <c r="A4575" s="279">
        <v>39168</v>
      </c>
      <c r="B4575" s="309" t="s">
        <v>411</v>
      </c>
      <c r="C4575" s="309" t="s">
        <v>199</v>
      </c>
      <c r="D4575">
        <v>0</v>
      </c>
    </row>
    <row r="4576" spans="1:4" x14ac:dyDescent="0.25">
      <c r="A4576" s="279">
        <v>39168</v>
      </c>
      <c r="B4576" s="309" t="s">
        <v>411</v>
      </c>
      <c r="C4576" s="309" t="s">
        <v>90</v>
      </c>
      <c r="D4576">
        <v>277</v>
      </c>
    </row>
    <row r="4577" spans="1:4" x14ac:dyDescent="0.25">
      <c r="A4577" s="279">
        <v>39168</v>
      </c>
      <c r="B4577" s="309" t="s">
        <v>411</v>
      </c>
      <c r="C4577" s="309" t="s">
        <v>24</v>
      </c>
      <c r="D4577">
        <v>0</v>
      </c>
    </row>
    <row r="4578" spans="1:4" x14ac:dyDescent="0.25">
      <c r="A4578" s="279">
        <v>39168</v>
      </c>
      <c r="B4578" s="309" t="s">
        <v>411</v>
      </c>
      <c r="C4578" s="309" t="s">
        <v>91</v>
      </c>
      <c r="D4578">
        <v>0</v>
      </c>
    </row>
    <row r="4579" spans="1:4" x14ac:dyDescent="0.25">
      <c r="A4579" s="279">
        <v>39168</v>
      </c>
      <c r="B4579" s="309" t="s">
        <v>411</v>
      </c>
      <c r="C4579" s="309" t="s">
        <v>118</v>
      </c>
      <c r="D4579">
        <v>0</v>
      </c>
    </row>
    <row r="4580" spans="1:4" x14ac:dyDescent="0.25">
      <c r="A4580" s="279">
        <v>39168</v>
      </c>
      <c r="B4580" s="309" t="s">
        <v>411</v>
      </c>
      <c r="C4580" s="309" t="s">
        <v>407</v>
      </c>
      <c r="D4580">
        <v>192730</v>
      </c>
    </row>
    <row r="4581" spans="1:4" x14ac:dyDescent="0.25">
      <c r="A4581" s="279">
        <v>39168</v>
      </c>
      <c r="B4581" s="309" t="s">
        <v>411</v>
      </c>
      <c r="C4581" s="309" t="s">
        <v>412</v>
      </c>
      <c r="D4581">
        <v>1007</v>
      </c>
    </row>
    <row r="4582" spans="1:4" x14ac:dyDescent="0.25">
      <c r="A4582" s="279">
        <v>39168</v>
      </c>
      <c r="B4582" s="309" t="s">
        <v>411</v>
      </c>
      <c r="C4582" s="309" t="s">
        <v>409</v>
      </c>
      <c r="D4582">
        <v>1049</v>
      </c>
    </row>
    <row r="4583" spans="1:4" x14ac:dyDescent="0.25">
      <c r="A4583" s="279">
        <v>39169</v>
      </c>
      <c r="B4583" s="309" t="s">
        <v>405</v>
      </c>
      <c r="C4583" s="309" t="s">
        <v>406</v>
      </c>
      <c r="D4583">
        <v>2435562.1</v>
      </c>
    </row>
    <row r="4584" spans="1:4" x14ac:dyDescent="0.25">
      <c r="A4584" s="279">
        <v>39169</v>
      </c>
      <c r="B4584" s="309" t="s">
        <v>405</v>
      </c>
      <c r="C4584" s="309" t="s">
        <v>89</v>
      </c>
      <c r="D4584">
        <v>0</v>
      </c>
    </row>
    <row r="4585" spans="1:4" x14ac:dyDescent="0.25">
      <c r="A4585" s="279">
        <v>39169</v>
      </c>
      <c r="B4585" s="309" t="s">
        <v>405</v>
      </c>
      <c r="C4585" s="309" t="s">
        <v>198</v>
      </c>
      <c r="D4585">
        <v>0</v>
      </c>
    </row>
    <row r="4586" spans="1:4" x14ac:dyDescent="0.25">
      <c r="A4586" s="279">
        <v>39169</v>
      </c>
      <c r="B4586" s="309" t="s">
        <v>405</v>
      </c>
      <c r="C4586" s="309" t="s">
        <v>199</v>
      </c>
      <c r="D4586">
        <v>0</v>
      </c>
    </row>
    <row r="4587" spans="1:4" x14ac:dyDescent="0.25">
      <c r="A4587" s="279">
        <v>39169</v>
      </c>
      <c r="B4587" s="309" t="s">
        <v>405</v>
      </c>
      <c r="C4587" s="309" t="s">
        <v>90</v>
      </c>
      <c r="D4587">
        <v>1066</v>
      </c>
    </row>
    <row r="4588" spans="1:4" x14ac:dyDescent="0.25">
      <c r="A4588" s="279">
        <v>39169</v>
      </c>
      <c r="B4588" s="309" t="s">
        <v>405</v>
      </c>
      <c r="C4588" s="309" t="s">
        <v>24</v>
      </c>
      <c r="D4588">
        <v>0</v>
      </c>
    </row>
    <row r="4589" spans="1:4" x14ac:dyDescent="0.25">
      <c r="A4589" s="279">
        <v>39169</v>
      </c>
      <c r="B4589" s="309" t="s">
        <v>405</v>
      </c>
      <c r="C4589" s="309" t="s">
        <v>91</v>
      </c>
      <c r="D4589">
        <v>0</v>
      </c>
    </row>
    <row r="4590" spans="1:4" x14ac:dyDescent="0.25">
      <c r="A4590" s="279">
        <v>39169</v>
      </c>
      <c r="B4590" s="309" t="s">
        <v>405</v>
      </c>
      <c r="C4590" s="309" t="s">
        <v>118</v>
      </c>
      <c r="D4590">
        <v>0</v>
      </c>
    </row>
    <row r="4591" spans="1:4" x14ac:dyDescent="0.25">
      <c r="A4591" s="279">
        <v>39169</v>
      </c>
      <c r="B4591" s="309" t="s">
        <v>405</v>
      </c>
      <c r="C4591" s="309" t="s">
        <v>407</v>
      </c>
      <c r="D4591">
        <v>2434496.1</v>
      </c>
    </row>
    <row r="4592" spans="1:4" x14ac:dyDescent="0.25">
      <c r="A4592" s="279">
        <v>39169</v>
      </c>
      <c r="B4592" s="309" t="s">
        <v>405</v>
      </c>
      <c r="C4592" s="309" t="s">
        <v>408</v>
      </c>
      <c r="D4592">
        <v>1007</v>
      </c>
    </row>
    <row r="4593" spans="1:4" x14ac:dyDescent="0.25">
      <c r="A4593" s="279">
        <v>39169</v>
      </c>
      <c r="B4593" s="309" t="s">
        <v>405</v>
      </c>
      <c r="C4593" s="309" t="s">
        <v>409</v>
      </c>
      <c r="D4593">
        <v>1058</v>
      </c>
    </row>
    <row r="4594" spans="1:4" x14ac:dyDescent="0.25">
      <c r="A4594" s="279">
        <v>39169</v>
      </c>
      <c r="B4594" s="309" t="s">
        <v>405</v>
      </c>
      <c r="C4594" s="309" t="s">
        <v>410</v>
      </c>
      <c r="D4594">
        <v>1034</v>
      </c>
    </row>
    <row r="4595" spans="1:4" x14ac:dyDescent="0.25">
      <c r="A4595" s="279">
        <v>39169</v>
      </c>
      <c r="B4595" s="309" t="s">
        <v>411</v>
      </c>
      <c r="C4595" s="309" t="s">
        <v>406</v>
      </c>
      <c r="D4595">
        <v>192730</v>
      </c>
    </row>
    <row r="4596" spans="1:4" x14ac:dyDescent="0.25">
      <c r="A4596" s="279">
        <v>39169</v>
      </c>
      <c r="B4596" s="309" t="s">
        <v>411</v>
      </c>
      <c r="C4596" s="309" t="s">
        <v>198</v>
      </c>
      <c r="D4596">
        <v>0</v>
      </c>
    </row>
    <row r="4597" spans="1:4" x14ac:dyDescent="0.25">
      <c r="A4597" s="279">
        <v>39169</v>
      </c>
      <c r="B4597" s="309" t="s">
        <v>411</v>
      </c>
      <c r="C4597" s="309" t="s">
        <v>199</v>
      </c>
      <c r="D4597">
        <v>0</v>
      </c>
    </row>
    <row r="4598" spans="1:4" x14ac:dyDescent="0.25">
      <c r="A4598" s="279">
        <v>39169</v>
      </c>
      <c r="B4598" s="309" t="s">
        <v>411</v>
      </c>
      <c r="C4598" s="309" t="s">
        <v>90</v>
      </c>
      <c r="D4598">
        <v>276</v>
      </c>
    </row>
    <row r="4599" spans="1:4" x14ac:dyDescent="0.25">
      <c r="A4599" s="279">
        <v>39169</v>
      </c>
      <c r="B4599" s="309" t="s">
        <v>411</v>
      </c>
      <c r="C4599" s="309" t="s">
        <v>24</v>
      </c>
      <c r="D4599">
        <v>0</v>
      </c>
    </row>
    <row r="4600" spans="1:4" x14ac:dyDescent="0.25">
      <c r="A4600" s="279">
        <v>39169</v>
      </c>
      <c r="B4600" s="309" t="s">
        <v>411</v>
      </c>
      <c r="C4600" s="309" t="s">
        <v>91</v>
      </c>
      <c r="D4600">
        <v>0</v>
      </c>
    </row>
    <row r="4601" spans="1:4" x14ac:dyDescent="0.25">
      <c r="A4601" s="279">
        <v>39169</v>
      </c>
      <c r="B4601" s="309" t="s">
        <v>411</v>
      </c>
      <c r="C4601" s="309" t="s">
        <v>118</v>
      </c>
      <c r="D4601">
        <v>0</v>
      </c>
    </row>
    <row r="4602" spans="1:4" x14ac:dyDescent="0.25">
      <c r="A4602" s="279">
        <v>39169</v>
      </c>
      <c r="B4602" s="309" t="s">
        <v>411</v>
      </c>
      <c r="C4602" s="309" t="s">
        <v>407</v>
      </c>
      <c r="D4602">
        <v>192454</v>
      </c>
    </row>
    <row r="4603" spans="1:4" x14ac:dyDescent="0.25">
      <c r="A4603" s="279">
        <v>39169</v>
      </c>
      <c r="B4603" s="309" t="s">
        <v>411</v>
      </c>
      <c r="C4603" s="309" t="s">
        <v>412</v>
      </c>
      <c r="D4603">
        <v>1007</v>
      </c>
    </row>
    <row r="4604" spans="1:4" x14ac:dyDescent="0.25">
      <c r="A4604" s="279">
        <v>39169</v>
      </c>
      <c r="B4604" s="309" t="s">
        <v>411</v>
      </c>
      <c r="C4604" s="309" t="s">
        <v>409</v>
      </c>
      <c r="D4604">
        <v>1049</v>
      </c>
    </row>
    <row r="4605" spans="1:4" x14ac:dyDescent="0.25">
      <c r="A4605" s="279">
        <v>39170</v>
      </c>
      <c r="B4605" s="309" t="s">
        <v>405</v>
      </c>
      <c r="C4605" s="309" t="s">
        <v>406</v>
      </c>
      <c r="D4605">
        <v>2434496.1</v>
      </c>
    </row>
    <row r="4606" spans="1:4" x14ac:dyDescent="0.25">
      <c r="A4606" s="279">
        <v>39170</v>
      </c>
      <c r="B4606" s="309" t="s">
        <v>405</v>
      </c>
      <c r="C4606" s="309" t="s">
        <v>89</v>
      </c>
      <c r="D4606">
        <v>0</v>
      </c>
    </row>
    <row r="4607" spans="1:4" x14ac:dyDescent="0.25">
      <c r="A4607" s="279">
        <v>39170</v>
      </c>
      <c r="B4607" s="309" t="s">
        <v>405</v>
      </c>
      <c r="C4607" s="309" t="s">
        <v>198</v>
      </c>
      <c r="D4607">
        <v>0</v>
      </c>
    </row>
    <row r="4608" spans="1:4" x14ac:dyDescent="0.25">
      <c r="A4608" s="279">
        <v>39170</v>
      </c>
      <c r="B4608" s="309" t="s">
        <v>405</v>
      </c>
      <c r="C4608" s="309" t="s">
        <v>199</v>
      </c>
      <c r="D4608">
        <v>0</v>
      </c>
    </row>
    <row r="4609" spans="1:4" x14ac:dyDescent="0.25">
      <c r="A4609" s="279">
        <v>39170</v>
      </c>
      <c r="B4609" s="309" t="s">
        <v>405</v>
      </c>
      <c r="C4609" s="309" t="s">
        <v>90</v>
      </c>
      <c r="D4609">
        <v>1866</v>
      </c>
    </row>
    <row r="4610" spans="1:4" x14ac:dyDescent="0.25">
      <c r="A4610" s="279">
        <v>39170</v>
      </c>
      <c r="B4610" s="309" t="s">
        <v>405</v>
      </c>
      <c r="C4610" s="309" t="s">
        <v>24</v>
      </c>
      <c r="D4610">
        <v>0</v>
      </c>
    </row>
    <row r="4611" spans="1:4" x14ac:dyDescent="0.25">
      <c r="A4611" s="279">
        <v>39170</v>
      </c>
      <c r="B4611" s="309" t="s">
        <v>405</v>
      </c>
      <c r="C4611" s="309" t="s">
        <v>91</v>
      </c>
      <c r="D4611">
        <v>0</v>
      </c>
    </row>
    <row r="4612" spans="1:4" x14ac:dyDescent="0.25">
      <c r="A4612" s="279">
        <v>39170</v>
      </c>
      <c r="B4612" s="309" t="s">
        <v>405</v>
      </c>
      <c r="C4612" s="309" t="s">
        <v>118</v>
      </c>
      <c r="D4612">
        <v>0</v>
      </c>
    </row>
    <row r="4613" spans="1:4" x14ac:dyDescent="0.25">
      <c r="A4613" s="279">
        <v>39170</v>
      </c>
      <c r="B4613" s="309" t="s">
        <v>405</v>
      </c>
      <c r="C4613" s="309" t="s">
        <v>407</v>
      </c>
      <c r="D4613">
        <v>2432630.1</v>
      </c>
    </row>
    <row r="4614" spans="1:4" x14ac:dyDescent="0.25">
      <c r="A4614" s="279">
        <v>39170</v>
      </c>
      <c r="B4614" s="309" t="s">
        <v>405</v>
      </c>
      <c r="C4614" s="309" t="s">
        <v>408</v>
      </c>
      <c r="D4614">
        <v>1007</v>
      </c>
    </row>
    <row r="4615" spans="1:4" x14ac:dyDescent="0.25">
      <c r="A4615" s="279">
        <v>39170</v>
      </c>
      <c r="B4615" s="309" t="s">
        <v>405</v>
      </c>
      <c r="C4615" s="309" t="s">
        <v>409</v>
      </c>
      <c r="D4615">
        <v>1058</v>
      </c>
    </row>
    <row r="4616" spans="1:4" x14ac:dyDescent="0.25">
      <c r="A4616" s="279">
        <v>39170</v>
      </c>
      <c r="B4616" s="309" t="s">
        <v>405</v>
      </c>
      <c r="C4616" s="309" t="s">
        <v>410</v>
      </c>
      <c r="D4616">
        <v>1034</v>
      </c>
    </row>
    <row r="4617" spans="1:4" x14ac:dyDescent="0.25">
      <c r="A4617" s="279">
        <v>39170</v>
      </c>
      <c r="B4617" s="309" t="s">
        <v>411</v>
      </c>
      <c r="C4617" s="309" t="s">
        <v>406</v>
      </c>
      <c r="D4617">
        <v>192454</v>
      </c>
    </row>
    <row r="4618" spans="1:4" x14ac:dyDescent="0.25">
      <c r="A4618" s="279">
        <v>39170</v>
      </c>
      <c r="B4618" s="309" t="s">
        <v>411</v>
      </c>
      <c r="C4618" s="309" t="s">
        <v>198</v>
      </c>
      <c r="D4618">
        <v>0</v>
      </c>
    </row>
    <row r="4619" spans="1:4" x14ac:dyDescent="0.25">
      <c r="A4619" s="279">
        <v>39170</v>
      </c>
      <c r="B4619" s="309" t="s">
        <v>411</v>
      </c>
      <c r="C4619" s="309" t="s">
        <v>199</v>
      </c>
      <c r="D4619">
        <v>0</v>
      </c>
    </row>
    <row r="4620" spans="1:4" x14ac:dyDescent="0.25">
      <c r="A4620" s="279">
        <v>39170</v>
      </c>
      <c r="B4620" s="309" t="s">
        <v>411</v>
      </c>
      <c r="C4620" s="309" t="s">
        <v>90</v>
      </c>
      <c r="D4620">
        <v>0</v>
      </c>
    </row>
    <row r="4621" spans="1:4" x14ac:dyDescent="0.25">
      <c r="A4621" s="279">
        <v>39170</v>
      </c>
      <c r="B4621" s="309" t="s">
        <v>411</v>
      </c>
      <c r="C4621" s="309" t="s">
        <v>24</v>
      </c>
      <c r="D4621">
        <v>0</v>
      </c>
    </row>
    <row r="4622" spans="1:4" x14ac:dyDescent="0.25">
      <c r="A4622" s="279">
        <v>39170</v>
      </c>
      <c r="B4622" s="309" t="s">
        <v>411</v>
      </c>
      <c r="C4622" s="309" t="s">
        <v>91</v>
      </c>
      <c r="D4622">
        <v>0</v>
      </c>
    </row>
    <row r="4623" spans="1:4" x14ac:dyDescent="0.25">
      <c r="A4623" s="279">
        <v>39170</v>
      </c>
      <c r="B4623" s="309" t="s">
        <v>411</v>
      </c>
      <c r="C4623" s="309" t="s">
        <v>118</v>
      </c>
      <c r="D4623">
        <v>0</v>
      </c>
    </row>
    <row r="4624" spans="1:4" x14ac:dyDescent="0.25">
      <c r="A4624" s="279">
        <v>39170</v>
      </c>
      <c r="B4624" s="309" t="s">
        <v>411</v>
      </c>
      <c r="C4624" s="309" t="s">
        <v>407</v>
      </c>
      <c r="D4624">
        <v>192454</v>
      </c>
    </row>
    <row r="4625" spans="1:4" x14ac:dyDescent="0.25">
      <c r="A4625" s="279">
        <v>39170</v>
      </c>
      <c r="B4625" s="309" t="s">
        <v>411</v>
      </c>
      <c r="C4625" s="309" t="s">
        <v>412</v>
      </c>
      <c r="D4625">
        <v>1007</v>
      </c>
    </row>
    <row r="4626" spans="1:4" x14ac:dyDescent="0.25">
      <c r="A4626" s="279">
        <v>39170</v>
      </c>
      <c r="B4626" s="309" t="s">
        <v>411</v>
      </c>
      <c r="C4626" s="309" t="s">
        <v>409</v>
      </c>
      <c r="D4626">
        <v>1049</v>
      </c>
    </row>
    <row r="4627" spans="1:4" x14ac:dyDescent="0.25">
      <c r="A4627" s="279">
        <v>39171</v>
      </c>
      <c r="B4627" s="309" t="s">
        <v>405</v>
      </c>
      <c r="C4627" s="309" t="s">
        <v>406</v>
      </c>
      <c r="D4627">
        <v>2432630.1</v>
      </c>
    </row>
    <row r="4628" spans="1:4" x14ac:dyDescent="0.25">
      <c r="A4628" s="279">
        <v>39171</v>
      </c>
      <c r="B4628" s="309" t="s">
        <v>405</v>
      </c>
      <c r="C4628" s="309" t="s">
        <v>89</v>
      </c>
      <c r="D4628">
        <v>0</v>
      </c>
    </row>
    <row r="4629" spans="1:4" x14ac:dyDescent="0.25">
      <c r="A4629" s="279">
        <v>39171</v>
      </c>
      <c r="B4629" s="309" t="s">
        <v>405</v>
      </c>
      <c r="C4629" s="309" t="s">
        <v>198</v>
      </c>
      <c r="D4629">
        <v>0</v>
      </c>
    </row>
    <row r="4630" spans="1:4" x14ac:dyDescent="0.25">
      <c r="A4630" s="279">
        <v>39171</v>
      </c>
      <c r="B4630" s="309" t="s">
        <v>405</v>
      </c>
      <c r="C4630" s="309" t="s">
        <v>199</v>
      </c>
      <c r="D4630">
        <v>0</v>
      </c>
    </row>
    <row r="4631" spans="1:4" x14ac:dyDescent="0.25">
      <c r="A4631" s="279">
        <v>39171</v>
      </c>
      <c r="B4631" s="309" t="s">
        <v>405</v>
      </c>
      <c r="C4631" s="309" t="s">
        <v>90</v>
      </c>
      <c r="D4631">
        <v>3199</v>
      </c>
    </row>
    <row r="4632" spans="1:4" x14ac:dyDescent="0.25">
      <c r="A4632" s="279">
        <v>39171</v>
      </c>
      <c r="B4632" s="309" t="s">
        <v>405</v>
      </c>
      <c r="C4632" s="309" t="s">
        <v>24</v>
      </c>
      <c r="D4632">
        <v>0</v>
      </c>
    </row>
    <row r="4633" spans="1:4" x14ac:dyDescent="0.25">
      <c r="A4633" s="279">
        <v>39171</v>
      </c>
      <c r="B4633" s="309" t="s">
        <v>405</v>
      </c>
      <c r="C4633" s="309" t="s">
        <v>91</v>
      </c>
      <c r="D4633">
        <v>0</v>
      </c>
    </row>
    <row r="4634" spans="1:4" x14ac:dyDescent="0.25">
      <c r="A4634" s="279">
        <v>39171</v>
      </c>
      <c r="B4634" s="309" t="s">
        <v>405</v>
      </c>
      <c r="C4634" s="309" t="s">
        <v>118</v>
      </c>
      <c r="D4634">
        <v>0</v>
      </c>
    </row>
    <row r="4635" spans="1:4" x14ac:dyDescent="0.25">
      <c r="A4635" s="279">
        <v>39171</v>
      </c>
      <c r="B4635" s="309" t="s">
        <v>405</v>
      </c>
      <c r="C4635" s="309" t="s">
        <v>407</v>
      </c>
      <c r="D4635">
        <v>2429431.1</v>
      </c>
    </row>
    <row r="4636" spans="1:4" x14ac:dyDescent="0.25">
      <c r="A4636" s="279">
        <v>39171</v>
      </c>
      <c r="B4636" s="309" t="s">
        <v>405</v>
      </c>
      <c r="C4636" s="309" t="s">
        <v>408</v>
      </c>
      <c r="D4636">
        <v>1007</v>
      </c>
    </row>
    <row r="4637" spans="1:4" x14ac:dyDescent="0.25">
      <c r="A4637" s="279">
        <v>39171</v>
      </c>
      <c r="B4637" s="309" t="s">
        <v>405</v>
      </c>
      <c r="C4637" s="309" t="s">
        <v>409</v>
      </c>
      <c r="D4637">
        <v>1058</v>
      </c>
    </row>
    <row r="4638" spans="1:4" x14ac:dyDescent="0.25">
      <c r="A4638" s="279">
        <v>39171</v>
      </c>
      <c r="B4638" s="309" t="s">
        <v>405</v>
      </c>
      <c r="C4638" s="309" t="s">
        <v>410</v>
      </c>
      <c r="D4638">
        <v>1033</v>
      </c>
    </row>
    <row r="4639" spans="1:4" x14ac:dyDescent="0.25">
      <c r="A4639" s="279">
        <v>39171</v>
      </c>
      <c r="B4639" s="309" t="s">
        <v>411</v>
      </c>
      <c r="C4639" s="309" t="s">
        <v>406</v>
      </c>
      <c r="D4639">
        <v>192454</v>
      </c>
    </row>
    <row r="4640" spans="1:4" x14ac:dyDescent="0.25">
      <c r="A4640" s="279">
        <v>39171</v>
      </c>
      <c r="B4640" s="309" t="s">
        <v>411</v>
      </c>
      <c r="C4640" s="309" t="s">
        <v>198</v>
      </c>
      <c r="D4640">
        <v>0</v>
      </c>
    </row>
    <row r="4641" spans="1:4" x14ac:dyDescent="0.25">
      <c r="A4641" s="279">
        <v>39171</v>
      </c>
      <c r="B4641" s="309" t="s">
        <v>411</v>
      </c>
      <c r="C4641" s="309" t="s">
        <v>199</v>
      </c>
      <c r="D4641">
        <v>0</v>
      </c>
    </row>
    <row r="4642" spans="1:4" x14ac:dyDescent="0.25">
      <c r="A4642" s="279">
        <v>39171</v>
      </c>
      <c r="B4642" s="309" t="s">
        <v>411</v>
      </c>
      <c r="C4642" s="309" t="s">
        <v>90</v>
      </c>
      <c r="D4642">
        <v>62</v>
      </c>
    </row>
    <row r="4643" spans="1:4" x14ac:dyDescent="0.25">
      <c r="A4643" s="279">
        <v>39171</v>
      </c>
      <c r="B4643" s="309" t="s">
        <v>411</v>
      </c>
      <c r="C4643" s="309" t="s">
        <v>24</v>
      </c>
      <c r="D4643">
        <v>0</v>
      </c>
    </row>
    <row r="4644" spans="1:4" x14ac:dyDescent="0.25">
      <c r="A4644" s="279">
        <v>39171</v>
      </c>
      <c r="B4644" s="309" t="s">
        <v>411</v>
      </c>
      <c r="C4644" s="309" t="s">
        <v>91</v>
      </c>
      <c r="D4644">
        <v>0</v>
      </c>
    </row>
    <row r="4645" spans="1:4" x14ac:dyDescent="0.25">
      <c r="A4645" s="279">
        <v>39171</v>
      </c>
      <c r="B4645" s="309" t="s">
        <v>411</v>
      </c>
      <c r="C4645" s="309" t="s">
        <v>118</v>
      </c>
      <c r="D4645">
        <v>0</v>
      </c>
    </row>
    <row r="4646" spans="1:4" x14ac:dyDescent="0.25">
      <c r="A4646" s="279">
        <v>39171</v>
      </c>
      <c r="B4646" s="309" t="s">
        <v>411</v>
      </c>
      <c r="C4646" s="309" t="s">
        <v>407</v>
      </c>
      <c r="D4646">
        <v>192392</v>
      </c>
    </row>
    <row r="4647" spans="1:4" x14ac:dyDescent="0.25">
      <c r="A4647" s="279">
        <v>39171</v>
      </c>
      <c r="B4647" s="309" t="s">
        <v>411</v>
      </c>
      <c r="C4647" s="309" t="s">
        <v>412</v>
      </c>
      <c r="D4647">
        <v>1007</v>
      </c>
    </row>
    <row r="4648" spans="1:4" x14ac:dyDescent="0.25">
      <c r="A4648" s="279">
        <v>39171</v>
      </c>
      <c r="B4648" s="309" t="s">
        <v>411</v>
      </c>
      <c r="C4648" s="309" t="s">
        <v>409</v>
      </c>
      <c r="D4648">
        <v>1049</v>
      </c>
    </row>
    <row r="4649" spans="1:4" x14ac:dyDescent="0.25">
      <c r="A4649" s="279">
        <v>39172</v>
      </c>
      <c r="B4649" s="309" t="s">
        <v>405</v>
      </c>
      <c r="C4649" s="309" t="s">
        <v>406</v>
      </c>
      <c r="D4649">
        <v>2429431.1</v>
      </c>
    </row>
    <row r="4650" spans="1:4" x14ac:dyDescent="0.25">
      <c r="A4650" s="279">
        <v>39172</v>
      </c>
      <c r="B4650" s="309" t="s">
        <v>405</v>
      </c>
      <c r="C4650" s="309" t="s">
        <v>89</v>
      </c>
      <c r="D4650">
        <v>0</v>
      </c>
    </row>
    <row r="4651" spans="1:4" x14ac:dyDescent="0.25">
      <c r="A4651" s="279">
        <v>39172</v>
      </c>
      <c r="B4651" s="309" t="s">
        <v>405</v>
      </c>
      <c r="C4651" s="309" t="s">
        <v>198</v>
      </c>
      <c r="D4651">
        <v>0</v>
      </c>
    </row>
    <row r="4652" spans="1:4" x14ac:dyDescent="0.25">
      <c r="A4652" s="279">
        <v>39172</v>
      </c>
      <c r="B4652" s="309" t="s">
        <v>405</v>
      </c>
      <c r="C4652" s="309" t="s">
        <v>199</v>
      </c>
      <c r="D4652">
        <v>0</v>
      </c>
    </row>
    <row r="4653" spans="1:4" x14ac:dyDescent="0.25">
      <c r="A4653" s="279">
        <v>39172</v>
      </c>
      <c r="B4653" s="309" t="s">
        <v>405</v>
      </c>
      <c r="C4653" s="309" t="s">
        <v>90</v>
      </c>
      <c r="D4653">
        <v>2399</v>
      </c>
    </row>
    <row r="4654" spans="1:4" x14ac:dyDescent="0.25">
      <c r="A4654" s="279">
        <v>39172</v>
      </c>
      <c r="B4654" s="309" t="s">
        <v>405</v>
      </c>
      <c r="C4654" s="309" t="s">
        <v>24</v>
      </c>
      <c r="D4654">
        <v>0</v>
      </c>
    </row>
    <row r="4655" spans="1:4" x14ac:dyDescent="0.25">
      <c r="A4655" s="279">
        <v>39172</v>
      </c>
      <c r="B4655" s="309" t="s">
        <v>405</v>
      </c>
      <c r="C4655" s="309" t="s">
        <v>91</v>
      </c>
      <c r="D4655">
        <v>0</v>
      </c>
    </row>
    <row r="4656" spans="1:4" x14ac:dyDescent="0.25">
      <c r="A4656" s="279">
        <v>39172</v>
      </c>
      <c r="B4656" s="309" t="s">
        <v>405</v>
      </c>
      <c r="C4656" s="309" t="s">
        <v>118</v>
      </c>
      <c r="D4656">
        <v>0</v>
      </c>
    </row>
    <row r="4657" spans="1:4" x14ac:dyDescent="0.25">
      <c r="A4657" s="279">
        <v>39172</v>
      </c>
      <c r="B4657" s="309" t="s">
        <v>405</v>
      </c>
      <c r="C4657" s="309" t="s">
        <v>407</v>
      </c>
      <c r="D4657">
        <v>2427032.1</v>
      </c>
    </row>
    <row r="4658" spans="1:4" x14ac:dyDescent="0.25">
      <c r="A4658" s="279">
        <v>39172</v>
      </c>
      <c r="B4658" s="309" t="s">
        <v>405</v>
      </c>
      <c r="C4658" s="309" t="s">
        <v>408</v>
      </c>
      <c r="D4658">
        <v>1007</v>
      </c>
    </row>
    <row r="4659" spans="1:4" x14ac:dyDescent="0.25">
      <c r="A4659" s="279">
        <v>39172</v>
      </c>
      <c r="B4659" s="309" t="s">
        <v>405</v>
      </c>
      <c r="C4659" s="309" t="s">
        <v>409</v>
      </c>
      <c r="D4659">
        <v>1058</v>
      </c>
    </row>
    <row r="4660" spans="1:4" x14ac:dyDescent="0.25">
      <c r="A4660" s="279">
        <v>39172</v>
      </c>
      <c r="B4660" s="309" t="s">
        <v>405</v>
      </c>
      <c r="C4660" s="309" t="s">
        <v>410</v>
      </c>
      <c r="D4660">
        <v>1031</v>
      </c>
    </row>
    <row r="4661" spans="1:4" x14ac:dyDescent="0.25">
      <c r="A4661" s="279">
        <v>39172</v>
      </c>
      <c r="B4661" s="309" t="s">
        <v>411</v>
      </c>
      <c r="C4661" s="309" t="s">
        <v>406</v>
      </c>
      <c r="D4661">
        <v>192392</v>
      </c>
    </row>
    <row r="4662" spans="1:4" x14ac:dyDescent="0.25">
      <c r="A4662" s="279">
        <v>39172</v>
      </c>
      <c r="B4662" s="309" t="s">
        <v>411</v>
      </c>
      <c r="C4662" s="309" t="s">
        <v>198</v>
      </c>
      <c r="D4662">
        <v>0</v>
      </c>
    </row>
    <row r="4663" spans="1:4" x14ac:dyDescent="0.25">
      <c r="A4663" s="279">
        <v>39172</v>
      </c>
      <c r="B4663" s="309" t="s">
        <v>411</v>
      </c>
      <c r="C4663" s="309" t="s">
        <v>199</v>
      </c>
      <c r="D4663">
        <v>0</v>
      </c>
    </row>
    <row r="4664" spans="1:4" x14ac:dyDescent="0.25">
      <c r="A4664" s="279">
        <v>39172</v>
      </c>
      <c r="B4664" s="309" t="s">
        <v>411</v>
      </c>
      <c r="C4664" s="309" t="s">
        <v>90</v>
      </c>
      <c r="D4664">
        <v>216</v>
      </c>
    </row>
    <row r="4665" spans="1:4" x14ac:dyDescent="0.25">
      <c r="A4665" s="279">
        <v>39172</v>
      </c>
      <c r="B4665" s="309" t="s">
        <v>411</v>
      </c>
      <c r="C4665" s="309" t="s">
        <v>24</v>
      </c>
      <c r="D4665">
        <v>0</v>
      </c>
    </row>
    <row r="4666" spans="1:4" x14ac:dyDescent="0.25">
      <c r="A4666" s="279">
        <v>39172</v>
      </c>
      <c r="B4666" s="309" t="s">
        <v>411</v>
      </c>
      <c r="C4666" s="309" t="s">
        <v>91</v>
      </c>
      <c r="D4666">
        <v>0</v>
      </c>
    </row>
    <row r="4667" spans="1:4" x14ac:dyDescent="0.25">
      <c r="A4667" s="279">
        <v>39172</v>
      </c>
      <c r="B4667" s="309" t="s">
        <v>411</v>
      </c>
      <c r="C4667" s="309" t="s">
        <v>118</v>
      </c>
      <c r="D4667">
        <v>0</v>
      </c>
    </row>
    <row r="4668" spans="1:4" x14ac:dyDescent="0.25">
      <c r="A4668" s="279">
        <v>39172</v>
      </c>
      <c r="B4668" s="309" t="s">
        <v>411</v>
      </c>
      <c r="C4668" s="309" t="s">
        <v>407</v>
      </c>
      <c r="D4668">
        <v>192176</v>
      </c>
    </row>
    <row r="4669" spans="1:4" x14ac:dyDescent="0.25">
      <c r="A4669" s="279">
        <v>39172</v>
      </c>
      <c r="B4669" s="309" t="s">
        <v>411</v>
      </c>
      <c r="C4669" s="309" t="s">
        <v>412</v>
      </c>
      <c r="D4669">
        <v>1007</v>
      </c>
    </row>
    <row r="4670" spans="1:4" x14ac:dyDescent="0.25">
      <c r="A4670" s="279">
        <v>39172</v>
      </c>
      <c r="B4670" s="309" t="s">
        <v>411</v>
      </c>
      <c r="C4670" s="309" t="s">
        <v>409</v>
      </c>
      <c r="D4670">
        <v>1049</v>
      </c>
    </row>
    <row r="4671" spans="1:4" x14ac:dyDescent="0.25">
      <c r="A4671" s="279">
        <v>39173</v>
      </c>
      <c r="B4671" s="309" t="s">
        <v>405</v>
      </c>
      <c r="C4671" s="309" t="s">
        <v>406</v>
      </c>
      <c r="D4671">
        <v>2427032.1</v>
      </c>
    </row>
    <row r="4672" spans="1:4" x14ac:dyDescent="0.25">
      <c r="A4672" s="279">
        <v>39173</v>
      </c>
      <c r="B4672" s="309" t="s">
        <v>405</v>
      </c>
      <c r="C4672" s="309" t="s">
        <v>89</v>
      </c>
      <c r="D4672">
        <v>0</v>
      </c>
    </row>
    <row r="4673" spans="1:4" x14ac:dyDescent="0.25">
      <c r="A4673" s="279">
        <v>39173</v>
      </c>
      <c r="B4673" s="309" t="s">
        <v>405</v>
      </c>
      <c r="C4673" s="309" t="s">
        <v>198</v>
      </c>
      <c r="D4673">
        <v>0</v>
      </c>
    </row>
    <row r="4674" spans="1:4" x14ac:dyDescent="0.25">
      <c r="A4674" s="279">
        <v>39173</v>
      </c>
      <c r="B4674" s="309" t="s">
        <v>405</v>
      </c>
      <c r="C4674" s="309" t="s">
        <v>199</v>
      </c>
      <c r="D4674">
        <v>0</v>
      </c>
    </row>
    <row r="4675" spans="1:4" x14ac:dyDescent="0.25">
      <c r="A4675" s="279">
        <v>39173</v>
      </c>
      <c r="B4675" s="309" t="s">
        <v>405</v>
      </c>
      <c r="C4675" s="309" t="s">
        <v>90</v>
      </c>
      <c r="D4675">
        <v>3200</v>
      </c>
    </row>
    <row r="4676" spans="1:4" x14ac:dyDescent="0.25">
      <c r="A4676" s="279">
        <v>39173</v>
      </c>
      <c r="B4676" s="309" t="s">
        <v>405</v>
      </c>
      <c r="C4676" s="309" t="s">
        <v>24</v>
      </c>
      <c r="D4676">
        <v>0</v>
      </c>
    </row>
    <row r="4677" spans="1:4" x14ac:dyDescent="0.25">
      <c r="A4677" s="279">
        <v>39173</v>
      </c>
      <c r="B4677" s="309" t="s">
        <v>405</v>
      </c>
      <c r="C4677" s="309" t="s">
        <v>91</v>
      </c>
      <c r="D4677">
        <v>0</v>
      </c>
    </row>
    <row r="4678" spans="1:4" x14ac:dyDescent="0.25">
      <c r="A4678" s="279">
        <v>39173</v>
      </c>
      <c r="B4678" s="309" t="s">
        <v>405</v>
      </c>
      <c r="C4678" s="309" t="s">
        <v>118</v>
      </c>
      <c r="D4678">
        <v>0</v>
      </c>
    </row>
    <row r="4679" spans="1:4" x14ac:dyDescent="0.25">
      <c r="A4679" s="279">
        <v>39173</v>
      </c>
      <c r="B4679" s="309" t="s">
        <v>405</v>
      </c>
      <c r="C4679" s="309" t="s">
        <v>407</v>
      </c>
      <c r="D4679">
        <v>2423832.1</v>
      </c>
    </row>
    <row r="4680" spans="1:4" x14ac:dyDescent="0.25">
      <c r="A4680" s="279">
        <v>39173</v>
      </c>
      <c r="B4680" s="309" t="s">
        <v>405</v>
      </c>
      <c r="C4680" s="309" t="s">
        <v>408</v>
      </c>
      <c r="D4680">
        <v>1007</v>
      </c>
    </row>
    <row r="4681" spans="1:4" x14ac:dyDescent="0.25">
      <c r="A4681" s="279">
        <v>39173</v>
      </c>
      <c r="B4681" s="309" t="s">
        <v>405</v>
      </c>
      <c r="C4681" s="309" t="s">
        <v>409</v>
      </c>
      <c r="D4681">
        <v>1058</v>
      </c>
    </row>
    <row r="4682" spans="1:4" x14ac:dyDescent="0.25">
      <c r="A4682" s="279">
        <v>39173</v>
      </c>
      <c r="B4682" s="309" t="s">
        <v>405</v>
      </c>
      <c r="C4682" s="309" t="s">
        <v>410</v>
      </c>
      <c r="D4682">
        <v>1031</v>
      </c>
    </row>
    <row r="4683" spans="1:4" x14ac:dyDescent="0.25">
      <c r="A4683" s="279">
        <v>39173</v>
      </c>
      <c r="B4683" s="309" t="s">
        <v>411</v>
      </c>
      <c r="C4683" s="309" t="s">
        <v>406</v>
      </c>
      <c r="D4683">
        <v>192176</v>
      </c>
    </row>
    <row r="4684" spans="1:4" x14ac:dyDescent="0.25">
      <c r="A4684" s="279">
        <v>39173</v>
      </c>
      <c r="B4684" s="309" t="s">
        <v>411</v>
      </c>
      <c r="C4684" s="309" t="s">
        <v>198</v>
      </c>
      <c r="D4684">
        <v>0</v>
      </c>
    </row>
    <row r="4685" spans="1:4" x14ac:dyDescent="0.25">
      <c r="A4685" s="279">
        <v>39173</v>
      </c>
      <c r="B4685" s="309" t="s">
        <v>411</v>
      </c>
      <c r="C4685" s="309" t="s">
        <v>199</v>
      </c>
      <c r="D4685">
        <v>0</v>
      </c>
    </row>
    <row r="4686" spans="1:4" x14ac:dyDescent="0.25">
      <c r="A4686" s="279">
        <v>39173</v>
      </c>
      <c r="B4686" s="309" t="s">
        <v>411</v>
      </c>
      <c r="C4686" s="309" t="s">
        <v>90</v>
      </c>
      <c r="D4686">
        <v>65</v>
      </c>
    </row>
    <row r="4687" spans="1:4" x14ac:dyDescent="0.25">
      <c r="A4687" s="279">
        <v>39173</v>
      </c>
      <c r="B4687" s="309" t="s">
        <v>411</v>
      </c>
      <c r="C4687" s="309" t="s">
        <v>24</v>
      </c>
      <c r="D4687">
        <v>0</v>
      </c>
    </row>
    <row r="4688" spans="1:4" x14ac:dyDescent="0.25">
      <c r="A4688" s="279">
        <v>39173</v>
      </c>
      <c r="B4688" s="309" t="s">
        <v>411</v>
      </c>
      <c r="C4688" s="309" t="s">
        <v>91</v>
      </c>
      <c r="D4688">
        <v>0</v>
      </c>
    </row>
    <row r="4689" spans="1:4" x14ac:dyDescent="0.25">
      <c r="A4689" s="279">
        <v>39173</v>
      </c>
      <c r="B4689" s="309" t="s">
        <v>411</v>
      </c>
      <c r="C4689" s="309" t="s">
        <v>118</v>
      </c>
      <c r="D4689">
        <v>0</v>
      </c>
    </row>
    <row r="4690" spans="1:4" x14ac:dyDescent="0.25">
      <c r="A4690" s="279">
        <v>39173</v>
      </c>
      <c r="B4690" s="309" t="s">
        <v>411</v>
      </c>
      <c r="C4690" s="309" t="s">
        <v>407</v>
      </c>
      <c r="D4690">
        <v>192111</v>
      </c>
    </row>
    <row r="4691" spans="1:4" x14ac:dyDescent="0.25">
      <c r="A4691" s="279">
        <v>39173</v>
      </c>
      <c r="B4691" s="309" t="s">
        <v>411</v>
      </c>
      <c r="C4691" s="309" t="s">
        <v>412</v>
      </c>
      <c r="D4691">
        <v>1007</v>
      </c>
    </row>
    <row r="4692" spans="1:4" x14ac:dyDescent="0.25">
      <c r="A4692" s="279">
        <v>39173</v>
      </c>
      <c r="B4692" s="309" t="s">
        <v>411</v>
      </c>
      <c r="C4692" s="309" t="s">
        <v>409</v>
      </c>
      <c r="D4692">
        <v>1049</v>
      </c>
    </row>
    <row r="4693" spans="1:4" x14ac:dyDescent="0.25">
      <c r="A4693" s="279">
        <v>39174</v>
      </c>
      <c r="B4693" s="309" t="s">
        <v>405</v>
      </c>
      <c r="C4693" s="309" t="s">
        <v>406</v>
      </c>
      <c r="D4693">
        <v>2423832.1</v>
      </c>
    </row>
    <row r="4694" spans="1:4" x14ac:dyDescent="0.25">
      <c r="A4694" s="279">
        <v>39174</v>
      </c>
      <c r="B4694" s="309" t="s">
        <v>405</v>
      </c>
      <c r="C4694" s="309" t="s">
        <v>89</v>
      </c>
      <c r="D4694">
        <v>0</v>
      </c>
    </row>
    <row r="4695" spans="1:4" x14ac:dyDescent="0.25">
      <c r="A4695" s="279">
        <v>39174</v>
      </c>
      <c r="B4695" s="309" t="s">
        <v>405</v>
      </c>
      <c r="C4695" s="309" t="s">
        <v>198</v>
      </c>
      <c r="D4695">
        <v>0</v>
      </c>
    </row>
    <row r="4696" spans="1:4" x14ac:dyDescent="0.25">
      <c r="A4696" s="279">
        <v>39174</v>
      </c>
      <c r="B4696" s="309" t="s">
        <v>405</v>
      </c>
      <c r="C4696" s="309" t="s">
        <v>199</v>
      </c>
      <c r="D4696">
        <v>0</v>
      </c>
    </row>
    <row r="4697" spans="1:4" x14ac:dyDescent="0.25">
      <c r="A4697" s="279">
        <v>39174</v>
      </c>
      <c r="B4697" s="309" t="s">
        <v>405</v>
      </c>
      <c r="C4697" s="309" t="s">
        <v>90</v>
      </c>
      <c r="D4697">
        <v>2667</v>
      </c>
    </row>
    <row r="4698" spans="1:4" x14ac:dyDescent="0.25">
      <c r="A4698" s="279">
        <v>39174</v>
      </c>
      <c r="B4698" s="309" t="s">
        <v>405</v>
      </c>
      <c r="C4698" s="309" t="s">
        <v>24</v>
      </c>
      <c r="D4698">
        <v>0</v>
      </c>
    </row>
    <row r="4699" spans="1:4" x14ac:dyDescent="0.25">
      <c r="A4699" s="279">
        <v>39174</v>
      </c>
      <c r="B4699" s="309" t="s">
        <v>405</v>
      </c>
      <c r="C4699" s="309" t="s">
        <v>91</v>
      </c>
      <c r="D4699">
        <v>0</v>
      </c>
    </row>
    <row r="4700" spans="1:4" x14ac:dyDescent="0.25">
      <c r="A4700" s="279">
        <v>39174</v>
      </c>
      <c r="B4700" s="309" t="s">
        <v>405</v>
      </c>
      <c r="C4700" s="309" t="s">
        <v>118</v>
      </c>
      <c r="D4700">
        <v>0</v>
      </c>
    </row>
    <row r="4701" spans="1:4" x14ac:dyDescent="0.25">
      <c r="A4701" s="279">
        <v>39174</v>
      </c>
      <c r="B4701" s="309" t="s">
        <v>405</v>
      </c>
      <c r="C4701" s="309" t="s">
        <v>407</v>
      </c>
      <c r="D4701">
        <v>2421165.1</v>
      </c>
    </row>
    <row r="4702" spans="1:4" x14ac:dyDescent="0.25">
      <c r="A4702" s="279">
        <v>39174</v>
      </c>
      <c r="B4702" s="309" t="s">
        <v>405</v>
      </c>
      <c r="C4702" s="309" t="s">
        <v>408</v>
      </c>
      <c r="D4702">
        <v>1007</v>
      </c>
    </row>
    <row r="4703" spans="1:4" x14ac:dyDescent="0.25">
      <c r="A4703" s="279">
        <v>39174</v>
      </c>
      <c r="B4703" s="309" t="s">
        <v>405</v>
      </c>
      <c r="C4703" s="309" t="s">
        <v>409</v>
      </c>
      <c r="D4703">
        <v>1058</v>
      </c>
    </row>
    <row r="4704" spans="1:4" x14ac:dyDescent="0.25">
      <c r="A4704" s="279">
        <v>39174</v>
      </c>
      <c r="B4704" s="309" t="s">
        <v>405</v>
      </c>
      <c r="C4704" s="309" t="s">
        <v>410</v>
      </c>
      <c r="D4704">
        <v>1034</v>
      </c>
    </row>
    <row r="4705" spans="1:4" x14ac:dyDescent="0.25">
      <c r="A4705" s="279">
        <v>39174</v>
      </c>
      <c r="B4705" s="309" t="s">
        <v>411</v>
      </c>
      <c r="C4705" s="309" t="s">
        <v>406</v>
      </c>
      <c r="D4705">
        <v>192111</v>
      </c>
    </row>
    <row r="4706" spans="1:4" x14ac:dyDescent="0.25">
      <c r="A4706" s="279">
        <v>39174</v>
      </c>
      <c r="B4706" s="309" t="s">
        <v>411</v>
      </c>
      <c r="C4706" s="309" t="s">
        <v>198</v>
      </c>
      <c r="D4706">
        <v>0</v>
      </c>
    </row>
    <row r="4707" spans="1:4" x14ac:dyDescent="0.25">
      <c r="A4707" s="279">
        <v>39174</v>
      </c>
      <c r="B4707" s="309" t="s">
        <v>411</v>
      </c>
      <c r="C4707" s="309" t="s">
        <v>199</v>
      </c>
      <c r="D4707">
        <v>0</v>
      </c>
    </row>
    <row r="4708" spans="1:4" x14ac:dyDescent="0.25">
      <c r="A4708" s="279">
        <v>39174</v>
      </c>
      <c r="B4708" s="309" t="s">
        <v>411</v>
      </c>
      <c r="C4708" s="309" t="s">
        <v>90</v>
      </c>
      <c r="D4708">
        <v>211</v>
      </c>
    </row>
    <row r="4709" spans="1:4" x14ac:dyDescent="0.25">
      <c r="A4709" s="279">
        <v>39174</v>
      </c>
      <c r="B4709" s="309" t="s">
        <v>411</v>
      </c>
      <c r="C4709" s="309" t="s">
        <v>24</v>
      </c>
      <c r="D4709">
        <v>0</v>
      </c>
    </row>
    <row r="4710" spans="1:4" x14ac:dyDescent="0.25">
      <c r="A4710" s="279">
        <v>39174</v>
      </c>
      <c r="B4710" s="309" t="s">
        <v>411</v>
      </c>
      <c r="C4710" s="309" t="s">
        <v>91</v>
      </c>
      <c r="D4710">
        <v>0</v>
      </c>
    </row>
    <row r="4711" spans="1:4" x14ac:dyDescent="0.25">
      <c r="A4711" s="279">
        <v>39174</v>
      </c>
      <c r="B4711" s="309" t="s">
        <v>411</v>
      </c>
      <c r="C4711" s="309" t="s">
        <v>118</v>
      </c>
      <c r="D4711">
        <v>0</v>
      </c>
    </row>
    <row r="4712" spans="1:4" x14ac:dyDescent="0.25">
      <c r="A4712" s="279">
        <v>39174</v>
      </c>
      <c r="B4712" s="309" t="s">
        <v>411</v>
      </c>
      <c r="C4712" s="309" t="s">
        <v>407</v>
      </c>
      <c r="D4712">
        <v>191900</v>
      </c>
    </row>
    <row r="4713" spans="1:4" x14ac:dyDescent="0.25">
      <c r="A4713" s="279">
        <v>39174</v>
      </c>
      <c r="B4713" s="309" t="s">
        <v>411</v>
      </c>
      <c r="C4713" s="309" t="s">
        <v>412</v>
      </c>
      <c r="D4713">
        <v>1007</v>
      </c>
    </row>
    <row r="4714" spans="1:4" x14ac:dyDescent="0.25">
      <c r="A4714" s="279">
        <v>39174</v>
      </c>
      <c r="B4714" s="309" t="s">
        <v>411</v>
      </c>
      <c r="C4714" s="309" t="s">
        <v>409</v>
      </c>
      <c r="D4714">
        <v>1049</v>
      </c>
    </row>
    <row r="4715" spans="1:4" x14ac:dyDescent="0.25">
      <c r="A4715" s="279">
        <v>39175</v>
      </c>
      <c r="B4715" s="309" t="s">
        <v>405</v>
      </c>
      <c r="C4715" s="309" t="s">
        <v>406</v>
      </c>
      <c r="D4715">
        <v>2421165.1</v>
      </c>
    </row>
    <row r="4716" spans="1:4" x14ac:dyDescent="0.25">
      <c r="A4716" s="279">
        <v>39175</v>
      </c>
      <c r="B4716" s="309" t="s">
        <v>405</v>
      </c>
      <c r="C4716" s="309" t="s">
        <v>89</v>
      </c>
      <c r="D4716">
        <v>0</v>
      </c>
    </row>
    <row r="4717" spans="1:4" x14ac:dyDescent="0.25">
      <c r="A4717" s="279">
        <v>39175</v>
      </c>
      <c r="B4717" s="309" t="s">
        <v>405</v>
      </c>
      <c r="C4717" s="309" t="s">
        <v>198</v>
      </c>
      <c r="D4717">
        <v>0</v>
      </c>
    </row>
    <row r="4718" spans="1:4" x14ac:dyDescent="0.25">
      <c r="A4718" s="279">
        <v>39175</v>
      </c>
      <c r="B4718" s="309" t="s">
        <v>405</v>
      </c>
      <c r="C4718" s="309" t="s">
        <v>199</v>
      </c>
      <c r="D4718">
        <v>0</v>
      </c>
    </row>
    <row r="4719" spans="1:4" x14ac:dyDescent="0.25">
      <c r="A4719" s="279">
        <v>39175</v>
      </c>
      <c r="B4719" s="309" t="s">
        <v>405</v>
      </c>
      <c r="C4719" s="309" t="s">
        <v>90</v>
      </c>
      <c r="D4719">
        <v>1601</v>
      </c>
    </row>
    <row r="4720" spans="1:4" x14ac:dyDescent="0.25">
      <c r="A4720" s="279">
        <v>39175</v>
      </c>
      <c r="B4720" s="309" t="s">
        <v>405</v>
      </c>
      <c r="C4720" s="309" t="s">
        <v>24</v>
      </c>
      <c r="D4720">
        <v>0</v>
      </c>
    </row>
    <row r="4721" spans="1:4" x14ac:dyDescent="0.25">
      <c r="A4721" s="279">
        <v>39175</v>
      </c>
      <c r="B4721" s="309" t="s">
        <v>405</v>
      </c>
      <c r="C4721" s="309" t="s">
        <v>91</v>
      </c>
      <c r="D4721">
        <v>0</v>
      </c>
    </row>
    <row r="4722" spans="1:4" x14ac:dyDescent="0.25">
      <c r="A4722" s="279">
        <v>39175</v>
      </c>
      <c r="B4722" s="309" t="s">
        <v>405</v>
      </c>
      <c r="C4722" s="309" t="s">
        <v>118</v>
      </c>
      <c r="D4722">
        <v>0</v>
      </c>
    </row>
    <row r="4723" spans="1:4" x14ac:dyDescent="0.25">
      <c r="A4723" s="279">
        <v>39175</v>
      </c>
      <c r="B4723" s="309" t="s">
        <v>405</v>
      </c>
      <c r="C4723" s="309" t="s">
        <v>407</v>
      </c>
      <c r="D4723">
        <v>2419564.1</v>
      </c>
    </row>
    <row r="4724" spans="1:4" x14ac:dyDescent="0.25">
      <c r="A4724" s="279">
        <v>39175</v>
      </c>
      <c r="B4724" s="309" t="s">
        <v>405</v>
      </c>
      <c r="C4724" s="309" t="s">
        <v>408</v>
      </c>
      <c r="D4724">
        <v>1007</v>
      </c>
    </row>
    <row r="4725" spans="1:4" x14ac:dyDescent="0.25">
      <c r="A4725" s="279">
        <v>39175</v>
      </c>
      <c r="B4725" s="309" t="s">
        <v>405</v>
      </c>
      <c r="C4725" s="309" t="s">
        <v>409</v>
      </c>
      <c r="D4725">
        <v>1058</v>
      </c>
    </row>
    <row r="4726" spans="1:4" x14ac:dyDescent="0.25">
      <c r="A4726" s="279">
        <v>39175</v>
      </c>
      <c r="B4726" s="309" t="s">
        <v>405</v>
      </c>
      <c r="C4726" s="309" t="s">
        <v>410</v>
      </c>
      <c r="D4726">
        <v>1032</v>
      </c>
    </row>
    <row r="4727" spans="1:4" x14ac:dyDescent="0.25">
      <c r="A4727" s="279">
        <v>39175</v>
      </c>
      <c r="B4727" s="309" t="s">
        <v>411</v>
      </c>
      <c r="C4727" s="309" t="s">
        <v>406</v>
      </c>
      <c r="D4727">
        <v>191900</v>
      </c>
    </row>
    <row r="4728" spans="1:4" x14ac:dyDescent="0.25">
      <c r="A4728" s="279">
        <v>39175</v>
      </c>
      <c r="B4728" s="309" t="s">
        <v>411</v>
      </c>
      <c r="C4728" s="309" t="s">
        <v>198</v>
      </c>
      <c r="D4728">
        <v>0</v>
      </c>
    </row>
    <row r="4729" spans="1:4" x14ac:dyDescent="0.25">
      <c r="A4729" s="279">
        <v>39175</v>
      </c>
      <c r="B4729" s="309" t="s">
        <v>411</v>
      </c>
      <c r="C4729" s="309" t="s">
        <v>199</v>
      </c>
      <c r="D4729">
        <v>0</v>
      </c>
    </row>
    <row r="4730" spans="1:4" x14ac:dyDescent="0.25">
      <c r="A4730" s="279">
        <v>39175</v>
      </c>
      <c r="B4730" s="309" t="s">
        <v>411</v>
      </c>
      <c r="C4730" s="309" t="s">
        <v>90</v>
      </c>
      <c r="D4730">
        <v>67</v>
      </c>
    </row>
    <row r="4731" spans="1:4" x14ac:dyDescent="0.25">
      <c r="A4731" s="279">
        <v>39175</v>
      </c>
      <c r="B4731" s="309" t="s">
        <v>411</v>
      </c>
      <c r="C4731" s="309" t="s">
        <v>24</v>
      </c>
      <c r="D4731">
        <v>0</v>
      </c>
    </row>
    <row r="4732" spans="1:4" x14ac:dyDescent="0.25">
      <c r="A4732" s="279">
        <v>39175</v>
      </c>
      <c r="B4732" s="309" t="s">
        <v>411</v>
      </c>
      <c r="C4732" s="309" t="s">
        <v>91</v>
      </c>
      <c r="D4732">
        <v>0</v>
      </c>
    </row>
    <row r="4733" spans="1:4" x14ac:dyDescent="0.25">
      <c r="A4733" s="279">
        <v>39175</v>
      </c>
      <c r="B4733" s="309" t="s">
        <v>411</v>
      </c>
      <c r="C4733" s="309" t="s">
        <v>118</v>
      </c>
      <c r="D4733">
        <v>0</v>
      </c>
    </row>
    <row r="4734" spans="1:4" x14ac:dyDescent="0.25">
      <c r="A4734" s="279">
        <v>39175</v>
      </c>
      <c r="B4734" s="309" t="s">
        <v>411</v>
      </c>
      <c r="C4734" s="309" t="s">
        <v>407</v>
      </c>
      <c r="D4734">
        <v>191833</v>
      </c>
    </row>
    <row r="4735" spans="1:4" x14ac:dyDescent="0.25">
      <c r="A4735" s="279">
        <v>39175</v>
      </c>
      <c r="B4735" s="309" t="s">
        <v>411</v>
      </c>
      <c r="C4735" s="309" t="s">
        <v>412</v>
      </c>
      <c r="D4735">
        <v>1007</v>
      </c>
    </row>
    <row r="4736" spans="1:4" x14ac:dyDescent="0.25">
      <c r="A4736" s="279">
        <v>39175</v>
      </c>
      <c r="B4736" s="309" t="s">
        <v>411</v>
      </c>
      <c r="C4736" s="309" t="s">
        <v>409</v>
      </c>
      <c r="D4736">
        <v>1049</v>
      </c>
    </row>
    <row r="4737" spans="1:4" x14ac:dyDescent="0.25">
      <c r="A4737" s="279">
        <v>39176</v>
      </c>
      <c r="B4737" s="309" t="s">
        <v>405</v>
      </c>
      <c r="C4737" s="309" t="s">
        <v>406</v>
      </c>
      <c r="D4737">
        <v>2419564.1</v>
      </c>
    </row>
    <row r="4738" spans="1:4" x14ac:dyDescent="0.25">
      <c r="A4738" s="279">
        <v>39176</v>
      </c>
      <c r="B4738" s="309" t="s">
        <v>405</v>
      </c>
      <c r="C4738" s="309" t="s">
        <v>89</v>
      </c>
      <c r="D4738">
        <v>0</v>
      </c>
    </row>
    <row r="4739" spans="1:4" x14ac:dyDescent="0.25">
      <c r="A4739" s="279">
        <v>39176</v>
      </c>
      <c r="B4739" s="309" t="s">
        <v>405</v>
      </c>
      <c r="C4739" s="309" t="s">
        <v>198</v>
      </c>
      <c r="D4739">
        <v>0</v>
      </c>
    </row>
    <row r="4740" spans="1:4" x14ac:dyDescent="0.25">
      <c r="A4740" s="279">
        <v>39176</v>
      </c>
      <c r="B4740" s="309" t="s">
        <v>405</v>
      </c>
      <c r="C4740" s="309" t="s">
        <v>199</v>
      </c>
      <c r="D4740">
        <v>0</v>
      </c>
    </row>
    <row r="4741" spans="1:4" x14ac:dyDescent="0.25">
      <c r="A4741" s="279">
        <v>39176</v>
      </c>
      <c r="B4741" s="309" t="s">
        <v>405</v>
      </c>
      <c r="C4741" s="309" t="s">
        <v>90</v>
      </c>
      <c r="D4741">
        <v>4001</v>
      </c>
    </row>
    <row r="4742" spans="1:4" x14ac:dyDescent="0.25">
      <c r="A4742" s="279">
        <v>39176</v>
      </c>
      <c r="B4742" s="309" t="s">
        <v>405</v>
      </c>
      <c r="C4742" s="309" t="s">
        <v>24</v>
      </c>
      <c r="D4742">
        <v>0</v>
      </c>
    </row>
    <row r="4743" spans="1:4" x14ac:dyDescent="0.25">
      <c r="A4743" s="279">
        <v>39176</v>
      </c>
      <c r="B4743" s="309" t="s">
        <v>405</v>
      </c>
      <c r="C4743" s="309" t="s">
        <v>91</v>
      </c>
      <c r="D4743">
        <v>0</v>
      </c>
    </row>
    <row r="4744" spans="1:4" x14ac:dyDescent="0.25">
      <c r="A4744" s="279">
        <v>39176</v>
      </c>
      <c r="B4744" s="309" t="s">
        <v>405</v>
      </c>
      <c r="C4744" s="309" t="s">
        <v>118</v>
      </c>
      <c r="D4744">
        <v>0</v>
      </c>
    </row>
    <row r="4745" spans="1:4" x14ac:dyDescent="0.25">
      <c r="A4745" s="279">
        <v>39176</v>
      </c>
      <c r="B4745" s="309" t="s">
        <v>405</v>
      </c>
      <c r="C4745" s="309" t="s">
        <v>407</v>
      </c>
      <c r="D4745">
        <v>2415563.1</v>
      </c>
    </row>
    <row r="4746" spans="1:4" x14ac:dyDescent="0.25">
      <c r="A4746" s="279">
        <v>39176</v>
      </c>
      <c r="B4746" s="309" t="s">
        <v>405</v>
      </c>
      <c r="C4746" s="309" t="s">
        <v>408</v>
      </c>
      <c r="D4746">
        <v>1007</v>
      </c>
    </row>
    <row r="4747" spans="1:4" x14ac:dyDescent="0.25">
      <c r="A4747" s="279">
        <v>39176</v>
      </c>
      <c r="B4747" s="309" t="s">
        <v>405</v>
      </c>
      <c r="C4747" s="309" t="s">
        <v>409</v>
      </c>
      <c r="D4747">
        <v>1058</v>
      </c>
    </row>
    <row r="4748" spans="1:4" x14ac:dyDescent="0.25">
      <c r="A4748" s="279">
        <v>39176</v>
      </c>
      <c r="B4748" s="309" t="s">
        <v>405</v>
      </c>
      <c r="C4748" s="309" t="s">
        <v>410</v>
      </c>
      <c r="D4748">
        <v>1032</v>
      </c>
    </row>
    <row r="4749" spans="1:4" x14ac:dyDescent="0.25">
      <c r="A4749" s="279">
        <v>39176</v>
      </c>
      <c r="B4749" s="309" t="s">
        <v>411</v>
      </c>
      <c r="C4749" s="309" t="s">
        <v>406</v>
      </c>
      <c r="D4749">
        <v>191833</v>
      </c>
    </row>
    <row r="4750" spans="1:4" x14ac:dyDescent="0.25">
      <c r="A4750" s="279">
        <v>39176</v>
      </c>
      <c r="B4750" s="309" t="s">
        <v>411</v>
      </c>
      <c r="C4750" s="309" t="s">
        <v>198</v>
      </c>
      <c r="D4750">
        <v>0</v>
      </c>
    </row>
    <row r="4751" spans="1:4" x14ac:dyDescent="0.25">
      <c r="A4751" s="279">
        <v>39176</v>
      </c>
      <c r="B4751" s="309" t="s">
        <v>411</v>
      </c>
      <c r="C4751" s="309" t="s">
        <v>199</v>
      </c>
      <c r="D4751">
        <v>0</v>
      </c>
    </row>
    <row r="4752" spans="1:4" x14ac:dyDescent="0.25">
      <c r="A4752" s="279">
        <v>39176</v>
      </c>
      <c r="B4752" s="309" t="s">
        <v>411</v>
      </c>
      <c r="C4752" s="309" t="s">
        <v>90</v>
      </c>
      <c r="D4752">
        <v>209</v>
      </c>
    </row>
    <row r="4753" spans="1:4" x14ac:dyDescent="0.25">
      <c r="A4753" s="279">
        <v>39176</v>
      </c>
      <c r="B4753" s="309" t="s">
        <v>411</v>
      </c>
      <c r="C4753" s="309" t="s">
        <v>24</v>
      </c>
      <c r="D4753">
        <v>0</v>
      </c>
    </row>
    <row r="4754" spans="1:4" x14ac:dyDescent="0.25">
      <c r="A4754" s="279">
        <v>39176</v>
      </c>
      <c r="B4754" s="309" t="s">
        <v>411</v>
      </c>
      <c r="C4754" s="309" t="s">
        <v>91</v>
      </c>
      <c r="D4754">
        <v>0</v>
      </c>
    </row>
    <row r="4755" spans="1:4" x14ac:dyDescent="0.25">
      <c r="A4755" s="279">
        <v>39176</v>
      </c>
      <c r="B4755" s="309" t="s">
        <v>411</v>
      </c>
      <c r="C4755" s="309" t="s">
        <v>118</v>
      </c>
      <c r="D4755">
        <v>0</v>
      </c>
    </row>
    <row r="4756" spans="1:4" x14ac:dyDescent="0.25">
      <c r="A4756" s="279">
        <v>39176</v>
      </c>
      <c r="B4756" s="309" t="s">
        <v>411</v>
      </c>
      <c r="C4756" s="309" t="s">
        <v>407</v>
      </c>
      <c r="D4756">
        <v>191624</v>
      </c>
    </row>
    <row r="4757" spans="1:4" x14ac:dyDescent="0.25">
      <c r="A4757" s="279">
        <v>39176</v>
      </c>
      <c r="B4757" s="309" t="s">
        <v>411</v>
      </c>
      <c r="C4757" s="309" t="s">
        <v>412</v>
      </c>
      <c r="D4757">
        <v>1007</v>
      </c>
    </row>
    <row r="4758" spans="1:4" x14ac:dyDescent="0.25">
      <c r="A4758" s="279">
        <v>39176</v>
      </c>
      <c r="B4758" s="309" t="s">
        <v>411</v>
      </c>
      <c r="C4758" s="309" t="s">
        <v>409</v>
      </c>
      <c r="D4758">
        <v>1049</v>
      </c>
    </row>
    <row r="4759" spans="1:4" x14ac:dyDescent="0.25">
      <c r="A4759" s="279">
        <v>39177</v>
      </c>
      <c r="B4759" s="309" t="s">
        <v>405</v>
      </c>
      <c r="C4759" s="309" t="s">
        <v>406</v>
      </c>
      <c r="D4759">
        <v>2415563.1</v>
      </c>
    </row>
    <row r="4760" spans="1:4" x14ac:dyDescent="0.25">
      <c r="A4760" s="279">
        <v>39177</v>
      </c>
      <c r="B4760" s="309" t="s">
        <v>405</v>
      </c>
      <c r="C4760" s="309" t="s">
        <v>89</v>
      </c>
      <c r="D4760">
        <v>0</v>
      </c>
    </row>
    <row r="4761" spans="1:4" x14ac:dyDescent="0.25">
      <c r="A4761" s="279">
        <v>39177</v>
      </c>
      <c r="B4761" s="309" t="s">
        <v>405</v>
      </c>
      <c r="C4761" s="309" t="s">
        <v>198</v>
      </c>
      <c r="D4761">
        <v>0</v>
      </c>
    </row>
    <row r="4762" spans="1:4" x14ac:dyDescent="0.25">
      <c r="A4762" s="279">
        <v>39177</v>
      </c>
      <c r="B4762" s="309" t="s">
        <v>405</v>
      </c>
      <c r="C4762" s="309" t="s">
        <v>199</v>
      </c>
      <c r="D4762">
        <v>0</v>
      </c>
    </row>
    <row r="4763" spans="1:4" x14ac:dyDescent="0.25">
      <c r="A4763" s="279">
        <v>39177</v>
      </c>
      <c r="B4763" s="309" t="s">
        <v>405</v>
      </c>
      <c r="C4763" s="309" t="s">
        <v>90</v>
      </c>
      <c r="D4763">
        <v>1867</v>
      </c>
    </row>
    <row r="4764" spans="1:4" x14ac:dyDescent="0.25">
      <c r="A4764" s="279">
        <v>39177</v>
      </c>
      <c r="B4764" s="309" t="s">
        <v>405</v>
      </c>
      <c r="C4764" s="309" t="s">
        <v>24</v>
      </c>
      <c r="D4764">
        <v>0</v>
      </c>
    </row>
    <row r="4765" spans="1:4" x14ac:dyDescent="0.25">
      <c r="A4765" s="279">
        <v>39177</v>
      </c>
      <c r="B4765" s="309" t="s">
        <v>405</v>
      </c>
      <c r="C4765" s="309" t="s">
        <v>91</v>
      </c>
      <c r="D4765">
        <v>0</v>
      </c>
    </row>
    <row r="4766" spans="1:4" x14ac:dyDescent="0.25">
      <c r="A4766" s="279">
        <v>39177</v>
      </c>
      <c r="B4766" s="309" t="s">
        <v>405</v>
      </c>
      <c r="C4766" s="309" t="s">
        <v>118</v>
      </c>
      <c r="D4766">
        <v>0</v>
      </c>
    </row>
    <row r="4767" spans="1:4" x14ac:dyDescent="0.25">
      <c r="A4767" s="279">
        <v>39177</v>
      </c>
      <c r="B4767" s="309" t="s">
        <v>405</v>
      </c>
      <c r="C4767" s="309" t="s">
        <v>407</v>
      </c>
      <c r="D4767">
        <v>2413696.1</v>
      </c>
    </row>
    <row r="4768" spans="1:4" x14ac:dyDescent="0.25">
      <c r="A4768" s="279">
        <v>39177</v>
      </c>
      <c r="B4768" s="309" t="s">
        <v>405</v>
      </c>
      <c r="C4768" s="309" t="s">
        <v>408</v>
      </c>
      <c r="D4768">
        <v>1007</v>
      </c>
    </row>
    <row r="4769" spans="1:4" x14ac:dyDescent="0.25">
      <c r="A4769" s="279">
        <v>39177</v>
      </c>
      <c r="B4769" s="309" t="s">
        <v>405</v>
      </c>
      <c r="C4769" s="309" t="s">
        <v>409</v>
      </c>
      <c r="D4769">
        <v>1058</v>
      </c>
    </row>
    <row r="4770" spans="1:4" x14ac:dyDescent="0.25">
      <c r="A4770" s="279">
        <v>39177</v>
      </c>
      <c r="B4770" s="309" t="s">
        <v>405</v>
      </c>
      <c r="C4770" s="309" t="s">
        <v>410</v>
      </c>
      <c r="D4770">
        <v>1036</v>
      </c>
    </row>
    <row r="4771" spans="1:4" x14ac:dyDescent="0.25">
      <c r="A4771" s="279">
        <v>39177</v>
      </c>
      <c r="B4771" s="309" t="s">
        <v>411</v>
      </c>
      <c r="C4771" s="309" t="s">
        <v>406</v>
      </c>
      <c r="D4771">
        <v>191624</v>
      </c>
    </row>
    <row r="4772" spans="1:4" x14ac:dyDescent="0.25">
      <c r="A4772" s="279">
        <v>39177</v>
      </c>
      <c r="B4772" s="309" t="s">
        <v>411</v>
      </c>
      <c r="C4772" s="309" t="s">
        <v>198</v>
      </c>
      <c r="D4772">
        <v>0</v>
      </c>
    </row>
    <row r="4773" spans="1:4" x14ac:dyDescent="0.25">
      <c r="A4773" s="279">
        <v>39177</v>
      </c>
      <c r="B4773" s="309" t="s">
        <v>411</v>
      </c>
      <c r="C4773" s="309" t="s">
        <v>199</v>
      </c>
      <c r="D4773">
        <v>0</v>
      </c>
    </row>
    <row r="4774" spans="1:4" x14ac:dyDescent="0.25">
      <c r="A4774" s="279">
        <v>39177</v>
      </c>
      <c r="B4774" s="309" t="s">
        <v>411</v>
      </c>
      <c r="C4774" s="309" t="s">
        <v>90</v>
      </c>
      <c r="D4774">
        <v>276</v>
      </c>
    </row>
    <row r="4775" spans="1:4" x14ac:dyDescent="0.25">
      <c r="A4775" s="279">
        <v>39177</v>
      </c>
      <c r="B4775" s="309" t="s">
        <v>411</v>
      </c>
      <c r="C4775" s="309" t="s">
        <v>24</v>
      </c>
      <c r="D4775">
        <v>0</v>
      </c>
    </row>
    <row r="4776" spans="1:4" x14ac:dyDescent="0.25">
      <c r="A4776" s="279">
        <v>39177</v>
      </c>
      <c r="B4776" s="309" t="s">
        <v>411</v>
      </c>
      <c r="C4776" s="309" t="s">
        <v>91</v>
      </c>
      <c r="D4776">
        <v>0</v>
      </c>
    </row>
    <row r="4777" spans="1:4" x14ac:dyDescent="0.25">
      <c r="A4777" s="279">
        <v>39177</v>
      </c>
      <c r="B4777" s="309" t="s">
        <v>411</v>
      </c>
      <c r="C4777" s="309" t="s">
        <v>118</v>
      </c>
      <c r="D4777">
        <v>0</v>
      </c>
    </row>
    <row r="4778" spans="1:4" x14ac:dyDescent="0.25">
      <c r="A4778" s="279">
        <v>39177</v>
      </c>
      <c r="B4778" s="309" t="s">
        <v>411</v>
      </c>
      <c r="C4778" s="309" t="s">
        <v>407</v>
      </c>
      <c r="D4778">
        <v>191348</v>
      </c>
    </row>
    <row r="4779" spans="1:4" x14ac:dyDescent="0.25">
      <c r="A4779" s="279">
        <v>39177</v>
      </c>
      <c r="B4779" s="309" t="s">
        <v>411</v>
      </c>
      <c r="C4779" s="309" t="s">
        <v>412</v>
      </c>
      <c r="D4779">
        <v>1007</v>
      </c>
    </row>
    <row r="4780" spans="1:4" x14ac:dyDescent="0.25">
      <c r="A4780" s="279">
        <v>39177</v>
      </c>
      <c r="B4780" s="309" t="s">
        <v>411</v>
      </c>
      <c r="C4780" s="309" t="s">
        <v>409</v>
      </c>
      <c r="D4780">
        <v>1049</v>
      </c>
    </row>
    <row r="4781" spans="1:4" x14ac:dyDescent="0.25">
      <c r="A4781" s="279">
        <v>39178</v>
      </c>
      <c r="B4781" s="309" t="s">
        <v>405</v>
      </c>
      <c r="C4781" s="309" t="s">
        <v>406</v>
      </c>
      <c r="D4781">
        <v>2413696.1</v>
      </c>
    </row>
    <row r="4782" spans="1:4" x14ac:dyDescent="0.25">
      <c r="A4782" s="279">
        <v>39178</v>
      </c>
      <c r="B4782" s="309" t="s">
        <v>405</v>
      </c>
      <c r="C4782" s="309" t="s">
        <v>89</v>
      </c>
      <c r="D4782">
        <v>0</v>
      </c>
    </row>
    <row r="4783" spans="1:4" x14ac:dyDescent="0.25">
      <c r="A4783" s="279">
        <v>39178</v>
      </c>
      <c r="B4783" s="309" t="s">
        <v>405</v>
      </c>
      <c r="C4783" s="309" t="s">
        <v>198</v>
      </c>
      <c r="D4783">
        <v>0</v>
      </c>
    </row>
    <row r="4784" spans="1:4" x14ac:dyDescent="0.25">
      <c r="A4784" s="279">
        <v>39178</v>
      </c>
      <c r="B4784" s="309" t="s">
        <v>405</v>
      </c>
      <c r="C4784" s="309" t="s">
        <v>199</v>
      </c>
      <c r="D4784">
        <v>0</v>
      </c>
    </row>
    <row r="4785" spans="1:4" x14ac:dyDescent="0.25">
      <c r="A4785" s="279">
        <v>39178</v>
      </c>
      <c r="B4785" s="309" t="s">
        <v>405</v>
      </c>
      <c r="C4785" s="309" t="s">
        <v>90</v>
      </c>
      <c r="D4785">
        <v>2134</v>
      </c>
    </row>
    <row r="4786" spans="1:4" x14ac:dyDescent="0.25">
      <c r="A4786" s="279">
        <v>39178</v>
      </c>
      <c r="B4786" s="309" t="s">
        <v>405</v>
      </c>
      <c r="C4786" s="309" t="s">
        <v>24</v>
      </c>
      <c r="D4786">
        <v>0</v>
      </c>
    </row>
    <row r="4787" spans="1:4" x14ac:dyDescent="0.25">
      <c r="A4787" s="279">
        <v>39178</v>
      </c>
      <c r="B4787" s="309" t="s">
        <v>405</v>
      </c>
      <c r="C4787" s="309" t="s">
        <v>91</v>
      </c>
      <c r="D4787">
        <v>0</v>
      </c>
    </row>
    <row r="4788" spans="1:4" x14ac:dyDescent="0.25">
      <c r="A4788" s="279">
        <v>39178</v>
      </c>
      <c r="B4788" s="309" t="s">
        <v>405</v>
      </c>
      <c r="C4788" s="309" t="s">
        <v>118</v>
      </c>
      <c r="D4788">
        <v>0</v>
      </c>
    </row>
    <row r="4789" spans="1:4" x14ac:dyDescent="0.25">
      <c r="A4789" s="279">
        <v>39178</v>
      </c>
      <c r="B4789" s="309" t="s">
        <v>405</v>
      </c>
      <c r="C4789" s="309" t="s">
        <v>407</v>
      </c>
      <c r="D4789">
        <v>2411562.1</v>
      </c>
    </row>
    <row r="4790" spans="1:4" x14ac:dyDescent="0.25">
      <c r="A4790" s="279">
        <v>39178</v>
      </c>
      <c r="B4790" s="309" t="s">
        <v>405</v>
      </c>
      <c r="C4790" s="309" t="s">
        <v>408</v>
      </c>
      <c r="D4790">
        <v>1007</v>
      </c>
    </row>
    <row r="4791" spans="1:4" x14ac:dyDescent="0.25">
      <c r="A4791" s="279">
        <v>39178</v>
      </c>
      <c r="B4791" s="309" t="s">
        <v>405</v>
      </c>
      <c r="C4791" s="309" t="s">
        <v>409</v>
      </c>
      <c r="D4791">
        <v>1058</v>
      </c>
    </row>
    <row r="4792" spans="1:4" x14ac:dyDescent="0.25">
      <c r="A4792" s="279">
        <v>39178</v>
      </c>
      <c r="B4792" s="309" t="s">
        <v>405</v>
      </c>
      <c r="C4792" s="309" t="s">
        <v>410</v>
      </c>
      <c r="D4792">
        <v>1040</v>
      </c>
    </row>
    <row r="4793" spans="1:4" x14ac:dyDescent="0.25">
      <c r="A4793" s="279">
        <v>39178</v>
      </c>
      <c r="B4793" s="309" t="s">
        <v>411</v>
      </c>
      <c r="C4793" s="309" t="s">
        <v>406</v>
      </c>
      <c r="D4793">
        <v>191348</v>
      </c>
    </row>
    <row r="4794" spans="1:4" x14ac:dyDescent="0.25">
      <c r="A4794" s="279">
        <v>39178</v>
      </c>
      <c r="B4794" s="309" t="s">
        <v>411</v>
      </c>
      <c r="C4794" s="309" t="s">
        <v>198</v>
      </c>
      <c r="D4794">
        <v>0</v>
      </c>
    </row>
    <row r="4795" spans="1:4" x14ac:dyDescent="0.25">
      <c r="A4795" s="279">
        <v>39178</v>
      </c>
      <c r="B4795" s="309" t="s">
        <v>411</v>
      </c>
      <c r="C4795" s="309" t="s">
        <v>199</v>
      </c>
      <c r="D4795">
        <v>0</v>
      </c>
    </row>
    <row r="4796" spans="1:4" x14ac:dyDescent="0.25">
      <c r="A4796" s="279">
        <v>39178</v>
      </c>
      <c r="B4796" s="309" t="s">
        <v>411</v>
      </c>
      <c r="C4796" s="309" t="s">
        <v>90</v>
      </c>
      <c r="D4796">
        <v>276</v>
      </c>
    </row>
    <row r="4797" spans="1:4" x14ac:dyDescent="0.25">
      <c r="A4797" s="279">
        <v>39178</v>
      </c>
      <c r="B4797" s="309" t="s">
        <v>411</v>
      </c>
      <c r="C4797" s="309" t="s">
        <v>24</v>
      </c>
      <c r="D4797">
        <v>0</v>
      </c>
    </row>
    <row r="4798" spans="1:4" x14ac:dyDescent="0.25">
      <c r="A4798" s="279">
        <v>39178</v>
      </c>
      <c r="B4798" s="309" t="s">
        <v>411</v>
      </c>
      <c r="C4798" s="309" t="s">
        <v>91</v>
      </c>
      <c r="D4798">
        <v>0</v>
      </c>
    </row>
    <row r="4799" spans="1:4" x14ac:dyDescent="0.25">
      <c r="A4799" s="279">
        <v>39178</v>
      </c>
      <c r="B4799" s="309" t="s">
        <v>411</v>
      </c>
      <c r="C4799" s="309" t="s">
        <v>118</v>
      </c>
      <c r="D4799">
        <v>0</v>
      </c>
    </row>
    <row r="4800" spans="1:4" x14ac:dyDescent="0.25">
      <c r="A4800" s="279">
        <v>39178</v>
      </c>
      <c r="B4800" s="309" t="s">
        <v>411</v>
      </c>
      <c r="C4800" s="309" t="s">
        <v>407</v>
      </c>
      <c r="D4800">
        <v>191072</v>
      </c>
    </row>
    <row r="4801" spans="1:4" x14ac:dyDescent="0.25">
      <c r="A4801" s="279">
        <v>39178</v>
      </c>
      <c r="B4801" s="309" t="s">
        <v>411</v>
      </c>
      <c r="C4801" s="309" t="s">
        <v>412</v>
      </c>
      <c r="D4801">
        <v>1007</v>
      </c>
    </row>
    <row r="4802" spans="1:4" x14ac:dyDescent="0.25">
      <c r="A4802" s="279">
        <v>39178</v>
      </c>
      <c r="B4802" s="309" t="s">
        <v>411</v>
      </c>
      <c r="C4802" s="309" t="s">
        <v>409</v>
      </c>
      <c r="D4802">
        <v>1049</v>
      </c>
    </row>
    <row r="4803" spans="1:4" x14ac:dyDescent="0.25">
      <c r="A4803" s="279">
        <v>39179</v>
      </c>
      <c r="B4803" s="309" t="s">
        <v>405</v>
      </c>
      <c r="C4803" s="309" t="s">
        <v>406</v>
      </c>
      <c r="D4803">
        <v>2411562.1</v>
      </c>
    </row>
    <row r="4804" spans="1:4" x14ac:dyDescent="0.25">
      <c r="A4804" s="279">
        <v>39179</v>
      </c>
      <c r="B4804" s="309" t="s">
        <v>405</v>
      </c>
      <c r="C4804" s="309" t="s">
        <v>89</v>
      </c>
      <c r="D4804">
        <v>0</v>
      </c>
    </row>
    <row r="4805" spans="1:4" x14ac:dyDescent="0.25">
      <c r="A4805" s="279">
        <v>39179</v>
      </c>
      <c r="B4805" s="309" t="s">
        <v>405</v>
      </c>
      <c r="C4805" s="309" t="s">
        <v>198</v>
      </c>
      <c r="D4805">
        <v>0</v>
      </c>
    </row>
    <row r="4806" spans="1:4" x14ac:dyDescent="0.25">
      <c r="A4806" s="279">
        <v>39179</v>
      </c>
      <c r="B4806" s="309" t="s">
        <v>405</v>
      </c>
      <c r="C4806" s="309" t="s">
        <v>199</v>
      </c>
      <c r="D4806">
        <v>0</v>
      </c>
    </row>
    <row r="4807" spans="1:4" x14ac:dyDescent="0.25">
      <c r="A4807" s="279">
        <v>39179</v>
      </c>
      <c r="B4807" s="309" t="s">
        <v>405</v>
      </c>
      <c r="C4807" s="309" t="s">
        <v>90</v>
      </c>
      <c r="D4807">
        <v>1334</v>
      </c>
    </row>
    <row r="4808" spans="1:4" x14ac:dyDescent="0.25">
      <c r="A4808" s="279">
        <v>39179</v>
      </c>
      <c r="B4808" s="309" t="s">
        <v>405</v>
      </c>
      <c r="C4808" s="309" t="s">
        <v>24</v>
      </c>
      <c r="D4808">
        <v>0</v>
      </c>
    </row>
    <row r="4809" spans="1:4" x14ac:dyDescent="0.25">
      <c r="A4809" s="279">
        <v>39179</v>
      </c>
      <c r="B4809" s="309" t="s">
        <v>405</v>
      </c>
      <c r="C4809" s="309" t="s">
        <v>91</v>
      </c>
      <c r="D4809">
        <v>0</v>
      </c>
    </row>
    <row r="4810" spans="1:4" x14ac:dyDescent="0.25">
      <c r="A4810" s="279">
        <v>39179</v>
      </c>
      <c r="B4810" s="309" t="s">
        <v>405</v>
      </c>
      <c r="C4810" s="309" t="s">
        <v>118</v>
      </c>
      <c r="D4810">
        <v>0</v>
      </c>
    </row>
    <row r="4811" spans="1:4" x14ac:dyDescent="0.25">
      <c r="A4811" s="279">
        <v>39179</v>
      </c>
      <c r="B4811" s="309" t="s">
        <v>405</v>
      </c>
      <c r="C4811" s="309" t="s">
        <v>407</v>
      </c>
      <c r="D4811">
        <v>2410228.1</v>
      </c>
    </row>
    <row r="4812" spans="1:4" x14ac:dyDescent="0.25">
      <c r="A4812" s="279">
        <v>39179</v>
      </c>
      <c r="B4812" s="309" t="s">
        <v>405</v>
      </c>
      <c r="C4812" s="309" t="s">
        <v>408</v>
      </c>
      <c r="D4812">
        <v>1007</v>
      </c>
    </row>
    <row r="4813" spans="1:4" x14ac:dyDescent="0.25">
      <c r="A4813" s="279">
        <v>39179</v>
      </c>
      <c r="B4813" s="309" t="s">
        <v>405</v>
      </c>
      <c r="C4813" s="309" t="s">
        <v>409</v>
      </c>
      <c r="D4813">
        <v>1058</v>
      </c>
    </row>
    <row r="4814" spans="1:4" x14ac:dyDescent="0.25">
      <c r="A4814" s="279">
        <v>39179</v>
      </c>
      <c r="B4814" s="309" t="s">
        <v>405</v>
      </c>
      <c r="C4814" s="309" t="s">
        <v>410</v>
      </c>
      <c r="D4814">
        <v>1039</v>
      </c>
    </row>
    <row r="4815" spans="1:4" x14ac:dyDescent="0.25">
      <c r="A4815" s="279">
        <v>39179</v>
      </c>
      <c r="B4815" s="309" t="s">
        <v>411</v>
      </c>
      <c r="C4815" s="309" t="s">
        <v>406</v>
      </c>
      <c r="D4815">
        <v>191072</v>
      </c>
    </row>
    <row r="4816" spans="1:4" x14ac:dyDescent="0.25">
      <c r="A4816" s="279">
        <v>39179</v>
      </c>
      <c r="B4816" s="309" t="s">
        <v>411</v>
      </c>
      <c r="C4816" s="309" t="s">
        <v>198</v>
      </c>
      <c r="D4816">
        <v>0</v>
      </c>
    </row>
    <row r="4817" spans="1:4" x14ac:dyDescent="0.25">
      <c r="A4817" s="279">
        <v>39179</v>
      </c>
      <c r="B4817" s="309" t="s">
        <v>411</v>
      </c>
      <c r="C4817" s="309" t="s">
        <v>199</v>
      </c>
      <c r="D4817">
        <v>0</v>
      </c>
    </row>
    <row r="4818" spans="1:4" x14ac:dyDescent="0.25">
      <c r="A4818" s="279">
        <v>39179</v>
      </c>
      <c r="B4818" s="309" t="s">
        <v>411</v>
      </c>
      <c r="C4818" s="309" t="s">
        <v>90</v>
      </c>
      <c r="D4818">
        <v>276</v>
      </c>
    </row>
    <row r="4819" spans="1:4" x14ac:dyDescent="0.25">
      <c r="A4819" s="279">
        <v>39179</v>
      </c>
      <c r="B4819" s="309" t="s">
        <v>411</v>
      </c>
      <c r="C4819" s="309" t="s">
        <v>24</v>
      </c>
      <c r="D4819">
        <v>0</v>
      </c>
    </row>
    <row r="4820" spans="1:4" x14ac:dyDescent="0.25">
      <c r="A4820" s="279">
        <v>39179</v>
      </c>
      <c r="B4820" s="309" t="s">
        <v>411</v>
      </c>
      <c r="C4820" s="309" t="s">
        <v>91</v>
      </c>
      <c r="D4820">
        <v>0</v>
      </c>
    </row>
    <row r="4821" spans="1:4" x14ac:dyDescent="0.25">
      <c r="A4821" s="279">
        <v>39179</v>
      </c>
      <c r="B4821" s="309" t="s">
        <v>411</v>
      </c>
      <c r="C4821" s="309" t="s">
        <v>118</v>
      </c>
      <c r="D4821">
        <v>0</v>
      </c>
    </row>
    <row r="4822" spans="1:4" x14ac:dyDescent="0.25">
      <c r="A4822" s="279">
        <v>39179</v>
      </c>
      <c r="B4822" s="309" t="s">
        <v>411</v>
      </c>
      <c r="C4822" s="309" t="s">
        <v>407</v>
      </c>
      <c r="D4822">
        <v>190796</v>
      </c>
    </row>
    <row r="4823" spans="1:4" x14ac:dyDescent="0.25">
      <c r="A4823" s="279">
        <v>39179</v>
      </c>
      <c r="B4823" s="309" t="s">
        <v>411</v>
      </c>
      <c r="C4823" s="309" t="s">
        <v>412</v>
      </c>
      <c r="D4823">
        <v>1007</v>
      </c>
    </row>
    <row r="4824" spans="1:4" x14ac:dyDescent="0.25">
      <c r="A4824" s="279">
        <v>39179</v>
      </c>
      <c r="B4824" s="309" t="s">
        <v>411</v>
      </c>
      <c r="C4824" s="309" t="s">
        <v>409</v>
      </c>
      <c r="D4824">
        <v>1049</v>
      </c>
    </row>
    <row r="4825" spans="1:4" x14ac:dyDescent="0.25">
      <c r="A4825" s="279">
        <v>39180</v>
      </c>
      <c r="B4825" s="309" t="s">
        <v>405</v>
      </c>
      <c r="C4825" s="309" t="s">
        <v>406</v>
      </c>
      <c r="D4825">
        <v>2410228.1</v>
      </c>
    </row>
    <row r="4826" spans="1:4" x14ac:dyDescent="0.25">
      <c r="A4826" s="279">
        <v>39180</v>
      </c>
      <c r="B4826" s="309" t="s">
        <v>405</v>
      </c>
      <c r="C4826" s="309" t="s">
        <v>89</v>
      </c>
      <c r="D4826">
        <v>0</v>
      </c>
    </row>
    <row r="4827" spans="1:4" x14ac:dyDescent="0.25">
      <c r="A4827" s="279">
        <v>39180</v>
      </c>
      <c r="B4827" s="309" t="s">
        <v>405</v>
      </c>
      <c r="C4827" s="309" t="s">
        <v>198</v>
      </c>
      <c r="D4827">
        <v>0</v>
      </c>
    </row>
    <row r="4828" spans="1:4" x14ac:dyDescent="0.25">
      <c r="A4828" s="279">
        <v>39180</v>
      </c>
      <c r="B4828" s="309" t="s">
        <v>405</v>
      </c>
      <c r="C4828" s="309" t="s">
        <v>199</v>
      </c>
      <c r="D4828">
        <v>0</v>
      </c>
    </row>
    <row r="4829" spans="1:4" x14ac:dyDescent="0.25">
      <c r="A4829" s="279">
        <v>39180</v>
      </c>
      <c r="B4829" s="309" t="s">
        <v>405</v>
      </c>
      <c r="C4829" s="309" t="s">
        <v>90</v>
      </c>
      <c r="D4829">
        <v>800</v>
      </c>
    </row>
    <row r="4830" spans="1:4" x14ac:dyDescent="0.25">
      <c r="A4830" s="279">
        <v>39180</v>
      </c>
      <c r="B4830" s="309" t="s">
        <v>405</v>
      </c>
      <c r="C4830" s="309" t="s">
        <v>24</v>
      </c>
      <c r="D4830">
        <v>0</v>
      </c>
    </row>
    <row r="4831" spans="1:4" x14ac:dyDescent="0.25">
      <c r="A4831" s="279">
        <v>39180</v>
      </c>
      <c r="B4831" s="309" t="s">
        <v>405</v>
      </c>
      <c r="C4831" s="309" t="s">
        <v>91</v>
      </c>
      <c r="D4831">
        <v>0</v>
      </c>
    </row>
    <row r="4832" spans="1:4" x14ac:dyDescent="0.25">
      <c r="A4832" s="279">
        <v>39180</v>
      </c>
      <c r="B4832" s="309" t="s">
        <v>405</v>
      </c>
      <c r="C4832" s="309" t="s">
        <v>118</v>
      </c>
      <c r="D4832">
        <v>0</v>
      </c>
    </row>
    <row r="4833" spans="1:4" x14ac:dyDescent="0.25">
      <c r="A4833" s="279">
        <v>39180</v>
      </c>
      <c r="B4833" s="309" t="s">
        <v>405</v>
      </c>
      <c r="C4833" s="309" t="s">
        <v>407</v>
      </c>
      <c r="D4833">
        <v>2409428.1</v>
      </c>
    </row>
    <row r="4834" spans="1:4" x14ac:dyDescent="0.25">
      <c r="A4834" s="279">
        <v>39180</v>
      </c>
      <c r="B4834" s="309" t="s">
        <v>405</v>
      </c>
      <c r="C4834" s="309" t="s">
        <v>408</v>
      </c>
      <c r="D4834">
        <v>1007</v>
      </c>
    </row>
    <row r="4835" spans="1:4" x14ac:dyDescent="0.25">
      <c r="A4835" s="279">
        <v>39180</v>
      </c>
      <c r="B4835" s="309" t="s">
        <v>405</v>
      </c>
      <c r="C4835" s="309" t="s">
        <v>409</v>
      </c>
      <c r="D4835">
        <v>1058</v>
      </c>
    </row>
    <row r="4836" spans="1:4" x14ac:dyDescent="0.25">
      <c r="A4836" s="279">
        <v>39180</v>
      </c>
      <c r="B4836" s="309" t="s">
        <v>405</v>
      </c>
      <c r="C4836" s="309" t="s">
        <v>410</v>
      </c>
      <c r="D4836">
        <v>1040</v>
      </c>
    </row>
    <row r="4837" spans="1:4" x14ac:dyDescent="0.25">
      <c r="A4837" s="279">
        <v>39180</v>
      </c>
      <c r="B4837" s="309" t="s">
        <v>411</v>
      </c>
      <c r="C4837" s="309" t="s">
        <v>406</v>
      </c>
      <c r="D4837">
        <v>190796</v>
      </c>
    </row>
    <row r="4838" spans="1:4" x14ac:dyDescent="0.25">
      <c r="A4838" s="279">
        <v>39180</v>
      </c>
      <c r="B4838" s="309" t="s">
        <v>411</v>
      </c>
      <c r="C4838" s="309" t="s">
        <v>198</v>
      </c>
      <c r="D4838">
        <v>0</v>
      </c>
    </row>
    <row r="4839" spans="1:4" x14ac:dyDescent="0.25">
      <c r="A4839" s="279">
        <v>39180</v>
      </c>
      <c r="B4839" s="309" t="s">
        <v>411</v>
      </c>
      <c r="C4839" s="309" t="s">
        <v>199</v>
      </c>
      <c r="D4839">
        <v>0</v>
      </c>
    </row>
    <row r="4840" spans="1:4" x14ac:dyDescent="0.25">
      <c r="A4840" s="279">
        <v>39180</v>
      </c>
      <c r="B4840" s="309" t="s">
        <v>411</v>
      </c>
      <c r="C4840" s="309" t="s">
        <v>90</v>
      </c>
      <c r="D4840">
        <v>65</v>
      </c>
    </row>
    <row r="4841" spans="1:4" x14ac:dyDescent="0.25">
      <c r="A4841" s="279">
        <v>39180</v>
      </c>
      <c r="B4841" s="309" t="s">
        <v>411</v>
      </c>
      <c r="C4841" s="309" t="s">
        <v>24</v>
      </c>
      <c r="D4841">
        <v>0</v>
      </c>
    </row>
    <row r="4842" spans="1:4" x14ac:dyDescent="0.25">
      <c r="A4842" s="279">
        <v>39180</v>
      </c>
      <c r="B4842" s="309" t="s">
        <v>411</v>
      </c>
      <c r="C4842" s="309" t="s">
        <v>91</v>
      </c>
      <c r="D4842">
        <v>0</v>
      </c>
    </row>
    <row r="4843" spans="1:4" x14ac:dyDescent="0.25">
      <c r="A4843" s="279">
        <v>39180</v>
      </c>
      <c r="B4843" s="309" t="s">
        <v>411</v>
      </c>
      <c r="C4843" s="309" t="s">
        <v>118</v>
      </c>
      <c r="D4843">
        <v>0</v>
      </c>
    </row>
    <row r="4844" spans="1:4" x14ac:dyDescent="0.25">
      <c r="A4844" s="279">
        <v>39180</v>
      </c>
      <c r="B4844" s="309" t="s">
        <v>411</v>
      </c>
      <c r="C4844" s="309" t="s">
        <v>407</v>
      </c>
      <c r="D4844">
        <v>190731</v>
      </c>
    </row>
    <row r="4845" spans="1:4" x14ac:dyDescent="0.25">
      <c r="A4845" s="279">
        <v>39180</v>
      </c>
      <c r="B4845" s="309" t="s">
        <v>411</v>
      </c>
      <c r="C4845" s="309" t="s">
        <v>412</v>
      </c>
      <c r="D4845">
        <v>1007</v>
      </c>
    </row>
    <row r="4846" spans="1:4" x14ac:dyDescent="0.25">
      <c r="A4846" s="279">
        <v>39180</v>
      </c>
      <c r="B4846" s="309" t="s">
        <v>411</v>
      </c>
      <c r="C4846" s="309" t="s">
        <v>409</v>
      </c>
      <c r="D4846">
        <v>1049</v>
      </c>
    </row>
    <row r="4847" spans="1:4" x14ac:dyDescent="0.25">
      <c r="A4847" s="279">
        <v>39181</v>
      </c>
      <c r="B4847" s="309" t="s">
        <v>405</v>
      </c>
      <c r="C4847" s="309" t="s">
        <v>406</v>
      </c>
      <c r="D4847">
        <v>2409428.1</v>
      </c>
    </row>
    <row r="4848" spans="1:4" x14ac:dyDescent="0.25">
      <c r="A4848" s="279">
        <v>39181</v>
      </c>
      <c r="B4848" s="309" t="s">
        <v>405</v>
      </c>
      <c r="C4848" s="309" t="s">
        <v>89</v>
      </c>
      <c r="D4848">
        <v>0</v>
      </c>
    </row>
    <row r="4849" spans="1:4" x14ac:dyDescent="0.25">
      <c r="A4849" s="279">
        <v>39181</v>
      </c>
      <c r="B4849" s="309" t="s">
        <v>405</v>
      </c>
      <c r="C4849" s="309" t="s">
        <v>198</v>
      </c>
      <c r="D4849">
        <v>0</v>
      </c>
    </row>
    <row r="4850" spans="1:4" x14ac:dyDescent="0.25">
      <c r="A4850" s="279">
        <v>39181</v>
      </c>
      <c r="B4850" s="309" t="s">
        <v>405</v>
      </c>
      <c r="C4850" s="309" t="s">
        <v>199</v>
      </c>
      <c r="D4850">
        <v>0</v>
      </c>
    </row>
    <row r="4851" spans="1:4" x14ac:dyDescent="0.25">
      <c r="A4851" s="279">
        <v>39181</v>
      </c>
      <c r="B4851" s="309" t="s">
        <v>405</v>
      </c>
      <c r="C4851" s="309" t="s">
        <v>90</v>
      </c>
      <c r="D4851">
        <v>1066</v>
      </c>
    </row>
    <row r="4852" spans="1:4" x14ac:dyDescent="0.25">
      <c r="A4852" s="279">
        <v>39181</v>
      </c>
      <c r="B4852" s="309" t="s">
        <v>405</v>
      </c>
      <c r="C4852" s="309" t="s">
        <v>24</v>
      </c>
      <c r="D4852">
        <v>0</v>
      </c>
    </row>
    <row r="4853" spans="1:4" x14ac:dyDescent="0.25">
      <c r="A4853" s="279">
        <v>39181</v>
      </c>
      <c r="B4853" s="309" t="s">
        <v>405</v>
      </c>
      <c r="C4853" s="309" t="s">
        <v>91</v>
      </c>
      <c r="D4853">
        <v>0</v>
      </c>
    </row>
    <row r="4854" spans="1:4" x14ac:dyDescent="0.25">
      <c r="A4854" s="279">
        <v>39181</v>
      </c>
      <c r="B4854" s="309" t="s">
        <v>405</v>
      </c>
      <c r="C4854" s="309" t="s">
        <v>118</v>
      </c>
      <c r="D4854">
        <v>0</v>
      </c>
    </row>
    <row r="4855" spans="1:4" x14ac:dyDescent="0.25">
      <c r="A4855" s="279">
        <v>39181</v>
      </c>
      <c r="B4855" s="309" t="s">
        <v>405</v>
      </c>
      <c r="C4855" s="309" t="s">
        <v>407</v>
      </c>
      <c r="D4855">
        <v>2408362.1</v>
      </c>
    </row>
    <row r="4856" spans="1:4" x14ac:dyDescent="0.25">
      <c r="A4856" s="279">
        <v>39181</v>
      </c>
      <c r="B4856" s="309" t="s">
        <v>405</v>
      </c>
      <c r="C4856" s="309" t="s">
        <v>408</v>
      </c>
      <c r="D4856">
        <v>1007</v>
      </c>
    </row>
    <row r="4857" spans="1:4" x14ac:dyDescent="0.25">
      <c r="A4857" s="279">
        <v>39181</v>
      </c>
      <c r="B4857" s="309" t="s">
        <v>405</v>
      </c>
      <c r="C4857" s="309" t="s">
        <v>409</v>
      </c>
      <c r="D4857">
        <v>1058</v>
      </c>
    </row>
    <row r="4858" spans="1:4" x14ac:dyDescent="0.25">
      <c r="A4858" s="279">
        <v>39181</v>
      </c>
      <c r="B4858" s="309" t="s">
        <v>405</v>
      </c>
      <c r="C4858" s="309" t="s">
        <v>410</v>
      </c>
      <c r="D4858">
        <v>1039</v>
      </c>
    </row>
    <row r="4859" spans="1:4" x14ac:dyDescent="0.25">
      <c r="A4859" s="279">
        <v>39181</v>
      </c>
      <c r="B4859" s="309" t="s">
        <v>411</v>
      </c>
      <c r="C4859" s="309" t="s">
        <v>406</v>
      </c>
      <c r="D4859">
        <v>190731</v>
      </c>
    </row>
    <row r="4860" spans="1:4" x14ac:dyDescent="0.25">
      <c r="A4860" s="279">
        <v>39181</v>
      </c>
      <c r="B4860" s="309" t="s">
        <v>411</v>
      </c>
      <c r="C4860" s="309" t="s">
        <v>198</v>
      </c>
      <c r="D4860">
        <v>0</v>
      </c>
    </row>
    <row r="4861" spans="1:4" x14ac:dyDescent="0.25">
      <c r="A4861" s="279">
        <v>39181</v>
      </c>
      <c r="B4861" s="309" t="s">
        <v>411</v>
      </c>
      <c r="C4861" s="309" t="s">
        <v>199</v>
      </c>
      <c r="D4861">
        <v>0</v>
      </c>
    </row>
    <row r="4862" spans="1:4" x14ac:dyDescent="0.25">
      <c r="A4862" s="279">
        <v>39181</v>
      </c>
      <c r="B4862" s="309" t="s">
        <v>411</v>
      </c>
      <c r="C4862" s="309" t="s">
        <v>90</v>
      </c>
      <c r="D4862">
        <v>211</v>
      </c>
    </row>
    <row r="4863" spans="1:4" x14ac:dyDescent="0.25">
      <c r="A4863" s="279">
        <v>39181</v>
      </c>
      <c r="B4863" s="309" t="s">
        <v>411</v>
      </c>
      <c r="C4863" s="309" t="s">
        <v>24</v>
      </c>
      <c r="D4863">
        <v>0</v>
      </c>
    </row>
    <row r="4864" spans="1:4" x14ac:dyDescent="0.25">
      <c r="A4864" s="279">
        <v>39181</v>
      </c>
      <c r="B4864" s="309" t="s">
        <v>411</v>
      </c>
      <c r="C4864" s="309" t="s">
        <v>91</v>
      </c>
      <c r="D4864">
        <v>0</v>
      </c>
    </row>
    <row r="4865" spans="1:4" x14ac:dyDescent="0.25">
      <c r="A4865" s="279">
        <v>39181</v>
      </c>
      <c r="B4865" s="309" t="s">
        <v>411</v>
      </c>
      <c r="C4865" s="309" t="s">
        <v>118</v>
      </c>
      <c r="D4865">
        <v>0</v>
      </c>
    </row>
    <row r="4866" spans="1:4" x14ac:dyDescent="0.25">
      <c r="A4866" s="279">
        <v>39181</v>
      </c>
      <c r="B4866" s="309" t="s">
        <v>411</v>
      </c>
      <c r="C4866" s="309" t="s">
        <v>407</v>
      </c>
      <c r="D4866">
        <v>190520</v>
      </c>
    </row>
    <row r="4867" spans="1:4" x14ac:dyDescent="0.25">
      <c r="A4867" s="279">
        <v>39181</v>
      </c>
      <c r="B4867" s="309" t="s">
        <v>411</v>
      </c>
      <c r="C4867" s="309" t="s">
        <v>412</v>
      </c>
      <c r="D4867">
        <v>1007</v>
      </c>
    </row>
    <row r="4868" spans="1:4" x14ac:dyDescent="0.25">
      <c r="A4868" s="279">
        <v>39181</v>
      </c>
      <c r="B4868" s="309" t="s">
        <v>411</v>
      </c>
      <c r="C4868" s="309" t="s">
        <v>409</v>
      </c>
      <c r="D4868">
        <v>1049</v>
      </c>
    </row>
    <row r="4869" spans="1:4" x14ac:dyDescent="0.25">
      <c r="A4869" s="279">
        <v>39182</v>
      </c>
      <c r="B4869" s="309" t="s">
        <v>405</v>
      </c>
      <c r="C4869" s="309" t="s">
        <v>406</v>
      </c>
      <c r="D4869">
        <v>2408362.1</v>
      </c>
    </row>
    <row r="4870" spans="1:4" x14ac:dyDescent="0.25">
      <c r="A4870" s="279">
        <v>39182</v>
      </c>
      <c r="B4870" s="309" t="s">
        <v>405</v>
      </c>
      <c r="C4870" s="309" t="s">
        <v>89</v>
      </c>
      <c r="D4870">
        <v>0</v>
      </c>
    </row>
    <row r="4871" spans="1:4" x14ac:dyDescent="0.25">
      <c r="A4871" s="279">
        <v>39182</v>
      </c>
      <c r="B4871" s="309" t="s">
        <v>405</v>
      </c>
      <c r="C4871" s="309" t="s">
        <v>198</v>
      </c>
      <c r="D4871">
        <v>0</v>
      </c>
    </row>
    <row r="4872" spans="1:4" x14ac:dyDescent="0.25">
      <c r="A4872" s="279">
        <v>39182</v>
      </c>
      <c r="B4872" s="309" t="s">
        <v>405</v>
      </c>
      <c r="C4872" s="309" t="s">
        <v>199</v>
      </c>
      <c r="D4872">
        <v>0</v>
      </c>
    </row>
    <row r="4873" spans="1:4" x14ac:dyDescent="0.25">
      <c r="A4873" s="279">
        <v>39182</v>
      </c>
      <c r="B4873" s="309" t="s">
        <v>405</v>
      </c>
      <c r="C4873" s="309" t="s">
        <v>90</v>
      </c>
      <c r="D4873">
        <v>801</v>
      </c>
    </row>
    <row r="4874" spans="1:4" x14ac:dyDescent="0.25">
      <c r="A4874" s="279">
        <v>39182</v>
      </c>
      <c r="B4874" s="309" t="s">
        <v>405</v>
      </c>
      <c r="C4874" s="309" t="s">
        <v>24</v>
      </c>
      <c r="D4874">
        <v>0</v>
      </c>
    </row>
    <row r="4875" spans="1:4" x14ac:dyDescent="0.25">
      <c r="A4875" s="279">
        <v>39182</v>
      </c>
      <c r="B4875" s="309" t="s">
        <v>405</v>
      </c>
      <c r="C4875" s="309" t="s">
        <v>91</v>
      </c>
      <c r="D4875">
        <v>0</v>
      </c>
    </row>
    <row r="4876" spans="1:4" x14ac:dyDescent="0.25">
      <c r="A4876" s="279">
        <v>39182</v>
      </c>
      <c r="B4876" s="309" t="s">
        <v>405</v>
      </c>
      <c r="C4876" s="309" t="s">
        <v>118</v>
      </c>
      <c r="D4876">
        <v>0</v>
      </c>
    </row>
    <row r="4877" spans="1:4" x14ac:dyDescent="0.25">
      <c r="A4877" s="279">
        <v>39182</v>
      </c>
      <c r="B4877" s="309" t="s">
        <v>405</v>
      </c>
      <c r="C4877" s="309" t="s">
        <v>407</v>
      </c>
      <c r="D4877">
        <v>2407561.1</v>
      </c>
    </row>
    <row r="4878" spans="1:4" x14ac:dyDescent="0.25">
      <c r="A4878" s="279">
        <v>39182</v>
      </c>
      <c r="B4878" s="309" t="s">
        <v>405</v>
      </c>
      <c r="C4878" s="309" t="s">
        <v>408</v>
      </c>
      <c r="D4878">
        <v>1007</v>
      </c>
    </row>
    <row r="4879" spans="1:4" x14ac:dyDescent="0.25">
      <c r="A4879" s="279">
        <v>39182</v>
      </c>
      <c r="B4879" s="309" t="s">
        <v>405</v>
      </c>
      <c r="C4879" s="309" t="s">
        <v>409</v>
      </c>
      <c r="D4879">
        <v>1058</v>
      </c>
    </row>
    <row r="4880" spans="1:4" x14ac:dyDescent="0.25">
      <c r="A4880" s="279">
        <v>39182</v>
      </c>
      <c r="B4880" s="309" t="s">
        <v>405</v>
      </c>
      <c r="C4880" s="309" t="s">
        <v>410</v>
      </c>
      <c r="D4880">
        <v>1041</v>
      </c>
    </row>
    <row r="4881" spans="1:4" x14ac:dyDescent="0.25">
      <c r="A4881" s="279">
        <v>39182</v>
      </c>
      <c r="B4881" s="309" t="s">
        <v>411</v>
      </c>
      <c r="C4881" s="309" t="s">
        <v>406</v>
      </c>
      <c r="D4881">
        <v>190520</v>
      </c>
    </row>
    <row r="4882" spans="1:4" x14ac:dyDescent="0.25">
      <c r="A4882" s="279">
        <v>39182</v>
      </c>
      <c r="B4882" s="309" t="s">
        <v>411</v>
      </c>
      <c r="C4882" s="309" t="s">
        <v>198</v>
      </c>
      <c r="D4882">
        <v>0</v>
      </c>
    </row>
    <row r="4883" spans="1:4" x14ac:dyDescent="0.25">
      <c r="A4883" s="279">
        <v>39182</v>
      </c>
      <c r="B4883" s="309" t="s">
        <v>411</v>
      </c>
      <c r="C4883" s="309" t="s">
        <v>199</v>
      </c>
      <c r="D4883">
        <v>0</v>
      </c>
    </row>
    <row r="4884" spans="1:4" x14ac:dyDescent="0.25">
      <c r="A4884" s="279">
        <v>39182</v>
      </c>
      <c r="B4884" s="309" t="s">
        <v>411</v>
      </c>
      <c r="C4884" s="309" t="s">
        <v>90</v>
      </c>
      <c r="D4884">
        <v>75</v>
      </c>
    </row>
    <row r="4885" spans="1:4" x14ac:dyDescent="0.25">
      <c r="A4885" s="279">
        <v>39182</v>
      </c>
      <c r="B4885" s="309" t="s">
        <v>411</v>
      </c>
      <c r="C4885" s="309" t="s">
        <v>24</v>
      </c>
      <c r="D4885">
        <v>0</v>
      </c>
    </row>
    <row r="4886" spans="1:4" x14ac:dyDescent="0.25">
      <c r="A4886" s="279">
        <v>39182</v>
      </c>
      <c r="B4886" s="309" t="s">
        <v>411</v>
      </c>
      <c r="C4886" s="309" t="s">
        <v>91</v>
      </c>
      <c r="D4886">
        <v>0</v>
      </c>
    </row>
    <row r="4887" spans="1:4" x14ac:dyDescent="0.25">
      <c r="A4887" s="279">
        <v>39182</v>
      </c>
      <c r="B4887" s="309" t="s">
        <v>411</v>
      </c>
      <c r="C4887" s="309" t="s">
        <v>118</v>
      </c>
      <c r="D4887">
        <v>0</v>
      </c>
    </row>
    <row r="4888" spans="1:4" x14ac:dyDescent="0.25">
      <c r="A4888" s="279">
        <v>39182</v>
      </c>
      <c r="B4888" s="309" t="s">
        <v>411</v>
      </c>
      <c r="C4888" s="309" t="s">
        <v>407</v>
      </c>
      <c r="D4888">
        <v>190445</v>
      </c>
    </row>
    <row r="4889" spans="1:4" x14ac:dyDescent="0.25">
      <c r="A4889" s="279">
        <v>39182</v>
      </c>
      <c r="B4889" s="309" t="s">
        <v>411</v>
      </c>
      <c r="C4889" s="309" t="s">
        <v>412</v>
      </c>
      <c r="D4889">
        <v>1007</v>
      </c>
    </row>
    <row r="4890" spans="1:4" x14ac:dyDescent="0.25">
      <c r="A4890" s="279">
        <v>39182</v>
      </c>
      <c r="B4890" s="309" t="s">
        <v>411</v>
      </c>
      <c r="C4890" s="309" t="s">
        <v>409</v>
      </c>
      <c r="D4890">
        <v>1049</v>
      </c>
    </row>
    <row r="4891" spans="1:4" x14ac:dyDescent="0.25">
      <c r="A4891" s="279">
        <v>39183</v>
      </c>
      <c r="B4891" s="309" t="s">
        <v>405</v>
      </c>
      <c r="C4891" s="309" t="s">
        <v>406</v>
      </c>
      <c r="D4891">
        <v>2407561.1</v>
      </c>
    </row>
    <row r="4892" spans="1:4" x14ac:dyDescent="0.25">
      <c r="A4892" s="279">
        <v>39183</v>
      </c>
      <c r="B4892" s="309" t="s">
        <v>405</v>
      </c>
      <c r="C4892" s="309" t="s">
        <v>89</v>
      </c>
      <c r="D4892">
        <v>0</v>
      </c>
    </row>
    <row r="4893" spans="1:4" x14ac:dyDescent="0.25">
      <c r="A4893" s="279">
        <v>39183</v>
      </c>
      <c r="B4893" s="309" t="s">
        <v>405</v>
      </c>
      <c r="C4893" s="309" t="s">
        <v>198</v>
      </c>
      <c r="D4893">
        <v>0</v>
      </c>
    </row>
    <row r="4894" spans="1:4" x14ac:dyDescent="0.25">
      <c r="A4894" s="279">
        <v>39183</v>
      </c>
      <c r="B4894" s="309" t="s">
        <v>405</v>
      </c>
      <c r="C4894" s="309" t="s">
        <v>199</v>
      </c>
      <c r="D4894">
        <v>0</v>
      </c>
    </row>
    <row r="4895" spans="1:4" x14ac:dyDescent="0.25">
      <c r="A4895" s="279">
        <v>39183</v>
      </c>
      <c r="B4895" s="309" t="s">
        <v>405</v>
      </c>
      <c r="C4895" s="309" t="s">
        <v>90</v>
      </c>
      <c r="D4895">
        <v>2134</v>
      </c>
    </row>
    <row r="4896" spans="1:4" x14ac:dyDescent="0.25">
      <c r="A4896" s="279">
        <v>39183</v>
      </c>
      <c r="B4896" s="309" t="s">
        <v>405</v>
      </c>
      <c r="C4896" s="309" t="s">
        <v>24</v>
      </c>
      <c r="D4896">
        <v>0</v>
      </c>
    </row>
    <row r="4897" spans="1:4" x14ac:dyDescent="0.25">
      <c r="A4897" s="279">
        <v>39183</v>
      </c>
      <c r="B4897" s="309" t="s">
        <v>405</v>
      </c>
      <c r="C4897" s="309" t="s">
        <v>91</v>
      </c>
      <c r="D4897">
        <v>0</v>
      </c>
    </row>
    <row r="4898" spans="1:4" x14ac:dyDescent="0.25">
      <c r="A4898" s="279">
        <v>39183</v>
      </c>
      <c r="B4898" s="309" t="s">
        <v>405</v>
      </c>
      <c r="C4898" s="309" t="s">
        <v>118</v>
      </c>
      <c r="D4898">
        <v>0</v>
      </c>
    </row>
    <row r="4899" spans="1:4" x14ac:dyDescent="0.25">
      <c r="A4899" s="279">
        <v>39183</v>
      </c>
      <c r="B4899" s="309" t="s">
        <v>405</v>
      </c>
      <c r="C4899" s="309" t="s">
        <v>407</v>
      </c>
      <c r="D4899">
        <v>2405427.1</v>
      </c>
    </row>
    <row r="4900" spans="1:4" x14ac:dyDescent="0.25">
      <c r="A4900" s="279">
        <v>39183</v>
      </c>
      <c r="B4900" s="309" t="s">
        <v>405</v>
      </c>
      <c r="C4900" s="309" t="s">
        <v>408</v>
      </c>
      <c r="D4900">
        <v>1007</v>
      </c>
    </row>
    <row r="4901" spans="1:4" x14ac:dyDescent="0.25">
      <c r="A4901" s="279">
        <v>39183</v>
      </c>
      <c r="B4901" s="309" t="s">
        <v>405</v>
      </c>
      <c r="C4901" s="309" t="s">
        <v>409</v>
      </c>
      <c r="D4901">
        <v>1058</v>
      </c>
    </row>
    <row r="4902" spans="1:4" x14ac:dyDescent="0.25">
      <c r="A4902" s="279">
        <v>39183</v>
      </c>
      <c r="B4902" s="309" t="s">
        <v>405</v>
      </c>
      <c r="C4902" s="309" t="s">
        <v>410</v>
      </c>
      <c r="D4902">
        <v>1041</v>
      </c>
    </row>
    <row r="4903" spans="1:4" x14ac:dyDescent="0.25">
      <c r="A4903" s="279">
        <v>39183</v>
      </c>
      <c r="B4903" s="309" t="s">
        <v>411</v>
      </c>
      <c r="C4903" s="309" t="s">
        <v>406</v>
      </c>
      <c r="D4903">
        <v>190445</v>
      </c>
    </row>
    <row r="4904" spans="1:4" x14ac:dyDescent="0.25">
      <c r="A4904" s="279">
        <v>39183</v>
      </c>
      <c r="B4904" s="309" t="s">
        <v>411</v>
      </c>
      <c r="C4904" s="309" t="s">
        <v>198</v>
      </c>
      <c r="D4904">
        <v>0</v>
      </c>
    </row>
    <row r="4905" spans="1:4" x14ac:dyDescent="0.25">
      <c r="A4905" s="279">
        <v>39183</v>
      </c>
      <c r="B4905" s="309" t="s">
        <v>411</v>
      </c>
      <c r="C4905" s="309" t="s">
        <v>199</v>
      </c>
      <c r="D4905">
        <v>0</v>
      </c>
    </row>
    <row r="4906" spans="1:4" x14ac:dyDescent="0.25">
      <c r="A4906" s="279">
        <v>39183</v>
      </c>
      <c r="B4906" s="309" t="s">
        <v>411</v>
      </c>
      <c r="C4906" s="309" t="s">
        <v>90</v>
      </c>
      <c r="D4906">
        <v>200</v>
      </c>
    </row>
    <row r="4907" spans="1:4" x14ac:dyDescent="0.25">
      <c r="A4907" s="279">
        <v>39183</v>
      </c>
      <c r="B4907" s="309" t="s">
        <v>411</v>
      </c>
      <c r="C4907" s="309" t="s">
        <v>24</v>
      </c>
      <c r="D4907">
        <v>0</v>
      </c>
    </row>
    <row r="4908" spans="1:4" x14ac:dyDescent="0.25">
      <c r="A4908" s="279">
        <v>39183</v>
      </c>
      <c r="B4908" s="309" t="s">
        <v>411</v>
      </c>
      <c r="C4908" s="309" t="s">
        <v>91</v>
      </c>
      <c r="D4908">
        <v>0</v>
      </c>
    </row>
    <row r="4909" spans="1:4" x14ac:dyDescent="0.25">
      <c r="A4909" s="279">
        <v>39183</v>
      </c>
      <c r="B4909" s="309" t="s">
        <v>411</v>
      </c>
      <c r="C4909" s="309" t="s">
        <v>118</v>
      </c>
      <c r="D4909">
        <v>0</v>
      </c>
    </row>
    <row r="4910" spans="1:4" x14ac:dyDescent="0.25">
      <c r="A4910" s="279">
        <v>39183</v>
      </c>
      <c r="B4910" s="309" t="s">
        <v>411</v>
      </c>
      <c r="C4910" s="309" t="s">
        <v>407</v>
      </c>
      <c r="D4910">
        <v>190245</v>
      </c>
    </row>
    <row r="4911" spans="1:4" x14ac:dyDescent="0.25">
      <c r="A4911" s="279">
        <v>39183</v>
      </c>
      <c r="B4911" s="309" t="s">
        <v>411</v>
      </c>
      <c r="C4911" s="309" t="s">
        <v>412</v>
      </c>
      <c r="D4911">
        <v>1007</v>
      </c>
    </row>
    <row r="4912" spans="1:4" x14ac:dyDescent="0.25">
      <c r="A4912" s="279">
        <v>39183</v>
      </c>
      <c r="B4912" s="309" t="s">
        <v>411</v>
      </c>
      <c r="C4912" s="309" t="s">
        <v>409</v>
      </c>
      <c r="D4912">
        <v>1049</v>
      </c>
    </row>
    <row r="4913" spans="1:4" x14ac:dyDescent="0.25">
      <c r="A4913" s="279">
        <v>39184</v>
      </c>
      <c r="B4913" s="309" t="s">
        <v>405</v>
      </c>
      <c r="C4913" s="309" t="s">
        <v>406</v>
      </c>
      <c r="D4913">
        <v>2405427.1</v>
      </c>
    </row>
    <row r="4914" spans="1:4" x14ac:dyDescent="0.25">
      <c r="A4914" s="279">
        <v>39184</v>
      </c>
      <c r="B4914" s="309" t="s">
        <v>405</v>
      </c>
      <c r="C4914" s="309" t="s">
        <v>89</v>
      </c>
      <c r="D4914">
        <v>0</v>
      </c>
    </row>
    <row r="4915" spans="1:4" x14ac:dyDescent="0.25">
      <c r="A4915" s="279">
        <v>39184</v>
      </c>
      <c r="B4915" s="309" t="s">
        <v>405</v>
      </c>
      <c r="C4915" s="309" t="s">
        <v>198</v>
      </c>
      <c r="D4915">
        <v>0</v>
      </c>
    </row>
    <row r="4916" spans="1:4" x14ac:dyDescent="0.25">
      <c r="A4916" s="279">
        <v>39184</v>
      </c>
      <c r="B4916" s="309" t="s">
        <v>405</v>
      </c>
      <c r="C4916" s="309" t="s">
        <v>199</v>
      </c>
      <c r="D4916">
        <v>0</v>
      </c>
    </row>
    <row r="4917" spans="1:4" x14ac:dyDescent="0.25">
      <c r="A4917" s="279">
        <v>39184</v>
      </c>
      <c r="B4917" s="309" t="s">
        <v>405</v>
      </c>
      <c r="C4917" s="309" t="s">
        <v>90</v>
      </c>
      <c r="D4917">
        <v>533</v>
      </c>
    </row>
    <row r="4918" spans="1:4" x14ac:dyDescent="0.25">
      <c r="A4918" s="279">
        <v>39184</v>
      </c>
      <c r="B4918" s="309" t="s">
        <v>405</v>
      </c>
      <c r="C4918" s="309" t="s">
        <v>24</v>
      </c>
      <c r="D4918">
        <v>0</v>
      </c>
    </row>
    <row r="4919" spans="1:4" x14ac:dyDescent="0.25">
      <c r="A4919" s="279">
        <v>39184</v>
      </c>
      <c r="B4919" s="309" t="s">
        <v>405</v>
      </c>
      <c r="C4919" s="309" t="s">
        <v>91</v>
      </c>
      <c r="D4919">
        <v>0</v>
      </c>
    </row>
    <row r="4920" spans="1:4" x14ac:dyDescent="0.25">
      <c r="A4920" s="279">
        <v>39184</v>
      </c>
      <c r="B4920" s="309" t="s">
        <v>405</v>
      </c>
      <c r="C4920" s="309" t="s">
        <v>118</v>
      </c>
      <c r="D4920">
        <v>0</v>
      </c>
    </row>
    <row r="4921" spans="1:4" x14ac:dyDescent="0.25">
      <c r="A4921" s="279">
        <v>39184</v>
      </c>
      <c r="B4921" s="309" t="s">
        <v>405</v>
      </c>
      <c r="C4921" s="309" t="s">
        <v>407</v>
      </c>
      <c r="D4921">
        <v>2404894.1</v>
      </c>
    </row>
    <row r="4922" spans="1:4" x14ac:dyDescent="0.25">
      <c r="A4922" s="279">
        <v>39184</v>
      </c>
      <c r="B4922" s="309" t="s">
        <v>405</v>
      </c>
      <c r="C4922" s="309" t="s">
        <v>408</v>
      </c>
      <c r="D4922">
        <v>1007</v>
      </c>
    </row>
    <row r="4923" spans="1:4" x14ac:dyDescent="0.25">
      <c r="A4923" s="279">
        <v>39184</v>
      </c>
      <c r="B4923" s="309" t="s">
        <v>405</v>
      </c>
      <c r="C4923" s="309" t="s">
        <v>409</v>
      </c>
      <c r="D4923">
        <v>1058</v>
      </c>
    </row>
    <row r="4924" spans="1:4" x14ac:dyDescent="0.25">
      <c r="A4924" s="279">
        <v>39184</v>
      </c>
      <c r="B4924" s="309" t="s">
        <v>405</v>
      </c>
      <c r="C4924" s="309" t="s">
        <v>410</v>
      </c>
      <c r="D4924">
        <v>1040</v>
      </c>
    </row>
    <row r="4925" spans="1:4" x14ac:dyDescent="0.25">
      <c r="A4925" s="279">
        <v>39184</v>
      </c>
      <c r="B4925" s="309" t="s">
        <v>411</v>
      </c>
      <c r="C4925" s="309" t="s">
        <v>406</v>
      </c>
      <c r="D4925">
        <v>190245</v>
      </c>
    </row>
    <row r="4926" spans="1:4" x14ac:dyDescent="0.25">
      <c r="A4926" s="279">
        <v>39184</v>
      </c>
      <c r="B4926" s="309" t="s">
        <v>411</v>
      </c>
      <c r="C4926" s="309" t="s">
        <v>198</v>
      </c>
      <c r="D4926">
        <v>0</v>
      </c>
    </row>
    <row r="4927" spans="1:4" x14ac:dyDescent="0.25">
      <c r="A4927" s="279">
        <v>39184</v>
      </c>
      <c r="B4927" s="309" t="s">
        <v>411</v>
      </c>
      <c r="C4927" s="309" t="s">
        <v>199</v>
      </c>
      <c r="D4927">
        <v>0</v>
      </c>
    </row>
    <row r="4928" spans="1:4" x14ac:dyDescent="0.25">
      <c r="A4928" s="279">
        <v>39184</v>
      </c>
      <c r="B4928" s="309" t="s">
        <v>411</v>
      </c>
      <c r="C4928" s="309" t="s">
        <v>90</v>
      </c>
      <c r="D4928">
        <v>277</v>
      </c>
    </row>
    <row r="4929" spans="1:4" x14ac:dyDescent="0.25">
      <c r="A4929" s="279">
        <v>39184</v>
      </c>
      <c r="B4929" s="309" t="s">
        <v>411</v>
      </c>
      <c r="C4929" s="309" t="s">
        <v>24</v>
      </c>
      <c r="D4929">
        <v>0</v>
      </c>
    </row>
    <row r="4930" spans="1:4" x14ac:dyDescent="0.25">
      <c r="A4930" s="279">
        <v>39184</v>
      </c>
      <c r="B4930" s="309" t="s">
        <v>411</v>
      </c>
      <c r="C4930" s="309" t="s">
        <v>91</v>
      </c>
      <c r="D4930">
        <v>0</v>
      </c>
    </row>
    <row r="4931" spans="1:4" x14ac:dyDescent="0.25">
      <c r="A4931" s="279">
        <v>39184</v>
      </c>
      <c r="B4931" s="309" t="s">
        <v>411</v>
      </c>
      <c r="C4931" s="309" t="s">
        <v>118</v>
      </c>
      <c r="D4931">
        <v>0</v>
      </c>
    </row>
    <row r="4932" spans="1:4" x14ac:dyDescent="0.25">
      <c r="A4932" s="279">
        <v>39184</v>
      </c>
      <c r="B4932" s="309" t="s">
        <v>411</v>
      </c>
      <c r="C4932" s="309" t="s">
        <v>407</v>
      </c>
      <c r="D4932">
        <v>189968</v>
      </c>
    </row>
    <row r="4933" spans="1:4" x14ac:dyDescent="0.25">
      <c r="A4933" s="279">
        <v>39184</v>
      </c>
      <c r="B4933" s="309" t="s">
        <v>411</v>
      </c>
      <c r="C4933" s="309" t="s">
        <v>412</v>
      </c>
      <c r="D4933">
        <v>1007</v>
      </c>
    </row>
    <row r="4934" spans="1:4" x14ac:dyDescent="0.25">
      <c r="A4934" s="279">
        <v>39184</v>
      </c>
      <c r="B4934" s="309" t="s">
        <v>411</v>
      </c>
      <c r="C4934" s="309" t="s">
        <v>409</v>
      </c>
      <c r="D4934">
        <v>1049</v>
      </c>
    </row>
    <row r="4935" spans="1:4" x14ac:dyDescent="0.25">
      <c r="A4935" s="279">
        <v>39185</v>
      </c>
      <c r="B4935" s="309" t="s">
        <v>405</v>
      </c>
      <c r="C4935" s="309" t="s">
        <v>406</v>
      </c>
      <c r="D4935">
        <v>2404894.1</v>
      </c>
    </row>
    <row r="4936" spans="1:4" x14ac:dyDescent="0.25">
      <c r="A4936" s="279">
        <v>39185</v>
      </c>
      <c r="B4936" s="309" t="s">
        <v>405</v>
      </c>
      <c r="C4936" s="309" t="s">
        <v>89</v>
      </c>
      <c r="D4936">
        <v>14232</v>
      </c>
    </row>
    <row r="4937" spans="1:4" x14ac:dyDescent="0.25">
      <c r="A4937" s="279">
        <v>39185</v>
      </c>
      <c r="B4937" s="309" t="s">
        <v>405</v>
      </c>
      <c r="C4937" s="309" t="s">
        <v>198</v>
      </c>
      <c r="D4937">
        <v>0</v>
      </c>
    </row>
    <row r="4938" spans="1:4" x14ac:dyDescent="0.25">
      <c r="A4938" s="279">
        <v>39185</v>
      </c>
      <c r="B4938" s="309" t="s">
        <v>405</v>
      </c>
      <c r="C4938" s="309" t="s">
        <v>199</v>
      </c>
      <c r="D4938">
        <v>0</v>
      </c>
    </row>
    <row r="4939" spans="1:4" x14ac:dyDescent="0.25">
      <c r="A4939" s="279">
        <v>39185</v>
      </c>
      <c r="B4939" s="309" t="s">
        <v>405</v>
      </c>
      <c r="C4939" s="309" t="s">
        <v>90</v>
      </c>
      <c r="D4939">
        <v>2230</v>
      </c>
    </row>
    <row r="4940" spans="1:4" x14ac:dyDescent="0.25">
      <c r="A4940" s="279">
        <v>39185</v>
      </c>
      <c r="B4940" s="309" t="s">
        <v>405</v>
      </c>
      <c r="C4940" s="309" t="s">
        <v>24</v>
      </c>
      <c r="D4940">
        <v>0</v>
      </c>
    </row>
    <row r="4941" spans="1:4" x14ac:dyDescent="0.25">
      <c r="A4941" s="279">
        <v>39185</v>
      </c>
      <c r="B4941" s="309" t="s">
        <v>405</v>
      </c>
      <c r="C4941" s="309" t="s">
        <v>91</v>
      </c>
      <c r="D4941">
        <v>0</v>
      </c>
    </row>
    <row r="4942" spans="1:4" x14ac:dyDescent="0.25">
      <c r="A4942" s="279">
        <v>39185</v>
      </c>
      <c r="B4942" s="309" t="s">
        <v>405</v>
      </c>
      <c r="C4942" s="309" t="s">
        <v>118</v>
      </c>
      <c r="D4942">
        <v>0</v>
      </c>
    </row>
    <row r="4943" spans="1:4" x14ac:dyDescent="0.25">
      <c r="A4943" s="279">
        <v>39185</v>
      </c>
      <c r="B4943" s="309" t="s">
        <v>405</v>
      </c>
      <c r="C4943" s="309" t="s">
        <v>407</v>
      </c>
      <c r="D4943">
        <v>2416896.1</v>
      </c>
    </row>
    <row r="4944" spans="1:4" x14ac:dyDescent="0.25">
      <c r="A4944" s="279">
        <v>39185</v>
      </c>
      <c r="B4944" s="309" t="s">
        <v>405</v>
      </c>
      <c r="C4944" s="309" t="s">
        <v>408</v>
      </c>
      <c r="D4944">
        <v>1007</v>
      </c>
    </row>
    <row r="4945" spans="1:4" x14ac:dyDescent="0.25">
      <c r="A4945" s="279">
        <v>39185</v>
      </c>
      <c r="B4945" s="309" t="s">
        <v>405</v>
      </c>
      <c r="C4945" s="309" t="s">
        <v>409</v>
      </c>
      <c r="D4945">
        <v>1058</v>
      </c>
    </row>
    <row r="4946" spans="1:4" x14ac:dyDescent="0.25">
      <c r="A4946" s="279">
        <v>39185</v>
      </c>
      <c r="B4946" s="309" t="s">
        <v>405</v>
      </c>
      <c r="C4946" s="309" t="s">
        <v>410</v>
      </c>
      <c r="D4946">
        <v>1038</v>
      </c>
    </row>
    <row r="4947" spans="1:4" x14ac:dyDescent="0.25">
      <c r="A4947" s="279">
        <v>39185</v>
      </c>
      <c r="B4947" s="309" t="s">
        <v>411</v>
      </c>
      <c r="C4947" s="309" t="s">
        <v>406</v>
      </c>
      <c r="D4947">
        <v>189968</v>
      </c>
    </row>
    <row r="4948" spans="1:4" x14ac:dyDescent="0.25">
      <c r="A4948" s="279">
        <v>39185</v>
      </c>
      <c r="B4948" s="309" t="s">
        <v>411</v>
      </c>
      <c r="C4948" s="309" t="s">
        <v>198</v>
      </c>
      <c r="D4948">
        <v>0</v>
      </c>
    </row>
    <row r="4949" spans="1:4" x14ac:dyDescent="0.25">
      <c r="A4949" s="279">
        <v>39185</v>
      </c>
      <c r="B4949" s="309" t="s">
        <v>411</v>
      </c>
      <c r="C4949" s="309" t="s">
        <v>199</v>
      </c>
      <c r="D4949">
        <v>0</v>
      </c>
    </row>
    <row r="4950" spans="1:4" x14ac:dyDescent="0.25">
      <c r="A4950" s="279">
        <v>39185</v>
      </c>
      <c r="B4950" s="309" t="s">
        <v>411</v>
      </c>
      <c r="C4950" s="309" t="s">
        <v>90</v>
      </c>
      <c r="D4950">
        <v>72</v>
      </c>
    </row>
    <row r="4951" spans="1:4" x14ac:dyDescent="0.25">
      <c r="A4951" s="279">
        <v>39185</v>
      </c>
      <c r="B4951" s="309" t="s">
        <v>411</v>
      </c>
      <c r="C4951" s="309" t="s">
        <v>24</v>
      </c>
      <c r="D4951">
        <v>0</v>
      </c>
    </row>
    <row r="4952" spans="1:4" x14ac:dyDescent="0.25">
      <c r="A4952" s="279">
        <v>39185</v>
      </c>
      <c r="B4952" s="309" t="s">
        <v>411</v>
      </c>
      <c r="C4952" s="309" t="s">
        <v>91</v>
      </c>
      <c r="D4952">
        <v>0</v>
      </c>
    </row>
    <row r="4953" spans="1:4" x14ac:dyDescent="0.25">
      <c r="A4953" s="279">
        <v>39185</v>
      </c>
      <c r="B4953" s="309" t="s">
        <v>411</v>
      </c>
      <c r="C4953" s="309" t="s">
        <v>118</v>
      </c>
      <c r="D4953">
        <v>0</v>
      </c>
    </row>
    <row r="4954" spans="1:4" x14ac:dyDescent="0.25">
      <c r="A4954" s="279">
        <v>39185</v>
      </c>
      <c r="B4954" s="309" t="s">
        <v>411</v>
      </c>
      <c r="C4954" s="309" t="s">
        <v>407</v>
      </c>
      <c r="D4954">
        <v>189896</v>
      </c>
    </row>
    <row r="4955" spans="1:4" x14ac:dyDescent="0.25">
      <c r="A4955" s="279">
        <v>39185</v>
      </c>
      <c r="B4955" s="309" t="s">
        <v>411</v>
      </c>
      <c r="C4955" s="309" t="s">
        <v>412</v>
      </c>
      <c r="D4955">
        <v>1007</v>
      </c>
    </row>
    <row r="4956" spans="1:4" x14ac:dyDescent="0.25">
      <c r="A4956" s="279">
        <v>39185</v>
      </c>
      <c r="B4956" s="309" t="s">
        <v>411</v>
      </c>
      <c r="C4956" s="309" t="s">
        <v>409</v>
      </c>
      <c r="D4956">
        <v>1049</v>
      </c>
    </row>
    <row r="4957" spans="1:4" x14ac:dyDescent="0.25">
      <c r="A4957" s="279">
        <v>39186</v>
      </c>
      <c r="B4957" s="309" t="s">
        <v>405</v>
      </c>
      <c r="C4957" s="309" t="s">
        <v>406</v>
      </c>
      <c r="D4957">
        <v>2416896.1</v>
      </c>
    </row>
    <row r="4958" spans="1:4" x14ac:dyDescent="0.25">
      <c r="A4958" s="279">
        <v>39186</v>
      </c>
      <c r="B4958" s="309" t="s">
        <v>405</v>
      </c>
      <c r="C4958" s="309" t="s">
        <v>89</v>
      </c>
      <c r="D4958">
        <v>12270</v>
      </c>
    </row>
    <row r="4959" spans="1:4" x14ac:dyDescent="0.25">
      <c r="A4959" s="279">
        <v>39186</v>
      </c>
      <c r="B4959" s="309" t="s">
        <v>405</v>
      </c>
      <c r="C4959" s="309" t="s">
        <v>198</v>
      </c>
      <c r="D4959">
        <v>0</v>
      </c>
    </row>
    <row r="4960" spans="1:4" x14ac:dyDescent="0.25">
      <c r="A4960" s="279">
        <v>39186</v>
      </c>
      <c r="B4960" s="309" t="s">
        <v>405</v>
      </c>
      <c r="C4960" s="309" t="s">
        <v>199</v>
      </c>
      <c r="D4960">
        <v>0</v>
      </c>
    </row>
    <row r="4961" spans="1:4" x14ac:dyDescent="0.25">
      <c r="A4961" s="279">
        <v>39186</v>
      </c>
      <c r="B4961" s="309" t="s">
        <v>405</v>
      </c>
      <c r="C4961" s="309" t="s">
        <v>90</v>
      </c>
      <c r="D4961">
        <v>2136</v>
      </c>
    </row>
    <row r="4962" spans="1:4" x14ac:dyDescent="0.25">
      <c r="A4962" s="279">
        <v>39186</v>
      </c>
      <c r="B4962" s="309" t="s">
        <v>405</v>
      </c>
      <c r="C4962" s="309" t="s">
        <v>24</v>
      </c>
      <c r="D4962">
        <v>0</v>
      </c>
    </row>
    <row r="4963" spans="1:4" x14ac:dyDescent="0.25">
      <c r="A4963" s="279">
        <v>39186</v>
      </c>
      <c r="B4963" s="309" t="s">
        <v>405</v>
      </c>
      <c r="C4963" s="309" t="s">
        <v>91</v>
      </c>
      <c r="D4963">
        <v>0</v>
      </c>
    </row>
    <row r="4964" spans="1:4" x14ac:dyDescent="0.25">
      <c r="A4964" s="279">
        <v>39186</v>
      </c>
      <c r="B4964" s="309" t="s">
        <v>405</v>
      </c>
      <c r="C4964" s="309" t="s">
        <v>118</v>
      </c>
      <c r="D4964">
        <v>0</v>
      </c>
    </row>
    <row r="4965" spans="1:4" x14ac:dyDescent="0.25">
      <c r="A4965" s="279">
        <v>39186</v>
      </c>
      <c r="B4965" s="309" t="s">
        <v>405</v>
      </c>
      <c r="C4965" s="309" t="s">
        <v>407</v>
      </c>
      <c r="D4965">
        <v>2427030.1</v>
      </c>
    </row>
    <row r="4966" spans="1:4" x14ac:dyDescent="0.25">
      <c r="A4966" s="279">
        <v>39186</v>
      </c>
      <c r="B4966" s="309" t="s">
        <v>405</v>
      </c>
      <c r="C4966" s="309" t="s">
        <v>408</v>
      </c>
      <c r="D4966">
        <v>1007</v>
      </c>
    </row>
    <row r="4967" spans="1:4" x14ac:dyDescent="0.25">
      <c r="A4967" s="279">
        <v>39186</v>
      </c>
      <c r="B4967" s="309" t="s">
        <v>405</v>
      </c>
      <c r="C4967" s="309" t="s">
        <v>409</v>
      </c>
      <c r="D4967">
        <v>1058</v>
      </c>
    </row>
    <row r="4968" spans="1:4" x14ac:dyDescent="0.25">
      <c r="A4968" s="279">
        <v>39186</v>
      </c>
      <c r="B4968" s="309" t="s">
        <v>405</v>
      </c>
      <c r="C4968" s="309" t="s">
        <v>410</v>
      </c>
      <c r="D4968">
        <v>1039</v>
      </c>
    </row>
    <row r="4969" spans="1:4" x14ac:dyDescent="0.25">
      <c r="A4969" s="279">
        <v>39186</v>
      </c>
      <c r="B4969" s="309" t="s">
        <v>411</v>
      </c>
      <c r="C4969" s="309" t="s">
        <v>406</v>
      </c>
      <c r="D4969">
        <v>189896</v>
      </c>
    </row>
    <row r="4970" spans="1:4" x14ac:dyDescent="0.25">
      <c r="A4970" s="279">
        <v>39186</v>
      </c>
      <c r="B4970" s="309" t="s">
        <v>411</v>
      </c>
      <c r="C4970" s="309" t="s">
        <v>198</v>
      </c>
      <c r="D4970">
        <v>0</v>
      </c>
    </row>
    <row r="4971" spans="1:4" x14ac:dyDescent="0.25">
      <c r="A4971" s="279">
        <v>39186</v>
      </c>
      <c r="B4971" s="309" t="s">
        <v>411</v>
      </c>
      <c r="C4971" s="309" t="s">
        <v>199</v>
      </c>
      <c r="D4971">
        <v>0</v>
      </c>
    </row>
    <row r="4972" spans="1:4" x14ac:dyDescent="0.25">
      <c r="A4972" s="279">
        <v>39186</v>
      </c>
      <c r="B4972" s="309" t="s">
        <v>411</v>
      </c>
      <c r="C4972" s="309" t="s">
        <v>90</v>
      </c>
      <c r="D4972">
        <v>205</v>
      </c>
    </row>
    <row r="4973" spans="1:4" x14ac:dyDescent="0.25">
      <c r="A4973" s="279">
        <v>39186</v>
      </c>
      <c r="B4973" s="309" t="s">
        <v>411</v>
      </c>
      <c r="C4973" s="309" t="s">
        <v>24</v>
      </c>
      <c r="D4973">
        <v>0</v>
      </c>
    </row>
    <row r="4974" spans="1:4" x14ac:dyDescent="0.25">
      <c r="A4974" s="279">
        <v>39186</v>
      </c>
      <c r="B4974" s="309" t="s">
        <v>411</v>
      </c>
      <c r="C4974" s="309" t="s">
        <v>91</v>
      </c>
      <c r="D4974">
        <v>0</v>
      </c>
    </row>
    <row r="4975" spans="1:4" x14ac:dyDescent="0.25">
      <c r="A4975" s="279">
        <v>39186</v>
      </c>
      <c r="B4975" s="309" t="s">
        <v>411</v>
      </c>
      <c r="C4975" s="309" t="s">
        <v>118</v>
      </c>
      <c r="D4975">
        <v>0</v>
      </c>
    </row>
    <row r="4976" spans="1:4" x14ac:dyDescent="0.25">
      <c r="A4976" s="279">
        <v>39186</v>
      </c>
      <c r="B4976" s="309" t="s">
        <v>411</v>
      </c>
      <c r="C4976" s="309" t="s">
        <v>407</v>
      </c>
      <c r="D4976">
        <v>189691</v>
      </c>
    </row>
    <row r="4977" spans="1:4" x14ac:dyDescent="0.25">
      <c r="A4977" s="279">
        <v>39186</v>
      </c>
      <c r="B4977" s="309" t="s">
        <v>411</v>
      </c>
      <c r="C4977" s="309" t="s">
        <v>412</v>
      </c>
      <c r="D4977">
        <v>1007</v>
      </c>
    </row>
    <row r="4978" spans="1:4" x14ac:dyDescent="0.25">
      <c r="A4978" s="279">
        <v>39186</v>
      </c>
      <c r="B4978" s="309" t="s">
        <v>411</v>
      </c>
      <c r="C4978" s="309" t="s">
        <v>409</v>
      </c>
      <c r="D4978">
        <v>1049</v>
      </c>
    </row>
    <row r="4979" spans="1:4" x14ac:dyDescent="0.25">
      <c r="A4979" s="279">
        <v>39187</v>
      </c>
      <c r="B4979" s="309" t="s">
        <v>405</v>
      </c>
      <c r="C4979" s="309" t="s">
        <v>406</v>
      </c>
      <c r="D4979">
        <v>2427030.1</v>
      </c>
    </row>
    <row r="4980" spans="1:4" x14ac:dyDescent="0.25">
      <c r="A4980" s="279">
        <v>39187</v>
      </c>
      <c r="B4980" s="309" t="s">
        <v>405</v>
      </c>
      <c r="C4980" s="309" t="s">
        <v>89</v>
      </c>
      <c r="D4980">
        <v>10307</v>
      </c>
    </row>
    <row r="4981" spans="1:4" x14ac:dyDescent="0.25">
      <c r="A4981" s="279">
        <v>39187</v>
      </c>
      <c r="B4981" s="309" t="s">
        <v>405</v>
      </c>
      <c r="C4981" s="309" t="s">
        <v>198</v>
      </c>
      <c r="D4981">
        <v>0</v>
      </c>
    </row>
    <row r="4982" spans="1:4" x14ac:dyDescent="0.25">
      <c r="A4982" s="279">
        <v>39187</v>
      </c>
      <c r="B4982" s="309" t="s">
        <v>405</v>
      </c>
      <c r="C4982" s="309" t="s">
        <v>199</v>
      </c>
      <c r="D4982">
        <v>0</v>
      </c>
    </row>
    <row r="4983" spans="1:4" x14ac:dyDescent="0.25">
      <c r="A4983" s="279">
        <v>39187</v>
      </c>
      <c r="B4983" s="309" t="s">
        <v>405</v>
      </c>
      <c r="C4983" s="309" t="s">
        <v>90</v>
      </c>
      <c r="D4983">
        <v>2040</v>
      </c>
    </row>
    <row r="4984" spans="1:4" x14ac:dyDescent="0.25">
      <c r="A4984" s="279">
        <v>39187</v>
      </c>
      <c r="B4984" s="309" t="s">
        <v>405</v>
      </c>
      <c r="C4984" s="309" t="s">
        <v>24</v>
      </c>
      <c r="D4984">
        <v>0</v>
      </c>
    </row>
    <row r="4985" spans="1:4" x14ac:dyDescent="0.25">
      <c r="A4985" s="279">
        <v>39187</v>
      </c>
      <c r="B4985" s="309" t="s">
        <v>405</v>
      </c>
      <c r="C4985" s="309" t="s">
        <v>91</v>
      </c>
      <c r="D4985">
        <v>0</v>
      </c>
    </row>
    <row r="4986" spans="1:4" x14ac:dyDescent="0.25">
      <c r="A4986" s="279">
        <v>39187</v>
      </c>
      <c r="B4986" s="309" t="s">
        <v>405</v>
      </c>
      <c r="C4986" s="309" t="s">
        <v>118</v>
      </c>
      <c r="D4986">
        <v>0</v>
      </c>
    </row>
    <row r="4987" spans="1:4" x14ac:dyDescent="0.25">
      <c r="A4987" s="279">
        <v>39187</v>
      </c>
      <c r="B4987" s="309" t="s">
        <v>405</v>
      </c>
      <c r="C4987" s="309" t="s">
        <v>407</v>
      </c>
      <c r="D4987">
        <v>2435297.1</v>
      </c>
    </row>
    <row r="4988" spans="1:4" x14ac:dyDescent="0.25">
      <c r="A4988" s="279">
        <v>39187</v>
      </c>
      <c r="B4988" s="309" t="s">
        <v>405</v>
      </c>
      <c r="C4988" s="309" t="s">
        <v>408</v>
      </c>
      <c r="D4988">
        <v>1007</v>
      </c>
    </row>
    <row r="4989" spans="1:4" x14ac:dyDescent="0.25">
      <c r="A4989" s="279">
        <v>39187</v>
      </c>
      <c r="B4989" s="309" t="s">
        <v>405</v>
      </c>
      <c r="C4989" s="309" t="s">
        <v>409</v>
      </c>
      <c r="D4989">
        <v>1058</v>
      </c>
    </row>
    <row r="4990" spans="1:4" x14ac:dyDescent="0.25">
      <c r="A4990" s="279">
        <v>39187</v>
      </c>
      <c r="B4990" s="309" t="s">
        <v>405</v>
      </c>
      <c r="C4990" s="309" t="s">
        <v>410</v>
      </c>
      <c r="D4990">
        <v>1034</v>
      </c>
    </row>
    <row r="4991" spans="1:4" x14ac:dyDescent="0.25">
      <c r="A4991" s="279">
        <v>39187</v>
      </c>
      <c r="B4991" s="309" t="s">
        <v>411</v>
      </c>
      <c r="C4991" s="309" t="s">
        <v>406</v>
      </c>
      <c r="D4991">
        <v>189691</v>
      </c>
    </row>
    <row r="4992" spans="1:4" x14ac:dyDescent="0.25">
      <c r="A4992" s="279">
        <v>39187</v>
      </c>
      <c r="B4992" s="309" t="s">
        <v>411</v>
      </c>
      <c r="C4992" s="309" t="s">
        <v>198</v>
      </c>
      <c r="D4992">
        <v>0</v>
      </c>
    </row>
    <row r="4993" spans="1:4" x14ac:dyDescent="0.25">
      <c r="A4993" s="279">
        <v>39187</v>
      </c>
      <c r="B4993" s="309" t="s">
        <v>411</v>
      </c>
      <c r="C4993" s="309" t="s">
        <v>199</v>
      </c>
      <c r="D4993">
        <v>0</v>
      </c>
    </row>
    <row r="4994" spans="1:4" x14ac:dyDescent="0.25">
      <c r="A4994" s="279">
        <v>39187</v>
      </c>
      <c r="B4994" s="309" t="s">
        <v>411</v>
      </c>
      <c r="C4994" s="309" t="s">
        <v>90</v>
      </c>
      <c r="D4994">
        <v>276</v>
      </c>
    </row>
    <row r="4995" spans="1:4" x14ac:dyDescent="0.25">
      <c r="A4995" s="279">
        <v>39187</v>
      </c>
      <c r="B4995" s="309" t="s">
        <v>411</v>
      </c>
      <c r="C4995" s="309" t="s">
        <v>24</v>
      </c>
      <c r="D4995">
        <v>0</v>
      </c>
    </row>
    <row r="4996" spans="1:4" x14ac:dyDescent="0.25">
      <c r="A4996" s="279">
        <v>39187</v>
      </c>
      <c r="B4996" s="309" t="s">
        <v>411</v>
      </c>
      <c r="C4996" s="309" t="s">
        <v>91</v>
      </c>
      <c r="D4996">
        <v>0</v>
      </c>
    </row>
    <row r="4997" spans="1:4" x14ac:dyDescent="0.25">
      <c r="A4997" s="279">
        <v>39187</v>
      </c>
      <c r="B4997" s="309" t="s">
        <v>411</v>
      </c>
      <c r="C4997" s="309" t="s">
        <v>118</v>
      </c>
      <c r="D4997">
        <v>0</v>
      </c>
    </row>
    <row r="4998" spans="1:4" x14ac:dyDescent="0.25">
      <c r="A4998" s="279">
        <v>39187</v>
      </c>
      <c r="B4998" s="309" t="s">
        <v>411</v>
      </c>
      <c r="C4998" s="309" t="s">
        <v>407</v>
      </c>
      <c r="D4998">
        <v>189415</v>
      </c>
    </row>
    <row r="4999" spans="1:4" x14ac:dyDescent="0.25">
      <c r="A4999" s="279">
        <v>39187</v>
      </c>
      <c r="B4999" s="309" t="s">
        <v>411</v>
      </c>
      <c r="C4999" s="309" t="s">
        <v>412</v>
      </c>
      <c r="D4999">
        <v>1007</v>
      </c>
    </row>
    <row r="5000" spans="1:4" x14ac:dyDescent="0.25">
      <c r="A5000" s="279">
        <v>39187</v>
      </c>
      <c r="B5000" s="309" t="s">
        <v>411</v>
      </c>
      <c r="C5000" s="309" t="s">
        <v>409</v>
      </c>
      <c r="D5000">
        <v>1049</v>
      </c>
    </row>
    <row r="5001" spans="1:4" x14ac:dyDescent="0.25">
      <c r="A5001" s="279">
        <v>39188</v>
      </c>
      <c r="B5001" s="309" t="s">
        <v>405</v>
      </c>
      <c r="C5001" s="309" t="s">
        <v>406</v>
      </c>
      <c r="D5001">
        <v>2435297.1</v>
      </c>
    </row>
    <row r="5002" spans="1:4" x14ac:dyDescent="0.25">
      <c r="A5002" s="279">
        <v>39188</v>
      </c>
      <c r="B5002" s="309" t="s">
        <v>405</v>
      </c>
      <c r="C5002" s="309" t="s">
        <v>89</v>
      </c>
      <c r="D5002">
        <v>2447</v>
      </c>
    </row>
    <row r="5003" spans="1:4" x14ac:dyDescent="0.25">
      <c r="A5003" s="279">
        <v>39188</v>
      </c>
      <c r="B5003" s="309" t="s">
        <v>405</v>
      </c>
      <c r="C5003" s="309" t="s">
        <v>198</v>
      </c>
      <c r="D5003">
        <v>0</v>
      </c>
    </row>
    <row r="5004" spans="1:4" x14ac:dyDescent="0.25">
      <c r="A5004" s="279">
        <v>39188</v>
      </c>
      <c r="B5004" s="309" t="s">
        <v>405</v>
      </c>
      <c r="C5004" s="309" t="s">
        <v>199</v>
      </c>
      <c r="D5004">
        <v>0</v>
      </c>
    </row>
    <row r="5005" spans="1:4" x14ac:dyDescent="0.25">
      <c r="A5005" s="279">
        <v>39188</v>
      </c>
      <c r="B5005" s="309" t="s">
        <v>405</v>
      </c>
      <c r="C5005" s="309" t="s">
        <v>90</v>
      </c>
      <c r="D5005">
        <v>1644</v>
      </c>
    </row>
    <row r="5006" spans="1:4" x14ac:dyDescent="0.25">
      <c r="A5006" s="279">
        <v>39188</v>
      </c>
      <c r="B5006" s="309" t="s">
        <v>405</v>
      </c>
      <c r="C5006" s="309" t="s">
        <v>24</v>
      </c>
      <c r="D5006">
        <v>0</v>
      </c>
    </row>
    <row r="5007" spans="1:4" x14ac:dyDescent="0.25">
      <c r="A5007" s="279">
        <v>39188</v>
      </c>
      <c r="B5007" s="309" t="s">
        <v>405</v>
      </c>
      <c r="C5007" s="309" t="s">
        <v>91</v>
      </c>
      <c r="D5007">
        <v>0</v>
      </c>
    </row>
    <row r="5008" spans="1:4" x14ac:dyDescent="0.25">
      <c r="A5008" s="279">
        <v>39188</v>
      </c>
      <c r="B5008" s="309" t="s">
        <v>405</v>
      </c>
      <c r="C5008" s="309" t="s">
        <v>118</v>
      </c>
      <c r="D5008">
        <v>0</v>
      </c>
    </row>
    <row r="5009" spans="1:4" x14ac:dyDescent="0.25">
      <c r="A5009" s="279">
        <v>39188</v>
      </c>
      <c r="B5009" s="309" t="s">
        <v>405</v>
      </c>
      <c r="C5009" s="309" t="s">
        <v>407</v>
      </c>
      <c r="D5009">
        <v>2436100.1</v>
      </c>
    </row>
    <row r="5010" spans="1:4" x14ac:dyDescent="0.25">
      <c r="A5010" s="279">
        <v>39188</v>
      </c>
      <c r="B5010" s="309" t="s">
        <v>405</v>
      </c>
      <c r="C5010" s="309" t="s">
        <v>408</v>
      </c>
      <c r="D5010">
        <v>1007</v>
      </c>
    </row>
    <row r="5011" spans="1:4" x14ac:dyDescent="0.25">
      <c r="A5011" s="279">
        <v>39188</v>
      </c>
      <c r="B5011" s="309" t="s">
        <v>405</v>
      </c>
      <c r="C5011" s="309" t="s">
        <v>409</v>
      </c>
      <c r="D5011">
        <v>1058</v>
      </c>
    </row>
    <row r="5012" spans="1:4" x14ac:dyDescent="0.25">
      <c r="A5012" s="279">
        <v>39188</v>
      </c>
      <c r="B5012" s="309" t="s">
        <v>405</v>
      </c>
      <c r="C5012" s="309" t="s">
        <v>410</v>
      </c>
      <c r="D5012">
        <v>1044</v>
      </c>
    </row>
    <row r="5013" spans="1:4" x14ac:dyDescent="0.25">
      <c r="A5013" s="279">
        <v>39188</v>
      </c>
      <c r="B5013" s="309" t="s">
        <v>411</v>
      </c>
      <c r="C5013" s="309" t="s">
        <v>406</v>
      </c>
      <c r="D5013">
        <v>189415</v>
      </c>
    </row>
    <row r="5014" spans="1:4" x14ac:dyDescent="0.25">
      <c r="A5014" s="279">
        <v>39188</v>
      </c>
      <c r="B5014" s="309" t="s">
        <v>411</v>
      </c>
      <c r="C5014" s="309" t="s">
        <v>198</v>
      </c>
      <c r="D5014">
        <v>0</v>
      </c>
    </row>
    <row r="5015" spans="1:4" x14ac:dyDescent="0.25">
      <c r="A5015" s="279">
        <v>39188</v>
      </c>
      <c r="B5015" s="309" t="s">
        <v>411</v>
      </c>
      <c r="C5015" s="309" t="s">
        <v>199</v>
      </c>
      <c r="D5015">
        <v>0</v>
      </c>
    </row>
    <row r="5016" spans="1:4" x14ac:dyDescent="0.25">
      <c r="A5016" s="279">
        <v>39188</v>
      </c>
      <c r="B5016" s="309" t="s">
        <v>411</v>
      </c>
      <c r="C5016" s="309" t="s">
        <v>90</v>
      </c>
      <c r="D5016">
        <v>150</v>
      </c>
    </row>
    <row r="5017" spans="1:4" x14ac:dyDescent="0.25">
      <c r="A5017" s="279">
        <v>39188</v>
      </c>
      <c r="B5017" s="309" t="s">
        <v>411</v>
      </c>
      <c r="C5017" s="309" t="s">
        <v>24</v>
      </c>
      <c r="D5017">
        <v>9790</v>
      </c>
    </row>
    <row r="5018" spans="1:4" x14ac:dyDescent="0.25">
      <c r="A5018" s="279">
        <v>39188</v>
      </c>
      <c r="B5018" s="309" t="s">
        <v>411</v>
      </c>
      <c r="C5018" s="309" t="s">
        <v>91</v>
      </c>
      <c r="D5018">
        <v>0</v>
      </c>
    </row>
    <row r="5019" spans="1:4" x14ac:dyDescent="0.25">
      <c r="A5019" s="279">
        <v>39188</v>
      </c>
      <c r="B5019" s="309" t="s">
        <v>411</v>
      </c>
      <c r="C5019" s="309" t="s">
        <v>118</v>
      </c>
      <c r="D5019">
        <v>0</v>
      </c>
    </row>
    <row r="5020" spans="1:4" x14ac:dyDescent="0.25">
      <c r="A5020" s="279">
        <v>39188</v>
      </c>
      <c r="B5020" s="309" t="s">
        <v>411</v>
      </c>
      <c r="C5020" s="309" t="s">
        <v>407</v>
      </c>
      <c r="D5020">
        <v>179475</v>
      </c>
    </row>
    <row r="5021" spans="1:4" x14ac:dyDescent="0.25">
      <c r="A5021" s="279">
        <v>39188</v>
      </c>
      <c r="B5021" s="309" t="s">
        <v>411</v>
      </c>
      <c r="C5021" s="309" t="s">
        <v>412</v>
      </c>
      <c r="D5021">
        <v>1007</v>
      </c>
    </row>
    <row r="5022" spans="1:4" x14ac:dyDescent="0.25">
      <c r="A5022" s="279">
        <v>39188</v>
      </c>
      <c r="B5022" s="309" t="s">
        <v>411</v>
      </c>
      <c r="C5022" s="309" t="s">
        <v>409</v>
      </c>
      <c r="D5022">
        <v>1049</v>
      </c>
    </row>
    <row r="5023" spans="1:4" x14ac:dyDescent="0.25">
      <c r="A5023" s="279">
        <v>39189</v>
      </c>
      <c r="B5023" s="309" t="s">
        <v>405</v>
      </c>
      <c r="C5023" s="309" t="s">
        <v>406</v>
      </c>
      <c r="D5023">
        <v>2436100.1</v>
      </c>
    </row>
    <row r="5024" spans="1:4" x14ac:dyDescent="0.25">
      <c r="A5024" s="279">
        <v>39189</v>
      </c>
      <c r="B5024" s="309" t="s">
        <v>405</v>
      </c>
      <c r="C5024" s="309" t="s">
        <v>89</v>
      </c>
      <c r="D5024">
        <v>10591</v>
      </c>
    </row>
    <row r="5025" spans="1:4" x14ac:dyDescent="0.25">
      <c r="A5025" s="279">
        <v>39189</v>
      </c>
      <c r="B5025" s="309" t="s">
        <v>405</v>
      </c>
      <c r="C5025" s="309" t="s">
        <v>198</v>
      </c>
      <c r="D5025">
        <v>0</v>
      </c>
    </row>
    <row r="5026" spans="1:4" x14ac:dyDescent="0.25">
      <c r="A5026" s="279">
        <v>39189</v>
      </c>
      <c r="B5026" s="309" t="s">
        <v>405</v>
      </c>
      <c r="C5026" s="309" t="s">
        <v>199</v>
      </c>
      <c r="D5026">
        <v>0</v>
      </c>
    </row>
    <row r="5027" spans="1:4" x14ac:dyDescent="0.25">
      <c r="A5027" s="279">
        <v>39189</v>
      </c>
      <c r="B5027" s="309" t="s">
        <v>405</v>
      </c>
      <c r="C5027" s="309" t="s">
        <v>90</v>
      </c>
      <c r="D5027">
        <v>2056</v>
      </c>
    </row>
    <row r="5028" spans="1:4" x14ac:dyDescent="0.25">
      <c r="A5028" s="279">
        <v>39189</v>
      </c>
      <c r="B5028" s="309" t="s">
        <v>405</v>
      </c>
      <c r="C5028" s="309" t="s">
        <v>24</v>
      </c>
      <c r="D5028">
        <v>0</v>
      </c>
    </row>
    <row r="5029" spans="1:4" x14ac:dyDescent="0.25">
      <c r="A5029" s="279">
        <v>39189</v>
      </c>
      <c r="B5029" s="309" t="s">
        <v>405</v>
      </c>
      <c r="C5029" s="309" t="s">
        <v>91</v>
      </c>
      <c r="D5029">
        <v>0</v>
      </c>
    </row>
    <row r="5030" spans="1:4" x14ac:dyDescent="0.25">
      <c r="A5030" s="279">
        <v>39189</v>
      </c>
      <c r="B5030" s="309" t="s">
        <v>405</v>
      </c>
      <c r="C5030" s="309" t="s">
        <v>118</v>
      </c>
      <c r="D5030">
        <v>0</v>
      </c>
    </row>
    <row r="5031" spans="1:4" x14ac:dyDescent="0.25">
      <c r="A5031" s="279">
        <v>39189</v>
      </c>
      <c r="B5031" s="309" t="s">
        <v>405</v>
      </c>
      <c r="C5031" s="309" t="s">
        <v>407</v>
      </c>
      <c r="D5031">
        <v>2444635.1</v>
      </c>
    </row>
    <row r="5032" spans="1:4" x14ac:dyDescent="0.25">
      <c r="A5032" s="279">
        <v>39189</v>
      </c>
      <c r="B5032" s="309" t="s">
        <v>405</v>
      </c>
      <c r="C5032" s="309" t="s">
        <v>408</v>
      </c>
      <c r="D5032">
        <v>1007</v>
      </c>
    </row>
    <row r="5033" spans="1:4" x14ac:dyDescent="0.25">
      <c r="A5033" s="279">
        <v>39189</v>
      </c>
      <c r="B5033" s="309" t="s">
        <v>405</v>
      </c>
      <c r="C5033" s="309" t="s">
        <v>409</v>
      </c>
      <c r="D5033">
        <v>1058</v>
      </c>
    </row>
    <row r="5034" spans="1:4" x14ac:dyDescent="0.25">
      <c r="A5034" s="279">
        <v>39189</v>
      </c>
      <c r="B5034" s="309" t="s">
        <v>405</v>
      </c>
      <c r="C5034" s="309" t="s">
        <v>410</v>
      </c>
      <c r="D5034">
        <v>1034</v>
      </c>
    </row>
    <row r="5035" spans="1:4" x14ac:dyDescent="0.25">
      <c r="A5035" s="279">
        <v>39189</v>
      </c>
      <c r="B5035" s="309" t="s">
        <v>411</v>
      </c>
      <c r="C5035" s="309" t="s">
        <v>406</v>
      </c>
      <c r="D5035">
        <v>179475</v>
      </c>
    </row>
    <row r="5036" spans="1:4" x14ac:dyDescent="0.25">
      <c r="A5036" s="279">
        <v>39189</v>
      </c>
      <c r="B5036" s="309" t="s">
        <v>411</v>
      </c>
      <c r="C5036" s="309" t="s">
        <v>198</v>
      </c>
      <c r="D5036">
        <v>0</v>
      </c>
    </row>
    <row r="5037" spans="1:4" x14ac:dyDescent="0.25">
      <c r="A5037" s="279">
        <v>39189</v>
      </c>
      <c r="B5037" s="309" t="s">
        <v>411</v>
      </c>
      <c r="C5037" s="309" t="s">
        <v>199</v>
      </c>
      <c r="D5037">
        <v>0</v>
      </c>
    </row>
    <row r="5038" spans="1:4" x14ac:dyDescent="0.25">
      <c r="A5038" s="279">
        <v>39189</v>
      </c>
      <c r="B5038" s="309" t="s">
        <v>411</v>
      </c>
      <c r="C5038" s="309" t="s">
        <v>90</v>
      </c>
      <c r="D5038">
        <v>85</v>
      </c>
    </row>
    <row r="5039" spans="1:4" x14ac:dyDescent="0.25">
      <c r="A5039" s="279">
        <v>39189</v>
      </c>
      <c r="B5039" s="309" t="s">
        <v>411</v>
      </c>
      <c r="C5039" s="309" t="s">
        <v>24</v>
      </c>
      <c r="D5039">
        <v>3226</v>
      </c>
    </row>
    <row r="5040" spans="1:4" x14ac:dyDescent="0.25">
      <c r="A5040" s="279">
        <v>39189</v>
      </c>
      <c r="B5040" s="309" t="s">
        <v>411</v>
      </c>
      <c r="C5040" s="309" t="s">
        <v>91</v>
      </c>
      <c r="D5040">
        <v>0</v>
      </c>
    </row>
    <row r="5041" spans="1:4" x14ac:dyDescent="0.25">
      <c r="A5041" s="279">
        <v>39189</v>
      </c>
      <c r="B5041" s="309" t="s">
        <v>411</v>
      </c>
      <c r="C5041" s="309" t="s">
        <v>118</v>
      </c>
      <c r="D5041">
        <v>0</v>
      </c>
    </row>
    <row r="5042" spans="1:4" x14ac:dyDescent="0.25">
      <c r="A5042" s="279">
        <v>39189</v>
      </c>
      <c r="B5042" s="309" t="s">
        <v>411</v>
      </c>
      <c r="C5042" s="309" t="s">
        <v>407</v>
      </c>
      <c r="D5042">
        <v>176164</v>
      </c>
    </row>
    <row r="5043" spans="1:4" x14ac:dyDescent="0.25">
      <c r="A5043" s="279">
        <v>39189</v>
      </c>
      <c r="B5043" s="309" t="s">
        <v>411</v>
      </c>
      <c r="C5043" s="309" t="s">
        <v>412</v>
      </c>
      <c r="D5043">
        <v>1007</v>
      </c>
    </row>
    <row r="5044" spans="1:4" x14ac:dyDescent="0.25">
      <c r="A5044" s="279">
        <v>39189</v>
      </c>
      <c r="B5044" s="309" t="s">
        <v>411</v>
      </c>
      <c r="C5044" s="309" t="s">
        <v>409</v>
      </c>
      <c r="D5044">
        <v>1049</v>
      </c>
    </row>
    <row r="5045" spans="1:4" x14ac:dyDescent="0.25">
      <c r="A5045" s="279">
        <v>39190</v>
      </c>
      <c r="B5045" s="309" t="s">
        <v>405</v>
      </c>
      <c r="C5045" s="309" t="s">
        <v>406</v>
      </c>
      <c r="D5045">
        <v>2444635.1</v>
      </c>
    </row>
    <row r="5046" spans="1:4" x14ac:dyDescent="0.25">
      <c r="A5046" s="279">
        <v>39190</v>
      </c>
      <c r="B5046" s="309" t="s">
        <v>405</v>
      </c>
      <c r="C5046" s="309" t="s">
        <v>89</v>
      </c>
      <c r="D5046">
        <v>13684</v>
      </c>
    </row>
    <row r="5047" spans="1:4" x14ac:dyDescent="0.25">
      <c r="A5047" s="279">
        <v>39190</v>
      </c>
      <c r="B5047" s="309" t="s">
        <v>405</v>
      </c>
      <c r="C5047" s="309" t="s">
        <v>198</v>
      </c>
      <c r="D5047">
        <v>0</v>
      </c>
    </row>
    <row r="5048" spans="1:4" x14ac:dyDescent="0.25">
      <c r="A5048" s="279">
        <v>39190</v>
      </c>
      <c r="B5048" s="309" t="s">
        <v>405</v>
      </c>
      <c r="C5048" s="309" t="s">
        <v>199</v>
      </c>
      <c r="D5048">
        <v>0</v>
      </c>
    </row>
    <row r="5049" spans="1:4" x14ac:dyDescent="0.25">
      <c r="A5049" s="279">
        <v>39190</v>
      </c>
      <c r="B5049" s="309" t="s">
        <v>405</v>
      </c>
      <c r="C5049" s="309" t="s">
        <v>90</v>
      </c>
      <c r="D5049">
        <v>2215</v>
      </c>
    </row>
    <row r="5050" spans="1:4" x14ac:dyDescent="0.25">
      <c r="A5050" s="279">
        <v>39190</v>
      </c>
      <c r="B5050" s="309" t="s">
        <v>405</v>
      </c>
      <c r="C5050" s="309" t="s">
        <v>24</v>
      </c>
      <c r="D5050">
        <v>0</v>
      </c>
    </row>
    <row r="5051" spans="1:4" x14ac:dyDescent="0.25">
      <c r="A5051" s="279">
        <v>39190</v>
      </c>
      <c r="B5051" s="309" t="s">
        <v>405</v>
      </c>
      <c r="C5051" s="309" t="s">
        <v>91</v>
      </c>
      <c r="D5051">
        <v>0</v>
      </c>
    </row>
    <row r="5052" spans="1:4" x14ac:dyDescent="0.25">
      <c r="A5052" s="279">
        <v>39190</v>
      </c>
      <c r="B5052" s="309" t="s">
        <v>405</v>
      </c>
      <c r="C5052" s="309" t="s">
        <v>118</v>
      </c>
      <c r="D5052">
        <v>0</v>
      </c>
    </row>
    <row r="5053" spans="1:4" x14ac:dyDescent="0.25">
      <c r="A5053" s="279">
        <v>39190</v>
      </c>
      <c r="B5053" s="309" t="s">
        <v>405</v>
      </c>
      <c r="C5053" s="309" t="s">
        <v>407</v>
      </c>
      <c r="D5053">
        <v>2456104.1</v>
      </c>
    </row>
    <row r="5054" spans="1:4" x14ac:dyDescent="0.25">
      <c r="A5054" s="279">
        <v>39190</v>
      </c>
      <c r="B5054" s="309" t="s">
        <v>405</v>
      </c>
      <c r="C5054" s="309" t="s">
        <v>408</v>
      </c>
      <c r="D5054">
        <v>1007</v>
      </c>
    </row>
    <row r="5055" spans="1:4" x14ac:dyDescent="0.25">
      <c r="A5055" s="279">
        <v>39190</v>
      </c>
      <c r="B5055" s="309" t="s">
        <v>405</v>
      </c>
      <c r="C5055" s="309" t="s">
        <v>409</v>
      </c>
      <c r="D5055">
        <v>1058</v>
      </c>
    </row>
    <row r="5056" spans="1:4" x14ac:dyDescent="0.25">
      <c r="A5056" s="279">
        <v>39190</v>
      </c>
      <c r="B5056" s="309" t="s">
        <v>405</v>
      </c>
      <c r="C5056" s="309" t="s">
        <v>410</v>
      </c>
      <c r="D5056">
        <v>1030</v>
      </c>
    </row>
    <row r="5057" spans="1:4" x14ac:dyDescent="0.25">
      <c r="A5057" s="279">
        <v>39190</v>
      </c>
      <c r="B5057" s="309" t="s">
        <v>411</v>
      </c>
      <c r="C5057" s="309" t="s">
        <v>406</v>
      </c>
      <c r="D5057">
        <v>176164</v>
      </c>
    </row>
    <row r="5058" spans="1:4" x14ac:dyDescent="0.25">
      <c r="A5058" s="279">
        <v>39190</v>
      </c>
      <c r="B5058" s="309" t="s">
        <v>411</v>
      </c>
      <c r="C5058" s="309" t="s">
        <v>198</v>
      </c>
      <c r="D5058">
        <v>0</v>
      </c>
    </row>
    <row r="5059" spans="1:4" x14ac:dyDescent="0.25">
      <c r="A5059" s="279">
        <v>39190</v>
      </c>
      <c r="B5059" s="309" t="s">
        <v>411</v>
      </c>
      <c r="C5059" s="309" t="s">
        <v>199</v>
      </c>
      <c r="D5059">
        <v>0</v>
      </c>
    </row>
    <row r="5060" spans="1:4" x14ac:dyDescent="0.25">
      <c r="A5060" s="279">
        <v>39190</v>
      </c>
      <c r="B5060" s="309" t="s">
        <v>411</v>
      </c>
      <c r="C5060" s="309" t="s">
        <v>90</v>
      </c>
      <c r="D5060">
        <v>82</v>
      </c>
    </row>
    <row r="5061" spans="1:4" x14ac:dyDescent="0.25">
      <c r="A5061" s="279">
        <v>39190</v>
      </c>
      <c r="B5061" s="309" t="s">
        <v>411</v>
      </c>
      <c r="C5061" s="309" t="s">
        <v>24</v>
      </c>
      <c r="D5061">
        <v>0</v>
      </c>
    </row>
    <row r="5062" spans="1:4" x14ac:dyDescent="0.25">
      <c r="A5062" s="279">
        <v>39190</v>
      </c>
      <c r="B5062" s="309" t="s">
        <v>411</v>
      </c>
      <c r="C5062" s="309" t="s">
        <v>91</v>
      </c>
      <c r="D5062">
        <v>0</v>
      </c>
    </row>
    <row r="5063" spans="1:4" x14ac:dyDescent="0.25">
      <c r="A5063" s="279">
        <v>39190</v>
      </c>
      <c r="B5063" s="309" t="s">
        <v>411</v>
      </c>
      <c r="C5063" s="309" t="s">
        <v>118</v>
      </c>
      <c r="D5063">
        <v>0</v>
      </c>
    </row>
    <row r="5064" spans="1:4" x14ac:dyDescent="0.25">
      <c r="A5064" s="279">
        <v>39190</v>
      </c>
      <c r="B5064" s="309" t="s">
        <v>411</v>
      </c>
      <c r="C5064" s="309" t="s">
        <v>407</v>
      </c>
      <c r="D5064">
        <v>176082</v>
      </c>
    </row>
    <row r="5065" spans="1:4" x14ac:dyDescent="0.25">
      <c r="A5065" s="279">
        <v>39190</v>
      </c>
      <c r="B5065" s="309" t="s">
        <v>411</v>
      </c>
      <c r="C5065" s="309" t="s">
        <v>412</v>
      </c>
      <c r="D5065">
        <v>1007</v>
      </c>
    </row>
    <row r="5066" spans="1:4" x14ac:dyDescent="0.25">
      <c r="A5066" s="279">
        <v>39190</v>
      </c>
      <c r="B5066" s="309" t="s">
        <v>411</v>
      </c>
      <c r="C5066" s="309" t="s">
        <v>409</v>
      </c>
      <c r="D5066">
        <v>1049</v>
      </c>
    </row>
    <row r="5067" spans="1:4" x14ac:dyDescent="0.25">
      <c r="A5067" s="279">
        <v>39191</v>
      </c>
      <c r="B5067" s="309" t="s">
        <v>405</v>
      </c>
      <c r="C5067" s="309" t="s">
        <v>406</v>
      </c>
      <c r="D5067">
        <v>2456104.1</v>
      </c>
    </row>
    <row r="5068" spans="1:4" x14ac:dyDescent="0.25">
      <c r="A5068" s="279">
        <v>39191</v>
      </c>
      <c r="B5068" s="309" t="s">
        <v>405</v>
      </c>
      <c r="C5068" s="309" t="s">
        <v>89</v>
      </c>
      <c r="D5068">
        <v>15934</v>
      </c>
    </row>
    <row r="5069" spans="1:4" x14ac:dyDescent="0.25">
      <c r="A5069" s="279">
        <v>39191</v>
      </c>
      <c r="B5069" s="309" t="s">
        <v>405</v>
      </c>
      <c r="C5069" s="309" t="s">
        <v>198</v>
      </c>
      <c r="D5069">
        <v>0</v>
      </c>
    </row>
    <row r="5070" spans="1:4" x14ac:dyDescent="0.25">
      <c r="A5070" s="279">
        <v>39191</v>
      </c>
      <c r="B5070" s="309" t="s">
        <v>405</v>
      </c>
      <c r="C5070" s="309" t="s">
        <v>199</v>
      </c>
      <c r="D5070">
        <v>0</v>
      </c>
    </row>
    <row r="5071" spans="1:4" x14ac:dyDescent="0.25">
      <c r="A5071" s="279">
        <v>39191</v>
      </c>
      <c r="B5071" s="309" t="s">
        <v>405</v>
      </c>
      <c r="C5071" s="309" t="s">
        <v>90</v>
      </c>
      <c r="D5071">
        <v>2331</v>
      </c>
    </row>
    <row r="5072" spans="1:4" x14ac:dyDescent="0.25">
      <c r="A5072" s="279">
        <v>39191</v>
      </c>
      <c r="B5072" s="309" t="s">
        <v>405</v>
      </c>
      <c r="C5072" s="309" t="s">
        <v>24</v>
      </c>
      <c r="D5072">
        <v>0</v>
      </c>
    </row>
    <row r="5073" spans="1:4" x14ac:dyDescent="0.25">
      <c r="A5073" s="279">
        <v>39191</v>
      </c>
      <c r="B5073" s="309" t="s">
        <v>405</v>
      </c>
      <c r="C5073" s="309" t="s">
        <v>91</v>
      </c>
      <c r="D5073">
        <v>0</v>
      </c>
    </row>
    <row r="5074" spans="1:4" x14ac:dyDescent="0.25">
      <c r="A5074" s="279">
        <v>39191</v>
      </c>
      <c r="B5074" s="309" t="s">
        <v>405</v>
      </c>
      <c r="C5074" s="309" t="s">
        <v>118</v>
      </c>
      <c r="D5074">
        <v>0</v>
      </c>
    </row>
    <row r="5075" spans="1:4" x14ac:dyDescent="0.25">
      <c r="A5075" s="279">
        <v>39191</v>
      </c>
      <c r="B5075" s="309" t="s">
        <v>405</v>
      </c>
      <c r="C5075" s="309" t="s">
        <v>407</v>
      </c>
      <c r="D5075">
        <v>2469707.1</v>
      </c>
    </row>
    <row r="5076" spans="1:4" x14ac:dyDescent="0.25">
      <c r="A5076" s="279">
        <v>39191</v>
      </c>
      <c r="B5076" s="309" t="s">
        <v>405</v>
      </c>
      <c r="C5076" s="309" t="s">
        <v>408</v>
      </c>
      <c r="D5076">
        <v>1007</v>
      </c>
    </row>
    <row r="5077" spans="1:4" x14ac:dyDescent="0.25">
      <c r="A5077" s="279">
        <v>39191</v>
      </c>
      <c r="B5077" s="309" t="s">
        <v>405</v>
      </c>
      <c r="C5077" s="309" t="s">
        <v>409</v>
      </c>
      <c r="D5077">
        <v>1058</v>
      </c>
    </row>
    <row r="5078" spans="1:4" x14ac:dyDescent="0.25">
      <c r="A5078" s="279">
        <v>39191</v>
      </c>
      <c r="B5078" s="309" t="s">
        <v>405</v>
      </c>
      <c r="C5078" s="309" t="s">
        <v>410</v>
      </c>
      <c r="D5078">
        <v>1035</v>
      </c>
    </row>
    <row r="5079" spans="1:4" x14ac:dyDescent="0.25">
      <c r="A5079" s="279">
        <v>39191</v>
      </c>
      <c r="B5079" s="309" t="s">
        <v>411</v>
      </c>
      <c r="C5079" s="309" t="s">
        <v>406</v>
      </c>
      <c r="D5079">
        <v>176082</v>
      </c>
    </row>
    <row r="5080" spans="1:4" x14ac:dyDescent="0.25">
      <c r="A5080" s="279">
        <v>39191</v>
      </c>
      <c r="B5080" s="309" t="s">
        <v>411</v>
      </c>
      <c r="C5080" s="309" t="s">
        <v>198</v>
      </c>
      <c r="D5080">
        <v>0</v>
      </c>
    </row>
    <row r="5081" spans="1:4" x14ac:dyDescent="0.25">
      <c r="A5081" s="279">
        <v>39191</v>
      </c>
      <c r="B5081" s="309" t="s">
        <v>411</v>
      </c>
      <c r="C5081" s="309" t="s">
        <v>199</v>
      </c>
      <c r="D5081">
        <v>0</v>
      </c>
    </row>
    <row r="5082" spans="1:4" x14ac:dyDescent="0.25">
      <c r="A5082" s="279">
        <v>39191</v>
      </c>
      <c r="B5082" s="309" t="s">
        <v>411</v>
      </c>
      <c r="C5082" s="309" t="s">
        <v>90</v>
      </c>
      <c r="D5082">
        <v>85</v>
      </c>
    </row>
    <row r="5083" spans="1:4" x14ac:dyDescent="0.25">
      <c r="A5083" s="279">
        <v>39191</v>
      </c>
      <c r="B5083" s="309" t="s">
        <v>411</v>
      </c>
      <c r="C5083" s="309" t="s">
        <v>24</v>
      </c>
      <c r="D5083">
        <v>0</v>
      </c>
    </row>
    <row r="5084" spans="1:4" x14ac:dyDescent="0.25">
      <c r="A5084" s="279">
        <v>39191</v>
      </c>
      <c r="B5084" s="309" t="s">
        <v>411</v>
      </c>
      <c r="C5084" s="309" t="s">
        <v>91</v>
      </c>
      <c r="D5084">
        <v>0</v>
      </c>
    </row>
    <row r="5085" spans="1:4" x14ac:dyDescent="0.25">
      <c r="A5085" s="279">
        <v>39191</v>
      </c>
      <c r="B5085" s="309" t="s">
        <v>411</v>
      </c>
      <c r="C5085" s="309" t="s">
        <v>118</v>
      </c>
      <c r="D5085">
        <v>0</v>
      </c>
    </row>
    <row r="5086" spans="1:4" x14ac:dyDescent="0.25">
      <c r="A5086" s="279">
        <v>39191</v>
      </c>
      <c r="B5086" s="309" t="s">
        <v>411</v>
      </c>
      <c r="C5086" s="309" t="s">
        <v>407</v>
      </c>
      <c r="D5086">
        <v>175997</v>
      </c>
    </row>
    <row r="5087" spans="1:4" x14ac:dyDescent="0.25">
      <c r="A5087" s="279">
        <v>39191</v>
      </c>
      <c r="B5087" s="309" t="s">
        <v>411</v>
      </c>
      <c r="C5087" s="309" t="s">
        <v>412</v>
      </c>
      <c r="D5087">
        <v>1007</v>
      </c>
    </row>
    <row r="5088" spans="1:4" x14ac:dyDescent="0.25">
      <c r="A5088" s="279">
        <v>39191</v>
      </c>
      <c r="B5088" s="309" t="s">
        <v>411</v>
      </c>
      <c r="C5088" s="309" t="s">
        <v>409</v>
      </c>
      <c r="D5088">
        <v>1049</v>
      </c>
    </row>
    <row r="5089" spans="1:4" x14ac:dyDescent="0.25">
      <c r="A5089" s="279">
        <v>39192</v>
      </c>
      <c r="B5089" s="309" t="s">
        <v>405</v>
      </c>
      <c r="C5089" s="309" t="s">
        <v>406</v>
      </c>
      <c r="D5089">
        <v>2469707.1</v>
      </c>
    </row>
    <row r="5090" spans="1:4" x14ac:dyDescent="0.25">
      <c r="A5090" s="279">
        <v>39192</v>
      </c>
      <c r="B5090" s="309" t="s">
        <v>405</v>
      </c>
      <c r="C5090" s="309" t="s">
        <v>89</v>
      </c>
      <c r="D5090">
        <v>9479</v>
      </c>
    </row>
    <row r="5091" spans="1:4" x14ac:dyDescent="0.25">
      <c r="A5091" s="279">
        <v>39192</v>
      </c>
      <c r="B5091" s="309" t="s">
        <v>405</v>
      </c>
      <c r="C5091" s="309" t="s">
        <v>198</v>
      </c>
      <c r="D5091">
        <v>0</v>
      </c>
    </row>
    <row r="5092" spans="1:4" x14ac:dyDescent="0.25">
      <c r="A5092" s="279">
        <v>39192</v>
      </c>
      <c r="B5092" s="309" t="s">
        <v>405</v>
      </c>
      <c r="C5092" s="309" t="s">
        <v>199</v>
      </c>
      <c r="D5092">
        <v>0</v>
      </c>
    </row>
    <row r="5093" spans="1:4" x14ac:dyDescent="0.25">
      <c r="A5093" s="279">
        <v>39192</v>
      </c>
      <c r="B5093" s="309" t="s">
        <v>405</v>
      </c>
      <c r="C5093" s="309" t="s">
        <v>90</v>
      </c>
      <c r="D5093">
        <v>2011</v>
      </c>
    </row>
    <row r="5094" spans="1:4" x14ac:dyDescent="0.25">
      <c r="A5094" s="279">
        <v>39192</v>
      </c>
      <c r="B5094" s="309" t="s">
        <v>405</v>
      </c>
      <c r="C5094" s="309" t="s">
        <v>24</v>
      </c>
      <c r="D5094">
        <v>0</v>
      </c>
    </row>
    <row r="5095" spans="1:4" x14ac:dyDescent="0.25">
      <c r="A5095" s="279">
        <v>39192</v>
      </c>
      <c r="B5095" s="309" t="s">
        <v>405</v>
      </c>
      <c r="C5095" s="309" t="s">
        <v>91</v>
      </c>
      <c r="D5095">
        <v>0</v>
      </c>
    </row>
    <row r="5096" spans="1:4" x14ac:dyDescent="0.25">
      <c r="A5096" s="279">
        <v>39192</v>
      </c>
      <c r="B5096" s="309" t="s">
        <v>405</v>
      </c>
      <c r="C5096" s="309" t="s">
        <v>118</v>
      </c>
      <c r="D5096">
        <v>0</v>
      </c>
    </row>
    <row r="5097" spans="1:4" x14ac:dyDescent="0.25">
      <c r="A5097" s="279">
        <v>39192</v>
      </c>
      <c r="B5097" s="309" t="s">
        <v>405</v>
      </c>
      <c r="C5097" s="309" t="s">
        <v>407</v>
      </c>
      <c r="D5097">
        <v>2477175.1</v>
      </c>
    </row>
    <row r="5098" spans="1:4" x14ac:dyDescent="0.25">
      <c r="A5098" s="279">
        <v>39192</v>
      </c>
      <c r="B5098" s="309" t="s">
        <v>405</v>
      </c>
      <c r="C5098" s="309" t="s">
        <v>408</v>
      </c>
      <c r="D5098">
        <v>1007</v>
      </c>
    </row>
    <row r="5099" spans="1:4" x14ac:dyDescent="0.25">
      <c r="A5099" s="279">
        <v>39192</v>
      </c>
      <c r="B5099" s="309" t="s">
        <v>405</v>
      </c>
      <c r="C5099" s="309" t="s">
        <v>409</v>
      </c>
      <c r="D5099">
        <v>1058</v>
      </c>
    </row>
    <row r="5100" spans="1:4" x14ac:dyDescent="0.25">
      <c r="A5100" s="279">
        <v>39192</v>
      </c>
      <c r="B5100" s="309" t="s">
        <v>405</v>
      </c>
      <c r="C5100" s="309" t="s">
        <v>410</v>
      </c>
      <c r="D5100">
        <v>1033</v>
      </c>
    </row>
    <row r="5101" spans="1:4" x14ac:dyDescent="0.25">
      <c r="A5101" s="279">
        <v>39192</v>
      </c>
      <c r="B5101" s="309" t="s">
        <v>411</v>
      </c>
      <c r="C5101" s="309" t="s">
        <v>406</v>
      </c>
      <c r="D5101">
        <v>175997</v>
      </c>
    </row>
    <row r="5102" spans="1:4" x14ac:dyDescent="0.25">
      <c r="A5102" s="279">
        <v>39192</v>
      </c>
      <c r="B5102" s="309" t="s">
        <v>411</v>
      </c>
      <c r="C5102" s="309" t="s">
        <v>198</v>
      </c>
      <c r="D5102">
        <v>0</v>
      </c>
    </row>
    <row r="5103" spans="1:4" x14ac:dyDescent="0.25">
      <c r="A5103" s="279">
        <v>39192</v>
      </c>
      <c r="B5103" s="309" t="s">
        <v>411</v>
      </c>
      <c r="C5103" s="309" t="s">
        <v>199</v>
      </c>
      <c r="D5103">
        <v>0</v>
      </c>
    </row>
    <row r="5104" spans="1:4" x14ac:dyDescent="0.25">
      <c r="A5104" s="279">
        <v>39192</v>
      </c>
      <c r="B5104" s="309" t="s">
        <v>411</v>
      </c>
      <c r="C5104" s="309" t="s">
        <v>90</v>
      </c>
      <c r="D5104">
        <v>109</v>
      </c>
    </row>
    <row r="5105" spans="1:4" x14ac:dyDescent="0.25">
      <c r="A5105" s="279">
        <v>39192</v>
      </c>
      <c r="B5105" s="309" t="s">
        <v>411</v>
      </c>
      <c r="C5105" s="309" t="s">
        <v>24</v>
      </c>
      <c r="D5105">
        <v>0</v>
      </c>
    </row>
    <row r="5106" spans="1:4" x14ac:dyDescent="0.25">
      <c r="A5106" s="279">
        <v>39192</v>
      </c>
      <c r="B5106" s="309" t="s">
        <v>411</v>
      </c>
      <c r="C5106" s="309" t="s">
        <v>91</v>
      </c>
      <c r="D5106">
        <v>0</v>
      </c>
    </row>
    <row r="5107" spans="1:4" x14ac:dyDescent="0.25">
      <c r="A5107" s="279">
        <v>39192</v>
      </c>
      <c r="B5107" s="309" t="s">
        <v>411</v>
      </c>
      <c r="C5107" s="309" t="s">
        <v>118</v>
      </c>
      <c r="D5107">
        <v>0</v>
      </c>
    </row>
    <row r="5108" spans="1:4" x14ac:dyDescent="0.25">
      <c r="A5108" s="279">
        <v>39192</v>
      </c>
      <c r="B5108" s="309" t="s">
        <v>411</v>
      </c>
      <c r="C5108" s="309" t="s">
        <v>407</v>
      </c>
      <c r="D5108">
        <v>175888</v>
      </c>
    </row>
    <row r="5109" spans="1:4" x14ac:dyDescent="0.25">
      <c r="A5109" s="279">
        <v>39192</v>
      </c>
      <c r="B5109" s="309" t="s">
        <v>411</v>
      </c>
      <c r="C5109" s="309" t="s">
        <v>412</v>
      </c>
      <c r="D5109">
        <v>1007</v>
      </c>
    </row>
    <row r="5110" spans="1:4" x14ac:dyDescent="0.25">
      <c r="A5110" s="279">
        <v>39192</v>
      </c>
      <c r="B5110" s="309" t="s">
        <v>411</v>
      </c>
      <c r="C5110" s="309" t="s">
        <v>409</v>
      </c>
      <c r="D5110">
        <v>1049</v>
      </c>
    </row>
    <row r="5111" spans="1:4" x14ac:dyDescent="0.25">
      <c r="A5111" s="279">
        <v>39193</v>
      </c>
      <c r="B5111" s="309" t="s">
        <v>405</v>
      </c>
      <c r="C5111" s="309" t="s">
        <v>406</v>
      </c>
      <c r="D5111">
        <v>2477175.1</v>
      </c>
    </row>
    <row r="5112" spans="1:4" x14ac:dyDescent="0.25">
      <c r="A5112" s="279">
        <v>39193</v>
      </c>
      <c r="B5112" s="309" t="s">
        <v>405</v>
      </c>
      <c r="C5112" s="309" t="s">
        <v>89</v>
      </c>
      <c r="D5112">
        <v>6954</v>
      </c>
    </row>
    <row r="5113" spans="1:4" x14ac:dyDescent="0.25">
      <c r="A5113" s="279">
        <v>39193</v>
      </c>
      <c r="B5113" s="309" t="s">
        <v>405</v>
      </c>
      <c r="C5113" s="309" t="s">
        <v>198</v>
      </c>
      <c r="D5113">
        <v>0</v>
      </c>
    </row>
    <row r="5114" spans="1:4" x14ac:dyDescent="0.25">
      <c r="A5114" s="279">
        <v>39193</v>
      </c>
      <c r="B5114" s="309" t="s">
        <v>405</v>
      </c>
      <c r="C5114" s="309" t="s">
        <v>199</v>
      </c>
      <c r="D5114">
        <v>0</v>
      </c>
    </row>
    <row r="5115" spans="1:4" x14ac:dyDescent="0.25">
      <c r="A5115" s="279">
        <v>39193</v>
      </c>
      <c r="B5115" s="309" t="s">
        <v>405</v>
      </c>
      <c r="C5115" s="309" t="s">
        <v>90</v>
      </c>
      <c r="D5115">
        <v>1886</v>
      </c>
    </row>
    <row r="5116" spans="1:4" x14ac:dyDescent="0.25">
      <c r="A5116" s="279">
        <v>39193</v>
      </c>
      <c r="B5116" s="309" t="s">
        <v>405</v>
      </c>
      <c r="C5116" s="309" t="s">
        <v>24</v>
      </c>
      <c r="D5116">
        <v>0</v>
      </c>
    </row>
    <row r="5117" spans="1:4" x14ac:dyDescent="0.25">
      <c r="A5117" s="279">
        <v>39193</v>
      </c>
      <c r="B5117" s="309" t="s">
        <v>405</v>
      </c>
      <c r="C5117" s="309" t="s">
        <v>91</v>
      </c>
      <c r="D5117">
        <v>0</v>
      </c>
    </row>
    <row r="5118" spans="1:4" x14ac:dyDescent="0.25">
      <c r="A5118" s="279">
        <v>39193</v>
      </c>
      <c r="B5118" s="309" t="s">
        <v>405</v>
      </c>
      <c r="C5118" s="309" t="s">
        <v>118</v>
      </c>
      <c r="D5118">
        <v>0</v>
      </c>
    </row>
    <row r="5119" spans="1:4" x14ac:dyDescent="0.25">
      <c r="A5119" s="279">
        <v>39193</v>
      </c>
      <c r="B5119" s="309" t="s">
        <v>405</v>
      </c>
      <c r="C5119" s="309" t="s">
        <v>407</v>
      </c>
      <c r="D5119">
        <v>2482243.1</v>
      </c>
    </row>
    <row r="5120" spans="1:4" x14ac:dyDescent="0.25">
      <c r="A5120" s="279">
        <v>39193</v>
      </c>
      <c r="B5120" s="309" t="s">
        <v>405</v>
      </c>
      <c r="C5120" s="309" t="s">
        <v>408</v>
      </c>
      <c r="D5120">
        <v>1007</v>
      </c>
    </row>
    <row r="5121" spans="1:4" x14ac:dyDescent="0.25">
      <c r="A5121" s="279">
        <v>39193</v>
      </c>
      <c r="B5121" s="309" t="s">
        <v>405</v>
      </c>
      <c r="C5121" s="309" t="s">
        <v>409</v>
      </c>
      <c r="D5121">
        <v>1058</v>
      </c>
    </row>
    <row r="5122" spans="1:4" x14ac:dyDescent="0.25">
      <c r="A5122" s="279">
        <v>39193</v>
      </c>
      <c r="B5122" s="309" t="s">
        <v>405</v>
      </c>
      <c r="C5122" s="309" t="s">
        <v>410</v>
      </c>
      <c r="D5122">
        <v>1032</v>
      </c>
    </row>
    <row r="5123" spans="1:4" x14ac:dyDescent="0.25">
      <c r="A5123" s="279">
        <v>39193</v>
      </c>
      <c r="B5123" s="309" t="s">
        <v>411</v>
      </c>
      <c r="C5123" s="309" t="s">
        <v>406</v>
      </c>
      <c r="D5123">
        <v>175888</v>
      </c>
    </row>
    <row r="5124" spans="1:4" x14ac:dyDescent="0.25">
      <c r="A5124" s="279">
        <v>39193</v>
      </c>
      <c r="B5124" s="309" t="s">
        <v>411</v>
      </c>
      <c r="C5124" s="309" t="s">
        <v>198</v>
      </c>
      <c r="D5124">
        <v>0</v>
      </c>
    </row>
    <row r="5125" spans="1:4" x14ac:dyDescent="0.25">
      <c r="A5125" s="279">
        <v>39193</v>
      </c>
      <c r="B5125" s="309" t="s">
        <v>411</v>
      </c>
      <c r="C5125" s="309" t="s">
        <v>199</v>
      </c>
      <c r="D5125">
        <v>0</v>
      </c>
    </row>
    <row r="5126" spans="1:4" x14ac:dyDescent="0.25">
      <c r="A5126" s="279">
        <v>39193</v>
      </c>
      <c r="B5126" s="309" t="s">
        <v>411</v>
      </c>
      <c r="C5126" s="309" t="s">
        <v>90</v>
      </c>
      <c r="D5126">
        <v>276</v>
      </c>
    </row>
    <row r="5127" spans="1:4" x14ac:dyDescent="0.25">
      <c r="A5127" s="279">
        <v>39193</v>
      </c>
      <c r="B5127" s="309" t="s">
        <v>411</v>
      </c>
      <c r="C5127" s="309" t="s">
        <v>24</v>
      </c>
      <c r="D5127">
        <v>0</v>
      </c>
    </row>
    <row r="5128" spans="1:4" x14ac:dyDescent="0.25">
      <c r="A5128" s="279">
        <v>39193</v>
      </c>
      <c r="B5128" s="309" t="s">
        <v>411</v>
      </c>
      <c r="C5128" s="309" t="s">
        <v>91</v>
      </c>
      <c r="D5128">
        <v>0</v>
      </c>
    </row>
    <row r="5129" spans="1:4" x14ac:dyDescent="0.25">
      <c r="A5129" s="279">
        <v>39193</v>
      </c>
      <c r="B5129" s="309" t="s">
        <v>411</v>
      </c>
      <c r="C5129" s="309" t="s">
        <v>118</v>
      </c>
      <c r="D5129">
        <v>0</v>
      </c>
    </row>
    <row r="5130" spans="1:4" x14ac:dyDescent="0.25">
      <c r="A5130" s="279">
        <v>39193</v>
      </c>
      <c r="B5130" s="309" t="s">
        <v>411</v>
      </c>
      <c r="C5130" s="309" t="s">
        <v>407</v>
      </c>
      <c r="D5130">
        <v>175612</v>
      </c>
    </row>
    <row r="5131" spans="1:4" x14ac:dyDescent="0.25">
      <c r="A5131" s="279">
        <v>39193</v>
      </c>
      <c r="B5131" s="309" t="s">
        <v>411</v>
      </c>
      <c r="C5131" s="309" t="s">
        <v>412</v>
      </c>
      <c r="D5131">
        <v>1007</v>
      </c>
    </row>
    <row r="5132" spans="1:4" x14ac:dyDescent="0.25">
      <c r="A5132" s="279">
        <v>39193</v>
      </c>
      <c r="B5132" s="309" t="s">
        <v>411</v>
      </c>
      <c r="C5132" s="309" t="s">
        <v>409</v>
      </c>
      <c r="D5132">
        <v>1049</v>
      </c>
    </row>
    <row r="5133" spans="1:4" x14ac:dyDescent="0.25">
      <c r="A5133" s="279">
        <v>39194</v>
      </c>
      <c r="B5133" s="309" t="s">
        <v>405</v>
      </c>
      <c r="C5133" s="309" t="s">
        <v>406</v>
      </c>
      <c r="D5133">
        <v>2482243.1</v>
      </c>
    </row>
    <row r="5134" spans="1:4" x14ac:dyDescent="0.25">
      <c r="A5134" s="279">
        <v>39194</v>
      </c>
      <c r="B5134" s="309" t="s">
        <v>405</v>
      </c>
      <c r="C5134" s="309" t="s">
        <v>89</v>
      </c>
      <c r="D5134">
        <v>4708</v>
      </c>
    </row>
    <row r="5135" spans="1:4" x14ac:dyDescent="0.25">
      <c r="A5135" s="279">
        <v>39194</v>
      </c>
      <c r="B5135" s="309" t="s">
        <v>405</v>
      </c>
      <c r="C5135" s="309" t="s">
        <v>198</v>
      </c>
      <c r="D5135">
        <v>0</v>
      </c>
    </row>
    <row r="5136" spans="1:4" x14ac:dyDescent="0.25">
      <c r="A5136" s="279">
        <v>39194</v>
      </c>
      <c r="B5136" s="309" t="s">
        <v>405</v>
      </c>
      <c r="C5136" s="309" t="s">
        <v>199</v>
      </c>
      <c r="D5136">
        <v>0</v>
      </c>
    </row>
    <row r="5137" spans="1:4" x14ac:dyDescent="0.25">
      <c r="A5137" s="279">
        <v>39194</v>
      </c>
      <c r="B5137" s="309" t="s">
        <v>405</v>
      </c>
      <c r="C5137" s="309" t="s">
        <v>90</v>
      </c>
      <c r="D5137">
        <v>1774</v>
      </c>
    </row>
    <row r="5138" spans="1:4" x14ac:dyDescent="0.25">
      <c r="A5138" s="279">
        <v>39194</v>
      </c>
      <c r="B5138" s="309" t="s">
        <v>405</v>
      </c>
      <c r="C5138" s="309" t="s">
        <v>24</v>
      </c>
      <c r="D5138">
        <v>0</v>
      </c>
    </row>
    <row r="5139" spans="1:4" x14ac:dyDescent="0.25">
      <c r="A5139" s="279">
        <v>39194</v>
      </c>
      <c r="B5139" s="309" t="s">
        <v>405</v>
      </c>
      <c r="C5139" s="309" t="s">
        <v>91</v>
      </c>
      <c r="D5139">
        <v>0</v>
      </c>
    </row>
    <row r="5140" spans="1:4" x14ac:dyDescent="0.25">
      <c r="A5140" s="279">
        <v>39194</v>
      </c>
      <c r="B5140" s="309" t="s">
        <v>405</v>
      </c>
      <c r="C5140" s="309" t="s">
        <v>118</v>
      </c>
      <c r="D5140">
        <v>0</v>
      </c>
    </row>
    <row r="5141" spans="1:4" x14ac:dyDescent="0.25">
      <c r="A5141" s="279">
        <v>39194</v>
      </c>
      <c r="B5141" s="309" t="s">
        <v>405</v>
      </c>
      <c r="C5141" s="309" t="s">
        <v>407</v>
      </c>
      <c r="D5141">
        <v>2485177.1</v>
      </c>
    </row>
    <row r="5142" spans="1:4" x14ac:dyDescent="0.25">
      <c r="A5142" s="279">
        <v>39194</v>
      </c>
      <c r="B5142" s="309" t="s">
        <v>405</v>
      </c>
      <c r="C5142" s="309" t="s">
        <v>408</v>
      </c>
      <c r="D5142">
        <v>1007</v>
      </c>
    </row>
    <row r="5143" spans="1:4" x14ac:dyDescent="0.25">
      <c r="A5143" s="279">
        <v>39194</v>
      </c>
      <c r="B5143" s="309" t="s">
        <v>405</v>
      </c>
      <c r="C5143" s="309" t="s">
        <v>409</v>
      </c>
      <c r="D5143">
        <v>1058</v>
      </c>
    </row>
    <row r="5144" spans="1:4" x14ac:dyDescent="0.25">
      <c r="A5144" s="279">
        <v>39194</v>
      </c>
      <c r="B5144" s="309" t="s">
        <v>405</v>
      </c>
      <c r="C5144" s="309" t="s">
        <v>410</v>
      </c>
      <c r="D5144">
        <v>1039</v>
      </c>
    </row>
    <row r="5145" spans="1:4" x14ac:dyDescent="0.25">
      <c r="A5145" s="279">
        <v>39194</v>
      </c>
      <c r="B5145" s="309" t="s">
        <v>411</v>
      </c>
      <c r="C5145" s="309" t="s">
        <v>406</v>
      </c>
      <c r="D5145">
        <v>175612</v>
      </c>
    </row>
    <row r="5146" spans="1:4" x14ac:dyDescent="0.25">
      <c r="A5146" s="279">
        <v>39194</v>
      </c>
      <c r="B5146" s="309" t="s">
        <v>411</v>
      </c>
      <c r="C5146" s="309" t="s">
        <v>198</v>
      </c>
      <c r="D5146">
        <v>0</v>
      </c>
    </row>
    <row r="5147" spans="1:4" x14ac:dyDescent="0.25">
      <c r="A5147" s="279">
        <v>39194</v>
      </c>
      <c r="B5147" s="309" t="s">
        <v>411</v>
      </c>
      <c r="C5147" s="309" t="s">
        <v>199</v>
      </c>
      <c r="D5147">
        <v>0</v>
      </c>
    </row>
    <row r="5148" spans="1:4" x14ac:dyDescent="0.25">
      <c r="A5148" s="279">
        <v>39194</v>
      </c>
      <c r="B5148" s="309" t="s">
        <v>411</v>
      </c>
      <c r="C5148" s="309" t="s">
        <v>90</v>
      </c>
      <c r="D5148">
        <v>276</v>
      </c>
    </row>
    <row r="5149" spans="1:4" x14ac:dyDescent="0.25">
      <c r="A5149" s="279">
        <v>39194</v>
      </c>
      <c r="B5149" s="309" t="s">
        <v>411</v>
      </c>
      <c r="C5149" s="309" t="s">
        <v>24</v>
      </c>
      <c r="D5149">
        <v>0</v>
      </c>
    </row>
    <row r="5150" spans="1:4" x14ac:dyDescent="0.25">
      <c r="A5150" s="279">
        <v>39194</v>
      </c>
      <c r="B5150" s="309" t="s">
        <v>411</v>
      </c>
      <c r="C5150" s="309" t="s">
        <v>91</v>
      </c>
      <c r="D5150">
        <v>0</v>
      </c>
    </row>
    <row r="5151" spans="1:4" x14ac:dyDescent="0.25">
      <c r="A5151" s="279">
        <v>39194</v>
      </c>
      <c r="B5151" s="309" t="s">
        <v>411</v>
      </c>
      <c r="C5151" s="309" t="s">
        <v>118</v>
      </c>
      <c r="D5151">
        <v>0</v>
      </c>
    </row>
    <row r="5152" spans="1:4" x14ac:dyDescent="0.25">
      <c r="A5152" s="279">
        <v>39194</v>
      </c>
      <c r="B5152" s="309" t="s">
        <v>411</v>
      </c>
      <c r="C5152" s="309" t="s">
        <v>407</v>
      </c>
      <c r="D5152">
        <v>175336</v>
      </c>
    </row>
    <row r="5153" spans="1:4" x14ac:dyDescent="0.25">
      <c r="A5153" s="279">
        <v>39194</v>
      </c>
      <c r="B5153" s="309" t="s">
        <v>411</v>
      </c>
      <c r="C5153" s="309" t="s">
        <v>412</v>
      </c>
      <c r="D5153">
        <v>1007</v>
      </c>
    </row>
    <row r="5154" spans="1:4" x14ac:dyDescent="0.25">
      <c r="A5154" s="279">
        <v>39194</v>
      </c>
      <c r="B5154" s="309" t="s">
        <v>411</v>
      </c>
      <c r="C5154" s="309" t="s">
        <v>409</v>
      </c>
      <c r="D5154">
        <v>1049</v>
      </c>
    </row>
    <row r="5155" spans="1:4" x14ac:dyDescent="0.25">
      <c r="A5155" s="279">
        <v>39195</v>
      </c>
      <c r="B5155" s="309" t="s">
        <v>405</v>
      </c>
      <c r="C5155" s="309" t="s">
        <v>406</v>
      </c>
      <c r="D5155">
        <v>2485177.1</v>
      </c>
    </row>
    <row r="5156" spans="1:4" x14ac:dyDescent="0.25">
      <c r="A5156" s="279">
        <v>39195</v>
      </c>
      <c r="B5156" s="309" t="s">
        <v>405</v>
      </c>
      <c r="C5156" s="309" t="s">
        <v>89</v>
      </c>
      <c r="D5156">
        <v>3586</v>
      </c>
    </row>
    <row r="5157" spans="1:4" x14ac:dyDescent="0.25">
      <c r="A5157" s="279">
        <v>39195</v>
      </c>
      <c r="B5157" s="309" t="s">
        <v>405</v>
      </c>
      <c r="C5157" s="309" t="s">
        <v>198</v>
      </c>
      <c r="D5157">
        <v>0</v>
      </c>
    </row>
    <row r="5158" spans="1:4" x14ac:dyDescent="0.25">
      <c r="A5158" s="279">
        <v>39195</v>
      </c>
      <c r="B5158" s="309" t="s">
        <v>405</v>
      </c>
      <c r="C5158" s="309" t="s">
        <v>199</v>
      </c>
      <c r="D5158">
        <v>0</v>
      </c>
    </row>
    <row r="5159" spans="1:4" x14ac:dyDescent="0.25">
      <c r="A5159" s="279">
        <v>39195</v>
      </c>
      <c r="B5159" s="309" t="s">
        <v>405</v>
      </c>
      <c r="C5159" s="309" t="s">
        <v>90</v>
      </c>
      <c r="D5159">
        <v>1718</v>
      </c>
    </row>
    <row r="5160" spans="1:4" x14ac:dyDescent="0.25">
      <c r="A5160" s="279">
        <v>39195</v>
      </c>
      <c r="B5160" s="309" t="s">
        <v>405</v>
      </c>
      <c r="C5160" s="309" t="s">
        <v>24</v>
      </c>
      <c r="D5160">
        <v>0</v>
      </c>
    </row>
    <row r="5161" spans="1:4" x14ac:dyDescent="0.25">
      <c r="A5161" s="279">
        <v>39195</v>
      </c>
      <c r="B5161" s="309" t="s">
        <v>405</v>
      </c>
      <c r="C5161" s="309" t="s">
        <v>91</v>
      </c>
      <c r="D5161">
        <v>0</v>
      </c>
    </row>
    <row r="5162" spans="1:4" x14ac:dyDescent="0.25">
      <c r="A5162" s="279">
        <v>39195</v>
      </c>
      <c r="B5162" s="309" t="s">
        <v>405</v>
      </c>
      <c r="C5162" s="309" t="s">
        <v>118</v>
      </c>
      <c r="D5162">
        <v>0</v>
      </c>
    </row>
    <row r="5163" spans="1:4" x14ac:dyDescent="0.25">
      <c r="A5163" s="279">
        <v>39195</v>
      </c>
      <c r="B5163" s="309" t="s">
        <v>405</v>
      </c>
      <c r="C5163" s="309" t="s">
        <v>407</v>
      </c>
      <c r="D5163">
        <v>2487045.1</v>
      </c>
    </row>
    <row r="5164" spans="1:4" x14ac:dyDescent="0.25">
      <c r="A5164" s="279">
        <v>39195</v>
      </c>
      <c r="B5164" s="309" t="s">
        <v>405</v>
      </c>
      <c r="C5164" s="309" t="s">
        <v>408</v>
      </c>
      <c r="D5164">
        <v>1007</v>
      </c>
    </row>
    <row r="5165" spans="1:4" x14ac:dyDescent="0.25">
      <c r="A5165" s="279">
        <v>39195</v>
      </c>
      <c r="B5165" s="309" t="s">
        <v>405</v>
      </c>
      <c r="C5165" s="309" t="s">
        <v>409</v>
      </c>
      <c r="D5165">
        <v>1058</v>
      </c>
    </row>
    <row r="5166" spans="1:4" x14ac:dyDescent="0.25">
      <c r="A5166" s="279">
        <v>39195</v>
      </c>
      <c r="B5166" s="309" t="s">
        <v>405</v>
      </c>
      <c r="C5166" s="309" t="s">
        <v>410</v>
      </c>
      <c r="D5166">
        <v>1039</v>
      </c>
    </row>
    <row r="5167" spans="1:4" x14ac:dyDescent="0.25">
      <c r="A5167" s="279">
        <v>39195</v>
      </c>
      <c r="B5167" s="309" t="s">
        <v>411</v>
      </c>
      <c r="C5167" s="309" t="s">
        <v>406</v>
      </c>
      <c r="D5167">
        <v>175336</v>
      </c>
    </row>
    <row r="5168" spans="1:4" x14ac:dyDescent="0.25">
      <c r="A5168" s="279">
        <v>39195</v>
      </c>
      <c r="B5168" s="309" t="s">
        <v>411</v>
      </c>
      <c r="C5168" s="309" t="s">
        <v>198</v>
      </c>
      <c r="D5168">
        <v>0</v>
      </c>
    </row>
    <row r="5169" spans="1:4" x14ac:dyDescent="0.25">
      <c r="A5169" s="279">
        <v>39195</v>
      </c>
      <c r="B5169" s="309" t="s">
        <v>411</v>
      </c>
      <c r="C5169" s="309" t="s">
        <v>199</v>
      </c>
      <c r="D5169">
        <v>0</v>
      </c>
    </row>
    <row r="5170" spans="1:4" x14ac:dyDescent="0.25">
      <c r="A5170" s="279">
        <v>39195</v>
      </c>
      <c r="B5170" s="309" t="s">
        <v>411</v>
      </c>
      <c r="C5170" s="309" t="s">
        <v>90</v>
      </c>
      <c r="D5170">
        <v>81</v>
      </c>
    </row>
    <row r="5171" spans="1:4" x14ac:dyDescent="0.25">
      <c r="A5171" s="279">
        <v>39195</v>
      </c>
      <c r="B5171" s="309" t="s">
        <v>411</v>
      </c>
      <c r="C5171" s="309" t="s">
        <v>24</v>
      </c>
      <c r="D5171">
        <v>0</v>
      </c>
    </row>
    <row r="5172" spans="1:4" x14ac:dyDescent="0.25">
      <c r="A5172" s="279">
        <v>39195</v>
      </c>
      <c r="B5172" s="309" t="s">
        <v>411</v>
      </c>
      <c r="C5172" s="309" t="s">
        <v>91</v>
      </c>
      <c r="D5172">
        <v>0</v>
      </c>
    </row>
    <row r="5173" spans="1:4" x14ac:dyDescent="0.25">
      <c r="A5173" s="279">
        <v>39195</v>
      </c>
      <c r="B5173" s="309" t="s">
        <v>411</v>
      </c>
      <c r="C5173" s="309" t="s">
        <v>118</v>
      </c>
      <c r="D5173">
        <v>0</v>
      </c>
    </row>
    <row r="5174" spans="1:4" x14ac:dyDescent="0.25">
      <c r="A5174" s="279">
        <v>39195</v>
      </c>
      <c r="B5174" s="309" t="s">
        <v>411</v>
      </c>
      <c r="C5174" s="309" t="s">
        <v>407</v>
      </c>
      <c r="D5174">
        <v>175255</v>
      </c>
    </row>
    <row r="5175" spans="1:4" x14ac:dyDescent="0.25">
      <c r="A5175" s="279">
        <v>39195</v>
      </c>
      <c r="B5175" s="309" t="s">
        <v>411</v>
      </c>
      <c r="C5175" s="309" t="s">
        <v>412</v>
      </c>
      <c r="D5175">
        <v>1007</v>
      </c>
    </row>
    <row r="5176" spans="1:4" x14ac:dyDescent="0.25">
      <c r="A5176" s="279">
        <v>39195</v>
      </c>
      <c r="B5176" s="309" t="s">
        <v>411</v>
      </c>
      <c r="C5176" s="309" t="s">
        <v>409</v>
      </c>
      <c r="D5176">
        <v>1049</v>
      </c>
    </row>
    <row r="5177" spans="1:4" x14ac:dyDescent="0.25">
      <c r="A5177" s="279">
        <v>39196</v>
      </c>
      <c r="B5177" s="309" t="s">
        <v>405</v>
      </c>
      <c r="C5177" s="309" t="s">
        <v>406</v>
      </c>
      <c r="D5177">
        <v>2487045.1</v>
      </c>
    </row>
    <row r="5178" spans="1:4" x14ac:dyDescent="0.25">
      <c r="A5178" s="279">
        <v>39196</v>
      </c>
      <c r="B5178" s="309" t="s">
        <v>405</v>
      </c>
      <c r="C5178" s="309" t="s">
        <v>89</v>
      </c>
      <c r="D5178">
        <v>5271</v>
      </c>
    </row>
    <row r="5179" spans="1:4" x14ac:dyDescent="0.25">
      <c r="A5179" s="279">
        <v>39196</v>
      </c>
      <c r="B5179" s="309" t="s">
        <v>405</v>
      </c>
      <c r="C5179" s="309" t="s">
        <v>198</v>
      </c>
      <c r="D5179">
        <v>0</v>
      </c>
    </row>
    <row r="5180" spans="1:4" x14ac:dyDescent="0.25">
      <c r="A5180" s="279">
        <v>39196</v>
      </c>
      <c r="B5180" s="309" t="s">
        <v>405</v>
      </c>
      <c r="C5180" s="309" t="s">
        <v>199</v>
      </c>
      <c r="D5180">
        <v>0</v>
      </c>
    </row>
    <row r="5181" spans="1:4" x14ac:dyDescent="0.25">
      <c r="A5181" s="279">
        <v>39196</v>
      </c>
      <c r="B5181" s="309" t="s">
        <v>405</v>
      </c>
      <c r="C5181" s="309" t="s">
        <v>90</v>
      </c>
      <c r="D5181">
        <v>1804</v>
      </c>
    </row>
    <row r="5182" spans="1:4" x14ac:dyDescent="0.25">
      <c r="A5182" s="279">
        <v>39196</v>
      </c>
      <c r="B5182" s="309" t="s">
        <v>405</v>
      </c>
      <c r="C5182" s="309" t="s">
        <v>24</v>
      </c>
      <c r="D5182">
        <v>0</v>
      </c>
    </row>
    <row r="5183" spans="1:4" x14ac:dyDescent="0.25">
      <c r="A5183" s="279">
        <v>39196</v>
      </c>
      <c r="B5183" s="309" t="s">
        <v>405</v>
      </c>
      <c r="C5183" s="309" t="s">
        <v>91</v>
      </c>
      <c r="D5183">
        <v>0</v>
      </c>
    </row>
    <row r="5184" spans="1:4" x14ac:dyDescent="0.25">
      <c r="A5184" s="279">
        <v>39196</v>
      </c>
      <c r="B5184" s="309" t="s">
        <v>405</v>
      </c>
      <c r="C5184" s="309" t="s">
        <v>118</v>
      </c>
      <c r="D5184">
        <v>0</v>
      </c>
    </row>
    <row r="5185" spans="1:4" x14ac:dyDescent="0.25">
      <c r="A5185" s="279">
        <v>39196</v>
      </c>
      <c r="B5185" s="309" t="s">
        <v>405</v>
      </c>
      <c r="C5185" s="309" t="s">
        <v>407</v>
      </c>
      <c r="D5185">
        <v>2490512.1</v>
      </c>
    </row>
    <row r="5186" spans="1:4" x14ac:dyDescent="0.25">
      <c r="A5186" s="279">
        <v>39196</v>
      </c>
      <c r="B5186" s="309" t="s">
        <v>405</v>
      </c>
      <c r="C5186" s="309" t="s">
        <v>408</v>
      </c>
      <c r="D5186">
        <v>1007</v>
      </c>
    </row>
    <row r="5187" spans="1:4" x14ac:dyDescent="0.25">
      <c r="A5187" s="279">
        <v>39196</v>
      </c>
      <c r="B5187" s="309" t="s">
        <v>405</v>
      </c>
      <c r="C5187" s="309" t="s">
        <v>409</v>
      </c>
      <c r="D5187">
        <v>1058</v>
      </c>
    </row>
    <row r="5188" spans="1:4" x14ac:dyDescent="0.25">
      <c r="A5188" s="279">
        <v>39196</v>
      </c>
      <c r="B5188" s="309" t="s">
        <v>405</v>
      </c>
      <c r="C5188" s="309" t="s">
        <v>410</v>
      </c>
      <c r="D5188">
        <v>1034</v>
      </c>
    </row>
    <row r="5189" spans="1:4" x14ac:dyDescent="0.25">
      <c r="A5189" s="279">
        <v>39196</v>
      </c>
      <c r="B5189" s="309" t="s">
        <v>411</v>
      </c>
      <c r="C5189" s="309" t="s">
        <v>406</v>
      </c>
      <c r="D5189">
        <v>175255</v>
      </c>
    </row>
    <row r="5190" spans="1:4" x14ac:dyDescent="0.25">
      <c r="A5190" s="279">
        <v>39196</v>
      </c>
      <c r="B5190" s="309" t="s">
        <v>411</v>
      </c>
      <c r="C5190" s="309" t="s">
        <v>198</v>
      </c>
      <c r="D5190">
        <v>0</v>
      </c>
    </row>
    <row r="5191" spans="1:4" x14ac:dyDescent="0.25">
      <c r="A5191" s="279">
        <v>39196</v>
      </c>
      <c r="B5191" s="309" t="s">
        <v>411</v>
      </c>
      <c r="C5191" s="309" t="s">
        <v>199</v>
      </c>
      <c r="D5191">
        <v>0</v>
      </c>
    </row>
    <row r="5192" spans="1:4" x14ac:dyDescent="0.25">
      <c r="A5192" s="279">
        <v>39196</v>
      </c>
      <c r="B5192" s="309" t="s">
        <v>411</v>
      </c>
      <c r="C5192" s="309" t="s">
        <v>90</v>
      </c>
      <c r="D5192">
        <v>195</v>
      </c>
    </row>
    <row r="5193" spans="1:4" x14ac:dyDescent="0.25">
      <c r="A5193" s="279">
        <v>39196</v>
      </c>
      <c r="B5193" s="309" t="s">
        <v>411</v>
      </c>
      <c r="C5193" s="309" t="s">
        <v>24</v>
      </c>
      <c r="D5193">
        <v>0</v>
      </c>
    </row>
    <row r="5194" spans="1:4" x14ac:dyDescent="0.25">
      <c r="A5194" s="279">
        <v>39196</v>
      </c>
      <c r="B5194" s="309" t="s">
        <v>411</v>
      </c>
      <c r="C5194" s="309" t="s">
        <v>91</v>
      </c>
      <c r="D5194">
        <v>0</v>
      </c>
    </row>
    <row r="5195" spans="1:4" x14ac:dyDescent="0.25">
      <c r="A5195" s="279">
        <v>39196</v>
      </c>
      <c r="B5195" s="309" t="s">
        <v>411</v>
      </c>
      <c r="C5195" s="309" t="s">
        <v>118</v>
      </c>
      <c r="D5195">
        <v>0</v>
      </c>
    </row>
    <row r="5196" spans="1:4" x14ac:dyDescent="0.25">
      <c r="A5196" s="279">
        <v>39196</v>
      </c>
      <c r="B5196" s="309" t="s">
        <v>411</v>
      </c>
      <c r="C5196" s="309" t="s">
        <v>407</v>
      </c>
      <c r="D5196">
        <v>175060</v>
      </c>
    </row>
    <row r="5197" spans="1:4" x14ac:dyDescent="0.25">
      <c r="A5197" s="279">
        <v>39196</v>
      </c>
      <c r="B5197" s="309" t="s">
        <v>411</v>
      </c>
      <c r="C5197" s="309" t="s">
        <v>412</v>
      </c>
      <c r="D5197">
        <v>1007</v>
      </c>
    </row>
    <row r="5198" spans="1:4" x14ac:dyDescent="0.25">
      <c r="A5198" s="279">
        <v>39196</v>
      </c>
      <c r="B5198" s="309" t="s">
        <v>411</v>
      </c>
      <c r="C5198" s="309" t="s">
        <v>409</v>
      </c>
      <c r="D5198">
        <v>1049</v>
      </c>
    </row>
    <row r="5199" spans="1:4" x14ac:dyDescent="0.25">
      <c r="A5199" s="279">
        <v>39197</v>
      </c>
      <c r="B5199" s="309" t="s">
        <v>405</v>
      </c>
      <c r="C5199" s="309" t="s">
        <v>406</v>
      </c>
      <c r="D5199">
        <v>2490512.1</v>
      </c>
    </row>
    <row r="5200" spans="1:4" x14ac:dyDescent="0.25">
      <c r="A5200" s="279">
        <v>39197</v>
      </c>
      <c r="B5200" s="309" t="s">
        <v>405</v>
      </c>
      <c r="C5200" s="309" t="s">
        <v>89</v>
      </c>
      <c r="D5200">
        <v>8362</v>
      </c>
    </row>
    <row r="5201" spans="1:4" x14ac:dyDescent="0.25">
      <c r="A5201" s="279">
        <v>39197</v>
      </c>
      <c r="B5201" s="309" t="s">
        <v>405</v>
      </c>
      <c r="C5201" s="309" t="s">
        <v>198</v>
      </c>
      <c r="D5201">
        <v>0</v>
      </c>
    </row>
    <row r="5202" spans="1:4" x14ac:dyDescent="0.25">
      <c r="A5202" s="279">
        <v>39197</v>
      </c>
      <c r="B5202" s="309" t="s">
        <v>405</v>
      </c>
      <c r="C5202" s="309" t="s">
        <v>199</v>
      </c>
      <c r="D5202">
        <v>0</v>
      </c>
    </row>
    <row r="5203" spans="1:4" x14ac:dyDescent="0.25">
      <c r="A5203" s="279">
        <v>39197</v>
      </c>
      <c r="B5203" s="309" t="s">
        <v>405</v>
      </c>
      <c r="C5203" s="309" t="s">
        <v>90</v>
      </c>
      <c r="D5203">
        <v>1960</v>
      </c>
    </row>
    <row r="5204" spans="1:4" x14ac:dyDescent="0.25">
      <c r="A5204" s="279">
        <v>39197</v>
      </c>
      <c r="B5204" s="309" t="s">
        <v>405</v>
      </c>
      <c r="C5204" s="309" t="s">
        <v>24</v>
      </c>
      <c r="D5204">
        <v>0</v>
      </c>
    </row>
    <row r="5205" spans="1:4" x14ac:dyDescent="0.25">
      <c r="A5205" s="279">
        <v>39197</v>
      </c>
      <c r="B5205" s="309" t="s">
        <v>405</v>
      </c>
      <c r="C5205" s="309" t="s">
        <v>91</v>
      </c>
      <c r="D5205">
        <v>0</v>
      </c>
    </row>
    <row r="5206" spans="1:4" x14ac:dyDescent="0.25">
      <c r="A5206" s="279">
        <v>39197</v>
      </c>
      <c r="B5206" s="309" t="s">
        <v>405</v>
      </c>
      <c r="C5206" s="309" t="s">
        <v>118</v>
      </c>
      <c r="D5206">
        <v>0</v>
      </c>
    </row>
    <row r="5207" spans="1:4" x14ac:dyDescent="0.25">
      <c r="A5207" s="279">
        <v>39197</v>
      </c>
      <c r="B5207" s="309" t="s">
        <v>405</v>
      </c>
      <c r="C5207" s="309" t="s">
        <v>407</v>
      </c>
      <c r="D5207">
        <v>2496914.1</v>
      </c>
    </row>
    <row r="5208" spans="1:4" x14ac:dyDescent="0.25">
      <c r="A5208" s="279">
        <v>39197</v>
      </c>
      <c r="B5208" s="309" t="s">
        <v>405</v>
      </c>
      <c r="C5208" s="309" t="s">
        <v>408</v>
      </c>
      <c r="D5208">
        <v>1007</v>
      </c>
    </row>
    <row r="5209" spans="1:4" x14ac:dyDescent="0.25">
      <c r="A5209" s="279">
        <v>39197</v>
      </c>
      <c r="B5209" s="309" t="s">
        <v>405</v>
      </c>
      <c r="C5209" s="309" t="s">
        <v>409</v>
      </c>
      <c r="D5209">
        <v>1058</v>
      </c>
    </row>
    <row r="5210" spans="1:4" x14ac:dyDescent="0.25">
      <c r="A5210" s="279">
        <v>39197</v>
      </c>
      <c r="B5210" s="309" t="s">
        <v>405</v>
      </c>
      <c r="C5210" s="309" t="s">
        <v>410</v>
      </c>
      <c r="D5210">
        <v>1034</v>
      </c>
    </row>
    <row r="5211" spans="1:4" x14ac:dyDescent="0.25">
      <c r="A5211" s="279">
        <v>39197</v>
      </c>
      <c r="B5211" s="309" t="s">
        <v>411</v>
      </c>
      <c r="C5211" s="309" t="s">
        <v>406</v>
      </c>
      <c r="D5211">
        <v>175060</v>
      </c>
    </row>
    <row r="5212" spans="1:4" x14ac:dyDescent="0.25">
      <c r="A5212" s="279">
        <v>39197</v>
      </c>
      <c r="B5212" s="309" t="s">
        <v>411</v>
      </c>
      <c r="C5212" s="309" t="s">
        <v>198</v>
      </c>
      <c r="D5212">
        <v>0</v>
      </c>
    </row>
    <row r="5213" spans="1:4" x14ac:dyDescent="0.25">
      <c r="A5213" s="279">
        <v>39197</v>
      </c>
      <c r="B5213" s="309" t="s">
        <v>411</v>
      </c>
      <c r="C5213" s="309" t="s">
        <v>199</v>
      </c>
      <c r="D5213">
        <v>0</v>
      </c>
    </row>
    <row r="5214" spans="1:4" x14ac:dyDescent="0.25">
      <c r="A5214" s="279">
        <v>39197</v>
      </c>
      <c r="B5214" s="309" t="s">
        <v>411</v>
      </c>
      <c r="C5214" s="309" t="s">
        <v>90</v>
      </c>
      <c r="D5214">
        <v>0</v>
      </c>
    </row>
    <row r="5215" spans="1:4" x14ac:dyDescent="0.25">
      <c r="A5215" s="279">
        <v>39197</v>
      </c>
      <c r="B5215" s="309" t="s">
        <v>411</v>
      </c>
      <c r="C5215" s="309" t="s">
        <v>24</v>
      </c>
      <c r="D5215">
        <v>0</v>
      </c>
    </row>
    <row r="5216" spans="1:4" x14ac:dyDescent="0.25">
      <c r="A5216" s="279">
        <v>39197</v>
      </c>
      <c r="B5216" s="309" t="s">
        <v>411</v>
      </c>
      <c r="C5216" s="309" t="s">
        <v>91</v>
      </c>
      <c r="D5216">
        <v>0</v>
      </c>
    </row>
    <row r="5217" spans="1:4" x14ac:dyDescent="0.25">
      <c r="A5217" s="279">
        <v>39197</v>
      </c>
      <c r="B5217" s="309" t="s">
        <v>411</v>
      </c>
      <c r="C5217" s="309" t="s">
        <v>118</v>
      </c>
      <c r="D5217">
        <v>0</v>
      </c>
    </row>
    <row r="5218" spans="1:4" x14ac:dyDescent="0.25">
      <c r="A5218" s="279">
        <v>39197</v>
      </c>
      <c r="B5218" s="309" t="s">
        <v>411</v>
      </c>
      <c r="C5218" s="309" t="s">
        <v>407</v>
      </c>
      <c r="D5218">
        <v>175060</v>
      </c>
    </row>
    <row r="5219" spans="1:4" x14ac:dyDescent="0.25">
      <c r="A5219" s="279">
        <v>39197</v>
      </c>
      <c r="B5219" s="309" t="s">
        <v>411</v>
      </c>
      <c r="C5219" s="309" t="s">
        <v>412</v>
      </c>
      <c r="D5219">
        <v>1007</v>
      </c>
    </row>
    <row r="5220" spans="1:4" x14ac:dyDescent="0.25">
      <c r="A5220" s="279">
        <v>39197</v>
      </c>
      <c r="B5220" s="309" t="s">
        <v>411</v>
      </c>
      <c r="C5220" s="309" t="s">
        <v>409</v>
      </c>
      <c r="D5220">
        <v>1049</v>
      </c>
    </row>
    <row r="5221" spans="1:4" x14ac:dyDescent="0.25">
      <c r="A5221" s="279">
        <v>39198</v>
      </c>
      <c r="B5221" s="309" t="s">
        <v>405</v>
      </c>
      <c r="C5221" s="309" t="s">
        <v>406</v>
      </c>
      <c r="D5221">
        <v>2496914.1</v>
      </c>
    </row>
    <row r="5222" spans="1:4" x14ac:dyDescent="0.25">
      <c r="A5222" s="279">
        <v>39198</v>
      </c>
      <c r="B5222" s="309" t="s">
        <v>405</v>
      </c>
      <c r="C5222" s="309" t="s">
        <v>89</v>
      </c>
      <c r="D5222">
        <v>10611</v>
      </c>
    </row>
    <row r="5223" spans="1:4" x14ac:dyDescent="0.25">
      <c r="A5223" s="279">
        <v>39198</v>
      </c>
      <c r="B5223" s="309" t="s">
        <v>405</v>
      </c>
      <c r="C5223" s="309" t="s">
        <v>198</v>
      </c>
      <c r="D5223">
        <v>0</v>
      </c>
    </row>
    <row r="5224" spans="1:4" x14ac:dyDescent="0.25">
      <c r="A5224" s="279">
        <v>39198</v>
      </c>
      <c r="B5224" s="309" t="s">
        <v>405</v>
      </c>
      <c r="C5224" s="309" t="s">
        <v>199</v>
      </c>
      <c r="D5224">
        <v>0</v>
      </c>
    </row>
    <row r="5225" spans="1:4" x14ac:dyDescent="0.25">
      <c r="A5225" s="279">
        <v>39198</v>
      </c>
      <c r="B5225" s="309" t="s">
        <v>405</v>
      </c>
      <c r="C5225" s="309" t="s">
        <v>90</v>
      </c>
      <c r="D5225">
        <v>2076</v>
      </c>
    </row>
    <row r="5226" spans="1:4" x14ac:dyDescent="0.25">
      <c r="A5226" s="279">
        <v>39198</v>
      </c>
      <c r="B5226" s="309" t="s">
        <v>405</v>
      </c>
      <c r="C5226" s="309" t="s">
        <v>24</v>
      </c>
      <c r="D5226">
        <v>0</v>
      </c>
    </row>
    <row r="5227" spans="1:4" x14ac:dyDescent="0.25">
      <c r="A5227" s="279">
        <v>39198</v>
      </c>
      <c r="B5227" s="309" t="s">
        <v>405</v>
      </c>
      <c r="C5227" s="309" t="s">
        <v>91</v>
      </c>
      <c r="D5227">
        <v>0</v>
      </c>
    </row>
    <row r="5228" spans="1:4" x14ac:dyDescent="0.25">
      <c r="A5228" s="279">
        <v>39198</v>
      </c>
      <c r="B5228" s="309" t="s">
        <v>405</v>
      </c>
      <c r="C5228" s="309" t="s">
        <v>118</v>
      </c>
      <c r="D5228">
        <v>0</v>
      </c>
    </row>
    <row r="5229" spans="1:4" x14ac:dyDescent="0.25">
      <c r="A5229" s="279">
        <v>39198</v>
      </c>
      <c r="B5229" s="309" t="s">
        <v>405</v>
      </c>
      <c r="C5229" s="309" t="s">
        <v>407</v>
      </c>
      <c r="D5229">
        <v>2505449.1</v>
      </c>
    </row>
    <row r="5230" spans="1:4" x14ac:dyDescent="0.25">
      <c r="A5230" s="279">
        <v>39198</v>
      </c>
      <c r="B5230" s="309" t="s">
        <v>405</v>
      </c>
      <c r="C5230" s="309" t="s">
        <v>408</v>
      </c>
      <c r="D5230">
        <v>1007</v>
      </c>
    </row>
    <row r="5231" spans="1:4" x14ac:dyDescent="0.25">
      <c r="A5231" s="279">
        <v>39198</v>
      </c>
      <c r="B5231" s="309" t="s">
        <v>405</v>
      </c>
      <c r="C5231" s="309" t="s">
        <v>409</v>
      </c>
      <c r="D5231">
        <v>1058</v>
      </c>
    </row>
    <row r="5232" spans="1:4" x14ac:dyDescent="0.25">
      <c r="A5232" s="279">
        <v>39198</v>
      </c>
      <c r="B5232" s="309" t="s">
        <v>405</v>
      </c>
      <c r="C5232" s="309" t="s">
        <v>410</v>
      </c>
      <c r="D5232">
        <v>1034</v>
      </c>
    </row>
    <row r="5233" spans="1:4" x14ac:dyDescent="0.25">
      <c r="A5233" s="279">
        <v>39198</v>
      </c>
      <c r="B5233" s="309" t="s">
        <v>411</v>
      </c>
      <c r="C5233" s="309" t="s">
        <v>406</v>
      </c>
      <c r="D5233">
        <v>175060</v>
      </c>
    </row>
    <row r="5234" spans="1:4" x14ac:dyDescent="0.25">
      <c r="A5234" s="279">
        <v>39198</v>
      </c>
      <c r="B5234" s="309" t="s">
        <v>411</v>
      </c>
      <c r="C5234" s="309" t="s">
        <v>198</v>
      </c>
      <c r="D5234">
        <v>0</v>
      </c>
    </row>
    <row r="5235" spans="1:4" x14ac:dyDescent="0.25">
      <c r="A5235" s="279">
        <v>39198</v>
      </c>
      <c r="B5235" s="309" t="s">
        <v>411</v>
      </c>
      <c r="C5235" s="309" t="s">
        <v>199</v>
      </c>
      <c r="D5235">
        <v>0</v>
      </c>
    </row>
    <row r="5236" spans="1:4" x14ac:dyDescent="0.25">
      <c r="A5236" s="279">
        <v>39198</v>
      </c>
      <c r="B5236" s="309" t="s">
        <v>411</v>
      </c>
      <c r="C5236" s="309" t="s">
        <v>90</v>
      </c>
      <c r="D5236">
        <v>0</v>
      </c>
    </row>
    <row r="5237" spans="1:4" x14ac:dyDescent="0.25">
      <c r="A5237" s="279">
        <v>39198</v>
      </c>
      <c r="B5237" s="309" t="s">
        <v>411</v>
      </c>
      <c r="C5237" s="309" t="s">
        <v>24</v>
      </c>
      <c r="D5237">
        <v>0</v>
      </c>
    </row>
    <row r="5238" spans="1:4" x14ac:dyDescent="0.25">
      <c r="A5238" s="279">
        <v>39198</v>
      </c>
      <c r="B5238" s="309" t="s">
        <v>411</v>
      </c>
      <c r="C5238" s="309" t="s">
        <v>91</v>
      </c>
      <c r="D5238">
        <v>0</v>
      </c>
    </row>
    <row r="5239" spans="1:4" x14ac:dyDescent="0.25">
      <c r="A5239" s="279">
        <v>39198</v>
      </c>
      <c r="B5239" s="309" t="s">
        <v>411</v>
      </c>
      <c r="C5239" s="309" t="s">
        <v>118</v>
      </c>
      <c r="D5239">
        <v>0</v>
      </c>
    </row>
    <row r="5240" spans="1:4" x14ac:dyDescent="0.25">
      <c r="A5240" s="279">
        <v>39198</v>
      </c>
      <c r="B5240" s="309" t="s">
        <v>411</v>
      </c>
      <c r="C5240" s="309" t="s">
        <v>407</v>
      </c>
      <c r="D5240">
        <v>175060</v>
      </c>
    </row>
    <row r="5241" spans="1:4" x14ac:dyDescent="0.25">
      <c r="A5241" s="279">
        <v>39198</v>
      </c>
      <c r="B5241" s="309" t="s">
        <v>411</v>
      </c>
      <c r="C5241" s="309" t="s">
        <v>412</v>
      </c>
      <c r="D5241">
        <v>1007</v>
      </c>
    </row>
    <row r="5242" spans="1:4" x14ac:dyDescent="0.25">
      <c r="A5242" s="279">
        <v>39198</v>
      </c>
      <c r="B5242" s="309" t="s">
        <v>411</v>
      </c>
      <c r="C5242" s="309" t="s">
        <v>409</v>
      </c>
      <c r="D5242">
        <v>1049</v>
      </c>
    </row>
    <row r="5243" spans="1:4" x14ac:dyDescent="0.25">
      <c r="A5243" s="279">
        <v>39199</v>
      </c>
      <c r="B5243" s="309" t="s">
        <v>405</v>
      </c>
      <c r="C5243" s="309" t="s">
        <v>406</v>
      </c>
      <c r="D5243">
        <v>2505449.1</v>
      </c>
    </row>
    <row r="5244" spans="1:4" x14ac:dyDescent="0.25">
      <c r="A5244" s="279">
        <v>39199</v>
      </c>
      <c r="B5244" s="309" t="s">
        <v>405</v>
      </c>
      <c r="C5244" s="309" t="s">
        <v>89</v>
      </c>
      <c r="D5244">
        <v>7525</v>
      </c>
    </row>
    <row r="5245" spans="1:4" x14ac:dyDescent="0.25">
      <c r="A5245" s="279">
        <v>39199</v>
      </c>
      <c r="B5245" s="309" t="s">
        <v>405</v>
      </c>
      <c r="C5245" s="309" t="s">
        <v>198</v>
      </c>
      <c r="D5245">
        <v>0</v>
      </c>
    </row>
    <row r="5246" spans="1:4" x14ac:dyDescent="0.25">
      <c r="A5246" s="279">
        <v>39199</v>
      </c>
      <c r="B5246" s="309" t="s">
        <v>405</v>
      </c>
      <c r="C5246" s="309" t="s">
        <v>199</v>
      </c>
      <c r="D5246">
        <v>0</v>
      </c>
    </row>
    <row r="5247" spans="1:4" x14ac:dyDescent="0.25">
      <c r="A5247" s="279">
        <v>39199</v>
      </c>
      <c r="B5247" s="309" t="s">
        <v>405</v>
      </c>
      <c r="C5247" s="309" t="s">
        <v>90</v>
      </c>
      <c r="D5247">
        <v>1923</v>
      </c>
    </row>
    <row r="5248" spans="1:4" x14ac:dyDescent="0.25">
      <c r="A5248" s="279">
        <v>39199</v>
      </c>
      <c r="B5248" s="309" t="s">
        <v>405</v>
      </c>
      <c r="C5248" s="309" t="s">
        <v>24</v>
      </c>
      <c r="D5248">
        <v>0</v>
      </c>
    </row>
    <row r="5249" spans="1:4" x14ac:dyDescent="0.25">
      <c r="A5249" s="279">
        <v>39199</v>
      </c>
      <c r="B5249" s="309" t="s">
        <v>405</v>
      </c>
      <c r="C5249" s="309" t="s">
        <v>91</v>
      </c>
      <c r="D5249">
        <v>0</v>
      </c>
    </row>
    <row r="5250" spans="1:4" x14ac:dyDescent="0.25">
      <c r="A5250" s="279">
        <v>39199</v>
      </c>
      <c r="B5250" s="309" t="s">
        <v>405</v>
      </c>
      <c r="C5250" s="309" t="s">
        <v>118</v>
      </c>
      <c r="D5250">
        <v>0</v>
      </c>
    </row>
    <row r="5251" spans="1:4" x14ac:dyDescent="0.25">
      <c r="A5251" s="279">
        <v>39199</v>
      </c>
      <c r="B5251" s="309" t="s">
        <v>405</v>
      </c>
      <c r="C5251" s="309" t="s">
        <v>407</v>
      </c>
      <c r="D5251">
        <v>2511051.1</v>
      </c>
    </row>
    <row r="5252" spans="1:4" x14ac:dyDescent="0.25">
      <c r="A5252" s="279">
        <v>39199</v>
      </c>
      <c r="B5252" s="309" t="s">
        <v>405</v>
      </c>
      <c r="C5252" s="309" t="s">
        <v>408</v>
      </c>
      <c r="D5252">
        <v>1007</v>
      </c>
    </row>
    <row r="5253" spans="1:4" x14ac:dyDescent="0.25">
      <c r="A5253" s="279">
        <v>39199</v>
      </c>
      <c r="B5253" s="309" t="s">
        <v>405</v>
      </c>
      <c r="C5253" s="309" t="s">
        <v>409</v>
      </c>
      <c r="D5253">
        <v>1058</v>
      </c>
    </row>
    <row r="5254" spans="1:4" x14ac:dyDescent="0.25">
      <c r="A5254" s="279">
        <v>39199</v>
      </c>
      <c r="B5254" s="309" t="s">
        <v>405</v>
      </c>
      <c r="C5254" s="309" t="s">
        <v>410</v>
      </c>
      <c r="D5254">
        <v>1034</v>
      </c>
    </row>
    <row r="5255" spans="1:4" x14ac:dyDescent="0.25">
      <c r="A5255" s="279">
        <v>39199</v>
      </c>
      <c r="B5255" s="309" t="s">
        <v>411</v>
      </c>
      <c r="C5255" s="309" t="s">
        <v>406</v>
      </c>
      <c r="D5255">
        <v>175060</v>
      </c>
    </row>
    <row r="5256" spans="1:4" x14ac:dyDescent="0.25">
      <c r="A5256" s="279">
        <v>39199</v>
      </c>
      <c r="B5256" s="309" t="s">
        <v>411</v>
      </c>
      <c r="C5256" s="309" t="s">
        <v>198</v>
      </c>
      <c r="D5256">
        <v>0</v>
      </c>
    </row>
    <row r="5257" spans="1:4" x14ac:dyDescent="0.25">
      <c r="A5257" s="279">
        <v>39199</v>
      </c>
      <c r="B5257" s="309" t="s">
        <v>411</v>
      </c>
      <c r="C5257" s="309" t="s">
        <v>199</v>
      </c>
      <c r="D5257">
        <v>0</v>
      </c>
    </row>
    <row r="5258" spans="1:4" x14ac:dyDescent="0.25">
      <c r="A5258" s="279">
        <v>39199</v>
      </c>
      <c r="B5258" s="309" t="s">
        <v>411</v>
      </c>
      <c r="C5258" s="309" t="s">
        <v>90</v>
      </c>
      <c r="D5258">
        <v>276</v>
      </c>
    </row>
    <row r="5259" spans="1:4" x14ac:dyDescent="0.25">
      <c r="A5259" s="279">
        <v>39199</v>
      </c>
      <c r="B5259" s="309" t="s">
        <v>411</v>
      </c>
      <c r="C5259" s="309" t="s">
        <v>24</v>
      </c>
      <c r="D5259">
        <v>0</v>
      </c>
    </row>
    <row r="5260" spans="1:4" x14ac:dyDescent="0.25">
      <c r="A5260" s="279">
        <v>39199</v>
      </c>
      <c r="B5260" s="309" t="s">
        <v>411</v>
      </c>
      <c r="C5260" s="309" t="s">
        <v>91</v>
      </c>
      <c r="D5260">
        <v>0</v>
      </c>
    </row>
    <row r="5261" spans="1:4" x14ac:dyDescent="0.25">
      <c r="A5261" s="279">
        <v>39199</v>
      </c>
      <c r="B5261" s="309" t="s">
        <v>411</v>
      </c>
      <c r="C5261" s="309" t="s">
        <v>118</v>
      </c>
      <c r="D5261">
        <v>0</v>
      </c>
    </row>
    <row r="5262" spans="1:4" x14ac:dyDescent="0.25">
      <c r="A5262" s="279">
        <v>39199</v>
      </c>
      <c r="B5262" s="309" t="s">
        <v>411</v>
      </c>
      <c r="C5262" s="309" t="s">
        <v>407</v>
      </c>
      <c r="D5262">
        <v>174784</v>
      </c>
    </row>
    <row r="5263" spans="1:4" x14ac:dyDescent="0.25">
      <c r="A5263" s="279">
        <v>39199</v>
      </c>
      <c r="B5263" s="309" t="s">
        <v>411</v>
      </c>
      <c r="C5263" s="309" t="s">
        <v>412</v>
      </c>
      <c r="D5263">
        <v>1007</v>
      </c>
    </row>
    <row r="5264" spans="1:4" x14ac:dyDescent="0.25">
      <c r="A5264" s="279">
        <v>39199</v>
      </c>
      <c r="B5264" s="309" t="s">
        <v>411</v>
      </c>
      <c r="C5264" s="309" t="s">
        <v>409</v>
      </c>
      <c r="D5264">
        <v>1049</v>
      </c>
    </row>
    <row r="5265" spans="1:4" x14ac:dyDescent="0.25">
      <c r="A5265" s="279">
        <v>39200</v>
      </c>
      <c r="B5265" s="309" t="s">
        <v>405</v>
      </c>
      <c r="C5265" s="309" t="s">
        <v>406</v>
      </c>
      <c r="D5265">
        <v>2511051.1</v>
      </c>
    </row>
    <row r="5266" spans="1:4" x14ac:dyDescent="0.25">
      <c r="A5266" s="279">
        <v>39200</v>
      </c>
      <c r="B5266" s="309" t="s">
        <v>405</v>
      </c>
      <c r="C5266" s="309" t="s">
        <v>89</v>
      </c>
      <c r="D5266">
        <v>7526</v>
      </c>
    </row>
    <row r="5267" spans="1:4" x14ac:dyDescent="0.25">
      <c r="A5267" s="279">
        <v>39200</v>
      </c>
      <c r="B5267" s="309" t="s">
        <v>405</v>
      </c>
      <c r="C5267" s="309" t="s">
        <v>198</v>
      </c>
      <c r="D5267">
        <v>0</v>
      </c>
    </row>
    <row r="5268" spans="1:4" x14ac:dyDescent="0.25">
      <c r="A5268" s="279">
        <v>39200</v>
      </c>
      <c r="B5268" s="309" t="s">
        <v>405</v>
      </c>
      <c r="C5268" s="309" t="s">
        <v>199</v>
      </c>
      <c r="D5268">
        <v>0</v>
      </c>
    </row>
    <row r="5269" spans="1:4" x14ac:dyDescent="0.25">
      <c r="A5269" s="279">
        <v>39200</v>
      </c>
      <c r="B5269" s="309" t="s">
        <v>405</v>
      </c>
      <c r="C5269" s="309" t="s">
        <v>90</v>
      </c>
      <c r="D5269">
        <v>1925</v>
      </c>
    </row>
    <row r="5270" spans="1:4" x14ac:dyDescent="0.25">
      <c r="A5270" s="279">
        <v>39200</v>
      </c>
      <c r="B5270" s="309" t="s">
        <v>405</v>
      </c>
      <c r="C5270" s="309" t="s">
        <v>24</v>
      </c>
      <c r="D5270">
        <v>0</v>
      </c>
    </row>
    <row r="5271" spans="1:4" x14ac:dyDescent="0.25">
      <c r="A5271" s="279">
        <v>39200</v>
      </c>
      <c r="B5271" s="309" t="s">
        <v>405</v>
      </c>
      <c r="C5271" s="309" t="s">
        <v>91</v>
      </c>
      <c r="D5271">
        <v>0</v>
      </c>
    </row>
    <row r="5272" spans="1:4" x14ac:dyDescent="0.25">
      <c r="A5272" s="279">
        <v>39200</v>
      </c>
      <c r="B5272" s="309" t="s">
        <v>405</v>
      </c>
      <c r="C5272" s="309" t="s">
        <v>118</v>
      </c>
      <c r="D5272">
        <v>0</v>
      </c>
    </row>
    <row r="5273" spans="1:4" x14ac:dyDescent="0.25">
      <c r="A5273" s="279">
        <v>39200</v>
      </c>
      <c r="B5273" s="309" t="s">
        <v>405</v>
      </c>
      <c r="C5273" s="309" t="s">
        <v>407</v>
      </c>
      <c r="D5273">
        <v>2516652.1</v>
      </c>
    </row>
    <row r="5274" spans="1:4" x14ac:dyDescent="0.25">
      <c r="A5274" s="279">
        <v>39200</v>
      </c>
      <c r="B5274" s="309" t="s">
        <v>405</v>
      </c>
      <c r="C5274" s="309" t="s">
        <v>408</v>
      </c>
      <c r="D5274">
        <v>1007</v>
      </c>
    </row>
    <row r="5275" spans="1:4" x14ac:dyDescent="0.25">
      <c r="A5275" s="279">
        <v>39200</v>
      </c>
      <c r="B5275" s="309" t="s">
        <v>405</v>
      </c>
      <c r="C5275" s="309" t="s">
        <v>409</v>
      </c>
      <c r="D5275">
        <v>1058</v>
      </c>
    </row>
    <row r="5276" spans="1:4" x14ac:dyDescent="0.25">
      <c r="A5276" s="279">
        <v>39200</v>
      </c>
      <c r="B5276" s="309" t="s">
        <v>405</v>
      </c>
      <c r="C5276" s="309" t="s">
        <v>410</v>
      </c>
      <c r="D5276">
        <v>1035</v>
      </c>
    </row>
    <row r="5277" spans="1:4" x14ac:dyDescent="0.25">
      <c r="A5277" s="279">
        <v>39200</v>
      </c>
      <c r="B5277" s="309" t="s">
        <v>411</v>
      </c>
      <c r="C5277" s="309" t="s">
        <v>406</v>
      </c>
      <c r="D5277">
        <v>174784</v>
      </c>
    </row>
    <row r="5278" spans="1:4" x14ac:dyDescent="0.25">
      <c r="A5278" s="279">
        <v>39200</v>
      </c>
      <c r="B5278" s="309" t="s">
        <v>411</v>
      </c>
      <c r="C5278" s="309" t="s">
        <v>198</v>
      </c>
      <c r="D5278">
        <v>0</v>
      </c>
    </row>
    <row r="5279" spans="1:4" x14ac:dyDescent="0.25">
      <c r="A5279" s="279">
        <v>39200</v>
      </c>
      <c r="B5279" s="309" t="s">
        <v>411</v>
      </c>
      <c r="C5279" s="309" t="s">
        <v>199</v>
      </c>
      <c r="D5279">
        <v>0</v>
      </c>
    </row>
    <row r="5280" spans="1:4" x14ac:dyDescent="0.25">
      <c r="A5280" s="279">
        <v>39200</v>
      </c>
      <c r="B5280" s="309" t="s">
        <v>411</v>
      </c>
      <c r="C5280" s="309" t="s">
        <v>90</v>
      </c>
      <c r="D5280">
        <v>276</v>
      </c>
    </row>
    <row r="5281" spans="1:4" x14ac:dyDescent="0.25">
      <c r="A5281" s="279">
        <v>39200</v>
      </c>
      <c r="B5281" s="309" t="s">
        <v>411</v>
      </c>
      <c r="C5281" s="309" t="s">
        <v>24</v>
      </c>
      <c r="D5281">
        <v>0</v>
      </c>
    </row>
    <row r="5282" spans="1:4" x14ac:dyDescent="0.25">
      <c r="A5282" s="279">
        <v>39200</v>
      </c>
      <c r="B5282" s="309" t="s">
        <v>411</v>
      </c>
      <c r="C5282" s="309" t="s">
        <v>91</v>
      </c>
      <c r="D5282">
        <v>0</v>
      </c>
    </row>
    <row r="5283" spans="1:4" x14ac:dyDescent="0.25">
      <c r="A5283" s="279">
        <v>39200</v>
      </c>
      <c r="B5283" s="309" t="s">
        <v>411</v>
      </c>
      <c r="C5283" s="309" t="s">
        <v>118</v>
      </c>
      <c r="D5283">
        <v>0</v>
      </c>
    </row>
    <row r="5284" spans="1:4" x14ac:dyDescent="0.25">
      <c r="A5284" s="279">
        <v>39200</v>
      </c>
      <c r="B5284" s="309" t="s">
        <v>411</v>
      </c>
      <c r="C5284" s="309" t="s">
        <v>407</v>
      </c>
      <c r="D5284">
        <v>174508</v>
      </c>
    </row>
    <row r="5285" spans="1:4" x14ac:dyDescent="0.25">
      <c r="A5285" s="279">
        <v>39200</v>
      </c>
      <c r="B5285" s="309" t="s">
        <v>411</v>
      </c>
      <c r="C5285" s="309" t="s">
        <v>412</v>
      </c>
      <c r="D5285">
        <v>1007</v>
      </c>
    </row>
    <row r="5286" spans="1:4" x14ac:dyDescent="0.25">
      <c r="A5286" s="279">
        <v>39200</v>
      </c>
      <c r="B5286" s="309" t="s">
        <v>411</v>
      </c>
      <c r="C5286" s="309" t="s">
        <v>409</v>
      </c>
      <c r="D5286">
        <v>1049</v>
      </c>
    </row>
    <row r="5287" spans="1:4" x14ac:dyDescent="0.25">
      <c r="A5287" s="279">
        <v>39201</v>
      </c>
      <c r="B5287" s="309" t="s">
        <v>405</v>
      </c>
      <c r="C5287" s="309" t="s">
        <v>406</v>
      </c>
      <c r="D5287">
        <v>2516652.1</v>
      </c>
    </row>
    <row r="5288" spans="1:4" x14ac:dyDescent="0.25">
      <c r="A5288" s="279">
        <v>39201</v>
      </c>
      <c r="B5288" s="309" t="s">
        <v>405</v>
      </c>
      <c r="C5288" s="309" t="s">
        <v>89</v>
      </c>
      <c r="D5288">
        <v>7247</v>
      </c>
    </row>
    <row r="5289" spans="1:4" x14ac:dyDescent="0.25">
      <c r="A5289" s="279">
        <v>39201</v>
      </c>
      <c r="B5289" s="309" t="s">
        <v>405</v>
      </c>
      <c r="C5289" s="309" t="s">
        <v>198</v>
      </c>
      <c r="D5289">
        <v>0</v>
      </c>
    </row>
    <row r="5290" spans="1:4" x14ac:dyDescent="0.25">
      <c r="A5290" s="279">
        <v>39201</v>
      </c>
      <c r="B5290" s="309" t="s">
        <v>405</v>
      </c>
      <c r="C5290" s="309" t="s">
        <v>199</v>
      </c>
      <c r="D5290">
        <v>0</v>
      </c>
    </row>
    <row r="5291" spans="1:4" x14ac:dyDescent="0.25">
      <c r="A5291" s="279">
        <v>39201</v>
      </c>
      <c r="B5291" s="309" t="s">
        <v>405</v>
      </c>
      <c r="C5291" s="309" t="s">
        <v>90</v>
      </c>
      <c r="D5291">
        <v>1912</v>
      </c>
    </row>
    <row r="5292" spans="1:4" x14ac:dyDescent="0.25">
      <c r="A5292" s="279">
        <v>39201</v>
      </c>
      <c r="B5292" s="309" t="s">
        <v>405</v>
      </c>
      <c r="C5292" s="309" t="s">
        <v>24</v>
      </c>
      <c r="D5292">
        <v>0</v>
      </c>
    </row>
    <row r="5293" spans="1:4" x14ac:dyDescent="0.25">
      <c r="A5293" s="279">
        <v>39201</v>
      </c>
      <c r="B5293" s="309" t="s">
        <v>405</v>
      </c>
      <c r="C5293" s="309" t="s">
        <v>91</v>
      </c>
      <c r="D5293">
        <v>0</v>
      </c>
    </row>
    <row r="5294" spans="1:4" x14ac:dyDescent="0.25">
      <c r="A5294" s="279">
        <v>39201</v>
      </c>
      <c r="B5294" s="309" t="s">
        <v>405</v>
      </c>
      <c r="C5294" s="309" t="s">
        <v>118</v>
      </c>
      <c r="D5294">
        <v>0</v>
      </c>
    </row>
    <row r="5295" spans="1:4" x14ac:dyDescent="0.25">
      <c r="A5295" s="279">
        <v>39201</v>
      </c>
      <c r="B5295" s="309" t="s">
        <v>405</v>
      </c>
      <c r="C5295" s="309" t="s">
        <v>407</v>
      </c>
      <c r="D5295">
        <v>2521987.1</v>
      </c>
    </row>
    <row r="5296" spans="1:4" x14ac:dyDescent="0.25">
      <c r="A5296" s="279">
        <v>39201</v>
      </c>
      <c r="B5296" s="309" t="s">
        <v>405</v>
      </c>
      <c r="C5296" s="309" t="s">
        <v>408</v>
      </c>
      <c r="D5296">
        <v>1007</v>
      </c>
    </row>
    <row r="5297" spans="1:4" x14ac:dyDescent="0.25">
      <c r="A5297" s="279">
        <v>39201</v>
      </c>
      <c r="B5297" s="309" t="s">
        <v>405</v>
      </c>
      <c r="C5297" s="309" t="s">
        <v>409</v>
      </c>
      <c r="D5297">
        <v>1058</v>
      </c>
    </row>
    <row r="5298" spans="1:4" x14ac:dyDescent="0.25">
      <c r="A5298" s="279">
        <v>39201</v>
      </c>
      <c r="B5298" s="309" t="s">
        <v>405</v>
      </c>
      <c r="C5298" s="309" t="s">
        <v>410</v>
      </c>
      <c r="D5298">
        <v>1038</v>
      </c>
    </row>
    <row r="5299" spans="1:4" x14ac:dyDescent="0.25">
      <c r="A5299" s="279">
        <v>39201</v>
      </c>
      <c r="B5299" s="309" t="s">
        <v>411</v>
      </c>
      <c r="C5299" s="309" t="s">
        <v>406</v>
      </c>
      <c r="D5299">
        <v>174508</v>
      </c>
    </row>
    <row r="5300" spans="1:4" x14ac:dyDescent="0.25">
      <c r="A5300" s="279">
        <v>39201</v>
      </c>
      <c r="B5300" s="309" t="s">
        <v>411</v>
      </c>
      <c r="C5300" s="309" t="s">
        <v>198</v>
      </c>
      <c r="D5300">
        <v>0</v>
      </c>
    </row>
    <row r="5301" spans="1:4" x14ac:dyDescent="0.25">
      <c r="A5301" s="279">
        <v>39201</v>
      </c>
      <c r="B5301" s="309" t="s">
        <v>411</v>
      </c>
      <c r="C5301" s="309" t="s">
        <v>199</v>
      </c>
      <c r="D5301">
        <v>0</v>
      </c>
    </row>
    <row r="5302" spans="1:4" x14ac:dyDescent="0.25">
      <c r="A5302" s="279">
        <v>39201</v>
      </c>
      <c r="B5302" s="309" t="s">
        <v>411</v>
      </c>
      <c r="C5302" s="309" t="s">
        <v>90</v>
      </c>
      <c r="D5302">
        <v>276</v>
      </c>
    </row>
    <row r="5303" spans="1:4" x14ac:dyDescent="0.25">
      <c r="A5303" s="279">
        <v>39201</v>
      </c>
      <c r="B5303" s="309" t="s">
        <v>411</v>
      </c>
      <c r="C5303" s="309" t="s">
        <v>24</v>
      </c>
      <c r="D5303">
        <v>0</v>
      </c>
    </row>
    <row r="5304" spans="1:4" x14ac:dyDescent="0.25">
      <c r="A5304" s="279">
        <v>39201</v>
      </c>
      <c r="B5304" s="309" t="s">
        <v>411</v>
      </c>
      <c r="C5304" s="309" t="s">
        <v>91</v>
      </c>
      <c r="D5304">
        <v>0</v>
      </c>
    </row>
    <row r="5305" spans="1:4" x14ac:dyDescent="0.25">
      <c r="A5305" s="279">
        <v>39201</v>
      </c>
      <c r="B5305" s="309" t="s">
        <v>411</v>
      </c>
      <c r="C5305" s="309" t="s">
        <v>118</v>
      </c>
      <c r="D5305">
        <v>0</v>
      </c>
    </row>
    <row r="5306" spans="1:4" x14ac:dyDescent="0.25">
      <c r="A5306" s="279">
        <v>39201</v>
      </c>
      <c r="B5306" s="309" t="s">
        <v>411</v>
      </c>
      <c r="C5306" s="309" t="s">
        <v>407</v>
      </c>
      <c r="D5306">
        <v>174232</v>
      </c>
    </row>
    <row r="5307" spans="1:4" x14ac:dyDescent="0.25">
      <c r="A5307" s="279">
        <v>39201</v>
      </c>
      <c r="B5307" s="309" t="s">
        <v>411</v>
      </c>
      <c r="C5307" s="309" t="s">
        <v>412</v>
      </c>
      <c r="D5307">
        <v>1007</v>
      </c>
    </row>
    <row r="5308" spans="1:4" x14ac:dyDescent="0.25">
      <c r="A5308" s="279">
        <v>39201</v>
      </c>
      <c r="B5308" s="309" t="s">
        <v>411</v>
      </c>
      <c r="C5308" s="309" t="s">
        <v>409</v>
      </c>
      <c r="D5308">
        <v>1049</v>
      </c>
    </row>
    <row r="5309" spans="1:4" x14ac:dyDescent="0.25">
      <c r="A5309" s="279">
        <v>39202</v>
      </c>
      <c r="B5309" s="309" t="s">
        <v>405</v>
      </c>
      <c r="C5309" s="309" t="s">
        <v>406</v>
      </c>
      <c r="D5309">
        <v>2521987.1</v>
      </c>
    </row>
    <row r="5310" spans="1:4" x14ac:dyDescent="0.25">
      <c r="A5310" s="279">
        <v>39202</v>
      </c>
      <c r="B5310" s="309" t="s">
        <v>405</v>
      </c>
      <c r="C5310" s="309" t="s">
        <v>89</v>
      </c>
      <c r="D5310">
        <v>8654</v>
      </c>
    </row>
    <row r="5311" spans="1:4" x14ac:dyDescent="0.25">
      <c r="A5311" s="279">
        <v>39202</v>
      </c>
      <c r="B5311" s="309" t="s">
        <v>405</v>
      </c>
      <c r="C5311" s="309" t="s">
        <v>198</v>
      </c>
      <c r="D5311">
        <v>0</v>
      </c>
    </row>
    <row r="5312" spans="1:4" x14ac:dyDescent="0.25">
      <c r="A5312" s="279">
        <v>39202</v>
      </c>
      <c r="B5312" s="309" t="s">
        <v>405</v>
      </c>
      <c r="C5312" s="309" t="s">
        <v>199</v>
      </c>
      <c r="D5312">
        <v>0</v>
      </c>
    </row>
    <row r="5313" spans="1:4" x14ac:dyDescent="0.25">
      <c r="A5313" s="279">
        <v>39202</v>
      </c>
      <c r="B5313" s="309" t="s">
        <v>405</v>
      </c>
      <c r="C5313" s="309" t="s">
        <v>90</v>
      </c>
      <c r="D5313">
        <v>1985</v>
      </c>
    </row>
    <row r="5314" spans="1:4" x14ac:dyDescent="0.25">
      <c r="A5314" s="279">
        <v>39202</v>
      </c>
      <c r="B5314" s="309" t="s">
        <v>405</v>
      </c>
      <c r="C5314" s="309" t="s">
        <v>24</v>
      </c>
      <c r="D5314">
        <v>0</v>
      </c>
    </row>
    <row r="5315" spans="1:4" x14ac:dyDescent="0.25">
      <c r="A5315" s="279">
        <v>39202</v>
      </c>
      <c r="B5315" s="309" t="s">
        <v>405</v>
      </c>
      <c r="C5315" s="309" t="s">
        <v>91</v>
      </c>
      <c r="D5315">
        <v>0</v>
      </c>
    </row>
    <row r="5316" spans="1:4" x14ac:dyDescent="0.25">
      <c r="A5316" s="279">
        <v>39202</v>
      </c>
      <c r="B5316" s="309" t="s">
        <v>405</v>
      </c>
      <c r="C5316" s="309" t="s">
        <v>118</v>
      </c>
      <c r="D5316">
        <v>0</v>
      </c>
    </row>
    <row r="5317" spans="1:4" x14ac:dyDescent="0.25">
      <c r="A5317" s="279">
        <v>39202</v>
      </c>
      <c r="B5317" s="309" t="s">
        <v>405</v>
      </c>
      <c r="C5317" s="309" t="s">
        <v>407</v>
      </c>
      <c r="D5317">
        <v>2528656.1</v>
      </c>
    </row>
    <row r="5318" spans="1:4" x14ac:dyDescent="0.25">
      <c r="A5318" s="279">
        <v>39202</v>
      </c>
      <c r="B5318" s="309" t="s">
        <v>405</v>
      </c>
      <c r="C5318" s="309" t="s">
        <v>408</v>
      </c>
      <c r="D5318">
        <v>1007</v>
      </c>
    </row>
    <row r="5319" spans="1:4" x14ac:dyDescent="0.25">
      <c r="A5319" s="279">
        <v>39202</v>
      </c>
      <c r="B5319" s="309" t="s">
        <v>405</v>
      </c>
      <c r="C5319" s="309" t="s">
        <v>409</v>
      </c>
      <c r="D5319">
        <v>1058</v>
      </c>
    </row>
    <row r="5320" spans="1:4" x14ac:dyDescent="0.25">
      <c r="A5320" s="279">
        <v>39202</v>
      </c>
      <c r="B5320" s="309" t="s">
        <v>405</v>
      </c>
      <c r="C5320" s="309" t="s">
        <v>410</v>
      </c>
      <c r="D5320">
        <v>1038</v>
      </c>
    </row>
    <row r="5321" spans="1:4" x14ac:dyDescent="0.25">
      <c r="A5321" s="279">
        <v>39202</v>
      </c>
      <c r="B5321" s="309" t="s">
        <v>411</v>
      </c>
      <c r="C5321" s="309" t="s">
        <v>406</v>
      </c>
      <c r="D5321">
        <v>174232</v>
      </c>
    </row>
    <row r="5322" spans="1:4" x14ac:dyDescent="0.25">
      <c r="A5322" s="279">
        <v>39202</v>
      </c>
      <c r="B5322" s="309" t="s">
        <v>411</v>
      </c>
      <c r="C5322" s="309" t="s">
        <v>198</v>
      </c>
      <c r="D5322">
        <v>0</v>
      </c>
    </row>
    <row r="5323" spans="1:4" x14ac:dyDescent="0.25">
      <c r="A5323" s="279">
        <v>39202</v>
      </c>
      <c r="B5323" s="309" t="s">
        <v>411</v>
      </c>
      <c r="C5323" s="309" t="s">
        <v>199</v>
      </c>
      <c r="D5323">
        <v>0</v>
      </c>
    </row>
    <row r="5324" spans="1:4" x14ac:dyDescent="0.25">
      <c r="A5324" s="279">
        <v>39202</v>
      </c>
      <c r="B5324" s="309" t="s">
        <v>411</v>
      </c>
      <c r="C5324" s="309" t="s">
        <v>90</v>
      </c>
      <c r="D5324">
        <v>0</v>
      </c>
    </row>
    <row r="5325" spans="1:4" x14ac:dyDescent="0.25">
      <c r="A5325" s="279">
        <v>39202</v>
      </c>
      <c r="B5325" s="309" t="s">
        <v>411</v>
      </c>
      <c r="C5325" s="309" t="s">
        <v>24</v>
      </c>
      <c r="D5325">
        <v>0</v>
      </c>
    </row>
    <row r="5326" spans="1:4" x14ac:dyDescent="0.25">
      <c r="A5326" s="279">
        <v>39202</v>
      </c>
      <c r="B5326" s="309" t="s">
        <v>411</v>
      </c>
      <c r="C5326" s="309" t="s">
        <v>91</v>
      </c>
      <c r="D5326">
        <v>0</v>
      </c>
    </row>
    <row r="5327" spans="1:4" x14ac:dyDescent="0.25">
      <c r="A5327" s="279">
        <v>39202</v>
      </c>
      <c r="B5327" s="309" t="s">
        <v>411</v>
      </c>
      <c r="C5327" s="309" t="s">
        <v>118</v>
      </c>
      <c r="D5327">
        <v>0</v>
      </c>
    </row>
    <row r="5328" spans="1:4" x14ac:dyDescent="0.25">
      <c r="A5328" s="279">
        <v>39202</v>
      </c>
      <c r="B5328" s="309" t="s">
        <v>411</v>
      </c>
      <c r="C5328" s="309" t="s">
        <v>407</v>
      </c>
      <c r="D5328">
        <v>174232</v>
      </c>
    </row>
    <row r="5329" spans="1:4" x14ac:dyDescent="0.25">
      <c r="A5329" s="279">
        <v>39202</v>
      </c>
      <c r="B5329" s="309" t="s">
        <v>411</v>
      </c>
      <c r="C5329" s="309" t="s">
        <v>412</v>
      </c>
      <c r="D5329">
        <v>1007</v>
      </c>
    </row>
    <row r="5330" spans="1:4" x14ac:dyDescent="0.25">
      <c r="A5330" s="279">
        <v>39202</v>
      </c>
      <c r="B5330" s="309" t="s">
        <v>411</v>
      </c>
      <c r="C5330" s="309" t="s">
        <v>409</v>
      </c>
      <c r="D5330">
        <v>1049</v>
      </c>
    </row>
    <row r="5331" spans="1:4" x14ac:dyDescent="0.25">
      <c r="A5331" s="279">
        <v>39203</v>
      </c>
      <c r="B5331" s="309" t="s">
        <v>405</v>
      </c>
      <c r="C5331" s="309" t="s">
        <v>406</v>
      </c>
      <c r="D5331">
        <v>2528656.1</v>
      </c>
    </row>
    <row r="5332" spans="1:4" x14ac:dyDescent="0.25">
      <c r="A5332" s="279">
        <v>39203</v>
      </c>
      <c r="B5332" s="309" t="s">
        <v>405</v>
      </c>
      <c r="C5332" s="309" t="s">
        <v>89</v>
      </c>
      <c r="D5332">
        <v>10341</v>
      </c>
    </row>
    <row r="5333" spans="1:4" x14ac:dyDescent="0.25">
      <c r="A5333" s="279">
        <v>39203</v>
      </c>
      <c r="B5333" s="309" t="s">
        <v>405</v>
      </c>
      <c r="C5333" s="309" t="s">
        <v>198</v>
      </c>
      <c r="D5333">
        <v>0</v>
      </c>
    </row>
    <row r="5334" spans="1:4" x14ac:dyDescent="0.25">
      <c r="A5334" s="279">
        <v>39203</v>
      </c>
      <c r="B5334" s="309" t="s">
        <v>405</v>
      </c>
      <c r="C5334" s="309" t="s">
        <v>199</v>
      </c>
      <c r="D5334">
        <v>0</v>
      </c>
    </row>
    <row r="5335" spans="1:4" x14ac:dyDescent="0.25">
      <c r="A5335" s="279">
        <v>39203</v>
      </c>
      <c r="B5335" s="309" t="s">
        <v>405</v>
      </c>
      <c r="C5335" s="309" t="s">
        <v>90</v>
      </c>
      <c r="D5335">
        <v>2067</v>
      </c>
    </row>
    <row r="5336" spans="1:4" x14ac:dyDescent="0.25">
      <c r="A5336" s="279">
        <v>39203</v>
      </c>
      <c r="B5336" s="309" t="s">
        <v>405</v>
      </c>
      <c r="C5336" s="309" t="s">
        <v>24</v>
      </c>
      <c r="D5336">
        <v>0</v>
      </c>
    </row>
    <row r="5337" spans="1:4" x14ac:dyDescent="0.25">
      <c r="A5337" s="279">
        <v>39203</v>
      </c>
      <c r="B5337" s="309" t="s">
        <v>405</v>
      </c>
      <c r="C5337" s="309" t="s">
        <v>91</v>
      </c>
      <c r="D5337">
        <v>0</v>
      </c>
    </row>
    <row r="5338" spans="1:4" x14ac:dyDescent="0.25">
      <c r="A5338" s="279">
        <v>39203</v>
      </c>
      <c r="B5338" s="309" t="s">
        <v>405</v>
      </c>
      <c r="C5338" s="309" t="s">
        <v>118</v>
      </c>
      <c r="D5338">
        <v>0</v>
      </c>
    </row>
    <row r="5339" spans="1:4" x14ac:dyDescent="0.25">
      <c r="A5339" s="279">
        <v>39203</v>
      </c>
      <c r="B5339" s="309" t="s">
        <v>405</v>
      </c>
      <c r="C5339" s="309" t="s">
        <v>407</v>
      </c>
      <c r="D5339">
        <v>2536930.1</v>
      </c>
    </row>
    <row r="5340" spans="1:4" x14ac:dyDescent="0.25">
      <c r="A5340" s="279">
        <v>39203</v>
      </c>
      <c r="B5340" s="309" t="s">
        <v>405</v>
      </c>
      <c r="C5340" s="309" t="s">
        <v>408</v>
      </c>
      <c r="D5340">
        <v>1007</v>
      </c>
    </row>
    <row r="5341" spans="1:4" x14ac:dyDescent="0.25">
      <c r="A5341" s="279">
        <v>39203</v>
      </c>
      <c r="B5341" s="309" t="s">
        <v>405</v>
      </c>
      <c r="C5341" s="309" t="s">
        <v>409</v>
      </c>
      <c r="D5341">
        <v>1058</v>
      </c>
    </row>
    <row r="5342" spans="1:4" x14ac:dyDescent="0.25">
      <c r="A5342" s="279">
        <v>39203</v>
      </c>
      <c r="B5342" s="309" t="s">
        <v>405</v>
      </c>
      <c r="C5342" s="309" t="s">
        <v>410</v>
      </c>
      <c r="D5342">
        <v>1039</v>
      </c>
    </row>
    <row r="5343" spans="1:4" x14ac:dyDescent="0.25">
      <c r="A5343" s="279">
        <v>39203</v>
      </c>
      <c r="B5343" s="309" t="s">
        <v>411</v>
      </c>
      <c r="C5343" s="309" t="s">
        <v>406</v>
      </c>
      <c r="D5343">
        <v>174232</v>
      </c>
    </row>
    <row r="5344" spans="1:4" x14ac:dyDescent="0.25">
      <c r="A5344" s="279">
        <v>39203</v>
      </c>
      <c r="B5344" s="309" t="s">
        <v>411</v>
      </c>
      <c r="C5344" s="309" t="s">
        <v>198</v>
      </c>
      <c r="D5344">
        <v>0</v>
      </c>
    </row>
    <row r="5345" spans="1:4" x14ac:dyDescent="0.25">
      <c r="A5345" s="279">
        <v>39203</v>
      </c>
      <c r="B5345" s="309" t="s">
        <v>411</v>
      </c>
      <c r="C5345" s="309" t="s">
        <v>199</v>
      </c>
      <c r="D5345">
        <v>0</v>
      </c>
    </row>
    <row r="5346" spans="1:4" x14ac:dyDescent="0.25">
      <c r="A5346" s="279">
        <v>39203</v>
      </c>
      <c r="B5346" s="309" t="s">
        <v>411</v>
      </c>
      <c r="C5346" s="309" t="s">
        <v>90</v>
      </c>
      <c r="D5346">
        <v>61</v>
      </c>
    </row>
    <row r="5347" spans="1:4" x14ac:dyDescent="0.25">
      <c r="A5347" s="279">
        <v>39203</v>
      </c>
      <c r="B5347" s="309" t="s">
        <v>411</v>
      </c>
      <c r="C5347" s="309" t="s">
        <v>24</v>
      </c>
      <c r="D5347">
        <v>0</v>
      </c>
    </row>
    <row r="5348" spans="1:4" x14ac:dyDescent="0.25">
      <c r="A5348" s="279">
        <v>39203</v>
      </c>
      <c r="B5348" s="309" t="s">
        <v>411</v>
      </c>
      <c r="C5348" s="309" t="s">
        <v>91</v>
      </c>
      <c r="D5348">
        <v>0</v>
      </c>
    </row>
    <row r="5349" spans="1:4" x14ac:dyDescent="0.25">
      <c r="A5349" s="279">
        <v>39203</v>
      </c>
      <c r="B5349" s="309" t="s">
        <v>411</v>
      </c>
      <c r="C5349" s="309" t="s">
        <v>118</v>
      </c>
      <c r="D5349">
        <v>0</v>
      </c>
    </row>
    <row r="5350" spans="1:4" x14ac:dyDescent="0.25">
      <c r="A5350" s="279">
        <v>39203</v>
      </c>
      <c r="B5350" s="309" t="s">
        <v>411</v>
      </c>
      <c r="C5350" s="309" t="s">
        <v>407</v>
      </c>
      <c r="D5350">
        <v>174171</v>
      </c>
    </row>
    <row r="5351" spans="1:4" x14ac:dyDescent="0.25">
      <c r="A5351" s="279">
        <v>39203</v>
      </c>
      <c r="B5351" s="309" t="s">
        <v>411</v>
      </c>
      <c r="C5351" s="309" t="s">
        <v>412</v>
      </c>
      <c r="D5351">
        <v>1007</v>
      </c>
    </row>
    <row r="5352" spans="1:4" x14ac:dyDescent="0.25">
      <c r="A5352" s="279">
        <v>39203</v>
      </c>
      <c r="B5352" s="309" t="s">
        <v>411</v>
      </c>
      <c r="C5352" s="309" t="s">
        <v>409</v>
      </c>
      <c r="D5352">
        <v>1049</v>
      </c>
    </row>
    <row r="5353" spans="1:4" x14ac:dyDescent="0.25">
      <c r="A5353" s="279">
        <v>39204</v>
      </c>
      <c r="B5353" s="309" t="s">
        <v>405</v>
      </c>
      <c r="C5353" s="309" t="s">
        <v>406</v>
      </c>
      <c r="D5353">
        <v>2536930.1</v>
      </c>
    </row>
    <row r="5354" spans="1:4" x14ac:dyDescent="0.25">
      <c r="A5354" s="279">
        <v>39204</v>
      </c>
      <c r="B5354" s="309" t="s">
        <v>405</v>
      </c>
      <c r="C5354" s="309" t="s">
        <v>89</v>
      </c>
      <c r="D5354">
        <v>11186</v>
      </c>
    </row>
    <row r="5355" spans="1:4" x14ac:dyDescent="0.25">
      <c r="A5355" s="279">
        <v>39204</v>
      </c>
      <c r="B5355" s="309" t="s">
        <v>405</v>
      </c>
      <c r="C5355" s="309" t="s">
        <v>198</v>
      </c>
      <c r="D5355">
        <v>0</v>
      </c>
    </row>
    <row r="5356" spans="1:4" x14ac:dyDescent="0.25">
      <c r="A5356" s="279">
        <v>39204</v>
      </c>
      <c r="B5356" s="309" t="s">
        <v>405</v>
      </c>
      <c r="C5356" s="309" t="s">
        <v>199</v>
      </c>
      <c r="D5356">
        <v>0</v>
      </c>
    </row>
    <row r="5357" spans="1:4" x14ac:dyDescent="0.25">
      <c r="A5357" s="279">
        <v>39204</v>
      </c>
      <c r="B5357" s="309" t="s">
        <v>405</v>
      </c>
      <c r="C5357" s="309" t="s">
        <v>90</v>
      </c>
      <c r="D5357">
        <v>2116</v>
      </c>
    </row>
    <row r="5358" spans="1:4" x14ac:dyDescent="0.25">
      <c r="A5358" s="279">
        <v>39204</v>
      </c>
      <c r="B5358" s="309" t="s">
        <v>405</v>
      </c>
      <c r="C5358" s="309" t="s">
        <v>24</v>
      </c>
      <c r="D5358">
        <v>0</v>
      </c>
    </row>
    <row r="5359" spans="1:4" x14ac:dyDescent="0.25">
      <c r="A5359" s="279">
        <v>39204</v>
      </c>
      <c r="B5359" s="309" t="s">
        <v>405</v>
      </c>
      <c r="C5359" s="309" t="s">
        <v>91</v>
      </c>
      <c r="D5359">
        <v>0</v>
      </c>
    </row>
    <row r="5360" spans="1:4" x14ac:dyDescent="0.25">
      <c r="A5360" s="279">
        <v>39204</v>
      </c>
      <c r="B5360" s="309" t="s">
        <v>405</v>
      </c>
      <c r="C5360" s="309" t="s">
        <v>118</v>
      </c>
      <c r="D5360">
        <v>0</v>
      </c>
    </row>
    <row r="5361" spans="1:4" x14ac:dyDescent="0.25">
      <c r="A5361" s="279">
        <v>39204</v>
      </c>
      <c r="B5361" s="309" t="s">
        <v>405</v>
      </c>
      <c r="C5361" s="309" t="s">
        <v>407</v>
      </c>
      <c r="D5361">
        <v>2546000.1</v>
      </c>
    </row>
    <row r="5362" spans="1:4" x14ac:dyDescent="0.25">
      <c r="A5362" s="279">
        <v>39204</v>
      </c>
      <c r="B5362" s="309" t="s">
        <v>405</v>
      </c>
      <c r="C5362" s="309" t="s">
        <v>408</v>
      </c>
      <c r="D5362">
        <v>1007</v>
      </c>
    </row>
    <row r="5363" spans="1:4" x14ac:dyDescent="0.25">
      <c r="A5363" s="279">
        <v>39204</v>
      </c>
      <c r="B5363" s="309" t="s">
        <v>405</v>
      </c>
      <c r="C5363" s="309" t="s">
        <v>409</v>
      </c>
      <c r="D5363">
        <v>1058</v>
      </c>
    </row>
    <row r="5364" spans="1:4" x14ac:dyDescent="0.25">
      <c r="A5364" s="279">
        <v>39204</v>
      </c>
      <c r="B5364" s="309" t="s">
        <v>405</v>
      </c>
      <c r="C5364" s="309" t="s">
        <v>410</v>
      </c>
      <c r="D5364">
        <v>1036</v>
      </c>
    </row>
    <row r="5365" spans="1:4" x14ac:dyDescent="0.25">
      <c r="A5365" s="279">
        <v>39204</v>
      </c>
      <c r="B5365" s="309" t="s">
        <v>411</v>
      </c>
      <c r="C5365" s="309" t="s">
        <v>406</v>
      </c>
      <c r="D5365">
        <v>174171</v>
      </c>
    </row>
    <row r="5366" spans="1:4" x14ac:dyDescent="0.25">
      <c r="A5366" s="279">
        <v>39204</v>
      </c>
      <c r="B5366" s="309" t="s">
        <v>411</v>
      </c>
      <c r="C5366" s="309" t="s">
        <v>198</v>
      </c>
      <c r="D5366">
        <v>0</v>
      </c>
    </row>
    <row r="5367" spans="1:4" x14ac:dyDescent="0.25">
      <c r="A5367" s="279">
        <v>39204</v>
      </c>
      <c r="B5367" s="309" t="s">
        <v>411</v>
      </c>
      <c r="C5367" s="309" t="s">
        <v>199</v>
      </c>
      <c r="D5367">
        <v>0</v>
      </c>
    </row>
    <row r="5368" spans="1:4" x14ac:dyDescent="0.25">
      <c r="A5368" s="279">
        <v>39204</v>
      </c>
      <c r="B5368" s="309" t="s">
        <v>411</v>
      </c>
      <c r="C5368" s="309" t="s">
        <v>90</v>
      </c>
      <c r="D5368">
        <v>54</v>
      </c>
    </row>
    <row r="5369" spans="1:4" x14ac:dyDescent="0.25">
      <c r="A5369" s="279">
        <v>39204</v>
      </c>
      <c r="B5369" s="309" t="s">
        <v>411</v>
      </c>
      <c r="C5369" s="309" t="s">
        <v>24</v>
      </c>
      <c r="D5369">
        <v>0</v>
      </c>
    </row>
    <row r="5370" spans="1:4" x14ac:dyDescent="0.25">
      <c r="A5370" s="279">
        <v>39204</v>
      </c>
      <c r="B5370" s="309" t="s">
        <v>411</v>
      </c>
      <c r="C5370" s="309" t="s">
        <v>91</v>
      </c>
      <c r="D5370">
        <v>0</v>
      </c>
    </row>
    <row r="5371" spans="1:4" x14ac:dyDescent="0.25">
      <c r="A5371" s="279">
        <v>39204</v>
      </c>
      <c r="B5371" s="309" t="s">
        <v>411</v>
      </c>
      <c r="C5371" s="309" t="s">
        <v>118</v>
      </c>
      <c r="D5371">
        <v>0</v>
      </c>
    </row>
    <row r="5372" spans="1:4" x14ac:dyDescent="0.25">
      <c r="A5372" s="279">
        <v>39204</v>
      </c>
      <c r="B5372" s="309" t="s">
        <v>411</v>
      </c>
      <c r="C5372" s="309" t="s">
        <v>407</v>
      </c>
      <c r="D5372">
        <v>174117</v>
      </c>
    </row>
    <row r="5373" spans="1:4" x14ac:dyDescent="0.25">
      <c r="A5373" s="279">
        <v>39204</v>
      </c>
      <c r="B5373" s="309" t="s">
        <v>411</v>
      </c>
      <c r="C5373" s="309" t="s">
        <v>412</v>
      </c>
      <c r="D5373">
        <v>1007</v>
      </c>
    </row>
    <row r="5374" spans="1:4" x14ac:dyDescent="0.25">
      <c r="A5374" s="279">
        <v>39204</v>
      </c>
      <c r="B5374" s="309" t="s">
        <v>411</v>
      </c>
      <c r="C5374" s="309" t="s">
        <v>409</v>
      </c>
      <c r="D5374">
        <v>1049</v>
      </c>
    </row>
    <row r="5375" spans="1:4" x14ac:dyDescent="0.25">
      <c r="A5375" s="279">
        <v>39205</v>
      </c>
      <c r="B5375" s="309" t="s">
        <v>405</v>
      </c>
      <c r="C5375" s="309" t="s">
        <v>406</v>
      </c>
      <c r="D5375">
        <v>2546000.1</v>
      </c>
    </row>
    <row r="5376" spans="1:4" x14ac:dyDescent="0.25">
      <c r="A5376" s="279">
        <v>39205</v>
      </c>
      <c r="B5376" s="309" t="s">
        <v>405</v>
      </c>
      <c r="C5376" s="309" t="s">
        <v>89</v>
      </c>
      <c r="D5376">
        <v>12032</v>
      </c>
    </row>
    <row r="5377" spans="1:4" x14ac:dyDescent="0.25">
      <c r="A5377" s="279">
        <v>39205</v>
      </c>
      <c r="B5377" s="309" t="s">
        <v>405</v>
      </c>
      <c r="C5377" s="309" t="s">
        <v>198</v>
      </c>
      <c r="D5377">
        <v>0</v>
      </c>
    </row>
    <row r="5378" spans="1:4" x14ac:dyDescent="0.25">
      <c r="A5378" s="279">
        <v>39205</v>
      </c>
      <c r="B5378" s="309" t="s">
        <v>405</v>
      </c>
      <c r="C5378" s="309" t="s">
        <v>199</v>
      </c>
      <c r="D5378">
        <v>0</v>
      </c>
    </row>
    <row r="5379" spans="1:4" x14ac:dyDescent="0.25">
      <c r="A5379" s="279">
        <v>39205</v>
      </c>
      <c r="B5379" s="309" t="s">
        <v>405</v>
      </c>
      <c r="C5379" s="309" t="s">
        <v>90</v>
      </c>
      <c r="D5379">
        <v>2162</v>
      </c>
    </row>
    <row r="5380" spans="1:4" x14ac:dyDescent="0.25">
      <c r="A5380" s="279">
        <v>39205</v>
      </c>
      <c r="B5380" s="309" t="s">
        <v>405</v>
      </c>
      <c r="C5380" s="309" t="s">
        <v>24</v>
      </c>
      <c r="D5380">
        <v>0</v>
      </c>
    </row>
    <row r="5381" spans="1:4" x14ac:dyDescent="0.25">
      <c r="A5381" s="279">
        <v>39205</v>
      </c>
      <c r="B5381" s="309" t="s">
        <v>405</v>
      </c>
      <c r="C5381" s="309" t="s">
        <v>91</v>
      </c>
      <c r="D5381">
        <v>0</v>
      </c>
    </row>
    <row r="5382" spans="1:4" x14ac:dyDescent="0.25">
      <c r="A5382" s="279">
        <v>39205</v>
      </c>
      <c r="B5382" s="309" t="s">
        <v>405</v>
      </c>
      <c r="C5382" s="309" t="s">
        <v>118</v>
      </c>
      <c r="D5382">
        <v>0</v>
      </c>
    </row>
    <row r="5383" spans="1:4" x14ac:dyDescent="0.25">
      <c r="A5383" s="279">
        <v>39205</v>
      </c>
      <c r="B5383" s="309" t="s">
        <v>405</v>
      </c>
      <c r="C5383" s="309" t="s">
        <v>407</v>
      </c>
      <c r="D5383">
        <v>2555870.1</v>
      </c>
    </row>
    <row r="5384" spans="1:4" x14ac:dyDescent="0.25">
      <c r="A5384" s="279">
        <v>39205</v>
      </c>
      <c r="B5384" s="309" t="s">
        <v>405</v>
      </c>
      <c r="C5384" s="309" t="s">
        <v>408</v>
      </c>
      <c r="D5384">
        <v>1007</v>
      </c>
    </row>
    <row r="5385" spans="1:4" x14ac:dyDescent="0.25">
      <c r="A5385" s="279">
        <v>39205</v>
      </c>
      <c r="B5385" s="309" t="s">
        <v>405</v>
      </c>
      <c r="C5385" s="309" t="s">
        <v>409</v>
      </c>
      <c r="D5385">
        <v>1058</v>
      </c>
    </row>
    <row r="5386" spans="1:4" x14ac:dyDescent="0.25">
      <c r="A5386" s="279">
        <v>39205</v>
      </c>
      <c r="B5386" s="309" t="s">
        <v>405</v>
      </c>
      <c r="C5386" s="309" t="s">
        <v>410</v>
      </c>
      <c r="D5386">
        <v>1036</v>
      </c>
    </row>
    <row r="5387" spans="1:4" x14ac:dyDescent="0.25">
      <c r="A5387" s="279">
        <v>39205</v>
      </c>
      <c r="B5387" s="309" t="s">
        <v>411</v>
      </c>
      <c r="C5387" s="309" t="s">
        <v>406</v>
      </c>
      <c r="D5387">
        <v>174117</v>
      </c>
    </row>
    <row r="5388" spans="1:4" x14ac:dyDescent="0.25">
      <c r="A5388" s="279">
        <v>39205</v>
      </c>
      <c r="B5388" s="309" t="s">
        <v>411</v>
      </c>
      <c r="C5388" s="309" t="s">
        <v>198</v>
      </c>
      <c r="D5388">
        <v>0</v>
      </c>
    </row>
    <row r="5389" spans="1:4" x14ac:dyDescent="0.25">
      <c r="A5389" s="279">
        <v>39205</v>
      </c>
      <c r="B5389" s="309" t="s">
        <v>411</v>
      </c>
      <c r="C5389" s="309" t="s">
        <v>199</v>
      </c>
      <c r="D5389">
        <v>0</v>
      </c>
    </row>
    <row r="5390" spans="1:4" x14ac:dyDescent="0.25">
      <c r="A5390" s="279">
        <v>39205</v>
      </c>
      <c r="B5390" s="309" t="s">
        <v>411</v>
      </c>
      <c r="C5390" s="309" t="s">
        <v>90</v>
      </c>
      <c r="D5390">
        <v>161</v>
      </c>
    </row>
    <row r="5391" spans="1:4" x14ac:dyDescent="0.25">
      <c r="A5391" s="279">
        <v>39205</v>
      </c>
      <c r="B5391" s="309" t="s">
        <v>411</v>
      </c>
      <c r="C5391" s="309" t="s">
        <v>24</v>
      </c>
      <c r="D5391">
        <v>0</v>
      </c>
    </row>
    <row r="5392" spans="1:4" x14ac:dyDescent="0.25">
      <c r="A5392" s="279">
        <v>39205</v>
      </c>
      <c r="B5392" s="309" t="s">
        <v>411</v>
      </c>
      <c r="C5392" s="309" t="s">
        <v>91</v>
      </c>
      <c r="D5392">
        <v>0</v>
      </c>
    </row>
    <row r="5393" spans="1:4" x14ac:dyDescent="0.25">
      <c r="A5393" s="279">
        <v>39205</v>
      </c>
      <c r="B5393" s="309" t="s">
        <v>411</v>
      </c>
      <c r="C5393" s="309" t="s">
        <v>118</v>
      </c>
      <c r="D5393">
        <v>0</v>
      </c>
    </row>
    <row r="5394" spans="1:4" x14ac:dyDescent="0.25">
      <c r="A5394" s="279">
        <v>39205</v>
      </c>
      <c r="B5394" s="309" t="s">
        <v>411</v>
      </c>
      <c r="C5394" s="309" t="s">
        <v>407</v>
      </c>
      <c r="D5394">
        <v>173956</v>
      </c>
    </row>
    <row r="5395" spans="1:4" x14ac:dyDescent="0.25">
      <c r="A5395" s="279">
        <v>39205</v>
      </c>
      <c r="B5395" s="309" t="s">
        <v>411</v>
      </c>
      <c r="C5395" s="309" t="s">
        <v>412</v>
      </c>
      <c r="D5395">
        <v>1007</v>
      </c>
    </row>
    <row r="5396" spans="1:4" x14ac:dyDescent="0.25">
      <c r="A5396" s="279">
        <v>39205</v>
      </c>
      <c r="B5396" s="309" t="s">
        <v>411</v>
      </c>
      <c r="C5396" s="309" t="s">
        <v>409</v>
      </c>
      <c r="D5396">
        <v>1049</v>
      </c>
    </row>
    <row r="5397" spans="1:4" x14ac:dyDescent="0.25">
      <c r="A5397" s="279">
        <v>39206</v>
      </c>
      <c r="B5397" s="309" t="s">
        <v>405</v>
      </c>
      <c r="C5397" s="309" t="s">
        <v>406</v>
      </c>
      <c r="D5397">
        <v>2555870.1</v>
      </c>
    </row>
    <row r="5398" spans="1:4" x14ac:dyDescent="0.25">
      <c r="A5398" s="279">
        <v>39206</v>
      </c>
      <c r="B5398" s="309" t="s">
        <v>405</v>
      </c>
      <c r="C5398" s="309" t="s">
        <v>89</v>
      </c>
      <c r="D5398">
        <v>5855</v>
      </c>
    </row>
    <row r="5399" spans="1:4" x14ac:dyDescent="0.25">
      <c r="A5399" s="279">
        <v>39206</v>
      </c>
      <c r="B5399" s="309" t="s">
        <v>405</v>
      </c>
      <c r="C5399" s="309" t="s">
        <v>198</v>
      </c>
      <c r="D5399">
        <v>0</v>
      </c>
    </row>
    <row r="5400" spans="1:4" x14ac:dyDescent="0.25">
      <c r="A5400" s="279">
        <v>39206</v>
      </c>
      <c r="B5400" s="309" t="s">
        <v>405</v>
      </c>
      <c r="C5400" s="309" t="s">
        <v>199</v>
      </c>
      <c r="D5400">
        <v>0</v>
      </c>
    </row>
    <row r="5401" spans="1:4" x14ac:dyDescent="0.25">
      <c r="A5401" s="279">
        <v>39206</v>
      </c>
      <c r="B5401" s="309" t="s">
        <v>405</v>
      </c>
      <c r="C5401" s="309" t="s">
        <v>90</v>
      </c>
      <c r="D5401">
        <v>1854</v>
      </c>
    </row>
    <row r="5402" spans="1:4" x14ac:dyDescent="0.25">
      <c r="A5402" s="279">
        <v>39206</v>
      </c>
      <c r="B5402" s="309" t="s">
        <v>405</v>
      </c>
      <c r="C5402" s="309" t="s">
        <v>24</v>
      </c>
      <c r="D5402">
        <v>0</v>
      </c>
    </row>
    <row r="5403" spans="1:4" x14ac:dyDescent="0.25">
      <c r="A5403" s="279">
        <v>39206</v>
      </c>
      <c r="B5403" s="309" t="s">
        <v>405</v>
      </c>
      <c r="C5403" s="309" t="s">
        <v>91</v>
      </c>
      <c r="D5403">
        <v>0</v>
      </c>
    </row>
    <row r="5404" spans="1:4" x14ac:dyDescent="0.25">
      <c r="A5404" s="279">
        <v>39206</v>
      </c>
      <c r="B5404" s="309" t="s">
        <v>405</v>
      </c>
      <c r="C5404" s="309" t="s">
        <v>118</v>
      </c>
      <c r="D5404">
        <v>0</v>
      </c>
    </row>
    <row r="5405" spans="1:4" x14ac:dyDescent="0.25">
      <c r="A5405" s="279">
        <v>39206</v>
      </c>
      <c r="B5405" s="309" t="s">
        <v>405</v>
      </c>
      <c r="C5405" s="309" t="s">
        <v>407</v>
      </c>
      <c r="D5405">
        <v>2559871.1</v>
      </c>
    </row>
    <row r="5406" spans="1:4" x14ac:dyDescent="0.25">
      <c r="A5406" s="279">
        <v>39206</v>
      </c>
      <c r="B5406" s="309" t="s">
        <v>405</v>
      </c>
      <c r="C5406" s="309" t="s">
        <v>408</v>
      </c>
      <c r="D5406">
        <v>1007</v>
      </c>
    </row>
    <row r="5407" spans="1:4" x14ac:dyDescent="0.25">
      <c r="A5407" s="279">
        <v>39206</v>
      </c>
      <c r="B5407" s="309" t="s">
        <v>405</v>
      </c>
      <c r="C5407" s="309" t="s">
        <v>409</v>
      </c>
      <c r="D5407">
        <v>1058</v>
      </c>
    </row>
    <row r="5408" spans="1:4" x14ac:dyDescent="0.25">
      <c r="A5408" s="279">
        <v>39206</v>
      </c>
      <c r="B5408" s="309" t="s">
        <v>405</v>
      </c>
      <c r="C5408" s="309" t="s">
        <v>410</v>
      </c>
      <c r="D5408">
        <v>1039</v>
      </c>
    </row>
    <row r="5409" spans="1:4" x14ac:dyDescent="0.25">
      <c r="A5409" s="279">
        <v>39206</v>
      </c>
      <c r="B5409" s="309" t="s">
        <v>411</v>
      </c>
      <c r="C5409" s="309" t="s">
        <v>406</v>
      </c>
      <c r="D5409">
        <v>173956</v>
      </c>
    </row>
    <row r="5410" spans="1:4" x14ac:dyDescent="0.25">
      <c r="A5410" s="279">
        <v>39206</v>
      </c>
      <c r="B5410" s="309" t="s">
        <v>411</v>
      </c>
      <c r="C5410" s="309" t="s">
        <v>198</v>
      </c>
      <c r="D5410">
        <v>0</v>
      </c>
    </row>
    <row r="5411" spans="1:4" x14ac:dyDescent="0.25">
      <c r="A5411" s="279">
        <v>39206</v>
      </c>
      <c r="B5411" s="309" t="s">
        <v>411</v>
      </c>
      <c r="C5411" s="309" t="s">
        <v>199</v>
      </c>
      <c r="D5411">
        <v>0</v>
      </c>
    </row>
    <row r="5412" spans="1:4" x14ac:dyDescent="0.25">
      <c r="A5412" s="279">
        <v>39206</v>
      </c>
      <c r="B5412" s="309" t="s">
        <v>411</v>
      </c>
      <c r="C5412" s="309" t="s">
        <v>90</v>
      </c>
      <c r="D5412">
        <v>276</v>
      </c>
    </row>
    <row r="5413" spans="1:4" x14ac:dyDescent="0.25">
      <c r="A5413" s="279">
        <v>39206</v>
      </c>
      <c r="B5413" s="309" t="s">
        <v>411</v>
      </c>
      <c r="C5413" s="309" t="s">
        <v>24</v>
      </c>
      <c r="D5413">
        <v>0</v>
      </c>
    </row>
    <row r="5414" spans="1:4" x14ac:dyDescent="0.25">
      <c r="A5414" s="279">
        <v>39206</v>
      </c>
      <c r="B5414" s="309" t="s">
        <v>411</v>
      </c>
      <c r="C5414" s="309" t="s">
        <v>91</v>
      </c>
      <c r="D5414">
        <v>0</v>
      </c>
    </row>
    <row r="5415" spans="1:4" x14ac:dyDescent="0.25">
      <c r="A5415" s="279">
        <v>39206</v>
      </c>
      <c r="B5415" s="309" t="s">
        <v>411</v>
      </c>
      <c r="C5415" s="309" t="s">
        <v>118</v>
      </c>
      <c r="D5415">
        <v>0</v>
      </c>
    </row>
    <row r="5416" spans="1:4" x14ac:dyDescent="0.25">
      <c r="A5416" s="279">
        <v>39206</v>
      </c>
      <c r="B5416" s="309" t="s">
        <v>411</v>
      </c>
      <c r="C5416" s="309" t="s">
        <v>407</v>
      </c>
      <c r="D5416">
        <v>173680</v>
      </c>
    </row>
    <row r="5417" spans="1:4" x14ac:dyDescent="0.25">
      <c r="A5417" s="279">
        <v>39206</v>
      </c>
      <c r="B5417" s="309" t="s">
        <v>411</v>
      </c>
      <c r="C5417" s="309" t="s">
        <v>412</v>
      </c>
      <c r="D5417">
        <v>1007</v>
      </c>
    </row>
    <row r="5418" spans="1:4" x14ac:dyDescent="0.25">
      <c r="A5418" s="279">
        <v>39206</v>
      </c>
      <c r="B5418" s="309" t="s">
        <v>411</v>
      </c>
      <c r="C5418" s="309" t="s">
        <v>409</v>
      </c>
      <c r="D5418">
        <v>1049</v>
      </c>
    </row>
    <row r="5419" spans="1:4" x14ac:dyDescent="0.25">
      <c r="A5419" s="279">
        <v>39207</v>
      </c>
      <c r="B5419" s="309" t="s">
        <v>405</v>
      </c>
      <c r="C5419" s="309" t="s">
        <v>406</v>
      </c>
      <c r="D5419">
        <v>2559871.1</v>
      </c>
    </row>
    <row r="5420" spans="1:4" x14ac:dyDescent="0.25">
      <c r="A5420" s="279">
        <v>39207</v>
      </c>
      <c r="B5420" s="309" t="s">
        <v>405</v>
      </c>
      <c r="C5420" s="309" t="s">
        <v>89</v>
      </c>
      <c r="D5420">
        <v>7823</v>
      </c>
    </row>
    <row r="5421" spans="1:4" x14ac:dyDescent="0.25">
      <c r="A5421" s="279">
        <v>39207</v>
      </c>
      <c r="B5421" s="309" t="s">
        <v>405</v>
      </c>
      <c r="C5421" s="309" t="s">
        <v>198</v>
      </c>
      <c r="D5421">
        <v>0</v>
      </c>
    </row>
    <row r="5422" spans="1:4" x14ac:dyDescent="0.25">
      <c r="A5422" s="279">
        <v>39207</v>
      </c>
      <c r="B5422" s="309" t="s">
        <v>405</v>
      </c>
      <c r="C5422" s="309" t="s">
        <v>199</v>
      </c>
      <c r="D5422">
        <v>0</v>
      </c>
    </row>
    <row r="5423" spans="1:4" x14ac:dyDescent="0.25">
      <c r="A5423" s="279">
        <v>39207</v>
      </c>
      <c r="B5423" s="309" t="s">
        <v>405</v>
      </c>
      <c r="C5423" s="309" t="s">
        <v>90</v>
      </c>
      <c r="D5423">
        <v>1954</v>
      </c>
    </row>
    <row r="5424" spans="1:4" x14ac:dyDescent="0.25">
      <c r="A5424" s="279">
        <v>39207</v>
      </c>
      <c r="B5424" s="309" t="s">
        <v>405</v>
      </c>
      <c r="C5424" s="309" t="s">
        <v>24</v>
      </c>
      <c r="D5424">
        <v>0</v>
      </c>
    </row>
    <row r="5425" spans="1:4" x14ac:dyDescent="0.25">
      <c r="A5425" s="279">
        <v>39207</v>
      </c>
      <c r="B5425" s="309" t="s">
        <v>405</v>
      </c>
      <c r="C5425" s="309" t="s">
        <v>91</v>
      </c>
      <c r="D5425">
        <v>0</v>
      </c>
    </row>
    <row r="5426" spans="1:4" x14ac:dyDescent="0.25">
      <c r="A5426" s="279">
        <v>39207</v>
      </c>
      <c r="B5426" s="309" t="s">
        <v>405</v>
      </c>
      <c r="C5426" s="309" t="s">
        <v>118</v>
      </c>
      <c r="D5426">
        <v>0</v>
      </c>
    </row>
    <row r="5427" spans="1:4" x14ac:dyDescent="0.25">
      <c r="A5427" s="279">
        <v>39207</v>
      </c>
      <c r="B5427" s="309" t="s">
        <v>405</v>
      </c>
      <c r="C5427" s="309" t="s">
        <v>407</v>
      </c>
      <c r="D5427">
        <v>2565740.1</v>
      </c>
    </row>
    <row r="5428" spans="1:4" x14ac:dyDescent="0.25">
      <c r="A5428" s="279">
        <v>39207</v>
      </c>
      <c r="B5428" s="309" t="s">
        <v>405</v>
      </c>
      <c r="C5428" s="309" t="s">
        <v>408</v>
      </c>
      <c r="D5428">
        <v>1007</v>
      </c>
    </row>
    <row r="5429" spans="1:4" x14ac:dyDescent="0.25">
      <c r="A5429" s="279">
        <v>39207</v>
      </c>
      <c r="B5429" s="309" t="s">
        <v>405</v>
      </c>
      <c r="C5429" s="309" t="s">
        <v>409</v>
      </c>
      <c r="D5429">
        <v>1058</v>
      </c>
    </row>
    <row r="5430" spans="1:4" x14ac:dyDescent="0.25">
      <c r="A5430" s="279">
        <v>39207</v>
      </c>
      <c r="B5430" s="309" t="s">
        <v>405</v>
      </c>
      <c r="C5430" s="309" t="s">
        <v>410</v>
      </c>
      <c r="D5430">
        <v>1044</v>
      </c>
    </row>
    <row r="5431" spans="1:4" x14ac:dyDescent="0.25">
      <c r="A5431" s="279">
        <v>39207</v>
      </c>
      <c r="B5431" s="309" t="s">
        <v>411</v>
      </c>
      <c r="C5431" s="309" t="s">
        <v>406</v>
      </c>
      <c r="D5431">
        <v>173680</v>
      </c>
    </row>
    <row r="5432" spans="1:4" x14ac:dyDescent="0.25">
      <c r="A5432" s="279">
        <v>39207</v>
      </c>
      <c r="B5432" s="309" t="s">
        <v>411</v>
      </c>
      <c r="C5432" s="309" t="s">
        <v>198</v>
      </c>
      <c r="D5432">
        <v>0</v>
      </c>
    </row>
    <row r="5433" spans="1:4" x14ac:dyDescent="0.25">
      <c r="A5433" s="279">
        <v>39207</v>
      </c>
      <c r="B5433" s="309" t="s">
        <v>411</v>
      </c>
      <c r="C5433" s="309" t="s">
        <v>199</v>
      </c>
      <c r="D5433">
        <v>0</v>
      </c>
    </row>
    <row r="5434" spans="1:4" x14ac:dyDescent="0.25">
      <c r="A5434" s="279">
        <v>39207</v>
      </c>
      <c r="B5434" s="309" t="s">
        <v>411</v>
      </c>
      <c r="C5434" s="309" t="s">
        <v>90</v>
      </c>
      <c r="D5434">
        <v>276</v>
      </c>
    </row>
    <row r="5435" spans="1:4" x14ac:dyDescent="0.25">
      <c r="A5435" s="279">
        <v>39207</v>
      </c>
      <c r="B5435" s="309" t="s">
        <v>411</v>
      </c>
      <c r="C5435" s="309" t="s">
        <v>24</v>
      </c>
      <c r="D5435">
        <v>0</v>
      </c>
    </row>
    <row r="5436" spans="1:4" x14ac:dyDescent="0.25">
      <c r="A5436" s="279">
        <v>39207</v>
      </c>
      <c r="B5436" s="309" t="s">
        <v>411</v>
      </c>
      <c r="C5436" s="309" t="s">
        <v>91</v>
      </c>
      <c r="D5436">
        <v>0</v>
      </c>
    </row>
    <row r="5437" spans="1:4" x14ac:dyDescent="0.25">
      <c r="A5437" s="279">
        <v>39207</v>
      </c>
      <c r="B5437" s="309" t="s">
        <v>411</v>
      </c>
      <c r="C5437" s="309" t="s">
        <v>118</v>
      </c>
      <c r="D5437">
        <v>0</v>
      </c>
    </row>
    <row r="5438" spans="1:4" x14ac:dyDescent="0.25">
      <c r="A5438" s="279">
        <v>39207</v>
      </c>
      <c r="B5438" s="309" t="s">
        <v>411</v>
      </c>
      <c r="C5438" s="309" t="s">
        <v>407</v>
      </c>
      <c r="D5438">
        <v>173404</v>
      </c>
    </row>
    <row r="5439" spans="1:4" x14ac:dyDescent="0.25">
      <c r="A5439" s="279">
        <v>39207</v>
      </c>
      <c r="B5439" s="309" t="s">
        <v>411</v>
      </c>
      <c r="C5439" s="309" t="s">
        <v>412</v>
      </c>
      <c r="D5439">
        <v>1007</v>
      </c>
    </row>
    <row r="5440" spans="1:4" x14ac:dyDescent="0.25">
      <c r="A5440" s="279">
        <v>39207</v>
      </c>
      <c r="B5440" s="309" t="s">
        <v>411</v>
      </c>
      <c r="C5440" s="309" t="s">
        <v>409</v>
      </c>
      <c r="D5440">
        <v>1049</v>
      </c>
    </row>
    <row r="5441" spans="1:4" x14ac:dyDescent="0.25">
      <c r="A5441" s="279">
        <v>39208</v>
      </c>
      <c r="B5441" s="309" t="s">
        <v>405</v>
      </c>
      <c r="C5441" s="309" t="s">
        <v>406</v>
      </c>
      <c r="D5441">
        <v>2565740.1</v>
      </c>
    </row>
    <row r="5442" spans="1:4" x14ac:dyDescent="0.25">
      <c r="A5442" s="279">
        <v>39208</v>
      </c>
      <c r="B5442" s="309" t="s">
        <v>405</v>
      </c>
      <c r="C5442" s="309" t="s">
        <v>89</v>
      </c>
      <c r="D5442">
        <v>13162</v>
      </c>
    </row>
    <row r="5443" spans="1:4" x14ac:dyDescent="0.25">
      <c r="A5443" s="279">
        <v>39208</v>
      </c>
      <c r="B5443" s="309" t="s">
        <v>405</v>
      </c>
      <c r="C5443" s="309" t="s">
        <v>198</v>
      </c>
      <c r="D5443">
        <v>0</v>
      </c>
    </row>
    <row r="5444" spans="1:4" x14ac:dyDescent="0.25">
      <c r="A5444" s="279">
        <v>39208</v>
      </c>
      <c r="B5444" s="309" t="s">
        <v>405</v>
      </c>
      <c r="C5444" s="309" t="s">
        <v>199</v>
      </c>
      <c r="D5444">
        <v>0</v>
      </c>
    </row>
    <row r="5445" spans="1:4" x14ac:dyDescent="0.25">
      <c r="A5445" s="279">
        <v>39208</v>
      </c>
      <c r="B5445" s="309" t="s">
        <v>405</v>
      </c>
      <c r="C5445" s="309" t="s">
        <v>90</v>
      </c>
      <c r="D5445">
        <v>2224</v>
      </c>
    </row>
    <row r="5446" spans="1:4" x14ac:dyDescent="0.25">
      <c r="A5446" s="279">
        <v>39208</v>
      </c>
      <c r="B5446" s="309" t="s">
        <v>405</v>
      </c>
      <c r="C5446" s="309" t="s">
        <v>24</v>
      </c>
      <c r="D5446">
        <v>0</v>
      </c>
    </row>
    <row r="5447" spans="1:4" x14ac:dyDescent="0.25">
      <c r="A5447" s="279">
        <v>39208</v>
      </c>
      <c r="B5447" s="309" t="s">
        <v>405</v>
      </c>
      <c r="C5447" s="309" t="s">
        <v>91</v>
      </c>
      <c r="D5447">
        <v>0</v>
      </c>
    </row>
    <row r="5448" spans="1:4" x14ac:dyDescent="0.25">
      <c r="A5448" s="279">
        <v>39208</v>
      </c>
      <c r="B5448" s="309" t="s">
        <v>405</v>
      </c>
      <c r="C5448" s="309" t="s">
        <v>118</v>
      </c>
      <c r="D5448">
        <v>0</v>
      </c>
    </row>
    <row r="5449" spans="1:4" x14ac:dyDescent="0.25">
      <c r="A5449" s="279">
        <v>39208</v>
      </c>
      <c r="B5449" s="309" t="s">
        <v>405</v>
      </c>
      <c r="C5449" s="309" t="s">
        <v>407</v>
      </c>
      <c r="D5449">
        <v>2576678.1</v>
      </c>
    </row>
    <row r="5450" spans="1:4" x14ac:dyDescent="0.25">
      <c r="A5450" s="279">
        <v>39208</v>
      </c>
      <c r="B5450" s="309" t="s">
        <v>405</v>
      </c>
      <c r="C5450" s="309" t="s">
        <v>408</v>
      </c>
      <c r="D5450">
        <v>1007</v>
      </c>
    </row>
    <row r="5451" spans="1:4" x14ac:dyDescent="0.25">
      <c r="A5451" s="279">
        <v>39208</v>
      </c>
      <c r="B5451" s="309" t="s">
        <v>405</v>
      </c>
      <c r="C5451" s="309" t="s">
        <v>409</v>
      </c>
      <c r="D5451">
        <v>1058</v>
      </c>
    </row>
    <row r="5452" spans="1:4" x14ac:dyDescent="0.25">
      <c r="A5452" s="279">
        <v>39208</v>
      </c>
      <c r="B5452" s="309" t="s">
        <v>405</v>
      </c>
      <c r="C5452" s="309" t="s">
        <v>410</v>
      </c>
      <c r="D5452">
        <v>1041</v>
      </c>
    </row>
    <row r="5453" spans="1:4" x14ac:dyDescent="0.25">
      <c r="A5453" s="279">
        <v>39208</v>
      </c>
      <c r="B5453" s="309" t="s">
        <v>411</v>
      </c>
      <c r="C5453" s="309" t="s">
        <v>406</v>
      </c>
      <c r="D5453">
        <v>173404</v>
      </c>
    </row>
    <row r="5454" spans="1:4" x14ac:dyDescent="0.25">
      <c r="A5454" s="279">
        <v>39208</v>
      </c>
      <c r="B5454" s="309" t="s">
        <v>411</v>
      </c>
      <c r="C5454" s="309" t="s">
        <v>198</v>
      </c>
      <c r="D5454">
        <v>0</v>
      </c>
    </row>
    <row r="5455" spans="1:4" x14ac:dyDescent="0.25">
      <c r="A5455" s="279">
        <v>39208</v>
      </c>
      <c r="B5455" s="309" t="s">
        <v>411</v>
      </c>
      <c r="C5455" s="309" t="s">
        <v>199</v>
      </c>
      <c r="D5455">
        <v>0</v>
      </c>
    </row>
    <row r="5456" spans="1:4" x14ac:dyDescent="0.25">
      <c r="A5456" s="279">
        <v>39208</v>
      </c>
      <c r="B5456" s="309" t="s">
        <v>411</v>
      </c>
      <c r="C5456" s="309" t="s">
        <v>90</v>
      </c>
      <c r="D5456">
        <v>276</v>
      </c>
    </row>
    <row r="5457" spans="1:4" x14ac:dyDescent="0.25">
      <c r="A5457" s="279">
        <v>39208</v>
      </c>
      <c r="B5457" s="309" t="s">
        <v>411</v>
      </c>
      <c r="C5457" s="309" t="s">
        <v>24</v>
      </c>
      <c r="D5457">
        <v>0</v>
      </c>
    </row>
    <row r="5458" spans="1:4" x14ac:dyDescent="0.25">
      <c r="A5458" s="279">
        <v>39208</v>
      </c>
      <c r="B5458" s="309" t="s">
        <v>411</v>
      </c>
      <c r="C5458" s="309" t="s">
        <v>91</v>
      </c>
      <c r="D5458">
        <v>0</v>
      </c>
    </row>
    <row r="5459" spans="1:4" x14ac:dyDescent="0.25">
      <c r="A5459" s="279">
        <v>39208</v>
      </c>
      <c r="B5459" s="309" t="s">
        <v>411</v>
      </c>
      <c r="C5459" s="309" t="s">
        <v>118</v>
      </c>
      <c r="D5459">
        <v>0</v>
      </c>
    </row>
    <row r="5460" spans="1:4" x14ac:dyDescent="0.25">
      <c r="A5460" s="279">
        <v>39208</v>
      </c>
      <c r="B5460" s="309" t="s">
        <v>411</v>
      </c>
      <c r="C5460" s="309" t="s">
        <v>407</v>
      </c>
      <c r="D5460">
        <v>173128</v>
      </c>
    </row>
    <row r="5461" spans="1:4" x14ac:dyDescent="0.25">
      <c r="A5461" s="279">
        <v>39208</v>
      </c>
      <c r="B5461" s="309" t="s">
        <v>411</v>
      </c>
      <c r="C5461" s="309" t="s">
        <v>412</v>
      </c>
      <c r="D5461">
        <v>1007</v>
      </c>
    </row>
    <row r="5462" spans="1:4" x14ac:dyDescent="0.25">
      <c r="A5462" s="279">
        <v>39208</v>
      </c>
      <c r="B5462" s="309" t="s">
        <v>411</v>
      </c>
      <c r="C5462" s="309" t="s">
        <v>409</v>
      </c>
      <c r="D5462">
        <v>1049</v>
      </c>
    </row>
    <row r="5463" spans="1:4" x14ac:dyDescent="0.25">
      <c r="A5463" s="279">
        <v>39209</v>
      </c>
      <c r="B5463" s="309" t="s">
        <v>405</v>
      </c>
      <c r="C5463" s="309" t="s">
        <v>406</v>
      </c>
      <c r="D5463">
        <v>2576678.1</v>
      </c>
    </row>
    <row r="5464" spans="1:4" x14ac:dyDescent="0.25">
      <c r="A5464" s="279">
        <v>39209</v>
      </c>
      <c r="B5464" s="309" t="s">
        <v>405</v>
      </c>
      <c r="C5464" s="309" t="s">
        <v>89</v>
      </c>
      <c r="D5464">
        <v>11761</v>
      </c>
    </row>
    <row r="5465" spans="1:4" x14ac:dyDescent="0.25">
      <c r="A5465" s="279">
        <v>39209</v>
      </c>
      <c r="B5465" s="309" t="s">
        <v>405</v>
      </c>
      <c r="C5465" s="309" t="s">
        <v>198</v>
      </c>
      <c r="D5465">
        <v>0</v>
      </c>
    </row>
    <row r="5466" spans="1:4" x14ac:dyDescent="0.25">
      <c r="A5466" s="279">
        <v>39209</v>
      </c>
      <c r="B5466" s="309" t="s">
        <v>405</v>
      </c>
      <c r="C5466" s="309" t="s">
        <v>199</v>
      </c>
      <c r="D5466">
        <v>0</v>
      </c>
    </row>
    <row r="5467" spans="1:4" x14ac:dyDescent="0.25">
      <c r="A5467" s="279">
        <v>39209</v>
      </c>
      <c r="B5467" s="309" t="s">
        <v>405</v>
      </c>
      <c r="C5467" s="309" t="s">
        <v>90</v>
      </c>
      <c r="D5467">
        <v>2157</v>
      </c>
    </row>
    <row r="5468" spans="1:4" x14ac:dyDescent="0.25">
      <c r="A5468" s="279">
        <v>39209</v>
      </c>
      <c r="B5468" s="309" t="s">
        <v>405</v>
      </c>
      <c r="C5468" s="309" t="s">
        <v>24</v>
      </c>
      <c r="D5468">
        <v>0</v>
      </c>
    </row>
    <row r="5469" spans="1:4" x14ac:dyDescent="0.25">
      <c r="A5469" s="279">
        <v>39209</v>
      </c>
      <c r="B5469" s="309" t="s">
        <v>405</v>
      </c>
      <c r="C5469" s="309" t="s">
        <v>91</v>
      </c>
      <c r="D5469">
        <v>0</v>
      </c>
    </row>
    <row r="5470" spans="1:4" x14ac:dyDescent="0.25">
      <c r="A5470" s="279">
        <v>39209</v>
      </c>
      <c r="B5470" s="309" t="s">
        <v>405</v>
      </c>
      <c r="C5470" s="309" t="s">
        <v>118</v>
      </c>
      <c r="D5470">
        <v>0</v>
      </c>
    </row>
    <row r="5471" spans="1:4" x14ac:dyDescent="0.25">
      <c r="A5471" s="279">
        <v>39209</v>
      </c>
      <c r="B5471" s="309" t="s">
        <v>405</v>
      </c>
      <c r="C5471" s="309" t="s">
        <v>407</v>
      </c>
      <c r="D5471">
        <v>2586282.1</v>
      </c>
    </row>
    <row r="5472" spans="1:4" x14ac:dyDescent="0.25">
      <c r="A5472" s="279">
        <v>39209</v>
      </c>
      <c r="B5472" s="309" t="s">
        <v>405</v>
      </c>
      <c r="C5472" s="309" t="s">
        <v>408</v>
      </c>
      <c r="D5472">
        <v>1007</v>
      </c>
    </row>
    <row r="5473" spans="1:4" x14ac:dyDescent="0.25">
      <c r="A5473" s="279">
        <v>39209</v>
      </c>
      <c r="B5473" s="309" t="s">
        <v>405</v>
      </c>
      <c r="C5473" s="309" t="s">
        <v>409</v>
      </c>
      <c r="D5473">
        <v>1058</v>
      </c>
    </row>
    <row r="5474" spans="1:4" x14ac:dyDescent="0.25">
      <c r="A5474" s="279">
        <v>39209</v>
      </c>
      <c r="B5474" s="309" t="s">
        <v>405</v>
      </c>
      <c r="C5474" s="309" t="s">
        <v>410</v>
      </c>
      <c r="D5474">
        <v>1047</v>
      </c>
    </row>
    <row r="5475" spans="1:4" x14ac:dyDescent="0.25">
      <c r="A5475" s="279">
        <v>39209</v>
      </c>
      <c r="B5475" s="309" t="s">
        <v>411</v>
      </c>
      <c r="C5475" s="309" t="s">
        <v>406</v>
      </c>
      <c r="D5475">
        <v>173128</v>
      </c>
    </row>
    <row r="5476" spans="1:4" x14ac:dyDescent="0.25">
      <c r="A5476" s="279">
        <v>39209</v>
      </c>
      <c r="B5476" s="309" t="s">
        <v>411</v>
      </c>
      <c r="C5476" s="309" t="s">
        <v>198</v>
      </c>
      <c r="D5476">
        <v>0</v>
      </c>
    </row>
    <row r="5477" spans="1:4" x14ac:dyDescent="0.25">
      <c r="A5477" s="279">
        <v>39209</v>
      </c>
      <c r="B5477" s="309" t="s">
        <v>411</v>
      </c>
      <c r="C5477" s="309" t="s">
        <v>199</v>
      </c>
      <c r="D5477">
        <v>0</v>
      </c>
    </row>
    <row r="5478" spans="1:4" x14ac:dyDescent="0.25">
      <c r="A5478" s="279">
        <v>39209</v>
      </c>
      <c r="B5478" s="309" t="s">
        <v>411</v>
      </c>
      <c r="C5478" s="309" t="s">
        <v>90</v>
      </c>
      <c r="D5478">
        <v>64</v>
      </c>
    </row>
    <row r="5479" spans="1:4" x14ac:dyDescent="0.25">
      <c r="A5479" s="279">
        <v>39209</v>
      </c>
      <c r="B5479" s="309" t="s">
        <v>411</v>
      </c>
      <c r="C5479" s="309" t="s">
        <v>24</v>
      </c>
      <c r="D5479">
        <v>0</v>
      </c>
    </row>
    <row r="5480" spans="1:4" x14ac:dyDescent="0.25">
      <c r="A5480" s="279">
        <v>39209</v>
      </c>
      <c r="B5480" s="309" t="s">
        <v>411</v>
      </c>
      <c r="C5480" s="309" t="s">
        <v>91</v>
      </c>
      <c r="D5480">
        <v>0</v>
      </c>
    </row>
    <row r="5481" spans="1:4" x14ac:dyDescent="0.25">
      <c r="A5481" s="279">
        <v>39209</v>
      </c>
      <c r="B5481" s="309" t="s">
        <v>411</v>
      </c>
      <c r="C5481" s="309" t="s">
        <v>118</v>
      </c>
      <c r="D5481">
        <v>0</v>
      </c>
    </row>
    <row r="5482" spans="1:4" x14ac:dyDescent="0.25">
      <c r="A5482" s="279">
        <v>39209</v>
      </c>
      <c r="B5482" s="309" t="s">
        <v>411</v>
      </c>
      <c r="C5482" s="309" t="s">
        <v>407</v>
      </c>
      <c r="D5482">
        <v>173064</v>
      </c>
    </row>
    <row r="5483" spans="1:4" x14ac:dyDescent="0.25">
      <c r="A5483" s="279">
        <v>39209</v>
      </c>
      <c r="B5483" s="309" t="s">
        <v>411</v>
      </c>
      <c r="C5483" s="309" t="s">
        <v>412</v>
      </c>
      <c r="D5483">
        <v>1007</v>
      </c>
    </row>
    <row r="5484" spans="1:4" x14ac:dyDescent="0.25">
      <c r="A5484" s="279">
        <v>39209</v>
      </c>
      <c r="B5484" s="309" t="s">
        <v>411</v>
      </c>
      <c r="C5484" s="309" t="s">
        <v>409</v>
      </c>
      <c r="D5484">
        <v>1049</v>
      </c>
    </row>
    <row r="5485" spans="1:4" x14ac:dyDescent="0.25">
      <c r="A5485" s="279">
        <v>39210</v>
      </c>
      <c r="B5485" s="309" t="s">
        <v>405</v>
      </c>
      <c r="C5485" s="309" t="s">
        <v>406</v>
      </c>
      <c r="D5485">
        <v>2586282.1</v>
      </c>
    </row>
    <row r="5486" spans="1:4" x14ac:dyDescent="0.25">
      <c r="A5486" s="279">
        <v>39210</v>
      </c>
      <c r="B5486" s="309" t="s">
        <v>405</v>
      </c>
      <c r="C5486" s="309" t="s">
        <v>89</v>
      </c>
      <c r="D5486">
        <v>10079</v>
      </c>
    </row>
    <row r="5487" spans="1:4" x14ac:dyDescent="0.25">
      <c r="A5487" s="279">
        <v>39210</v>
      </c>
      <c r="B5487" s="309" t="s">
        <v>405</v>
      </c>
      <c r="C5487" s="309" t="s">
        <v>198</v>
      </c>
      <c r="D5487">
        <v>0</v>
      </c>
    </row>
    <row r="5488" spans="1:4" x14ac:dyDescent="0.25">
      <c r="A5488" s="279">
        <v>39210</v>
      </c>
      <c r="B5488" s="309" t="s">
        <v>405</v>
      </c>
      <c r="C5488" s="309" t="s">
        <v>199</v>
      </c>
      <c r="D5488">
        <v>0</v>
      </c>
    </row>
    <row r="5489" spans="1:4" x14ac:dyDescent="0.25">
      <c r="A5489" s="279">
        <v>39210</v>
      </c>
      <c r="B5489" s="309" t="s">
        <v>405</v>
      </c>
      <c r="C5489" s="309" t="s">
        <v>90</v>
      </c>
      <c r="D5489">
        <v>2073</v>
      </c>
    </row>
    <row r="5490" spans="1:4" x14ac:dyDescent="0.25">
      <c r="A5490" s="279">
        <v>39210</v>
      </c>
      <c r="B5490" s="309" t="s">
        <v>405</v>
      </c>
      <c r="C5490" s="309" t="s">
        <v>24</v>
      </c>
      <c r="D5490">
        <v>0</v>
      </c>
    </row>
    <row r="5491" spans="1:4" x14ac:dyDescent="0.25">
      <c r="A5491" s="279">
        <v>39210</v>
      </c>
      <c r="B5491" s="309" t="s">
        <v>405</v>
      </c>
      <c r="C5491" s="309" t="s">
        <v>91</v>
      </c>
      <c r="D5491">
        <v>0</v>
      </c>
    </row>
    <row r="5492" spans="1:4" x14ac:dyDescent="0.25">
      <c r="A5492" s="279">
        <v>39210</v>
      </c>
      <c r="B5492" s="309" t="s">
        <v>405</v>
      </c>
      <c r="C5492" s="309" t="s">
        <v>118</v>
      </c>
      <c r="D5492">
        <v>0</v>
      </c>
    </row>
    <row r="5493" spans="1:4" x14ac:dyDescent="0.25">
      <c r="A5493" s="279">
        <v>39210</v>
      </c>
      <c r="B5493" s="309" t="s">
        <v>405</v>
      </c>
      <c r="C5493" s="309" t="s">
        <v>407</v>
      </c>
      <c r="D5493">
        <v>2594288.1</v>
      </c>
    </row>
    <row r="5494" spans="1:4" x14ac:dyDescent="0.25">
      <c r="A5494" s="279">
        <v>39210</v>
      </c>
      <c r="B5494" s="309" t="s">
        <v>405</v>
      </c>
      <c r="C5494" s="309" t="s">
        <v>408</v>
      </c>
      <c r="D5494">
        <v>1007</v>
      </c>
    </row>
    <row r="5495" spans="1:4" x14ac:dyDescent="0.25">
      <c r="A5495" s="279">
        <v>39210</v>
      </c>
      <c r="B5495" s="309" t="s">
        <v>405</v>
      </c>
      <c r="C5495" s="309" t="s">
        <v>409</v>
      </c>
      <c r="D5495">
        <v>1058</v>
      </c>
    </row>
    <row r="5496" spans="1:4" x14ac:dyDescent="0.25">
      <c r="A5496" s="279">
        <v>39210</v>
      </c>
      <c r="B5496" s="309" t="s">
        <v>405</v>
      </c>
      <c r="C5496" s="309" t="s">
        <v>410</v>
      </c>
      <c r="D5496">
        <v>1048</v>
      </c>
    </row>
    <row r="5497" spans="1:4" x14ac:dyDescent="0.25">
      <c r="A5497" s="279">
        <v>39210</v>
      </c>
      <c r="B5497" s="309" t="s">
        <v>411</v>
      </c>
      <c r="C5497" s="309" t="s">
        <v>406</v>
      </c>
      <c r="D5497">
        <v>173064</v>
      </c>
    </row>
    <row r="5498" spans="1:4" x14ac:dyDescent="0.25">
      <c r="A5498" s="279">
        <v>39210</v>
      </c>
      <c r="B5498" s="309" t="s">
        <v>411</v>
      </c>
      <c r="C5498" s="309" t="s">
        <v>198</v>
      </c>
      <c r="D5498">
        <v>0</v>
      </c>
    </row>
    <row r="5499" spans="1:4" x14ac:dyDescent="0.25">
      <c r="A5499" s="279">
        <v>39210</v>
      </c>
      <c r="B5499" s="309" t="s">
        <v>411</v>
      </c>
      <c r="C5499" s="309" t="s">
        <v>199</v>
      </c>
      <c r="D5499">
        <v>0</v>
      </c>
    </row>
    <row r="5500" spans="1:4" x14ac:dyDescent="0.25">
      <c r="A5500" s="279">
        <v>39210</v>
      </c>
      <c r="B5500" s="309" t="s">
        <v>411</v>
      </c>
      <c r="C5500" s="309" t="s">
        <v>90</v>
      </c>
      <c r="D5500">
        <v>212</v>
      </c>
    </row>
    <row r="5501" spans="1:4" x14ac:dyDescent="0.25">
      <c r="A5501" s="279">
        <v>39210</v>
      </c>
      <c r="B5501" s="309" t="s">
        <v>411</v>
      </c>
      <c r="C5501" s="309" t="s">
        <v>24</v>
      </c>
      <c r="D5501">
        <v>0</v>
      </c>
    </row>
    <row r="5502" spans="1:4" x14ac:dyDescent="0.25">
      <c r="A5502" s="279">
        <v>39210</v>
      </c>
      <c r="B5502" s="309" t="s">
        <v>411</v>
      </c>
      <c r="C5502" s="309" t="s">
        <v>91</v>
      </c>
      <c r="D5502">
        <v>0</v>
      </c>
    </row>
    <row r="5503" spans="1:4" x14ac:dyDescent="0.25">
      <c r="A5503" s="279">
        <v>39210</v>
      </c>
      <c r="B5503" s="309" t="s">
        <v>411</v>
      </c>
      <c r="C5503" s="309" t="s">
        <v>118</v>
      </c>
      <c r="D5503">
        <v>0</v>
      </c>
    </row>
    <row r="5504" spans="1:4" x14ac:dyDescent="0.25">
      <c r="A5504" s="279">
        <v>39210</v>
      </c>
      <c r="B5504" s="309" t="s">
        <v>411</v>
      </c>
      <c r="C5504" s="309" t="s">
        <v>407</v>
      </c>
      <c r="D5504">
        <v>172852</v>
      </c>
    </row>
    <row r="5505" spans="1:4" x14ac:dyDescent="0.25">
      <c r="A5505" s="279">
        <v>39210</v>
      </c>
      <c r="B5505" s="309" t="s">
        <v>411</v>
      </c>
      <c r="C5505" s="309" t="s">
        <v>412</v>
      </c>
      <c r="D5505">
        <v>1007</v>
      </c>
    </row>
    <row r="5506" spans="1:4" x14ac:dyDescent="0.25">
      <c r="A5506" s="279">
        <v>39210</v>
      </c>
      <c r="B5506" s="309" t="s">
        <v>411</v>
      </c>
      <c r="C5506" s="309" t="s">
        <v>409</v>
      </c>
      <c r="D5506">
        <v>1049</v>
      </c>
    </row>
    <row r="5507" spans="1:4" x14ac:dyDescent="0.25">
      <c r="A5507" s="279">
        <v>39211</v>
      </c>
      <c r="B5507" s="309" t="s">
        <v>405</v>
      </c>
      <c r="C5507" s="309" t="s">
        <v>406</v>
      </c>
      <c r="D5507">
        <v>2594288.1</v>
      </c>
    </row>
    <row r="5508" spans="1:4" x14ac:dyDescent="0.25">
      <c r="A5508" s="279">
        <v>39211</v>
      </c>
      <c r="B5508" s="309" t="s">
        <v>405</v>
      </c>
      <c r="C5508" s="309" t="s">
        <v>89</v>
      </c>
      <c r="D5508">
        <v>6430</v>
      </c>
    </row>
    <row r="5509" spans="1:4" x14ac:dyDescent="0.25">
      <c r="A5509" s="279">
        <v>39211</v>
      </c>
      <c r="B5509" s="309" t="s">
        <v>405</v>
      </c>
      <c r="C5509" s="309" t="s">
        <v>198</v>
      </c>
      <c r="D5509">
        <v>0</v>
      </c>
    </row>
    <row r="5510" spans="1:4" x14ac:dyDescent="0.25">
      <c r="A5510" s="279">
        <v>39211</v>
      </c>
      <c r="B5510" s="309" t="s">
        <v>405</v>
      </c>
      <c r="C5510" s="309" t="s">
        <v>199</v>
      </c>
      <c r="D5510">
        <v>0</v>
      </c>
    </row>
    <row r="5511" spans="1:4" x14ac:dyDescent="0.25">
      <c r="A5511" s="279">
        <v>39211</v>
      </c>
      <c r="B5511" s="309" t="s">
        <v>405</v>
      </c>
      <c r="C5511" s="309" t="s">
        <v>90</v>
      </c>
      <c r="D5511">
        <v>1894</v>
      </c>
    </row>
    <row r="5512" spans="1:4" x14ac:dyDescent="0.25">
      <c r="A5512" s="279">
        <v>39211</v>
      </c>
      <c r="B5512" s="309" t="s">
        <v>405</v>
      </c>
      <c r="C5512" s="309" t="s">
        <v>24</v>
      </c>
      <c r="D5512">
        <v>0</v>
      </c>
    </row>
    <row r="5513" spans="1:4" x14ac:dyDescent="0.25">
      <c r="A5513" s="279">
        <v>39211</v>
      </c>
      <c r="B5513" s="309" t="s">
        <v>405</v>
      </c>
      <c r="C5513" s="309" t="s">
        <v>91</v>
      </c>
      <c r="D5513">
        <v>0</v>
      </c>
    </row>
    <row r="5514" spans="1:4" x14ac:dyDescent="0.25">
      <c r="A5514" s="279">
        <v>39211</v>
      </c>
      <c r="B5514" s="309" t="s">
        <v>405</v>
      </c>
      <c r="C5514" s="309" t="s">
        <v>118</v>
      </c>
      <c r="D5514">
        <v>0</v>
      </c>
    </row>
    <row r="5515" spans="1:4" x14ac:dyDescent="0.25">
      <c r="A5515" s="279">
        <v>39211</v>
      </c>
      <c r="B5515" s="309" t="s">
        <v>405</v>
      </c>
      <c r="C5515" s="309" t="s">
        <v>407</v>
      </c>
      <c r="D5515">
        <v>2598824.1</v>
      </c>
    </row>
    <row r="5516" spans="1:4" x14ac:dyDescent="0.25">
      <c r="A5516" s="279">
        <v>39211</v>
      </c>
      <c r="B5516" s="309" t="s">
        <v>405</v>
      </c>
      <c r="C5516" s="309" t="s">
        <v>408</v>
      </c>
      <c r="D5516">
        <v>1007</v>
      </c>
    </row>
    <row r="5517" spans="1:4" x14ac:dyDescent="0.25">
      <c r="A5517" s="279">
        <v>39211</v>
      </c>
      <c r="B5517" s="309" t="s">
        <v>405</v>
      </c>
      <c r="C5517" s="309" t="s">
        <v>409</v>
      </c>
      <c r="D5517">
        <v>1058</v>
      </c>
    </row>
    <row r="5518" spans="1:4" x14ac:dyDescent="0.25">
      <c r="A5518" s="279">
        <v>39211</v>
      </c>
      <c r="B5518" s="309" t="s">
        <v>405</v>
      </c>
      <c r="C5518" s="309" t="s">
        <v>410</v>
      </c>
      <c r="D5518">
        <v>1046</v>
      </c>
    </row>
    <row r="5519" spans="1:4" x14ac:dyDescent="0.25">
      <c r="A5519" s="279">
        <v>39211</v>
      </c>
      <c r="B5519" s="309" t="s">
        <v>411</v>
      </c>
      <c r="C5519" s="309" t="s">
        <v>406</v>
      </c>
      <c r="D5519">
        <v>172852</v>
      </c>
    </row>
    <row r="5520" spans="1:4" x14ac:dyDescent="0.25">
      <c r="A5520" s="279">
        <v>39211</v>
      </c>
      <c r="B5520" s="309" t="s">
        <v>411</v>
      </c>
      <c r="C5520" s="309" t="s">
        <v>198</v>
      </c>
      <c r="D5520">
        <v>0</v>
      </c>
    </row>
    <row r="5521" spans="1:4" x14ac:dyDescent="0.25">
      <c r="A5521" s="279">
        <v>39211</v>
      </c>
      <c r="B5521" s="309" t="s">
        <v>411</v>
      </c>
      <c r="C5521" s="309" t="s">
        <v>199</v>
      </c>
      <c r="D5521">
        <v>0</v>
      </c>
    </row>
    <row r="5522" spans="1:4" x14ac:dyDescent="0.25">
      <c r="A5522" s="279">
        <v>39211</v>
      </c>
      <c r="B5522" s="309" t="s">
        <v>411</v>
      </c>
      <c r="C5522" s="309" t="s">
        <v>90</v>
      </c>
      <c r="D5522">
        <v>61</v>
      </c>
    </row>
    <row r="5523" spans="1:4" x14ac:dyDescent="0.25">
      <c r="A5523" s="279">
        <v>39211</v>
      </c>
      <c r="B5523" s="309" t="s">
        <v>411</v>
      </c>
      <c r="C5523" s="309" t="s">
        <v>24</v>
      </c>
      <c r="D5523">
        <v>0</v>
      </c>
    </row>
    <row r="5524" spans="1:4" x14ac:dyDescent="0.25">
      <c r="A5524" s="279">
        <v>39211</v>
      </c>
      <c r="B5524" s="309" t="s">
        <v>411</v>
      </c>
      <c r="C5524" s="309" t="s">
        <v>91</v>
      </c>
      <c r="D5524">
        <v>0</v>
      </c>
    </row>
    <row r="5525" spans="1:4" x14ac:dyDescent="0.25">
      <c r="A5525" s="279">
        <v>39211</v>
      </c>
      <c r="B5525" s="309" t="s">
        <v>411</v>
      </c>
      <c r="C5525" s="309" t="s">
        <v>118</v>
      </c>
      <c r="D5525">
        <v>0</v>
      </c>
    </row>
    <row r="5526" spans="1:4" x14ac:dyDescent="0.25">
      <c r="A5526" s="279">
        <v>39211</v>
      </c>
      <c r="B5526" s="309" t="s">
        <v>411</v>
      </c>
      <c r="C5526" s="309" t="s">
        <v>407</v>
      </c>
      <c r="D5526">
        <v>172791</v>
      </c>
    </row>
    <row r="5527" spans="1:4" x14ac:dyDescent="0.25">
      <c r="A5527" s="279">
        <v>39211</v>
      </c>
      <c r="B5527" s="309" t="s">
        <v>411</v>
      </c>
      <c r="C5527" s="309" t="s">
        <v>412</v>
      </c>
      <c r="D5527">
        <v>1007</v>
      </c>
    </row>
    <row r="5528" spans="1:4" x14ac:dyDescent="0.25">
      <c r="A5528" s="279">
        <v>39211</v>
      </c>
      <c r="B5528" s="309" t="s">
        <v>411</v>
      </c>
      <c r="C5528" s="309" t="s">
        <v>409</v>
      </c>
      <c r="D5528">
        <v>1049</v>
      </c>
    </row>
    <row r="5529" spans="1:4" x14ac:dyDescent="0.25">
      <c r="A5529" s="279">
        <v>39212</v>
      </c>
      <c r="B5529" s="309" t="s">
        <v>405</v>
      </c>
      <c r="C5529" s="309" t="s">
        <v>406</v>
      </c>
      <c r="D5529">
        <v>2598824.1</v>
      </c>
    </row>
    <row r="5530" spans="1:4" x14ac:dyDescent="0.25">
      <c r="A5530" s="279">
        <v>39212</v>
      </c>
      <c r="B5530" s="309" t="s">
        <v>405</v>
      </c>
      <c r="C5530" s="309" t="s">
        <v>89</v>
      </c>
      <c r="D5530">
        <v>6712</v>
      </c>
    </row>
    <row r="5531" spans="1:4" x14ac:dyDescent="0.25">
      <c r="A5531" s="279">
        <v>39212</v>
      </c>
      <c r="B5531" s="309" t="s">
        <v>405</v>
      </c>
      <c r="C5531" s="309" t="s">
        <v>198</v>
      </c>
      <c r="D5531">
        <v>0</v>
      </c>
    </row>
    <row r="5532" spans="1:4" x14ac:dyDescent="0.25">
      <c r="A5532" s="279">
        <v>39212</v>
      </c>
      <c r="B5532" s="309" t="s">
        <v>405</v>
      </c>
      <c r="C5532" s="309" t="s">
        <v>199</v>
      </c>
      <c r="D5532">
        <v>0</v>
      </c>
    </row>
    <row r="5533" spans="1:4" x14ac:dyDescent="0.25">
      <c r="A5533" s="279">
        <v>39212</v>
      </c>
      <c r="B5533" s="309" t="s">
        <v>405</v>
      </c>
      <c r="C5533" s="309" t="s">
        <v>90</v>
      </c>
      <c r="D5533">
        <v>1910</v>
      </c>
    </row>
    <row r="5534" spans="1:4" x14ac:dyDescent="0.25">
      <c r="A5534" s="279">
        <v>39212</v>
      </c>
      <c r="B5534" s="309" t="s">
        <v>405</v>
      </c>
      <c r="C5534" s="309" t="s">
        <v>24</v>
      </c>
      <c r="D5534">
        <v>0</v>
      </c>
    </row>
    <row r="5535" spans="1:4" x14ac:dyDescent="0.25">
      <c r="A5535" s="279">
        <v>39212</v>
      </c>
      <c r="B5535" s="309" t="s">
        <v>405</v>
      </c>
      <c r="C5535" s="309" t="s">
        <v>91</v>
      </c>
      <c r="D5535">
        <v>0</v>
      </c>
    </row>
    <row r="5536" spans="1:4" x14ac:dyDescent="0.25">
      <c r="A5536" s="279">
        <v>39212</v>
      </c>
      <c r="B5536" s="309" t="s">
        <v>405</v>
      </c>
      <c r="C5536" s="309" t="s">
        <v>118</v>
      </c>
      <c r="D5536">
        <v>0</v>
      </c>
    </row>
    <row r="5537" spans="1:4" x14ac:dyDescent="0.25">
      <c r="A5537" s="279">
        <v>39212</v>
      </c>
      <c r="B5537" s="309" t="s">
        <v>405</v>
      </c>
      <c r="C5537" s="309" t="s">
        <v>407</v>
      </c>
      <c r="D5537">
        <v>2603626.1</v>
      </c>
    </row>
    <row r="5538" spans="1:4" x14ac:dyDescent="0.25">
      <c r="A5538" s="279">
        <v>39212</v>
      </c>
      <c r="B5538" s="309" t="s">
        <v>405</v>
      </c>
      <c r="C5538" s="309" t="s">
        <v>408</v>
      </c>
      <c r="D5538">
        <v>1007</v>
      </c>
    </row>
    <row r="5539" spans="1:4" x14ac:dyDescent="0.25">
      <c r="A5539" s="279">
        <v>39212</v>
      </c>
      <c r="B5539" s="309" t="s">
        <v>405</v>
      </c>
      <c r="C5539" s="309" t="s">
        <v>409</v>
      </c>
      <c r="D5539">
        <v>1058</v>
      </c>
    </row>
    <row r="5540" spans="1:4" x14ac:dyDescent="0.25">
      <c r="A5540" s="279">
        <v>39212</v>
      </c>
      <c r="B5540" s="309" t="s">
        <v>405</v>
      </c>
      <c r="C5540" s="309" t="s">
        <v>410</v>
      </c>
      <c r="D5540">
        <v>1046</v>
      </c>
    </row>
    <row r="5541" spans="1:4" x14ac:dyDescent="0.25">
      <c r="A5541" s="279">
        <v>39212</v>
      </c>
      <c r="B5541" s="309" t="s">
        <v>411</v>
      </c>
      <c r="C5541" s="309" t="s">
        <v>406</v>
      </c>
      <c r="D5541">
        <v>172791</v>
      </c>
    </row>
    <row r="5542" spans="1:4" x14ac:dyDescent="0.25">
      <c r="A5542" s="279">
        <v>39212</v>
      </c>
      <c r="B5542" s="309" t="s">
        <v>411</v>
      </c>
      <c r="C5542" s="309" t="s">
        <v>198</v>
      </c>
      <c r="D5542">
        <v>0</v>
      </c>
    </row>
    <row r="5543" spans="1:4" x14ac:dyDescent="0.25">
      <c r="A5543" s="279">
        <v>39212</v>
      </c>
      <c r="B5543" s="309" t="s">
        <v>411</v>
      </c>
      <c r="C5543" s="309" t="s">
        <v>199</v>
      </c>
      <c r="D5543">
        <v>0</v>
      </c>
    </row>
    <row r="5544" spans="1:4" x14ac:dyDescent="0.25">
      <c r="A5544" s="279">
        <v>39212</v>
      </c>
      <c r="B5544" s="309" t="s">
        <v>411</v>
      </c>
      <c r="C5544" s="309" t="s">
        <v>90</v>
      </c>
      <c r="D5544">
        <v>214</v>
      </c>
    </row>
    <row r="5545" spans="1:4" x14ac:dyDescent="0.25">
      <c r="A5545" s="279">
        <v>39212</v>
      </c>
      <c r="B5545" s="309" t="s">
        <v>411</v>
      </c>
      <c r="C5545" s="309" t="s">
        <v>24</v>
      </c>
      <c r="D5545">
        <v>0</v>
      </c>
    </row>
    <row r="5546" spans="1:4" x14ac:dyDescent="0.25">
      <c r="A5546" s="279">
        <v>39212</v>
      </c>
      <c r="B5546" s="309" t="s">
        <v>411</v>
      </c>
      <c r="C5546" s="309" t="s">
        <v>91</v>
      </c>
      <c r="D5546">
        <v>0</v>
      </c>
    </row>
    <row r="5547" spans="1:4" x14ac:dyDescent="0.25">
      <c r="A5547" s="279">
        <v>39212</v>
      </c>
      <c r="B5547" s="309" t="s">
        <v>411</v>
      </c>
      <c r="C5547" s="309" t="s">
        <v>118</v>
      </c>
      <c r="D5547">
        <v>0</v>
      </c>
    </row>
    <row r="5548" spans="1:4" x14ac:dyDescent="0.25">
      <c r="A5548" s="279">
        <v>39212</v>
      </c>
      <c r="B5548" s="309" t="s">
        <v>411</v>
      </c>
      <c r="C5548" s="309" t="s">
        <v>407</v>
      </c>
      <c r="D5548">
        <v>172577</v>
      </c>
    </row>
    <row r="5549" spans="1:4" x14ac:dyDescent="0.25">
      <c r="A5549" s="279">
        <v>39212</v>
      </c>
      <c r="B5549" s="309" t="s">
        <v>411</v>
      </c>
      <c r="C5549" s="309" t="s">
        <v>412</v>
      </c>
      <c r="D5549">
        <v>1007</v>
      </c>
    </row>
    <row r="5550" spans="1:4" x14ac:dyDescent="0.25">
      <c r="A5550" s="279">
        <v>39212</v>
      </c>
      <c r="B5550" s="309" t="s">
        <v>411</v>
      </c>
      <c r="C5550" s="309" t="s">
        <v>409</v>
      </c>
      <c r="D5550">
        <v>1049</v>
      </c>
    </row>
    <row r="5551" spans="1:4" x14ac:dyDescent="0.25">
      <c r="A5551" s="279">
        <v>39213</v>
      </c>
      <c r="B5551" s="309" t="s">
        <v>405</v>
      </c>
      <c r="C5551" s="309" t="s">
        <v>406</v>
      </c>
      <c r="D5551">
        <v>2603626.1</v>
      </c>
    </row>
    <row r="5552" spans="1:4" x14ac:dyDescent="0.25">
      <c r="A5552" s="279">
        <v>39213</v>
      </c>
      <c r="B5552" s="309" t="s">
        <v>405</v>
      </c>
      <c r="C5552" s="309" t="s">
        <v>89</v>
      </c>
      <c r="D5552">
        <v>7275</v>
      </c>
    </row>
    <row r="5553" spans="1:4" x14ac:dyDescent="0.25">
      <c r="A5553" s="279">
        <v>39213</v>
      </c>
      <c r="B5553" s="309" t="s">
        <v>405</v>
      </c>
      <c r="C5553" s="309" t="s">
        <v>198</v>
      </c>
      <c r="D5553">
        <v>0</v>
      </c>
    </row>
    <row r="5554" spans="1:4" x14ac:dyDescent="0.25">
      <c r="A5554" s="279">
        <v>39213</v>
      </c>
      <c r="B5554" s="309" t="s">
        <v>405</v>
      </c>
      <c r="C5554" s="309" t="s">
        <v>199</v>
      </c>
      <c r="D5554">
        <v>0</v>
      </c>
    </row>
    <row r="5555" spans="1:4" x14ac:dyDescent="0.25">
      <c r="A5555" s="279">
        <v>39213</v>
      </c>
      <c r="B5555" s="309" t="s">
        <v>405</v>
      </c>
      <c r="C5555" s="309" t="s">
        <v>90</v>
      </c>
      <c r="D5555">
        <v>1939</v>
      </c>
    </row>
    <row r="5556" spans="1:4" x14ac:dyDescent="0.25">
      <c r="A5556" s="279">
        <v>39213</v>
      </c>
      <c r="B5556" s="309" t="s">
        <v>405</v>
      </c>
      <c r="C5556" s="309" t="s">
        <v>24</v>
      </c>
      <c r="D5556">
        <v>0</v>
      </c>
    </row>
    <row r="5557" spans="1:4" x14ac:dyDescent="0.25">
      <c r="A5557" s="279">
        <v>39213</v>
      </c>
      <c r="B5557" s="309" t="s">
        <v>405</v>
      </c>
      <c r="C5557" s="309" t="s">
        <v>91</v>
      </c>
      <c r="D5557">
        <v>0</v>
      </c>
    </row>
    <row r="5558" spans="1:4" x14ac:dyDescent="0.25">
      <c r="A5558" s="279">
        <v>39213</v>
      </c>
      <c r="B5558" s="309" t="s">
        <v>405</v>
      </c>
      <c r="C5558" s="309" t="s">
        <v>118</v>
      </c>
      <c r="D5558">
        <v>0</v>
      </c>
    </row>
    <row r="5559" spans="1:4" x14ac:dyDescent="0.25">
      <c r="A5559" s="279">
        <v>39213</v>
      </c>
      <c r="B5559" s="309" t="s">
        <v>405</v>
      </c>
      <c r="C5559" s="309" t="s">
        <v>407</v>
      </c>
      <c r="D5559">
        <v>2608962.1</v>
      </c>
    </row>
    <row r="5560" spans="1:4" x14ac:dyDescent="0.25">
      <c r="A5560" s="279">
        <v>39213</v>
      </c>
      <c r="B5560" s="309" t="s">
        <v>405</v>
      </c>
      <c r="C5560" s="309" t="s">
        <v>408</v>
      </c>
      <c r="D5560">
        <v>1007</v>
      </c>
    </row>
    <row r="5561" spans="1:4" x14ac:dyDescent="0.25">
      <c r="A5561" s="279">
        <v>39213</v>
      </c>
      <c r="B5561" s="309" t="s">
        <v>405</v>
      </c>
      <c r="C5561" s="309" t="s">
        <v>409</v>
      </c>
      <c r="D5561">
        <v>1058</v>
      </c>
    </row>
    <row r="5562" spans="1:4" x14ac:dyDescent="0.25">
      <c r="A5562" s="279">
        <v>39213</v>
      </c>
      <c r="B5562" s="309" t="s">
        <v>405</v>
      </c>
      <c r="C5562" s="309" t="s">
        <v>410</v>
      </c>
      <c r="D5562">
        <v>1046</v>
      </c>
    </row>
    <row r="5563" spans="1:4" x14ac:dyDescent="0.25">
      <c r="A5563" s="279">
        <v>39213</v>
      </c>
      <c r="B5563" s="309" t="s">
        <v>411</v>
      </c>
      <c r="C5563" s="309" t="s">
        <v>406</v>
      </c>
      <c r="D5563">
        <v>172577</v>
      </c>
    </row>
    <row r="5564" spans="1:4" x14ac:dyDescent="0.25">
      <c r="A5564" s="279">
        <v>39213</v>
      </c>
      <c r="B5564" s="309" t="s">
        <v>411</v>
      </c>
      <c r="C5564" s="309" t="s">
        <v>198</v>
      </c>
      <c r="D5564">
        <v>0</v>
      </c>
    </row>
    <row r="5565" spans="1:4" x14ac:dyDescent="0.25">
      <c r="A5565" s="279">
        <v>39213</v>
      </c>
      <c r="B5565" s="309" t="s">
        <v>411</v>
      </c>
      <c r="C5565" s="309" t="s">
        <v>199</v>
      </c>
      <c r="D5565">
        <v>0</v>
      </c>
    </row>
    <row r="5566" spans="1:4" x14ac:dyDescent="0.25">
      <c r="A5566" s="279">
        <v>39213</v>
      </c>
      <c r="B5566" s="309" t="s">
        <v>411</v>
      </c>
      <c r="C5566" s="309" t="s">
        <v>90</v>
      </c>
      <c r="D5566">
        <v>71</v>
      </c>
    </row>
    <row r="5567" spans="1:4" x14ac:dyDescent="0.25">
      <c r="A5567" s="279">
        <v>39213</v>
      </c>
      <c r="B5567" s="309" t="s">
        <v>411</v>
      </c>
      <c r="C5567" s="309" t="s">
        <v>24</v>
      </c>
      <c r="D5567">
        <v>0</v>
      </c>
    </row>
    <row r="5568" spans="1:4" x14ac:dyDescent="0.25">
      <c r="A5568" s="279">
        <v>39213</v>
      </c>
      <c r="B5568" s="309" t="s">
        <v>411</v>
      </c>
      <c r="C5568" s="309" t="s">
        <v>91</v>
      </c>
      <c r="D5568">
        <v>0</v>
      </c>
    </row>
    <row r="5569" spans="1:4" x14ac:dyDescent="0.25">
      <c r="A5569" s="279">
        <v>39213</v>
      </c>
      <c r="B5569" s="309" t="s">
        <v>411</v>
      </c>
      <c r="C5569" s="309" t="s">
        <v>118</v>
      </c>
      <c r="D5569">
        <v>0</v>
      </c>
    </row>
    <row r="5570" spans="1:4" x14ac:dyDescent="0.25">
      <c r="A5570" s="279">
        <v>39213</v>
      </c>
      <c r="B5570" s="309" t="s">
        <v>411</v>
      </c>
      <c r="C5570" s="309" t="s">
        <v>407</v>
      </c>
      <c r="D5570">
        <v>172506</v>
      </c>
    </row>
    <row r="5571" spans="1:4" x14ac:dyDescent="0.25">
      <c r="A5571" s="279">
        <v>39213</v>
      </c>
      <c r="B5571" s="309" t="s">
        <v>411</v>
      </c>
      <c r="C5571" s="309" t="s">
        <v>412</v>
      </c>
      <c r="D5571">
        <v>1007</v>
      </c>
    </row>
    <row r="5572" spans="1:4" x14ac:dyDescent="0.25">
      <c r="A5572" s="279">
        <v>39213</v>
      </c>
      <c r="B5572" s="309" t="s">
        <v>411</v>
      </c>
      <c r="C5572" s="309" t="s">
        <v>409</v>
      </c>
      <c r="D5572">
        <v>1049</v>
      </c>
    </row>
    <row r="5573" spans="1:4" x14ac:dyDescent="0.25">
      <c r="A5573" s="279">
        <v>39214</v>
      </c>
      <c r="B5573" s="309" t="s">
        <v>405</v>
      </c>
      <c r="C5573" s="309" t="s">
        <v>406</v>
      </c>
      <c r="D5573">
        <v>2608962.1</v>
      </c>
    </row>
    <row r="5574" spans="1:4" x14ac:dyDescent="0.25">
      <c r="A5574" s="279">
        <v>39214</v>
      </c>
      <c r="B5574" s="309" t="s">
        <v>405</v>
      </c>
      <c r="C5574" s="309" t="s">
        <v>89</v>
      </c>
      <c r="D5574">
        <v>9243</v>
      </c>
    </row>
    <row r="5575" spans="1:4" x14ac:dyDescent="0.25">
      <c r="A5575" s="279">
        <v>39214</v>
      </c>
      <c r="B5575" s="309" t="s">
        <v>405</v>
      </c>
      <c r="C5575" s="309" t="s">
        <v>198</v>
      </c>
      <c r="D5575">
        <v>0</v>
      </c>
    </row>
    <row r="5576" spans="1:4" x14ac:dyDescent="0.25">
      <c r="A5576" s="279">
        <v>39214</v>
      </c>
      <c r="B5576" s="309" t="s">
        <v>405</v>
      </c>
      <c r="C5576" s="309" t="s">
        <v>199</v>
      </c>
      <c r="D5576">
        <v>0</v>
      </c>
    </row>
    <row r="5577" spans="1:4" x14ac:dyDescent="0.25">
      <c r="A5577" s="279">
        <v>39214</v>
      </c>
      <c r="B5577" s="309" t="s">
        <v>405</v>
      </c>
      <c r="C5577" s="309" t="s">
        <v>90</v>
      </c>
      <c r="D5577">
        <v>2040</v>
      </c>
    </row>
    <row r="5578" spans="1:4" x14ac:dyDescent="0.25">
      <c r="A5578" s="279">
        <v>39214</v>
      </c>
      <c r="B5578" s="309" t="s">
        <v>405</v>
      </c>
      <c r="C5578" s="309" t="s">
        <v>24</v>
      </c>
      <c r="D5578">
        <v>0</v>
      </c>
    </row>
    <row r="5579" spans="1:4" x14ac:dyDescent="0.25">
      <c r="A5579" s="279">
        <v>39214</v>
      </c>
      <c r="B5579" s="309" t="s">
        <v>405</v>
      </c>
      <c r="C5579" s="309" t="s">
        <v>91</v>
      </c>
      <c r="D5579">
        <v>0</v>
      </c>
    </row>
    <row r="5580" spans="1:4" x14ac:dyDescent="0.25">
      <c r="A5580" s="279">
        <v>39214</v>
      </c>
      <c r="B5580" s="309" t="s">
        <v>405</v>
      </c>
      <c r="C5580" s="309" t="s">
        <v>118</v>
      </c>
      <c r="D5580">
        <v>0</v>
      </c>
    </row>
    <row r="5581" spans="1:4" x14ac:dyDescent="0.25">
      <c r="A5581" s="279">
        <v>39214</v>
      </c>
      <c r="B5581" s="309" t="s">
        <v>405</v>
      </c>
      <c r="C5581" s="309" t="s">
        <v>407</v>
      </c>
      <c r="D5581">
        <v>2616165.1</v>
      </c>
    </row>
    <row r="5582" spans="1:4" x14ac:dyDescent="0.25">
      <c r="A5582" s="279">
        <v>39214</v>
      </c>
      <c r="B5582" s="309" t="s">
        <v>405</v>
      </c>
      <c r="C5582" s="309" t="s">
        <v>408</v>
      </c>
      <c r="D5582">
        <v>1007</v>
      </c>
    </row>
    <row r="5583" spans="1:4" x14ac:dyDescent="0.25">
      <c r="A5583" s="279">
        <v>39214</v>
      </c>
      <c r="B5583" s="309" t="s">
        <v>405</v>
      </c>
      <c r="C5583" s="309" t="s">
        <v>409</v>
      </c>
      <c r="D5583">
        <v>1058</v>
      </c>
    </row>
    <row r="5584" spans="1:4" x14ac:dyDescent="0.25">
      <c r="A5584" s="279">
        <v>39214</v>
      </c>
      <c r="B5584" s="309" t="s">
        <v>405</v>
      </c>
      <c r="C5584" s="309" t="s">
        <v>410</v>
      </c>
      <c r="D5584">
        <v>1040</v>
      </c>
    </row>
    <row r="5585" spans="1:4" x14ac:dyDescent="0.25">
      <c r="A5585" s="279">
        <v>39214</v>
      </c>
      <c r="B5585" s="309" t="s">
        <v>411</v>
      </c>
      <c r="C5585" s="309" t="s">
        <v>406</v>
      </c>
      <c r="D5585">
        <v>172506</v>
      </c>
    </row>
    <row r="5586" spans="1:4" x14ac:dyDescent="0.25">
      <c r="A5586" s="279">
        <v>39214</v>
      </c>
      <c r="B5586" s="309" t="s">
        <v>411</v>
      </c>
      <c r="C5586" s="309" t="s">
        <v>198</v>
      </c>
      <c r="D5586">
        <v>0</v>
      </c>
    </row>
    <row r="5587" spans="1:4" x14ac:dyDescent="0.25">
      <c r="A5587" s="279">
        <v>39214</v>
      </c>
      <c r="B5587" s="309" t="s">
        <v>411</v>
      </c>
      <c r="C5587" s="309" t="s">
        <v>199</v>
      </c>
      <c r="D5587">
        <v>0</v>
      </c>
    </row>
    <row r="5588" spans="1:4" x14ac:dyDescent="0.25">
      <c r="A5588" s="279">
        <v>39214</v>
      </c>
      <c r="B5588" s="309" t="s">
        <v>411</v>
      </c>
      <c r="C5588" s="309" t="s">
        <v>90</v>
      </c>
      <c r="D5588">
        <v>205</v>
      </c>
    </row>
    <row r="5589" spans="1:4" x14ac:dyDescent="0.25">
      <c r="A5589" s="279">
        <v>39214</v>
      </c>
      <c r="B5589" s="309" t="s">
        <v>411</v>
      </c>
      <c r="C5589" s="309" t="s">
        <v>24</v>
      </c>
      <c r="D5589">
        <v>0</v>
      </c>
    </row>
    <row r="5590" spans="1:4" x14ac:dyDescent="0.25">
      <c r="A5590" s="279">
        <v>39214</v>
      </c>
      <c r="B5590" s="309" t="s">
        <v>411</v>
      </c>
      <c r="C5590" s="309" t="s">
        <v>91</v>
      </c>
      <c r="D5590">
        <v>0</v>
      </c>
    </row>
    <row r="5591" spans="1:4" x14ac:dyDescent="0.25">
      <c r="A5591" s="279">
        <v>39214</v>
      </c>
      <c r="B5591" s="309" t="s">
        <v>411</v>
      </c>
      <c r="C5591" s="309" t="s">
        <v>118</v>
      </c>
      <c r="D5591">
        <v>0</v>
      </c>
    </row>
    <row r="5592" spans="1:4" x14ac:dyDescent="0.25">
      <c r="A5592" s="279">
        <v>39214</v>
      </c>
      <c r="B5592" s="309" t="s">
        <v>411</v>
      </c>
      <c r="C5592" s="309" t="s">
        <v>407</v>
      </c>
      <c r="D5592">
        <v>172301</v>
      </c>
    </row>
    <row r="5593" spans="1:4" x14ac:dyDescent="0.25">
      <c r="A5593" s="279">
        <v>39214</v>
      </c>
      <c r="B5593" s="309" t="s">
        <v>411</v>
      </c>
      <c r="C5593" s="309" t="s">
        <v>412</v>
      </c>
      <c r="D5593">
        <v>1007</v>
      </c>
    </row>
    <row r="5594" spans="1:4" x14ac:dyDescent="0.25">
      <c r="A5594" s="279">
        <v>39214</v>
      </c>
      <c r="B5594" s="309" t="s">
        <v>411</v>
      </c>
      <c r="C5594" s="309" t="s">
        <v>409</v>
      </c>
      <c r="D5594">
        <v>1049</v>
      </c>
    </row>
    <row r="5595" spans="1:4" x14ac:dyDescent="0.25">
      <c r="A5595" s="279">
        <v>39215</v>
      </c>
      <c r="B5595" s="309" t="s">
        <v>405</v>
      </c>
      <c r="C5595" s="309" t="s">
        <v>406</v>
      </c>
      <c r="D5595">
        <v>2616165.1</v>
      </c>
    </row>
    <row r="5596" spans="1:4" x14ac:dyDescent="0.25">
      <c r="A5596" s="279">
        <v>39215</v>
      </c>
      <c r="B5596" s="309" t="s">
        <v>405</v>
      </c>
      <c r="C5596" s="309" t="s">
        <v>89</v>
      </c>
      <c r="D5596">
        <v>12055</v>
      </c>
    </row>
    <row r="5597" spans="1:4" x14ac:dyDescent="0.25">
      <c r="A5597" s="279">
        <v>39215</v>
      </c>
      <c r="B5597" s="309" t="s">
        <v>405</v>
      </c>
      <c r="C5597" s="309" t="s">
        <v>198</v>
      </c>
      <c r="D5597">
        <v>0</v>
      </c>
    </row>
    <row r="5598" spans="1:4" x14ac:dyDescent="0.25">
      <c r="A5598" s="279">
        <v>39215</v>
      </c>
      <c r="B5598" s="309" t="s">
        <v>405</v>
      </c>
      <c r="C5598" s="309" t="s">
        <v>199</v>
      </c>
      <c r="D5598">
        <v>0</v>
      </c>
    </row>
    <row r="5599" spans="1:4" x14ac:dyDescent="0.25">
      <c r="A5599" s="279">
        <v>39215</v>
      </c>
      <c r="B5599" s="309" t="s">
        <v>405</v>
      </c>
      <c r="C5599" s="309" t="s">
        <v>90</v>
      </c>
      <c r="D5599">
        <v>2183</v>
      </c>
    </row>
    <row r="5600" spans="1:4" x14ac:dyDescent="0.25">
      <c r="A5600" s="279">
        <v>39215</v>
      </c>
      <c r="B5600" s="309" t="s">
        <v>405</v>
      </c>
      <c r="C5600" s="309" t="s">
        <v>24</v>
      </c>
      <c r="D5600">
        <v>0</v>
      </c>
    </row>
    <row r="5601" spans="1:4" x14ac:dyDescent="0.25">
      <c r="A5601" s="279">
        <v>39215</v>
      </c>
      <c r="B5601" s="309" t="s">
        <v>405</v>
      </c>
      <c r="C5601" s="309" t="s">
        <v>91</v>
      </c>
      <c r="D5601">
        <v>0</v>
      </c>
    </row>
    <row r="5602" spans="1:4" x14ac:dyDescent="0.25">
      <c r="A5602" s="279">
        <v>39215</v>
      </c>
      <c r="B5602" s="309" t="s">
        <v>405</v>
      </c>
      <c r="C5602" s="309" t="s">
        <v>118</v>
      </c>
      <c r="D5602">
        <v>0</v>
      </c>
    </row>
    <row r="5603" spans="1:4" x14ac:dyDescent="0.25">
      <c r="A5603" s="279">
        <v>39215</v>
      </c>
      <c r="B5603" s="309" t="s">
        <v>405</v>
      </c>
      <c r="C5603" s="309" t="s">
        <v>407</v>
      </c>
      <c r="D5603">
        <v>2626037.1</v>
      </c>
    </row>
    <row r="5604" spans="1:4" x14ac:dyDescent="0.25">
      <c r="A5604" s="279">
        <v>39215</v>
      </c>
      <c r="B5604" s="309" t="s">
        <v>405</v>
      </c>
      <c r="C5604" s="309" t="s">
        <v>408</v>
      </c>
      <c r="D5604">
        <v>1007</v>
      </c>
    </row>
    <row r="5605" spans="1:4" x14ac:dyDescent="0.25">
      <c r="A5605" s="279">
        <v>39215</v>
      </c>
      <c r="B5605" s="309" t="s">
        <v>405</v>
      </c>
      <c r="C5605" s="309" t="s">
        <v>409</v>
      </c>
      <c r="D5605">
        <v>1058</v>
      </c>
    </row>
    <row r="5606" spans="1:4" x14ac:dyDescent="0.25">
      <c r="A5606" s="279">
        <v>39215</v>
      </c>
      <c r="B5606" s="309" t="s">
        <v>405</v>
      </c>
      <c r="C5606" s="309" t="s">
        <v>410</v>
      </c>
      <c r="D5606">
        <v>1046</v>
      </c>
    </row>
    <row r="5607" spans="1:4" x14ac:dyDescent="0.25">
      <c r="A5607" s="279">
        <v>39215</v>
      </c>
      <c r="B5607" s="309" t="s">
        <v>411</v>
      </c>
      <c r="C5607" s="309" t="s">
        <v>406</v>
      </c>
      <c r="D5607">
        <v>172301</v>
      </c>
    </row>
    <row r="5608" spans="1:4" x14ac:dyDescent="0.25">
      <c r="A5608" s="279">
        <v>39215</v>
      </c>
      <c r="B5608" s="309" t="s">
        <v>411</v>
      </c>
      <c r="C5608" s="309" t="s">
        <v>198</v>
      </c>
      <c r="D5608">
        <v>0</v>
      </c>
    </row>
    <row r="5609" spans="1:4" x14ac:dyDescent="0.25">
      <c r="A5609" s="279">
        <v>39215</v>
      </c>
      <c r="B5609" s="309" t="s">
        <v>411</v>
      </c>
      <c r="C5609" s="309" t="s">
        <v>199</v>
      </c>
      <c r="D5609">
        <v>0</v>
      </c>
    </row>
    <row r="5610" spans="1:4" x14ac:dyDescent="0.25">
      <c r="A5610" s="279">
        <v>39215</v>
      </c>
      <c r="B5610" s="309" t="s">
        <v>411</v>
      </c>
      <c r="C5610" s="309" t="s">
        <v>90</v>
      </c>
      <c r="D5610">
        <v>276</v>
      </c>
    </row>
    <row r="5611" spans="1:4" x14ac:dyDescent="0.25">
      <c r="A5611" s="279">
        <v>39215</v>
      </c>
      <c r="B5611" s="309" t="s">
        <v>411</v>
      </c>
      <c r="C5611" s="309" t="s">
        <v>24</v>
      </c>
      <c r="D5611">
        <v>0</v>
      </c>
    </row>
    <row r="5612" spans="1:4" x14ac:dyDescent="0.25">
      <c r="A5612" s="279">
        <v>39215</v>
      </c>
      <c r="B5612" s="309" t="s">
        <v>411</v>
      </c>
      <c r="C5612" s="309" t="s">
        <v>91</v>
      </c>
      <c r="D5612">
        <v>0</v>
      </c>
    </row>
    <row r="5613" spans="1:4" x14ac:dyDescent="0.25">
      <c r="A5613" s="279">
        <v>39215</v>
      </c>
      <c r="B5613" s="309" t="s">
        <v>411</v>
      </c>
      <c r="C5613" s="309" t="s">
        <v>118</v>
      </c>
      <c r="D5613">
        <v>0</v>
      </c>
    </row>
    <row r="5614" spans="1:4" x14ac:dyDescent="0.25">
      <c r="A5614" s="279">
        <v>39215</v>
      </c>
      <c r="B5614" s="309" t="s">
        <v>411</v>
      </c>
      <c r="C5614" s="309" t="s">
        <v>407</v>
      </c>
      <c r="D5614">
        <v>172025</v>
      </c>
    </row>
    <row r="5615" spans="1:4" x14ac:dyDescent="0.25">
      <c r="A5615" s="279">
        <v>39215</v>
      </c>
      <c r="B5615" s="309" t="s">
        <v>411</v>
      </c>
      <c r="C5615" s="309" t="s">
        <v>412</v>
      </c>
      <c r="D5615">
        <v>1007</v>
      </c>
    </row>
    <row r="5616" spans="1:4" x14ac:dyDescent="0.25">
      <c r="A5616" s="279">
        <v>39215</v>
      </c>
      <c r="B5616" s="309" t="s">
        <v>411</v>
      </c>
      <c r="C5616" s="309" t="s">
        <v>409</v>
      </c>
      <c r="D5616">
        <v>1049</v>
      </c>
    </row>
    <row r="5617" spans="1:4" x14ac:dyDescent="0.25">
      <c r="A5617" s="279">
        <v>39216</v>
      </c>
      <c r="B5617" s="309" t="s">
        <v>405</v>
      </c>
      <c r="C5617" s="309" t="s">
        <v>406</v>
      </c>
      <c r="D5617">
        <v>2626037.1</v>
      </c>
    </row>
    <row r="5618" spans="1:4" x14ac:dyDescent="0.25">
      <c r="A5618" s="279">
        <v>39216</v>
      </c>
      <c r="B5618" s="309" t="s">
        <v>405</v>
      </c>
      <c r="C5618" s="309" t="s">
        <v>89</v>
      </c>
      <c r="D5618">
        <v>10934</v>
      </c>
    </row>
    <row r="5619" spans="1:4" x14ac:dyDescent="0.25">
      <c r="A5619" s="279">
        <v>39216</v>
      </c>
      <c r="B5619" s="309" t="s">
        <v>405</v>
      </c>
      <c r="C5619" s="309" t="s">
        <v>198</v>
      </c>
      <c r="D5619">
        <v>0</v>
      </c>
    </row>
    <row r="5620" spans="1:4" x14ac:dyDescent="0.25">
      <c r="A5620" s="279">
        <v>39216</v>
      </c>
      <c r="B5620" s="309" t="s">
        <v>405</v>
      </c>
      <c r="C5620" s="309" t="s">
        <v>199</v>
      </c>
      <c r="D5620">
        <v>0</v>
      </c>
    </row>
    <row r="5621" spans="1:4" x14ac:dyDescent="0.25">
      <c r="A5621" s="279">
        <v>39216</v>
      </c>
      <c r="B5621" s="309" t="s">
        <v>405</v>
      </c>
      <c r="C5621" s="309" t="s">
        <v>90</v>
      </c>
      <c r="D5621">
        <v>2130</v>
      </c>
    </row>
    <row r="5622" spans="1:4" x14ac:dyDescent="0.25">
      <c r="A5622" s="279">
        <v>39216</v>
      </c>
      <c r="B5622" s="309" t="s">
        <v>405</v>
      </c>
      <c r="C5622" s="309" t="s">
        <v>24</v>
      </c>
      <c r="D5622">
        <v>0</v>
      </c>
    </row>
    <row r="5623" spans="1:4" x14ac:dyDescent="0.25">
      <c r="A5623" s="279">
        <v>39216</v>
      </c>
      <c r="B5623" s="309" t="s">
        <v>405</v>
      </c>
      <c r="C5623" s="309" t="s">
        <v>91</v>
      </c>
      <c r="D5623">
        <v>0</v>
      </c>
    </row>
    <row r="5624" spans="1:4" x14ac:dyDescent="0.25">
      <c r="A5624" s="279">
        <v>39216</v>
      </c>
      <c r="B5624" s="309" t="s">
        <v>405</v>
      </c>
      <c r="C5624" s="309" t="s">
        <v>118</v>
      </c>
      <c r="D5624">
        <v>0</v>
      </c>
    </row>
    <row r="5625" spans="1:4" x14ac:dyDescent="0.25">
      <c r="A5625" s="279">
        <v>39216</v>
      </c>
      <c r="B5625" s="309" t="s">
        <v>405</v>
      </c>
      <c r="C5625" s="309" t="s">
        <v>407</v>
      </c>
      <c r="D5625">
        <v>2634841.1</v>
      </c>
    </row>
    <row r="5626" spans="1:4" x14ac:dyDescent="0.25">
      <c r="A5626" s="279">
        <v>39216</v>
      </c>
      <c r="B5626" s="309" t="s">
        <v>405</v>
      </c>
      <c r="C5626" s="309" t="s">
        <v>408</v>
      </c>
      <c r="D5626">
        <v>1007</v>
      </c>
    </row>
    <row r="5627" spans="1:4" x14ac:dyDescent="0.25">
      <c r="A5627" s="279">
        <v>39216</v>
      </c>
      <c r="B5627" s="309" t="s">
        <v>405</v>
      </c>
      <c r="C5627" s="309" t="s">
        <v>409</v>
      </c>
      <c r="D5627">
        <v>1058</v>
      </c>
    </row>
    <row r="5628" spans="1:4" x14ac:dyDescent="0.25">
      <c r="A5628" s="279">
        <v>39216</v>
      </c>
      <c r="B5628" s="309" t="s">
        <v>405</v>
      </c>
      <c r="C5628" s="309" t="s">
        <v>410</v>
      </c>
      <c r="D5628">
        <v>1041</v>
      </c>
    </row>
    <row r="5629" spans="1:4" x14ac:dyDescent="0.25">
      <c r="A5629" s="279">
        <v>39216</v>
      </c>
      <c r="B5629" s="309" t="s">
        <v>411</v>
      </c>
      <c r="C5629" s="309" t="s">
        <v>406</v>
      </c>
      <c r="D5629">
        <v>172025</v>
      </c>
    </row>
    <row r="5630" spans="1:4" x14ac:dyDescent="0.25">
      <c r="A5630" s="279">
        <v>39216</v>
      </c>
      <c r="B5630" s="309" t="s">
        <v>411</v>
      </c>
      <c r="C5630" s="309" t="s">
        <v>198</v>
      </c>
      <c r="D5630">
        <v>0</v>
      </c>
    </row>
    <row r="5631" spans="1:4" x14ac:dyDescent="0.25">
      <c r="A5631" s="279">
        <v>39216</v>
      </c>
      <c r="B5631" s="309" t="s">
        <v>411</v>
      </c>
      <c r="C5631" s="309" t="s">
        <v>199</v>
      </c>
      <c r="D5631">
        <v>0</v>
      </c>
    </row>
    <row r="5632" spans="1:4" x14ac:dyDescent="0.25">
      <c r="A5632" s="279">
        <v>39216</v>
      </c>
      <c r="B5632" s="309" t="s">
        <v>411</v>
      </c>
      <c r="C5632" s="309" t="s">
        <v>90</v>
      </c>
      <c r="D5632">
        <v>276</v>
      </c>
    </row>
    <row r="5633" spans="1:4" x14ac:dyDescent="0.25">
      <c r="A5633" s="279">
        <v>39216</v>
      </c>
      <c r="B5633" s="309" t="s">
        <v>411</v>
      </c>
      <c r="C5633" s="309" t="s">
        <v>24</v>
      </c>
      <c r="D5633">
        <v>0</v>
      </c>
    </row>
    <row r="5634" spans="1:4" x14ac:dyDescent="0.25">
      <c r="A5634" s="279">
        <v>39216</v>
      </c>
      <c r="B5634" s="309" t="s">
        <v>411</v>
      </c>
      <c r="C5634" s="309" t="s">
        <v>91</v>
      </c>
      <c r="D5634">
        <v>0</v>
      </c>
    </row>
    <row r="5635" spans="1:4" x14ac:dyDescent="0.25">
      <c r="A5635" s="279">
        <v>39216</v>
      </c>
      <c r="B5635" s="309" t="s">
        <v>411</v>
      </c>
      <c r="C5635" s="309" t="s">
        <v>118</v>
      </c>
      <c r="D5635">
        <v>0</v>
      </c>
    </row>
    <row r="5636" spans="1:4" x14ac:dyDescent="0.25">
      <c r="A5636" s="279">
        <v>39216</v>
      </c>
      <c r="B5636" s="309" t="s">
        <v>411</v>
      </c>
      <c r="C5636" s="309" t="s">
        <v>407</v>
      </c>
      <c r="D5636">
        <v>171749</v>
      </c>
    </row>
    <row r="5637" spans="1:4" x14ac:dyDescent="0.25">
      <c r="A5637" s="279">
        <v>39216</v>
      </c>
      <c r="B5637" s="309" t="s">
        <v>411</v>
      </c>
      <c r="C5637" s="309" t="s">
        <v>412</v>
      </c>
      <c r="D5637">
        <v>1007</v>
      </c>
    </row>
    <row r="5638" spans="1:4" x14ac:dyDescent="0.25">
      <c r="A5638" s="279">
        <v>39216</v>
      </c>
      <c r="B5638" s="309" t="s">
        <v>411</v>
      </c>
      <c r="C5638" s="309" t="s">
        <v>409</v>
      </c>
      <c r="D5638">
        <v>1049</v>
      </c>
    </row>
    <row r="5639" spans="1:4" x14ac:dyDescent="0.25">
      <c r="A5639" s="279">
        <v>39217</v>
      </c>
      <c r="B5639" s="309" t="s">
        <v>405</v>
      </c>
      <c r="C5639" s="309" t="s">
        <v>406</v>
      </c>
      <c r="D5639">
        <v>2634841.1</v>
      </c>
    </row>
    <row r="5640" spans="1:4" x14ac:dyDescent="0.25">
      <c r="A5640" s="279">
        <v>39217</v>
      </c>
      <c r="B5640" s="309" t="s">
        <v>405</v>
      </c>
      <c r="C5640" s="309" t="s">
        <v>89</v>
      </c>
      <c r="D5640">
        <v>7005</v>
      </c>
    </row>
    <row r="5641" spans="1:4" x14ac:dyDescent="0.25">
      <c r="A5641" s="279">
        <v>39217</v>
      </c>
      <c r="B5641" s="309" t="s">
        <v>405</v>
      </c>
      <c r="C5641" s="309" t="s">
        <v>198</v>
      </c>
      <c r="D5641">
        <v>0</v>
      </c>
    </row>
    <row r="5642" spans="1:4" x14ac:dyDescent="0.25">
      <c r="A5642" s="279">
        <v>39217</v>
      </c>
      <c r="B5642" s="309" t="s">
        <v>405</v>
      </c>
      <c r="C5642" s="309" t="s">
        <v>199</v>
      </c>
      <c r="D5642">
        <v>0</v>
      </c>
    </row>
    <row r="5643" spans="1:4" x14ac:dyDescent="0.25">
      <c r="A5643" s="279">
        <v>39217</v>
      </c>
      <c r="B5643" s="309" t="s">
        <v>405</v>
      </c>
      <c r="C5643" s="309" t="s">
        <v>90</v>
      </c>
      <c r="D5643">
        <v>1935</v>
      </c>
    </row>
    <row r="5644" spans="1:4" x14ac:dyDescent="0.25">
      <c r="A5644" s="279">
        <v>39217</v>
      </c>
      <c r="B5644" s="309" t="s">
        <v>405</v>
      </c>
      <c r="C5644" s="309" t="s">
        <v>24</v>
      </c>
      <c r="D5644">
        <v>0</v>
      </c>
    </row>
    <row r="5645" spans="1:4" x14ac:dyDescent="0.25">
      <c r="A5645" s="279">
        <v>39217</v>
      </c>
      <c r="B5645" s="309" t="s">
        <v>405</v>
      </c>
      <c r="C5645" s="309" t="s">
        <v>91</v>
      </c>
      <c r="D5645">
        <v>0</v>
      </c>
    </row>
    <row r="5646" spans="1:4" x14ac:dyDescent="0.25">
      <c r="A5646" s="279">
        <v>39217</v>
      </c>
      <c r="B5646" s="309" t="s">
        <v>405</v>
      </c>
      <c r="C5646" s="309" t="s">
        <v>118</v>
      </c>
      <c r="D5646">
        <v>0</v>
      </c>
    </row>
    <row r="5647" spans="1:4" x14ac:dyDescent="0.25">
      <c r="A5647" s="279">
        <v>39217</v>
      </c>
      <c r="B5647" s="309" t="s">
        <v>405</v>
      </c>
      <c r="C5647" s="309" t="s">
        <v>407</v>
      </c>
      <c r="D5647">
        <v>2639911.1</v>
      </c>
    </row>
    <row r="5648" spans="1:4" x14ac:dyDescent="0.25">
      <c r="A5648" s="279">
        <v>39217</v>
      </c>
      <c r="B5648" s="309" t="s">
        <v>405</v>
      </c>
      <c r="C5648" s="309" t="s">
        <v>408</v>
      </c>
      <c r="D5648">
        <v>1007</v>
      </c>
    </row>
    <row r="5649" spans="1:4" x14ac:dyDescent="0.25">
      <c r="A5649" s="279">
        <v>39217</v>
      </c>
      <c r="B5649" s="309" t="s">
        <v>405</v>
      </c>
      <c r="C5649" s="309" t="s">
        <v>409</v>
      </c>
      <c r="D5649">
        <v>1058</v>
      </c>
    </row>
    <row r="5650" spans="1:4" x14ac:dyDescent="0.25">
      <c r="A5650" s="279">
        <v>39217</v>
      </c>
      <c r="B5650" s="309" t="s">
        <v>405</v>
      </c>
      <c r="C5650" s="309" t="s">
        <v>410</v>
      </c>
      <c r="D5650">
        <v>1035</v>
      </c>
    </row>
    <row r="5651" spans="1:4" x14ac:dyDescent="0.25">
      <c r="A5651" s="279">
        <v>39217</v>
      </c>
      <c r="B5651" s="309" t="s">
        <v>411</v>
      </c>
      <c r="C5651" s="309" t="s">
        <v>406</v>
      </c>
      <c r="D5651">
        <v>171749</v>
      </c>
    </row>
    <row r="5652" spans="1:4" x14ac:dyDescent="0.25">
      <c r="A5652" s="279">
        <v>39217</v>
      </c>
      <c r="B5652" s="309" t="s">
        <v>411</v>
      </c>
      <c r="C5652" s="309" t="s">
        <v>198</v>
      </c>
      <c r="D5652">
        <v>0</v>
      </c>
    </row>
    <row r="5653" spans="1:4" x14ac:dyDescent="0.25">
      <c r="A5653" s="279">
        <v>39217</v>
      </c>
      <c r="B5653" s="309" t="s">
        <v>411</v>
      </c>
      <c r="C5653" s="309" t="s">
        <v>199</v>
      </c>
      <c r="D5653">
        <v>0</v>
      </c>
    </row>
    <row r="5654" spans="1:4" x14ac:dyDescent="0.25">
      <c r="A5654" s="279">
        <v>39217</v>
      </c>
      <c r="B5654" s="309" t="s">
        <v>411</v>
      </c>
      <c r="C5654" s="309" t="s">
        <v>90</v>
      </c>
      <c r="D5654">
        <v>61</v>
      </c>
    </row>
    <row r="5655" spans="1:4" x14ac:dyDescent="0.25">
      <c r="A5655" s="279">
        <v>39217</v>
      </c>
      <c r="B5655" s="309" t="s">
        <v>411</v>
      </c>
      <c r="C5655" s="309" t="s">
        <v>24</v>
      </c>
      <c r="D5655">
        <v>0</v>
      </c>
    </row>
    <row r="5656" spans="1:4" x14ac:dyDescent="0.25">
      <c r="A5656" s="279">
        <v>39217</v>
      </c>
      <c r="B5656" s="309" t="s">
        <v>411</v>
      </c>
      <c r="C5656" s="309" t="s">
        <v>91</v>
      </c>
      <c r="D5656">
        <v>0</v>
      </c>
    </row>
    <row r="5657" spans="1:4" x14ac:dyDescent="0.25">
      <c r="A5657" s="279">
        <v>39217</v>
      </c>
      <c r="B5657" s="309" t="s">
        <v>411</v>
      </c>
      <c r="C5657" s="309" t="s">
        <v>118</v>
      </c>
      <c r="D5657">
        <v>0</v>
      </c>
    </row>
    <row r="5658" spans="1:4" x14ac:dyDescent="0.25">
      <c r="A5658" s="279">
        <v>39217</v>
      </c>
      <c r="B5658" s="309" t="s">
        <v>411</v>
      </c>
      <c r="C5658" s="309" t="s">
        <v>407</v>
      </c>
      <c r="D5658">
        <v>171688</v>
      </c>
    </row>
    <row r="5659" spans="1:4" x14ac:dyDescent="0.25">
      <c r="A5659" s="279">
        <v>39217</v>
      </c>
      <c r="B5659" s="309" t="s">
        <v>411</v>
      </c>
      <c r="C5659" s="309" t="s">
        <v>412</v>
      </c>
      <c r="D5659">
        <v>1007</v>
      </c>
    </row>
    <row r="5660" spans="1:4" x14ac:dyDescent="0.25">
      <c r="A5660" s="279">
        <v>39217</v>
      </c>
      <c r="B5660" s="309" t="s">
        <v>411</v>
      </c>
      <c r="C5660" s="309" t="s">
        <v>409</v>
      </c>
      <c r="D5660">
        <v>1049</v>
      </c>
    </row>
    <row r="5661" spans="1:4" x14ac:dyDescent="0.25">
      <c r="A5661" s="279">
        <v>39218</v>
      </c>
      <c r="B5661" s="309" t="s">
        <v>405</v>
      </c>
      <c r="C5661" s="309" t="s">
        <v>406</v>
      </c>
      <c r="D5661">
        <v>2639911.1</v>
      </c>
    </row>
    <row r="5662" spans="1:4" x14ac:dyDescent="0.25">
      <c r="A5662" s="279">
        <v>39218</v>
      </c>
      <c r="B5662" s="309" t="s">
        <v>405</v>
      </c>
      <c r="C5662" s="309" t="s">
        <v>89</v>
      </c>
      <c r="D5662">
        <v>8410</v>
      </c>
    </row>
    <row r="5663" spans="1:4" x14ac:dyDescent="0.25">
      <c r="A5663" s="279">
        <v>39218</v>
      </c>
      <c r="B5663" s="309" t="s">
        <v>405</v>
      </c>
      <c r="C5663" s="309" t="s">
        <v>198</v>
      </c>
      <c r="D5663">
        <v>0</v>
      </c>
    </row>
    <row r="5664" spans="1:4" x14ac:dyDescent="0.25">
      <c r="A5664" s="279">
        <v>39218</v>
      </c>
      <c r="B5664" s="309" t="s">
        <v>405</v>
      </c>
      <c r="C5664" s="309" t="s">
        <v>199</v>
      </c>
      <c r="D5664">
        <v>0</v>
      </c>
    </row>
    <row r="5665" spans="1:4" x14ac:dyDescent="0.25">
      <c r="A5665" s="279">
        <v>39218</v>
      </c>
      <c r="B5665" s="309" t="s">
        <v>405</v>
      </c>
      <c r="C5665" s="309" t="s">
        <v>90</v>
      </c>
      <c r="D5665">
        <v>2007</v>
      </c>
    </row>
    <row r="5666" spans="1:4" x14ac:dyDescent="0.25">
      <c r="A5666" s="279">
        <v>39218</v>
      </c>
      <c r="B5666" s="309" t="s">
        <v>405</v>
      </c>
      <c r="C5666" s="309" t="s">
        <v>24</v>
      </c>
      <c r="D5666">
        <v>0</v>
      </c>
    </row>
    <row r="5667" spans="1:4" x14ac:dyDescent="0.25">
      <c r="A5667" s="279">
        <v>39218</v>
      </c>
      <c r="B5667" s="309" t="s">
        <v>405</v>
      </c>
      <c r="C5667" s="309" t="s">
        <v>91</v>
      </c>
      <c r="D5667">
        <v>0</v>
      </c>
    </row>
    <row r="5668" spans="1:4" x14ac:dyDescent="0.25">
      <c r="A5668" s="279">
        <v>39218</v>
      </c>
      <c r="B5668" s="309" t="s">
        <v>405</v>
      </c>
      <c r="C5668" s="309" t="s">
        <v>118</v>
      </c>
      <c r="D5668">
        <v>0</v>
      </c>
    </row>
    <row r="5669" spans="1:4" x14ac:dyDescent="0.25">
      <c r="A5669" s="279">
        <v>39218</v>
      </c>
      <c r="B5669" s="309" t="s">
        <v>405</v>
      </c>
      <c r="C5669" s="309" t="s">
        <v>407</v>
      </c>
      <c r="D5669">
        <v>2646314.1</v>
      </c>
    </row>
    <row r="5670" spans="1:4" x14ac:dyDescent="0.25">
      <c r="A5670" s="279">
        <v>39218</v>
      </c>
      <c r="B5670" s="309" t="s">
        <v>405</v>
      </c>
      <c r="C5670" s="309" t="s">
        <v>408</v>
      </c>
      <c r="D5670">
        <v>1007</v>
      </c>
    </row>
    <row r="5671" spans="1:4" x14ac:dyDescent="0.25">
      <c r="A5671" s="279">
        <v>39218</v>
      </c>
      <c r="B5671" s="309" t="s">
        <v>405</v>
      </c>
      <c r="C5671" s="309" t="s">
        <v>409</v>
      </c>
      <c r="D5671">
        <v>1058</v>
      </c>
    </row>
    <row r="5672" spans="1:4" x14ac:dyDescent="0.25">
      <c r="A5672" s="279">
        <v>39218</v>
      </c>
      <c r="B5672" s="309" t="s">
        <v>405</v>
      </c>
      <c r="C5672" s="309" t="s">
        <v>410</v>
      </c>
      <c r="D5672">
        <v>1044</v>
      </c>
    </row>
    <row r="5673" spans="1:4" x14ac:dyDescent="0.25">
      <c r="A5673" s="279">
        <v>39218</v>
      </c>
      <c r="B5673" s="309" t="s">
        <v>411</v>
      </c>
      <c r="C5673" s="309" t="s">
        <v>406</v>
      </c>
      <c r="D5673">
        <v>171688</v>
      </c>
    </row>
    <row r="5674" spans="1:4" x14ac:dyDescent="0.25">
      <c r="A5674" s="279">
        <v>39218</v>
      </c>
      <c r="B5674" s="309" t="s">
        <v>411</v>
      </c>
      <c r="C5674" s="309" t="s">
        <v>198</v>
      </c>
      <c r="D5674">
        <v>0</v>
      </c>
    </row>
    <row r="5675" spans="1:4" x14ac:dyDescent="0.25">
      <c r="A5675" s="279">
        <v>39218</v>
      </c>
      <c r="B5675" s="309" t="s">
        <v>411</v>
      </c>
      <c r="C5675" s="309" t="s">
        <v>199</v>
      </c>
      <c r="D5675">
        <v>0</v>
      </c>
    </row>
    <row r="5676" spans="1:4" x14ac:dyDescent="0.25">
      <c r="A5676" s="279">
        <v>39218</v>
      </c>
      <c r="B5676" s="309" t="s">
        <v>411</v>
      </c>
      <c r="C5676" s="309" t="s">
        <v>90</v>
      </c>
      <c r="D5676">
        <v>215</v>
      </c>
    </row>
    <row r="5677" spans="1:4" x14ac:dyDescent="0.25">
      <c r="A5677" s="279">
        <v>39218</v>
      </c>
      <c r="B5677" s="309" t="s">
        <v>411</v>
      </c>
      <c r="C5677" s="309" t="s">
        <v>24</v>
      </c>
      <c r="D5677">
        <v>0</v>
      </c>
    </row>
    <row r="5678" spans="1:4" x14ac:dyDescent="0.25">
      <c r="A5678" s="279">
        <v>39218</v>
      </c>
      <c r="B5678" s="309" t="s">
        <v>411</v>
      </c>
      <c r="C5678" s="309" t="s">
        <v>91</v>
      </c>
      <c r="D5678">
        <v>0</v>
      </c>
    </row>
    <row r="5679" spans="1:4" x14ac:dyDescent="0.25">
      <c r="A5679" s="279">
        <v>39218</v>
      </c>
      <c r="B5679" s="309" t="s">
        <v>411</v>
      </c>
      <c r="C5679" s="309" t="s">
        <v>118</v>
      </c>
      <c r="D5679">
        <v>0</v>
      </c>
    </row>
    <row r="5680" spans="1:4" x14ac:dyDescent="0.25">
      <c r="A5680" s="279">
        <v>39218</v>
      </c>
      <c r="B5680" s="309" t="s">
        <v>411</v>
      </c>
      <c r="C5680" s="309" t="s">
        <v>407</v>
      </c>
      <c r="D5680">
        <v>171473</v>
      </c>
    </row>
    <row r="5681" spans="1:4" x14ac:dyDescent="0.25">
      <c r="A5681" s="279">
        <v>39218</v>
      </c>
      <c r="B5681" s="309" t="s">
        <v>411</v>
      </c>
      <c r="C5681" s="309" t="s">
        <v>412</v>
      </c>
      <c r="D5681">
        <v>1007</v>
      </c>
    </row>
    <row r="5682" spans="1:4" x14ac:dyDescent="0.25">
      <c r="A5682" s="279">
        <v>39218</v>
      </c>
      <c r="B5682" s="309" t="s">
        <v>411</v>
      </c>
      <c r="C5682" s="309" t="s">
        <v>409</v>
      </c>
      <c r="D5682">
        <v>1049</v>
      </c>
    </row>
    <row r="5683" spans="1:4" x14ac:dyDescent="0.25">
      <c r="A5683" s="279">
        <v>39219</v>
      </c>
      <c r="B5683" s="309" t="s">
        <v>405</v>
      </c>
      <c r="C5683" s="309" t="s">
        <v>406</v>
      </c>
      <c r="D5683">
        <v>2646314.1</v>
      </c>
    </row>
    <row r="5684" spans="1:4" x14ac:dyDescent="0.25">
      <c r="A5684" s="279">
        <v>39219</v>
      </c>
      <c r="B5684" s="309" t="s">
        <v>405</v>
      </c>
      <c r="C5684" s="309" t="s">
        <v>89</v>
      </c>
      <c r="D5684">
        <v>11222</v>
      </c>
    </row>
    <row r="5685" spans="1:4" x14ac:dyDescent="0.25">
      <c r="A5685" s="279">
        <v>39219</v>
      </c>
      <c r="B5685" s="309" t="s">
        <v>405</v>
      </c>
      <c r="C5685" s="309" t="s">
        <v>198</v>
      </c>
      <c r="D5685">
        <v>0</v>
      </c>
    </row>
    <row r="5686" spans="1:4" x14ac:dyDescent="0.25">
      <c r="A5686" s="279">
        <v>39219</v>
      </c>
      <c r="B5686" s="309" t="s">
        <v>405</v>
      </c>
      <c r="C5686" s="309" t="s">
        <v>199</v>
      </c>
      <c r="D5686">
        <v>0</v>
      </c>
    </row>
    <row r="5687" spans="1:4" x14ac:dyDescent="0.25">
      <c r="A5687" s="279">
        <v>39219</v>
      </c>
      <c r="B5687" s="309" t="s">
        <v>405</v>
      </c>
      <c r="C5687" s="309" t="s">
        <v>90</v>
      </c>
      <c r="D5687">
        <v>2151</v>
      </c>
    </row>
    <row r="5688" spans="1:4" x14ac:dyDescent="0.25">
      <c r="A5688" s="279">
        <v>39219</v>
      </c>
      <c r="B5688" s="309" t="s">
        <v>405</v>
      </c>
      <c r="C5688" s="309" t="s">
        <v>24</v>
      </c>
      <c r="D5688">
        <v>0</v>
      </c>
    </row>
    <row r="5689" spans="1:4" x14ac:dyDescent="0.25">
      <c r="A5689" s="279">
        <v>39219</v>
      </c>
      <c r="B5689" s="309" t="s">
        <v>405</v>
      </c>
      <c r="C5689" s="309" t="s">
        <v>91</v>
      </c>
      <c r="D5689">
        <v>0</v>
      </c>
    </row>
    <row r="5690" spans="1:4" x14ac:dyDescent="0.25">
      <c r="A5690" s="279">
        <v>39219</v>
      </c>
      <c r="B5690" s="309" t="s">
        <v>405</v>
      </c>
      <c r="C5690" s="309" t="s">
        <v>118</v>
      </c>
      <c r="D5690">
        <v>0</v>
      </c>
    </row>
    <row r="5691" spans="1:4" x14ac:dyDescent="0.25">
      <c r="A5691" s="279">
        <v>39219</v>
      </c>
      <c r="B5691" s="309" t="s">
        <v>405</v>
      </c>
      <c r="C5691" s="309" t="s">
        <v>407</v>
      </c>
      <c r="D5691">
        <v>2655385.1</v>
      </c>
    </row>
    <row r="5692" spans="1:4" x14ac:dyDescent="0.25">
      <c r="A5692" s="279">
        <v>39219</v>
      </c>
      <c r="B5692" s="309" t="s">
        <v>405</v>
      </c>
      <c r="C5692" s="309" t="s">
        <v>408</v>
      </c>
      <c r="D5692">
        <v>1007</v>
      </c>
    </row>
    <row r="5693" spans="1:4" x14ac:dyDescent="0.25">
      <c r="A5693" s="279">
        <v>39219</v>
      </c>
      <c r="B5693" s="309" t="s">
        <v>405</v>
      </c>
      <c r="C5693" s="309" t="s">
        <v>409</v>
      </c>
      <c r="D5693">
        <v>1058</v>
      </c>
    </row>
    <row r="5694" spans="1:4" x14ac:dyDescent="0.25">
      <c r="A5694" s="279">
        <v>39219</v>
      </c>
      <c r="B5694" s="309" t="s">
        <v>405</v>
      </c>
      <c r="C5694" s="309" t="s">
        <v>410</v>
      </c>
      <c r="D5694">
        <v>1033</v>
      </c>
    </row>
    <row r="5695" spans="1:4" x14ac:dyDescent="0.25">
      <c r="A5695" s="279">
        <v>39219</v>
      </c>
      <c r="B5695" s="309" t="s">
        <v>411</v>
      </c>
      <c r="C5695" s="309" t="s">
        <v>406</v>
      </c>
      <c r="D5695">
        <v>171473</v>
      </c>
    </row>
    <row r="5696" spans="1:4" x14ac:dyDescent="0.25">
      <c r="A5696" s="279">
        <v>39219</v>
      </c>
      <c r="B5696" s="309" t="s">
        <v>411</v>
      </c>
      <c r="C5696" s="309" t="s">
        <v>198</v>
      </c>
      <c r="D5696">
        <v>0</v>
      </c>
    </row>
    <row r="5697" spans="1:4" x14ac:dyDescent="0.25">
      <c r="A5697" s="279">
        <v>39219</v>
      </c>
      <c r="B5697" s="309" t="s">
        <v>411</v>
      </c>
      <c r="C5697" s="309" t="s">
        <v>199</v>
      </c>
      <c r="D5697">
        <v>0</v>
      </c>
    </row>
    <row r="5698" spans="1:4" x14ac:dyDescent="0.25">
      <c r="A5698" s="279">
        <v>39219</v>
      </c>
      <c r="B5698" s="309" t="s">
        <v>411</v>
      </c>
      <c r="C5698" s="309" t="s">
        <v>90</v>
      </c>
      <c r="D5698">
        <v>276</v>
      </c>
    </row>
    <row r="5699" spans="1:4" x14ac:dyDescent="0.25">
      <c r="A5699" s="279">
        <v>39219</v>
      </c>
      <c r="B5699" s="309" t="s">
        <v>411</v>
      </c>
      <c r="C5699" s="309" t="s">
        <v>24</v>
      </c>
      <c r="D5699">
        <v>0</v>
      </c>
    </row>
    <row r="5700" spans="1:4" x14ac:dyDescent="0.25">
      <c r="A5700" s="279">
        <v>39219</v>
      </c>
      <c r="B5700" s="309" t="s">
        <v>411</v>
      </c>
      <c r="C5700" s="309" t="s">
        <v>91</v>
      </c>
      <c r="D5700">
        <v>0</v>
      </c>
    </row>
    <row r="5701" spans="1:4" x14ac:dyDescent="0.25">
      <c r="A5701" s="279">
        <v>39219</v>
      </c>
      <c r="B5701" s="309" t="s">
        <v>411</v>
      </c>
      <c r="C5701" s="309" t="s">
        <v>118</v>
      </c>
      <c r="D5701">
        <v>0</v>
      </c>
    </row>
    <row r="5702" spans="1:4" x14ac:dyDescent="0.25">
      <c r="A5702" s="279">
        <v>39219</v>
      </c>
      <c r="B5702" s="309" t="s">
        <v>411</v>
      </c>
      <c r="C5702" s="309" t="s">
        <v>407</v>
      </c>
      <c r="D5702">
        <v>171197</v>
      </c>
    </row>
    <row r="5703" spans="1:4" x14ac:dyDescent="0.25">
      <c r="A5703" s="279">
        <v>39219</v>
      </c>
      <c r="B5703" s="309" t="s">
        <v>411</v>
      </c>
      <c r="C5703" s="309" t="s">
        <v>412</v>
      </c>
      <c r="D5703">
        <v>1007</v>
      </c>
    </row>
    <row r="5704" spans="1:4" x14ac:dyDescent="0.25">
      <c r="A5704" s="279">
        <v>39219</v>
      </c>
      <c r="B5704" s="309" t="s">
        <v>411</v>
      </c>
      <c r="C5704" s="309" t="s">
        <v>409</v>
      </c>
      <c r="D5704">
        <v>1049</v>
      </c>
    </row>
    <row r="5705" spans="1:4" x14ac:dyDescent="0.25">
      <c r="A5705" s="279">
        <v>39220</v>
      </c>
      <c r="B5705" s="309" t="s">
        <v>405</v>
      </c>
      <c r="C5705" s="309" t="s">
        <v>406</v>
      </c>
      <c r="D5705">
        <v>2655385.1</v>
      </c>
    </row>
    <row r="5706" spans="1:4" x14ac:dyDescent="0.25">
      <c r="A5706" s="279">
        <v>39220</v>
      </c>
      <c r="B5706" s="309" t="s">
        <v>405</v>
      </c>
      <c r="C5706" s="309" t="s">
        <v>89</v>
      </c>
      <c r="D5706">
        <v>10383</v>
      </c>
    </row>
    <row r="5707" spans="1:4" x14ac:dyDescent="0.25">
      <c r="A5707" s="279">
        <v>39220</v>
      </c>
      <c r="B5707" s="309" t="s">
        <v>405</v>
      </c>
      <c r="C5707" s="309" t="s">
        <v>198</v>
      </c>
      <c r="D5707">
        <v>0</v>
      </c>
    </row>
    <row r="5708" spans="1:4" x14ac:dyDescent="0.25">
      <c r="A5708" s="279">
        <v>39220</v>
      </c>
      <c r="B5708" s="309" t="s">
        <v>405</v>
      </c>
      <c r="C5708" s="309" t="s">
        <v>199</v>
      </c>
      <c r="D5708">
        <v>0</v>
      </c>
    </row>
    <row r="5709" spans="1:4" x14ac:dyDescent="0.25">
      <c r="A5709" s="279">
        <v>39220</v>
      </c>
      <c r="B5709" s="309" t="s">
        <v>405</v>
      </c>
      <c r="C5709" s="309" t="s">
        <v>90</v>
      </c>
      <c r="D5709">
        <v>2111</v>
      </c>
    </row>
    <row r="5710" spans="1:4" x14ac:dyDescent="0.25">
      <c r="A5710" s="279">
        <v>39220</v>
      </c>
      <c r="B5710" s="309" t="s">
        <v>405</v>
      </c>
      <c r="C5710" s="309" t="s">
        <v>24</v>
      </c>
      <c r="D5710">
        <v>0</v>
      </c>
    </row>
    <row r="5711" spans="1:4" x14ac:dyDescent="0.25">
      <c r="A5711" s="279">
        <v>39220</v>
      </c>
      <c r="B5711" s="309" t="s">
        <v>405</v>
      </c>
      <c r="C5711" s="309" t="s">
        <v>91</v>
      </c>
      <c r="D5711">
        <v>0</v>
      </c>
    </row>
    <row r="5712" spans="1:4" x14ac:dyDescent="0.25">
      <c r="A5712" s="279">
        <v>39220</v>
      </c>
      <c r="B5712" s="309" t="s">
        <v>405</v>
      </c>
      <c r="C5712" s="309" t="s">
        <v>118</v>
      </c>
      <c r="D5712">
        <v>0</v>
      </c>
    </row>
    <row r="5713" spans="1:4" x14ac:dyDescent="0.25">
      <c r="A5713" s="279">
        <v>39220</v>
      </c>
      <c r="B5713" s="309" t="s">
        <v>405</v>
      </c>
      <c r="C5713" s="309" t="s">
        <v>407</v>
      </c>
      <c r="D5713">
        <v>2663657.1</v>
      </c>
    </row>
    <row r="5714" spans="1:4" x14ac:dyDescent="0.25">
      <c r="A5714" s="279">
        <v>39220</v>
      </c>
      <c r="B5714" s="309" t="s">
        <v>405</v>
      </c>
      <c r="C5714" s="309" t="s">
        <v>408</v>
      </c>
      <c r="D5714">
        <v>1007</v>
      </c>
    </row>
    <row r="5715" spans="1:4" x14ac:dyDescent="0.25">
      <c r="A5715" s="279">
        <v>39220</v>
      </c>
      <c r="B5715" s="309" t="s">
        <v>405</v>
      </c>
      <c r="C5715" s="309" t="s">
        <v>409</v>
      </c>
      <c r="D5715">
        <v>1058</v>
      </c>
    </row>
    <row r="5716" spans="1:4" x14ac:dyDescent="0.25">
      <c r="A5716" s="279">
        <v>39220</v>
      </c>
      <c r="B5716" s="309" t="s">
        <v>405</v>
      </c>
      <c r="C5716" s="309" t="s">
        <v>410</v>
      </c>
      <c r="D5716">
        <v>1038</v>
      </c>
    </row>
    <row r="5717" spans="1:4" x14ac:dyDescent="0.25">
      <c r="A5717" s="279">
        <v>39220</v>
      </c>
      <c r="B5717" s="309" t="s">
        <v>411</v>
      </c>
      <c r="C5717" s="309" t="s">
        <v>406</v>
      </c>
      <c r="D5717">
        <v>171197</v>
      </c>
    </row>
    <row r="5718" spans="1:4" x14ac:dyDescent="0.25">
      <c r="A5718" s="279">
        <v>39220</v>
      </c>
      <c r="B5718" s="309" t="s">
        <v>411</v>
      </c>
      <c r="C5718" s="309" t="s">
        <v>198</v>
      </c>
      <c r="D5718">
        <v>0</v>
      </c>
    </row>
    <row r="5719" spans="1:4" x14ac:dyDescent="0.25">
      <c r="A5719" s="279">
        <v>39220</v>
      </c>
      <c r="B5719" s="309" t="s">
        <v>411</v>
      </c>
      <c r="C5719" s="309" t="s">
        <v>199</v>
      </c>
      <c r="D5719">
        <v>0</v>
      </c>
    </row>
    <row r="5720" spans="1:4" x14ac:dyDescent="0.25">
      <c r="A5720" s="279">
        <v>39220</v>
      </c>
      <c r="B5720" s="309" t="s">
        <v>411</v>
      </c>
      <c r="C5720" s="309" t="s">
        <v>90</v>
      </c>
      <c r="D5720">
        <v>276</v>
      </c>
    </row>
    <row r="5721" spans="1:4" x14ac:dyDescent="0.25">
      <c r="A5721" s="279">
        <v>39220</v>
      </c>
      <c r="B5721" s="309" t="s">
        <v>411</v>
      </c>
      <c r="C5721" s="309" t="s">
        <v>24</v>
      </c>
      <c r="D5721">
        <v>0</v>
      </c>
    </row>
    <row r="5722" spans="1:4" x14ac:dyDescent="0.25">
      <c r="A5722" s="279">
        <v>39220</v>
      </c>
      <c r="B5722" s="309" t="s">
        <v>411</v>
      </c>
      <c r="C5722" s="309" t="s">
        <v>91</v>
      </c>
      <c r="D5722">
        <v>0</v>
      </c>
    </row>
    <row r="5723" spans="1:4" x14ac:dyDescent="0.25">
      <c r="A5723" s="279">
        <v>39220</v>
      </c>
      <c r="B5723" s="309" t="s">
        <v>411</v>
      </c>
      <c r="C5723" s="309" t="s">
        <v>118</v>
      </c>
      <c r="D5723">
        <v>0</v>
      </c>
    </row>
    <row r="5724" spans="1:4" x14ac:dyDescent="0.25">
      <c r="A5724" s="279">
        <v>39220</v>
      </c>
      <c r="B5724" s="309" t="s">
        <v>411</v>
      </c>
      <c r="C5724" s="309" t="s">
        <v>407</v>
      </c>
      <c r="D5724">
        <v>170921</v>
      </c>
    </row>
    <row r="5725" spans="1:4" x14ac:dyDescent="0.25">
      <c r="A5725" s="279">
        <v>39220</v>
      </c>
      <c r="B5725" s="309" t="s">
        <v>411</v>
      </c>
      <c r="C5725" s="309" t="s">
        <v>412</v>
      </c>
      <c r="D5725">
        <v>1007</v>
      </c>
    </row>
    <row r="5726" spans="1:4" x14ac:dyDescent="0.25">
      <c r="A5726" s="279">
        <v>39220</v>
      </c>
      <c r="B5726" s="309" t="s">
        <v>411</v>
      </c>
      <c r="C5726" s="309" t="s">
        <v>409</v>
      </c>
      <c r="D5726">
        <v>1049</v>
      </c>
    </row>
    <row r="5727" spans="1:4" x14ac:dyDescent="0.25">
      <c r="A5727" s="279">
        <v>39221</v>
      </c>
      <c r="B5727" s="309" t="s">
        <v>405</v>
      </c>
      <c r="C5727" s="309" t="s">
        <v>406</v>
      </c>
      <c r="D5727">
        <v>2663657.1</v>
      </c>
    </row>
    <row r="5728" spans="1:4" x14ac:dyDescent="0.25">
      <c r="A5728" s="279">
        <v>39221</v>
      </c>
      <c r="B5728" s="309" t="s">
        <v>405</v>
      </c>
      <c r="C5728" s="309" t="s">
        <v>89</v>
      </c>
      <c r="D5728">
        <v>7856</v>
      </c>
    </row>
    <row r="5729" spans="1:4" x14ac:dyDescent="0.25">
      <c r="A5729" s="279">
        <v>39221</v>
      </c>
      <c r="B5729" s="309" t="s">
        <v>405</v>
      </c>
      <c r="C5729" s="309" t="s">
        <v>198</v>
      </c>
      <c r="D5729">
        <v>0</v>
      </c>
    </row>
    <row r="5730" spans="1:4" x14ac:dyDescent="0.25">
      <c r="A5730" s="279">
        <v>39221</v>
      </c>
      <c r="B5730" s="309" t="s">
        <v>405</v>
      </c>
      <c r="C5730" s="309" t="s">
        <v>199</v>
      </c>
      <c r="D5730">
        <v>0</v>
      </c>
    </row>
    <row r="5731" spans="1:4" x14ac:dyDescent="0.25">
      <c r="A5731" s="279">
        <v>39221</v>
      </c>
      <c r="B5731" s="309" t="s">
        <v>405</v>
      </c>
      <c r="C5731" s="309" t="s">
        <v>90</v>
      </c>
      <c r="D5731">
        <v>1986</v>
      </c>
    </row>
    <row r="5732" spans="1:4" x14ac:dyDescent="0.25">
      <c r="A5732" s="279">
        <v>39221</v>
      </c>
      <c r="B5732" s="309" t="s">
        <v>405</v>
      </c>
      <c r="C5732" s="309" t="s">
        <v>24</v>
      </c>
      <c r="D5732">
        <v>0</v>
      </c>
    </row>
    <row r="5733" spans="1:4" x14ac:dyDescent="0.25">
      <c r="A5733" s="279">
        <v>39221</v>
      </c>
      <c r="B5733" s="309" t="s">
        <v>405</v>
      </c>
      <c r="C5733" s="309" t="s">
        <v>91</v>
      </c>
      <c r="D5733">
        <v>0</v>
      </c>
    </row>
    <row r="5734" spans="1:4" x14ac:dyDescent="0.25">
      <c r="A5734" s="279">
        <v>39221</v>
      </c>
      <c r="B5734" s="309" t="s">
        <v>405</v>
      </c>
      <c r="C5734" s="309" t="s">
        <v>118</v>
      </c>
      <c r="D5734">
        <v>0</v>
      </c>
    </row>
    <row r="5735" spans="1:4" x14ac:dyDescent="0.25">
      <c r="A5735" s="279">
        <v>39221</v>
      </c>
      <c r="B5735" s="309" t="s">
        <v>405</v>
      </c>
      <c r="C5735" s="309" t="s">
        <v>407</v>
      </c>
      <c r="D5735">
        <v>2669527.1</v>
      </c>
    </row>
    <row r="5736" spans="1:4" x14ac:dyDescent="0.25">
      <c r="A5736" s="279">
        <v>39221</v>
      </c>
      <c r="B5736" s="309" t="s">
        <v>405</v>
      </c>
      <c r="C5736" s="309" t="s">
        <v>408</v>
      </c>
      <c r="D5736">
        <v>1007</v>
      </c>
    </row>
    <row r="5737" spans="1:4" x14ac:dyDescent="0.25">
      <c r="A5737" s="279">
        <v>39221</v>
      </c>
      <c r="B5737" s="309" t="s">
        <v>405</v>
      </c>
      <c r="C5737" s="309" t="s">
        <v>409</v>
      </c>
      <c r="D5737">
        <v>1058</v>
      </c>
    </row>
    <row r="5738" spans="1:4" x14ac:dyDescent="0.25">
      <c r="A5738" s="279">
        <v>39221</v>
      </c>
      <c r="B5738" s="309" t="s">
        <v>405</v>
      </c>
      <c r="C5738" s="309" t="s">
        <v>410</v>
      </c>
      <c r="D5738">
        <v>1038</v>
      </c>
    </row>
    <row r="5739" spans="1:4" x14ac:dyDescent="0.25">
      <c r="A5739" s="279">
        <v>39221</v>
      </c>
      <c r="B5739" s="309" t="s">
        <v>411</v>
      </c>
      <c r="C5739" s="309" t="s">
        <v>406</v>
      </c>
      <c r="D5739">
        <v>170921</v>
      </c>
    </row>
    <row r="5740" spans="1:4" x14ac:dyDescent="0.25">
      <c r="A5740" s="279">
        <v>39221</v>
      </c>
      <c r="B5740" s="309" t="s">
        <v>411</v>
      </c>
      <c r="C5740" s="309" t="s">
        <v>198</v>
      </c>
      <c r="D5740">
        <v>0</v>
      </c>
    </row>
    <row r="5741" spans="1:4" x14ac:dyDescent="0.25">
      <c r="A5741" s="279">
        <v>39221</v>
      </c>
      <c r="B5741" s="309" t="s">
        <v>411</v>
      </c>
      <c r="C5741" s="309" t="s">
        <v>199</v>
      </c>
      <c r="D5741">
        <v>0</v>
      </c>
    </row>
    <row r="5742" spans="1:4" x14ac:dyDescent="0.25">
      <c r="A5742" s="279">
        <v>39221</v>
      </c>
      <c r="B5742" s="309" t="s">
        <v>411</v>
      </c>
      <c r="C5742" s="309" t="s">
        <v>90</v>
      </c>
      <c r="D5742">
        <v>276</v>
      </c>
    </row>
    <row r="5743" spans="1:4" x14ac:dyDescent="0.25">
      <c r="A5743" s="279">
        <v>39221</v>
      </c>
      <c r="B5743" s="309" t="s">
        <v>411</v>
      </c>
      <c r="C5743" s="309" t="s">
        <v>24</v>
      </c>
      <c r="D5743">
        <v>0</v>
      </c>
    </row>
    <row r="5744" spans="1:4" x14ac:dyDescent="0.25">
      <c r="A5744" s="279">
        <v>39221</v>
      </c>
      <c r="B5744" s="309" t="s">
        <v>411</v>
      </c>
      <c r="C5744" s="309" t="s">
        <v>91</v>
      </c>
      <c r="D5744">
        <v>0</v>
      </c>
    </row>
    <row r="5745" spans="1:4" x14ac:dyDescent="0.25">
      <c r="A5745" s="279">
        <v>39221</v>
      </c>
      <c r="B5745" s="309" t="s">
        <v>411</v>
      </c>
      <c r="C5745" s="309" t="s">
        <v>118</v>
      </c>
      <c r="D5745">
        <v>0</v>
      </c>
    </row>
    <row r="5746" spans="1:4" x14ac:dyDescent="0.25">
      <c r="A5746" s="279">
        <v>39221</v>
      </c>
      <c r="B5746" s="309" t="s">
        <v>411</v>
      </c>
      <c r="C5746" s="309" t="s">
        <v>407</v>
      </c>
      <c r="D5746">
        <v>170645</v>
      </c>
    </row>
    <row r="5747" spans="1:4" x14ac:dyDescent="0.25">
      <c r="A5747" s="279">
        <v>39221</v>
      </c>
      <c r="B5747" s="309" t="s">
        <v>411</v>
      </c>
      <c r="C5747" s="309" t="s">
        <v>412</v>
      </c>
      <c r="D5747">
        <v>1007</v>
      </c>
    </row>
    <row r="5748" spans="1:4" x14ac:dyDescent="0.25">
      <c r="A5748" s="279">
        <v>39221</v>
      </c>
      <c r="B5748" s="309" t="s">
        <v>411</v>
      </c>
      <c r="C5748" s="309" t="s">
        <v>409</v>
      </c>
      <c r="D5748">
        <v>1049</v>
      </c>
    </row>
    <row r="5749" spans="1:4" x14ac:dyDescent="0.25">
      <c r="A5749" s="279">
        <v>39222</v>
      </c>
      <c r="B5749" s="309" t="s">
        <v>405</v>
      </c>
      <c r="C5749" s="309" t="s">
        <v>406</v>
      </c>
      <c r="D5749">
        <v>2669527.1</v>
      </c>
    </row>
    <row r="5750" spans="1:4" x14ac:dyDescent="0.25">
      <c r="A5750" s="279">
        <v>39222</v>
      </c>
      <c r="B5750" s="309" t="s">
        <v>405</v>
      </c>
      <c r="C5750" s="309" t="s">
        <v>89</v>
      </c>
      <c r="D5750">
        <v>7578</v>
      </c>
    </row>
    <row r="5751" spans="1:4" x14ac:dyDescent="0.25">
      <c r="A5751" s="279">
        <v>39222</v>
      </c>
      <c r="B5751" s="309" t="s">
        <v>405</v>
      </c>
      <c r="C5751" s="309" t="s">
        <v>198</v>
      </c>
      <c r="D5751">
        <v>0</v>
      </c>
    </row>
    <row r="5752" spans="1:4" x14ac:dyDescent="0.25">
      <c r="A5752" s="279">
        <v>39222</v>
      </c>
      <c r="B5752" s="309" t="s">
        <v>405</v>
      </c>
      <c r="C5752" s="309" t="s">
        <v>199</v>
      </c>
      <c r="D5752">
        <v>0</v>
      </c>
    </row>
    <row r="5753" spans="1:4" x14ac:dyDescent="0.25">
      <c r="A5753" s="279">
        <v>39222</v>
      </c>
      <c r="B5753" s="309" t="s">
        <v>405</v>
      </c>
      <c r="C5753" s="309" t="s">
        <v>90</v>
      </c>
      <c r="D5753">
        <v>1974</v>
      </c>
    </row>
    <row r="5754" spans="1:4" x14ac:dyDescent="0.25">
      <c r="A5754" s="279">
        <v>39222</v>
      </c>
      <c r="B5754" s="309" t="s">
        <v>405</v>
      </c>
      <c r="C5754" s="309" t="s">
        <v>24</v>
      </c>
      <c r="D5754">
        <v>0</v>
      </c>
    </row>
    <row r="5755" spans="1:4" x14ac:dyDescent="0.25">
      <c r="A5755" s="279">
        <v>39222</v>
      </c>
      <c r="B5755" s="309" t="s">
        <v>405</v>
      </c>
      <c r="C5755" s="309" t="s">
        <v>91</v>
      </c>
      <c r="D5755">
        <v>0</v>
      </c>
    </row>
    <row r="5756" spans="1:4" x14ac:dyDescent="0.25">
      <c r="A5756" s="279">
        <v>39222</v>
      </c>
      <c r="B5756" s="309" t="s">
        <v>405</v>
      </c>
      <c r="C5756" s="309" t="s">
        <v>118</v>
      </c>
      <c r="D5756">
        <v>0</v>
      </c>
    </row>
    <row r="5757" spans="1:4" x14ac:dyDescent="0.25">
      <c r="A5757" s="279">
        <v>39222</v>
      </c>
      <c r="B5757" s="309" t="s">
        <v>405</v>
      </c>
      <c r="C5757" s="309" t="s">
        <v>407</v>
      </c>
      <c r="D5757">
        <v>2675131.1</v>
      </c>
    </row>
    <row r="5758" spans="1:4" x14ac:dyDescent="0.25">
      <c r="A5758" s="279">
        <v>39222</v>
      </c>
      <c r="B5758" s="309" t="s">
        <v>405</v>
      </c>
      <c r="C5758" s="309" t="s">
        <v>408</v>
      </c>
      <c r="D5758">
        <v>1007</v>
      </c>
    </row>
    <row r="5759" spans="1:4" x14ac:dyDescent="0.25">
      <c r="A5759" s="279">
        <v>39222</v>
      </c>
      <c r="B5759" s="309" t="s">
        <v>405</v>
      </c>
      <c r="C5759" s="309" t="s">
        <v>409</v>
      </c>
      <c r="D5759">
        <v>1058</v>
      </c>
    </row>
    <row r="5760" spans="1:4" x14ac:dyDescent="0.25">
      <c r="A5760" s="279">
        <v>39222</v>
      </c>
      <c r="B5760" s="309" t="s">
        <v>405</v>
      </c>
      <c r="C5760" s="309" t="s">
        <v>410</v>
      </c>
      <c r="D5760">
        <v>1038</v>
      </c>
    </row>
    <row r="5761" spans="1:4" x14ac:dyDescent="0.25">
      <c r="A5761" s="279">
        <v>39222</v>
      </c>
      <c r="B5761" s="309" t="s">
        <v>411</v>
      </c>
      <c r="C5761" s="309" t="s">
        <v>406</v>
      </c>
      <c r="D5761">
        <v>170645</v>
      </c>
    </row>
    <row r="5762" spans="1:4" x14ac:dyDescent="0.25">
      <c r="A5762" s="279">
        <v>39222</v>
      </c>
      <c r="B5762" s="309" t="s">
        <v>411</v>
      </c>
      <c r="C5762" s="309" t="s">
        <v>198</v>
      </c>
      <c r="D5762">
        <v>0</v>
      </c>
    </row>
    <row r="5763" spans="1:4" x14ac:dyDescent="0.25">
      <c r="A5763" s="279">
        <v>39222</v>
      </c>
      <c r="B5763" s="309" t="s">
        <v>411</v>
      </c>
      <c r="C5763" s="309" t="s">
        <v>199</v>
      </c>
      <c r="D5763">
        <v>0</v>
      </c>
    </row>
    <row r="5764" spans="1:4" x14ac:dyDescent="0.25">
      <c r="A5764" s="279">
        <v>39222</v>
      </c>
      <c r="B5764" s="309" t="s">
        <v>411</v>
      </c>
      <c r="C5764" s="309" t="s">
        <v>90</v>
      </c>
      <c r="D5764">
        <v>276</v>
      </c>
    </row>
    <row r="5765" spans="1:4" x14ac:dyDescent="0.25">
      <c r="A5765" s="279">
        <v>39222</v>
      </c>
      <c r="B5765" s="309" t="s">
        <v>411</v>
      </c>
      <c r="C5765" s="309" t="s">
        <v>24</v>
      </c>
      <c r="D5765">
        <v>0</v>
      </c>
    </row>
    <row r="5766" spans="1:4" x14ac:dyDescent="0.25">
      <c r="A5766" s="279">
        <v>39222</v>
      </c>
      <c r="B5766" s="309" t="s">
        <v>411</v>
      </c>
      <c r="C5766" s="309" t="s">
        <v>91</v>
      </c>
      <c r="D5766">
        <v>0</v>
      </c>
    </row>
    <row r="5767" spans="1:4" x14ac:dyDescent="0.25">
      <c r="A5767" s="279">
        <v>39222</v>
      </c>
      <c r="B5767" s="309" t="s">
        <v>411</v>
      </c>
      <c r="C5767" s="309" t="s">
        <v>118</v>
      </c>
      <c r="D5767">
        <v>0</v>
      </c>
    </row>
    <row r="5768" spans="1:4" x14ac:dyDescent="0.25">
      <c r="A5768" s="279">
        <v>39222</v>
      </c>
      <c r="B5768" s="309" t="s">
        <v>411</v>
      </c>
      <c r="C5768" s="309" t="s">
        <v>407</v>
      </c>
      <c r="D5768">
        <v>170369</v>
      </c>
    </row>
    <row r="5769" spans="1:4" x14ac:dyDescent="0.25">
      <c r="A5769" s="279">
        <v>39222</v>
      </c>
      <c r="B5769" s="309" t="s">
        <v>411</v>
      </c>
      <c r="C5769" s="309" t="s">
        <v>412</v>
      </c>
      <c r="D5769">
        <v>1007</v>
      </c>
    </row>
    <row r="5770" spans="1:4" x14ac:dyDescent="0.25">
      <c r="A5770" s="279">
        <v>39222</v>
      </c>
      <c r="B5770" s="309" t="s">
        <v>411</v>
      </c>
      <c r="C5770" s="309" t="s">
        <v>409</v>
      </c>
      <c r="D5770">
        <v>1049</v>
      </c>
    </row>
    <row r="5771" spans="1:4" x14ac:dyDescent="0.25">
      <c r="A5771" s="279">
        <v>39223</v>
      </c>
      <c r="B5771" s="309" t="s">
        <v>405</v>
      </c>
      <c r="C5771" s="309" t="s">
        <v>406</v>
      </c>
      <c r="D5771">
        <v>2675131.1</v>
      </c>
    </row>
    <row r="5772" spans="1:4" x14ac:dyDescent="0.25">
      <c r="A5772" s="279">
        <v>39223</v>
      </c>
      <c r="B5772" s="309" t="s">
        <v>405</v>
      </c>
      <c r="C5772" s="309" t="s">
        <v>89</v>
      </c>
      <c r="D5772">
        <v>10389</v>
      </c>
    </row>
    <row r="5773" spans="1:4" x14ac:dyDescent="0.25">
      <c r="A5773" s="279">
        <v>39223</v>
      </c>
      <c r="B5773" s="309" t="s">
        <v>405</v>
      </c>
      <c r="C5773" s="309" t="s">
        <v>198</v>
      </c>
      <c r="D5773">
        <v>0</v>
      </c>
    </row>
    <row r="5774" spans="1:4" x14ac:dyDescent="0.25">
      <c r="A5774" s="279">
        <v>39223</v>
      </c>
      <c r="B5774" s="309" t="s">
        <v>405</v>
      </c>
      <c r="C5774" s="309" t="s">
        <v>199</v>
      </c>
      <c r="D5774">
        <v>0</v>
      </c>
    </row>
    <row r="5775" spans="1:4" x14ac:dyDescent="0.25">
      <c r="A5775" s="279">
        <v>39223</v>
      </c>
      <c r="B5775" s="309" t="s">
        <v>405</v>
      </c>
      <c r="C5775" s="309" t="s">
        <v>90</v>
      </c>
      <c r="D5775">
        <v>2117</v>
      </c>
    </row>
    <row r="5776" spans="1:4" x14ac:dyDescent="0.25">
      <c r="A5776" s="279">
        <v>39223</v>
      </c>
      <c r="B5776" s="309" t="s">
        <v>405</v>
      </c>
      <c r="C5776" s="309" t="s">
        <v>24</v>
      </c>
      <c r="D5776">
        <v>0</v>
      </c>
    </row>
    <row r="5777" spans="1:4" x14ac:dyDescent="0.25">
      <c r="A5777" s="279">
        <v>39223</v>
      </c>
      <c r="B5777" s="309" t="s">
        <v>405</v>
      </c>
      <c r="C5777" s="309" t="s">
        <v>91</v>
      </c>
      <c r="D5777">
        <v>0</v>
      </c>
    </row>
    <row r="5778" spans="1:4" x14ac:dyDescent="0.25">
      <c r="A5778" s="279">
        <v>39223</v>
      </c>
      <c r="B5778" s="309" t="s">
        <v>405</v>
      </c>
      <c r="C5778" s="309" t="s">
        <v>118</v>
      </c>
      <c r="D5778">
        <v>0</v>
      </c>
    </row>
    <row r="5779" spans="1:4" x14ac:dyDescent="0.25">
      <c r="A5779" s="279">
        <v>39223</v>
      </c>
      <c r="B5779" s="309" t="s">
        <v>405</v>
      </c>
      <c r="C5779" s="309" t="s">
        <v>407</v>
      </c>
      <c r="D5779">
        <v>2683403.1</v>
      </c>
    </row>
    <row r="5780" spans="1:4" x14ac:dyDescent="0.25">
      <c r="A5780" s="279">
        <v>39223</v>
      </c>
      <c r="B5780" s="309" t="s">
        <v>405</v>
      </c>
      <c r="C5780" s="309" t="s">
        <v>408</v>
      </c>
      <c r="D5780">
        <v>1007</v>
      </c>
    </row>
    <row r="5781" spans="1:4" x14ac:dyDescent="0.25">
      <c r="A5781" s="279">
        <v>39223</v>
      </c>
      <c r="B5781" s="309" t="s">
        <v>405</v>
      </c>
      <c r="C5781" s="309" t="s">
        <v>409</v>
      </c>
      <c r="D5781">
        <v>1058</v>
      </c>
    </row>
    <row r="5782" spans="1:4" x14ac:dyDescent="0.25">
      <c r="A5782" s="279">
        <v>39223</v>
      </c>
      <c r="B5782" s="309" t="s">
        <v>405</v>
      </c>
      <c r="C5782" s="309" t="s">
        <v>410</v>
      </c>
      <c r="D5782">
        <v>1038</v>
      </c>
    </row>
    <row r="5783" spans="1:4" x14ac:dyDescent="0.25">
      <c r="A5783" s="279">
        <v>39223</v>
      </c>
      <c r="B5783" s="309" t="s">
        <v>411</v>
      </c>
      <c r="C5783" s="309" t="s">
        <v>406</v>
      </c>
      <c r="D5783">
        <v>170369</v>
      </c>
    </row>
    <row r="5784" spans="1:4" x14ac:dyDescent="0.25">
      <c r="A5784" s="279">
        <v>39223</v>
      </c>
      <c r="B5784" s="309" t="s">
        <v>411</v>
      </c>
      <c r="C5784" s="309" t="s">
        <v>198</v>
      </c>
      <c r="D5784">
        <v>0</v>
      </c>
    </row>
    <row r="5785" spans="1:4" x14ac:dyDescent="0.25">
      <c r="A5785" s="279">
        <v>39223</v>
      </c>
      <c r="B5785" s="309" t="s">
        <v>411</v>
      </c>
      <c r="C5785" s="309" t="s">
        <v>199</v>
      </c>
      <c r="D5785">
        <v>0</v>
      </c>
    </row>
    <row r="5786" spans="1:4" x14ac:dyDescent="0.25">
      <c r="A5786" s="279">
        <v>39223</v>
      </c>
      <c r="B5786" s="309" t="s">
        <v>411</v>
      </c>
      <c r="C5786" s="309" t="s">
        <v>90</v>
      </c>
      <c r="D5786">
        <v>276</v>
      </c>
    </row>
    <row r="5787" spans="1:4" x14ac:dyDescent="0.25">
      <c r="A5787" s="279">
        <v>39223</v>
      </c>
      <c r="B5787" s="309" t="s">
        <v>411</v>
      </c>
      <c r="C5787" s="309" t="s">
        <v>24</v>
      </c>
      <c r="D5787">
        <v>0</v>
      </c>
    </row>
    <row r="5788" spans="1:4" x14ac:dyDescent="0.25">
      <c r="A5788" s="279">
        <v>39223</v>
      </c>
      <c r="B5788" s="309" t="s">
        <v>411</v>
      </c>
      <c r="C5788" s="309" t="s">
        <v>91</v>
      </c>
      <c r="D5788">
        <v>0</v>
      </c>
    </row>
    <row r="5789" spans="1:4" x14ac:dyDescent="0.25">
      <c r="A5789" s="279">
        <v>39223</v>
      </c>
      <c r="B5789" s="309" t="s">
        <v>411</v>
      </c>
      <c r="C5789" s="309" t="s">
        <v>118</v>
      </c>
      <c r="D5789">
        <v>0</v>
      </c>
    </row>
    <row r="5790" spans="1:4" x14ac:dyDescent="0.25">
      <c r="A5790" s="279">
        <v>39223</v>
      </c>
      <c r="B5790" s="309" t="s">
        <v>411</v>
      </c>
      <c r="C5790" s="309" t="s">
        <v>407</v>
      </c>
      <c r="D5790">
        <v>170093</v>
      </c>
    </row>
    <row r="5791" spans="1:4" x14ac:dyDescent="0.25">
      <c r="A5791" s="279">
        <v>39223</v>
      </c>
      <c r="B5791" s="309" t="s">
        <v>411</v>
      </c>
      <c r="C5791" s="309" t="s">
        <v>412</v>
      </c>
      <c r="D5791">
        <v>1007</v>
      </c>
    </row>
    <row r="5792" spans="1:4" x14ac:dyDescent="0.25">
      <c r="A5792" s="279">
        <v>39223</v>
      </c>
      <c r="B5792" s="309" t="s">
        <v>411</v>
      </c>
      <c r="C5792" s="309" t="s">
        <v>409</v>
      </c>
      <c r="D5792">
        <v>1049</v>
      </c>
    </row>
    <row r="5793" spans="1:4" x14ac:dyDescent="0.25">
      <c r="A5793" s="279">
        <v>39224</v>
      </c>
      <c r="B5793" s="309" t="s">
        <v>405</v>
      </c>
      <c r="C5793" s="309" t="s">
        <v>406</v>
      </c>
      <c r="D5793">
        <v>2683403.1</v>
      </c>
    </row>
    <row r="5794" spans="1:4" x14ac:dyDescent="0.25">
      <c r="A5794" s="279">
        <v>39224</v>
      </c>
      <c r="B5794" s="309" t="s">
        <v>405</v>
      </c>
      <c r="C5794" s="309" t="s">
        <v>89</v>
      </c>
      <c r="D5794">
        <v>10954</v>
      </c>
    </row>
    <row r="5795" spans="1:4" x14ac:dyDescent="0.25">
      <c r="A5795" s="279">
        <v>39224</v>
      </c>
      <c r="B5795" s="309" t="s">
        <v>405</v>
      </c>
      <c r="C5795" s="309" t="s">
        <v>198</v>
      </c>
      <c r="D5795">
        <v>0</v>
      </c>
    </row>
    <row r="5796" spans="1:4" x14ac:dyDescent="0.25">
      <c r="A5796" s="279">
        <v>39224</v>
      </c>
      <c r="B5796" s="309" t="s">
        <v>405</v>
      </c>
      <c r="C5796" s="309" t="s">
        <v>199</v>
      </c>
      <c r="D5796">
        <v>0</v>
      </c>
    </row>
    <row r="5797" spans="1:4" x14ac:dyDescent="0.25">
      <c r="A5797" s="279">
        <v>39224</v>
      </c>
      <c r="B5797" s="309" t="s">
        <v>405</v>
      </c>
      <c r="C5797" s="309" t="s">
        <v>90</v>
      </c>
      <c r="D5797">
        <v>2148</v>
      </c>
    </row>
    <row r="5798" spans="1:4" x14ac:dyDescent="0.25">
      <c r="A5798" s="279">
        <v>39224</v>
      </c>
      <c r="B5798" s="309" t="s">
        <v>405</v>
      </c>
      <c r="C5798" s="309" t="s">
        <v>24</v>
      </c>
      <c r="D5798">
        <v>0</v>
      </c>
    </row>
    <row r="5799" spans="1:4" x14ac:dyDescent="0.25">
      <c r="A5799" s="279">
        <v>39224</v>
      </c>
      <c r="B5799" s="309" t="s">
        <v>405</v>
      </c>
      <c r="C5799" s="309" t="s">
        <v>91</v>
      </c>
      <c r="D5799">
        <v>0</v>
      </c>
    </row>
    <row r="5800" spans="1:4" x14ac:dyDescent="0.25">
      <c r="A5800" s="279">
        <v>39224</v>
      </c>
      <c r="B5800" s="309" t="s">
        <v>405</v>
      </c>
      <c r="C5800" s="309" t="s">
        <v>118</v>
      </c>
      <c r="D5800">
        <v>0</v>
      </c>
    </row>
    <row r="5801" spans="1:4" x14ac:dyDescent="0.25">
      <c r="A5801" s="279">
        <v>39224</v>
      </c>
      <c r="B5801" s="309" t="s">
        <v>405</v>
      </c>
      <c r="C5801" s="309" t="s">
        <v>407</v>
      </c>
      <c r="D5801">
        <v>2692209.1</v>
      </c>
    </row>
    <row r="5802" spans="1:4" x14ac:dyDescent="0.25">
      <c r="A5802" s="279">
        <v>39224</v>
      </c>
      <c r="B5802" s="309" t="s">
        <v>405</v>
      </c>
      <c r="C5802" s="309" t="s">
        <v>408</v>
      </c>
      <c r="D5802">
        <v>1007</v>
      </c>
    </row>
    <row r="5803" spans="1:4" x14ac:dyDescent="0.25">
      <c r="A5803" s="279">
        <v>39224</v>
      </c>
      <c r="B5803" s="309" t="s">
        <v>405</v>
      </c>
      <c r="C5803" s="309" t="s">
        <v>409</v>
      </c>
      <c r="D5803">
        <v>1058</v>
      </c>
    </row>
    <row r="5804" spans="1:4" x14ac:dyDescent="0.25">
      <c r="A5804" s="279">
        <v>39224</v>
      </c>
      <c r="B5804" s="309" t="s">
        <v>405</v>
      </c>
      <c r="C5804" s="309" t="s">
        <v>410</v>
      </c>
      <c r="D5804">
        <v>1039</v>
      </c>
    </row>
    <row r="5805" spans="1:4" x14ac:dyDescent="0.25">
      <c r="A5805" s="279">
        <v>39224</v>
      </c>
      <c r="B5805" s="309" t="s">
        <v>411</v>
      </c>
      <c r="C5805" s="309" t="s">
        <v>406</v>
      </c>
      <c r="D5805">
        <v>170093</v>
      </c>
    </row>
    <row r="5806" spans="1:4" x14ac:dyDescent="0.25">
      <c r="A5806" s="279">
        <v>39224</v>
      </c>
      <c r="B5806" s="309" t="s">
        <v>411</v>
      </c>
      <c r="C5806" s="309" t="s">
        <v>198</v>
      </c>
      <c r="D5806">
        <v>0</v>
      </c>
    </row>
    <row r="5807" spans="1:4" x14ac:dyDescent="0.25">
      <c r="A5807" s="279">
        <v>39224</v>
      </c>
      <c r="B5807" s="309" t="s">
        <v>411</v>
      </c>
      <c r="C5807" s="309" t="s">
        <v>199</v>
      </c>
      <c r="D5807">
        <v>0</v>
      </c>
    </row>
    <row r="5808" spans="1:4" x14ac:dyDescent="0.25">
      <c r="A5808" s="279">
        <v>39224</v>
      </c>
      <c r="B5808" s="309" t="s">
        <v>411</v>
      </c>
      <c r="C5808" s="309" t="s">
        <v>90</v>
      </c>
      <c r="D5808">
        <v>276</v>
      </c>
    </row>
    <row r="5809" spans="1:4" x14ac:dyDescent="0.25">
      <c r="A5809" s="279">
        <v>39224</v>
      </c>
      <c r="B5809" s="309" t="s">
        <v>411</v>
      </c>
      <c r="C5809" s="309" t="s">
        <v>24</v>
      </c>
      <c r="D5809">
        <v>0</v>
      </c>
    </row>
    <row r="5810" spans="1:4" x14ac:dyDescent="0.25">
      <c r="A5810" s="279">
        <v>39224</v>
      </c>
      <c r="B5810" s="309" t="s">
        <v>411</v>
      </c>
      <c r="C5810" s="309" t="s">
        <v>91</v>
      </c>
      <c r="D5810">
        <v>0</v>
      </c>
    </row>
    <row r="5811" spans="1:4" x14ac:dyDescent="0.25">
      <c r="A5811" s="279">
        <v>39224</v>
      </c>
      <c r="B5811" s="309" t="s">
        <v>411</v>
      </c>
      <c r="C5811" s="309" t="s">
        <v>118</v>
      </c>
      <c r="D5811">
        <v>0</v>
      </c>
    </row>
    <row r="5812" spans="1:4" x14ac:dyDescent="0.25">
      <c r="A5812" s="279">
        <v>39224</v>
      </c>
      <c r="B5812" s="309" t="s">
        <v>411</v>
      </c>
      <c r="C5812" s="309" t="s">
        <v>407</v>
      </c>
      <c r="D5812">
        <v>169817</v>
      </c>
    </row>
    <row r="5813" spans="1:4" x14ac:dyDescent="0.25">
      <c r="A5813" s="279">
        <v>39224</v>
      </c>
      <c r="B5813" s="309" t="s">
        <v>411</v>
      </c>
      <c r="C5813" s="309" t="s">
        <v>412</v>
      </c>
      <c r="D5813">
        <v>1007</v>
      </c>
    </row>
    <row r="5814" spans="1:4" x14ac:dyDescent="0.25">
      <c r="A5814" s="279">
        <v>39224</v>
      </c>
      <c r="B5814" s="309" t="s">
        <v>411</v>
      </c>
      <c r="C5814" s="309" t="s">
        <v>409</v>
      </c>
      <c r="D5814">
        <v>1049</v>
      </c>
    </row>
    <row r="5815" spans="1:4" x14ac:dyDescent="0.25">
      <c r="A5815" s="279">
        <v>39225</v>
      </c>
      <c r="B5815" s="309" t="s">
        <v>405</v>
      </c>
      <c r="C5815" s="309" t="s">
        <v>406</v>
      </c>
      <c r="D5815">
        <v>2692209.1</v>
      </c>
    </row>
    <row r="5816" spans="1:4" x14ac:dyDescent="0.25">
      <c r="A5816" s="279">
        <v>39225</v>
      </c>
      <c r="B5816" s="309" t="s">
        <v>405</v>
      </c>
      <c r="C5816" s="309" t="s">
        <v>89</v>
      </c>
      <c r="D5816">
        <v>10394</v>
      </c>
    </row>
    <row r="5817" spans="1:4" x14ac:dyDescent="0.25">
      <c r="A5817" s="279">
        <v>39225</v>
      </c>
      <c r="B5817" s="309" t="s">
        <v>405</v>
      </c>
      <c r="C5817" s="309" t="s">
        <v>198</v>
      </c>
      <c r="D5817">
        <v>0</v>
      </c>
    </row>
    <row r="5818" spans="1:4" x14ac:dyDescent="0.25">
      <c r="A5818" s="279">
        <v>39225</v>
      </c>
      <c r="B5818" s="309" t="s">
        <v>405</v>
      </c>
      <c r="C5818" s="309" t="s">
        <v>199</v>
      </c>
      <c r="D5818">
        <v>0</v>
      </c>
    </row>
    <row r="5819" spans="1:4" x14ac:dyDescent="0.25">
      <c r="A5819" s="279">
        <v>39225</v>
      </c>
      <c r="B5819" s="309" t="s">
        <v>405</v>
      </c>
      <c r="C5819" s="309" t="s">
        <v>90</v>
      </c>
      <c r="D5819">
        <v>2122</v>
      </c>
    </row>
    <row r="5820" spans="1:4" x14ac:dyDescent="0.25">
      <c r="A5820" s="279">
        <v>39225</v>
      </c>
      <c r="B5820" s="309" t="s">
        <v>405</v>
      </c>
      <c r="C5820" s="309" t="s">
        <v>24</v>
      </c>
      <c r="D5820">
        <v>0</v>
      </c>
    </row>
    <row r="5821" spans="1:4" x14ac:dyDescent="0.25">
      <c r="A5821" s="279">
        <v>39225</v>
      </c>
      <c r="B5821" s="309" t="s">
        <v>405</v>
      </c>
      <c r="C5821" s="309" t="s">
        <v>91</v>
      </c>
      <c r="D5821">
        <v>0</v>
      </c>
    </row>
    <row r="5822" spans="1:4" x14ac:dyDescent="0.25">
      <c r="A5822" s="279">
        <v>39225</v>
      </c>
      <c r="B5822" s="309" t="s">
        <v>405</v>
      </c>
      <c r="C5822" s="309" t="s">
        <v>118</v>
      </c>
      <c r="D5822">
        <v>0</v>
      </c>
    </row>
    <row r="5823" spans="1:4" x14ac:dyDescent="0.25">
      <c r="A5823" s="279">
        <v>39225</v>
      </c>
      <c r="B5823" s="309" t="s">
        <v>405</v>
      </c>
      <c r="C5823" s="309" t="s">
        <v>407</v>
      </c>
      <c r="D5823">
        <v>2700481.1</v>
      </c>
    </row>
    <row r="5824" spans="1:4" x14ac:dyDescent="0.25">
      <c r="A5824" s="279">
        <v>39225</v>
      </c>
      <c r="B5824" s="309" t="s">
        <v>405</v>
      </c>
      <c r="C5824" s="309" t="s">
        <v>408</v>
      </c>
      <c r="D5824">
        <v>1007</v>
      </c>
    </row>
    <row r="5825" spans="1:4" x14ac:dyDescent="0.25">
      <c r="A5825" s="279">
        <v>39225</v>
      </c>
      <c r="B5825" s="309" t="s">
        <v>405</v>
      </c>
      <c r="C5825" s="309" t="s">
        <v>409</v>
      </c>
      <c r="D5825">
        <v>1058</v>
      </c>
    </row>
    <row r="5826" spans="1:4" x14ac:dyDescent="0.25">
      <c r="A5826" s="279">
        <v>39225</v>
      </c>
      <c r="B5826" s="309" t="s">
        <v>405</v>
      </c>
      <c r="C5826" s="309" t="s">
        <v>410</v>
      </c>
      <c r="D5826">
        <v>1039</v>
      </c>
    </row>
    <row r="5827" spans="1:4" x14ac:dyDescent="0.25">
      <c r="A5827" s="279">
        <v>39225</v>
      </c>
      <c r="B5827" s="309" t="s">
        <v>411</v>
      </c>
      <c r="C5827" s="309" t="s">
        <v>406</v>
      </c>
      <c r="D5827">
        <v>169817</v>
      </c>
    </row>
    <row r="5828" spans="1:4" x14ac:dyDescent="0.25">
      <c r="A5828" s="279">
        <v>39225</v>
      </c>
      <c r="B5828" s="309" t="s">
        <v>411</v>
      </c>
      <c r="C5828" s="309" t="s">
        <v>198</v>
      </c>
      <c r="D5828">
        <v>0</v>
      </c>
    </row>
    <row r="5829" spans="1:4" x14ac:dyDescent="0.25">
      <c r="A5829" s="279">
        <v>39225</v>
      </c>
      <c r="B5829" s="309" t="s">
        <v>411</v>
      </c>
      <c r="C5829" s="309" t="s">
        <v>199</v>
      </c>
      <c r="D5829">
        <v>0</v>
      </c>
    </row>
    <row r="5830" spans="1:4" x14ac:dyDescent="0.25">
      <c r="A5830" s="279">
        <v>39225</v>
      </c>
      <c r="B5830" s="309" t="s">
        <v>411</v>
      </c>
      <c r="C5830" s="309" t="s">
        <v>90</v>
      </c>
      <c r="D5830">
        <v>81</v>
      </c>
    </row>
    <row r="5831" spans="1:4" x14ac:dyDescent="0.25">
      <c r="A5831" s="279">
        <v>39225</v>
      </c>
      <c r="B5831" s="309" t="s">
        <v>411</v>
      </c>
      <c r="C5831" s="309" t="s">
        <v>24</v>
      </c>
      <c r="D5831">
        <v>0</v>
      </c>
    </row>
    <row r="5832" spans="1:4" x14ac:dyDescent="0.25">
      <c r="A5832" s="279">
        <v>39225</v>
      </c>
      <c r="B5832" s="309" t="s">
        <v>411</v>
      </c>
      <c r="C5832" s="309" t="s">
        <v>91</v>
      </c>
      <c r="D5832">
        <v>0</v>
      </c>
    </row>
    <row r="5833" spans="1:4" x14ac:dyDescent="0.25">
      <c r="A5833" s="279">
        <v>39225</v>
      </c>
      <c r="B5833" s="309" t="s">
        <v>411</v>
      </c>
      <c r="C5833" s="309" t="s">
        <v>118</v>
      </c>
      <c r="D5833">
        <v>0</v>
      </c>
    </row>
    <row r="5834" spans="1:4" x14ac:dyDescent="0.25">
      <c r="A5834" s="279">
        <v>39225</v>
      </c>
      <c r="B5834" s="309" t="s">
        <v>411</v>
      </c>
      <c r="C5834" s="309" t="s">
        <v>407</v>
      </c>
      <c r="D5834">
        <v>169736</v>
      </c>
    </row>
    <row r="5835" spans="1:4" x14ac:dyDescent="0.25">
      <c r="A5835" s="279">
        <v>39225</v>
      </c>
      <c r="B5835" s="309" t="s">
        <v>411</v>
      </c>
      <c r="C5835" s="309" t="s">
        <v>412</v>
      </c>
      <c r="D5835">
        <v>1007</v>
      </c>
    </row>
    <row r="5836" spans="1:4" x14ac:dyDescent="0.25">
      <c r="A5836" s="279">
        <v>39225</v>
      </c>
      <c r="B5836" s="309" t="s">
        <v>411</v>
      </c>
      <c r="C5836" s="309" t="s">
        <v>409</v>
      </c>
      <c r="D5836">
        <v>1049</v>
      </c>
    </row>
    <row r="5837" spans="1:4" x14ac:dyDescent="0.25">
      <c r="A5837" s="279">
        <v>39226</v>
      </c>
      <c r="B5837" s="309" t="s">
        <v>405</v>
      </c>
      <c r="C5837" s="309" t="s">
        <v>406</v>
      </c>
      <c r="D5837">
        <v>2700481.1</v>
      </c>
    </row>
    <row r="5838" spans="1:4" x14ac:dyDescent="0.25">
      <c r="A5838" s="279">
        <v>39226</v>
      </c>
      <c r="B5838" s="309" t="s">
        <v>405</v>
      </c>
      <c r="C5838" s="309" t="s">
        <v>89</v>
      </c>
      <c r="D5838">
        <v>7869</v>
      </c>
    </row>
    <row r="5839" spans="1:4" x14ac:dyDescent="0.25">
      <c r="A5839" s="279">
        <v>39226</v>
      </c>
      <c r="B5839" s="309" t="s">
        <v>405</v>
      </c>
      <c r="C5839" s="309" t="s">
        <v>198</v>
      </c>
      <c r="D5839">
        <v>0</v>
      </c>
    </row>
    <row r="5840" spans="1:4" x14ac:dyDescent="0.25">
      <c r="A5840" s="279">
        <v>39226</v>
      </c>
      <c r="B5840" s="309" t="s">
        <v>405</v>
      </c>
      <c r="C5840" s="309" t="s">
        <v>199</v>
      </c>
      <c r="D5840">
        <v>0</v>
      </c>
    </row>
    <row r="5841" spans="1:4" x14ac:dyDescent="0.25">
      <c r="A5841" s="279">
        <v>39226</v>
      </c>
      <c r="B5841" s="309" t="s">
        <v>405</v>
      </c>
      <c r="C5841" s="309" t="s">
        <v>90</v>
      </c>
      <c r="D5841">
        <v>1997</v>
      </c>
    </row>
    <row r="5842" spans="1:4" x14ac:dyDescent="0.25">
      <c r="A5842" s="279">
        <v>39226</v>
      </c>
      <c r="B5842" s="309" t="s">
        <v>405</v>
      </c>
      <c r="C5842" s="309" t="s">
        <v>24</v>
      </c>
      <c r="D5842">
        <v>0</v>
      </c>
    </row>
    <row r="5843" spans="1:4" x14ac:dyDescent="0.25">
      <c r="A5843" s="279">
        <v>39226</v>
      </c>
      <c r="B5843" s="309" t="s">
        <v>405</v>
      </c>
      <c r="C5843" s="309" t="s">
        <v>91</v>
      </c>
      <c r="D5843">
        <v>0</v>
      </c>
    </row>
    <row r="5844" spans="1:4" x14ac:dyDescent="0.25">
      <c r="A5844" s="279">
        <v>39226</v>
      </c>
      <c r="B5844" s="309" t="s">
        <v>405</v>
      </c>
      <c r="C5844" s="309" t="s">
        <v>118</v>
      </c>
      <c r="D5844">
        <v>0</v>
      </c>
    </row>
    <row r="5845" spans="1:4" x14ac:dyDescent="0.25">
      <c r="A5845" s="279">
        <v>39226</v>
      </c>
      <c r="B5845" s="309" t="s">
        <v>405</v>
      </c>
      <c r="C5845" s="309" t="s">
        <v>407</v>
      </c>
      <c r="D5845">
        <v>2706353.1</v>
      </c>
    </row>
    <row r="5846" spans="1:4" x14ac:dyDescent="0.25">
      <c r="A5846" s="279">
        <v>39226</v>
      </c>
      <c r="B5846" s="309" t="s">
        <v>405</v>
      </c>
      <c r="C5846" s="309" t="s">
        <v>408</v>
      </c>
      <c r="D5846">
        <v>1007</v>
      </c>
    </row>
    <row r="5847" spans="1:4" x14ac:dyDescent="0.25">
      <c r="A5847" s="279">
        <v>39226</v>
      </c>
      <c r="B5847" s="309" t="s">
        <v>405</v>
      </c>
      <c r="C5847" s="309" t="s">
        <v>409</v>
      </c>
      <c r="D5847">
        <v>1058</v>
      </c>
    </row>
    <row r="5848" spans="1:4" x14ac:dyDescent="0.25">
      <c r="A5848" s="279">
        <v>39226</v>
      </c>
      <c r="B5848" s="309" t="s">
        <v>405</v>
      </c>
      <c r="C5848" s="309" t="s">
        <v>410</v>
      </c>
      <c r="D5848">
        <v>1037</v>
      </c>
    </row>
    <row r="5849" spans="1:4" x14ac:dyDescent="0.25">
      <c r="A5849" s="279">
        <v>39226</v>
      </c>
      <c r="B5849" s="309" t="s">
        <v>411</v>
      </c>
      <c r="C5849" s="309" t="s">
        <v>406</v>
      </c>
      <c r="D5849">
        <v>169736</v>
      </c>
    </row>
    <row r="5850" spans="1:4" x14ac:dyDescent="0.25">
      <c r="A5850" s="279">
        <v>39226</v>
      </c>
      <c r="B5850" s="309" t="s">
        <v>411</v>
      </c>
      <c r="C5850" s="309" t="s">
        <v>198</v>
      </c>
      <c r="D5850">
        <v>0</v>
      </c>
    </row>
    <row r="5851" spans="1:4" x14ac:dyDescent="0.25">
      <c r="A5851" s="279">
        <v>39226</v>
      </c>
      <c r="B5851" s="309" t="s">
        <v>411</v>
      </c>
      <c r="C5851" s="309" t="s">
        <v>199</v>
      </c>
      <c r="D5851">
        <v>0</v>
      </c>
    </row>
    <row r="5852" spans="1:4" x14ac:dyDescent="0.25">
      <c r="A5852" s="279">
        <v>39226</v>
      </c>
      <c r="B5852" s="309" t="s">
        <v>411</v>
      </c>
      <c r="C5852" s="309" t="s">
        <v>90</v>
      </c>
      <c r="D5852">
        <v>195</v>
      </c>
    </row>
    <row r="5853" spans="1:4" x14ac:dyDescent="0.25">
      <c r="A5853" s="279">
        <v>39226</v>
      </c>
      <c r="B5853" s="309" t="s">
        <v>411</v>
      </c>
      <c r="C5853" s="309" t="s">
        <v>24</v>
      </c>
      <c r="D5853">
        <v>0</v>
      </c>
    </row>
    <row r="5854" spans="1:4" x14ac:dyDescent="0.25">
      <c r="A5854" s="279">
        <v>39226</v>
      </c>
      <c r="B5854" s="309" t="s">
        <v>411</v>
      </c>
      <c r="C5854" s="309" t="s">
        <v>91</v>
      </c>
      <c r="D5854">
        <v>0</v>
      </c>
    </row>
    <row r="5855" spans="1:4" x14ac:dyDescent="0.25">
      <c r="A5855" s="279">
        <v>39226</v>
      </c>
      <c r="B5855" s="309" t="s">
        <v>411</v>
      </c>
      <c r="C5855" s="309" t="s">
        <v>118</v>
      </c>
      <c r="D5855">
        <v>0</v>
      </c>
    </row>
    <row r="5856" spans="1:4" x14ac:dyDescent="0.25">
      <c r="A5856" s="279">
        <v>39226</v>
      </c>
      <c r="B5856" s="309" t="s">
        <v>411</v>
      </c>
      <c r="C5856" s="309" t="s">
        <v>407</v>
      </c>
      <c r="D5856">
        <v>169541</v>
      </c>
    </row>
    <row r="5857" spans="1:4" x14ac:dyDescent="0.25">
      <c r="A5857" s="279">
        <v>39226</v>
      </c>
      <c r="B5857" s="309" t="s">
        <v>411</v>
      </c>
      <c r="C5857" s="309" t="s">
        <v>412</v>
      </c>
      <c r="D5857">
        <v>1007</v>
      </c>
    </row>
    <row r="5858" spans="1:4" x14ac:dyDescent="0.25">
      <c r="A5858" s="279">
        <v>39226</v>
      </c>
      <c r="B5858" s="309" t="s">
        <v>411</v>
      </c>
      <c r="C5858" s="309" t="s">
        <v>409</v>
      </c>
      <c r="D5858">
        <v>1049</v>
      </c>
    </row>
    <row r="5859" spans="1:4" x14ac:dyDescent="0.25">
      <c r="A5859" s="279">
        <v>39227</v>
      </c>
      <c r="B5859" s="309" t="s">
        <v>405</v>
      </c>
      <c r="C5859" s="309" t="s">
        <v>406</v>
      </c>
      <c r="D5859">
        <v>2706353.1</v>
      </c>
    </row>
    <row r="5860" spans="1:4" x14ac:dyDescent="0.25">
      <c r="A5860" s="279">
        <v>39227</v>
      </c>
      <c r="B5860" s="309" t="s">
        <v>405</v>
      </c>
      <c r="C5860" s="309" t="s">
        <v>89</v>
      </c>
      <c r="D5860">
        <v>5341</v>
      </c>
    </row>
    <row r="5861" spans="1:4" x14ac:dyDescent="0.25">
      <c r="A5861" s="279">
        <v>39227</v>
      </c>
      <c r="B5861" s="309" t="s">
        <v>405</v>
      </c>
      <c r="C5861" s="309" t="s">
        <v>198</v>
      </c>
      <c r="D5861">
        <v>0</v>
      </c>
    </row>
    <row r="5862" spans="1:4" x14ac:dyDescent="0.25">
      <c r="A5862" s="279">
        <v>39227</v>
      </c>
      <c r="B5862" s="309" t="s">
        <v>405</v>
      </c>
      <c r="C5862" s="309" t="s">
        <v>199</v>
      </c>
      <c r="D5862">
        <v>0</v>
      </c>
    </row>
    <row r="5863" spans="1:4" x14ac:dyDescent="0.25">
      <c r="A5863" s="279">
        <v>39227</v>
      </c>
      <c r="B5863" s="309" t="s">
        <v>405</v>
      </c>
      <c r="C5863" s="309" t="s">
        <v>90</v>
      </c>
      <c r="D5863">
        <v>1875</v>
      </c>
    </row>
    <row r="5864" spans="1:4" x14ac:dyDescent="0.25">
      <c r="A5864" s="279">
        <v>39227</v>
      </c>
      <c r="B5864" s="309" t="s">
        <v>405</v>
      </c>
      <c r="C5864" s="309" t="s">
        <v>24</v>
      </c>
      <c r="D5864">
        <v>0</v>
      </c>
    </row>
    <row r="5865" spans="1:4" x14ac:dyDescent="0.25">
      <c r="A5865" s="279">
        <v>39227</v>
      </c>
      <c r="B5865" s="309" t="s">
        <v>405</v>
      </c>
      <c r="C5865" s="309" t="s">
        <v>91</v>
      </c>
      <c r="D5865">
        <v>0</v>
      </c>
    </row>
    <row r="5866" spans="1:4" x14ac:dyDescent="0.25">
      <c r="A5866" s="279">
        <v>39227</v>
      </c>
      <c r="B5866" s="309" t="s">
        <v>405</v>
      </c>
      <c r="C5866" s="309" t="s">
        <v>118</v>
      </c>
      <c r="D5866">
        <v>0</v>
      </c>
    </row>
    <row r="5867" spans="1:4" x14ac:dyDescent="0.25">
      <c r="A5867" s="279">
        <v>39227</v>
      </c>
      <c r="B5867" s="309" t="s">
        <v>405</v>
      </c>
      <c r="C5867" s="309" t="s">
        <v>407</v>
      </c>
      <c r="D5867">
        <v>2709819.1</v>
      </c>
    </row>
    <row r="5868" spans="1:4" x14ac:dyDescent="0.25">
      <c r="A5868" s="279">
        <v>39227</v>
      </c>
      <c r="B5868" s="309" t="s">
        <v>405</v>
      </c>
      <c r="C5868" s="309" t="s">
        <v>408</v>
      </c>
      <c r="D5868">
        <v>1007</v>
      </c>
    </row>
    <row r="5869" spans="1:4" x14ac:dyDescent="0.25">
      <c r="A5869" s="279">
        <v>39227</v>
      </c>
      <c r="B5869" s="309" t="s">
        <v>405</v>
      </c>
      <c r="C5869" s="309" t="s">
        <v>409</v>
      </c>
      <c r="D5869">
        <v>1058</v>
      </c>
    </row>
    <row r="5870" spans="1:4" x14ac:dyDescent="0.25">
      <c r="A5870" s="279">
        <v>39227</v>
      </c>
      <c r="B5870" s="309" t="s">
        <v>405</v>
      </c>
      <c r="C5870" s="309" t="s">
        <v>410</v>
      </c>
      <c r="D5870">
        <v>1036</v>
      </c>
    </row>
    <row r="5871" spans="1:4" x14ac:dyDescent="0.25">
      <c r="A5871" s="279">
        <v>39227</v>
      </c>
      <c r="B5871" s="309" t="s">
        <v>411</v>
      </c>
      <c r="C5871" s="309" t="s">
        <v>406</v>
      </c>
      <c r="D5871">
        <v>169541</v>
      </c>
    </row>
    <row r="5872" spans="1:4" x14ac:dyDescent="0.25">
      <c r="A5872" s="279">
        <v>39227</v>
      </c>
      <c r="B5872" s="309" t="s">
        <v>411</v>
      </c>
      <c r="C5872" s="309" t="s">
        <v>198</v>
      </c>
      <c r="D5872">
        <v>0</v>
      </c>
    </row>
    <row r="5873" spans="1:4" x14ac:dyDescent="0.25">
      <c r="A5873" s="279">
        <v>39227</v>
      </c>
      <c r="B5873" s="309" t="s">
        <v>411</v>
      </c>
      <c r="C5873" s="309" t="s">
        <v>199</v>
      </c>
      <c r="D5873">
        <v>0</v>
      </c>
    </row>
    <row r="5874" spans="1:4" x14ac:dyDescent="0.25">
      <c r="A5874" s="279">
        <v>39227</v>
      </c>
      <c r="B5874" s="309" t="s">
        <v>411</v>
      </c>
      <c r="C5874" s="309" t="s">
        <v>90</v>
      </c>
      <c r="D5874">
        <v>276</v>
      </c>
    </row>
    <row r="5875" spans="1:4" x14ac:dyDescent="0.25">
      <c r="A5875" s="279">
        <v>39227</v>
      </c>
      <c r="B5875" s="309" t="s">
        <v>411</v>
      </c>
      <c r="C5875" s="309" t="s">
        <v>24</v>
      </c>
      <c r="D5875">
        <v>0</v>
      </c>
    </row>
    <row r="5876" spans="1:4" x14ac:dyDescent="0.25">
      <c r="A5876" s="279">
        <v>39227</v>
      </c>
      <c r="B5876" s="309" t="s">
        <v>411</v>
      </c>
      <c r="C5876" s="309" t="s">
        <v>91</v>
      </c>
      <c r="D5876">
        <v>0</v>
      </c>
    </row>
    <row r="5877" spans="1:4" x14ac:dyDescent="0.25">
      <c r="A5877" s="279">
        <v>39227</v>
      </c>
      <c r="B5877" s="309" t="s">
        <v>411</v>
      </c>
      <c r="C5877" s="309" t="s">
        <v>118</v>
      </c>
      <c r="D5877">
        <v>0</v>
      </c>
    </row>
    <row r="5878" spans="1:4" x14ac:dyDescent="0.25">
      <c r="A5878" s="279">
        <v>39227</v>
      </c>
      <c r="B5878" s="309" t="s">
        <v>411</v>
      </c>
      <c r="C5878" s="309" t="s">
        <v>407</v>
      </c>
      <c r="D5878">
        <v>169265</v>
      </c>
    </row>
    <row r="5879" spans="1:4" x14ac:dyDescent="0.25">
      <c r="A5879" s="279">
        <v>39227</v>
      </c>
      <c r="B5879" s="309" t="s">
        <v>411</v>
      </c>
      <c r="C5879" s="309" t="s">
        <v>412</v>
      </c>
      <c r="D5879">
        <v>1007</v>
      </c>
    </row>
    <row r="5880" spans="1:4" x14ac:dyDescent="0.25">
      <c r="A5880" s="279">
        <v>39227</v>
      </c>
      <c r="B5880" s="309" t="s">
        <v>411</v>
      </c>
      <c r="C5880" s="309" t="s">
        <v>409</v>
      </c>
      <c r="D5880">
        <v>1049</v>
      </c>
    </row>
    <row r="5881" spans="1:4" x14ac:dyDescent="0.25">
      <c r="A5881" s="279">
        <v>39228</v>
      </c>
      <c r="B5881" s="309" t="s">
        <v>405</v>
      </c>
      <c r="C5881" s="309" t="s">
        <v>406</v>
      </c>
      <c r="D5881">
        <v>2709819.1</v>
      </c>
    </row>
    <row r="5882" spans="1:4" x14ac:dyDescent="0.25">
      <c r="A5882" s="279">
        <v>39228</v>
      </c>
      <c r="B5882" s="309" t="s">
        <v>405</v>
      </c>
      <c r="C5882" s="309" t="s">
        <v>89</v>
      </c>
      <c r="D5882">
        <v>4780</v>
      </c>
    </row>
    <row r="5883" spans="1:4" x14ac:dyDescent="0.25">
      <c r="A5883" s="279">
        <v>39228</v>
      </c>
      <c r="B5883" s="309" t="s">
        <v>405</v>
      </c>
      <c r="C5883" s="309" t="s">
        <v>198</v>
      </c>
      <c r="D5883">
        <v>0</v>
      </c>
    </row>
    <row r="5884" spans="1:4" x14ac:dyDescent="0.25">
      <c r="A5884" s="279">
        <v>39228</v>
      </c>
      <c r="B5884" s="309" t="s">
        <v>405</v>
      </c>
      <c r="C5884" s="309" t="s">
        <v>199</v>
      </c>
      <c r="D5884">
        <v>0</v>
      </c>
    </row>
    <row r="5885" spans="1:4" x14ac:dyDescent="0.25">
      <c r="A5885" s="279">
        <v>39228</v>
      </c>
      <c r="B5885" s="309" t="s">
        <v>405</v>
      </c>
      <c r="C5885" s="309" t="s">
        <v>90</v>
      </c>
      <c r="D5885">
        <v>1846</v>
      </c>
    </row>
    <row r="5886" spans="1:4" x14ac:dyDescent="0.25">
      <c r="A5886" s="279">
        <v>39228</v>
      </c>
      <c r="B5886" s="309" t="s">
        <v>405</v>
      </c>
      <c r="C5886" s="309" t="s">
        <v>24</v>
      </c>
      <c r="D5886">
        <v>0</v>
      </c>
    </row>
    <row r="5887" spans="1:4" x14ac:dyDescent="0.25">
      <c r="A5887" s="279">
        <v>39228</v>
      </c>
      <c r="B5887" s="309" t="s">
        <v>405</v>
      </c>
      <c r="C5887" s="309" t="s">
        <v>91</v>
      </c>
      <c r="D5887">
        <v>0</v>
      </c>
    </row>
    <row r="5888" spans="1:4" x14ac:dyDescent="0.25">
      <c r="A5888" s="279">
        <v>39228</v>
      </c>
      <c r="B5888" s="309" t="s">
        <v>405</v>
      </c>
      <c r="C5888" s="309" t="s">
        <v>118</v>
      </c>
      <c r="D5888">
        <v>0</v>
      </c>
    </row>
    <row r="5889" spans="1:4" x14ac:dyDescent="0.25">
      <c r="A5889" s="279">
        <v>39228</v>
      </c>
      <c r="B5889" s="309" t="s">
        <v>405</v>
      </c>
      <c r="C5889" s="309" t="s">
        <v>407</v>
      </c>
      <c r="D5889">
        <v>2712753.1</v>
      </c>
    </row>
    <row r="5890" spans="1:4" x14ac:dyDescent="0.25">
      <c r="A5890" s="279">
        <v>39228</v>
      </c>
      <c r="B5890" s="309" t="s">
        <v>405</v>
      </c>
      <c r="C5890" s="309" t="s">
        <v>408</v>
      </c>
      <c r="D5890">
        <v>1007</v>
      </c>
    </row>
    <row r="5891" spans="1:4" x14ac:dyDescent="0.25">
      <c r="A5891" s="279">
        <v>39228</v>
      </c>
      <c r="B5891" s="309" t="s">
        <v>405</v>
      </c>
      <c r="C5891" s="309" t="s">
        <v>409</v>
      </c>
      <c r="D5891">
        <v>1058</v>
      </c>
    </row>
    <row r="5892" spans="1:4" x14ac:dyDescent="0.25">
      <c r="A5892" s="279">
        <v>39228</v>
      </c>
      <c r="B5892" s="309" t="s">
        <v>405</v>
      </c>
      <c r="C5892" s="309" t="s">
        <v>410</v>
      </c>
      <c r="D5892">
        <v>1035</v>
      </c>
    </row>
    <row r="5893" spans="1:4" x14ac:dyDescent="0.25">
      <c r="A5893" s="279">
        <v>39228</v>
      </c>
      <c r="B5893" s="309" t="s">
        <v>411</v>
      </c>
      <c r="C5893" s="309" t="s">
        <v>406</v>
      </c>
      <c r="D5893">
        <v>169265</v>
      </c>
    </row>
    <row r="5894" spans="1:4" x14ac:dyDescent="0.25">
      <c r="A5894" s="279">
        <v>39228</v>
      </c>
      <c r="B5894" s="309" t="s">
        <v>411</v>
      </c>
      <c r="C5894" s="309" t="s">
        <v>198</v>
      </c>
      <c r="D5894">
        <v>0</v>
      </c>
    </row>
    <row r="5895" spans="1:4" x14ac:dyDescent="0.25">
      <c r="A5895" s="279">
        <v>39228</v>
      </c>
      <c r="B5895" s="309" t="s">
        <v>411</v>
      </c>
      <c r="C5895" s="309" t="s">
        <v>199</v>
      </c>
      <c r="D5895">
        <v>0</v>
      </c>
    </row>
    <row r="5896" spans="1:4" x14ac:dyDescent="0.25">
      <c r="A5896" s="279">
        <v>39228</v>
      </c>
      <c r="B5896" s="309" t="s">
        <v>411</v>
      </c>
      <c r="C5896" s="309" t="s">
        <v>90</v>
      </c>
      <c r="D5896">
        <v>274</v>
      </c>
    </row>
    <row r="5897" spans="1:4" x14ac:dyDescent="0.25">
      <c r="A5897" s="279">
        <v>39228</v>
      </c>
      <c r="B5897" s="309" t="s">
        <v>411</v>
      </c>
      <c r="C5897" s="309" t="s">
        <v>24</v>
      </c>
      <c r="D5897">
        <v>0</v>
      </c>
    </row>
    <row r="5898" spans="1:4" x14ac:dyDescent="0.25">
      <c r="A5898" s="279">
        <v>39228</v>
      </c>
      <c r="B5898" s="309" t="s">
        <v>411</v>
      </c>
      <c r="C5898" s="309" t="s">
        <v>91</v>
      </c>
      <c r="D5898">
        <v>0</v>
      </c>
    </row>
    <row r="5899" spans="1:4" x14ac:dyDescent="0.25">
      <c r="A5899" s="279">
        <v>39228</v>
      </c>
      <c r="B5899" s="309" t="s">
        <v>411</v>
      </c>
      <c r="C5899" s="309" t="s">
        <v>118</v>
      </c>
      <c r="D5899">
        <v>0</v>
      </c>
    </row>
    <row r="5900" spans="1:4" x14ac:dyDescent="0.25">
      <c r="A5900" s="279">
        <v>39228</v>
      </c>
      <c r="B5900" s="309" t="s">
        <v>411</v>
      </c>
      <c r="C5900" s="309" t="s">
        <v>407</v>
      </c>
      <c r="D5900">
        <v>168991</v>
      </c>
    </row>
    <row r="5901" spans="1:4" x14ac:dyDescent="0.25">
      <c r="A5901" s="279">
        <v>39228</v>
      </c>
      <c r="B5901" s="309" t="s">
        <v>411</v>
      </c>
      <c r="C5901" s="309" t="s">
        <v>412</v>
      </c>
      <c r="D5901">
        <v>1007</v>
      </c>
    </row>
    <row r="5902" spans="1:4" x14ac:dyDescent="0.25">
      <c r="A5902" s="279">
        <v>39228</v>
      </c>
      <c r="B5902" s="309" t="s">
        <v>411</v>
      </c>
      <c r="C5902" s="309" t="s">
        <v>409</v>
      </c>
      <c r="D5902">
        <v>1049</v>
      </c>
    </row>
    <row r="5903" spans="1:4" x14ac:dyDescent="0.25">
      <c r="A5903" s="279">
        <v>39229</v>
      </c>
      <c r="B5903" s="309" t="s">
        <v>405</v>
      </c>
      <c r="C5903" s="309" t="s">
        <v>406</v>
      </c>
      <c r="D5903">
        <v>2712753.1</v>
      </c>
    </row>
    <row r="5904" spans="1:4" x14ac:dyDescent="0.25">
      <c r="A5904" s="279">
        <v>39229</v>
      </c>
      <c r="B5904" s="309" t="s">
        <v>405</v>
      </c>
      <c r="C5904" s="309" t="s">
        <v>89</v>
      </c>
      <c r="D5904">
        <v>5344</v>
      </c>
    </row>
    <row r="5905" spans="1:4" x14ac:dyDescent="0.25">
      <c r="A5905" s="279">
        <v>39229</v>
      </c>
      <c r="B5905" s="309" t="s">
        <v>405</v>
      </c>
      <c r="C5905" s="309" t="s">
        <v>198</v>
      </c>
      <c r="D5905">
        <v>0</v>
      </c>
    </row>
    <row r="5906" spans="1:4" x14ac:dyDescent="0.25">
      <c r="A5906" s="279">
        <v>39229</v>
      </c>
      <c r="B5906" s="309" t="s">
        <v>405</v>
      </c>
      <c r="C5906" s="309" t="s">
        <v>199</v>
      </c>
      <c r="D5906">
        <v>0</v>
      </c>
    </row>
    <row r="5907" spans="1:4" x14ac:dyDescent="0.25">
      <c r="A5907" s="279">
        <v>39229</v>
      </c>
      <c r="B5907" s="309" t="s">
        <v>405</v>
      </c>
      <c r="C5907" s="309" t="s">
        <v>90</v>
      </c>
      <c r="D5907">
        <v>1875</v>
      </c>
    </row>
    <row r="5908" spans="1:4" x14ac:dyDescent="0.25">
      <c r="A5908" s="279">
        <v>39229</v>
      </c>
      <c r="B5908" s="309" t="s">
        <v>405</v>
      </c>
      <c r="C5908" s="309" t="s">
        <v>24</v>
      </c>
      <c r="D5908">
        <v>0</v>
      </c>
    </row>
    <row r="5909" spans="1:4" x14ac:dyDescent="0.25">
      <c r="A5909" s="279">
        <v>39229</v>
      </c>
      <c r="B5909" s="309" t="s">
        <v>405</v>
      </c>
      <c r="C5909" s="309" t="s">
        <v>91</v>
      </c>
      <c r="D5909">
        <v>0</v>
      </c>
    </row>
    <row r="5910" spans="1:4" x14ac:dyDescent="0.25">
      <c r="A5910" s="279">
        <v>39229</v>
      </c>
      <c r="B5910" s="309" t="s">
        <v>405</v>
      </c>
      <c r="C5910" s="309" t="s">
        <v>118</v>
      </c>
      <c r="D5910">
        <v>0</v>
      </c>
    </row>
    <row r="5911" spans="1:4" x14ac:dyDescent="0.25">
      <c r="A5911" s="279">
        <v>39229</v>
      </c>
      <c r="B5911" s="309" t="s">
        <v>405</v>
      </c>
      <c r="C5911" s="309" t="s">
        <v>407</v>
      </c>
      <c r="D5911">
        <v>2716222.1</v>
      </c>
    </row>
    <row r="5912" spans="1:4" x14ac:dyDescent="0.25">
      <c r="A5912" s="279">
        <v>39229</v>
      </c>
      <c r="B5912" s="309" t="s">
        <v>405</v>
      </c>
      <c r="C5912" s="309" t="s">
        <v>408</v>
      </c>
      <c r="D5912">
        <v>1007</v>
      </c>
    </row>
    <row r="5913" spans="1:4" x14ac:dyDescent="0.25">
      <c r="A5913" s="279">
        <v>39229</v>
      </c>
      <c r="B5913" s="309" t="s">
        <v>405</v>
      </c>
      <c r="C5913" s="309" t="s">
        <v>409</v>
      </c>
      <c r="D5913">
        <v>1058</v>
      </c>
    </row>
    <row r="5914" spans="1:4" x14ac:dyDescent="0.25">
      <c r="A5914" s="279">
        <v>39229</v>
      </c>
      <c r="B5914" s="309" t="s">
        <v>405</v>
      </c>
      <c r="C5914" s="309" t="s">
        <v>410</v>
      </c>
      <c r="D5914">
        <v>1051</v>
      </c>
    </row>
    <row r="5915" spans="1:4" x14ac:dyDescent="0.25">
      <c r="A5915" s="279">
        <v>39229</v>
      </c>
      <c r="B5915" s="309" t="s">
        <v>411</v>
      </c>
      <c r="C5915" s="309" t="s">
        <v>406</v>
      </c>
      <c r="D5915">
        <v>168991</v>
      </c>
    </row>
    <row r="5916" spans="1:4" x14ac:dyDescent="0.25">
      <c r="A5916" s="279">
        <v>39229</v>
      </c>
      <c r="B5916" s="309" t="s">
        <v>411</v>
      </c>
      <c r="C5916" s="309" t="s">
        <v>198</v>
      </c>
      <c r="D5916">
        <v>0</v>
      </c>
    </row>
    <row r="5917" spans="1:4" x14ac:dyDescent="0.25">
      <c r="A5917" s="279">
        <v>39229</v>
      </c>
      <c r="B5917" s="309" t="s">
        <v>411</v>
      </c>
      <c r="C5917" s="309" t="s">
        <v>199</v>
      </c>
      <c r="D5917">
        <v>0</v>
      </c>
    </row>
    <row r="5918" spans="1:4" x14ac:dyDescent="0.25">
      <c r="A5918" s="279">
        <v>39229</v>
      </c>
      <c r="B5918" s="309" t="s">
        <v>411</v>
      </c>
      <c r="C5918" s="309" t="s">
        <v>90</v>
      </c>
      <c r="D5918">
        <v>276</v>
      </c>
    </row>
    <row r="5919" spans="1:4" x14ac:dyDescent="0.25">
      <c r="A5919" s="279">
        <v>39229</v>
      </c>
      <c r="B5919" s="309" t="s">
        <v>411</v>
      </c>
      <c r="C5919" s="309" t="s">
        <v>24</v>
      </c>
      <c r="D5919">
        <v>0</v>
      </c>
    </row>
    <row r="5920" spans="1:4" x14ac:dyDescent="0.25">
      <c r="A5920" s="279">
        <v>39229</v>
      </c>
      <c r="B5920" s="309" t="s">
        <v>411</v>
      </c>
      <c r="C5920" s="309" t="s">
        <v>91</v>
      </c>
      <c r="D5920">
        <v>0</v>
      </c>
    </row>
    <row r="5921" spans="1:4" x14ac:dyDescent="0.25">
      <c r="A5921" s="279">
        <v>39229</v>
      </c>
      <c r="B5921" s="309" t="s">
        <v>411</v>
      </c>
      <c r="C5921" s="309" t="s">
        <v>118</v>
      </c>
      <c r="D5921">
        <v>0</v>
      </c>
    </row>
    <row r="5922" spans="1:4" x14ac:dyDescent="0.25">
      <c r="A5922" s="279">
        <v>39229</v>
      </c>
      <c r="B5922" s="309" t="s">
        <v>411</v>
      </c>
      <c r="C5922" s="309" t="s">
        <v>407</v>
      </c>
      <c r="D5922">
        <v>168715</v>
      </c>
    </row>
    <row r="5923" spans="1:4" x14ac:dyDescent="0.25">
      <c r="A5923" s="279">
        <v>39229</v>
      </c>
      <c r="B5923" s="309" t="s">
        <v>411</v>
      </c>
      <c r="C5923" s="309" t="s">
        <v>412</v>
      </c>
      <c r="D5923">
        <v>1007</v>
      </c>
    </row>
    <row r="5924" spans="1:4" x14ac:dyDescent="0.25">
      <c r="A5924" s="279">
        <v>39229</v>
      </c>
      <c r="B5924" s="309" t="s">
        <v>411</v>
      </c>
      <c r="C5924" s="309" t="s">
        <v>409</v>
      </c>
      <c r="D5924">
        <v>1049</v>
      </c>
    </row>
    <row r="5925" spans="1:4" x14ac:dyDescent="0.25">
      <c r="A5925" s="279">
        <v>39230</v>
      </c>
      <c r="B5925" s="309" t="s">
        <v>405</v>
      </c>
      <c r="C5925" s="309" t="s">
        <v>406</v>
      </c>
      <c r="D5925">
        <v>2716222.1</v>
      </c>
    </row>
    <row r="5926" spans="1:4" x14ac:dyDescent="0.25">
      <c r="A5926" s="279">
        <v>39230</v>
      </c>
      <c r="B5926" s="309" t="s">
        <v>405</v>
      </c>
      <c r="C5926" s="309" t="s">
        <v>89</v>
      </c>
      <c r="D5926">
        <v>6750</v>
      </c>
    </row>
    <row r="5927" spans="1:4" x14ac:dyDescent="0.25">
      <c r="A5927" s="279">
        <v>39230</v>
      </c>
      <c r="B5927" s="309" t="s">
        <v>405</v>
      </c>
      <c r="C5927" s="309" t="s">
        <v>198</v>
      </c>
      <c r="D5927">
        <v>0</v>
      </c>
    </row>
    <row r="5928" spans="1:4" x14ac:dyDescent="0.25">
      <c r="A5928" s="279">
        <v>39230</v>
      </c>
      <c r="B5928" s="309" t="s">
        <v>405</v>
      </c>
      <c r="C5928" s="309" t="s">
        <v>199</v>
      </c>
      <c r="D5928">
        <v>0</v>
      </c>
    </row>
    <row r="5929" spans="1:4" x14ac:dyDescent="0.25">
      <c r="A5929" s="279">
        <v>39230</v>
      </c>
      <c r="B5929" s="309" t="s">
        <v>405</v>
      </c>
      <c r="C5929" s="309" t="s">
        <v>90</v>
      </c>
      <c r="D5929">
        <v>1946</v>
      </c>
    </row>
    <row r="5930" spans="1:4" x14ac:dyDescent="0.25">
      <c r="A5930" s="279">
        <v>39230</v>
      </c>
      <c r="B5930" s="309" t="s">
        <v>405</v>
      </c>
      <c r="C5930" s="309" t="s">
        <v>24</v>
      </c>
      <c r="D5930">
        <v>0</v>
      </c>
    </row>
    <row r="5931" spans="1:4" x14ac:dyDescent="0.25">
      <c r="A5931" s="279">
        <v>39230</v>
      </c>
      <c r="B5931" s="309" t="s">
        <v>405</v>
      </c>
      <c r="C5931" s="309" t="s">
        <v>91</v>
      </c>
      <c r="D5931">
        <v>0</v>
      </c>
    </row>
    <row r="5932" spans="1:4" x14ac:dyDescent="0.25">
      <c r="A5932" s="279">
        <v>39230</v>
      </c>
      <c r="B5932" s="309" t="s">
        <v>405</v>
      </c>
      <c r="C5932" s="309" t="s">
        <v>118</v>
      </c>
      <c r="D5932">
        <v>0</v>
      </c>
    </row>
    <row r="5933" spans="1:4" x14ac:dyDescent="0.25">
      <c r="A5933" s="279">
        <v>39230</v>
      </c>
      <c r="B5933" s="309" t="s">
        <v>405</v>
      </c>
      <c r="C5933" s="309" t="s">
        <v>407</v>
      </c>
      <c r="D5933">
        <v>2721026.1</v>
      </c>
    </row>
    <row r="5934" spans="1:4" x14ac:dyDescent="0.25">
      <c r="A5934" s="279">
        <v>39230</v>
      </c>
      <c r="B5934" s="309" t="s">
        <v>405</v>
      </c>
      <c r="C5934" s="309" t="s">
        <v>408</v>
      </c>
      <c r="D5934">
        <v>1007</v>
      </c>
    </row>
    <row r="5935" spans="1:4" x14ac:dyDescent="0.25">
      <c r="A5935" s="279">
        <v>39230</v>
      </c>
      <c r="B5935" s="309" t="s">
        <v>405</v>
      </c>
      <c r="C5935" s="309" t="s">
        <v>409</v>
      </c>
      <c r="D5935">
        <v>1058</v>
      </c>
    </row>
    <row r="5936" spans="1:4" x14ac:dyDescent="0.25">
      <c r="A5936" s="279">
        <v>39230</v>
      </c>
      <c r="B5936" s="309" t="s">
        <v>405</v>
      </c>
      <c r="C5936" s="309" t="s">
        <v>410</v>
      </c>
      <c r="D5936">
        <v>1052</v>
      </c>
    </row>
    <row r="5937" spans="1:4" x14ac:dyDescent="0.25">
      <c r="A5937" s="279">
        <v>39230</v>
      </c>
      <c r="B5937" s="309" t="s">
        <v>411</v>
      </c>
      <c r="C5937" s="309" t="s">
        <v>406</v>
      </c>
      <c r="D5937">
        <v>168715</v>
      </c>
    </row>
    <row r="5938" spans="1:4" x14ac:dyDescent="0.25">
      <c r="A5938" s="279">
        <v>39230</v>
      </c>
      <c r="B5938" s="309" t="s">
        <v>411</v>
      </c>
      <c r="C5938" s="309" t="s">
        <v>198</v>
      </c>
      <c r="D5938">
        <v>0</v>
      </c>
    </row>
    <row r="5939" spans="1:4" x14ac:dyDescent="0.25">
      <c r="A5939" s="279">
        <v>39230</v>
      </c>
      <c r="B5939" s="309" t="s">
        <v>411</v>
      </c>
      <c r="C5939" s="309" t="s">
        <v>199</v>
      </c>
      <c r="D5939">
        <v>0</v>
      </c>
    </row>
    <row r="5940" spans="1:4" x14ac:dyDescent="0.25">
      <c r="A5940" s="279">
        <v>39230</v>
      </c>
      <c r="B5940" s="309" t="s">
        <v>411</v>
      </c>
      <c r="C5940" s="309" t="s">
        <v>90</v>
      </c>
      <c r="D5940">
        <v>275</v>
      </c>
    </row>
    <row r="5941" spans="1:4" x14ac:dyDescent="0.25">
      <c r="A5941" s="279">
        <v>39230</v>
      </c>
      <c r="B5941" s="309" t="s">
        <v>411</v>
      </c>
      <c r="C5941" s="309" t="s">
        <v>24</v>
      </c>
      <c r="D5941">
        <v>0</v>
      </c>
    </row>
    <row r="5942" spans="1:4" x14ac:dyDescent="0.25">
      <c r="A5942" s="279">
        <v>39230</v>
      </c>
      <c r="B5942" s="309" t="s">
        <v>411</v>
      </c>
      <c r="C5942" s="309" t="s">
        <v>91</v>
      </c>
      <c r="D5942">
        <v>0</v>
      </c>
    </row>
    <row r="5943" spans="1:4" x14ac:dyDescent="0.25">
      <c r="A5943" s="279">
        <v>39230</v>
      </c>
      <c r="B5943" s="309" t="s">
        <v>411</v>
      </c>
      <c r="C5943" s="309" t="s">
        <v>118</v>
      </c>
      <c r="D5943">
        <v>0</v>
      </c>
    </row>
    <row r="5944" spans="1:4" x14ac:dyDescent="0.25">
      <c r="A5944" s="279">
        <v>39230</v>
      </c>
      <c r="B5944" s="309" t="s">
        <v>411</v>
      </c>
      <c r="C5944" s="309" t="s">
        <v>407</v>
      </c>
      <c r="D5944">
        <v>168440</v>
      </c>
    </row>
    <row r="5945" spans="1:4" x14ac:dyDescent="0.25">
      <c r="A5945" s="279">
        <v>39230</v>
      </c>
      <c r="B5945" s="309" t="s">
        <v>411</v>
      </c>
      <c r="C5945" s="309" t="s">
        <v>412</v>
      </c>
      <c r="D5945">
        <v>1007</v>
      </c>
    </row>
    <row r="5946" spans="1:4" x14ac:dyDescent="0.25">
      <c r="A5946" s="279">
        <v>39230</v>
      </c>
      <c r="B5946" s="309" t="s">
        <v>411</v>
      </c>
      <c r="C5946" s="309" t="s">
        <v>409</v>
      </c>
      <c r="D5946">
        <v>1049</v>
      </c>
    </row>
    <row r="5947" spans="1:4" x14ac:dyDescent="0.25">
      <c r="A5947" s="279">
        <v>39231</v>
      </c>
      <c r="B5947" s="309" t="s">
        <v>405</v>
      </c>
      <c r="C5947" s="309" t="s">
        <v>406</v>
      </c>
      <c r="D5947">
        <v>2721026.1</v>
      </c>
    </row>
    <row r="5948" spans="1:4" x14ac:dyDescent="0.25">
      <c r="A5948" s="279">
        <v>39231</v>
      </c>
      <c r="B5948" s="309" t="s">
        <v>405</v>
      </c>
      <c r="C5948" s="309" t="s">
        <v>89</v>
      </c>
      <c r="D5948">
        <v>7875</v>
      </c>
    </row>
    <row r="5949" spans="1:4" x14ac:dyDescent="0.25">
      <c r="A5949" s="279">
        <v>39231</v>
      </c>
      <c r="B5949" s="309" t="s">
        <v>405</v>
      </c>
      <c r="C5949" s="309" t="s">
        <v>198</v>
      </c>
      <c r="D5949">
        <v>0</v>
      </c>
    </row>
    <row r="5950" spans="1:4" x14ac:dyDescent="0.25">
      <c r="A5950" s="279">
        <v>39231</v>
      </c>
      <c r="B5950" s="309" t="s">
        <v>405</v>
      </c>
      <c r="C5950" s="309" t="s">
        <v>199</v>
      </c>
      <c r="D5950">
        <v>0</v>
      </c>
    </row>
    <row r="5951" spans="1:4" x14ac:dyDescent="0.25">
      <c r="A5951" s="279">
        <v>39231</v>
      </c>
      <c r="B5951" s="309" t="s">
        <v>405</v>
      </c>
      <c r="C5951" s="309" t="s">
        <v>90</v>
      </c>
      <c r="D5951">
        <v>2004</v>
      </c>
    </row>
    <row r="5952" spans="1:4" x14ac:dyDescent="0.25">
      <c r="A5952" s="279">
        <v>39231</v>
      </c>
      <c r="B5952" s="309" t="s">
        <v>405</v>
      </c>
      <c r="C5952" s="309" t="s">
        <v>24</v>
      </c>
      <c r="D5952">
        <v>0</v>
      </c>
    </row>
    <row r="5953" spans="1:4" x14ac:dyDescent="0.25">
      <c r="A5953" s="279">
        <v>39231</v>
      </c>
      <c r="B5953" s="309" t="s">
        <v>405</v>
      </c>
      <c r="C5953" s="309" t="s">
        <v>91</v>
      </c>
      <c r="D5953">
        <v>0</v>
      </c>
    </row>
    <row r="5954" spans="1:4" x14ac:dyDescent="0.25">
      <c r="A5954" s="279">
        <v>39231</v>
      </c>
      <c r="B5954" s="309" t="s">
        <v>405</v>
      </c>
      <c r="C5954" s="309" t="s">
        <v>118</v>
      </c>
      <c r="D5954">
        <v>0</v>
      </c>
    </row>
    <row r="5955" spans="1:4" x14ac:dyDescent="0.25">
      <c r="A5955" s="279">
        <v>39231</v>
      </c>
      <c r="B5955" s="309" t="s">
        <v>405</v>
      </c>
      <c r="C5955" s="309" t="s">
        <v>407</v>
      </c>
      <c r="D5955">
        <v>2726897.1</v>
      </c>
    </row>
    <row r="5956" spans="1:4" x14ac:dyDescent="0.25">
      <c r="A5956" s="279">
        <v>39231</v>
      </c>
      <c r="B5956" s="309" t="s">
        <v>405</v>
      </c>
      <c r="C5956" s="309" t="s">
        <v>408</v>
      </c>
      <c r="D5956">
        <v>1007</v>
      </c>
    </row>
    <row r="5957" spans="1:4" x14ac:dyDescent="0.25">
      <c r="A5957" s="279">
        <v>39231</v>
      </c>
      <c r="B5957" s="309" t="s">
        <v>405</v>
      </c>
      <c r="C5957" s="309" t="s">
        <v>409</v>
      </c>
      <c r="D5957">
        <v>1058</v>
      </c>
    </row>
    <row r="5958" spans="1:4" x14ac:dyDescent="0.25">
      <c r="A5958" s="279">
        <v>39231</v>
      </c>
      <c r="B5958" s="309" t="s">
        <v>405</v>
      </c>
      <c r="C5958" s="309" t="s">
        <v>410</v>
      </c>
      <c r="D5958">
        <v>1050</v>
      </c>
    </row>
    <row r="5959" spans="1:4" x14ac:dyDescent="0.25">
      <c r="A5959" s="279">
        <v>39231</v>
      </c>
      <c r="B5959" s="309" t="s">
        <v>411</v>
      </c>
      <c r="C5959" s="309" t="s">
        <v>406</v>
      </c>
      <c r="D5959">
        <v>168440</v>
      </c>
    </row>
    <row r="5960" spans="1:4" x14ac:dyDescent="0.25">
      <c r="A5960" s="279">
        <v>39231</v>
      </c>
      <c r="B5960" s="309" t="s">
        <v>411</v>
      </c>
      <c r="C5960" s="309" t="s">
        <v>198</v>
      </c>
      <c r="D5960">
        <v>0</v>
      </c>
    </row>
    <row r="5961" spans="1:4" x14ac:dyDescent="0.25">
      <c r="A5961" s="279">
        <v>39231</v>
      </c>
      <c r="B5961" s="309" t="s">
        <v>411</v>
      </c>
      <c r="C5961" s="309" t="s">
        <v>199</v>
      </c>
      <c r="D5961">
        <v>0</v>
      </c>
    </row>
    <row r="5962" spans="1:4" x14ac:dyDescent="0.25">
      <c r="A5962" s="279">
        <v>39231</v>
      </c>
      <c r="B5962" s="309" t="s">
        <v>411</v>
      </c>
      <c r="C5962" s="309" t="s">
        <v>90</v>
      </c>
      <c r="D5962">
        <v>276</v>
      </c>
    </row>
    <row r="5963" spans="1:4" x14ac:dyDescent="0.25">
      <c r="A5963" s="279">
        <v>39231</v>
      </c>
      <c r="B5963" s="309" t="s">
        <v>411</v>
      </c>
      <c r="C5963" s="309" t="s">
        <v>24</v>
      </c>
      <c r="D5963">
        <v>0</v>
      </c>
    </row>
    <row r="5964" spans="1:4" x14ac:dyDescent="0.25">
      <c r="A5964" s="279">
        <v>39231</v>
      </c>
      <c r="B5964" s="309" t="s">
        <v>411</v>
      </c>
      <c r="C5964" s="309" t="s">
        <v>91</v>
      </c>
      <c r="D5964">
        <v>0</v>
      </c>
    </row>
    <row r="5965" spans="1:4" x14ac:dyDescent="0.25">
      <c r="A5965" s="279">
        <v>39231</v>
      </c>
      <c r="B5965" s="309" t="s">
        <v>411</v>
      </c>
      <c r="C5965" s="309" t="s">
        <v>118</v>
      </c>
      <c r="D5965">
        <v>0</v>
      </c>
    </row>
    <row r="5966" spans="1:4" x14ac:dyDescent="0.25">
      <c r="A5966" s="279">
        <v>39231</v>
      </c>
      <c r="B5966" s="309" t="s">
        <v>411</v>
      </c>
      <c r="C5966" s="309" t="s">
        <v>407</v>
      </c>
      <c r="D5966">
        <v>168164</v>
      </c>
    </row>
    <row r="5967" spans="1:4" x14ac:dyDescent="0.25">
      <c r="A5967" s="279">
        <v>39231</v>
      </c>
      <c r="B5967" s="309" t="s">
        <v>411</v>
      </c>
      <c r="C5967" s="309" t="s">
        <v>412</v>
      </c>
      <c r="D5967">
        <v>1007</v>
      </c>
    </row>
    <row r="5968" spans="1:4" x14ac:dyDescent="0.25">
      <c r="A5968" s="279">
        <v>39231</v>
      </c>
      <c r="B5968" s="309" t="s">
        <v>411</v>
      </c>
      <c r="C5968" s="309" t="s">
        <v>409</v>
      </c>
      <c r="D5968">
        <v>1049</v>
      </c>
    </row>
    <row r="5969" spans="1:4" x14ac:dyDescent="0.25">
      <c r="A5969" s="279">
        <v>39232</v>
      </c>
      <c r="B5969" s="309" t="s">
        <v>405</v>
      </c>
      <c r="C5969" s="309" t="s">
        <v>406</v>
      </c>
      <c r="D5969">
        <v>2726897.1</v>
      </c>
    </row>
    <row r="5970" spans="1:4" x14ac:dyDescent="0.25">
      <c r="A5970" s="279">
        <v>39232</v>
      </c>
      <c r="B5970" s="309" t="s">
        <v>405</v>
      </c>
      <c r="C5970" s="309" t="s">
        <v>89</v>
      </c>
      <c r="D5970">
        <v>6753</v>
      </c>
    </row>
    <row r="5971" spans="1:4" x14ac:dyDescent="0.25">
      <c r="A5971" s="279">
        <v>39232</v>
      </c>
      <c r="B5971" s="309" t="s">
        <v>405</v>
      </c>
      <c r="C5971" s="309" t="s">
        <v>198</v>
      </c>
      <c r="D5971">
        <v>0</v>
      </c>
    </row>
    <row r="5972" spans="1:4" x14ac:dyDescent="0.25">
      <c r="A5972" s="279">
        <v>39232</v>
      </c>
      <c r="B5972" s="309" t="s">
        <v>405</v>
      </c>
      <c r="C5972" s="309" t="s">
        <v>199</v>
      </c>
      <c r="D5972">
        <v>0</v>
      </c>
    </row>
    <row r="5973" spans="1:4" x14ac:dyDescent="0.25">
      <c r="A5973" s="279">
        <v>39232</v>
      </c>
      <c r="B5973" s="309" t="s">
        <v>405</v>
      </c>
      <c r="C5973" s="309" t="s">
        <v>90</v>
      </c>
      <c r="D5973">
        <v>1949</v>
      </c>
    </row>
    <row r="5974" spans="1:4" x14ac:dyDescent="0.25">
      <c r="A5974" s="279">
        <v>39232</v>
      </c>
      <c r="B5974" s="309" t="s">
        <v>405</v>
      </c>
      <c r="C5974" s="309" t="s">
        <v>24</v>
      </c>
      <c r="D5974">
        <v>0</v>
      </c>
    </row>
    <row r="5975" spans="1:4" x14ac:dyDescent="0.25">
      <c r="A5975" s="279">
        <v>39232</v>
      </c>
      <c r="B5975" s="309" t="s">
        <v>405</v>
      </c>
      <c r="C5975" s="309" t="s">
        <v>91</v>
      </c>
      <c r="D5975">
        <v>0</v>
      </c>
    </row>
    <row r="5976" spans="1:4" x14ac:dyDescent="0.25">
      <c r="A5976" s="279">
        <v>39232</v>
      </c>
      <c r="B5976" s="309" t="s">
        <v>405</v>
      </c>
      <c r="C5976" s="309" t="s">
        <v>118</v>
      </c>
      <c r="D5976">
        <v>0</v>
      </c>
    </row>
    <row r="5977" spans="1:4" x14ac:dyDescent="0.25">
      <c r="A5977" s="279">
        <v>39232</v>
      </c>
      <c r="B5977" s="309" t="s">
        <v>405</v>
      </c>
      <c r="C5977" s="309" t="s">
        <v>407</v>
      </c>
      <c r="D5977">
        <v>2731701.1</v>
      </c>
    </row>
    <row r="5978" spans="1:4" x14ac:dyDescent="0.25">
      <c r="A5978" s="279">
        <v>39232</v>
      </c>
      <c r="B5978" s="309" t="s">
        <v>405</v>
      </c>
      <c r="C5978" s="309" t="s">
        <v>408</v>
      </c>
      <c r="D5978">
        <v>1007</v>
      </c>
    </row>
    <row r="5979" spans="1:4" x14ac:dyDescent="0.25">
      <c r="A5979" s="279">
        <v>39232</v>
      </c>
      <c r="B5979" s="309" t="s">
        <v>405</v>
      </c>
      <c r="C5979" s="309" t="s">
        <v>409</v>
      </c>
      <c r="D5979">
        <v>1058</v>
      </c>
    </row>
    <row r="5980" spans="1:4" x14ac:dyDescent="0.25">
      <c r="A5980" s="279">
        <v>39232</v>
      </c>
      <c r="B5980" s="309" t="s">
        <v>405</v>
      </c>
      <c r="C5980" s="309" t="s">
        <v>410</v>
      </c>
      <c r="D5980">
        <v>1048</v>
      </c>
    </row>
    <row r="5981" spans="1:4" x14ac:dyDescent="0.25">
      <c r="A5981" s="279">
        <v>39232</v>
      </c>
      <c r="B5981" s="309" t="s">
        <v>411</v>
      </c>
      <c r="C5981" s="309" t="s">
        <v>406</v>
      </c>
      <c r="D5981">
        <v>168164</v>
      </c>
    </row>
    <row r="5982" spans="1:4" x14ac:dyDescent="0.25">
      <c r="A5982" s="279">
        <v>39232</v>
      </c>
      <c r="B5982" s="309" t="s">
        <v>411</v>
      </c>
      <c r="C5982" s="309" t="s">
        <v>198</v>
      </c>
      <c r="D5982">
        <v>0</v>
      </c>
    </row>
    <row r="5983" spans="1:4" x14ac:dyDescent="0.25">
      <c r="A5983" s="279">
        <v>39232</v>
      </c>
      <c r="B5983" s="309" t="s">
        <v>411</v>
      </c>
      <c r="C5983" s="309" t="s">
        <v>199</v>
      </c>
      <c r="D5983">
        <v>0</v>
      </c>
    </row>
    <row r="5984" spans="1:4" x14ac:dyDescent="0.25">
      <c r="A5984" s="279">
        <v>39232</v>
      </c>
      <c r="B5984" s="309" t="s">
        <v>411</v>
      </c>
      <c r="C5984" s="309" t="s">
        <v>90</v>
      </c>
      <c r="D5984">
        <v>82</v>
      </c>
    </row>
    <row r="5985" spans="1:4" x14ac:dyDescent="0.25">
      <c r="A5985" s="279">
        <v>39232</v>
      </c>
      <c r="B5985" s="309" t="s">
        <v>411</v>
      </c>
      <c r="C5985" s="309" t="s">
        <v>24</v>
      </c>
      <c r="D5985">
        <v>0</v>
      </c>
    </row>
    <row r="5986" spans="1:4" x14ac:dyDescent="0.25">
      <c r="A5986" s="279">
        <v>39232</v>
      </c>
      <c r="B5986" s="309" t="s">
        <v>411</v>
      </c>
      <c r="C5986" s="309" t="s">
        <v>91</v>
      </c>
      <c r="D5986">
        <v>0</v>
      </c>
    </row>
    <row r="5987" spans="1:4" x14ac:dyDescent="0.25">
      <c r="A5987" s="279">
        <v>39232</v>
      </c>
      <c r="B5987" s="309" t="s">
        <v>411</v>
      </c>
      <c r="C5987" s="309" t="s">
        <v>118</v>
      </c>
      <c r="D5987">
        <v>0</v>
      </c>
    </row>
    <row r="5988" spans="1:4" x14ac:dyDescent="0.25">
      <c r="A5988" s="279">
        <v>39232</v>
      </c>
      <c r="B5988" s="309" t="s">
        <v>411</v>
      </c>
      <c r="C5988" s="309" t="s">
        <v>407</v>
      </c>
      <c r="D5988">
        <v>168082</v>
      </c>
    </row>
    <row r="5989" spans="1:4" x14ac:dyDescent="0.25">
      <c r="A5989" s="279">
        <v>39232</v>
      </c>
      <c r="B5989" s="309" t="s">
        <v>411</v>
      </c>
      <c r="C5989" s="309" t="s">
        <v>412</v>
      </c>
      <c r="D5989">
        <v>1007</v>
      </c>
    </row>
    <row r="5990" spans="1:4" x14ac:dyDescent="0.25">
      <c r="A5990" s="279">
        <v>39232</v>
      </c>
      <c r="B5990" s="309" t="s">
        <v>411</v>
      </c>
      <c r="C5990" s="309" t="s">
        <v>409</v>
      </c>
      <c r="D5990">
        <v>1049</v>
      </c>
    </row>
    <row r="5991" spans="1:4" x14ac:dyDescent="0.25">
      <c r="A5991" s="279">
        <v>39233</v>
      </c>
      <c r="B5991" s="309" t="s">
        <v>405</v>
      </c>
      <c r="C5991" s="309" t="s">
        <v>406</v>
      </c>
      <c r="D5991">
        <v>2731701.1</v>
      </c>
    </row>
    <row r="5992" spans="1:4" x14ac:dyDescent="0.25">
      <c r="A5992" s="279">
        <v>39233</v>
      </c>
      <c r="B5992" s="309" t="s">
        <v>405</v>
      </c>
      <c r="C5992" s="309" t="s">
        <v>89</v>
      </c>
      <c r="D5992">
        <v>6474</v>
      </c>
    </row>
    <row r="5993" spans="1:4" x14ac:dyDescent="0.25">
      <c r="A5993" s="279">
        <v>39233</v>
      </c>
      <c r="B5993" s="309" t="s">
        <v>405</v>
      </c>
      <c r="C5993" s="309" t="s">
        <v>198</v>
      </c>
      <c r="D5993">
        <v>0</v>
      </c>
    </row>
    <row r="5994" spans="1:4" x14ac:dyDescent="0.25">
      <c r="A5994" s="279">
        <v>39233</v>
      </c>
      <c r="B5994" s="309" t="s">
        <v>405</v>
      </c>
      <c r="C5994" s="309" t="s">
        <v>199</v>
      </c>
      <c r="D5994">
        <v>0</v>
      </c>
    </row>
    <row r="5995" spans="1:4" x14ac:dyDescent="0.25">
      <c r="A5995" s="279">
        <v>39233</v>
      </c>
      <c r="B5995" s="309" t="s">
        <v>405</v>
      </c>
      <c r="C5995" s="309" t="s">
        <v>90</v>
      </c>
      <c r="D5995">
        <v>1937</v>
      </c>
    </row>
    <row r="5996" spans="1:4" x14ac:dyDescent="0.25">
      <c r="A5996" s="279">
        <v>39233</v>
      </c>
      <c r="B5996" s="309" t="s">
        <v>405</v>
      </c>
      <c r="C5996" s="309" t="s">
        <v>24</v>
      </c>
      <c r="D5996">
        <v>0</v>
      </c>
    </row>
    <row r="5997" spans="1:4" x14ac:dyDescent="0.25">
      <c r="A5997" s="279">
        <v>39233</v>
      </c>
      <c r="B5997" s="309" t="s">
        <v>405</v>
      </c>
      <c r="C5997" s="309" t="s">
        <v>91</v>
      </c>
      <c r="D5997">
        <v>0</v>
      </c>
    </row>
    <row r="5998" spans="1:4" x14ac:dyDescent="0.25">
      <c r="A5998" s="279">
        <v>39233</v>
      </c>
      <c r="B5998" s="309" t="s">
        <v>405</v>
      </c>
      <c r="C5998" s="309" t="s">
        <v>118</v>
      </c>
      <c r="D5998">
        <v>0</v>
      </c>
    </row>
    <row r="5999" spans="1:4" x14ac:dyDescent="0.25">
      <c r="A5999" s="279">
        <v>39233</v>
      </c>
      <c r="B5999" s="309" t="s">
        <v>405</v>
      </c>
      <c r="C5999" s="309" t="s">
        <v>407</v>
      </c>
      <c r="D5999">
        <v>2736238.1</v>
      </c>
    </row>
    <row r="6000" spans="1:4" x14ac:dyDescent="0.25">
      <c r="A6000" s="279">
        <v>39233</v>
      </c>
      <c r="B6000" s="309" t="s">
        <v>405</v>
      </c>
      <c r="C6000" s="309" t="s">
        <v>408</v>
      </c>
      <c r="D6000">
        <v>1007</v>
      </c>
    </row>
    <row r="6001" spans="1:4" x14ac:dyDescent="0.25">
      <c r="A6001" s="279">
        <v>39233</v>
      </c>
      <c r="B6001" s="309" t="s">
        <v>405</v>
      </c>
      <c r="C6001" s="309" t="s">
        <v>409</v>
      </c>
      <c r="D6001">
        <v>1058</v>
      </c>
    </row>
    <row r="6002" spans="1:4" x14ac:dyDescent="0.25">
      <c r="A6002" s="279">
        <v>39233</v>
      </c>
      <c r="B6002" s="309" t="s">
        <v>405</v>
      </c>
      <c r="C6002" s="309" t="s">
        <v>410</v>
      </c>
      <c r="D6002">
        <v>1037</v>
      </c>
    </row>
    <row r="6003" spans="1:4" x14ac:dyDescent="0.25">
      <c r="A6003" s="279">
        <v>39233</v>
      </c>
      <c r="B6003" s="309" t="s">
        <v>411</v>
      </c>
      <c r="C6003" s="309" t="s">
        <v>406</v>
      </c>
      <c r="D6003">
        <v>168082</v>
      </c>
    </row>
    <row r="6004" spans="1:4" x14ac:dyDescent="0.25">
      <c r="A6004" s="279">
        <v>39233</v>
      </c>
      <c r="B6004" s="309" t="s">
        <v>411</v>
      </c>
      <c r="C6004" s="309" t="s">
        <v>198</v>
      </c>
      <c r="D6004">
        <v>0</v>
      </c>
    </row>
    <row r="6005" spans="1:4" x14ac:dyDescent="0.25">
      <c r="A6005" s="279">
        <v>39233</v>
      </c>
      <c r="B6005" s="309" t="s">
        <v>411</v>
      </c>
      <c r="C6005" s="309" t="s">
        <v>199</v>
      </c>
      <c r="D6005">
        <v>0</v>
      </c>
    </row>
    <row r="6006" spans="1:4" x14ac:dyDescent="0.25">
      <c r="A6006" s="279">
        <v>39233</v>
      </c>
      <c r="B6006" s="309" t="s">
        <v>411</v>
      </c>
      <c r="C6006" s="309" t="s">
        <v>90</v>
      </c>
      <c r="D6006">
        <v>469</v>
      </c>
    </row>
    <row r="6007" spans="1:4" x14ac:dyDescent="0.25">
      <c r="A6007" s="279">
        <v>39233</v>
      </c>
      <c r="B6007" s="309" t="s">
        <v>411</v>
      </c>
      <c r="C6007" s="309" t="s">
        <v>24</v>
      </c>
      <c r="D6007">
        <v>0</v>
      </c>
    </row>
    <row r="6008" spans="1:4" x14ac:dyDescent="0.25">
      <c r="A6008" s="279">
        <v>39233</v>
      </c>
      <c r="B6008" s="309" t="s">
        <v>411</v>
      </c>
      <c r="C6008" s="309" t="s">
        <v>91</v>
      </c>
      <c r="D6008">
        <v>0</v>
      </c>
    </row>
    <row r="6009" spans="1:4" x14ac:dyDescent="0.25">
      <c r="A6009" s="279">
        <v>39233</v>
      </c>
      <c r="B6009" s="309" t="s">
        <v>411</v>
      </c>
      <c r="C6009" s="309" t="s">
        <v>118</v>
      </c>
      <c r="D6009">
        <v>0</v>
      </c>
    </row>
    <row r="6010" spans="1:4" x14ac:dyDescent="0.25">
      <c r="A6010" s="279">
        <v>39233</v>
      </c>
      <c r="B6010" s="309" t="s">
        <v>411</v>
      </c>
      <c r="C6010" s="309" t="s">
        <v>407</v>
      </c>
      <c r="D6010">
        <v>167613</v>
      </c>
    </row>
    <row r="6011" spans="1:4" x14ac:dyDescent="0.25">
      <c r="A6011" s="279">
        <v>39233</v>
      </c>
      <c r="B6011" s="309" t="s">
        <v>411</v>
      </c>
      <c r="C6011" s="309" t="s">
        <v>412</v>
      </c>
      <c r="D6011">
        <v>1007</v>
      </c>
    </row>
    <row r="6012" spans="1:4" x14ac:dyDescent="0.25">
      <c r="A6012" s="279">
        <v>39233</v>
      </c>
      <c r="B6012" s="309" t="s">
        <v>411</v>
      </c>
      <c r="C6012" s="309" t="s">
        <v>409</v>
      </c>
      <c r="D6012">
        <v>1049</v>
      </c>
    </row>
    <row r="6013" spans="1:4" x14ac:dyDescent="0.25">
      <c r="A6013" s="279">
        <v>39234</v>
      </c>
      <c r="B6013" s="309" t="s">
        <v>405</v>
      </c>
      <c r="C6013" s="309" t="s">
        <v>406</v>
      </c>
      <c r="D6013">
        <v>2736238.1</v>
      </c>
    </row>
    <row r="6014" spans="1:4" x14ac:dyDescent="0.25">
      <c r="A6014" s="279">
        <v>39234</v>
      </c>
      <c r="B6014" s="309" t="s">
        <v>405</v>
      </c>
      <c r="C6014" s="309" t="s">
        <v>89</v>
      </c>
      <c r="D6014">
        <v>5913</v>
      </c>
    </row>
    <row r="6015" spans="1:4" x14ac:dyDescent="0.25">
      <c r="A6015" s="279">
        <v>39234</v>
      </c>
      <c r="B6015" s="309" t="s">
        <v>405</v>
      </c>
      <c r="C6015" s="309" t="s">
        <v>198</v>
      </c>
      <c r="D6015">
        <v>0</v>
      </c>
    </row>
    <row r="6016" spans="1:4" x14ac:dyDescent="0.25">
      <c r="A6016" s="279">
        <v>39234</v>
      </c>
      <c r="B6016" s="309" t="s">
        <v>405</v>
      </c>
      <c r="C6016" s="309" t="s">
        <v>199</v>
      </c>
      <c r="D6016">
        <v>0</v>
      </c>
    </row>
    <row r="6017" spans="1:4" x14ac:dyDescent="0.25">
      <c r="A6017" s="279">
        <v>39234</v>
      </c>
      <c r="B6017" s="309" t="s">
        <v>405</v>
      </c>
      <c r="C6017" s="309" t="s">
        <v>90</v>
      </c>
      <c r="D6017">
        <v>1910</v>
      </c>
    </row>
    <row r="6018" spans="1:4" x14ac:dyDescent="0.25">
      <c r="A6018" s="279">
        <v>39234</v>
      </c>
      <c r="B6018" s="309" t="s">
        <v>405</v>
      </c>
      <c r="C6018" s="309" t="s">
        <v>24</v>
      </c>
      <c r="D6018">
        <v>0</v>
      </c>
    </row>
    <row r="6019" spans="1:4" x14ac:dyDescent="0.25">
      <c r="A6019" s="279">
        <v>39234</v>
      </c>
      <c r="B6019" s="309" t="s">
        <v>405</v>
      </c>
      <c r="C6019" s="309" t="s">
        <v>91</v>
      </c>
      <c r="D6019">
        <v>0</v>
      </c>
    </row>
    <row r="6020" spans="1:4" x14ac:dyDescent="0.25">
      <c r="A6020" s="279">
        <v>39234</v>
      </c>
      <c r="B6020" s="309" t="s">
        <v>405</v>
      </c>
      <c r="C6020" s="309" t="s">
        <v>118</v>
      </c>
      <c r="D6020">
        <v>0</v>
      </c>
    </row>
    <row r="6021" spans="1:4" x14ac:dyDescent="0.25">
      <c r="A6021" s="279">
        <v>39234</v>
      </c>
      <c r="B6021" s="309" t="s">
        <v>405</v>
      </c>
      <c r="C6021" s="309" t="s">
        <v>407</v>
      </c>
      <c r="D6021">
        <v>2740241.1</v>
      </c>
    </row>
    <row r="6022" spans="1:4" x14ac:dyDescent="0.25">
      <c r="A6022" s="279">
        <v>39234</v>
      </c>
      <c r="B6022" s="309" t="s">
        <v>405</v>
      </c>
      <c r="C6022" s="309" t="s">
        <v>408</v>
      </c>
      <c r="D6022">
        <v>1007</v>
      </c>
    </row>
    <row r="6023" spans="1:4" x14ac:dyDescent="0.25">
      <c r="A6023" s="279">
        <v>39234</v>
      </c>
      <c r="B6023" s="309" t="s">
        <v>405</v>
      </c>
      <c r="C6023" s="309" t="s">
        <v>409</v>
      </c>
      <c r="D6023">
        <v>1058</v>
      </c>
    </row>
    <row r="6024" spans="1:4" x14ac:dyDescent="0.25">
      <c r="A6024" s="279">
        <v>39234</v>
      </c>
      <c r="B6024" s="309" t="s">
        <v>405</v>
      </c>
      <c r="C6024" s="309" t="s">
        <v>410</v>
      </c>
      <c r="D6024">
        <v>1036</v>
      </c>
    </row>
    <row r="6025" spans="1:4" x14ac:dyDescent="0.25">
      <c r="A6025" s="279">
        <v>39234</v>
      </c>
      <c r="B6025" s="309" t="s">
        <v>411</v>
      </c>
      <c r="C6025" s="309" t="s">
        <v>406</v>
      </c>
      <c r="D6025">
        <v>167613</v>
      </c>
    </row>
    <row r="6026" spans="1:4" x14ac:dyDescent="0.25">
      <c r="A6026" s="279">
        <v>39234</v>
      </c>
      <c r="B6026" s="309" t="s">
        <v>411</v>
      </c>
      <c r="C6026" s="309" t="s">
        <v>198</v>
      </c>
      <c r="D6026">
        <v>0</v>
      </c>
    </row>
    <row r="6027" spans="1:4" x14ac:dyDescent="0.25">
      <c r="A6027" s="279">
        <v>39234</v>
      </c>
      <c r="B6027" s="309" t="s">
        <v>411</v>
      </c>
      <c r="C6027" s="309" t="s">
        <v>199</v>
      </c>
      <c r="D6027">
        <v>0</v>
      </c>
    </row>
    <row r="6028" spans="1:4" x14ac:dyDescent="0.25">
      <c r="A6028" s="279">
        <v>39234</v>
      </c>
      <c r="B6028" s="309" t="s">
        <v>411</v>
      </c>
      <c r="C6028" s="309" t="s">
        <v>90</v>
      </c>
      <c r="D6028">
        <v>0</v>
      </c>
    </row>
    <row r="6029" spans="1:4" x14ac:dyDescent="0.25">
      <c r="A6029" s="279">
        <v>39234</v>
      </c>
      <c r="B6029" s="309" t="s">
        <v>411</v>
      </c>
      <c r="C6029" s="309" t="s">
        <v>24</v>
      </c>
      <c r="D6029">
        <v>0</v>
      </c>
    </row>
    <row r="6030" spans="1:4" x14ac:dyDescent="0.25">
      <c r="A6030" s="279">
        <v>39234</v>
      </c>
      <c r="B6030" s="309" t="s">
        <v>411</v>
      </c>
      <c r="C6030" s="309" t="s">
        <v>91</v>
      </c>
      <c r="D6030">
        <v>0</v>
      </c>
    </row>
    <row r="6031" spans="1:4" x14ac:dyDescent="0.25">
      <c r="A6031" s="279">
        <v>39234</v>
      </c>
      <c r="B6031" s="309" t="s">
        <v>411</v>
      </c>
      <c r="C6031" s="309" t="s">
        <v>118</v>
      </c>
      <c r="D6031">
        <v>0</v>
      </c>
    </row>
    <row r="6032" spans="1:4" x14ac:dyDescent="0.25">
      <c r="A6032" s="279">
        <v>39234</v>
      </c>
      <c r="B6032" s="309" t="s">
        <v>411</v>
      </c>
      <c r="C6032" s="309" t="s">
        <v>407</v>
      </c>
      <c r="D6032">
        <v>167613</v>
      </c>
    </row>
    <row r="6033" spans="1:4" x14ac:dyDescent="0.25">
      <c r="A6033" s="279">
        <v>39234</v>
      </c>
      <c r="B6033" s="309" t="s">
        <v>411</v>
      </c>
      <c r="C6033" s="309" t="s">
        <v>412</v>
      </c>
      <c r="D6033">
        <v>1007</v>
      </c>
    </row>
    <row r="6034" spans="1:4" x14ac:dyDescent="0.25">
      <c r="A6034" s="279">
        <v>39234</v>
      </c>
      <c r="B6034" s="309" t="s">
        <v>411</v>
      </c>
      <c r="C6034" s="309" t="s">
        <v>409</v>
      </c>
      <c r="D6034">
        <v>1049</v>
      </c>
    </row>
    <row r="6035" spans="1:4" x14ac:dyDescent="0.25">
      <c r="A6035" s="279">
        <v>39235</v>
      </c>
      <c r="B6035" s="309" t="s">
        <v>405</v>
      </c>
      <c r="C6035" s="309" t="s">
        <v>406</v>
      </c>
      <c r="D6035">
        <v>2740241.1</v>
      </c>
    </row>
    <row r="6036" spans="1:4" x14ac:dyDescent="0.25">
      <c r="A6036" s="279">
        <v>39235</v>
      </c>
      <c r="B6036" s="309" t="s">
        <v>405</v>
      </c>
      <c r="C6036" s="309" t="s">
        <v>89</v>
      </c>
      <c r="D6036">
        <v>4229</v>
      </c>
    </row>
    <row r="6037" spans="1:4" x14ac:dyDescent="0.25">
      <c r="A6037" s="279">
        <v>39235</v>
      </c>
      <c r="B6037" s="309" t="s">
        <v>405</v>
      </c>
      <c r="C6037" s="309" t="s">
        <v>198</v>
      </c>
      <c r="D6037">
        <v>0</v>
      </c>
    </row>
    <row r="6038" spans="1:4" x14ac:dyDescent="0.25">
      <c r="A6038" s="279">
        <v>39235</v>
      </c>
      <c r="B6038" s="309" t="s">
        <v>405</v>
      </c>
      <c r="C6038" s="309" t="s">
        <v>199</v>
      </c>
      <c r="D6038">
        <v>0</v>
      </c>
    </row>
    <row r="6039" spans="1:4" x14ac:dyDescent="0.25">
      <c r="A6039" s="279">
        <v>39235</v>
      </c>
      <c r="B6039" s="309" t="s">
        <v>405</v>
      </c>
      <c r="C6039" s="309" t="s">
        <v>90</v>
      </c>
      <c r="D6039">
        <v>1827</v>
      </c>
    </row>
    <row r="6040" spans="1:4" x14ac:dyDescent="0.25">
      <c r="A6040" s="279">
        <v>39235</v>
      </c>
      <c r="B6040" s="309" t="s">
        <v>405</v>
      </c>
      <c r="C6040" s="309" t="s">
        <v>24</v>
      </c>
      <c r="D6040">
        <v>0</v>
      </c>
    </row>
    <row r="6041" spans="1:4" x14ac:dyDescent="0.25">
      <c r="A6041" s="279">
        <v>39235</v>
      </c>
      <c r="B6041" s="309" t="s">
        <v>405</v>
      </c>
      <c r="C6041" s="309" t="s">
        <v>91</v>
      </c>
      <c r="D6041">
        <v>0</v>
      </c>
    </row>
    <row r="6042" spans="1:4" x14ac:dyDescent="0.25">
      <c r="A6042" s="279">
        <v>39235</v>
      </c>
      <c r="B6042" s="309" t="s">
        <v>405</v>
      </c>
      <c r="C6042" s="309" t="s">
        <v>118</v>
      </c>
      <c r="D6042">
        <v>0</v>
      </c>
    </row>
    <row r="6043" spans="1:4" x14ac:dyDescent="0.25">
      <c r="A6043" s="279">
        <v>39235</v>
      </c>
      <c r="B6043" s="309" t="s">
        <v>405</v>
      </c>
      <c r="C6043" s="309" t="s">
        <v>407</v>
      </c>
      <c r="D6043">
        <v>2742643.1</v>
      </c>
    </row>
    <row r="6044" spans="1:4" x14ac:dyDescent="0.25">
      <c r="A6044" s="279">
        <v>39235</v>
      </c>
      <c r="B6044" s="309" t="s">
        <v>405</v>
      </c>
      <c r="C6044" s="309" t="s">
        <v>408</v>
      </c>
      <c r="D6044">
        <v>1007</v>
      </c>
    </row>
    <row r="6045" spans="1:4" x14ac:dyDescent="0.25">
      <c r="A6045" s="279">
        <v>39235</v>
      </c>
      <c r="B6045" s="309" t="s">
        <v>405</v>
      </c>
      <c r="C6045" s="309" t="s">
        <v>409</v>
      </c>
      <c r="D6045">
        <v>1058</v>
      </c>
    </row>
    <row r="6046" spans="1:4" x14ac:dyDescent="0.25">
      <c r="A6046" s="279">
        <v>39235</v>
      </c>
      <c r="B6046" s="309" t="s">
        <v>405</v>
      </c>
      <c r="C6046" s="309" t="s">
        <v>410</v>
      </c>
      <c r="D6046">
        <v>1036</v>
      </c>
    </row>
    <row r="6047" spans="1:4" x14ac:dyDescent="0.25">
      <c r="A6047" s="279">
        <v>39235</v>
      </c>
      <c r="B6047" s="309" t="s">
        <v>411</v>
      </c>
      <c r="C6047" s="309" t="s">
        <v>406</v>
      </c>
      <c r="D6047">
        <v>167613</v>
      </c>
    </row>
    <row r="6048" spans="1:4" x14ac:dyDescent="0.25">
      <c r="A6048" s="279">
        <v>39235</v>
      </c>
      <c r="B6048" s="309" t="s">
        <v>411</v>
      </c>
      <c r="C6048" s="309" t="s">
        <v>198</v>
      </c>
      <c r="D6048">
        <v>0</v>
      </c>
    </row>
    <row r="6049" spans="1:4" x14ac:dyDescent="0.25">
      <c r="A6049" s="279">
        <v>39235</v>
      </c>
      <c r="B6049" s="309" t="s">
        <v>411</v>
      </c>
      <c r="C6049" s="309" t="s">
        <v>199</v>
      </c>
      <c r="D6049">
        <v>0</v>
      </c>
    </row>
    <row r="6050" spans="1:4" x14ac:dyDescent="0.25">
      <c r="A6050" s="279">
        <v>39235</v>
      </c>
      <c r="B6050" s="309" t="s">
        <v>411</v>
      </c>
      <c r="C6050" s="309" t="s">
        <v>90</v>
      </c>
      <c r="D6050">
        <v>276</v>
      </c>
    </row>
    <row r="6051" spans="1:4" x14ac:dyDescent="0.25">
      <c r="A6051" s="279">
        <v>39235</v>
      </c>
      <c r="B6051" s="309" t="s">
        <v>411</v>
      </c>
      <c r="C6051" s="309" t="s">
        <v>24</v>
      </c>
      <c r="D6051">
        <v>0</v>
      </c>
    </row>
    <row r="6052" spans="1:4" x14ac:dyDescent="0.25">
      <c r="A6052" s="279">
        <v>39235</v>
      </c>
      <c r="B6052" s="309" t="s">
        <v>411</v>
      </c>
      <c r="C6052" s="309" t="s">
        <v>91</v>
      </c>
      <c r="D6052">
        <v>0</v>
      </c>
    </row>
    <row r="6053" spans="1:4" x14ac:dyDescent="0.25">
      <c r="A6053" s="279">
        <v>39235</v>
      </c>
      <c r="B6053" s="309" t="s">
        <v>411</v>
      </c>
      <c r="C6053" s="309" t="s">
        <v>118</v>
      </c>
      <c r="D6053">
        <v>0</v>
      </c>
    </row>
    <row r="6054" spans="1:4" x14ac:dyDescent="0.25">
      <c r="A6054" s="279">
        <v>39235</v>
      </c>
      <c r="B6054" s="309" t="s">
        <v>411</v>
      </c>
      <c r="C6054" s="309" t="s">
        <v>407</v>
      </c>
      <c r="D6054">
        <v>167337</v>
      </c>
    </row>
    <row r="6055" spans="1:4" x14ac:dyDescent="0.25">
      <c r="A6055" s="279">
        <v>39235</v>
      </c>
      <c r="B6055" s="309" t="s">
        <v>411</v>
      </c>
      <c r="C6055" s="309" t="s">
        <v>412</v>
      </c>
      <c r="D6055">
        <v>1007</v>
      </c>
    </row>
    <row r="6056" spans="1:4" x14ac:dyDescent="0.25">
      <c r="A6056" s="279">
        <v>39235</v>
      </c>
      <c r="B6056" s="309" t="s">
        <v>411</v>
      </c>
      <c r="C6056" s="309" t="s">
        <v>409</v>
      </c>
      <c r="D6056">
        <v>1049</v>
      </c>
    </row>
    <row r="6057" spans="1:4" x14ac:dyDescent="0.25">
      <c r="A6057" s="279">
        <v>39236</v>
      </c>
      <c r="B6057" s="309" t="s">
        <v>405</v>
      </c>
      <c r="C6057" s="309" t="s">
        <v>406</v>
      </c>
      <c r="D6057">
        <v>2742643.1</v>
      </c>
    </row>
    <row r="6058" spans="1:4" x14ac:dyDescent="0.25">
      <c r="A6058" s="279">
        <v>39236</v>
      </c>
      <c r="B6058" s="309" t="s">
        <v>405</v>
      </c>
      <c r="C6058" s="309" t="s">
        <v>89</v>
      </c>
      <c r="D6058">
        <v>1601</v>
      </c>
    </row>
    <row r="6059" spans="1:4" x14ac:dyDescent="0.25">
      <c r="A6059" s="279">
        <v>39236</v>
      </c>
      <c r="B6059" s="309" t="s">
        <v>405</v>
      </c>
      <c r="C6059" s="309" t="s">
        <v>198</v>
      </c>
      <c r="D6059">
        <v>0</v>
      </c>
    </row>
    <row r="6060" spans="1:4" x14ac:dyDescent="0.25">
      <c r="A6060" s="279">
        <v>39236</v>
      </c>
      <c r="B6060" s="309" t="s">
        <v>405</v>
      </c>
      <c r="C6060" s="309" t="s">
        <v>199</v>
      </c>
      <c r="D6060">
        <v>0</v>
      </c>
    </row>
    <row r="6061" spans="1:4" x14ac:dyDescent="0.25">
      <c r="A6061" s="279">
        <v>39236</v>
      </c>
      <c r="B6061" s="309" t="s">
        <v>405</v>
      </c>
      <c r="C6061" s="309" t="s">
        <v>90</v>
      </c>
      <c r="D6061">
        <v>267</v>
      </c>
    </row>
    <row r="6062" spans="1:4" x14ac:dyDescent="0.25">
      <c r="A6062" s="279">
        <v>39236</v>
      </c>
      <c r="B6062" s="309" t="s">
        <v>405</v>
      </c>
      <c r="C6062" s="309" t="s">
        <v>24</v>
      </c>
      <c r="D6062">
        <v>0</v>
      </c>
    </row>
    <row r="6063" spans="1:4" x14ac:dyDescent="0.25">
      <c r="A6063" s="279">
        <v>39236</v>
      </c>
      <c r="B6063" s="309" t="s">
        <v>405</v>
      </c>
      <c r="C6063" s="309" t="s">
        <v>91</v>
      </c>
      <c r="D6063">
        <v>0</v>
      </c>
    </row>
    <row r="6064" spans="1:4" x14ac:dyDescent="0.25">
      <c r="A6064" s="279">
        <v>39236</v>
      </c>
      <c r="B6064" s="309" t="s">
        <v>405</v>
      </c>
      <c r="C6064" s="309" t="s">
        <v>118</v>
      </c>
      <c r="D6064">
        <v>0</v>
      </c>
    </row>
    <row r="6065" spans="1:4" x14ac:dyDescent="0.25">
      <c r="A6065" s="279">
        <v>39236</v>
      </c>
      <c r="B6065" s="309" t="s">
        <v>405</v>
      </c>
      <c r="C6065" s="309" t="s">
        <v>407</v>
      </c>
      <c r="D6065">
        <v>2743977.1</v>
      </c>
    </row>
    <row r="6066" spans="1:4" x14ac:dyDescent="0.25">
      <c r="A6066" s="279">
        <v>39236</v>
      </c>
      <c r="B6066" s="309" t="s">
        <v>405</v>
      </c>
      <c r="C6066" s="309" t="s">
        <v>408</v>
      </c>
      <c r="D6066">
        <v>1007</v>
      </c>
    </row>
    <row r="6067" spans="1:4" x14ac:dyDescent="0.25">
      <c r="A6067" s="279">
        <v>39236</v>
      </c>
      <c r="B6067" s="309" t="s">
        <v>405</v>
      </c>
      <c r="C6067" s="309" t="s">
        <v>409</v>
      </c>
      <c r="D6067">
        <v>1058</v>
      </c>
    </row>
    <row r="6068" spans="1:4" x14ac:dyDescent="0.25">
      <c r="A6068" s="279">
        <v>39236</v>
      </c>
      <c r="B6068" s="309" t="s">
        <v>405</v>
      </c>
      <c r="C6068" s="309" t="s">
        <v>410</v>
      </c>
      <c r="D6068">
        <v>1036</v>
      </c>
    </row>
    <row r="6069" spans="1:4" x14ac:dyDescent="0.25">
      <c r="A6069" s="279">
        <v>39236</v>
      </c>
      <c r="B6069" s="309" t="s">
        <v>411</v>
      </c>
      <c r="C6069" s="309" t="s">
        <v>406</v>
      </c>
      <c r="D6069">
        <v>167337</v>
      </c>
    </row>
    <row r="6070" spans="1:4" x14ac:dyDescent="0.25">
      <c r="A6070" s="279">
        <v>39236</v>
      </c>
      <c r="B6070" s="309" t="s">
        <v>411</v>
      </c>
      <c r="C6070" s="309" t="s">
        <v>198</v>
      </c>
      <c r="D6070">
        <v>0</v>
      </c>
    </row>
    <row r="6071" spans="1:4" x14ac:dyDescent="0.25">
      <c r="A6071" s="279">
        <v>39236</v>
      </c>
      <c r="B6071" s="309" t="s">
        <v>411</v>
      </c>
      <c r="C6071" s="309" t="s">
        <v>199</v>
      </c>
      <c r="D6071">
        <v>0</v>
      </c>
    </row>
    <row r="6072" spans="1:4" x14ac:dyDescent="0.25">
      <c r="A6072" s="279">
        <v>39236</v>
      </c>
      <c r="B6072" s="309" t="s">
        <v>411</v>
      </c>
      <c r="C6072" s="309" t="s">
        <v>90</v>
      </c>
      <c r="D6072">
        <v>0</v>
      </c>
    </row>
    <row r="6073" spans="1:4" x14ac:dyDescent="0.25">
      <c r="A6073" s="279">
        <v>39236</v>
      </c>
      <c r="B6073" s="309" t="s">
        <v>411</v>
      </c>
      <c r="C6073" s="309" t="s">
        <v>24</v>
      </c>
      <c r="D6073">
        <v>0</v>
      </c>
    </row>
    <row r="6074" spans="1:4" x14ac:dyDescent="0.25">
      <c r="A6074" s="279">
        <v>39236</v>
      </c>
      <c r="B6074" s="309" t="s">
        <v>411</v>
      </c>
      <c r="C6074" s="309" t="s">
        <v>91</v>
      </c>
      <c r="D6074">
        <v>0</v>
      </c>
    </row>
    <row r="6075" spans="1:4" x14ac:dyDescent="0.25">
      <c r="A6075" s="279">
        <v>39236</v>
      </c>
      <c r="B6075" s="309" t="s">
        <v>411</v>
      </c>
      <c r="C6075" s="309" t="s">
        <v>118</v>
      </c>
      <c r="D6075">
        <v>0</v>
      </c>
    </row>
    <row r="6076" spans="1:4" x14ac:dyDescent="0.25">
      <c r="A6076" s="279">
        <v>39236</v>
      </c>
      <c r="B6076" s="309" t="s">
        <v>411</v>
      </c>
      <c r="C6076" s="309" t="s">
        <v>407</v>
      </c>
      <c r="D6076">
        <v>167337</v>
      </c>
    </row>
    <row r="6077" spans="1:4" x14ac:dyDescent="0.25">
      <c r="A6077" s="279">
        <v>39236</v>
      </c>
      <c r="B6077" s="309" t="s">
        <v>411</v>
      </c>
      <c r="C6077" s="309" t="s">
        <v>412</v>
      </c>
      <c r="D6077">
        <v>1007</v>
      </c>
    </row>
    <row r="6078" spans="1:4" x14ac:dyDescent="0.25">
      <c r="A6078" s="279">
        <v>39236</v>
      </c>
      <c r="B6078" s="309" t="s">
        <v>411</v>
      </c>
      <c r="C6078" s="309" t="s">
        <v>409</v>
      </c>
      <c r="D6078">
        <v>1049</v>
      </c>
    </row>
    <row r="6079" spans="1:4" x14ac:dyDescent="0.25">
      <c r="A6079" s="279">
        <v>39237</v>
      </c>
      <c r="B6079" s="309" t="s">
        <v>405</v>
      </c>
      <c r="C6079" s="309" t="s">
        <v>406</v>
      </c>
      <c r="D6079">
        <v>2743977.1</v>
      </c>
    </row>
    <row r="6080" spans="1:4" x14ac:dyDescent="0.25">
      <c r="A6080" s="279">
        <v>39237</v>
      </c>
      <c r="B6080" s="309" t="s">
        <v>405</v>
      </c>
      <c r="C6080" s="309" t="s">
        <v>89</v>
      </c>
      <c r="D6080">
        <v>4511</v>
      </c>
    </row>
    <row r="6081" spans="1:4" x14ac:dyDescent="0.25">
      <c r="A6081" s="279">
        <v>39237</v>
      </c>
      <c r="B6081" s="309" t="s">
        <v>405</v>
      </c>
      <c r="C6081" s="309" t="s">
        <v>198</v>
      </c>
      <c r="D6081">
        <v>0</v>
      </c>
    </row>
    <row r="6082" spans="1:4" x14ac:dyDescent="0.25">
      <c r="A6082" s="279">
        <v>39237</v>
      </c>
      <c r="B6082" s="309" t="s">
        <v>405</v>
      </c>
      <c r="C6082" s="309" t="s">
        <v>199</v>
      </c>
      <c r="D6082">
        <v>0</v>
      </c>
    </row>
    <row r="6083" spans="1:4" x14ac:dyDescent="0.25">
      <c r="A6083" s="279">
        <v>39237</v>
      </c>
      <c r="B6083" s="309" t="s">
        <v>405</v>
      </c>
      <c r="C6083" s="309" t="s">
        <v>90</v>
      </c>
      <c r="D6083">
        <v>1842</v>
      </c>
    </row>
    <row r="6084" spans="1:4" x14ac:dyDescent="0.25">
      <c r="A6084" s="279">
        <v>39237</v>
      </c>
      <c r="B6084" s="309" t="s">
        <v>405</v>
      </c>
      <c r="C6084" s="309" t="s">
        <v>24</v>
      </c>
      <c r="D6084">
        <v>0</v>
      </c>
    </row>
    <row r="6085" spans="1:4" x14ac:dyDescent="0.25">
      <c r="A6085" s="279">
        <v>39237</v>
      </c>
      <c r="B6085" s="309" t="s">
        <v>405</v>
      </c>
      <c r="C6085" s="309" t="s">
        <v>91</v>
      </c>
      <c r="D6085">
        <v>0</v>
      </c>
    </row>
    <row r="6086" spans="1:4" x14ac:dyDescent="0.25">
      <c r="A6086" s="279">
        <v>39237</v>
      </c>
      <c r="B6086" s="309" t="s">
        <v>405</v>
      </c>
      <c r="C6086" s="309" t="s">
        <v>118</v>
      </c>
      <c r="D6086">
        <v>0</v>
      </c>
    </row>
    <row r="6087" spans="1:4" x14ac:dyDescent="0.25">
      <c r="A6087" s="279">
        <v>39237</v>
      </c>
      <c r="B6087" s="309" t="s">
        <v>405</v>
      </c>
      <c r="C6087" s="309" t="s">
        <v>407</v>
      </c>
      <c r="D6087">
        <v>2746646.1</v>
      </c>
    </row>
    <row r="6088" spans="1:4" x14ac:dyDescent="0.25">
      <c r="A6088" s="279">
        <v>39237</v>
      </c>
      <c r="B6088" s="309" t="s">
        <v>405</v>
      </c>
      <c r="C6088" s="309" t="s">
        <v>408</v>
      </c>
      <c r="D6088">
        <v>1007</v>
      </c>
    </row>
    <row r="6089" spans="1:4" x14ac:dyDescent="0.25">
      <c r="A6089" s="279">
        <v>39237</v>
      </c>
      <c r="B6089" s="309" t="s">
        <v>405</v>
      </c>
      <c r="C6089" s="309" t="s">
        <v>409</v>
      </c>
      <c r="D6089">
        <v>1058</v>
      </c>
    </row>
    <row r="6090" spans="1:4" x14ac:dyDescent="0.25">
      <c r="A6090" s="279">
        <v>39237</v>
      </c>
      <c r="B6090" s="309" t="s">
        <v>405</v>
      </c>
      <c r="C6090" s="309" t="s">
        <v>410</v>
      </c>
      <c r="D6090">
        <v>1037</v>
      </c>
    </row>
    <row r="6091" spans="1:4" x14ac:dyDescent="0.25">
      <c r="A6091" s="279">
        <v>39237</v>
      </c>
      <c r="B6091" s="309" t="s">
        <v>411</v>
      </c>
      <c r="C6091" s="309" t="s">
        <v>406</v>
      </c>
      <c r="D6091">
        <v>167337</v>
      </c>
    </row>
    <row r="6092" spans="1:4" x14ac:dyDescent="0.25">
      <c r="A6092" s="279">
        <v>39237</v>
      </c>
      <c r="B6092" s="309" t="s">
        <v>411</v>
      </c>
      <c r="C6092" s="309" t="s">
        <v>198</v>
      </c>
      <c r="D6092">
        <v>0</v>
      </c>
    </row>
    <row r="6093" spans="1:4" x14ac:dyDescent="0.25">
      <c r="A6093" s="279">
        <v>39237</v>
      </c>
      <c r="B6093" s="309" t="s">
        <v>411</v>
      </c>
      <c r="C6093" s="309" t="s">
        <v>199</v>
      </c>
      <c r="D6093">
        <v>0</v>
      </c>
    </row>
    <row r="6094" spans="1:4" x14ac:dyDescent="0.25">
      <c r="A6094" s="279">
        <v>39237</v>
      </c>
      <c r="B6094" s="309" t="s">
        <v>411</v>
      </c>
      <c r="C6094" s="309" t="s">
        <v>90</v>
      </c>
      <c r="D6094">
        <v>275</v>
      </c>
    </row>
    <row r="6095" spans="1:4" x14ac:dyDescent="0.25">
      <c r="A6095" s="279">
        <v>39237</v>
      </c>
      <c r="B6095" s="309" t="s">
        <v>411</v>
      </c>
      <c r="C6095" s="309" t="s">
        <v>24</v>
      </c>
      <c r="D6095">
        <v>0</v>
      </c>
    </row>
    <row r="6096" spans="1:4" x14ac:dyDescent="0.25">
      <c r="A6096" s="279">
        <v>39237</v>
      </c>
      <c r="B6096" s="309" t="s">
        <v>411</v>
      </c>
      <c r="C6096" s="309" t="s">
        <v>91</v>
      </c>
      <c r="D6096">
        <v>0</v>
      </c>
    </row>
    <row r="6097" spans="1:4" x14ac:dyDescent="0.25">
      <c r="A6097" s="279">
        <v>39237</v>
      </c>
      <c r="B6097" s="309" t="s">
        <v>411</v>
      </c>
      <c r="C6097" s="309" t="s">
        <v>118</v>
      </c>
      <c r="D6097">
        <v>0</v>
      </c>
    </row>
    <row r="6098" spans="1:4" x14ac:dyDescent="0.25">
      <c r="A6098" s="279">
        <v>39237</v>
      </c>
      <c r="B6098" s="309" t="s">
        <v>411</v>
      </c>
      <c r="C6098" s="309" t="s">
        <v>407</v>
      </c>
      <c r="D6098">
        <v>167062</v>
      </c>
    </row>
    <row r="6099" spans="1:4" x14ac:dyDescent="0.25">
      <c r="A6099" s="279">
        <v>39237</v>
      </c>
      <c r="B6099" s="309" t="s">
        <v>411</v>
      </c>
      <c r="C6099" s="309" t="s">
        <v>412</v>
      </c>
      <c r="D6099">
        <v>1007</v>
      </c>
    </row>
    <row r="6100" spans="1:4" x14ac:dyDescent="0.25">
      <c r="A6100" s="279">
        <v>39237</v>
      </c>
      <c r="B6100" s="309" t="s">
        <v>411</v>
      </c>
      <c r="C6100" s="309" t="s">
        <v>409</v>
      </c>
      <c r="D6100">
        <v>1049</v>
      </c>
    </row>
    <row r="6101" spans="1:4" x14ac:dyDescent="0.25">
      <c r="A6101" s="279">
        <v>39238</v>
      </c>
      <c r="B6101" s="309" t="s">
        <v>405</v>
      </c>
      <c r="C6101" s="309" t="s">
        <v>406</v>
      </c>
      <c r="D6101">
        <v>2746646.1</v>
      </c>
    </row>
    <row r="6102" spans="1:4" x14ac:dyDescent="0.25">
      <c r="A6102" s="279">
        <v>39238</v>
      </c>
      <c r="B6102" s="309" t="s">
        <v>405</v>
      </c>
      <c r="C6102" s="309" t="s">
        <v>89</v>
      </c>
      <c r="D6102">
        <v>6198</v>
      </c>
    </row>
    <row r="6103" spans="1:4" x14ac:dyDescent="0.25">
      <c r="A6103" s="279">
        <v>39238</v>
      </c>
      <c r="B6103" s="309" t="s">
        <v>405</v>
      </c>
      <c r="C6103" s="309" t="s">
        <v>198</v>
      </c>
      <c r="D6103">
        <v>0</v>
      </c>
    </row>
    <row r="6104" spans="1:4" x14ac:dyDescent="0.25">
      <c r="A6104" s="279">
        <v>39238</v>
      </c>
      <c r="B6104" s="309" t="s">
        <v>405</v>
      </c>
      <c r="C6104" s="309" t="s">
        <v>199</v>
      </c>
      <c r="D6104">
        <v>0</v>
      </c>
    </row>
    <row r="6105" spans="1:4" x14ac:dyDescent="0.25">
      <c r="A6105" s="279">
        <v>39238</v>
      </c>
      <c r="B6105" s="309" t="s">
        <v>405</v>
      </c>
      <c r="C6105" s="309" t="s">
        <v>90</v>
      </c>
      <c r="D6105">
        <v>1927</v>
      </c>
    </row>
    <row r="6106" spans="1:4" x14ac:dyDescent="0.25">
      <c r="A6106" s="279">
        <v>39238</v>
      </c>
      <c r="B6106" s="309" t="s">
        <v>405</v>
      </c>
      <c r="C6106" s="309" t="s">
        <v>24</v>
      </c>
      <c r="D6106">
        <v>0</v>
      </c>
    </row>
    <row r="6107" spans="1:4" x14ac:dyDescent="0.25">
      <c r="A6107" s="279">
        <v>39238</v>
      </c>
      <c r="B6107" s="309" t="s">
        <v>405</v>
      </c>
      <c r="C6107" s="309" t="s">
        <v>91</v>
      </c>
      <c r="D6107">
        <v>0</v>
      </c>
    </row>
    <row r="6108" spans="1:4" x14ac:dyDescent="0.25">
      <c r="A6108" s="279">
        <v>39238</v>
      </c>
      <c r="B6108" s="309" t="s">
        <v>405</v>
      </c>
      <c r="C6108" s="309" t="s">
        <v>118</v>
      </c>
      <c r="D6108">
        <v>0</v>
      </c>
    </row>
    <row r="6109" spans="1:4" x14ac:dyDescent="0.25">
      <c r="A6109" s="279">
        <v>39238</v>
      </c>
      <c r="B6109" s="309" t="s">
        <v>405</v>
      </c>
      <c r="C6109" s="309" t="s">
        <v>407</v>
      </c>
      <c r="D6109">
        <v>2750917.1</v>
      </c>
    </row>
    <row r="6110" spans="1:4" x14ac:dyDescent="0.25">
      <c r="A6110" s="279">
        <v>39238</v>
      </c>
      <c r="B6110" s="309" t="s">
        <v>405</v>
      </c>
      <c r="C6110" s="309" t="s">
        <v>408</v>
      </c>
      <c r="D6110">
        <v>1007</v>
      </c>
    </row>
    <row r="6111" spans="1:4" x14ac:dyDescent="0.25">
      <c r="A6111" s="279">
        <v>39238</v>
      </c>
      <c r="B6111" s="309" t="s">
        <v>405</v>
      </c>
      <c r="C6111" s="309" t="s">
        <v>409</v>
      </c>
      <c r="D6111">
        <v>1058</v>
      </c>
    </row>
    <row r="6112" spans="1:4" x14ac:dyDescent="0.25">
      <c r="A6112" s="279">
        <v>39238</v>
      </c>
      <c r="B6112" s="309" t="s">
        <v>405</v>
      </c>
      <c r="C6112" s="309" t="s">
        <v>410</v>
      </c>
      <c r="D6112">
        <v>1038</v>
      </c>
    </row>
    <row r="6113" spans="1:4" x14ac:dyDescent="0.25">
      <c r="A6113" s="279">
        <v>39238</v>
      </c>
      <c r="B6113" s="309" t="s">
        <v>411</v>
      </c>
      <c r="C6113" s="309" t="s">
        <v>406</v>
      </c>
      <c r="D6113">
        <v>167062</v>
      </c>
    </row>
    <row r="6114" spans="1:4" x14ac:dyDescent="0.25">
      <c r="A6114" s="279">
        <v>39238</v>
      </c>
      <c r="B6114" s="309" t="s">
        <v>411</v>
      </c>
      <c r="C6114" s="309" t="s">
        <v>198</v>
      </c>
      <c r="D6114">
        <v>0</v>
      </c>
    </row>
    <row r="6115" spans="1:4" x14ac:dyDescent="0.25">
      <c r="A6115" s="279">
        <v>39238</v>
      </c>
      <c r="B6115" s="309" t="s">
        <v>411</v>
      </c>
      <c r="C6115" s="309" t="s">
        <v>199</v>
      </c>
      <c r="D6115">
        <v>0</v>
      </c>
    </row>
    <row r="6116" spans="1:4" x14ac:dyDescent="0.25">
      <c r="A6116" s="279">
        <v>39238</v>
      </c>
      <c r="B6116" s="309" t="s">
        <v>411</v>
      </c>
      <c r="C6116" s="309" t="s">
        <v>90</v>
      </c>
      <c r="D6116">
        <v>276</v>
      </c>
    </row>
    <row r="6117" spans="1:4" x14ac:dyDescent="0.25">
      <c r="A6117" s="279">
        <v>39238</v>
      </c>
      <c r="B6117" s="309" t="s">
        <v>411</v>
      </c>
      <c r="C6117" s="309" t="s">
        <v>24</v>
      </c>
      <c r="D6117">
        <v>0</v>
      </c>
    </row>
    <row r="6118" spans="1:4" x14ac:dyDescent="0.25">
      <c r="A6118" s="279">
        <v>39238</v>
      </c>
      <c r="B6118" s="309" t="s">
        <v>411</v>
      </c>
      <c r="C6118" s="309" t="s">
        <v>91</v>
      </c>
      <c r="D6118">
        <v>0</v>
      </c>
    </row>
    <row r="6119" spans="1:4" x14ac:dyDescent="0.25">
      <c r="A6119" s="279">
        <v>39238</v>
      </c>
      <c r="B6119" s="309" t="s">
        <v>411</v>
      </c>
      <c r="C6119" s="309" t="s">
        <v>118</v>
      </c>
      <c r="D6119">
        <v>0</v>
      </c>
    </row>
    <row r="6120" spans="1:4" x14ac:dyDescent="0.25">
      <c r="A6120" s="279">
        <v>39238</v>
      </c>
      <c r="B6120" s="309" t="s">
        <v>411</v>
      </c>
      <c r="C6120" s="309" t="s">
        <v>407</v>
      </c>
      <c r="D6120">
        <v>166786</v>
      </c>
    </row>
    <row r="6121" spans="1:4" x14ac:dyDescent="0.25">
      <c r="A6121" s="279">
        <v>39238</v>
      </c>
      <c r="B6121" s="309" t="s">
        <v>411</v>
      </c>
      <c r="C6121" s="309" t="s">
        <v>412</v>
      </c>
      <c r="D6121">
        <v>1007</v>
      </c>
    </row>
    <row r="6122" spans="1:4" x14ac:dyDescent="0.25">
      <c r="A6122" s="279">
        <v>39238</v>
      </c>
      <c r="B6122" s="309" t="s">
        <v>411</v>
      </c>
      <c r="C6122" s="309" t="s">
        <v>409</v>
      </c>
      <c r="D6122">
        <v>1049</v>
      </c>
    </row>
    <row r="6123" spans="1:4" x14ac:dyDescent="0.25">
      <c r="A6123" s="279">
        <v>39239</v>
      </c>
      <c r="B6123" s="309" t="s">
        <v>405</v>
      </c>
      <c r="C6123" s="309" t="s">
        <v>406</v>
      </c>
      <c r="D6123">
        <v>2750917.1</v>
      </c>
    </row>
    <row r="6124" spans="1:4" x14ac:dyDescent="0.25">
      <c r="A6124" s="279">
        <v>39239</v>
      </c>
      <c r="B6124" s="309" t="s">
        <v>405</v>
      </c>
      <c r="C6124" s="309" t="s">
        <v>89</v>
      </c>
      <c r="D6124">
        <v>8447</v>
      </c>
    </row>
    <row r="6125" spans="1:4" x14ac:dyDescent="0.25">
      <c r="A6125" s="279">
        <v>39239</v>
      </c>
      <c r="B6125" s="309" t="s">
        <v>405</v>
      </c>
      <c r="C6125" s="309" t="s">
        <v>198</v>
      </c>
      <c r="D6125">
        <v>0</v>
      </c>
    </row>
    <row r="6126" spans="1:4" x14ac:dyDescent="0.25">
      <c r="A6126" s="279">
        <v>39239</v>
      </c>
      <c r="B6126" s="309" t="s">
        <v>405</v>
      </c>
      <c r="C6126" s="309" t="s">
        <v>199</v>
      </c>
      <c r="D6126">
        <v>0</v>
      </c>
    </row>
    <row r="6127" spans="1:4" x14ac:dyDescent="0.25">
      <c r="A6127" s="279">
        <v>39239</v>
      </c>
      <c r="B6127" s="309" t="s">
        <v>405</v>
      </c>
      <c r="C6127" s="309" t="s">
        <v>90</v>
      </c>
      <c r="D6127">
        <v>2042</v>
      </c>
    </row>
    <row r="6128" spans="1:4" x14ac:dyDescent="0.25">
      <c r="A6128" s="279">
        <v>39239</v>
      </c>
      <c r="B6128" s="309" t="s">
        <v>405</v>
      </c>
      <c r="C6128" s="309" t="s">
        <v>24</v>
      </c>
      <c r="D6128">
        <v>0</v>
      </c>
    </row>
    <row r="6129" spans="1:4" x14ac:dyDescent="0.25">
      <c r="A6129" s="279">
        <v>39239</v>
      </c>
      <c r="B6129" s="309" t="s">
        <v>405</v>
      </c>
      <c r="C6129" s="309" t="s">
        <v>91</v>
      </c>
      <c r="D6129">
        <v>0</v>
      </c>
    </row>
    <row r="6130" spans="1:4" x14ac:dyDescent="0.25">
      <c r="A6130" s="279">
        <v>39239</v>
      </c>
      <c r="B6130" s="309" t="s">
        <v>405</v>
      </c>
      <c r="C6130" s="309" t="s">
        <v>118</v>
      </c>
      <c r="D6130">
        <v>0</v>
      </c>
    </row>
    <row r="6131" spans="1:4" x14ac:dyDescent="0.25">
      <c r="A6131" s="279">
        <v>39239</v>
      </c>
      <c r="B6131" s="309" t="s">
        <v>405</v>
      </c>
      <c r="C6131" s="309" t="s">
        <v>407</v>
      </c>
      <c r="D6131">
        <v>2757322.1</v>
      </c>
    </row>
    <row r="6132" spans="1:4" x14ac:dyDescent="0.25">
      <c r="A6132" s="279">
        <v>39239</v>
      </c>
      <c r="B6132" s="309" t="s">
        <v>405</v>
      </c>
      <c r="C6132" s="309" t="s">
        <v>408</v>
      </c>
      <c r="D6132">
        <v>1007</v>
      </c>
    </row>
    <row r="6133" spans="1:4" x14ac:dyDescent="0.25">
      <c r="A6133" s="279">
        <v>39239</v>
      </c>
      <c r="B6133" s="309" t="s">
        <v>405</v>
      </c>
      <c r="C6133" s="309" t="s">
        <v>409</v>
      </c>
      <c r="D6133">
        <v>1058</v>
      </c>
    </row>
    <row r="6134" spans="1:4" x14ac:dyDescent="0.25">
      <c r="A6134" s="279">
        <v>39239</v>
      </c>
      <c r="B6134" s="309" t="s">
        <v>405</v>
      </c>
      <c r="C6134" s="309" t="s">
        <v>410</v>
      </c>
      <c r="D6134">
        <v>1039</v>
      </c>
    </row>
    <row r="6135" spans="1:4" x14ac:dyDescent="0.25">
      <c r="A6135" s="279">
        <v>39239</v>
      </c>
      <c r="B6135" s="309" t="s">
        <v>411</v>
      </c>
      <c r="C6135" s="309" t="s">
        <v>406</v>
      </c>
      <c r="D6135">
        <v>166786</v>
      </c>
    </row>
    <row r="6136" spans="1:4" x14ac:dyDescent="0.25">
      <c r="A6136" s="279">
        <v>39239</v>
      </c>
      <c r="B6136" s="309" t="s">
        <v>411</v>
      </c>
      <c r="C6136" s="309" t="s">
        <v>198</v>
      </c>
      <c r="D6136">
        <v>0</v>
      </c>
    </row>
    <row r="6137" spans="1:4" x14ac:dyDescent="0.25">
      <c r="A6137" s="279">
        <v>39239</v>
      </c>
      <c r="B6137" s="309" t="s">
        <v>411</v>
      </c>
      <c r="C6137" s="309" t="s">
        <v>199</v>
      </c>
      <c r="D6137">
        <v>0</v>
      </c>
    </row>
    <row r="6138" spans="1:4" x14ac:dyDescent="0.25">
      <c r="A6138" s="279">
        <v>39239</v>
      </c>
      <c r="B6138" s="309" t="s">
        <v>411</v>
      </c>
      <c r="C6138" s="309" t="s">
        <v>90</v>
      </c>
      <c r="D6138">
        <v>276</v>
      </c>
    </row>
    <row r="6139" spans="1:4" x14ac:dyDescent="0.25">
      <c r="A6139" s="279">
        <v>39239</v>
      </c>
      <c r="B6139" s="309" t="s">
        <v>411</v>
      </c>
      <c r="C6139" s="309" t="s">
        <v>24</v>
      </c>
      <c r="D6139">
        <v>0</v>
      </c>
    </row>
    <row r="6140" spans="1:4" x14ac:dyDescent="0.25">
      <c r="A6140" s="279">
        <v>39239</v>
      </c>
      <c r="B6140" s="309" t="s">
        <v>411</v>
      </c>
      <c r="C6140" s="309" t="s">
        <v>91</v>
      </c>
      <c r="D6140">
        <v>0</v>
      </c>
    </row>
    <row r="6141" spans="1:4" x14ac:dyDescent="0.25">
      <c r="A6141" s="279">
        <v>39239</v>
      </c>
      <c r="B6141" s="309" t="s">
        <v>411</v>
      </c>
      <c r="C6141" s="309" t="s">
        <v>118</v>
      </c>
      <c r="D6141">
        <v>0</v>
      </c>
    </row>
    <row r="6142" spans="1:4" x14ac:dyDescent="0.25">
      <c r="A6142" s="279">
        <v>39239</v>
      </c>
      <c r="B6142" s="309" t="s">
        <v>411</v>
      </c>
      <c r="C6142" s="309" t="s">
        <v>407</v>
      </c>
      <c r="D6142">
        <v>166510</v>
      </c>
    </row>
    <row r="6143" spans="1:4" x14ac:dyDescent="0.25">
      <c r="A6143" s="279">
        <v>39239</v>
      </c>
      <c r="B6143" s="309" t="s">
        <v>411</v>
      </c>
      <c r="C6143" s="309" t="s">
        <v>412</v>
      </c>
      <c r="D6143">
        <v>1007</v>
      </c>
    </row>
    <row r="6144" spans="1:4" x14ac:dyDescent="0.25">
      <c r="A6144" s="279">
        <v>39239</v>
      </c>
      <c r="B6144" s="309" t="s">
        <v>411</v>
      </c>
      <c r="C6144" s="309" t="s">
        <v>409</v>
      </c>
      <c r="D6144">
        <v>1049</v>
      </c>
    </row>
    <row r="6145" spans="1:4" x14ac:dyDescent="0.25">
      <c r="A6145" s="279">
        <v>39240</v>
      </c>
      <c r="B6145" s="309" t="s">
        <v>405</v>
      </c>
      <c r="C6145" s="309" t="s">
        <v>406</v>
      </c>
      <c r="D6145">
        <v>2757322.1</v>
      </c>
    </row>
    <row r="6146" spans="1:4" x14ac:dyDescent="0.25">
      <c r="A6146" s="279">
        <v>39240</v>
      </c>
      <c r="B6146" s="309" t="s">
        <v>405</v>
      </c>
      <c r="C6146" s="309" t="s">
        <v>89</v>
      </c>
      <c r="D6146">
        <v>7325</v>
      </c>
    </row>
    <row r="6147" spans="1:4" x14ac:dyDescent="0.25">
      <c r="A6147" s="279">
        <v>39240</v>
      </c>
      <c r="B6147" s="309" t="s">
        <v>405</v>
      </c>
      <c r="C6147" s="309" t="s">
        <v>198</v>
      </c>
      <c r="D6147">
        <v>0</v>
      </c>
    </row>
    <row r="6148" spans="1:4" x14ac:dyDescent="0.25">
      <c r="A6148" s="279">
        <v>39240</v>
      </c>
      <c r="B6148" s="309" t="s">
        <v>405</v>
      </c>
      <c r="C6148" s="309" t="s">
        <v>199</v>
      </c>
      <c r="D6148">
        <v>0</v>
      </c>
    </row>
    <row r="6149" spans="1:4" x14ac:dyDescent="0.25">
      <c r="A6149" s="279">
        <v>39240</v>
      </c>
      <c r="B6149" s="309" t="s">
        <v>405</v>
      </c>
      <c r="C6149" s="309" t="s">
        <v>90</v>
      </c>
      <c r="D6149">
        <v>1987</v>
      </c>
    </row>
    <row r="6150" spans="1:4" x14ac:dyDescent="0.25">
      <c r="A6150" s="279">
        <v>39240</v>
      </c>
      <c r="B6150" s="309" t="s">
        <v>405</v>
      </c>
      <c r="C6150" s="309" t="s">
        <v>24</v>
      </c>
      <c r="D6150">
        <v>0</v>
      </c>
    </row>
    <row r="6151" spans="1:4" x14ac:dyDescent="0.25">
      <c r="A6151" s="279">
        <v>39240</v>
      </c>
      <c r="B6151" s="309" t="s">
        <v>405</v>
      </c>
      <c r="C6151" s="309" t="s">
        <v>91</v>
      </c>
      <c r="D6151">
        <v>0</v>
      </c>
    </row>
    <row r="6152" spans="1:4" x14ac:dyDescent="0.25">
      <c r="A6152" s="279">
        <v>39240</v>
      </c>
      <c r="B6152" s="309" t="s">
        <v>405</v>
      </c>
      <c r="C6152" s="309" t="s">
        <v>118</v>
      </c>
      <c r="D6152">
        <v>0</v>
      </c>
    </row>
    <row r="6153" spans="1:4" x14ac:dyDescent="0.25">
      <c r="A6153" s="279">
        <v>39240</v>
      </c>
      <c r="B6153" s="309" t="s">
        <v>405</v>
      </c>
      <c r="C6153" s="309" t="s">
        <v>407</v>
      </c>
      <c r="D6153">
        <v>2762660.1</v>
      </c>
    </row>
    <row r="6154" spans="1:4" x14ac:dyDescent="0.25">
      <c r="A6154" s="279">
        <v>39240</v>
      </c>
      <c r="B6154" s="309" t="s">
        <v>405</v>
      </c>
      <c r="C6154" s="309" t="s">
        <v>408</v>
      </c>
      <c r="D6154">
        <v>1007</v>
      </c>
    </row>
    <row r="6155" spans="1:4" x14ac:dyDescent="0.25">
      <c r="A6155" s="279">
        <v>39240</v>
      </c>
      <c r="B6155" s="309" t="s">
        <v>405</v>
      </c>
      <c r="C6155" s="309" t="s">
        <v>409</v>
      </c>
      <c r="D6155">
        <v>1058</v>
      </c>
    </row>
    <row r="6156" spans="1:4" x14ac:dyDescent="0.25">
      <c r="A6156" s="279">
        <v>39240</v>
      </c>
      <c r="B6156" s="309" t="s">
        <v>405</v>
      </c>
      <c r="C6156" s="309" t="s">
        <v>410</v>
      </c>
      <c r="D6156">
        <v>1039</v>
      </c>
    </row>
    <row r="6157" spans="1:4" x14ac:dyDescent="0.25">
      <c r="A6157" s="279">
        <v>39240</v>
      </c>
      <c r="B6157" s="309" t="s">
        <v>411</v>
      </c>
      <c r="C6157" s="309" t="s">
        <v>406</v>
      </c>
      <c r="D6157">
        <v>166510</v>
      </c>
    </row>
    <row r="6158" spans="1:4" x14ac:dyDescent="0.25">
      <c r="A6158" s="279">
        <v>39240</v>
      </c>
      <c r="B6158" s="309" t="s">
        <v>411</v>
      </c>
      <c r="C6158" s="309" t="s">
        <v>198</v>
      </c>
      <c r="D6158">
        <v>0</v>
      </c>
    </row>
    <row r="6159" spans="1:4" x14ac:dyDescent="0.25">
      <c r="A6159" s="279">
        <v>39240</v>
      </c>
      <c r="B6159" s="309" t="s">
        <v>411</v>
      </c>
      <c r="C6159" s="309" t="s">
        <v>199</v>
      </c>
      <c r="D6159">
        <v>0</v>
      </c>
    </row>
    <row r="6160" spans="1:4" x14ac:dyDescent="0.25">
      <c r="A6160" s="279">
        <v>39240</v>
      </c>
      <c r="B6160" s="309" t="s">
        <v>411</v>
      </c>
      <c r="C6160" s="309" t="s">
        <v>90</v>
      </c>
      <c r="D6160">
        <v>276</v>
      </c>
    </row>
    <row r="6161" spans="1:4" x14ac:dyDescent="0.25">
      <c r="A6161" s="279">
        <v>39240</v>
      </c>
      <c r="B6161" s="309" t="s">
        <v>411</v>
      </c>
      <c r="C6161" s="309" t="s">
        <v>24</v>
      </c>
      <c r="D6161">
        <v>0</v>
      </c>
    </row>
    <row r="6162" spans="1:4" x14ac:dyDescent="0.25">
      <c r="A6162" s="279">
        <v>39240</v>
      </c>
      <c r="B6162" s="309" t="s">
        <v>411</v>
      </c>
      <c r="C6162" s="309" t="s">
        <v>91</v>
      </c>
      <c r="D6162">
        <v>0</v>
      </c>
    </row>
    <row r="6163" spans="1:4" x14ac:dyDescent="0.25">
      <c r="A6163" s="279">
        <v>39240</v>
      </c>
      <c r="B6163" s="309" t="s">
        <v>411</v>
      </c>
      <c r="C6163" s="309" t="s">
        <v>118</v>
      </c>
      <c r="D6163">
        <v>0</v>
      </c>
    </row>
    <row r="6164" spans="1:4" x14ac:dyDescent="0.25">
      <c r="A6164" s="279">
        <v>39240</v>
      </c>
      <c r="B6164" s="309" t="s">
        <v>411</v>
      </c>
      <c r="C6164" s="309" t="s">
        <v>407</v>
      </c>
      <c r="D6164">
        <v>166234</v>
      </c>
    </row>
    <row r="6165" spans="1:4" x14ac:dyDescent="0.25">
      <c r="A6165" s="279">
        <v>39240</v>
      </c>
      <c r="B6165" s="309" t="s">
        <v>411</v>
      </c>
      <c r="C6165" s="309" t="s">
        <v>412</v>
      </c>
      <c r="D6165">
        <v>1007</v>
      </c>
    </row>
    <row r="6166" spans="1:4" x14ac:dyDescent="0.25">
      <c r="A6166" s="279">
        <v>39240</v>
      </c>
      <c r="B6166" s="309" t="s">
        <v>411</v>
      </c>
      <c r="C6166" s="309" t="s">
        <v>409</v>
      </c>
      <c r="D6166">
        <v>1049</v>
      </c>
    </row>
    <row r="6167" spans="1:4" x14ac:dyDescent="0.25">
      <c r="A6167" s="279">
        <v>39241</v>
      </c>
      <c r="B6167" s="309" t="s">
        <v>405</v>
      </c>
      <c r="C6167" s="309" t="s">
        <v>406</v>
      </c>
      <c r="D6167">
        <v>2762660.1</v>
      </c>
    </row>
    <row r="6168" spans="1:4" x14ac:dyDescent="0.25">
      <c r="A6168" s="279">
        <v>39241</v>
      </c>
      <c r="B6168" s="309" t="s">
        <v>405</v>
      </c>
      <c r="C6168" s="309" t="s">
        <v>89</v>
      </c>
      <c r="D6168">
        <v>5078</v>
      </c>
    </row>
    <row r="6169" spans="1:4" x14ac:dyDescent="0.25">
      <c r="A6169" s="279">
        <v>39241</v>
      </c>
      <c r="B6169" s="309" t="s">
        <v>405</v>
      </c>
      <c r="C6169" s="309" t="s">
        <v>198</v>
      </c>
      <c r="D6169">
        <v>0</v>
      </c>
    </row>
    <row r="6170" spans="1:4" x14ac:dyDescent="0.25">
      <c r="A6170" s="279">
        <v>39241</v>
      </c>
      <c r="B6170" s="309" t="s">
        <v>405</v>
      </c>
      <c r="C6170" s="309" t="s">
        <v>199</v>
      </c>
      <c r="D6170">
        <v>0</v>
      </c>
    </row>
    <row r="6171" spans="1:4" x14ac:dyDescent="0.25">
      <c r="A6171" s="279">
        <v>39241</v>
      </c>
      <c r="B6171" s="309" t="s">
        <v>405</v>
      </c>
      <c r="C6171" s="309" t="s">
        <v>90</v>
      </c>
      <c r="D6171">
        <v>1877</v>
      </c>
    </row>
    <row r="6172" spans="1:4" x14ac:dyDescent="0.25">
      <c r="A6172" s="279">
        <v>39241</v>
      </c>
      <c r="B6172" s="309" t="s">
        <v>405</v>
      </c>
      <c r="C6172" s="309" t="s">
        <v>24</v>
      </c>
      <c r="D6172">
        <v>0</v>
      </c>
    </row>
    <row r="6173" spans="1:4" x14ac:dyDescent="0.25">
      <c r="A6173" s="279">
        <v>39241</v>
      </c>
      <c r="B6173" s="309" t="s">
        <v>405</v>
      </c>
      <c r="C6173" s="309" t="s">
        <v>91</v>
      </c>
      <c r="D6173">
        <v>0</v>
      </c>
    </row>
    <row r="6174" spans="1:4" x14ac:dyDescent="0.25">
      <c r="A6174" s="279">
        <v>39241</v>
      </c>
      <c r="B6174" s="309" t="s">
        <v>405</v>
      </c>
      <c r="C6174" s="309" t="s">
        <v>118</v>
      </c>
      <c r="D6174">
        <v>0</v>
      </c>
    </row>
    <row r="6175" spans="1:4" x14ac:dyDescent="0.25">
      <c r="A6175" s="279">
        <v>39241</v>
      </c>
      <c r="B6175" s="309" t="s">
        <v>405</v>
      </c>
      <c r="C6175" s="309" t="s">
        <v>407</v>
      </c>
      <c r="D6175">
        <v>2765861.1</v>
      </c>
    </row>
    <row r="6176" spans="1:4" x14ac:dyDescent="0.25">
      <c r="A6176" s="279">
        <v>39241</v>
      </c>
      <c r="B6176" s="309" t="s">
        <v>405</v>
      </c>
      <c r="C6176" s="309" t="s">
        <v>408</v>
      </c>
      <c r="D6176">
        <v>1007</v>
      </c>
    </row>
    <row r="6177" spans="1:4" x14ac:dyDescent="0.25">
      <c r="A6177" s="279">
        <v>39241</v>
      </c>
      <c r="B6177" s="309" t="s">
        <v>405</v>
      </c>
      <c r="C6177" s="309" t="s">
        <v>409</v>
      </c>
      <c r="D6177">
        <v>1058</v>
      </c>
    </row>
    <row r="6178" spans="1:4" x14ac:dyDescent="0.25">
      <c r="A6178" s="279">
        <v>39241</v>
      </c>
      <c r="B6178" s="309" t="s">
        <v>405</v>
      </c>
      <c r="C6178" s="309" t="s">
        <v>410</v>
      </c>
      <c r="D6178">
        <v>1039</v>
      </c>
    </row>
    <row r="6179" spans="1:4" x14ac:dyDescent="0.25">
      <c r="A6179" s="279">
        <v>39241</v>
      </c>
      <c r="B6179" s="309" t="s">
        <v>411</v>
      </c>
      <c r="C6179" s="309" t="s">
        <v>406</v>
      </c>
      <c r="D6179">
        <v>166234</v>
      </c>
    </row>
    <row r="6180" spans="1:4" x14ac:dyDescent="0.25">
      <c r="A6180" s="279">
        <v>39241</v>
      </c>
      <c r="B6180" s="309" t="s">
        <v>411</v>
      </c>
      <c r="C6180" s="309" t="s">
        <v>198</v>
      </c>
      <c r="D6180">
        <v>0</v>
      </c>
    </row>
    <row r="6181" spans="1:4" x14ac:dyDescent="0.25">
      <c r="A6181" s="279">
        <v>39241</v>
      </c>
      <c r="B6181" s="309" t="s">
        <v>411</v>
      </c>
      <c r="C6181" s="309" t="s">
        <v>199</v>
      </c>
      <c r="D6181">
        <v>0</v>
      </c>
    </row>
    <row r="6182" spans="1:4" x14ac:dyDescent="0.25">
      <c r="A6182" s="279">
        <v>39241</v>
      </c>
      <c r="B6182" s="309" t="s">
        <v>411</v>
      </c>
      <c r="C6182" s="309" t="s">
        <v>90</v>
      </c>
      <c r="D6182">
        <v>63</v>
      </c>
    </row>
    <row r="6183" spans="1:4" x14ac:dyDescent="0.25">
      <c r="A6183" s="279">
        <v>39241</v>
      </c>
      <c r="B6183" s="309" t="s">
        <v>411</v>
      </c>
      <c r="C6183" s="309" t="s">
        <v>24</v>
      </c>
      <c r="D6183">
        <v>0</v>
      </c>
    </row>
    <row r="6184" spans="1:4" x14ac:dyDescent="0.25">
      <c r="A6184" s="279">
        <v>39241</v>
      </c>
      <c r="B6184" s="309" t="s">
        <v>411</v>
      </c>
      <c r="C6184" s="309" t="s">
        <v>91</v>
      </c>
      <c r="D6184">
        <v>0</v>
      </c>
    </row>
    <row r="6185" spans="1:4" x14ac:dyDescent="0.25">
      <c r="A6185" s="279">
        <v>39241</v>
      </c>
      <c r="B6185" s="309" t="s">
        <v>411</v>
      </c>
      <c r="C6185" s="309" t="s">
        <v>118</v>
      </c>
      <c r="D6185">
        <v>0</v>
      </c>
    </row>
    <row r="6186" spans="1:4" x14ac:dyDescent="0.25">
      <c r="A6186" s="279">
        <v>39241</v>
      </c>
      <c r="B6186" s="309" t="s">
        <v>411</v>
      </c>
      <c r="C6186" s="309" t="s">
        <v>407</v>
      </c>
      <c r="D6186">
        <v>166171</v>
      </c>
    </row>
    <row r="6187" spans="1:4" x14ac:dyDescent="0.25">
      <c r="A6187" s="279">
        <v>39241</v>
      </c>
      <c r="B6187" s="309" t="s">
        <v>411</v>
      </c>
      <c r="C6187" s="309" t="s">
        <v>412</v>
      </c>
      <c r="D6187">
        <v>1007</v>
      </c>
    </row>
    <row r="6188" spans="1:4" x14ac:dyDescent="0.25">
      <c r="A6188" s="279">
        <v>39241</v>
      </c>
      <c r="B6188" s="309" t="s">
        <v>411</v>
      </c>
      <c r="C6188" s="309" t="s">
        <v>409</v>
      </c>
      <c r="D6188">
        <v>1049</v>
      </c>
    </row>
    <row r="6189" spans="1:4" x14ac:dyDescent="0.25">
      <c r="A6189" s="279">
        <v>39242</v>
      </c>
      <c r="B6189" s="309" t="s">
        <v>405</v>
      </c>
      <c r="C6189" s="309" t="s">
        <v>406</v>
      </c>
      <c r="D6189">
        <v>2765861.1</v>
      </c>
    </row>
    <row r="6190" spans="1:4" x14ac:dyDescent="0.25">
      <c r="A6190" s="279">
        <v>39242</v>
      </c>
      <c r="B6190" s="309" t="s">
        <v>405</v>
      </c>
      <c r="C6190" s="309" t="s">
        <v>89</v>
      </c>
      <c r="D6190">
        <v>5922</v>
      </c>
    </row>
    <row r="6191" spans="1:4" x14ac:dyDescent="0.25">
      <c r="A6191" s="279">
        <v>39242</v>
      </c>
      <c r="B6191" s="309" t="s">
        <v>405</v>
      </c>
      <c r="C6191" s="309" t="s">
        <v>198</v>
      </c>
      <c r="D6191">
        <v>0</v>
      </c>
    </row>
    <row r="6192" spans="1:4" x14ac:dyDescent="0.25">
      <c r="A6192" s="279">
        <v>39242</v>
      </c>
      <c r="B6192" s="309" t="s">
        <v>405</v>
      </c>
      <c r="C6192" s="309" t="s">
        <v>199</v>
      </c>
      <c r="D6192">
        <v>0</v>
      </c>
    </row>
    <row r="6193" spans="1:4" x14ac:dyDescent="0.25">
      <c r="A6193" s="279">
        <v>39242</v>
      </c>
      <c r="B6193" s="309" t="s">
        <v>405</v>
      </c>
      <c r="C6193" s="309" t="s">
        <v>90</v>
      </c>
      <c r="D6193">
        <v>1920</v>
      </c>
    </row>
    <row r="6194" spans="1:4" x14ac:dyDescent="0.25">
      <c r="A6194" s="279">
        <v>39242</v>
      </c>
      <c r="B6194" s="309" t="s">
        <v>405</v>
      </c>
      <c r="C6194" s="309" t="s">
        <v>24</v>
      </c>
      <c r="D6194">
        <v>0</v>
      </c>
    </row>
    <row r="6195" spans="1:4" x14ac:dyDescent="0.25">
      <c r="A6195" s="279">
        <v>39242</v>
      </c>
      <c r="B6195" s="309" t="s">
        <v>405</v>
      </c>
      <c r="C6195" s="309" t="s">
        <v>91</v>
      </c>
      <c r="D6195">
        <v>0</v>
      </c>
    </row>
    <row r="6196" spans="1:4" x14ac:dyDescent="0.25">
      <c r="A6196" s="279">
        <v>39242</v>
      </c>
      <c r="B6196" s="309" t="s">
        <v>405</v>
      </c>
      <c r="C6196" s="309" t="s">
        <v>118</v>
      </c>
      <c r="D6196">
        <v>0</v>
      </c>
    </row>
    <row r="6197" spans="1:4" x14ac:dyDescent="0.25">
      <c r="A6197" s="279">
        <v>39242</v>
      </c>
      <c r="B6197" s="309" t="s">
        <v>405</v>
      </c>
      <c r="C6197" s="309" t="s">
        <v>407</v>
      </c>
      <c r="D6197">
        <v>2769863.1</v>
      </c>
    </row>
    <row r="6198" spans="1:4" x14ac:dyDescent="0.25">
      <c r="A6198" s="279">
        <v>39242</v>
      </c>
      <c r="B6198" s="309" t="s">
        <v>405</v>
      </c>
      <c r="C6198" s="309" t="s">
        <v>408</v>
      </c>
      <c r="D6198">
        <v>1007</v>
      </c>
    </row>
    <row r="6199" spans="1:4" x14ac:dyDescent="0.25">
      <c r="A6199" s="279">
        <v>39242</v>
      </c>
      <c r="B6199" s="309" t="s">
        <v>405</v>
      </c>
      <c r="C6199" s="309" t="s">
        <v>409</v>
      </c>
      <c r="D6199">
        <v>1058</v>
      </c>
    </row>
    <row r="6200" spans="1:4" x14ac:dyDescent="0.25">
      <c r="A6200" s="279">
        <v>39242</v>
      </c>
      <c r="B6200" s="309" t="s">
        <v>405</v>
      </c>
      <c r="C6200" s="309" t="s">
        <v>410</v>
      </c>
      <c r="D6200">
        <v>1038</v>
      </c>
    </row>
    <row r="6201" spans="1:4" x14ac:dyDescent="0.25">
      <c r="A6201" s="279">
        <v>39242</v>
      </c>
      <c r="B6201" s="309" t="s">
        <v>411</v>
      </c>
      <c r="C6201" s="309" t="s">
        <v>406</v>
      </c>
      <c r="D6201">
        <v>166171</v>
      </c>
    </row>
    <row r="6202" spans="1:4" x14ac:dyDescent="0.25">
      <c r="A6202" s="279">
        <v>39242</v>
      </c>
      <c r="B6202" s="309" t="s">
        <v>411</v>
      </c>
      <c r="C6202" s="309" t="s">
        <v>198</v>
      </c>
      <c r="D6202">
        <v>0</v>
      </c>
    </row>
    <row r="6203" spans="1:4" x14ac:dyDescent="0.25">
      <c r="A6203" s="279">
        <v>39242</v>
      </c>
      <c r="B6203" s="309" t="s">
        <v>411</v>
      </c>
      <c r="C6203" s="309" t="s">
        <v>199</v>
      </c>
      <c r="D6203">
        <v>0</v>
      </c>
    </row>
    <row r="6204" spans="1:4" x14ac:dyDescent="0.25">
      <c r="A6204" s="279">
        <v>39242</v>
      </c>
      <c r="B6204" s="309" t="s">
        <v>411</v>
      </c>
      <c r="C6204" s="309" t="s">
        <v>90</v>
      </c>
      <c r="D6204">
        <v>53</v>
      </c>
    </row>
    <row r="6205" spans="1:4" x14ac:dyDescent="0.25">
      <c r="A6205" s="279">
        <v>39242</v>
      </c>
      <c r="B6205" s="309" t="s">
        <v>411</v>
      </c>
      <c r="C6205" s="309" t="s">
        <v>24</v>
      </c>
      <c r="D6205">
        <v>0</v>
      </c>
    </row>
    <row r="6206" spans="1:4" x14ac:dyDescent="0.25">
      <c r="A6206" s="279">
        <v>39242</v>
      </c>
      <c r="B6206" s="309" t="s">
        <v>411</v>
      </c>
      <c r="C6206" s="309" t="s">
        <v>91</v>
      </c>
      <c r="D6206">
        <v>0</v>
      </c>
    </row>
    <row r="6207" spans="1:4" x14ac:dyDescent="0.25">
      <c r="A6207" s="279">
        <v>39242</v>
      </c>
      <c r="B6207" s="309" t="s">
        <v>411</v>
      </c>
      <c r="C6207" s="309" t="s">
        <v>118</v>
      </c>
      <c r="D6207">
        <v>0</v>
      </c>
    </row>
    <row r="6208" spans="1:4" x14ac:dyDescent="0.25">
      <c r="A6208" s="279">
        <v>39242</v>
      </c>
      <c r="B6208" s="309" t="s">
        <v>411</v>
      </c>
      <c r="C6208" s="309" t="s">
        <v>407</v>
      </c>
      <c r="D6208">
        <v>166118</v>
      </c>
    </row>
    <row r="6209" spans="1:4" x14ac:dyDescent="0.25">
      <c r="A6209" s="279">
        <v>39242</v>
      </c>
      <c r="B6209" s="309" t="s">
        <v>411</v>
      </c>
      <c r="C6209" s="309" t="s">
        <v>412</v>
      </c>
      <c r="D6209">
        <v>1007</v>
      </c>
    </row>
    <row r="6210" spans="1:4" x14ac:dyDescent="0.25">
      <c r="A6210" s="279">
        <v>39242</v>
      </c>
      <c r="B6210" s="309" t="s">
        <v>411</v>
      </c>
      <c r="C6210" s="309" t="s">
        <v>409</v>
      </c>
      <c r="D6210">
        <v>1049</v>
      </c>
    </row>
    <row r="6211" spans="1:4" x14ac:dyDescent="0.25">
      <c r="A6211" s="279">
        <v>39243</v>
      </c>
      <c r="B6211" s="309" t="s">
        <v>405</v>
      </c>
      <c r="C6211" s="309" t="s">
        <v>406</v>
      </c>
      <c r="D6211">
        <v>2769863.1</v>
      </c>
    </row>
    <row r="6212" spans="1:4" x14ac:dyDescent="0.25">
      <c r="A6212" s="279">
        <v>39243</v>
      </c>
      <c r="B6212" s="309" t="s">
        <v>405</v>
      </c>
      <c r="C6212" s="309" t="s">
        <v>89</v>
      </c>
      <c r="D6212">
        <v>6486</v>
      </c>
    </row>
    <row r="6213" spans="1:4" x14ac:dyDescent="0.25">
      <c r="A6213" s="279">
        <v>39243</v>
      </c>
      <c r="B6213" s="309" t="s">
        <v>405</v>
      </c>
      <c r="C6213" s="309" t="s">
        <v>198</v>
      </c>
      <c r="D6213">
        <v>0</v>
      </c>
    </row>
    <row r="6214" spans="1:4" x14ac:dyDescent="0.25">
      <c r="A6214" s="279">
        <v>39243</v>
      </c>
      <c r="B6214" s="309" t="s">
        <v>405</v>
      </c>
      <c r="C6214" s="309" t="s">
        <v>199</v>
      </c>
      <c r="D6214">
        <v>0</v>
      </c>
    </row>
    <row r="6215" spans="1:4" x14ac:dyDescent="0.25">
      <c r="A6215" s="279">
        <v>39243</v>
      </c>
      <c r="B6215" s="309" t="s">
        <v>405</v>
      </c>
      <c r="C6215" s="309" t="s">
        <v>90</v>
      </c>
      <c r="D6215">
        <v>1949</v>
      </c>
    </row>
    <row r="6216" spans="1:4" x14ac:dyDescent="0.25">
      <c r="A6216" s="279">
        <v>39243</v>
      </c>
      <c r="B6216" s="309" t="s">
        <v>405</v>
      </c>
      <c r="C6216" s="309" t="s">
        <v>24</v>
      </c>
      <c r="D6216">
        <v>0</v>
      </c>
    </row>
    <row r="6217" spans="1:4" x14ac:dyDescent="0.25">
      <c r="A6217" s="279">
        <v>39243</v>
      </c>
      <c r="B6217" s="309" t="s">
        <v>405</v>
      </c>
      <c r="C6217" s="309" t="s">
        <v>91</v>
      </c>
      <c r="D6217">
        <v>0</v>
      </c>
    </row>
    <row r="6218" spans="1:4" x14ac:dyDescent="0.25">
      <c r="A6218" s="279">
        <v>39243</v>
      </c>
      <c r="B6218" s="309" t="s">
        <v>405</v>
      </c>
      <c r="C6218" s="309" t="s">
        <v>118</v>
      </c>
      <c r="D6218">
        <v>0</v>
      </c>
    </row>
    <row r="6219" spans="1:4" x14ac:dyDescent="0.25">
      <c r="A6219" s="279">
        <v>39243</v>
      </c>
      <c r="B6219" s="309" t="s">
        <v>405</v>
      </c>
      <c r="C6219" s="309" t="s">
        <v>407</v>
      </c>
      <c r="D6219">
        <v>2774400.1</v>
      </c>
    </row>
    <row r="6220" spans="1:4" x14ac:dyDescent="0.25">
      <c r="A6220" s="279">
        <v>39243</v>
      </c>
      <c r="B6220" s="309" t="s">
        <v>405</v>
      </c>
      <c r="C6220" s="309" t="s">
        <v>408</v>
      </c>
      <c r="D6220">
        <v>1007</v>
      </c>
    </row>
    <row r="6221" spans="1:4" x14ac:dyDescent="0.25">
      <c r="A6221" s="279">
        <v>39243</v>
      </c>
      <c r="B6221" s="309" t="s">
        <v>405</v>
      </c>
      <c r="C6221" s="309" t="s">
        <v>409</v>
      </c>
      <c r="D6221">
        <v>1058</v>
      </c>
    </row>
    <row r="6222" spans="1:4" x14ac:dyDescent="0.25">
      <c r="A6222" s="279">
        <v>39243</v>
      </c>
      <c r="B6222" s="309" t="s">
        <v>405</v>
      </c>
      <c r="C6222" s="309" t="s">
        <v>410</v>
      </c>
      <c r="D6222">
        <v>1044</v>
      </c>
    </row>
    <row r="6223" spans="1:4" x14ac:dyDescent="0.25">
      <c r="A6223" s="279">
        <v>39243</v>
      </c>
      <c r="B6223" s="309" t="s">
        <v>411</v>
      </c>
      <c r="C6223" s="309" t="s">
        <v>406</v>
      </c>
      <c r="D6223">
        <v>166118</v>
      </c>
    </row>
    <row r="6224" spans="1:4" x14ac:dyDescent="0.25">
      <c r="A6224" s="279">
        <v>39243</v>
      </c>
      <c r="B6224" s="309" t="s">
        <v>411</v>
      </c>
      <c r="C6224" s="309" t="s">
        <v>198</v>
      </c>
      <c r="D6224">
        <v>0</v>
      </c>
    </row>
    <row r="6225" spans="1:4" x14ac:dyDescent="0.25">
      <c r="A6225" s="279">
        <v>39243</v>
      </c>
      <c r="B6225" s="309" t="s">
        <v>411</v>
      </c>
      <c r="C6225" s="309" t="s">
        <v>199</v>
      </c>
      <c r="D6225">
        <v>0</v>
      </c>
    </row>
    <row r="6226" spans="1:4" x14ac:dyDescent="0.25">
      <c r="A6226" s="279">
        <v>39243</v>
      </c>
      <c r="B6226" s="309" t="s">
        <v>411</v>
      </c>
      <c r="C6226" s="309" t="s">
        <v>90</v>
      </c>
      <c r="D6226">
        <v>58</v>
      </c>
    </row>
    <row r="6227" spans="1:4" x14ac:dyDescent="0.25">
      <c r="A6227" s="279">
        <v>39243</v>
      </c>
      <c r="B6227" s="309" t="s">
        <v>411</v>
      </c>
      <c r="C6227" s="309" t="s">
        <v>24</v>
      </c>
      <c r="D6227">
        <v>0</v>
      </c>
    </row>
    <row r="6228" spans="1:4" x14ac:dyDescent="0.25">
      <c r="A6228" s="279">
        <v>39243</v>
      </c>
      <c r="B6228" s="309" t="s">
        <v>411</v>
      </c>
      <c r="C6228" s="309" t="s">
        <v>91</v>
      </c>
      <c r="D6228">
        <v>0</v>
      </c>
    </row>
    <row r="6229" spans="1:4" x14ac:dyDescent="0.25">
      <c r="A6229" s="279">
        <v>39243</v>
      </c>
      <c r="B6229" s="309" t="s">
        <v>411</v>
      </c>
      <c r="C6229" s="309" t="s">
        <v>118</v>
      </c>
      <c r="D6229">
        <v>0</v>
      </c>
    </row>
    <row r="6230" spans="1:4" x14ac:dyDescent="0.25">
      <c r="A6230" s="279">
        <v>39243</v>
      </c>
      <c r="B6230" s="309" t="s">
        <v>411</v>
      </c>
      <c r="C6230" s="309" t="s">
        <v>407</v>
      </c>
      <c r="D6230">
        <v>166060</v>
      </c>
    </row>
    <row r="6231" spans="1:4" x14ac:dyDescent="0.25">
      <c r="A6231" s="279">
        <v>39243</v>
      </c>
      <c r="B6231" s="309" t="s">
        <v>411</v>
      </c>
      <c r="C6231" s="309" t="s">
        <v>412</v>
      </c>
      <c r="D6231">
        <v>1007</v>
      </c>
    </row>
    <row r="6232" spans="1:4" x14ac:dyDescent="0.25">
      <c r="A6232" s="279">
        <v>39243</v>
      </c>
      <c r="B6232" s="309" t="s">
        <v>411</v>
      </c>
      <c r="C6232" s="309" t="s">
        <v>409</v>
      </c>
      <c r="D6232">
        <v>1049</v>
      </c>
    </row>
    <row r="6233" spans="1:4" x14ac:dyDescent="0.25">
      <c r="A6233" s="279">
        <v>39244</v>
      </c>
      <c r="B6233" s="309" t="s">
        <v>405</v>
      </c>
      <c r="C6233" s="309" t="s">
        <v>406</v>
      </c>
      <c r="D6233">
        <v>2774400.1</v>
      </c>
    </row>
    <row r="6234" spans="1:4" x14ac:dyDescent="0.25">
      <c r="A6234" s="279">
        <v>39244</v>
      </c>
      <c r="B6234" s="309" t="s">
        <v>405</v>
      </c>
      <c r="C6234" s="309" t="s">
        <v>89</v>
      </c>
      <c r="D6234">
        <v>9016</v>
      </c>
    </row>
    <row r="6235" spans="1:4" x14ac:dyDescent="0.25">
      <c r="A6235" s="279">
        <v>39244</v>
      </c>
      <c r="B6235" s="309" t="s">
        <v>405</v>
      </c>
      <c r="C6235" s="309" t="s">
        <v>198</v>
      </c>
      <c r="D6235">
        <v>0</v>
      </c>
    </row>
    <row r="6236" spans="1:4" x14ac:dyDescent="0.25">
      <c r="A6236" s="279">
        <v>39244</v>
      </c>
      <c r="B6236" s="309" t="s">
        <v>405</v>
      </c>
      <c r="C6236" s="309" t="s">
        <v>199</v>
      </c>
      <c r="D6236">
        <v>0</v>
      </c>
    </row>
    <row r="6237" spans="1:4" x14ac:dyDescent="0.25">
      <c r="A6237" s="279">
        <v>39244</v>
      </c>
      <c r="B6237" s="309" t="s">
        <v>405</v>
      </c>
      <c r="C6237" s="309" t="s">
        <v>90</v>
      </c>
      <c r="D6237">
        <v>2077</v>
      </c>
    </row>
    <row r="6238" spans="1:4" x14ac:dyDescent="0.25">
      <c r="A6238" s="279">
        <v>39244</v>
      </c>
      <c r="B6238" s="309" t="s">
        <v>405</v>
      </c>
      <c r="C6238" s="309" t="s">
        <v>24</v>
      </c>
      <c r="D6238">
        <v>0</v>
      </c>
    </row>
    <row r="6239" spans="1:4" x14ac:dyDescent="0.25">
      <c r="A6239" s="279">
        <v>39244</v>
      </c>
      <c r="B6239" s="309" t="s">
        <v>405</v>
      </c>
      <c r="C6239" s="309" t="s">
        <v>91</v>
      </c>
      <c r="D6239">
        <v>0</v>
      </c>
    </row>
    <row r="6240" spans="1:4" x14ac:dyDescent="0.25">
      <c r="A6240" s="279">
        <v>39244</v>
      </c>
      <c r="B6240" s="309" t="s">
        <v>405</v>
      </c>
      <c r="C6240" s="309" t="s">
        <v>118</v>
      </c>
      <c r="D6240">
        <v>0</v>
      </c>
    </row>
    <row r="6241" spans="1:4" x14ac:dyDescent="0.25">
      <c r="A6241" s="279">
        <v>39244</v>
      </c>
      <c r="B6241" s="309" t="s">
        <v>405</v>
      </c>
      <c r="C6241" s="309" t="s">
        <v>407</v>
      </c>
      <c r="D6241">
        <v>2781339.1</v>
      </c>
    </row>
    <row r="6242" spans="1:4" x14ac:dyDescent="0.25">
      <c r="A6242" s="279">
        <v>39244</v>
      </c>
      <c r="B6242" s="309" t="s">
        <v>405</v>
      </c>
      <c r="C6242" s="309" t="s">
        <v>408</v>
      </c>
      <c r="D6242">
        <v>1007</v>
      </c>
    </row>
    <row r="6243" spans="1:4" x14ac:dyDescent="0.25">
      <c r="A6243" s="279">
        <v>39244</v>
      </c>
      <c r="B6243" s="309" t="s">
        <v>405</v>
      </c>
      <c r="C6243" s="309" t="s">
        <v>409</v>
      </c>
      <c r="D6243">
        <v>1058</v>
      </c>
    </row>
    <row r="6244" spans="1:4" x14ac:dyDescent="0.25">
      <c r="A6244" s="279">
        <v>39244</v>
      </c>
      <c r="B6244" s="309" t="s">
        <v>405</v>
      </c>
      <c r="C6244" s="309" t="s">
        <v>410</v>
      </c>
      <c r="D6244">
        <v>1045</v>
      </c>
    </row>
    <row r="6245" spans="1:4" x14ac:dyDescent="0.25">
      <c r="A6245" s="279">
        <v>39244</v>
      </c>
      <c r="B6245" s="309" t="s">
        <v>411</v>
      </c>
      <c r="C6245" s="309" t="s">
        <v>406</v>
      </c>
      <c r="D6245">
        <v>166060</v>
      </c>
    </row>
    <row r="6246" spans="1:4" x14ac:dyDescent="0.25">
      <c r="A6246" s="279">
        <v>39244</v>
      </c>
      <c r="B6246" s="309" t="s">
        <v>411</v>
      </c>
      <c r="C6246" s="309" t="s">
        <v>198</v>
      </c>
      <c r="D6246">
        <v>0</v>
      </c>
    </row>
    <row r="6247" spans="1:4" x14ac:dyDescent="0.25">
      <c r="A6247" s="279">
        <v>39244</v>
      </c>
      <c r="B6247" s="309" t="s">
        <v>411</v>
      </c>
      <c r="C6247" s="309" t="s">
        <v>199</v>
      </c>
      <c r="D6247">
        <v>0</v>
      </c>
    </row>
    <row r="6248" spans="1:4" x14ac:dyDescent="0.25">
      <c r="A6248" s="279">
        <v>39244</v>
      </c>
      <c r="B6248" s="309" t="s">
        <v>411</v>
      </c>
      <c r="C6248" s="309" t="s">
        <v>90</v>
      </c>
      <c r="D6248">
        <v>175</v>
      </c>
    </row>
    <row r="6249" spans="1:4" x14ac:dyDescent="0.25">
      <c r="A6249" s="279">
        <v>39244</v>
      </c>
      <c r="B6249" s="309" t="s">
        <v>411</v>
      </c>
      <c r="C6249" s="309" t="s">
        <v>24</v>
      </c>
      <c r="D6249">
        <v>0</v>
      </c>
    </row>
    <row r="6250" spans="1:4" x14ac:dyDescent="0.25">
      <c r="A6250" s="279">
        <v>39244</v>
      </c>
      <c r="B6250" s="309" t="s">
        <v>411</v>
      </c>
      <c r="C6250" s="309" t="s">
        <v>91</v>
      </c>
      <c r="D6250">
        <v>0</v>
      </c>
    </row>
    <row r="6251" spans="1:4" x14ac:dyDescent="0.25">
      <c r="A6251" s="279">
        <v>39244</v>
      </c>
      <c r="B6251" s="309" t="s">
        <v>411</v>
      </c>
      <c r="C6251" s="309" t="s">
        <v>118</v>
      </c>
      <c r="D6251">
        <v>0</v>
      </c>
    </row>
    <row r="6252" spans="1:4" x14ac:dyDescent="0.25">
      <c r="A6252" s="279">
        <v>39244</v>
      </c>
      <c r="B6252" s="309" t="s">
        <v>411</v>
      </c>
      <c r="C6252" s="309" t="s">
        <v>407</v>
      </c>
      <c r="D6252">
        <v>165885</v>
      </c>
    </row>
    <row r="6253" spans="1:4" x14ac:dyDescent="0.25">
      <c r="A6253" s="279">
        <v>39244</v>
      </c>
      <c r="B6253" s="309" t="s">
        <v>411</v>
      </c>
      <c r="C6253" s="309" t="s">
        <v>412</v>
      </c>
      <c r="D6253">
        <v>1007</v>
      </c>
    </row>
    <row r="6254" spans="1:4" x14ac:dyDescent="0.25">
      <c r="A6254" s="279">
        <v>39244</v>
      </c>
      <c r="B6254" s="309" t="s">
        <v>411</v>
      </c>
      <c r="C6254" s="309" t="s">
        <v>409</v>
      </c>
      <c r="D6254">
        <v>1049</v>
      </c>
    </row>
    <row r="6255" spans="1:4" x14ac:dyDescent="0.25">
      <c r="A6255" s="279">
        <v>39245</v>
      </c>
      <c r="B6255" s="309" t="s">
        <v>405</v>
      </c>
      <c r="C6255" s="309" t="s">
        <v>406</v>
      </c>
      <c r="D6255">
        <v>2781339.1</v>
      </c>
    </row>
    <row r="6256" spans="1:4" x14ac:dyDescent="0.25">
      <c r="A6256" s="279">
        <v>39245</v>
      </c>
      <c r="B6256" s="309" t="s">
        <v>405</v>
      </c>
      <c r="C6256" s="309" t="s">
        <v>89</v>
      </c>
      <c r="D6256">
        <v>4241</v>
      </c>
    </row>
    <row r="6257" spans="1:4" x14ac:dyDescent="0.25">
      <c r="A6257" s="279">
        <v>39245</v>
      </c>
      <c r="B6257" s="309" t="s">
        <v>405</v>
      </c>
      <c r="C6257" s="309" t="s">
        <v>198</v>
      </c>
      <c r="D6257">
        <v>0</v>
      </c>
    </row>
    <row r="6258" spans="1:4" x14ac:dyDescent="0.25">
      <c r="A6258" s="279">
        <v>39245</v>
      </c>
      <c r="B6258" s="309" t="s">
        <v>405</v>
      </c>
      <c r="C6258" s="309" t="s">
        <v>199</v>
      </c>
      <c r="D6258">
        <v>0</v>
      </c>
    </row>
    <row r="6259" spans="1:4" x14ac:dyDescent="0.25">
      <c r="A6259" s="279">
        <v>39245</v>
      </c>
      <c r="B6259" s="309" t="s">
        <v>405</v>
      </c>
      <c r="C6259" s="309" t="s">
        <v>90</v>
      </c>
      <c r="D6259">
        <v>1839</v>
      </c>
    </row>
    <row r="6260" spans="1:4" x14ac:dyDescent="0.25">
      <c r="A6260" s="279">
        <v>39245</v>
      </c>
      <c r="B6260" s="309" t="s">
        <v>405</v>
      </c>
      <c r="C6260" s="309" t="s">
        <v>24</v>
      </c>
      <c r="D6260">
        <v>0</v>
      </c>
    </row>
    <row r="6261" spans="1:4" x14ac:dyDescent="0.25">
      <c r="A6261" s="279">
        <v>39245</v>
      </c>
      <c r="B6261" s="309" t="s">
        <v>405</v>
      </c>
      <c r="C6261" s="309" t="s">
        <v>91</v>
      </c>
      <c r="D6261">
        <v>0</v>
      </c>
    </row>
    <row r="6262" spans="1:4" x14ac:dyDescent="0.25">
      <c r="A6262" s="279">
        <v>39245</v>
      </c>
      <c r="B6262" s="309" t="s">
        <v>405</v>
      </c>
      <c r="C6262" s="309" t="s">
        <v>118</v>
      </c>
      <c r="D6262">
        <v>0</v>
      </c>
    </row>
    <row r="6263" spans="1:4" x14ac:dyDescent="0.25">
      <c r="A6263" s="279">
        <v>39245</v>
      </c>
      <c r="B6263" s="309" t="s">
        <v>405</v>
      </c>
      <c r="C6263" s="309" t="s">
        <v>407</v>
      </c>
      <c r="D6263">
        <v>2783741.1</v>
      </c>
    </row>
    <row r="6264" spans="1:4" x14ac:dyDescent="0.25">
      <c r="A6264" s="279">
        <v>39245</v>
      </c>
      <c r="B6264" s="309" t="s">
        <v>405</v>
      </c>
      <c r="C6264" s="309" t="s">
        <v>408</v>
      </c>
      <c r="D6264">
        <v>1007</v>
      </c>
    </row>
    <row r="6265" spans="1:4" x14ac:dyDescent="0.25">
      <c r="A6265" s="279">
        <v>39245</v>
      </c>
      <c r="B6265" s="309" t="s">
        <v>405</v>
      </c>
      <c r="C6265" s="309" t="s">
        <v>409</v>
      </c>
      <c r="D6265">
        <v>1058</v>
      </c>
    </row>
    <row r="6266" spans="1:4" x14ac:dyDescent="0.25">
      <c r="A6266" s="279">
        <v>39245</v>
      </c>
      <c r="B6266" s="309" t="s">
        <v>405</v>
      </c>
      <c r="C6266" s="309" t="s">
        <v>410</v>
      </c>
      <c r="D6266">
        <v>1042</v>
      </c>
    </row>
    <row r="6267" spans="1:4" x14ac:dyDescent="0.25">
      <c r="A6267" s="279">
        <v>39245</v>
      </c>
      <c r="B6267" s="309" t="s">
        <v>411</v>
      </c>
      <c r="C6267" s="309" t="s">
        <v>406</v>
      </c>
      <c r="D6267">
        <v>165885</v>
      </c>
    </row>
    <row r="6268" spans="1:4" x14ac:dyDescent="0.25">
      <c r="A6268" s="279">
        <v>39245</v>
      </c>
      <c r="B6268" s="309" t="s">
        <v>411</v>
      </c>
      <c r="C6268" s="309" t="s">
        <v>198</v>
      </c>
      <c r="D6268">
        <v>0</v>
      </c>
    </row>
    <row r="6269" spans="1:4" x14ac:dyDescent="0.25">
      <c r="A6269" s="279">
        <v>39245</v>
      </c>
      <c r="B6269" s="309" t="s">
        <v>411</v>
      </c>
      <c r="C6269" s="309" t="s">
        <v>199</v>
      </c>
      <c r="D6269">
        <v>0</v>
      </c>
    </row>
    <row r="6270" spans="1:4" x14ac:dyDescent="0.25">
      <c r="A6270" s="279">
        <v>39245</v>
      </c>
      <c r="B6270" s="309" t="s">
        <v>411</v>
      </c>
      <c r="C6270" s="309" t="s">
        <v>90</v>
      </c>
      <c r="D6270">
        <v>50</v>
      </c>
    </row>
    <row r="6271" spans="1:4" x14ac:dyDescent="0.25">
      <c r="A6271" s="279">
        <v>39245</v>
      </c>
      <c r="B6271" s="309" t="s">
        <v>411</v>
      </c>
      <c r="C6271" s="309" t="s">
        <v>24</v>
      </c>
      <c r="D6271">
        <v>0</v>
      </c>
    </row>
    <row r="6272" spans="1:4" x14ac:dyDescent="0.25">
      <c r="A6272" s="279">
        <v>39245</v>
      </c>
      <c r="B6272" s="309" t="s">
        <v>411</v>
      </c>
      <c r="C6272" s="309" t="s">
        <v>91</v>
      </c>
      <c r="D6272">
        <v>0</v>
      </c>
    </row>
    <row r="6273" spans="1:4" x14ac:dyDescent="0.25">
      <c r="A6273" s="279">
        <v>39245</v>
      </c>
      <c r="B6273" s="309" t="s">
        <v>411</v>
      </c>
      <c r="C6273" s="309" t="s">
        <v>118</v>
      </c>
      <c r="D6273">
        <v>0</v>
      </c>
    </row>
    <row r="6274" spans="1:4" x14ac:dyDescent="0.25">
      <c r="A6274" s="279">
        <v>39245</v>
      </c>
      <c r="B6274" s="309" t="s">
        <v>411</v>
      </c>
      <c r="C6274" s="309" t="s">
        <v>407</v>
      </c>
      <c r="D6274">
        <v>165835</v>
      </c>
    </row>
    <row r="6275" spans="1:4" x14ac:dyDescent="0.25">
      <c r="A6275" s="279">
        <v>39245</v>
      </c>
      <c r="B6275" s="309" t="s">
        <v>411</v>
      </c>
      <c r="C6275" s="309" t="s">
        <v>412</v>
      </c>
      <c r="D6275">
        <v>1007</v>
      </c>
    </row>
    <row r="6276" spans="1:4" x14ac:dyDescent="0.25">
      <c r="A6276" s="279">
        <v>39245</v>
      </c>
      <c r="B6276" s="309" t="s">
        <v>411</v>
      </c>
      <c r="C6276" s="309" t="s">
        <v>409</v>
      </c>
      <c r="D6276">
        <v>1049</v>
      </c>
    </row>
    <row r="6277" spans="1:4" x14ac:dyDescent="0.25">
      <c r="A6277" s="279">
        <v>39246</v>
      </c>
      <c r="B6277" s="309" t="s">
        <v>405</v>
      </c>
      <c r="C6277" s="309" t="s">
        <v>406</v>
      </c>
      <c r="D6277">
        <v>2783741.1</v>
      </c>
    </row>
    <row r="6278" spans="1:4" x14ac:dyDescent="0.25">
      <c r="A6278" s="279">
        <v>39246</v>
      </c>
      <c r="B6278" s="309" t="s">
        <v>405</v>
      </c>
      <c r="C6278" s="309" t="s">
        <v>89</v>
      </c>
      <c r="D6278">
        <v>5929</v>
      </c>
    </row>
    <row r="6279" spans="1:4" x14ac:dyDescent="0.25">
      <c r="A6279" s="279">
        <v>39246</v>
      </c>
      <c r="B6279" s="309" t="s">
        <v>405</v>
      </c>
      <c r="C6279" s="309" t="s">
        <v>198</v>
      </c>
      <c r="D6279">
        <v>0</v>
      </c>
    </row>
    <row r="6280" spans="1:4" x14ac:dyDescent="0.25">
      <c r="A6280" s="279">
        <v>39246</v>
      </c>
      <c r="B6280" s="309" t="s">
        <v>405</v>
      </c>
      <c r="C6280" s="309" t="s">
        <v>199</v>
      </c>
      <c r="D6280">
        <v>0</v>
      </c>
    </row>
    <row r="6281" spans="1:4" x14ac:dyDescent="0.25">
      <c r="A6281" s="279">
        <v>39246</v>
      </c>
      <c r="B6281" s="309" t="s">
        <v>405</v>
      </c>
      <c r="C6281" s="309" t="s">
        <v>90</v>
      </c>
      <c r="D6281">
        <v>1925</v>
      </c>
    </row>
    <row r="6282" spans="1:4" x14ac:dyDescent="0.25">
      <c r="A6282" s="279">
        <v>39246</v>
      </c>
      <c r="B6282" s="309" t="s">
        <v>405</v>
      </c>
      <c r="C6282" s="309" t="s">
        <v>24</v>
      </c>
      <c r="D6282">
        <v>0</v>
      </c>
    </row>
    <row r="6283" spans="1:4" x14ac:dyDescent="0.25">
      <c r="A6283" s="279">
        <v>39246</v>
      </c>
      <c r="B6283" s="309" t="s">
        <v>405</v>
      </c>
      <c r="C6283" s="309" t="s">
        <v>91</v>
      </c>
      <c r="D6283">
        <v>0</v>
      </c>
    </row>
    <row r="6284" spans="1:4" x14ac:dyDescent="0.25">
      <c r="A6284" s="279">
        <v>39246</v>
      </c>
      <c r="B6284" s="309" t="s">
        <v>405</v>
      </c>
      <c r="C6284" s="309" t="s">
        <v>118</v>
      </c>
      <c r="D6284">
        <v>0</v>
      </c>
    </row>
    <row r="6285" spans="1:4" x14ac:dyDescent="0.25">
      <c r="A6285" s="279">
        <v>39246</v>
      </c>
      <c r="B6285" s="309" t="s">
        <v>405</v>
      </c>
      <c r="C6285" s="309" t="s">
        <v>407</v>
      </c>
      <c r="D6285">
        <v>2787745.1</v>
      </c>
    </row>
    <row r="6286" spans="1:4" x14ac:dyDescent="0.25">
      <c r="A6286" s="279">
        <v>39246</v>
      </c>
      <c r="B6286" s="309" t="s">
        <v>405</v>
      </c>
      <c r="C6286" s="309" t="s">
        <v>408</v>
      </c>
      <c r="D6286">
        <v>1007</v>
      </c>
    </row>
    <row r="6287" spans="1:4" x14ac:dyDescent="0.25">
      <c r="A6287" s="279">
        <v>39246</v>
      </c>
      <c r="B6287" s="309" t="s">
        <v>405</v>
      </c>
      <c r="C6287" s="309" t="s">
        <v>409</v>
      </c>
      <c r="D6287">
        <v>1058</v>
      </c>
    </row>
    <row r="6288" spans="1:4" x14ac:dyDescent="0.25">
      <c r="A6288" s="279">
        <v>39246</v>
      </c>
      <c r="B6288" s="309" t="s">
        <v>405</v>
      </c>
      <c r="C6288" s="309" t="s">
        <v>410</v>
      </c>
      <c r="D6288">
        <v>1043</v>
      </c>
    </row>
    <row r="6289" spans="1:4" x14ac:dyDescent="0.25">
      <c r="A6289" s="279">
        <v>39246</v>
      </c>
      <c r="B6289" s="309" t="s">
        <v>411</v>
      </c>
      <c r="C6289" s="309" t="s">
        <v>406</v>
      </c>
      <c r="D6289">
        <v>165835</v>
      </c>
    </row>
    <row r="6290" spans="1:4" x14ac:dyDescent="0.25">
      <c r="A6290" s="279">
        <v>39246</v>
      </c>
      <c r="B6290" s="309" t="s">
        <v>411</v>
      </c>
      <c r="C6290" s="309" t="s">
        <v>198</v>
      </c>
      <c r="D6290">
        <v>0</v>
      </c>
    </row>
    <row r="6291" spans="1:4" x14ac:dyDescent="0.25">
      <c r="A6291" s="279">
        <v>39246</v>
      </c>
      <c r="B6291" s="309" t="s">
        <v>411</v>
      </c>
      <c r="C6291" s="309" t="s">
        <v>199</v>
      </c>
      <c r="D6291">
        <v>0</v>
      </c>
    </row>
    <row r="6292" spans="1:4" x14ac:dyDescent="0.25">
      <c r="A6292" s="279">
        <v>39246</v>
      </c>
      <c r="B6292" s="309" t="s">
        <v>411</v>
      </c>
      <c r="C6292" s="309" t="s">
        <v>90</v>
      </c>
      <c r="D6292">
        <v>64</v>
      </c>
    </row>
    <row r="6293" spans="1:4" x14ac:dyDescent="0.25">
      <c r="A6293" s="279">
        <v>39246</v>
      </c>
      <c r="B6293" s="309" t="s">
        <v>411</v>
      </c>
      <c r="C6293" s="309" t="s">
        <v>24</v>
      </c>
      <c r="D6293">
        <v>0</v>
      </c>
    </row>
    <row r="6294" spans="1:4" x14ac:dyDescent="0.25">
      <c r="A6294" s="279">
        <v>39246</v>
      </c>
      <c r="B6294" s="309" t="s">
        <v>411</v>
      </c>
      <c r="C6294" s="309" t="s">
        <v>91</v>
      </c>
      <c r="D6294">
        <v>0</v>
      </c>
    </row>
    <row r="6295" spans="1:4" x14ac:dyDescent="0.25">
      <c r="A6295" s="279">
        <v>39246</v>
      </c>
      <c r="B6295" s="309" t="s">
        <v>411</v>
      </c>
      <c r="C6295" s="309" t="s">
        <v>118</v>
      </c>
      <c r="D6295">
        <v>0</v>
      </c>
    </row>
    <row r="6296" spans="1:4" x14ac:dyDescent="0.25">
      <c r="A6296" s="279">
        <v>39246</v>
      </c>
      <c r="B6296" s="309" t="s">
        <v>411</v>
      </c>
      <c r="C6296" s="309" t="s">
        <v>407</v>
      </c>
      <c r="D6296">
        <v>165771</v>
      </c>
    </row>
    <row r="6297" spans="1:4" x14ac:dyDescent="0.25">
      <c r="A6297" s="279">
        <v>39246</v>
      </c>
      <c r="B6297" s="309" t="s">
        <v>411</v>
      </c>
      <c r="C6297" s="309" t="s">
        <v>412</v>
      </c>
      <c r="D6297">
        <v>1007</v>
      </c>
    </row>
    <row r="6298" spans="1:4" x14ac:dyDescent="0.25">
      <c r="A6298" s="279">
        <v>39246</v>
      </c>
      <c r="B6298" s="309" t="s">
        <v>411</v>
      </c>
      <c r="C6298" s="309" t="s">
        <v>409</v>
      </c>
      <c r="D6298">
        <v>1049</v>
      </c>
    </row>
    <row r="6299" spans="1:4" x14ac:dyDescent="0.25">
      <c r="A6299" s="279">
        <v>39247</v>
      </c>
      <c r="B6299" s="309" t="s">
        <v>405</v>
      </c>
      <c r="C6299" s="309" t="s">
        <v>406</v>
      </c>
      <c r="D6299">
        <v>2787745.1</v>
      </c>
    </row>
    <row r="6300" spans="1:4" x14ac:dyDescent="0.25">
      <c r="A6300" s="279">
        <v>39247</v>
      </c>
      <c r="B6300" s="309" t="s">
        <v>405</v>
      </c>
      <c r="C6300" s="309" t="s">
        <v>89</v>
      </c>
      <c r="D6300">
        <v>6210</v>
      </c>
    </row>
    <row r="6301" spans="1:4" x14ac:dyDescent="0.25">
      <c r="A6301" s="279">
        <v>39247</v>
      </c>
      <c r="B6301" s="309" t="s">
        <v>405</v>
      </c>
      <c r="C6301" s="309" t="s">
        <v>198</v>
      </c>
      <c r="D6301">
        <v>0</v>
      </c>
    </row>
    <row r="6302" spans="1:4" x14ac:dyDescent="0.25">
      <c r="A6302" s="279">
        <v>39247</v>
      </c>
      <c r="B6302" s="309" t="s">
        <v>405</v>
      </c>
      <c r="C6302" s="309" t="s">
        <v>199</v>
      </c>
      <c r="D6302">
        <v>0</v>
      </c>
    </row>
    <row r="6303" spans="1:4" x14ac:dyDescent="0.25">
      <c r="A6303" s="279">
        <v>39247</v>
      </c>
      <c r="B6303" s="309" t="s">
        <v>405</v>
      </c>
      <c r="C6303" s="309" t="s">
        <v>90</v>
      </c>
      <c r="D6303">
        <v>1940</v>
      </c>
    </row>
    <row r="6304" spans="1:4" x14ac:dyDescent="0.25">
      <c r="A6304" s="279">
        <v>39247</v>
      </c>
      <c r="B6304" s="309" t="s">
        <v>405</v>
      </c>
      <c r="C6304" s="309" t="s">
        <v>24</v>
      </c>
      <c r="D6304">
        <v>0</v>
      </c>
    </row>
    <row r="6305" spans="1:4" x14ac:dyDescent="0.25">
      <c r="A6305" s="279">
        <v>39247</v>
      </c>
      <c r="B6305" s="309" t="s">
        <v>405</v>
      </c>
      <c r="C6305" s="309" t="s">
        <v>91</v>
      </c>
      <c r="D6305">
        <v>0</v>
      </c>
    </row>
    <row r="6306" spans="1:4" x14ac:dyDescent="0.25">
      <c r="A6306" s="279">
        <v>39247</v>
      </c>
      <c r="B6306" s="309" t="s">
        <v>405</v>
      </c>
      <c r="C6306" s="309" t="s">
        <v>118</v>
      </c>
      <c r="D6306">
        <v>0</v>
      </c>
    </row>
    <row r="6307" spans="1:4" x14ac:dyDescent="0.25">
      <c r="A6307" s="279">
        <v>39247</v>
      </c>
      <c r="B6307" s="309" t="s">
        <v>405</v>
      </c>
      <c r="C6307" s="309" t="s">
        <v>407</v>
      </c>
      <c r="D6307">
        <v>2792015.1</v>
      </c>
    </row>
    <row r="6308" spans="1:4" x14ac:dyDescent="0.25">
      <c r="A6308" s="279">
        <v>39247</v>
      </c>
      <c r="B6308" s="309" t="s">
        <v>405</v>
      </c>
      <c r="C6308" s="309" t="s">
        <v>408</v>
      </c>
      <c r="D6308">
        <v>1007</v>
      </c>
    </row>
    <row r="6309" spans="1:4" x14ac:dyDescent="0.25">
      <c r="A6309" s="279">
        <v>39247</v>
      </c>
      <c r="B6309" s="309" t="s">
        <v>405</v>
      </c>
      <c r="C6309" s="309" t="s">
        <v>409</v>
      </c>
      <c r="D6309">
        <v>1058</v>
      </c>
    </row>
    <row r="6310" spans="1:4" x14ac:dyDescent="0.25">
      <c r="A6310" s="279">
        <v>39247</v>
      </c>
      <c r="B6310" s="309" t="s">
        <v>405</v>
      </c>
      <c r="C6310" s="309" t="s">
        <v>410</v>
      </c>
      <c r="D6310">
        <v>1034</v>
      </c>
    </row>
    <row r="6311" spans="1:4" x14ac:dyDescent="0.25">
      <c r="A6311" s="279">
        <v>39247</v>
      </c>
      <c r="B6311" s="309" t="s">
        <v>411</v>
      </c>
      <c r="C6311" s="309" t="s">
        <v>406</v>
      </c>
      <c r="D6311">
        <v>165771</v>
      </c>
    </row>
    <row r="6312" spans="1:4" x14ac:dyDescent="0.25">
      <c r="A6312" s="279">
        <v>39247</v>
      </c>
      <c r="B6312" s="309" t="s">
        <v>411</v>
      </c>
      <c r="C6312" s="309" t="s">
        <v>198</v>
      </c>
      <c r="D6312">
        <v>0</v>
      </c>
    </row>
    <row r="6313" spans="1:4" x14ac:dyDescent="0.25">
      <c r="A6313" s="279">
        <v>39247</v>
      </c>
      <c r="B6313" s="309" t="s">
        <v>411</v>
      </c>
      <c r="C6313" s="309" t="s">
        <v>199</v>
      </c>
      <c r="D6313">
        <v>0</v>
      </c>
    </row>
    <row r="6314" spans="1:4" x14ac:dyDescent="0.25">
      <c r="A6314" s="279">
        <v>39247</v>
      </c>
      <c r="B6314" s="309" t="s">
        <v>411</v>
      </c>
      <c r="C6314" s="309" t="s">
        <v>90</v>
      </c>
      <c r="D6314">
        <v>64</v>
      </c>
    </row>
    <row r="6315" spans="1:4" x14ac:dyDescent="0.25">
      <c r="A6315" s="279">
        <v>39247</v>
      </c>
      <c r="B6315" s="309" t="s">
        <v>411</v>
      </c>
      <c r="C6315" s="309" t="s">
        <v>24</v>
      </c>
      <c r="D6315">
        <v>0</v>
      </c>
    </row>
    <row r="6316" spans="1:4" x14ac:dyDescent="0.25">
      <c r="A6316" s="279">
        <v>39247</v>
      </c>
      <c r="B6316" s="309" t="s">
        <v>411</v>
      </c>
      <c r="C6316" s="309" t="s">
        <v>91</v>
      </c>
      <c r="D6316">
        <v>0</v>
      </c>
    </row>
    <row r="6317" spans="1:4" x14ac:dyDescent="0.25">
      <c r="A6317" s="279">
        <v>39247</v>
      </c>
      <c r="B6317" s="309" t="s">
        <v>411</v>
      </c>
      <c r="C6317" s="309" t="s">
        <v>118</v>
      </c>
      <c r="D6317">
        <v>0</v>
      </c>
    </row>
    <row r="6318" spans="1:4" x14ac:dyDescent="0.25">
      <c r="A6318" s="279">
        <v>39247</v>
      </c>
      <c r="B6318" s="309" t="s">
        <v>411</v>
      </c>
      <c r="C6318" s="309" t="s">
        <v>407</v>
      </c>
      <c r="D6318">
        <v>165707</v>
      </c>
    </row>
    <row r="6319" spans="1:4" x14ac:dyDescent="0.25">
      <c r="A6319" s="279">
        <v>39247</v>
      </c>
      <c r="B6319" s="309" t="s">
        <v>411</v>
      </c>
      <c r="C6319" s="309" t="s">
        <v>412</v>
      </c>
      <c r="D6319">
        <v>1007</v>
      </c>
    </row>
    <row r="6320" spans="1:4" x14ac:dyDescent="0.25">
      <c r="A6320" s="279">
        <v>39247</v>
      </c>
      <c r="B6320" s="309" t="s">
        <v>411</v>
      </c>
      <c r="C6320" s="309" t="s">
        <v>409</v>
      </c>
      <c r="D6320">
        <v>1049</v>
      </c>
    </row>
    <row r="6321" spans="1:4" x14ac:dyDescent="0.25">
      <c r="A6321" s="279">
        <v>39248</v>
      </c>
      <c r="B6321" s="309" t="s">
        <v>405</v>
      </c>
      <c r="C6321" s="309" t="s">
        <v>406</v>
      </c>
      <c r="D6321">
        <v>2792015.1</v>
      </c>
    </row>
    <row r="6322" spans="1:4" x14ac:dyDescent="0.25">
      <c r="A6322" s="279">
        <v>39248</v>
      </c>
      <c r="B6322" s="309" t="s">
        <v>405</v>
      </c>
      <c r="C6322" s="309" t="s">
        <v>89</v>
      </c>
      <c r="D6322">
        <v>4245</v>
      </c>
    </row>
    <row r="6323" spans="1:4" x14ac:dyDescent="0.25">
      <c r="A6323" s="279">
        <v>39248</v>
      </c>
      <c r="B6323" s="309" t="s">
        <v>405</v>
      </c>
      <c r="C6323" s="309" t="s">
        <v>198</v>
      </c>
      <c r="D6323">
        <v>0</v>
      </c>
    </row>
    <row r="6324" spans="1:4" x14ac:dyDescent="0.25">
      <c r="A6324" s="279">
        <v>39248</v>
      </c>
      <c r="B6324" s="309" t="s">
        <v>405</v>
      </c>
      <c r="C6324" s="309" t="s">
        <v>199</v>
      </c>
      <c r="D6324">
        <v>0</v>
      </c>
    </row>
    <row r="6325" spans="1:4" x14ac:dyDescent="0.25">
      <c r="A6325" s="279">
        <v>39248</v>
      </c>
      <c r="B6325" s="309" t="s">
        <v>405</v>
      </c>
      <c r="C6325" s="309" t="s">
        <v>90</v>
      </c>
      <c r="D6325">
        <v>1843</v>
      </c>
    </row>
    <row r="6326" spans="1:4" x14ac:dyDescent="0.25">
      <c r="A6326" s="279">
        <v>39248</v>
      </c>
      <c r="B6326" s="309" t="s">
        <v>405</v>
      </c>
      <c r="C6326" s="309" t="s">
        <v>24</v>
      </c>
      <c r="D6326">
        <v>0</v>
      </c>
    </row>
    <row r="6327" spans="1:4" x14ac:dyDescent="0.25">
      <c r="A6327" s="279">
        <v>39248</v>
      </c>
      <c r="B6327" s="309" t="s">
        <v>405</v>
      </c>
      <c r="C6327" s="309" t="s">
        <v>91</v>
      </c>
      <c r="D6327">
        <v>0</v>
      </c>
    </row>
    <row r="6328" spans="1:4" x14ac:dyDescent="0.25">
      <c r="A6328" s="279">
        <v>39248</v>
      </c>
      <c r="B6328" s="309" t="s">
        <v>405</v>
      </c>
      <c r="C6328" s="309" t="s">
        <v>118</v>
      </c>
      <c r="D6328">
        <v>0</v>
      </c>
    </row>
    <row r="6329" spans="1:4" x14ac:dyDescent="0.25">
      <c r="A6329" s="279">
        <v>39248</v>
      </c>
      <c r="B6329" s="309" t="s">
        <v>405</v>
      </c>
      <c r="C6329" s="309" t="s">
        <v>407</v>
      </c>
      <c r="D6329">
        <v>2794417.1</v>
      </c>
    </row>
    <row r="6330" spans="1:4" x14ac:dyDescent="0.25">
      <c r="A6330" s="279">
        <v>39248</v>
      </c>
      <c r="B6330" s="309" t="s">
        <v>405</v>
      </c>
      <c r="C6330" s="309" t="s">
        <v>408</v>
      </c>
      <c r="D6330">
        <v>1007</v>
      </c>
    </row>
    <row r="6331" spans="1:4" x14ac:dyDescent="0.25">
      <c r="A6331" s="279">
        <v>39248</v>
      </c>
      <c r="B6331" s="309" t="s">
        <v>405</v>
      </c>
      <c r="C6331" s="309" t="s">
        <v>409</v>
      </c>
      <c r="D6331">
        <v>1058</v>
      </c>
    </row>
    <row r="6332" spans="1:4" x14ac:dyDescent="0.25">
      <c r="A6332" s="279">
        <v>39248</v>
      </c>
      <c r="B6332" s="309" t="s">
        <v>405</v>
      </c>
      <c r="C6332" s="309" t="s">
        <v>410</v>
      </c>
      <c r="D6332">
        <v>1038</v>
      </c>
    </row>
    <row r="6333" spans="1:4" x14ac:dyDescent="0.25">
      <c r="A6333" s="279">
        <v>39248</v>
      </c>
      <c r="B6333" s="309" t="s">
        <v>411</v>
      </c>
      <c r="C6333" s="309" t="s">
        <v>406</v>
      </c>
      <c r="D6333">
        <v>165707</v>
      </c>
    </row>
    <row r="6334" spans="1:4" x14ac:dyDescent="0.25">
      <c r="A6334" s="279">
        <v>39248</v>
      </c>
      <c r="B6334" s="309" t="s">
        <v>411</v>
      </c>
      <c r="C6334" s="309" t="s">
        <v>198</v>
      </c>
      <c r="D6334">
        <v>0</v>
      </c>
    </row>
    <row r="6335" spans="1:4" x14ac:dyDescent="0.25">
      <c r="A6335" s="279">
        <v>39248</v>
      </c>
      <c r="B6335" s="309" t="s">
        <v>411</v>
      </c>
      <c r="C6335" s="309" t="s">
        <v>199</v>
      </c>
      <c r="D6335">
        <v>0</v>
      </c>
    </row>
    <row r="6336" spans="1:4" x14ac:dyDescent="0.25">
      <c r="A6336" s="279">
        <v>39248</v>
      </c>
      <c r="B6336" s="309" t="s">
        <v>411</v>
      </c>
      <c r="C6336" s="309" t="s">
        <v>90</v>
      </c>
      <c r="D6336">
        <v>23</v>
      </c>
    </row>
    <row r="6337" spans="1:4" x14ac:dyDescent="0.25">
      <c r="A6337" s="279">
        <v>39248</v>
      </c>
      <c r="B6337" s="309" t="s">
        <v>411</v>
      </c>
      <c r="C6337" s="309" t="s">
        <v>24</v>
      </c>
      <c r="D6337">
        <v>0</v>
      </c>
    </row>
    <row r="6338" spans="1:4" x14ac:dyDescent="0.25">
      <c r="A6338" s="279">
        <v>39248</v>
      </c>
      <c r="B6338" s="309" t="s">
        <v>411</v>
      </c>
      <c r="C6338" s="309" t="s">
        <v>91</v>
      </c>
      <c r="D6338">
        <v>0</v>
      </c>
    </row>
    <row r="6339" spans="1:4" x14ac:dyDescent="0.25">
      <c r="A6339" s="279">
        <v>39248</v>
      </c>
      <c r="B6339" s="309" t="s">
        <v>411</v>
      </c>
      <c r="C6339" s="309" t="s">
        <v>118</v>
      </c>
      <c r="D6339">
        <v>0</v>
      </c>
    </row>
    <row r="6340" spans="1:4" x14ac:dyDescent="0.25">
      <c r="A6340" s="279">
        <v>39248</v>
      </c>
      <c r="B6340" s="309" t="s">
        <v>411</v>
      </c>
      <c r="C6340" s="309" t="s">
        <v>407</v>
      </c>
      <c r="D6340">
        <v>165684</v>
      </c>
    </row>
    <row r="6341" spans="1:4" x14ac:dyDescent="0.25">
      <c r="A6341" s="279">
        <v>39248</v>
      </c>
      <c r="B6341" s="309" t="s">
        <v>411</v>
      </c>
      <c r="C6341" s="309" t="s">
        <v>412</v>
      </c>
      <c r="D6341">
        <v>1007</v>
      </c>
    </row>
    <row r="6342" spans="1:4" x14ac:dyDescent="0.25">
      <c r="A6342" s="279">
        <v>39248</v>
      </c>
      <c r="B6342" s="309" t="s">
        <v>411</v>
      </c>
      <c r="C6342" s="309" t="s">
        <v>409</v>
      </c>
      <c r="D6342">
        <v>1049</v>
      </c>
    </row>
    <row r="6343" spans="1:4" x14ac:dyDescent="0.25">
      <c r="A6343" s="279">
        <v>39249</v>
      </c>
      <c r="B6343" s="309" t="s">
        <v>405</v>
      </c>
      <c r="C6343" s="309" t="s">
        <v>406</v>
      </c>
      <c r="D6343">
        <v>2794417.1</v>
      </c>
    </row>
    <row r="6344" spans="1:4" x14ac:dyDescent="0.25">
      <c r="A6344" s="279">
        <v>39249</v>
      </c>
      <c r="B6344" s="309" t="s">
        <v>405</v>
      </c>
      <c r="C6344" s="309" t="s">
        <v>89</v>
      </c>
      <c r="D6344">
        <v>3683</v>
      </c>
    </row>
    <row r="6345" spans="1:4" x14ac:dyDescent="0.25">
      <c r="A6345" s="279">
        <v>39249</v>
      </c>
      <c r="B6345" s="309" t="s">
        <v>405</v>
      </c>
      <c r="C6345" s="309" t="s">
        <v>198</v>
      </c>
      <c r="D6345">
        <v>0</v>
      </c>
    </row>
    <row r="6346" spans="1:4" x14ac:dyDescent="0.25">
      <c r="A6346" s="279">
        <v>39249</v>
      </c>
      <c r="B6346" s="309" t="s">
        <v>405</v>
      </c>
      <c r="C6346" s="309" t="s">
        <v>199</v>
      </c>
      <c r="D6346">
        <v>0</v>
      </c>
    </row>
    <row r="6347" spans="1:4" x14ac:dyDescent="0.25">
      <c r="A6347" s="279">
        <v>39249</v>
      </c>
      <c r="B6347" s="309" t="s">
        <v>405</v>
      </c>
      <c r="C6347" s="309" t="s">
        <v>90</v>
      </c>
      <c r="D6347">
        <v>1815</v>
      </c>
    </row>
    <row r="6348" spans="1:4" x14ac:dyDescent="0.25">
      <c r="A6348" s="279">
        <v>39249</v>
      </c>
      <c r="B6348" s="309" t="s">
        <v>405</v>
      </c>
      <c r="C6348" s="309" t="s">
        <v>24</v>
      </c>
      <c r="D6348">
        <v>0</v>
      </c>
    </row>
    <row r="6349" spans="1:4" x14ac:dyDescent="0.25">
      <c r="A6349" s="279">
        <v>39249</v>
      </c>
      <c r="B6349" s="309" t="s">
        <v>405</v>
      </c>
      <c r="C6349" s="309" t="s">
        <v>91</v>
      </c>
      <c r="D6349">
        <v>0</v>
      </c>
    </row>
    <row r="6350" spans="1:4" x14ac:dyDescent="0.25">
      <c r="A6350" s="279">
        <v>39249</v>
      </c>
      <c r="B6350" s="309" t="s">
        <v>405</v>
      </c>
      <c r="C6350" s="309" t="s">
        <v>118</v>
      </c>
      <c r="D6350">
        <v>0</v>
      </c>
    </row>
    <row r="6351" spans="1:4" x14ac:dyDescent="0.25">
      <c r="A6351" s="279">
        <v>39249</v>
      </c>
      <c r="B6351" s="309" t="s">
        <v>405</v>
      </c>
      <c r="C6351" s="309" t="s">
        <v>407</v>
      </c>
      <c r="D6351">
        <v>2796285.1</v>
      </c>
    </row>
    <row r="6352" spans="1:4" x14ac:dyDescent="0.25">
      <c r="A6352" s="279">
        <v>39249</v>
      </c>
      <c r="B6352" s="309" t="s">
        <v>405</v>
      </c>
      <c r="C6352" s="309" t="s">
        <v>408</v>
      </c>
      <c r="D6352">
        <v>1007</v>
      </c>
    </row>
    <row r="6353" spans="1:4" x14ac:dyDescent="0.25">
      <c r="A6353" s="279">
        <v>39249</v>
      </c>
      <c r="B6353" s="309" t="s">
        <v>405</v>
      </c>
      <c r="C6353" s="309" t="s">
        <v>409</v>
      </c>
      <c r="D6353">
        <v>1058</v>
      </c>
    </row>
    <row r="6354" spans="1:4" x14ac:dyDescent="0.25">
      <c r="A6354" s="279">
        <v>39249</v>
      </c>
      <c r="B6354" s="309" t="s">
        <v>405</v>
      </c>
      <c r="C6354" s="309" t="s">
        <v>410</v>
      </c>
      <c r="D6354">
        <v>1038</v>
      </c>
    </row>
    <row r="6355" spans="1:4" x14ac:dyDescent="0.25">
      <c r="A6355" s="279">
        <v>39249</v>
      </c>
      <c r="B6355" s="309" t="s">
        <v>411</v>
      </c>
      <c r="C6355" s="309" t="s">
        <v>406</v>
      </c>
      <c r="D6355">
        <v>165684</v>
      </c>
    </row>
    <row r="6356" spans="1:4" x14ac:dyDescent="0.25">
      <c r="A6356" s="279">
        <v>39249</v>
      </c>
      <c r="B6356" s="309" t="s">
        <v>411</v>
      </c>
      <c r="C6356" s="309" t="s">
        <v>198</v>
      </c>
      <c r="D6356">
        <v>0</v>
      </c>
    </row>
    <row r="6357" spans="1:4" x14ac:dyDescent="0.25">
      <c r="A6357" s="279">
        <v>39249</v>
      </c>
      <c r="B6357" s="309" t="s">
        <v>411</v>
      </c>
      <c r="C6357" s="309" t="s">
        <v>199</v>
      </c>
      <c r="D6357">
        <v>0</v>
      </c>
    </row>
    <row r="6358" spans="1:4" x14ac:dyDescent="0.25">
      <c r="A6358" s="279">
        <v>39249</v>
      </c>
      <c r="B6358" s="309" t="s">
        <v>411</v>
      </c>
      <c r="C6358" s="309" t="s">
        <v>90</v>
      </c>
      <c r="D6358">
        <v>68</v>
      </c>
    </row>
    <row r="6359" spans="1:4" x14ac:dyDescent="0.25">
      <c r="A6359" s="279">
        <v>39249</v>
      </c>
      <c r="B6359" s="309" t="s">
        <v>411</v>
      </c>
      <c r="C6359" s="309" t="s">
        <v>24</v>
      </c>
      <c r="D6359">
        <v>0</v>
      </c>
    </row>
    <row r="6360" spans="1:4" x14ac:dyDescent="0.25">
      <c r="A6360" s="279">
        <v>39249</v>
      </c>
      <c r="B6360" s="309" t="s">
        <v>411</v>
      </c>
      <c r="C6360" s="309" t="s">
        <v>91</v>
      </c>
      <c r="D6360">
        <v>0</v>
      </c>
    </row>
    <row r="6361" spans="1:4" x14ac:dyDescent="0.25">
      <c r="A6361" s="279">
        <v>39249</v>
      </c>
      <c r="B6361" s="309" t="s">
        <v>411</v>
      </c>
      <c r="C6361" s="309" t="s">
        <v>118</v>
      </c>
      <c r="D6361">
        <v>0</v>
      </c>
    </row>
    <row r="6362" spans="1:4" x14ac:dyDescent="0.25">
      <c r="A6362" s="279">
        <v>39249</v>
      </c>
      <c r="B6362" s="309" t="s">
        <v>411</v>
      </c>
      <c r="C6362" s="309" t="s">
        <v>407</v>
      </c>
      <c r="D6362">
        <v>165616</v>
      </c>
    </row>
    <row r="6363" spans="1:4" x14ac:dyDescent="0.25">
      <c r="A6363" s="279">
        <v>39249</v>
      </c>
      <c r="B6363" s="309" t="s">
        <v>411</v>
      </c>
      <c r="C6363" s="309" t="s">
        <v>412</v>
      </c>
      <c r="D6363">
        <v>1007</v>
      </c>
    </row>
    <row r="6364" spans="1:4" x14ac:dyDescent="0.25">
      <c r="A6364" s="279">
        <v>39249</v>
      </c>
      <c r="B6364" s="309" t="s">
        <v>411</v>
      </c>
      <c r="C6364" s="309" t="s">
        <v>409</v>
      </c>
      <c r="D6364">
        <v>1049</v>
      </c>
    </row>
    <row r="6365" spans="1:4" x14ac:dyDescent="0.25">
      <c r="A6365" s="279">
        <v>39250</v>
      </c>
      <c r="B6365" s="309" t="s">
        <v>405</v>
      </c>
      <c r="C6365" s="309" t="s">
        <v>406</v>
      </c>
      <c r="D6365">
        <v>2796285.1</v>
      </c>
    </row>
    <row r="6366" spans="1:4" x14ac:dyDescent="0.25">
      <c r="A6366" s="279">
        <v>39250</v>
      </c>
      <c r="B6366" s="309" t="s">
        <v>405</v>
      </c>
      <c r="C6366" s="309" t="s">
        <v>89</v>
      </c>
      <c r="D6366">
        <v>3403</v>
      </c>
    </row>
    <row r="6367" spans="1:4" x14ac:dyDescent="0.25">
      <c r="A6367" s="279">
        <v>39250</v>
      </c>
      <c r="B6367" s="309" t="s">
        <v>405</v>
      </c>
      <c r="C6367" s="309" t="s">
        <v>198</v>
      </c>
      <c r="D6367">
        <v>0</v>
      </c>
    </row>
    <row r="6368" spans="1:4" x14ac:dyDescent="0.25">
      <c r="A6368" s="279">
        <v>39250</v>
      </c>
      <c r="B6368" s="309" t="s">
        <v>405</v>
      </c>
      <c r="C6368" s="309" t="s">
        <v>199</v>
      </c>
      <c r="D6368">
        <v>0</v>
      </c>
    </row>
    <row r="6369" spans="1:4" x14ac:dyDescent="0.25">
      <c r="A6369" s="279">
        <v>39250</v>
      </c>
      <c r="B6369" s="309" t="s">
        <v>405</v>
      </c>
      <c r="C6369" s="309" t="s">
        <v>90</v>
      </c>
      <c r="D6369">
        <v>1802</v>
      </c>
    </row>
    <row r="6370" spans="1:4" x14ac:dyDescent="0.25">
      <c r="A6370" s="279">
        <v>39250</v>
      </c>
      <c r="B6370" s="309" t="s">
        <v>405</v>
      </c>
      <c r="C6370" s="309" t="s">
        <v>24</v>
      </c>
      <c r="D6370">
        <v>0</v>
      </c>
    </row>
    <row r="6371" spans="1:4" x14ac:dyDescent="0.25">
      <c r="A6371" s="279">
        <v>39250</v>
      </c>
      <c r="B6371" s="309" t="s">
        <v>405</v>
      </c>
      <c r="C6371" s="309" t="s">
        <v>91</v>
      </c>
      <c r="D6371">
        <v>0</v>
      </c>
    </row>
    <row r="6372" spans="1:4" x14ac:dyDescent="0.25">
      <c r="A6372" s="279">
        <v>39250</v>
      </c>
      <c r="B6372" s="309" t="s">
        <v>405</v>
      </c>
      <c r="C6372" s="309" t="s">
        <v>118</v>
      </c>
      <c r="D6372">
        <v>0</v>
      </c>
    </row>
    <row r="6373" spans="1:4" x14ac:dyDescent="0.25">
      <c r="A6373" s="279">
        <v>39250</v>
      </c>
      <c r="B6373" s="309" t="s">
        <v>405</v>
      </c>
      <c r="C6373" s="309" t="s">
        <v>407</v>
      </c>
      <c r="D6373">
        <v>2797886.1</v>
      </c>
    </row>
    <row r="6374" spans="1:4" x14ac:dyDescent="0.25">
      <c r="A6374" s="279">
        <v>39250</v>
      </c>
      <c r="B6374" s="309" t="s">
        <v>405</v>
      </c>
      <c r="C6374" s="309" t="s">
        <v>408</v>
      </c>
      <c r="D6374">
        <v>1007</v>
      </c>
    </row>
    <row r="6375" spans="1:4" x14ac:dyDescent="0.25">
      <c r="A6375" s="279">
        <v>39250</v>
      </c>
      <c r="B6375" s="309" t="s">
        <v>405</v>
      </c>
      <c r="C6375" s="309" t="s">
        <v>409</v>
      </c>
      <c r="D6375">
        <v>1058</v>
      </c>
    </row>
    <row r="6376" spans="1:4" x14ac:dyDescent="0.25">
      <c r="A6376" s="279">
        <v>39250</v>
      </c>
      <c r="B6376" s="309" t="s">
        <v>405</v>
      </c>
      <c r="C6376" s="309" t="s">
        <v>410</v>
      </c>
      <c r="D6376">
        <v>1037</v>
      </c>
    </row>
    <row r="6377" spans="1:4" x14ac:dyDescent="0.25">
      <c r="A6377" s="279">
        <v>39250</v>
      </c>
      <c r="B6377" s="309" t="s">
        <v>411</v>
      </c>
      <c r="C6377" s="309" t="s">
        <v>406</v>
      </c>
      <c r="D6377">
        <v>165616</v>
      </c>
    </row>
    <row r="6378" spans="1:4" x14ac:dyDescent="0.25">
      <c r="A6378" s="279">
        <v>39250</v>
      </c>
      <c r="B6378" s="309" t="s">
        <v>411</v>
      </c>
      <c r="C6378" s="309" t="s">
        <v>198</v>
      </c>
      <c r="D6378">
        <v>0</v>
      </c>
    </row>
    <row r="6379" spans="1:4" x14ac:dyDescent="0.25">
      <c r="A6379" s="279">
        <v>39250</v>
      </c>
      <c r="B6379" s="309" t="s">
        <v>411</v>
      </c>
      <c r="C6379" s="309" t="s">
        <v>199</v>
      </c>
      <c r="D6379">
        <v>0</v>
      </c>
    </row>
    <row r="6380" spans="1:4" x14ac:dyDescent="0.25">
      <c r="A6380" s="279">
        <v>39250</v>
      </c>
      <c r="B6380" s="309" t="s">
        <v>411</v>
      </c>
      <c r="C6380" s="309" t="s">
        <v>90</v>
      </c>
      <c r="D6380">
        <v>208</v>
      </c>
    </row>
    <row r="6381" spans="1:4" x14ac:dyDescent="0.25">
      <c r="A6381" s="279">
        <v>39250</v>
      </c>
      <c r="B6381" s="309" t="s">
        <v>411</v>
      </c>
      <c r="C6381" s="309" t="s">
        <v>24</v>
      </c>
      <c r="D6381">
        <v>0</v>
      </c>
    </row>
    <row r="6382" spans="1:4" x14ac:dyDescent="0.25">
      <c r="A6382" s="279">
        <v>39250</v>
      </c>
      <c r="B6382" s="309" t="s">
        <v>411</v>
      </c>
      <c r="C6382" s="309" t="s">
        <v>91</v>
      </c>
      <c r="D6382">
        <v>0</v>
      </c>
    </row>
    <row r="6383" spans="1:4" x14ac:dyDescent="0.25">
      <c r="A6383" s="279">
        <v>39250</v>
      </c>
      <c r="B6383" s="309" t="s">
        <v>411</v>
      </c>
      <c r="C6383" s="309" t="s">
        <v>118</v>
      </c>
      <c r="D6383">
        <v>0</v>
      </c>
    </row>
    <row r="6384" spans="1:4" x14ac:dyDescent="0.25">
      <c r="A6384" s="279">
        <v>39250</v>
      </c>
      <c r="B6384" s="309" t="s">
        <v>411</v>
      </c>
      <c r="C6384" s="309" t="s">
        <v>407</v>
      </c>
      <c r="D6384">
        <v>165408</v>
      </c>
    </row>
    <row r="6385" spans="1:4" x14ac:dyDescent="0.25">
      <c r="A6385" s="279">
        <v>39250</v>
      </c>
      <c r="B6385" s="309" t="s">
        <v>411</v>
      </c>
      <c r="C6385" s="309" t="s">
        <v>412</v>
      </c>
      <c r="D6385">
        <v>1007</v>
      </c>
    </row>
    <row r="6386" spans="1:4" x14ac:dyDescent="0.25">
      <c r="A6386" s="279">
        <v>39250</v>
      </c>
      <c r="B6386" s="309" t="s">
        <v>411</v>
      </c>
      <c r="C6386" s="309" t="s">
        <v>409</v>
      </c>
      <c r="D6386">
        <v>1049</v>
      </c>
    </row>
    <row r="6387" spans="1:4" x14ac:dyDescent="0.25">
      <c r="A6387" s="279">
        <v>39251</v>
      </c>
      <c r="B6387" s="309" t="s">
        <v>405</v>
      </c>
      <c r="C6387" s="309" t="s">
        <v>406</v>
      </c>
      <c r="D6387">
        <v>2797886.1</v>
      </c>
    </row>
    <row r="6388" spans="1:4" x14ac:dyDescent="0.25">
      <c r="A6388" s="279">
        <v>39251</v>
      </c>
      <c r="B6388" s="309" t="s">
        <v>405</v>
      </c>
      <c r="C6388" s="309" t="s">
        <v>89</v>
      </c>
      <c r="D6388">
        <v>6214</v>
      </c>
    </row>
    <row r="6389" spans="1:4" x14ac:dyDescent="0.25">
      <c r="A6389" s="279">
        <v>39251</v>
      </c>
      <c r="B6389" s="309" t="s">
        <v>405</v>
      </c>
      <c r="C6389" s="309" t="s">
        <v>198</v>
      </c>
      <c r="D6389">
        <v>0</v>
      </c>
    </row>
    <row r="6390" spans="1:4" x14ac:dyDescent="0.25">
      <c r="A6390" s="279">
        <v>39251</v>
      </c>
      <c r="B6390" s="309" t="s">
        <v>405</v>
      </c>
      <c r="C6390" s="309" t="s">
        <v>199</v>
      </c>
      <c r="D6390">
        <v>0</v>
      </c>
    </row>
    <row r="6391" spans="1:4" x14ac:dyDescent="0.25">
      <c r="A6391" s="279">
        <v>39251</v>
      </c>
      <c r="B6391" s="309" t="s">
        <v>405</v>
      </c>
      <c r="C6391" s="309" t="s">
        <v>90</v>
      </c>
      <c r="D6391">
        <v>1944</v>
      </c>
    </row>
    <row r="6392" spans="1:4" x14ac:dyDescent="0.25">
      <c r="A6392" s="279">
        <v>39251</v>
      </c>
      <c r="B6392" s="309" t="s">
        <v>405</v>
      </c>
      <c r="C6392" s="309" t="s">
        <v>24</v>
      </c>
      <c r="D6392">
        <v>0</v>
      </c>
    </row>
    <row r="6393" spans="1:4" x14ac:dyDescent="0.25">
      <c r="A6393" s="279">
        <v>39251</v>
      </c>
      <c r="B6393" s="309" t="s">
        <v>405</v>
      </c>
      <c r="C6393" s="309" t="s">
        <v>91</v>
      </c>
      <c r="D6393">
        <v>0</v>
      </c>
    </row>
    <row r="6394" spans="1:4" x14ac:dyDescent="0.25">
      <c r="A6394" s="279">
        <v>39251</v>
      </c>
      <c r="B6394" s="309" t="s">
        <v>405</v>
      </c>
      <c r="C6394" s="309" t="s">
        <v>118</v>
      </c>
      <c r="D6394">
        <v>0</v>
      </c>
    </row>
    <row r="6395" spans="1:4" x14ac:dyDescent="0.25">
      <c r="A6395" s="279">
        <v>39251</v>
      </c>
      <c r="B6395" s="309" t="s">
        <v>405</v>
      </c>
      <c r="C6395" s="309" t="s">
        <v>407</v>
      </c>
      <c r="D6395">
        <v>2802156.1</v>
      </c>
    </row>
    <row r="6396" spans="1:4" x14ac:dyDescent="0.25">
      <c r="A6396" s="279">
        <v>39251</v>
      </c>
      <c r="B6396" s="309" t="s">
        <v>405</v>
      </c>
      <c r="C6396" s="309" t="s">
        <v>408</v>
      </c>
      <c r="D6396">
        <v>1007</v>
      </c>
    </row>
    <row r="6397" spans="1:4" x14ac:dyDescent="0.25">
      <c r="A6397" s="279">
        <v>39251</v>
      </c>
      <c r="B6397" s="309" t="s">
        <v>405</v>
      </c>
      <c r="C6397" s="309" t="s">
        <v>409</v>
      </c>
      <c r="D6397">
        <v>1058</v>
      </c>
    </row>
    <row r="6398" spans="1:4" x14ac:dyDescent="0.25">
      <c r="A6398" s="279">
        <v>39251</v>
      </c>
      <c r="B6398" s="309" t="s">
        <v>405</v>
      </c>
      <c r="C6398" s="309" t="s">
        <v>410</v>
      </c>
      <c r="D6398">
        <v>1045</v>
      </c>
    </row>
    <row r="6399" spans="1:4" x14ac:dyDescent="0.25">
      <c r="A6399" s="279">
        <v>39251</v>
      </c>
      <c r="B6399" s="309" t="s">
        <v>411</v>
      </c>
      <c r="C6399" s="309" t="s">
        <v>406</v>
      </c>
      <c r="D6399">
        <v>165408</v>
      </c>
    </row>
    <row r="6400" spans="1:4" x14ac:dyDescent="0.25">
      <c r="A6400" s="279">
        <v>39251</v>
      </c>
      <c r="B6400" s="309" t="s">
        <v>411</v>
      </c>
      <c r="C6400" s="309" t="s">
        <v>198</v>
      </c>
      <c r="D6400">
        <v>0</v>
      </c>
    </row>
    <row r="6401" spans="1:4" x14ac:dyDescent="0.25">
      <c r="A6401" s="279">
        <v>39251</v>
      </c>
      <c r="B6401" s="309" t="s">
        <v>411</v>
      </c>
      <c r="C6401" s="309" t="s">
        <v>199</v>
      </c>
      <c r="D6401">
        <v>0</v>
      </c>
    </row>
    <row r="6402" spans="1:4" x14ac:dyDescent="0.25">
      <c r="A6402" s="279">
        <v>39251</v>
      </c>
      <c r="B6402" s="309" t="s">
        <v>411</v>
      </c>
      <c r="C6402" s="309" t="s">
        <v>90</v>
      </c>
      <c r="D6402">
        <v>68</v>
      </c>
    </row>
    <row r="6403" spans="1:4" x14ac:dyDescent="0.25">
      <c r="A6403" s="279">
        <v>39251</v>
      </c>
      <c r="B6403" s="309" t="s">
        <v>411</v>
      </c>
      <c r="C6403" s="309" t="s">
        <v>24</v>
      </c>
      <c r="D6403">
        <v>0</v>
      </c>
    </row>
    <row r="6404" spans="1:4" x14ac:dyDescent="0.25">
      <c r="A6404" s="279">
        <v>39251</v>
      </c>
      <c r="B6404" s="309" t="s">
        <v>411</v>
      </c>
      <c r="C6404" s="309" t="s">
        <v>91</v>
      </c>
      <c r="D6404">
        <v>0</v>
      </c>
    </row>
    <row r="6405" spans="1:4" x14ac:dyDescent="0.25">
      <c r="A6405" s="279">
        <v>39251</v>
      </c>
      <c r="B6405" s="309" t="s">
        <v>411</v>
      </c>
      <c r="C6405" s="309" t="s">
        <v>118</v>
      </c>
      <c r="D6405">
        <v>0</v>
      </c>
    </row>
    <row r="6406" spans="1:4" x14ac:dyDescent="0.25">
      <c r="A6406" s="279">
        <v>39251</v>
      </c>
      <c r="B6406" s="309" t="s">
        <v>411</v>
      </c>
      <c r="C6406" s="309" t="s">
        <v>407</v>
      </c>
      <c r="D6406">
        <v>165340</v>
      </c>
    </row>
    <row r="6407" spans="1:4" x14ac:dyDescent="0.25">
      <c r="A6407" s="279">
        <v>39251</v>
      </c>
      <c r="B6407" s="309" t="s">
        <v>411</v>
      </c>
      <c r="C6407" s="309" t="s">
        <v>412</v>
      </c>
      <c r="D6407">
        <v>1007</v>
      </c>
    </row>
    <row r="6408" spans="1:4" x14ac:dyDescent="0.25">
      <c r="A6408" s="279">
        <v>39251</v>
      </c>
      <c r="B6408" s="309" t="s">
        <v>411</v>
      </c>
      <c r="C6408" s="309" t="s">
        <v>409</v>
      </c>
      <c r="D6408">
        <v>1049</v>
      </c>
    </row>
    <row r="6409" spans="1:4" x14ac:dyDescent="0.25">
      <c r="A6409" s="279">
        <v>39252</v>
      </c>
      <c r="B6409" s="309" t="s">
        <v>405</v>
      </c>
      <c r="C6409" s="309" t="s">
        <v>406</v>
      </c>
      <c r="D6409">
        <v>2802156.1</v>
      </c>
    </row>
    <row r="6410" spans="1:4" x14ac:dyDescent="0.25">
      <c r="A6410" s="279">
        <v>39252</v>
      </c>
      <c r="B6410" s="309" t="s">
        <v>405</v>
      </c>
      <c r="C6410" s="309" t="s">
        <v>89</v>
      </c>
      <c r="D6410">
        <v>4529</v>
      </c>
    </row>
    <row r="6411" spans="1:4" x14ac:dyDescent="0.25">
      <c r="A6411" s="279">
        <v>39252</v>
      </c>
      <c r="B6411" s="309" t="s">
        <v>405</v>
      </c>
      <c r="C6411" s="309" t="s">
        <v>198</v>
      </c>
      <c r="D6411">
        <v>0</v>
      </c>
    </row>
    <row r="6412" spans="1:4" x14ac:dyDescent="0.25">
      <c r="A6412" s="279">
        <v>39252</v>
      </c>
      <c r="B6412" s="309" t="s">
        <v>405</v>
      </c>
      <c r="C6412" s="309" t="s">
        <v>199</v>
      </c>
      <c r="D6412">
        <v>0</v>
      </c>
    </row>
    <row r="6413" spans="1:4" x14ac:dyDescent="0.25">
      <c r="A6413" s="279">
        <v>39252</v>
      </c>
      <c r="B6413" s="309" t="s">
        <v>405</v>
      </c>
      <c r="C6413" s="309" t="s">
        <v>90</v>
      </c>
      <c r="D6413">
        <v>1858</v>
      </c>
    </row>
    <row r="6414" spans="1:4" x14ac:dyDescent="0.25">
      <c r="A6414" s="279">
        <v>39252</v>
      </c>
      <c r="B6414" s="309" t="s">
        <v>405</v>
      </c>
      <c r="C6414" s="309" t="s">
        <v>24</v>
      </c>
      <c r="D6414">
        <v>0</v>
      </c>
    </row>
    <row r="6415" spans="1:4" x14ac:dyDescent="0.25">
      <c r="A6415" s="279">
        <v>39252</v>
      </c>
      <c r="B6415" s="309" t="s">
        <v>405</v>
      </c>
      <c r="C6415" s="309" t="s">
        <v>91</v>
      </c>
      <c r="D6415">
        <v>0</v>
      </c>
    </row>
    <row r="6416" spans="1:4" x14ac:dyDescent="0.25">
      <c r="A6416" s="279">
        <v>39252</v>
      </c>
      <c r="B6416" s="309" t="s">
        <v>405</v>
      </c>
      <c r="C6416" s="309" t="s">
        <v>118</v>
      </c>
      <c r="D6416">
        <v>0</v>
      </c>
    </row>
    <row r="6417" spans="1:4" x14ac:dyDescent="0.25">
      <c r="A6417" s="279">
        <v>39252</v>
      </c>
      <c r="B6417" s="309" t="s">
        <v>405</v>
      </c>
      <c r="C6417" s="309" t="s">
        <v>407</v>
      </c>
      <c r="D6417">
        <v>2804827.1</v>
      </c>
    </row>
    <row r="6418" spans="1:4" x14ac:dyDescent="0.25">
      <c r="A6418" s="279">
        <v>39252</v>
      </c>
      <c r="B6418" s="309" t="s">
        <v>405</v>
      </c>
      <c r="C6418" s="309" t="s">
        <v>408</v>
      </c>
      <c r="D6418">
        <v>1007</v>
      </c>
    </row>
    <row r="6419" spans="1:4" x14ac:dyDescent="0.25">
      <c r="A6419" s="279">
        <v>39252</v>
      </c>
      <c r="B6419" s="309" t="s">
        <v>405</v>
      </c>
      <c r="C6419" s="309" t="s">
        <v>409</v>
      </c>
      <c r="D6419">
        <v>1058</v>
      </c>
    </row>
    <row r="6420" spans="1:4" x14ac:dyDescent="0.25">
      <c r="A6420" s="279">
        <v>39252</v>
      </c>
      <c r="B6420" s="309" t="s">
        <v>405</v>
      </c>
      <c r="C6420" s="309" t="s">
        <v>410</v>
      </c>
      <c r="D6420">
        <v>1041</v>
      </c>
    </row>
    <row r="6421" spans="1:4" x14ac:dyDescent="0.25">
      <c r="A6421" s="279">
        <v>39252</v>
      </c>
      <c r="B6421" s="309" t="s">
        <v>411</v>
      </c>
      <c r="C6421" s="309" t="s">
        <v>406</v>
      </c>
      <c r="D6421">
        <v>165340</v>
      </c>
    </row>
    <row r="6422" spans="1:4" x14ac:dyDescent="0.25">
      <c r="A6422" s="279">
        <v>39252</v>
      </c>
      <c r="B6422" s="309" t="s">
        <v>411</v>
      </c>
      <c r="C6422" s="309" t="s">
        <v>198</v>
      </c>
      <c r="D6422">
        <v>0</v>
      </c>
    </row>
    <row r="6423" spans="1:4" x14ac:dyDescent="0.25">
      <c r="A6423" s="279">
        <v>39252</v>
      </c>
      <c r="B6423" s="309" t="s">
        <v>411</v>
      </c>
      <c r="C6423" s="309" t="s">
        <v>199</v>
      </c>
      <c r="D6423">
        <v>0</v>
      </c>
    </row>
    <row r="6424" spans="1:4" x14ac:dyDescent="0.25">
      <c r="A6424" s="279">
        <v>39252</v>
      </c>
      <c r="B6424" s="309" t="s">
        <v>411</v>
      </c>
      <c r="C6424" s="309" t="s">
        <v>90</v>
      </c>
      <c r="D6424">
        <v>207</v>
      </c>
    </row>
    <row r="6425" spans="1:4" x14ac:dyDescent="0.25">
      <c r="A6425" s="279">
        <v>39252</v>
      </c>
      <c r="B6425" s="309" t="s">
        <v>411</v>
      </c>
      <c r="C6425" s="309" t="s">
        <v>24</v>
      </c>
      <c r="D6425">
        <v>0</v>
      </c>
    </row>
    <row r="6426" spans="1:4" x14ac:dyDescent="0.25">
      <c r="A6426" s="279">
        <v>39252</v>
      </c>
      <c r="B6426" s="309" t="s">
        <v>411</v>
      </c>
      <c r="C6426" s="309" t="s">
        <v>91</v>
      </c>
      <c r="D6426">
        <v>0</v>
      </c>
    </row>
    <row r="6427" spans="1:4" x14ac:dyDescent="0.25">
      <c r="A6427" s="279">
        <v>39252</v>
      </c>
      <c r="B6427" s="309" t="s">
        <v>411</v>
      </c>
      <c r="C6427" s="309" t="s">
        <v>118</v>
      </c>
      <c r="D6427">
        <v>0</v>
      </c>
    </row>
    <row r="6428" spans="1:4" x14ac:dyDescent="0.25">
      <c r="A6428" s="279">
        <v>39252</v>
      </c>
      <c r="B6428" s="309" t="s">
        <v>411</v>
      </c>
      <c r="C6428" s="309" t="s">
        <v>407</v>
      </c>
      <c r="D6428">
        <v>165133</v>
      </c>
    </row>
    <row r="6429" spans="1:4" x14ac:dyDescent="0.25">
      <c r="A6429" s="279">
        <v>39252</v>
      </c>
      <c r="B6429" s="309" t="s">
        <v>411</v>
      </c>
      <c r="C6429" s="309" t="s">
        <v>412</v>
      </c>
      <c r="D6429">
        <v>1007</v>
      </c>
    </row>
    <row r="6430" spans="1:4" x14ac:dyDescent="0.25">
      <c r="A6430" s="279">
        <v>39252</v>
      </c>
      <c r="B6430" s="309" t="s">
        <v>411</v>
      </c>
      <c r="C6430" s="309" t="s">
        <v>409</v>
      </c>
      <c r="D6430">
        <v>1049</v>
      </c>
    </row>
    <row r="6431" spans="1:4" x14ac:dyDescent="0.25">
      <c r="A6431" s="279">
        <v>39253</v>
      </c>
      <c r="B6431" s="309" t="s">
        <v>405</v>
      </c>
      <c r="C6431" s="309" t="s">
        <v>406</v>
      </c>
      <c r="D6431">
        <v>2804827.1</v>
      </c>
    </row>
    <row r="6432" spans="1:4" x14ac:dyDescent="0.25">
      <c r="A6432" s="279">
        <v>39253</v>
      </c>
      <c r="B6432" s="309" t="s">
        <v>405</v>
      </c>
      <c r="C6432" s="309" t="s">
        <v>89</v>
      </c>
      <c r="D6432">
        <v>4530</v>
      </c>
    </row>
    <row r="6433" spans="1:4" x14ac:dyDescent="0.25">
      <c r="A6433" s="279">
        <v>39253</v>
      </c>
      <c r="B6433" s="309" t="s">
        <v>405</v>
      </c>
      <c r="C6433" s="309" t="s">
        <v>198</v>
      </c>
      <c r="D6433">
        <v>0</v>
      </c>
    </row>
    <row r="6434" spans="1:4" x14ac:dyDescent="0.25">
      <c r="A6434" s="279">
        <v>39253</v>
      </c>
      <c r="B6434" s="309" t="s">
        <v>405</v>
      </c>
      <c r="C6434" s="309" t="s">
        <v>199</v>
      </c>
      <c r="D6434">
        <v>0</v>
      </c>
    </row>
    <row r="6435" spans="1:4" x14ac:dyDescent="0.25">
      <c r="A6435" s="279">
        <v>39253</v>
      </c>
      <c r="B6435" s="309" t="s">
        <v>405</v>
      </c>
      <c r="C6435" s="309" t="s">
        <v>90</v>
      </c>
      <c r="D6435">
        <v>1861</v>
      </c>
    </row>
    <row r="6436" spans="1:4" x14ac:dyDescent="0.25">
      <c r="A6436" s="279">
        <v>39253</v>
      </c>
      <c r="B6436" s="309" t="s">
        <v>405</v>
      </c>
      <c r="C6436" s="309" t="s">
        <v>24</v>
      </c>
      <c r="D6436">
        <v>0</v>
      </c>
    </row>
    <row r="6437" spans="1:4" x14ac:dyDescent="0.25">
      <c r="A6437" s="279">
        <v>39253</v>
      </c>
      <c r="B6437" s="309" t="s">
        <v>405</v>
      </c>
      <c r="C6437" s="309" t="s">
        <v>91</v>
      </c>
      <c r="D6437">
        <v>0</v>
      </c>
    </row>
    <row r="6438" spans="1:4" x14ac:dyDescent="0.25">
      <c r="A6438" s="279">
        <v>39253</v>
      </c>
      <c r="B6438" s="309" t="s">
        <v>405</v>
      </c>
      <c r="C6438" s="309" t="s">
        <v>118</v>
      </c>
      <c r="D6438">
        <v>0</v>
      </c>
    </row>
    <row r="6439" spans="1:4" x14ac:dyDescent="0.25">
      <c r="A6439" s="279">
        <v>39253</v>
      </c>
      <c r="B6439" s="309" t="s">
        <v>405</v>
      </c>
      <c r="C6439" s="309" t="s">
        <v>407</v>
      </c>
      <c r="D6439">
        <v>2807496.1</v>
      </c>
    </row>
    <row r="6440" spans="1:4" x14ac:dyDescent="0.25">
      <c r="A6440" s="279">
        <v>39253</v>
      </c>
      <c r="B6440" s="309" t="s">
        <v>405</v>
      </c>
      <c r="C6440" s="309" t="s">
        <v>408</v>
      </c>
      <c r="D6440">
        <v>1007</v>
      </c>
    </row>
    <row r="6441" spans="1:4" x14ac:dyDescent="0.25">
      <c r="A6441" s="279">
        <v>39253</v>
      </c>
      <c r="B6441" s="309" t="s">
        <v>405</v>
      </c>
      <c r="C6441" s="309" t="s">
        <v>409</v>
      </c>
      <c r="D6441">
        <v>1058</v>
      </c>
    </row>
    <row r="6442" spans="1:4" x14ac:dyDescent="0.25">
      <c r="A6442" s="279">
        <v>39253</v>
      </c>
      <c r="B6442" s="309" t="s">
        <v>405</v>
      </c>
      <c r="C6442" s="309" t="s">
        <v>410</v>
      </c>
      <c r="D6442">
        <v>1042</v>
      </c>
    </row>
    <row r="6443" spans="1:4" x14ac:dyDescent="0.25">
      <c r="A6443" s="279">
        <v>39253</v>
      </c>
      <c r="B6443" s="309" t="s">
        <v>411</v>
      </c>
      <c r="C6443" s="309" t="s">
        <v>406</v>
      </c>
      <c r="D6443">
        <v>165133</v>
      </c>
    </row>
    <row r="6444" spans="1:4" x14ac:dyDescent="0.25">
      <c r="A6444" s="279">
        <v>39253</v>
      </c>
      <c r="B6444" s="309" t="s">
        <v>411</v>
      </c>
      <c r="C6444" s="309" t="s">
        <v>198</v>
      </c>
      <c r="D6444">
        <v>0</v>
      </c>
    </row>
    <row r="6445" spans="1:4" x14ac:dyDescent="0.25">
      <c r="A6445" s="279">
        <v>39253</v>
      </c>
      <c r="B6445" s="309" t="s">
        <v>411</v>
      </c>
      <c r="C6445" s="309" t="s">
        <v>199</v>
      </c>
      <c r="D6445">
        <v>0</v>
      </c>
    </row>
    <row r="6446" spans="1:4" x14ac:dyDescent="0.25">
      <c r="A6446" s="279">
        <v>39253</v>
      </c>
      <c r="B6446" s="309" t="s">
        <v>411</v>
      </c>
      <c r="C6446" s="309" t="s">
        <v>90</v>
      </c>
      <c r="D6446">
        <v>65</v>
      </c>
    </row>
    <row r="6447" spans="1:4" x14ac:dyDescent="0.25">
      <c r="A6447" s="279">
        <v>39253</v>
      </c>
      <c r="B6447" s="309" t="s">
        <v>411</v>
      </c>
      <c r="C6447" s="309" t="s">
        <v>24</v>
      </c>
      <c r="D6447">
        <v>0</v>
      </c>
    </row>
    <row r="6448" spans="1:4" x14ac:dyDescent="0.25">
      <c r="A6448" s="279">
        <v>39253</v>
      </c>
      <c r="B6448" s="309" t="s">
        <v>411</v>
      </c>
      <c r="C6448" s="309" t="s">
        <v>91</v>
      </c>
      <c r="D6448">
        <v>0</v>
      </c>
    </row>
    <row r="6449" spans="1:4" x14ac:dyDescent="0.25">
      <c r="A6449" s="279">
        <v>39253</v>
      </c>
      <c r="B6449" s="309" t="s">
        <v>411</v>
      </c>
      <c r="C6449" s="309" t="s">
        <v>118</v>
      </c>
      <c r="D6449">
        <v>0</v>
      </c>
    </row>
    <row r="6450" spans="1:4" x14ac:dyDescent="0.25">
      <c r="A6450" s="279">
        <v>39253</v>
      </c>
      <c r="B6450" s="309" t="s">
        <v>411</v>
      </c>
      <c r="C6450" s="309" t="s">
        <v>407</v>
      </c>
      <c r="D6450">
        <v>165068</v>
      </c>
    </row>
    <row r="6451" spans="1:4" x14ac:dyDescent="0.25">
      <c r="A6451" s="279">
        <v>39253</v>
      </c>
      <c r="B6451" s="309" t="s">
        <v>411</v>
      </c>
      <c r="C6451" s="309" t="s">
        <v>412</v>
      </c>
      <c r="D6451">
        <v>1007</v>
      </c>
    </row>
    <row r="6452" spans="1:4" x14ac:dyDescent="0.25">
      <c r="A6452" s="279">
        <v>39253</v>
      </c>
      <c r="B6452" s="309" t="s">
        <v>411</v>
      </c>
      <c r="C6452" s="309" t="s">
        <v>409</v>
      </c>
      <c r="D6452">
        <v>1049</v>
      </c>
    </row>
    <row r="6453" spans="1:4" x14ac:dyDescent="0.25">
      <c r="A6453" s="279">
        <v>39254</v>
      </c>
      <c r="B6453" s="309" t="s">
        <v>405</v>
      </c>
      <c r="C6453" s="309" t="s">
        <v>406</v>
      </c>
      <c r="D6453">
        <v>2807496.1</v>
      </c>
    </row>
    <row r="6454" spans="1:4" x14ac:dyDescent="0.25">
      <c r="A6454" s="279">
        <v>39254</v>
      </c>
      <c r="B6454" s="309" t="s">
        <v>405</v>
      </c>
      <c r="C6454" s="309" t="s">
        <v>89</v>
      </c>
      <c r="D6454">
        <v>2282</v>
      </c>
    </row>
    <row r="6455" spans="1:4" x14ac:dyDescent="0.25">
      <c r="A6455" s="279">
        <v>39254</v>
      </c>
      <c r="B6455" s="309" t="s">
        <v>405</v>
      </c>
      <c r="C6455" s="309" t="s">
        <v>198</v>
      </c>
      <c r="D6455">
        <v>0</v>
      </c>
    </row>
    <row r="6456" spans="1:4" x14ac:dyDescent="0.25">
      <c r="A6456" s="279">
        <v>39254</v>
      </c>
      <c r="B6456" s="309" t="s">
        <v>405</v>
      </c>
      <c r="C6456" s="309" t="s">
        <v>199</v>
      </c>
      <c r="D6456">
        <v>0</v>
      </c>
    </row>
    <row r="6457" spans="1:4" x14ac:dyDescent="0.25">
      <c r="A6457" s="279">
        <v>39254</v>
      </c>
      <c r="B6457" s="309" t="s">
        <v>405</v>
      </c>
      <c r="C6457" s="309" t="s">
        <v>90</v>
      </c>
      <c r="D6457">
        <v>1749</v>
      </c>
    </row>
    <row r="6458" spans="1:4" x14ac:dyDescent="0.25">
      <c r="A6458" s="279">
        <v>39254</v>
      </c>
      <c r="B6458" s="309" t="s">
        <v>405</v>
      </c>
      <c r="C6458" s="309" t="s">
        <v>24</v>
      </c>
      <c r="D6458">
        <v>0</v>
      </c>
    </row>
    <row r="6459" spans="1:4" x14ac:dyDescent="0.25">
      <c r="A6459" s="279">
        <v>39254</v>
      </c>
      <c r="B6459" s="309" t="s">
        <v>405</v>
      </c>
      <c r="C6459" s="309" t="s">
        <v>91</v>
      </c>
      <c r="D6459">
        <v>0</v>
      </c>
    </row>
    <row r="6460" spans="1:4" x14ac:dyDescent="0.25">
      <c r="A6460" s="279">
        <v>39254</v>
      </c>
      <c r="B6460" s="309" t="s">
        <v>405</v>
      </c>
      <c r="C6460" s="309" t="s">
        <v>118</v>
      </c>
      <c r="D6460">
        <v>0</v>
      </c>
    </row>
    <row r="6461" spans="1:4" x14ac:dyDescent="0.25">
      <c r="A6461" s="279">
        <v>39254</v>
      </c>
      <c r="B6461" s="309" t="s">
        <v>405</v>
      </c>
      <c r="C6461" s="309" t="s">
        <v>407</v>
      </c>
      <c r="D6461">
        <v>2808029.1</v>
      </c>
    </row>
    <row r="6462" spans="1:4" x14ac:dyDescent="0.25">
      <c r="A6462" s="279">
        <v>39254</v>
      </c>
      <c r="B6462" s="309" t="s">
        <v>405</v>
      </c>
      <c r="C6462" s="309" t="s">
        <v>408</v>
      </c>
      <c r="D6462">
        <v>1007</v>
      </c>
    </row>
    <row r="6463" spans="1:4" x14ac:dyDescent="0.25">
      <c r="A6463" s="279">
        <v>39254</v>
      </c>
      <c r="B6463" s="309" t="s">
        <v>405</v>
      </c>
      <c r="C6463" s="309" t="s">
        <v>409</v>
      </c>
      <c r="D6463">
        <v>1058</v>
      </c>
    </row>
    <row r="6464" spans="1:4" x14ac:dyDescent="0.25">
      <c r="A6464" s="279">
        <v>39254</v>
      </c>
      <c r="B6464" s="309" t="s">
        <v>405</v>
      </c>
      <c r="C6464" s="309" t="s">
        <v>410</v>
      </c>
      <c r="D6464">
        <v>1043</v>
      </c>
    </row>
    <row r="6465" spans="1:4" x14ac:dyDescent="0.25">
      <c r="A6465" s="279">
        <v>39254</v>
      </c>
      <c r="B6465" s="309" t="s">
        <v>411</v>
      </c>
      <c r="C6465" s="309" t="s">
        <v>406</v>
      </c>
      <c r="D6465">
        <v>165068</v>
      </c>
    </row>
    <row r="6466" spans="1:4" x14ac:dyDescent="0.25">
      <c r="A6466" s="279">
        <v>39254</v>
      </c>
      <c r="B6466" s="309" t="s">
        <v>411</v>
      </c>
      <c r="C6466" s="309" t="s">
        <v>198</v>
      </c>
      <c r="D6466">
        <v>0</v>
      </c>
    </row>
    <row r="6467" spans="1:4" x14ac:dyDescent="0.25">
      <c r="A6467" s="279">
        <v>39254</v>
      </c>
      <c r="B6467" s="309" t="s">
        <v>411</v>
      </c>
      <c r="C6467" s="309" t="s">
        <v>199</v>
      </c>
      <c r="D6467">
        <v>0</v>
      </c>
    </row>
    <row r="6468" spans="1:4" x14ac:dyDescent="0.25">
      <c r="A6468" s="279">
        <v>39254</v>
      </c>
      <c r="B6468" s="309" t="s">
        <v>411</v>
      </c>
      <c r="C6468" s="309" t="s">
        <v>90</v>
      </c>
      <c r="D6468">
        <v>59</v>
      </c>
    </row>
    <row r="6469" spans="1:4" x14ac:dyDescent="0.25">
      <c r="A6469" s="279">
        <v>39254</v>
      </c>
      <c r="B6469" s="309" t="s">
        <v>411</v>
      </c>
      <c r="C6469" s="309" t="s">
        <v>24</v>
      </c>
      <c r="D6469">
        <v>0</v>
      </c>
    </row>
    <row r="6470" spans="1:4" x14ac:dyDescent="0.25">
      <c r="A6470" s="279">
        <v>39254</v>
      </c>
      <c r="B6470" s="309" t="s">
        <v>411</v>
      </c>
      <c r="C6470" s="309" t="s">
        <v>91</v>
      </c>
      <c r="D6470">
        <v>0</v>
      </c>
    </row>
    <row r="6471" spans="1:4" x14ac:dyDescent="0.25">
      <c r="A6471" s="279">
        <v>39254</v>
      </c>
      <c r="B6471" s="309" t="s">
        <v>411</v>
      </c>
      <c r="C6471" s="309" t="s">
        <v>118</v>
      </c>
      <c r="D6471">
        <v>0</v>
      </c>
    </row>
    <row r="6472" spans="1:4" x14ac:dyDescent="0.25">
      <c r="A6472" s="279">
        <v>39254</v>
      </c>
      <c r="B6472" s="309" t="s">
        <v>411</v>
      </c>
      <c r="C6472" s="309" t="s">
        <v>407</v>
      </c>
      <c r="D6472">
        <v>165009</v>
      </c>
    </row>
    <row r="6473" spans="1:4" x14ac:dyDescent="0.25">
      <c r="A6473" s="279">
        <v>39254</v>
      </c>
      <c r="B6473" s="309" t="s">
        <v>411</v>
      </c>
      <c r="C6473" s="309" t="s">
        <v>412</v>
      </c>
      <c r="D6473">
        <v>1007</v>
      </c>
    </row>
    <row r="6474" spans="1:4" x14ac:dyDescent="0.25">
      <c r="A6474" s="279">
        <v>39254</v>
      </c>
      <c r="B6474" s="309" t="s">
        <v>411</v>
      </c>
      <c r="C6474" s="309" t="s">
        <v>409</v>
      </c>
      <c r="D6474">
        <v>1049</v>
      </c>
    </row>
    <row r="6475" spans="1:4" x14ac:dyDescent="0.25">
      <c r="A6475" s="279">
        <v>39255</v>
      </c>
      <c r="B6475" s="309" t="s">
        <v>405</v>
      </c>
      <c r="C6475" s="309" t="s">
        <v>406</v>
      </c>
      <c r="D6475">
        <v>2808029.1</v>
      </c>
    </row>
    <row r="6476" spans="1:4" x14ac:dyDescent="0.25">
      <c r="A6476" s="279">
        <v>39255</v>
      </c>
      <c r="B6476" s="309" t="s">
        <v>405</v>
      </c>
      <c r="C6476" s="309" t="s">
        <v>89</v>
      </c>
      <c r="D6476">
        <v>3969</v>
      </c>
    </row>
    <row r="6477" spans="1:4" x14ac:dyDescent="0.25">
      <c r="A6477" s="279">
        <v>39255</v>
      </c>
      <c r="B6477" s="309" t="s">
        <v>405</v>
      </c>
      <c r="C6477" s="309" t="s">
        <v>198</v>
      </c>
      <c r="D6477">
        <v>0</v>
      </c>
    </row>
    <row r="6478" spans="1:4" x14ac:dyDescent="0.25">
      <c r="A6478" s="279">
        <v>39255</v>
      </c>
      <c r="B6478" s="309" t="s">
        <v>405</v>
      </c>
      <c r="C6478" s="309" t="s">
        <v>199</v>
      </c>
      <c r="D6478">
        <v>0</v>
      </c>
    </row>
    <row r="6479" spans="1:4" x14ac:dyDescent="0.25">
      <c r="A6479" s="279">
        <v>39255</v>
      </c>
      <c r="B6479" s="309" t="s">
        <v>405</v>
      </c>
      <c r="C6479" s="309" t="s">
        <v>90</v>
      </c>
      <c r="D6479">
        <v>1834</v>
      </c>
    </row>
    <row r="6480" spans="1:4" x14ac:dyDescent="0.25">
      <c r="A6480" s="279">
        <v>39255</v>
      </c>
      <c r="B6480" s="309" t="s">
        <v>405</v>
      </c>
      <c r="C6480" s="309" t="s">
        <v>24</v>
      </c>
      <c r="D6480">
        <v>0</v>
      </c>
    </row>
    <row r="6481" spans="1:4" x14ac:dyDescent="0.25">
      <c r="A6481" s="279">
        <v>39255</v>
      </c>
      <c r="B6481" s="309" t="s">
        <v>405</v>
      </c>
      <c r="C6481" s="309" t="s">
        <v>91</v>
      </c>
      <c r="D6481">
        <v>0</v>
      </c>
    </row>
    <row r="6482" spans="1:4" x14ac:dyDescent="0.25">
      <c r="A6482" s="279">
        <v>39255</v>
      </c>
      <c r="B6482" s="309" t="s">
        <v>405</v>
      </c>
      <c r="C6482" s="309" t="s">
        <v>118</v>
      </c>
      <c r="D6482">
        <v>0</v>
      </c>
    </row>
    <row r="6483" spans="1:4" x14ac:dyDescent="0.25">
      <c r="A6483" s="279">
        <v>39255</v>
      </c>
      <c r="B6483" s="309" t="s">
        <v>405</v>
      </c>
      <c r="C6483" s="309" t="s">
        <v>407</v>
      </c>
      <c r="D6483">
        <v>2810164.1</v>
      </c>
    </row>
    <row r="6484" spans="1:4" x14ac:dyDescent="0.25">
      <c r="A6484" s="279">
        <v>39255</v>
      </c>
      <c r="B6484" s="309" t="s">
        <v>405</v>
      </c>
      <c r="C6484" s="309" t="s">
        <v>408</v>
      </c>
      <c r="D6484">
        <v>1007</v>
      </c>
    </row>
    <row r="6485" spans="1:4" x14ac:dyDescent="0.25">
      <c r="A6485" s="279">
        <v>39255</v>
      </c>
      <c r="B6485" s="309" t="s">
        <v>405</v>
      </c>
      <c r="C6485" s="309" t="s">
        <v>409</v>
      </c>
      <c r="D6485">
        <v>1058</v>
      </c>
    </row>
    <row r="6486" spans="1:4" x14ac:dyDescent="0.25">
      <c r="A6486" s="279">
        <v>39255</v>
      </c>
      <c r="B6486" s="309" t="s">
        <v>405</v>
      </c>
      <c r="C6486" s="309" t="s">
        <v>410</v>
      </c>
      <c r="D6486">
        <v>1042</v>
      </c>
    </row>
    <row r="6487" spans="1:4" x14ac:dyDescent="0.25">
      <c r="A6487" s="279">
        <v>39255</v>
      </c>
      <c r="B6487" s="309" t="s">
        <v>411</v>
      </c>
      <c r="C6487" s="309" t="s">
        <v>406</v>
      </c>
      <c r="D6487">
        <v>165009</v>
      </c>
    </row>
    <row r="6488" spans="1:4" x14ac:dyDescent="0.25">
      <c r="A6488" s="279">
        <v>39255</v>
      </c>
      <c r="B6488" s="309" t="s">
        <v>411</v>
      </c>
      <c r="C6488" s="309" t="s">
        <v>198</v>
      </c>
      <c r="D6488">
        <v>0</v>
      </c>
    </row>
    <row r="6489" spans="1:4" x14ac:dyDescent="0.25">
      <c r="A6489" s="279">
        <v>39255</v>
      </c>
      <c r="B6489" s="309" t="s">
        <v>411</v>
      </c>
      <c r="C6489" s="309" t="s">
        <v>199</v>
      </c>
      <c r="D6489">
        <v>0</v>
      </c>
    </row>
    <row r="6490" spans="1:4" x14ac:dyDescent="0.25">
      <c r="A6490" s="279">
        <v>39255</v>
      </c>
      <c r="B6490" s="309" t="s">
        <v>411</v>
      </c>
      <c r="C6490" s="309" t="s">
        <v>90</v>
      </c>
      <c r="D6490">
        <v>152</v>
      </c>
    </row>
    <row r="6491" spans="1:4" x14ac:dyDescent="0.25">
      <c r="A6491" s="279">
        <v>39255</v>
      </c>
      <c r="B6491" s="309" t="s">
        <v>411</v>
      </c>
      <c r="C6491" s="309" t="s">
        <v>24</v>
      </c>
      <c r="D6491">
        <v>0</v>
      </c>
    </row>
    <row r="6492" spans="1:4" x14ac:dyDescent="0.25">
      <c r="A6492" s="279">
        <v>39255</v>
      </c>
      <c r="B6492" s="309" t="s">
        <v>411</v>
      </c>
      <c r="C6492" s="309" t="s">
        <v>91</v>
      </c>
      <c r="D6492">
        <v>0</v>
      </c>
    </row>
    <row r="6493" spans="1:4" x14ac:dyDescent="0.25">
      <c r="A6493" s="279">
        <v>39255</v>
      </c>
      <c r="B6493" s="309" t="s">
        <v>411</v>
      </c>
      <c r="C6493" s="309" t="s">
        <v>118</v>
      </c>
      <c r="D6493">
        <v>0</v>
      </c>
    </row>
    <row r="6494" spans="1:4" x14ac:dyDescent="0.25">
      <c r="A6494" s="279">
        <v>39255</v>
      </c>
      <c r="B6494" s="309" t="s">
        <v>411</v>
      </c>
      <c r="C6494" s="309" t="s">
        <v>407</v>
      </c>
      <c r="D6494">
        <v>164857</v>
      </c>
    </row>
    <row r="6495" spans="1:4" x14ac:dyDescent="0.25">
      <c r="A6495" s="279">
        <v>39255</v>
      </c>
      <c r="B6495" s="309" t="s">
        <v>411</v>
      </c>
      <c r="C6495" s="309" t="s">
        <v>412</v>
      </c>
      <c r="D6495">
        <v>1007</v>
      </c>
    </row>
    <row r="6496" spans="1:4" x14ac:dyDescent="0.25">
      <c r="A6496" s="279">
        <v>39255</v>
      </c>
      <c r="B6496" s="309" t="s">
        <v>411</v>
      </c>
      <c r="C6496" s="309" t="s">
        <v>409</v>
      </c>
      <c r="D6496">
        <v>1049</v>
      </c>
    </row>
    <row r="6497" spans="1:4" x14ac:dyDescent="0.25">
      <c r="A6497" s="279">
        <v>39256</v>
      </c>
      <c r="B6497" s="309" t="s">
        <v>405</v>
      </c>
      <c r="C6497" s="309" t="s">
        <v>406</v>
      </c>
      <c r="D6497">
        <v>2810164.1</v>
      </c>
    </row>
    <row r="6498" spans="1:4" x14ac:dyDescent="0.25">
      <c r="A6498" s="279">
        <v>39256</v>
      </c>
      <c r="B6498" s="309" t="s">
        <v>405</v>
      </c>
      <c r="C6498" s="309" t="s">
        <v>89</v>
      </c>
      <c r="D6498">
        <v>4532</v>
      </c>
    </row>
    <row r="6499" spans="1:4" x14ac:dyDescent="0.25">
      <c r="A6499" s="279">
        <v>39256</v>
      </c>
      <c r="B6499" s="309" t="s">
        <v>405</v>
      </c>
      <c r="C6499" s="309" t="s">
        <v>198</v>
      </c>
      <c r="D6499">
        <v>0</v>
      </c>
    </row>
    <row r="6500" spans="1:4" x14ac:dyDescent="0.25">
      <c r="A6500" s="279">
        <v>39256</v>
      </c>
      <c r="B6500" s="309" t="s">
        <v>405</v>
      </c>
      <c r="C6500" s="309" t="s">
        <v>199</v>
      </c>
      <c r="D6500">
        <v>0</v>
      </c>
    </row>
    <row r="6501" spans="1:4" x14ac:dyDescent="0.25">
      <c r="A6501" s="279">
        <v>39256</v>
      </c>
      <c r="B6501" s="309" t="s">
        <v>405</v>
      </c>
      <c r="C6501" s="309" t="s">
        <v>90</v>
      </c>
      <c r="D6501">
        <v>1863</v>
      </c>
    </row>
    <row r="6502" spans="1:4" x14ac:dyDescent="0.25">
      <c r="A6502" s="279">
        <v>39256</v>
      </c>
      <c r="B6502" s="309" t="s">
        <v>405</v>
      </c>
      <c r="C6502" s="309" t="s">
        <v>24</v>
      </c>
      <c r="D6502">
        <v>0</v>
      </c>
    </row>
    <row r="6503" spans="1:4" x14ac:dyDescent="0.25">
      <c r="A6503" s="279">
        <v>39256</v>
      </c>
      <c r="B6503" s="309" t="s">
        <v>405</v>
      </c>
      <c r="C6503" s="309" t="s">
        <v>91</v>
      </c>
      <c r="D6503">
        <v>0</v>
      </c>
    </row>
    <row r="6504" spans="1:4" x14ac:dyDescent="0.25">
      <c r="A6504" s="279">
        <v>39256</v>
      </c>
      <c r="B6504" s="309" t="s">
        <v>405</v>
      </c>
      <c r="C6504" s="309" t="s">
        <v>118</v>
      </c>
      <c r="D6504">
        <v>0</v>
      </c>
    </row>
    <row r="6505" spans="1:4" x14ac:dyDescent="0.25">
      <c r="A6505" s="279">
        <v>39256</v>
      </c>
      <c r="B6505" s="309" t="s">
        <v>405</v>
      </c>
      <c r="C6505" s="309" t="s">
        <v>407</v>
      </c>
      <c r="D6505">
        <v>2812833.1</v>
      </c>
    </row>
    <row r="6506" spans="1:4" x14ac:dyDescent="0.25">
      <c r="A6506" s="279">
        <v>39256</v>
      </c>
      <c r="B6506" s="309" t="s">
        <v>405</v>
      </c>
      <c r="C6506" s="309" t="s">
        <v>408</v>
      </c>
      <c r="D6506">
        <v>1007</v>
      </c>
    </row>
    <row r="6507" spans="1:4" x14ac:dyDescent="0.25">
      <c r="A6507" s="279">
        <v>39256</v>
      </c>
      <c r="B6507" s="309" t="s">
        <v>405</v>
      </c>
      <c r="C6507" s="309" t="s">
        <v>409</v>
      </c>
      <c r="D6507">
        <v>1058</v>
      </c>
    </row>
    <row r="6508" spans="1:4" x14ac:dyDescent="0.25">
      <c r="A6508" s="279">
        <v>39256</v>
      </c>
      <c r="B6508" s="309" t="s">
        <v>405</v>
      </c>
      <c r="C6508" s="309" t="s">
        <v>410</v>
      </c>
      <c r="D6508">
        <v>1038</v>
      </c>
    </row>
    <row r="6509" spans="1:4" x14ac:dyDescent="0.25">
      <c r="A6509" s="279">
        <v>39256</v>
      </c>
      <c r="B6509" s="309" t="s">
        <v>411</v>
      </c>
      <c r="C6509" s="309" t="s">
        <v>406</v>
      </c>
      <c r="D6509">
        <v>164857</v>
      </c>
    </row>
    <row r="6510" spans="1:4" x14ac:dyDescent="0.25">
      <c r="A6510" s="279">
        <v>39256</v>
      </c>
      <c r="B6510" s="309" t="s">
        <v>411</v>
      </c>
      <c r="C6510" s="309" t="s">
        <v>198</v>
      </c>
      <c r="D6510">
        <v>0</v>
      </c>
    </row>
    <row r="6511" spans="1:4" x14ac:dyDescent="0.25">
      <c r="A6511" s="279">
        <v>39256</v>
      </c>
      <c r="B6511" s="309" t="s">
        <v>411</v>
      </c>
      <c r="C6511" s="309" t="s">
        <v>199</v>
      </c>
      <c r="D6511">
        <v>0</v>
      </c>
    </row>
    <row r="6512" spans="1:4" x14ac:dyDescent="0.25">
      <c r="A6512" s="279">
        <v>39256</v>
      </c>
      <c r="B6512" s="309" t="s">
        <v>411</v>
      </c>
      <c r="C6512" s="309" t="s">
        <v>90</v>
      </c>
      <c r="D6512">
        <v>276</v>
      </c>
    </row>
    <row r="6513" spans="1:4" x14ac:dyDescent="0.25">
      <c r="A6513" s="279">
        <v>39256</v>
      </c>
      <c r="B6513" s="309" t="s">
        <v>411</v>
      </c>
      <c r="C6513" s="309" t="s">
        <v>24</v>
      </c>
      <c r="D6513">
        <v>0</v>
      </c>
    </row>
    <row r="6514" spans="1:4" x14ac:dyDescent="0.25">
      <c r="A6514" s="279">
        <v>39256</v>
      </c>
      <c r="B6514" s="309" t="s">
        <v>411</v>
      </c>
      <c r="C6514" s="309" t="s">
        <v>91</v>
      </c>
      <c r="D6514">
        <v>0</v>
      </c>
    </row>
    <row r="6515" spans="1:4" x14ac:dyDescent="0.25">
      <c r="A6515" s="279">
        <v>39256</v>
      </c>
      <c r="B6515" s="309" t="s">
        <v>411</v>
      </c>
      <c r="C6515" s="309" t="s">
        <v>118</v>
      </c>
      <c r="D6515">
        <v>0</v>
      </c>
    </row>
    <row r="6516" spans="1:4" x14ac:dyDescent="0.25">
      <c r="A6516" s="279">
        <v>39256</v>
      </c>
      <c r="B6516" s="309" t="s">
        <v>411</v>
      </c>
      <c r="C6516" s="309" t="s">
        <v>407</v>
      </c>
      <c r="D6516">
        <v>164581</v>
      </c>
    </row>
    <row r="6517" spans="1:4" x14ac:dyDescent="0.25">
      <c r="A6517" s="279">
        <v>39256</v>
      </c>
      <c r="B6517" s="309" t="s">
        <v>411</v>
      </c>
      <c r="C6517" s="309" t="s">
        <v>412</v>
      </c>
      <c r="D6517">
        <v>1007</v>
      </c>
    </row>
    <row r="6518" spans="1:4" x14ac:dyDescent="0.25">
      <c r="A6518" s="279">
        <v>39256</v>
      </c>
      <c r="B6518" s="309" t="s">
        <v>411</v>
      </c>
      <c r="C6518" s="309" t="s">
        <v>409</v>
      </c>
      <c r="D6518">
        <v>1049</v>
      </c>
    </row>
    <row r="6519" spans="1:4" x14ac:dyDescent="0.25">
      <c r="A6519" s="279">
        <v>39257</v>
      </c>
      <c r="B6519" s="309" t="s">
        <v>405</v>
      </c>
      <c r="C6519" s="309" t="s">
        <v>406</v>
      </c>
      <c r="D6519">
        <v>2812833.1</v>
      </c>
    </row>
    <row r="6520" spans="1:4" x14ac:dyDescent="0.25">
      <c r="A6520" s="279">
        <v>39257</v>
      </c>
      <c r="B6520" s="309" t="s">
        <v>405</v>
      </c>
      <c r="C6520" s="309" t="s">
        <v>89</v>
      </c>
      <c r="D6520">
        <v>5376</v>
      </c>
    </row>
    <row r="6521" spans="1:4" x14ac:dyDescent="0.25">
      <c r="A6521" s="279">
        <v>39257</v>
      </c>
      <c r="B6521" s="309" t="s">
        <v>405</v>
      </c>
      <c r="C6521" s="309" t="s">
        <v>198</v>
      </c>
      <c r="D6521">
        <v>0</v>
      </c>
    </row>
    <row r="6522" spans="1:4" x14ac:dyDescent="0.25">
      <c r="A6522" s="279">
        <v>39257</v>
      </c>
      <c r="B6522" s="309" t="s">
        <v>405</v>
      </c>
      <c r="C6522" s="309" t="s">
        <v>199</v>
      </c>
      <c r="D6522">
        <v>0</v>
      </c>
    </row>
    <row r="6523" spans="1:4" x14ac:dyDescent="0.25">
      <c r="A6523" s="279">
        <v>39257</v>
      </c>
      <c r="B6523" s="309" t="s">
        <v>405</v>
      </c>
      <c r="C6523" s="309" t="s">
        <v>90</v>
      </c>
      <c r="D6523">
        <v>1906</v>
      </c>
    </row>
    <row r="6524" spans="1:4" x14ac:dyDescent="0.25">
      <c r="A6524" s="279">
        <v>39257</v>
      </c>
      <c r="B6524" s="309" t="s">
        <v>405</v>
      </c>
      <c r="C6524" s="309" t="s">
        <v>24</v>
      </c>
      <c r="D6524">
        <v>0</v>
      </c>
    </row>
    <row r="6525" spans="1:4" x14ac:dyDescent="0.25">
      <c r="A6525" s="279">
        <v>39257</v>
      </c>
      <c r="B6525" s="309" t="s">
        <v>405</v>
      </c>
      <c r="C6525" s="309" t="s">
        <v>91</v>
      </c>
      <c r="D6525">
        <v>0</v>
      </c>
    </row>
    <row r="6526" spans="1:4" x14ac:dyDescent="0.25">
      <c r="A6526" s="279">
        <v>39257</v>
      </c>
      <c r="B6526" s="309" t="s">
        <v>405</v>
      </c>
      <c r="C6526" s="309" t="s">
        <v>118</v>
      </c>
      <c r="D6526">
        <v>0</v>
      </c>
    </row>
    <row r="6527" spans="1:4" x14ac:dyDescent="0.25">
      <c r="A6527" s="279">
        <v>39257</v>
      </c>
      <c r="B6527" s="309" t="s">
        <v>405</v>
      </c>
      <c r="C6527" s="309" t="s">
        <v>407</v>
      </c>
      <c r="D6527">
        <v>2816303.1</v>
      </c>
    </row>
    <row r="6528" spans="1:4" x14ac:dyDescent="0.25">
      <c r="A6528" s="279">
        <v>39257</v>
      </c>
      <c r="B6528" s="309" t="s">
        <v>405</v>
      </c>
      <c r="C6528" s="309" t="s">
        <v>408</v>
      </c>
      <c r="D6528">
        <v>1007</v>
      </c>
    </row>
    <row r="6529" spans="1:4" x14ac:dyDescent="0.25">
      <c r="A6529" s="279">
        <v>39257</v>
      </c>
      <c r="B6529" s="309" t="s">
        <v>405</v>
      </c>
      <c r="C6529" s="309" t="s">
        <v>409</v>
      </c>
      <c r="D6529">
        <v>1058</v>
      </c>
    </row>
    <row r="6530" spans="1:4" x14ac:dyDescent="0.25">
      <c r="A6530" s="279">
        <v>39257</v>
      </c>
      <c r="B6530" s="309" t="s">
        <v>405</v>
      </c>
      <c r="C6530" s="309" t="s">
        <v>410</v>
      </c>
      <c r="D6530">
        <v>1038</v>
      </c>
    </row>
    <row r="6531" spans="1:4" x14ac:dyDescent="0.25">
      <c r="A6531" s="279">
        <v>39257</v>
      </c>
      <c r="B6531" s="309" t="s">
        <v>411</v>
      </c>
      <c r="C6531" s="309" t="s">
        <v>406</v>
      </c>
      <c r="D6531">
        <v>164581</v>
      </c>
    </row>
    <row r="6532" spans="1:4" x14ac:dyDescent="0.25">
      <c r="A6532" s="279">
        <v>39257</v>
      </c>
      <c r="B6532" s="309" t="s">
        <v>411</v>
      </c>
      <c r="C6532" s="309" t="s">
        <v>198</v>
      </c>
      <c r="D6532">
        <v>0</v>
      </c>
    </row>
    <row r="6533" spans="1:4" x14ac:dyDescent="0.25">
      <c r="A6533" s="279">
        <v>39257</v>
      </c>
      <c r="B6533" s="309" t="s">
        <v>411</v>
      </c>
      <c r="C6533" s="309" t="s">
        <v>199</v>
      </c>
      <c r="D6533">
        <v>0</v>
      </c>
    </row>
    <row r="6534" spans="1:4" x14ac:dyDescent="0.25">
      <c r="A6534" s="279">
        <v>39257</v>
      </c>
      <c r="B6534" s="309" t="s">
        <v>411</v>
      </c>
      <c r="C6534" s="309" t="s">
        <v>90</v>
      </c>
      <c r="D6534">
        <v>61</v>
      </c>
    </row>
    <row r="6535" spans="1:4" x14ac:dyDescent="0.25">
      <c r="A6535" s="279">
        <v>39257</v>
      </c>
      <c r="B6535" s="309" t="s">
        <v>411</v>
      </c>
      <c r="C6535" s="309" t="s">
        <v>24</v>
      </c>
      <c r="D6535">
        <v>0</v>
      </c>
    </row>
    <row r="6536" spans="1:4" x14ac:dyDescent="0.25">
      <c r="A6536" s="279">
        <v>39257</v>
      </c>
      <c r="B6536" s="309" t="s">
        <v>411</v>
      </c>
      <c r="C6536" s="309" t="s">
        <v>91</v>
      </c>
      <c r="D6536">
        <v>0</v>
      </c>
    </row>
    <row r="6537" spans="1:4" x14ac:dyDescent="0.25">
      <c r="A6537" s="279">
        <v>39257</v>
      </c>
      <c r="B6537" s="309" t="s">
        <v>411</v>
      </c>
      <c r="C6537" s="309" t="s">
        <v>118</v>
      </c>
      <c r="D6537">
        <v>0</v>
      </c>
    </row>
    <row r="6538" spans="1:4" x14ac:dyDescent="0.25">
      <c r="A6538" s="279">
        <v>39257</v>
      </c>
      <c r="B6538" s="309" t="s">
        <v>411</v>
      </c>
      <c r="C6538" s="309" t="s">
        <v>407</v>
      </c>
      <c r="D6538">
        <v>164520</v>
      </c>
    </row>
    <row r="6539" spans="1:4" x14ac:dyDescent="0.25">
      <c r="A6539" s="279">
        <v>39257</v>
      </c>
      <c r="B6539" s="309" t="s">
        <v>411</v>
      </c>
      <c r="C6539" s="309" t="s">
        <v>412</v>
      </c>
      <c r="D6539">
        <v>1007</v>
      </c>
    </row>
    <row r="6540" spans="1:4" x14ac:dyDescent="0.25">
      <c r="A6540" s="279">
        <v>39257</v>
      </c>
      <c r="B6540" s="309" t="s">
        <v>411</v>
      </c>
      <c r="C6540" s="309" t="s">
        <v>409</v>
      </c>
      <c r="D6540">
        <v>1049</v>
      </c>
    </row>
    <row r="6541" spans="1:4" x14ac:dyDescent="0.25">
      <c r="A6541" s="279">
        <v>39258</v>
      </c>
      <c r="B6541" s="309" t="s">
        <v>405</v>
      </c>
      <c r="C6541" s="309" t="s">
        <v>406</v>
      </c>
      <c r="D6541">
        <v>2816303.1</v>
      </c>
    </row>
    <row r="6542" spans="1:4" x14ac:dyDescent="0.25">
      <c r="A6542" s="279">
        <v>39258</v>
      </c>
      <c r="B6542" s="309" t="s">
        <v>405</v>
      </c>
      <c r="C6542" s="309" t="s">
        <v>89</v>
      </c>
      <c r="D6542">
        <v>6782</v>
      </c>
    </row>
    <row r="6543" spans="1:4" x14ac:dyDescent="0.25">
      <c r="A6543" s="279">
        <v>39258</v>
      </c>
      <c r="B6543" s="309" t="s">
        <v>405</v>
      </c>
      <c r="C6543" s="309" t="s">
        <v>198</v>
      </c>
      <c r="D6543">
        <v>0</v>
      </c>
    </row>
    <row r="6544" spans="1:4" x14ac:dyDescent="0.25">
      <c r="A6544" s="279">
        <v>39258</v>
      </c>
      <c r="B6544" s="309" t="s">
        <v>405</v>
      </c>
      <c r="C6544" s="309" t="s">
        <v>199</v>
      </c>
      <c r="D6544">
        <v>0</v>
      </c>
    </row>
    <row r="6545" spans="1:4" x14ac:dyDescent="0.25">
      <c r="A6545" s="279">
        <v>39258</v>
      </c>
      <c r="B6545" s="309" t="s">
        <v>405</v>
      </c>
      <c r="C6545" s="309" t="s">
        <v>90</v>
      </c>
      <c r="D6545">
        <v>1978</v>
      </c>
    </row>
    <row r="6546" spans="1:4" x14ac:dyDescent="0.25">
      <c r="A6546" s="279">
        <v>39258</v>
      </c>
      <c r="B6546" s="309" t="s">
        <v>405</v>
      </c>
      <c r="C6546" s="309" t="s">
        <v>24</v>
      </c>
      <c r="D6546">
        <v>0</v>
      </c>
    </row>
    <row r="6547" spans="1:4" x14ac:dyDescent="0.25">
      <c r="A6547" s="279">
        <v>39258</v>
      </c>
      <c r="B6547" s="309" t="s">
        <v>405</v>
      </c>
      <c r="C6547" s="309" t="s">
        <v>91</v>
      </c>
      <c r="D6547">
        <v>0</v>
      </c>
    </row>
    <row r="6548" spans="1:4" x14ac:dyDescent="0.25">
      <c r="A6548" s="279">
        <v>39258</v>
      </c>
      <c r="B6548" s="309" t="s">
        <v>405</v>
      </c>
      <c r="C6548" s="309" t="s">
        <v>118</v>
      </c>
      <c r="D6548">
        <v>0</v>
      </c>
    </row>
    <row r="6549" spans="1:4" x14ac:dyDescent="0.25">
      <c r="A6549" s="279">
        <v>39258</v>
      </c>
      <c r="B6549" s="309" t="s">
        <v>405</v>
      </c>
      <c r="C6549" s="309" t="s">
        <v>407</v>
      </c>
      <c r="D6549">
        <v>2821107.1</v>
      </c>
    </row>
    <row r="6550" spans="1:4" x14ac:dyDescent="0.25">
      <c r="A6550" s="279">
        <v>39258</v>
      </c>
      <c r="B6550" s="309" t="s">
        <v>405</v>
      </c>
      <c r="C6550" s="309" t="s">
        <v>408</v>
      </c>
      <c r="D6550">
        <v>1007</v>
      </c>
    </row>
    <row r="6551" spans="1:4" x14ac:dyDescent="0.25">
      <c r="A6551" s="279">
        <v>39258</v>
      </c>
      <c r="B6551" s="309" t="s">
        <v>405</v>
      </c>
      <c r="C6551" s="309" t="s">
        <v>409</v>
      </c>
      <c r="D6551">
        <v>1058</v>
      </c>
    </row>
    <row r="6552" spans="1:4" x14ac:dyDescent="0.25">
      <c r="A6552" s="279">
        <v>39258</v>
      </c>
      <c r="B6552" s="309" t="s">
        <v>405</v>
      </c>
      <c r="C6552" s="309" t="s">
        <v>410</v>
      </c>
      <c r="D6552">
        <v>1034</v>
      </c>
    </row>
    <row r="6553" spans="1:4" x14ac:dyDescent="0.25">
      <c r="A6553" s="279">
        <v>39258</v>
      </c>
      <c r="B6553" s="309" t="s">
        <v>411</v>
      </c>
      <c r="C6553" s="309" t="s">
        <v>406</v>
      </c>
      <c r="D6553">
        <v>164520</v>
      </c>
    </row>
    <row r="6554" spans="1:4" x14ac:dyDescent="0.25">
      <c r="A6554" s="279">
        <v>39258</v>
      </c>
      <c r="B6554" s="309" t="s">
        <v>411</v>
      </c>
      <c r="C6554" s="309" t="s">
        <v>198</v>
      </c>
      <c r="D6554">
        <v>0</v>
      </c>
    </row>
    <row r="6555" spans="1:4" x14ac:dyDescent="0.25">
      <c r="A6555" s="279">
        <v>39258</v>
      </c>
      <c r="B6555" s="309" t="s">
        <v>411</v>
      </c>
      <c r="C6555" s="309" t="s">
        <v>199</v>
      </c>
      <c r="D6555">
        <v>0</v>
      </c>
    </row>
    <row r="6556" spans="1:4" x14ac:dyDescent="0.25">
      <c r="A6556" s="279">
        <v>39258</v>
      </c>
      <c r="B6556" s="309" t="s">
        <v>411</v>
      </c>
      <c r="C6556" s="309" t="s">
        <v>90</v>
      </c>
      <c r="D6556">
        <v>67</v>
      </c>
    </row>
    <row r="6557" spans="1:4" x14ac:dyDescent="0.25">
      <c r="A6557" s="279">
        <v>39258</v>
      </c>
      <c r="B6557" s="309" t="s">
        <v>411</v>
      </c>
      <c r="C6557" s="309" t="s">
        <v>24</v>
      </c>
      <c r="D6557">
        <v>0</v>
      </c>
    </row>
    <row r="6558" spans="1:4" x14ac:dyDescent="0.25">
      <c r="A6558" s="279">
        <v>39258</v>
      </c>
      <c r="B6558" s="309" t="s">
        <v>411</v>
      </c>
      <c r="C6558" s="309" t="s">
        <v>91</v>
      </c>
      <c r="D6558">
        <v>0</v>
      </c>
    </row>
    <row r="6559" spans="1:4" x14ac:dyDescent="0.25">
      <c r="A6559" s="279">
        <v>39258</v>
      </c>
      <c r="B6559" s="309" t="s">
        <v>411</v>
      </c>
      <c r="C6559" s="309" t="s">
        <v>118</v>
      </c>
      <c r="D6559">
        <v>0</v>
      </c>
    </row>
    <row r="6560" spans="1:4" x14ac:dyDescent="0.25">
      <c r="A6560" s="279">
        <v>39258</v>
      </c>
      <c r="B6560" s="309" t="s">
        <v>411</v>
      </c>
      <c r="C6560" s="309" t="s">
        <v>407</v>
      </c>
      <c r="D6560">
        <v>164453</v>
      </c>
    </row>
    <row r="6561" spans="1:4" x14ac:dyDescent="0.25">
      <c r="A6561" s="279">
        <v>39258</v>
      </c>
      <c r="B6561" s="309" t="s">
        <v>411</v>
      </c>
      <c r="C6561" s="309" t="s">
        <v>412</v>
      </c>
      <c r="D6561">
        <v>1007</v>
      </c>
    </row>
    <row r="6562" spans="1:4" x14ac:dyDescent="0.25">
      <c r="A6562" s="279">
        <v>39258</v>
      </c>
      <c r="B6562" s="309" t="s">
        <v>411</v>
      </c>
      <c r="C6562" s="309" t="s">
        <v>409</v>
      </c>
      <c r="D6562">
        <v>1049</v>
      </c>
    </row>
    <row r="6563" spans="1:4" x14ac:dyDescent="0.25">
      <c r="A6563" s="279">
        <v>39259</v>
      </c>
      <c r="B6563" s="309" t="s">
        <v>405</v>
      </c>
      <c r="C6563" s="309" t="s">
        <v>406</v>
      </c>
      <c r="D6563">
        <v>2821107.1</v>
      </c>
    </row>
    <row r="6564" spans="1:4" x14ac:dyDescent="0.25">
      <c r="A6564" s="279">
        <v>39259</v>
      </c>
      <c r="B6564" s="309" t="s">
        <v>405</v>
      </c>
      <c r="C6564" s="309" t="s">
        <v>89</v>
      </c>
      <c r="D6564">
        <v>5660</v>
      </c>
    </row>
    <row r="6565" spans="1:4" x14ac:dyDescent="0.25">
      <c r="A6565" s="279">
        <v>39259</v>
      </c>
      <c r="B6565" s="309" t="s">
        <v>405</v>
      </c>
      <c r="C6565" s="309" t="s">
        <v>198</v>
      </c>
      <c r="D6565">
        <v>0</v>
      </c>
    </row>
    <row r="6566" spans="1:4" x14ac:dyDescent="0.25">
      <c r="A6566" s="279">
        <v>39259</v>
      </c>
      <c r="B6566" s="309" t="s">
        <v>405</v>
      </c>
      <c r="C6566" s="309" t="s">
        <v>199</v>
      </c>
      <c r="D6566">
        <v>0</v>
      </c>
    </row>
    <row r="6567" spans="1:4" x14ac:dyDescent="0.25">
      <c r="A6567" s="279">
        <v>39259</v>
      </c>
      <c r="B6567" s="309" t="s">
        <v>405</v>
      </c>
      <c r="C6567" s="309" t="s">
        <v>90</v>
      </c>
      <c r="D6567">
        <v>1920</v>
      </c>
    </row>
    <row r="6568" spans="1:4" x14ac:dyDescent="0.25">
      <c r="A6568" s="279">
        <v>39259</v>
      </c>
      <c r="B6568" s="309" t="s">
        <v>405</v>
      </c>
      <c r="C6568" s="309" t="s">
        <v>24</v>
      </c>
      <c r="D6568">
        <v>0</v>
      </c>
    </row>
    <row r="6569" spans="1:4" x14ac:dyDescent="0.25">
      <c r="A6569" s="279">
        <v>39259</v>
      </c>
      <c r="B6569" s="309" t="s">
        <v>405</v>
      </c>
      <c r="C6569" s="309" t="s">
        <v>91</v>
      </c>
      <c r="D6569">
        <v>0</v>
      </c>
    </row>
    <row r="6570" spans="1:4" x14ac:dyDescent="0.25">
      <c r="A6570" s="279">
        <v>39259</v>
      </c>
      <c r="B6570" s="309" t="s">
        <v>405</v>
      </c>
      <c r="C6570" s="309" t="s">
        <v>118</v>
      </c>
      <c r="D6570">
        <v>0</v>
      </c>
    </row>
    <row r="6571" spans="1:4" x14ac:dyDescent="0.25">
      <c r="A6571" s="279">
        <v>39259</v>
      </c>
      <c r="B6571" s="309" t="s">
        <v>405</v>
      </c>
      <c r="C6571" s="309" t="s">
        <v>407</v>
      </c>
      <c r="D6571">
        <v>2824847.1</v>
      </c>
    </row>
    <row r="6572" spans="1:4" x14ac:dyDescent="0.25">
      <c r="A6572" s="279">
        <v>39259</v>
      </c>
      <c r="B6572" s="309" t="s">
        <v>405</v>
      </c>
      <c r="C6572" s="309" t="s">
        <v>408</v>
      </c>
      <c r="D6572">
        <v>1007</v>
      </c>
    </row>
    <row r="6573" spans="1:4" x14ac:dyDescent="0.25">
      <c r="A6573" s="279">
        <v>39259</v>
      </c>
      <c r="B6573" s="309" t="s">
        <v>405</v>
      </c>
      <c r="C6573" s="309" t="s">
        <v>409</v>
      </c>
      <c r="D6573">
        <v>1058</v>
      </c>
    </row>
    <row r="6574" spans="1:4" x14ac:dyDescent="0.25">
      <c r="A6574" s="279">
        <v>39259</v>
      </c>
      <c r="B6574" s="309" t="s">
        <v>405</v>
      </c>
      <c r="C6574" s="309" t="s">
        <v>410</v>
      </c>
      <c r="D6574">
        <v>1033</v>
      </c>
    </row>
    <row r="6575" spans="1:4" x14ac:dyDescent="0.25">
      <c r="A6575" s="279">
        <v>39259</v>
      </c>
      <c r="B6575" s="309" t="s">
        <v>411</v>
      </c>
      <c r="C6575" s="309" t="s">
        <v>406</v>
      </c>
      <c r="D6575">
        <v>164453</v>
      </c>
    </row>
    <row r="6576" spans="1:4" x14ac:dyDescent="0.25">
      <c r="A6576" s="279">
        <v>39259</v>
      </c>
      <c r="B6576" s="309" t="s">
        <v>411</v>
      </c>
      <c r="C6576" s="309" t="s">
        <v>198</v>
      </c>
      <c r="D6576">
        <v>0</v>
      </c>
    </row>
    <row r="6577" spans="1:4" x14ac:dyDescent="0.25">
      <c r="A6577" s="279">
        <v>39259</v>
      </c>
      <c r="B6577" s="309" t="s">
        <v>411</v>
      </c>
      <c r="C6577" s="309" t="s">
        <v>199</v>
      </c>
      <c r="D6577">
        <v>0</v>
      </c>
    </row>
    <row r="6578" spans="1:4" x14ac:dyDescent="0.25">
      <c r="A6578" s="279">
        <v>39259</v>
      </c>
      <c r="B6578" s="309" t="s">
        <v>411</v>
      </c>
      <c r="C6578" s="309" t="s">
        <v>90</v>
      </c>
      <c r="D6578">
        <v>146</v>
      </c>
    </row>
    <row r="6579" spans="1:4" x14ac:dyDescent="0.25">
      <c r="A6579" s="279">
        <v>39259</v>
      </c>
      <c r="B6579" s="309" t="s">
        <v>411</v>
      </c>
      <c r="C6579" s="309" t="s">
        <v>24</v>
      </c>
      <c r="D6579">
        <v>0</v>
      </c>
    </row>
    <row r="6580" spans="1:4" x14ac:dyDescent="0.25">
      <c r="A6580" s="279">
        <v>39259</v>
      </c>
      <c r="B6580" s="309" t="s">
        <v>411</v>
      </c>
      <c r="C6580" s="309" t="s">
        <v>91</v>
      </c>
      <c r="D6580">
        <v>0</v>
      </c>
    </row>
    <row r="6581" spans="1:4" x14ac:dyDescent="0.25">
      <c r="A6581" s="279">
        <v>39259</v>
      </c>
      <c r="B6581" s="309" t="s">
        <v>411</v>
      </c>
      <c r="C6581" s="309" t="s">
        <v>118</v>
      </c>
      <c r="D6581">
        <v>0</v>
      </c>
    </row>
    <row r="6582" spans="1:4" x14ac:dyDescent="0.25">
      <c r="A6582" s="279">
        <v>39259</v>
      </c>
      <c r="B6582" s="309" t="s">
        <v>411</v>
      </c>
      <c r="C6582" s="309" t="s">
        <v>407</v>
      </c>
      <c r="D6582">
        <v>164307</v>
      </c>
    </row>
    <row r="6583" spans="1:4" x14ac:dyDescent="0.25">
      <c r="A6583" s="279">
        <v>39259</v>
      </c>
      <c r="B6583" s="309" t="s">
        <v>411</v>
      </c>
      <c r="C6583" s="309" t="s">
        <v>412</v>
      </c>
      <c r="D6583">
        <v>1007</v>
      </c>
    </row>
    <row r="6584" spans="1:4" x14ac:dyDescent="0.25">
      <c r="A6584" s="279">
        <v>39259</v>
      </c>
      <c r="B6584" s="309" t="s">
        <v>411</v>
      </c>
      <c r="C6584" s="309" t="s">
        <v>409</v>
      </c>
      <c r="D6584">
        <v>1049</v>
      </c>
    </row>
    <row r="6585" spans="1:4" x14ac:dyDescent="0.25">
      <c r="A6585" s="279">
        <v>39260</v>
      </c>
      <c r="B6585" s="309" t="s">
        <v>405</v>
      </c>
      <c r="C6585" s="309" t="s">
        <v>406</v>
      </c>
      <c r="D6585">
        <v>2824847.1</v>
      </c>
    </row>
    <row r="6586" spans="1:4" x14ac:dyDescent="0.25">
      <c r="A6586" s="279">
        <v>39260</v>
      </c>
      <c r="B6586" s="309" t="s">
        <v>405</v>
      </c>
      <c r="C6586" s="309" t="s">
        <v>89</v>
      </c>
      <c r="D6586">
        <v>3693</v>
      </c>
    </row>
    <row r="6587" spans="1:4" x14ac:dyDescent="0.25">
      <c r="A6587" s="279">
        <v>39260</v>
      </c>
      <c r="B6587" s="309" t="s">
        <v>405</v>
      </c>
      <c r="C6587" s="309" t="s">
        <v>198</v>
      </c>
      <c r="D6587">
        <v>0</v>
      </c>
    </row>
    <row r="6588" spans="1:4" x14ac:dyDescent="0.25">
      <c r="A6588" s="279">
        <v>39260</v>
      </c>
      <c r="B6588" s="309" t="s">
        <v>405</v>
      </c>
      <c r="C6588" s="309" t="s">
        <v>199</v>
      </c>
      <c r="D6588">
        <v>0</v>
      </c>
    </row>
    <row r="6589" spans="1:4" x14ac:dyDescent="0.25">
      <c r="A6589" s="279">
        <v>39260</v>
      </c>
      <c r="B6589" s="309" t="s">
        <v>405</v>
      </c>
      <c r="C6589" s="309" t="s">
        <v>90</v>
      </c>
      <c r="D6589">
        <v>1825</v>
      </c>
    </row>
    <row r="6590" spans="1:4" x14ac:dyDescent="0.25">
      <c r="A6590" s="279">
        <v>39260</v>
      </c>
      <c r="B6590" s="309" t="s">
        <v>405</v>
      </c>
      <c r="C6590" s="309" t="s">
        <v>24</v>
      </c>
      <c r="D6590">
        <v>0</v>
      </c>
    </row>
    <row r="6591" spans="1:4" x14ac:dyDescent="0.25">
      <c r="A6591" s="279">
        <v>39260</v>
      </c>
      <c r="B6591" s="309" t="s">
        <v>405</v>
      </c>
      <c r="C6591" s="309" t="s">
        <v>91</v>
      </c>
      <c r="D6591">
        <v>0</v>
      </c>
    </row>
    <row r="6592" spans="1:4" x14ac:dyDescent="0.25">
      <c r="A6592" s="279">
        <v>39260</v>
      </c>
      <c r="B6592" s="309" t="s">
        <v>405</v>
      </c>
      <c r="C6592" s="309" t="s">
        <v>118</v>
      </c>
      <c r="D6592">
        <v>0</v>
      </c>
    </row>
    <row r="6593" spans="1:4" x14ac:dyDescent="0.25">
      <c r="A6593" s="279">
        <v>39260</v>
      </c>
      <c r="B6593" s="309" t="s">
        <v>405</v>
      </c>
      <c r="C6593" s="309" t="s">
        <v>407</v>
      </c>
      <c r="D6593">
        <v>2826715.1</v>
      </c>
    </row>
    <row r="6594" spans="1:4" x14ac:dyDescent="0.25">
      <c r="A6594" s="279">
        <v>39260</v>
      </c>
      <c r="B6594" s="309" t="s">
        <v>405</v>
      </c>
      <c r="C6594" s="309" t="s">
        <v>408</v>
      </c>
      <c r="D6594">
        <v>1007</v>
      </c>
    </row>
    <row r="6595" spans="1:4" x14ac:dyDescent="0.25">
      <c r="A6595" s="279">
        <v>39260</v>
      </c>
      <c r="B6595" s="309" t="s">
        <v>405</v>
      </c>
      <c r="C6595" s="309" t="s">
        <v>409</v>
      </c>
      <c r="D6595">
        <v>1058</v>
      </c>
    </row>
    <row r="6596" spans="1:4" x14ac:dyDescent="0.25">
      <c r="A6596" s="279">
        <v>39260</v>
      </c>
      <c r="B6596" s="309" t="s">
        <v>405</v>
      </c>
      <c r="C6596" s="309" t="s">
        <v>410</v>
      </c>
      <c r="D6596">
        <v>1036</v>
      </c>
    </row>
    <row r="6597" spans="1:4" x14ac:dyDescent="0.25">
      <c r="A6597" s="279">
        <v>39260</v>
      </c>
      <c r="B6597" s="309" t="s">
        <v>411</v>
      </c>
      <c r="C6597" s="309" t="s">
        <v>406</v>
      </c>
      <c r="D6597">
        <v>164307</v>
      </c>
    </row>
    <row r="6598" spans="1:4" x14ac:dyDescent="0.25">
      <c r="A6598" s="279">
        <v>39260</v>
      </c>
      <c r="B6598" s="309" t="s">
        <v>411</v>
      </c>
      <c r="C6598" s="309" t="s">
        <v>198</v>
      </c>
      <c r="D6598">
        <v>0</v>
      </c>
    </row>
    <row r="6599" spans="1:4" x14ac:dyDescent="0.25">
      <c r="A6599" s="279">
        <v>39260</v>
      </c>
      <c r="B6599" s="309" t="s">
        <v>411</v>
      </c>
      <c r="C6599" s="309" t="s">
        <v>199</v>
      </c>
      <c r="D6599">
        <v>0</v>
      </c>
    </row>
    <row r="6600" spans="1:4" x14ac:dyDescent="0.25">
      <c r="A6600" s="279">
        <v>39260</v>
      </c>
      <c r="B6600" s="309" t="s">
        <v>411</v>
      </c>
      <c r="C6600" s="309" t="s">
        <v>90</v>
      </c>
      <c r="D6600">
        <v>71</v>
      </c>
    </row>
    <row r="6601" spans="1:4" x14ac:dyDescent="0.25">
      <c r="A6601" s="279">
        <v>39260</v>
      </c>
      <c r="B6601" s="309" t="s">
        <v>411</v>
      </c>
      <c r="C6601" s="309" t="s">
        <v>24</v>
      </c>
      <c r="D6601">
        <v>0</v>
      </c>
    </row>
    <row r="6602" spans="1:4" x14ac:dyDescent="0.25">
      <c r="A6602" s="279">
        <v>39260</v>
      </c>
      <c r="B6602" s="309" t="s">
        <v>411</v>
      </c>
      <c r="C6602" s="309" t="s">
        <v>91</v>
      </c>
      <c r="D6602">
        <v>0</v>
      </c>
    </row>
    <row r="6603" spans="1:4" x14ac:dyDescent="0.25">
      <c r="A6603" s="279">
        <v>39260</v>
      </c>
      <c r="B6603" s="309" t="s">
        <v>411</v>
      </c>
      <c r="C6603" s="309" t="s">
        <v>118</v>
      </c>
      <c r="D6603">
        <v>0</v>
      </c>
    </row>
    <row r="6604" spans="1:4" x14ac:dyDescent="0.25">
      <c r="A6604" s="279">
        <v>39260</v>
      </c>
      <c r="B6604" s="309" t="s">
        <v>411</v>
      </c>
      <c r="C6604" s="309" t="s">
        <v>407</v>
      </c>
      <c r="D6604">
        <v>164236</v>
      </c>
    </row>
    <row r="6605" spans="1:4" x14ac:dyDescent="0.25">
      <c r="A6605" s="279">
        <v>39260</v>
      </c>
      <c r="B6605" s="309" t="s">
        <v>411</v>
      </c>
      <c r="C6605" s="309" t="s">
        <v>412</v>
      </c>
      <c r="D6605">
        <v>1007</v>
      </c>
    </row>
    <row r="6606" spans="1:4" x14ac:dyDescent="0.25">
      <c r="A6606" s="279">
        <v>39260</v>
      </c>
      <c r="B6606" s="309" t="s">
        <v>411</v>
      </c>
      <c r="C6606" s="309" t="s">
        <v>409</v>
      </c>
      <c r="D6606">
        <v>1049</v>
      </c>
    </row>
    <row r="6607" spans="1:4" x14ac:dyDescent="0.25">
      <c r="A6607" s="279">
        <v>39261</v>
      </c>
      <c r="B6607" s="309" t="s">
        <v>405</v>
      </c>
      <c r="C6607" s="309" t="s">
        <v>406</v>
      </c>
      <c r="D6607">
        <v>2826715.1</v>
      </c>
    </row>
    <row r="6608" spans="1:4" x14ac:dyDescent="0.25">
      <c r="A6608" s="279">
        <v>39261</v>
      </c>
      <c r="B6608" s="309" t="s">
        <v>405</v>
      </c>
      <c r="C6608" s="309" t="s">
        <v>89</v>
      </c>
      <c r="D6608">
        <v>4537</v>
      </c>
    </row>
    <row r="6609" spans="1:4" x14ac:dyDescent="0.25">
      <c r="A6609" s="279">
        <v>39261</v>
      </c>
      <c r="B6609" s="309" t="s">
        <v>405</v>
      </c>
      <c r="C6609" s="309" t="s">
        <v>198</v>
      </c>
      <c r="D6609">
        <v>0</v>
      </c>
    </row>
    <row r="6610" spans="1:4" x14ac:dyDescent="0.25">
      <c r="A6610" s="279">
        <v>39261</v>
      </c>
      <c r="B6610" s="309" t="s">
        <v>405</v>
      </c>
      <c r="C6610" s="309" t="s">
        <v>199</v>
      </c>
      <c r="D6610">
        <v>0</v>
      </c>
    </row>
    <row r="6611" spans="1:4" x14ac:dyDescent="0.25">
      <c r="A6611" s="279">
        <v>39261</v>
      </c>
      <c r="B6611" s="309" t="s">
        <v>405</v>
      </c>
      <c r="C6611" s="309" t="s">
        <v>90</v>
      </c>
      <c r="D6611">
        <v>1868</v>
      </c>
    </row>
    <row r="6612" spans="1:4" x14ac:dyDescent="0.25">
      <c r="A6612" s="279">
        <v>39261</v>
      </c>
      <c r="B6612" s="309" t="s">
        <v>405</v>
      </c>
      <c r="C6612" s="309" t="s">
        <v>24</v>
      </c>
      <c r="D6612">
        <v>0</v>
      </c>
    </row>
    <row r="6613" spans="1:4" x14ac:dyDescent="0.25">
      <c r="A6613" s="279">
        <v>39261</v>
      </c>
      <c r="B6613" s="309" t="s">
        <v>405</v>
      </c>
      <c r="C6613" s="309" t="s">
        <v>91</v>
      </c>
      <c r="D6613">
        <v>0</v>
      </c>
    </row>
    <row r="6614" spans="1:4" x14ac:dyDescent="0.25">
      <c r="A6614" s="279">
        <v>39261</v>
      </c>
      <c r="B6614" s="309" t="s">
        <v>405</v>
      </c>
      <c r="C6614" s="309" t="s">
        <v>118</v>
      </c>
      <c r="D6614">
        <v>0</v>
      </c>
    </row>
    <row r="6615" spans="1:4" x14ac:dyDescent="0.25">
      <c r="A6615" s="279">
        <v>39261</v>
      </c>
      <c r="B6615" s="309" t="s">
        <v>405</v>
      </c>
      <c r="C6615" s="309" t="s">
        <v>407</v>
      </c>
      <c r="D6615">
        <v>2829384.1</v>
      </c>
    </row>
    <row r="6616" spans="1:4" x14ac:dyDescent="0.25">
      <c r="A6616" s="279">
        <v>39261</v>
      </c>
      <c r="B6616" s="309" t="s">
        <v>405</v>
      </c>
      <c r="C6616" s="309" t="s">
        <v>408</v>
      </c>
      <c r="D6616">
        <v>1007</v>
      </c>
    </row>
    <row r="6617" spans="1:4" x14ac:dyDescent="0.25">
      <c r="A6617" s="279">
        <v>39261</v>
      </c>
      <c r="B6617" s="309" t="s">
        <v>405</v>
      </c>
      <c r="C6617" s="309" t="s">
        <v>409</v>
      </c>
      <c r="D6617">
        <v>1058</v>
      </c>
    </row>
    <row r="6618" spans="1:4" x14ac:dyDescent="0.25">
      <c r="A6618" s="279">
        <v>39261</v>
      </c>
      <c r="B6618" s="309" t="s">
        <v>405</v>
      </c>
      <c r="C6618" s="309" t="s">
        <v>410</v>
      </c>
      <c r="D6618">
        <v>1036</v>
      </c>
    </row>
    <row r="6619" spans="1:4" x14ac:dyDescent="0.25">
      <c r="A6619" s="279">
        <v>39261</v>
      </c>
      <c r="B6619" s="309" t="s">
        <v>411</v>
      </c>
      <c r="C6619" s="309" t="s">
        <v>406</v>
      </c>
      <c r="D6619">
        <v>164236</v>
      </c>
    </row>
    <row r="6620" spans="1:4" x14ac:dyDescent="0.25">
      <c r="A6620" s="279">
        <v>39261</v>
      </c>
      <c r="B6620" s="309" t="s">
        <v>411</v>
      </c>
      <c r="C6620" s="309" t="s">
        <v>198</v>
      </c>
      <c r="D6620">
        <v>0</v>
      </c>
    </row>
    <row r="6621" spans="1:4" x14ac:dyDescent="0.25">
      <c r="A6621" s="279">
        <v>39261</v>
      </c>
      <c r="B6621" s="309" t="s">
        <v>411</v>
      </c>
      <c r="C6621" s="309" t="s">
        <v>199</v>
      </c>
      <c r="D6621">
        <v>0</v>
      </c>
    </row>
    <row r="6622" spans="1:4" x14ac:dyDescent="0.25">
      <c r="A6622" s="279">
        <v>39261</v>
      </c>
      <c r="B6622" s="309" t="s">
        <v>411</v>
      </c>
      <c r="C6622" s="309" t="s">
        <v>90</v>
      </c>
      <c r="D6622">
        <v>205</v>
      </c>
    </row>
    <row r="6623" spans="1:4" x14ac:dyDescent="0.25">
      <c r="A6623" s="279">
        <v>39261</v>
      </c>
      <c r="B6623" s="309" t="s">
        <v>411</v>
      </c>
      <c r="C6623" s="309" t="s">
        <v>24</v>
      </c>
      <c r="D6623">
        <v>0</v>
      </c>
    </row>
    <row r="6624" spans="1:4" x14ac:dyDescent="0.25">
      <c r="A6624" s="279">
        <v>39261</v>
      </c>
      <c r="B6624" s="309" t="s">
        <v>411</v>
      </c>
      <c r="C6624" s="309" t="s">
        <v>91</v>
      </c>
      <c r="D6624">
        <v>0</v>
      </c>
    </row>
    <row r="6625" spans="1:4" x14ac:dyDescent="0.25">
      <c r="A6625" s="279">
        <v>39261</v>
      </c>
      <c r="B6625" s="309" t="s">
        <v>411</v>
      </c>
      <c r="C6625" s="309" t="s">
        <v>118</v>
      </c>
      <c r="D6625">
        <v>0</v>
      </c>
    </row>
    <row r="6626" spans="1:4" x14ac:dyDescent="0.25">
      <c r="A6626" s="279">
        <v>39261</v>
      </c>
      <c r="B6626" s="309" t="s">
        <v>411</v>
      </c>
      <c r="C6626" s="309" t="s">
        <v>407</v>
      </c>
      <c r="D6626">
        <v>164031</v>
      </c>
    </row>
    <row r="6627" spans="1:4" x14ac:dyDescent="0.25">
      <c r="A6627" s="279">
        <v>39261</v>
      </c>
      <c r="B6627" s="309" t="s">
        <v>411</v>
      </c>
      <c r="C6627" s="309" t="s">
        <v>412</v>
      </c>
      <c r="D6627">
        <v>1007</v>
      </c>
    </row>
    <row r="6628" spans="1:4" x14ac:dyDescent="0.25">
      <c r="A6628" s="279">
        <v>39261</v>
      </c>
      <c r="B6628" s="309" t="s">
        <v>411</v>
      </c>
      <c r="C6628" s="309" t="s">
        <v>409</v>
      </c>
      <c r="D6628">
        <v>1049</v>
      </c>
    </row>
    <row r="6629" spans="1:4" x14ac:dyDescent="0.25">
      <c r="A6629" s="279">
        <v>39262</v>
      </c>
      <c r="B6629" s="309" t="s">
        <v>405</v>
      </c>
      <c r="C6629" s="309" t="s">
        <v>406</v>
      </c>
      <c r="D6629">
        <v>2829384.1</v>
      </c>
    </row>
    <row r="6630" spans="1:4" x14ac:dyDescent="0.25">
      <c r="A6630" s="279">
        <v>39262</v>
      </c>
      <c r="B6630" s="309" t="s">
        <v>405</v>
      </c>
      <c r="C6630" s="309" t="s">
        <v>89</v>
      </c>
      <c r="D6630">
        <v>5100</v>
      </c>
    </row>
    <row r="6631" spans="1:4" x14ac:dyDescent="0.25">
      <c r="A6631" s="279">
        <v>39262</v>
      </c>
      <c r="B6631" s="309" t="s">
        <v>405</v>
      </c>
      <c r="C6631" s="309" t="s">
        <v>198</v>
      </c>
      <c r="D6631">
        <v>0</v>
      </c>
    </row>
    <row r="6632" spans="1:4" x14ac:dyDescent="0.25">
      <c r="A6632" s="279">
        <v>39262</v>
      </c>
      <c r="B6632" s="309" t="s">
        <v>405</v>
      </c>
      <c r="C6632" s="309" t="s">
        <v>199</v>
      </c>
      <c r="D6632">
        <v>0</v>
      </c>
    </row>
    <row r="6633" spans="1:4" x14ac:dyDescent="0.25">
      <c r="A6633" s="279">
        <v>39262</v>
      </c>
      <c r="B6633" s="309" t="s">
        <v>405</v>
      </c>
      <c r="C6633" s="309" t="s">
        <v>90</v>
      </c>
      <c r="D6633">
        <v>1898</v>
      </c>
    </row>
    <row r="6634" spans="1:4" x14ac:dyDescent="0.25">
      <c r="A6634" s="279">
        <v>39262</v>
      </c>
      <c r="B6634" s="309" t="s">
        <v>405</v>
      </c>
      <c r="C6634" s="309" t="s">
        <v>24</v>
      </c>
      <c r="D6634">
        <v>0</v>
      </c>
    </row>
    <row r="6635" spans="1:4" x14ac:dyDescent="0.25">
      <c r="A6635" s="279">
        <v>39262</v>
      </c>
      <c r="B6635" s="309" t="s">
        <v>405</v>
      </c>
      <c r="C6635" s="309" t="s">
        <v>91</v>
      </c>
      <c r="D6635">
        <v>0</v>
      </c>
    </row>
    <row r="6636" spans="1:4" x14ac:dyDescent="0.25">
      <c r="A6636" s="279">
        <v>39262</v>
      </c>
      <c r="B6636" s="309" t="s">
        <v>405</v>
      </c>
      <c r="C6636" s="309" t="s">
        <v>118</v>
      </c>
      <c r="D6636">
        <v>0</v>
      </c>
    </row>
    <row r="6637" spans="1:4" x14ac:dyDescent="0.25">
      <c r="A6637" s="279">
        <v>39262</v>
      </c>
      <c r="B6637" s="309" t="s">
        <v>405</v>
      </c>
      <c r="C6637" s="309" t="s">
        <v>407</v>
      </c>
      <c r="D6637">
        <v>2832586.1</v>
      </c>
    </row>
    <row r="6638" spans="1:4" x14ac:dyDescent="0.25">
      <c r="A6638" s="279">
        <v>39262</v>
      </c>
      <c r="B6638" s="309" t="s">
        <v>405</v>
      </c>
      <c r="C6638" s="309" t="s">
        <v>408</v>
      </c>
      <c r="D6638">
        <v>1007</v>
      </c>
    </row>
    <row r="6639" spans="1:4" x14ac:dyDescent="0.25">
      <c r="A6639" s="279">
        <v>39262</v>
      </c>
      <c r="B6639" s="309" t="s">
        <v>405</v>
      </c>
      <c r="C6639" s="309" t="s">
        <v>409</v>
      </c>
      <c r="D6639">
        <v>1058</v>
      </c>
    </row>
    <row r="6640" spans="1:4" x14ac:dyDescent="0.25">
      <c r="A6640" s="279">
        <v>39262</v>
      </c>
      <c r="B6640" s="309" t="s">
        <v>405</v>
      </c>
      <c r="C6640" s="309" t="s">
        <v>410</v>
      </c>
      <c r="D6640">
        <v>1038</v>
      </c>
    </row>
    <row r="6641" spans="1:4" x14ac:dyDescent="0.25">
      <c r="A6641" s="279">
        <v>39262</v>
      </c>
      <c r="B6641" s="309" t="s">
        <v>411</v>
      </c>
      <c r="C6641" s="309" t="s">
        <v>406</v>
      </c>
      <c r="D6641">
        <v>164031</v>
      </c>
    </row>
    <row r="6642" spans="1:4" x14ac:dyDescent="0.25">
      <c r="A6642" s="279">
        <v>39262</v>
      </c>
      <c r="B6642" s="309" t="s">
        <v>411</v>
      </c>
      <c r="C6642" s="309" t="s">
        <v>198</v>
      </c>
      <c r="D6642">
        <v>0</v>
      </c>
    </row>
    <row r="6643" spans="1:4" x14ac:dyDescent="0.25">
      <c r="A6643" s="279">
        <v>39262</v>
      </c>
      <c r="B6643" s="309" t="s">
        <v>411</v>
      </c>
      <c r="C6643" s="309" t="s">
        <v>199</v>
      </c>
      <c r="D6643">
        <v>0</v>
      </c>
    </row>
    <row r="6644" spans="1:4" x14ac:dyDescent="0.25">
      <c r="A6644" s="279">
        <v>39262</v>
      </c>
      <c r="B6644" s="309" t="s">
        <v>411</v>
      </c>
      <c r="C6644" s="309" t="s">
        <v>90</v>
      </c>
      <c r="D6644">
        <v>74</v>
      </c>
    </row>
    <row r="6645" spans="1:4" x14ac:dyDescent="0.25">
      <c r="A6645" s="279">
        <v>39262</v>
      </c>
      <c r="B6645" s="309" t="s">
        <v>411</v>
      </c>
      <c r="C6645" s="309" t="s">
        <v>24</v>
      </c>
      <c r="D6645">
        <v>0</v>
      </c>
    </row>
    <row r="6646" spans="1:4" x14ac:dyDescent="0.25">
      <c r="A6646" s="279">
        <v>39262</v>
      </c>
      <c r="B6646" s="309" t="s">
        <v>411</v>
      </c>
      <c r="C6646" s="309" t="s">
        <v>91</v>
      </c>
      <c r="D6646">
        <v>0</v>
      </c>
    </row>
    <row r="6647" spans="1:4" x14ac:dyDescent="0.25">
      <c r="A6647" s="279">
        <v>39262</v>
      </c>
      <c r="B6647" s="309" t="s">
        <v>411</v>
      </c>
      <c r="C6647" s="309" t="s">
        <v>118</v>
      </c>
      <c r="D6647">
        <v>0</v>
      </c>
    </row>
    <row r="6648" spans="1:4" x14ac:dyDescent="0.25">
      <c r="A6648" s="279">
        <v>39262</v>
      </c>
      <c r="B6648" s="309" t="s">
        <v>411</v>
      </c>
      <c r="C6648" s="309" t="s">
        <v>407</v>
      </c>
      <c r="D6648">
        <v>163957</v>
      </c>
    </row>
    <row r="6649" spans="1:4" x14ac:dyDescent="0.25">
      <c r="A6649" s="279">
        <v>39262</v>
      </c>
      <c r="B6649" s="309" t="s">
        <v>411</v>
      </c>
      <c r="C6649" s="309" t="s">
        <v>412</v>
      </c>
      <c r="D6649">
        <v>1007</v>
      </c>
    </row>
    <row r="6650" spans="1:4" x14ac:dyDescent="0.25">
      <c r="A6650" s="279">
        <v>39262</v>
      </c>
      <c r="B6650" s="309" t="s">
        <v>411</v>
      </c>
      <c r="C6650" s="309" t="s">
        <v>409</v>
      </c>
      <c r="D6650">
        <v>1049</v>
      </c>
    </row>
    <row r="6651" spans="1:4" x14ac:dyDescent="0.25">
      <c r="A6651" s="279">
        <v>39263</v>
      </c>
      <c r="B6651" s="309" t="s">
        <v>405</v>
      </c>
      <c r="C6651" s="309" t="s">
        <v>406</v>
      </c>
      <c r="D6651">
        <v>2832586.1</v>
      </c>
    </row>
    <row r="6652" spans="1:4" x14ac:dyDescent="0.25">
      <c r="A6652" s="279">
        <v>39263</v>
      </c>
      <c r="B6652" s="309" t="s">
        <v>405</v>
      </c>
      <c r="C6652" s="309" t="s">
        <v>89</v>
      </c>
      <c r="D6652">
        <v>4820</v>
      </c>
    </row>
    <row r="6653" spans="1:4" x14ac:dyDescent="0.25">
      <c r="A6653" s="279">
        <v>39263</v>
      </c>
      <c r="B6653" s="309" t="s">
        <v>405</v>
      </c>
      <c r="C6653" s="309" t="s">
        <v>198</v>
      </c>
      <c r="D6653">
        <v>0</v>
      </c>
    </row>
    <row r="6654" spans="1:4" x14ac:dyDescent="0.25">
      <c r="A6654" s="279">
        <v>39263</v>
      </c>
      <c r="B6654" s="309" t="s">
        <v>405</v>
      </c>
      <c r="C6654" s="309" t="s">
        <v>199</v>
      </c>
      <c r="D6654">
        <v>0</v>
      </c>
    </row>
    <row r="6655" spans="1:4" x14ac:dyDescent="0.25">
      <c r="A6655" s="279">
        <v>39263</v>
      </c>
      <c r="B6655" s="309" t="s">
        <v>405</v>
      </c>
      <c r="C6655" s="309" t="s">
        <v>90</v>
      </c>
      <c r="D6655">
        <v>1884</v>
      </c>
    </row>
    <row r="6656" spans="1:4" x14ac:dyDescent="0.25">
      <c r="A6656" s="279">
        <v>39263</v>
      </c>
      <c r="B6656" s="309" t="s">
        <v>405</v>
      </c>
      <c r="C6656" s="309" t="s">
        <v>24</v>
      </c>
      <c r="D6656">
        <v>0</v>
      </c>
    </row>
    <row r="6657" spans="1:4" x14ac:dyDescent="0.25">
      <c r="A6657" s="279">
        <v>39263</v>
      </c>
      <c r="B6657" s="309" t="s">
        <v>405</v>
      </c>
      <c r="C6657" s="309" t="s">
        <v>91</v>
      </c>
      <c r="D6657">
        <v>0</v>
      </c>
    </row>
    <row r="6658" spans="1:4" x14ac:dyDescent="0.25">
      <c r="A6658" s="279">
        <v>39263</v>
      </c>
      <c r="B6658" s="309" t="s">
        <v>405</v>
      </c>
      <c r="C6658" s="309" t="s">
        <v>118</v>
      </c>
      <c r="D6658">
        <v>0</v>
      </c>
    </row>
    <row r="6659" spans="1:4" x14ac:dyDescent="0.25">
      <c r="A6659" s="279">
        <v>39263</v>
      </c>
      <c r="B6659" s="309" t="s">
        <v>405</v>
      </c>
      <c r="C6659" s="309" t="s">
        <v>407</v>
      </c>
      <c r="D6659">
        <v>2835522.1</v>
      </c>
    </row>
    <row r="6660" spans="1:4" x14ac:dyDescent="0.25">
      <c r="A6660" s="279">
        <v>39263</v>
      </c>
      <c r="B6660" s="309" t="s">
        <v>405</v>
      </c>
      <c r="C6660" s="309" t="s">
        <v>408</v>
      </c>
      <c r="D6660">
        <v>1007</v>
      </c>
    </row>
    <row r="6661" spans="1:4" x14ac:dyDescent="0.25">
      <c r="A6661" s="279">
        <v>39263</v>
      </c>
      <c r="B6661" s="309" t="s">
        <v>405</v>
      </c>
      <c r="C6661" s="309" t="s">
        <v>409</v>
      </c>
      <c r="D6661">
        <v>1058</v>
      </c>
    </row>
    <row r="6662" spans="1:4" x14ac:dyDescent="0.25">
      <c r="A6662" s="279">
        <v>39263</v>
      </c>
      <c r="B6662" s="309" t="s">
        <v>405</v>
      </c>
      <c r="C6662" s="309" t="s">
        <v>410</v>
      </c>
      <c r="D6662">
        <v>1038</v>
      </c>
    </row>
    <row r="6663" spans="1:4" x14ac:dyDescent="0.25">
      <c r="A6663" s="279">
        <v>39263</v>
      </c>
      <c r="B6663" s="309" t="s">
        <v>411</v>
      </c>
      <c r="C6663" s="309" t="s">
        <v>406</v>
      </c>
      <c r="D6663">
        <v>163957</v>
      </c>
    </row>
    <row r="6664" spans="1:4" x14ac:dyDescent="0.25">
      <c r="A6664" s="279">
        <v>39263</v>
      </c>
      <c r="B6664" s="309" t="s">
        <v>411</v>
      </c>
      <c r="C6664" s="309" t="s">
        <v>198</v>
      </c>
      <c r="D6664">
        <v>0</v>
      </c>
    </row>
    <row r="6665" spans="1:4" x14ac:dyDescent="0.25">
      <c r="A6665" s="279">
        <v>39263</v>
      </c>
      <c r="B6665" s="309" t="s">
        <v>411</v>
      </c>
      <c r="C6665" s="309" t="s">
        <v>199</v>
      </c>
      <c r="D6665">
        <v>0</v>
      </c>
    </row>
    <row r="6666" spans="1:4" x14ac:dyDescent="0.25">
      <c r="A6666" s="279">
        <v>39263</v>
      </c>
      <c r="B6666" s="309" t="s">
        <v>411</v>
      </c>
      <c r="C6666" s="309" t="s">
        <v>90</v>
      </c>
      <c r="D6666">
        <v>68</v>
      </c>
    </row>
    <row r="6667" spans="1:4" x14ac:dyDescent="0.25">
      <c r="A6667" s="279">
        <v>39263</v>
      </c>
      <c r="B6667" s="309" t="s">
        <v>411</v>
      </c>
      <c r="C6667" s="309" t="s">
        <v>24</v>
      </c>
      <c r="D6667">
        <v>0</v>
      </c>
    </row>
    <row r="6668" spans="1:4" x14ac:dyDescent="0.25">
      <c r="A6668" s="279">
        <v>39263</v>
      </c>
      <c r="B6668" s="309" t="s">
        <v>411</v>
      </c>
      <c r="C6668" s="309" t="s">
        <v>91</v>
      </c>
      <c r="D6668">
        <v>0</v>
      </c>
    </row>
    <row r="6669" spans="1:4" x14ac:dyDescent="0.25">
      <c r="A6669" s="279">
        <v>39263</v>
      </c>
      <c r="B6669" s="309" t="s">
        <v>411</v>
      </c>
      <c r="C6669" s="309" t="s">
        <v>118</v>
      </c>
      <c r="D6669">
        <v>0</v>
      </c>
    </row>
    <row r="6670" spans="1:4" x14ac:dyDescent="0.25">
      <c r="A6670" s="279">
        <v>39263</v>
      </c>
      <c r="B6670" s="309" t="s">
        <v>411</v>
      </c>
      <c r="C6670" s="309" t="s">
        <v>407</v>
      </c>
      <c r="D6670">
        <v>163889</v>
      </c>
    </row>
    <row r="6671" spans="1:4" x14ac:dyDescent="0.25">
      <c r="A6671" s="279">
        <v>39263</v>
      </c>
      <c r="B6671" s="309" t="s">
        <v>411</v>
      </c>
      <c r="C6671" s="309" t="s">
        <v>412</v>
      </c>
      <c r="D6671">
        <v>1007</v>
      </c>
    </row>
    <row r="6672" spans="1:4" x14ac:dyDescent="0.25">
      <c r="A6672" s="279">
        <v>39263</v>
      </c>
      <c r="B6672" s="309" t="s">
        <v>411</v>
      </c>
      <c r="C6672" s="309" t="s">
        <v>409</v>
      </c>
      <c r="D6672">
        <v>1049</v>
      </c>
    </row>
    <row r="6673" spans="1:4" x14ac:dyDescent="0.25">
      <c r="A6673" s="279">
        <v>39264</v>
      </c>
      <c r="B6673" s="309" t="s">
        <v>405</v>
      </c>
      <c r="C6673" s="309" t="s">
        <v>406</v>
      </c>
      <c r="D6673">
        <v>2835522.1</v>
      </c>
    </row>
    <row r="6674" spans="1:4" x14ac:dyDescent="0.25">
      <c r="A6674" s="279">
        <v>39264</v>
      </c>
      <c r="B6674" s="309" t="s">
        <v>405</v>
      </c>
      <c r="C6674" s="309" t="s">
        <v>89</v>
      </c>
      <c r="D6674">
        <v>0</v>
      </c>
    </row>
    <row r="6675" spans="1:4" x14ac:dyDescent="0.25">
      <c r="A6675" s="279">
        <v>39264</v>
      </c>
      <c r="B6675" s="309" t="s">
        <v>405</v>
      </c>
      <c r="C6675" s="309" t="s">
        <v>198</v>
      </c>
      <c r="D6675">
        <v>0</v>
      </c>
    </row>
    <row r="6676" spans="1:4" x14ac:dyDescent="0.25">
      <c r="A6676" s="279">
        <v>39264</v>
      </c>
      <c r="B6676" s="309" t="s">
        <v>405</v>
      </c>
      <c r="C6676" s="309" t="s">
        <v>199</v>
      </c>
      <c r="D6676">
        <v>0</v>
      </c>
    </row>
    <row r="6677" spans="1:4" x14ac:dyDescent="0.25">
      <c r="A6677" s="279">
        <v>39264</v>
      </c>
      <c r="B6677" s="309" t="s">
        <v>405</v>
      </c>
      <c r="C6677" s="309" t="s">
        <v>90</v>
      </c>
      <c r="D6677">
        <v>1335</v>
      </c>
    </row>
    <row r="6678" spans="1:4" x14ac:dyDescent="0.25">
      <c r="A6678" s="279">
        <v>39264</v>
      </c>
      <c r="B6678" s="309" t="s">
        <v>405</v>
      </c>
      <c r="C6678" s="309" t="s">
        <v>24</v>
      </c>
      <c r="D6678">
        <v>0</v>
      </c>
    </row>
    <row r="6679" spans="1:4" x14ac:dyDescent="0.25">
      <c r="A6679" s="279">
        <v>39264</v>
      </c>
      <c r="B6679" s="309" t="s">
        <v>405</v>
      </c>
      <c r="C6679" s="309" t="s">
        <v>91</v>
      </c>
      <c r="D6679">
        <v>0</v>
      </c>
    </row>
    <row r="6680" spans="1:4" x14ac:dyDescent="0.25">
      <c r="A6680" s="279">
        <v>39264</v>
      </c>
      <c r="B6680" s="309" t="s">
        <v>405</v>
      </c>
      <c r="C6680" s="309" t="s">
        <v>118</v>
      </c>
      <c r="D6680">
        <v>0</v>
      </c>
    </row>
    <row r="6681" spans="1:4" x14ac:dyDescent="0.25">
      <c r="A6681" s="279">
        <v>39264</v>
      </c>
      <c r="B6681" s="309" t="s">
        <v>405</v>
      </c>
      <c r="C6681" s="309" t="s">
        <v>407</v>
      </c>
      <c r="D6681">
        <v>2834187.1</v>
      </c>
    </row>
    <row r="6682" spans="1:4" x14ac:dyDescent="0.25">
      <c r="A6682" s="279">
        <v>39264</v>
      </c>
      <c r="B6682" s="309" t="s">
        <v>405</v>
      </c>
      <c r="C6682" s="309" t="s">
        <v>408</v>
      </c>
      <c r="D6682">
        <v>1007</v>
      </c>
    </row>
    <row r="6683" spans="1:4" x14ac:dyDescent="0.25">
      <c r="A6683" s="279">
        <v>39264</v>
      </c>
      <c r="B6683" s="309" t="s">
        <v>405</v>
      </c>
      <c r="C6683" s="309" t="s">
        <v>409</v>
      </c>
      <c r="D6683">
        <v>1058</v>
      </c>
    </row>
    <row r="6684" spans="1:4" x14ac:dyDescent="0.25">
      <c r="A6684" s="279">
        <v>39264</v>
      </c>
      <c r="B6684" s="309" t="s">
        <v>405</v>
      </c>
      <c r="C6684" s="309" t="s">
        <v>410</v>
      </c>
      <c r="D6684">
        <v>1039</v>
      </c>
    </row>
    <row r="6685" spans="1:4" x14ac:dyDescent="0.25">
      <c r="A6685" s="279">
        <v>39264</v>
      </c>
      <c r="B6685" s="309" t="s">
        <v>411</v>
      </c>
      <c r="C6685" s="309" t="s">
        <v>406</v>
      </c>
      <c r="D6685">
        <v>163889</v>
      </c>
    </row>
    <row r="6686" spans="1:4" x14ac:dyDescent="0.25">
      <c r="A6686" s="279">
        <v>39264</v>
      </c>
      <c r="B6686" s="309" t="s">
        <v>411</v>
      </c>
      <c r="C6686" s="309" t="s">
        <v>198</v>
      </c>
      <c r="D6686">
        <v>0</v>
      </c>
    </row>
    <row r="6687" spans="1:4" x14ac:dyDescent="0.25">
      <c r="A6687" s="279">
        <v>39264</v>
      </c>
      <c r="B6687" s="309" t="s">
        <v>411</v>
      </c>
      <c r="C6687" s="309" t="s">
        <v>199</v>
      </c>
      <c r="D6687">
        <v>0</v>
      </c>
    </row>
    <row r="6688" spans="1:4" x14ac:dyDescent="0.25">
      <c r="A6688" s="279">
        <v>39264</v>
      </c>
      <c r="B6688" s="309" t="s">
        <v>411</v>
      </c>
      <c r="C6688" s="309" t="s">
        <v>90</v>
      </c>
      <c r="D6688">
        <v>134</v>
      </c>
    </row>
    <row r="6689" spans="1:4" x14ac:dyDescent="0.25">
      <c r="A6689" s="279">
        <v>39264</v>
      </c>
      <c r="B6689" s="309" t="s">
        <v>411</v>
      </c>
      <c r="C6689" s="309" t="s">
        <v>24</v>
      </c>
      <c r="D6689">
        <v>0</v>
      </c>
    </row>
    <row r="6690" spans="1:4" x14ac:dyDescent="0.25">
      <c r="A6690" s="279">
        <v>39264</v>
      </c>
      <c r="B6690" s="309" t="s">
        <v>411</v>
      </c>
      <c r="C6690" s="309" t="s">
        <v>91</v>
      </c>
      <c r="D6690">
        <v>0</v>
      </c>
    </row>
    <row r="6691" spans="1:4" x14ac:dyDescent="0.25">
      <c r="A6691" s="279">
        <v>39264</v>
      </c>
      <c r="B6691" s="309" t="s">
        <v>411</v>
      </c>
      <c r="C6691" s="309" t="s">
        <v>118</v>
      </c>
      <c r="D6691">
        <v>0</v>
      </c>
    </row>
    <row r="6692" spans="1:4" x14ac:dyDescent="0.25">
      <c r="A6692" s="279">
        <v>39264</v>
      </c>
      <c r="B6692" s="309" t="s">
        <v>411</v>
      </c>
      <c r="C6692" s="309" t="s">
        <v>407</v>
      </c>
      <c r="D6692">
        <v>163755</v>
      </c>
    </row>
    <row r="6693" spans="1:4" x14ac:dyDescent="0.25">
      <c r="A6693" s="279">
        <v>39264</v>
      </c>
      <c r="B6693" s="309" t="s">
        <v>411</v>
      </c>
      <c r="C6693" s="309" t="s">
        <v>412</v>
      </c>
      <c r="D6693">
        <v>1007</v>
      </c>
    </row>
    <row r="6694" spans="1:4" x14ac:dyDescent="0.25">
      <c r="A6694" s="279">
        <v>39264</v>
      </c>
      <c r="B6694" s="309" t="s">
        <v>411</v>
      </c>
      <c r="C6694" s="309" t="s">
        <v>409</v>
      </c>
      <c r="D6694">
        <v>1049</v>
      </c>
    </row>
    <row r="6695" spans="1:4" x14ac:dyDescent="0.25">
      <c r="A6695" s="279">
        <v>39265</v>
      </c>
      <c r="B6695" s="309" t="s">
        <v>405</v>
      </c>
      <c r="C6695" s="309" t="s">
        <v>406</v>
      </c>
      <c r="D6695">
        <v>2834187.1</v>
      </c>
    </row>
    <row r="6696" spans="1:4" x14ac:dyDescent="0.25">
      <c r="A6696" s="279">
        <v>39265</v>
      </c>
      <c r="B6696" s="309" t="s">
        <v>405</v>
      </c>
      <c r="C6696" s="309" t="s">
        <v>89</v>
      </c>
      <c r="D6696">
        <v>0</v>
      </c>
    </row>
    <row r="6697" spans="1:4" x14ac:dyDescent="0.25">
      <c r="A6697" s="279">
        <v>39265</v>
      </c>
      <c r="B6697" s="309" t="s">
        <v>405</v>
      </c>
      <c r="C6697" s="309" t="s">
        <v>198</v>
      </c>
      <c r="D6697">
        <v>0</v>
      </c>
    </row>
    <row r="6698" spans="1:4" x14ac:dyDescent="0.25">
      <c r="A6698" s="279">
        <v>39265</v>
      </c>
      <c r="B6698" s="309" t="s">
        <v>405</v>
      </c>
      <c r="C6698" s="309" t="s">
        <v>199</v>
      </c>
      <c r="D6698">
        <v>0</v>
      </c>
    </row>
    <row r="6699" spans="1:4" x14ac:dyDescent="0.25">
      <c r="A6699" s="279">
        <v>39265</v>
      </c>
      <c r="B6699" s="309" t="s">
        <v>405</v>
      </c>
      <c r="C6699" s="309" t="s">
        <v>90</v>
      </c>
      <c r="D6699">
        <v>1602</v>
      </c>
    </row>
    <row r="6700" spans="1:4" x14ac:dyDescent="0.25">
      <c r="A6700" s="279">
        <v>39265</v>
      </c>
      <c r="B6700" s="309" t="s">
        <v>405</v>
      </c>
      <c r="C6700" s="309" t="s">
        <v>24</v>
      </c>
      <c r="D6700">
        <v>0</v>
      </c>
    </row>
    <row r="6701" spans="1:4" x14ac:dyDescent="0.25">
      <c r="A6701" s="279">
        <v>39265</v>
      </c>
      <c r="B6701" s="309" t="s">
        <v>405</v>
      </c>
      <c r="C6701" s="309" t="s">
        <v>91</v>
      </c>
      <c r="D6701">
        <v>0</v>
      </c>
    </row>
    <row r="6702" spans="1:4" x14ac:dyDescent="0.25">
      <c r="A6702" s="279">
        <v>39265</v>
      </c>
      <c r="B6702" s="309" t="s">
        <v>405</v>
      </c>
      <c r="C6702" s="309" t="s">
        <v>118</v>
      </c>
      <c r="D6702">
        <v>0</v>
      </c>
    </row>
    <row r="6703" spans="1:4" x14ac:dyDescent="0.25">
      <c r="A6703" s="279">
        <v>39265</v>
      </c>
      <c r="B6703" s="309" t="s">
        <v>405</v>
      </c>
      <c r="C6703" s="309" t="s">
        <v>407</v>
      </c>
      <c r="D6703">
        <v>2832585.1</v>
      </c>
    </row>
    <row r="6704" spans="1:4" x14ac:dyDescent="0.25">
      <c r="A6704" s="279">
        <v>39265</v>
      </c>
      <c r="B6704" s="309" t="s">
        <v>405</v>
      </c>
      <c r="C6704" s="309" t="s">
        <v>408</v>
      </c>
      <c r="D6704">
        <v>1007</v>
      </c>
    </row>
    <row r="6705" spans="1:4" x14ac:dyDescent="0.25">
      <c r="A6705" s="279">
        <v>39265</v>
      </c>
      <c r="B6705" s="309" t="s">
        <v>405</v>
      </c>
      <c r="C6705" s="309" t="s">
        <v>409</v>
      </c>
      <c r="D6705">
        <v>1058</v>
      </c>
    </row>
    <row r="6706" spans="1:4" x14ac:dyDescent="0.25">
      <c r="A6706" s="279">
        <v>39265</v>
      </c>
      <c r="B6706" s="309" t="s">
        <v>405</v>
      </c>
      <c r="C6706" s="309" t="s">
        <v>410</v>
      </c>
      <c r="D6706">
        <v>1040</v>
      </c>
    </row>
    <row r="6707" spans="1:4" x14ac:dyDescent="0.25">
      <c r="A6707" s="279">
        <v>39265</v>
      </c>
      <c r="B6707" s="309" t="s">
        <v>411</v>
      </c>
      <c r="C6707" s="309" t="s">
        <v>406</v>
      </c>
      <c r="D6707">
        <v>163755</v>
      </c>
    </row>
    <row r="6708" spans="1:4" x14ac:dyDescent="0.25">
      <c r="A6708" s="279">
        <v>39265</v>
      </c>
      <c r="B6708" s="309" t="s">
        <v>411</v>
      </c>
      <c r="C6708" s="309" t="s">
        <v>198</v>
      </c>
      <c r="D6708">
        <v>0</v>
      </c>
    </row>
    <row r="6709" spans="1:4" x14ac:dyDescent="0.25">
      <c r="A6709" s="279">
        <v>39265</v>
      </c>
      <c r="B6709" s="309" t="s">
        <v>411</v>
      </c>
      <c r="C6709" s="309" t="s">
        <v>199</v>
      </c>
      <c r="D6709">
        <v>0</v>
      </c>
    </row>
    <row r="6710" spans="1:4" x14ac:dyDescent="0.25">
      <c r="A6710" s="279">
        <v>39265</v>
      </c>
      <c r="B6710" s="309" t="s">
        <v>411</v>
      </c>
      <c r="C6710" s="309" t="s">
        <v>90</v>
      </c>
      <c r="D6710">
        <v>58</v>
      </c>
    </row>
    <row r="6711" spans="1:4" x14ac:dyDescent="0.25">
      <c r="A6711" s="279">
        <v>39265</v>
      </c>
      <c r="B6711" s="309" t="s">
        <v>411</v>
      </c>
      <c r="C6711" s="309" t="s">
        <v>24</v>
      </c>
      <c r="D6711">
        <v>0</v>
      </c>
    </row>
    <row r="6712" spans="1:4" x14ac:dyDescent="0.25">
      <c r="A6712" s="279">
        <v>39265</v>
      </c>
      <c r="B6712" s="309" t="s">
        <v>411</v>
      </c>
      <c r="C6712" s="309" t="s">
        <v>91</v>
      </c>
      <c r="D6712">
        <v>0</v>
      </c>
    </row>
    <row r="6713" spans="1:4" x14ac:dyDescent="0.25">
      <c r="A6713" s="279">
        <v>39265</v>
      </c>
      <c r="B6713" s="309" t="s">
        <v>411</v>
      </c>
      <c r="C6713" s="309" t="s">
        <v>118</v>
      </c>
      <c r="D6713">
        <v>0</v>
      </c>
    </row>
    <row r="6714" spans="1:4" x14ac:dyDescent="0.25">
      <c r="A6714" s="279">
        <v>39265</v>
      </c>
      <c r="B6714" s="309" t="s">
        <v>411</v>
      </c>
      <c r="C6714" s="309" t="s">
        <v>407</v>
      </c>
      <c r="D6714">
        <v>163697</v>
      </c>
    </row>
    <row r="6715" spans="1:4" x14ac:dyDescent="0.25">
      <c r="A6715" s="279">
        <v>39265</v>
      </c>
      <c r="B6715" s="309" t="s">
        <v>411</v>
      </c>
      <c r="C6715" s="309" t="s">
        <v>412</v>
      </c>
      <c r="D6715">
        <v>1007</v>
      </c>
    </row>
    <row r="6716" spans="1:4" x14ac:dyDescent="0.25">
      <c r="A6716" s="279">
        <v>39265</v>
      </c>
      <c r="B6716" s="309" t="s">
        <v>411</v>
      </c>
      <c r="C6716" s="309" t="s">
        <v>409</v>
      </c>
      <c r="D6716">
        <v>1049</v>
      </c>
    </row>
    <row r="6717" spans="1:4" x14ac:dyDescent="0.25">
      <c r="A6717" s="279">
        <v>39266</v>
      </c>
      <c r="B6717" s="309" t="s">
        <v>405</v>
      </c>
      <c r="C6717" s="309" t="s">
        <v>406</v>
      </c>
      <c r="D6717">
        <v>2832585.1</v>
      </c>
    </row>
    <row r="6718" spans="1:4" x14ac:dyDescent="0.25">
      <c r="A6718" s="279">
        <v>39266</v>
      </c>
      <c r="B6718" s="309" t="s">
        <v>405</v>
      </c>
      <c r="C6718" s="309" t="s">
        <v>89</v>
      </c>
      <c r="D6718">
        <v>0</v>
      </c>
    </row>
    <row r="6719" spans="1:4" x14ac:dyDescent="0.25">
      <c r="A6719" s="279">
        <v>39266</v>
      </c>
      <c r="B6719" s="309" t="s">
        <v>405</v>
      </c>
      <c r="C6719" s="309" t="s">
        <v>198</v>
      </c>
      <c r="D6719">
        <v>0</v>
      </c>
    </row>
    <row r="6720" spans="1:4" x14ac:dyDescent="0.25">
      <c r="A6720" s="279">
        <v>39266</v>
      </c>
      <c r="B6720" s="309" t="s">
        <v>405</v>
      </c>
      <c r="C6720" s="309" t="s">
        <v>199</v>
      </c>
      <c r="D6720">
        <v>0</v>
      </c>
    </row>
    <row r="6721" spans="1:4" x14ac:dyDescent="0.25">
      <c r="A6721" s="279">
        <v>39266</v>
      </c>
      <c r="B6721" s="309" t="s">
        <v>405</v>
      </c>
      <c r="C6721" s="309" t="s">
        <v>90</v>
      </c>
      <c r="D6721">
        <v>1602</v>
      </c>
    </row>
    <row r="6722" spans="1:4" x14ac:dyDescent="0.25">
      <c r="A6722" s="279">
        <v>39266</v>
      </c>
      <c r="B6722" s="309" t="s">
        <v>405</v>
      </c>
      <c r="C6722" s="309" t="s">
        <v>24</v>
      </c>
      <c r="D6722">
        <v>0</v>
      </c>
    </row>
    <row r="6723" spans="1:4" x14ac:dyDescent="0.25">
      <c r="A6723" s="279">
        <v>39266</v>
      </c>
      <c r="B6723" s="309" t="s">
        <v>405</v>
      </c>
      <c r="C6723" s="309" t="s">
        <v>91</v>
      </c>
      <c r="D6723">
        <v>0</v>
      </c>
    </row>
    <row r="6724" spans="1:4" x14ac:dyDescent="0.25">
      <c r="A6724" s="279">
        <v>39266</v>
      </c>
      <c r="B6724" s="309" t="s">
        <v>405</v>
      </c>
      <c r="C6724" s="309" t="s">
        <v>118</v>
      </c>
      <c r="D6724">
        <v>0</v>
      </c>
    </row>
    <row r="6725" spans="1:4" x14ac:dyDescent="0.25">
      <c r="A6725" s="279">
        <v>39266</v>
      </c>
      <c r="B6725" s="309" t="s">
        <v>405</v>
      </c>
      <c r="C6725" s="309" t="s">
        <v>407</v>
      </c>
      <c r="D6725">
        <v>2830983.1</v>
      </c>
    </row>
    <row r="6726" spans="1:4" x14ac:dyDescent="0.25">
      <c r="A6726" s="279">
        <v>39266</v>
      </c>
      <c r="B6726" s="309" t="s">
        <v>405</v>
      </c>
      <c r="C6726" s="309" t="s">
        <v>408</v>
      </c>
      <c r="D6726">
        <v>1007</v>
      </c>
    </row>
    <row r="6727" spans="1:4" x14ac:dyDescent="0.25">
      <c r="A6727" s="279">
        <v>39266</v>
      </c>
      <c r="B6727" s="309" t="s">
        <v>405</v>
      </c>
      <c r="C6727" s="309" t="s">
        <v>409</v>
      </c>
      <c r="D6727">
        <v>1058</v>
      </c>
    </row>
    <row r="6728" spans="1:4" x14ac:dyDescent="0.25">
      <c r="A6728" s="279">
        <v>39266</v>
      </c>
      <c r="B6728" s="309" t="s">
        <v>405</v>
      </c>
      <c r="C6728" s="309" t="s">
        <v>410</v>
      </c>
      <c r="D6728">
        <v>1041</v>
      </c>
    </row>
    <row r="6729" spans="1:4" x14ac:dyDescent="0.25">
      <c r="A6729" s="279">
        <v>39266</v>
      </c>
      <c r="B6729" s="309" t="s">
        <v>411</v>
      </c>
      <c r="C6729" s="309" t="s">
        <v>406</v>
      </c>
      <c r="D6729">
        <v>163697</v>
      </c>
    </row>
    <row r="6730" spans="1:4" x14ac:dyDescent="0.25">
      <c r="A6730" s="279">
        <v>39266</v>
      </c>
      <c r="B6730" s="309" t="s">
        <v>411</v>
      </c>
      <c r="C6730" s="309" t="s">
        <v>198</v>
      </c>
      <c r="D6730">
        <v>0</v>
      </c>
    </row>
    <row r="6731" spans="1:4" x14ac:dyDescent="0.25">
      <c r="A6731" s="279">
        <v>39266</v>
      </c>
      <c r="B6731" s="309" t="s">
        <v>411</v>
      </c>
      <c r="C6731" s="309" t="s">
        <v>199</v>
      </c>
      <c r="D6731">
        <v>0</v>
      </c>
    </row>
    <row r="6732" spans="1:4" x14ac:dyDescent="0.25">
      <c r="A6732" s="279">
        <v>39266</v>
      </c>
      <c r="B6732" s="309" t="s">
        <v>411</v>
      </c>
      <c r="C6732" s="309" t="s">
        <v>90</v>
      </c>
      <c r="D6732">
        <v>218</v>
      </c>
    </row>
    <row r="6733" spans="1:4" x14ac:dyDescent="0.25">
      <c r="A6733" s="279">
        <v>39266</v>
      </c>
      <c r="B6733" s="309" t="s">
        <v>411</v>
      </c>
      <c r="C6733" s="309" t="s">
        <v>24</v>
      </c>
      <c r="D6733">
        <v>0</v>
      </c>
    </row>
    <row r="6734" spans="1:4" x14ac:dyDescent="0.25">
      <c r="A6734" s="279">
        <v>39266</v>
      </c>
      <c r="B6734" s="309" t="s">
        <v>411</v>
      </c>
      <c r="C6734" s="309" t="s">
        <v>91</v>
      </c>
      <c r="D6734">
        <v>0</v>
      </c>
    </row>
    <row r="6735" spans="1:4" x14ac:dyDescent="0.25">
      <c r="A6735" s="279">
        <v>39266</v>
      </c>
      <c r="B6735" s="309" t="s">
        <v>411</v>
      </c>
      <c r="C6735" s="309" t="s">
        <v>118</v>
      </c>
      <c r="D6735">
        <v>0</v>
      </c>
    </row>
    <row r="6736" spans="1:4" x14ac:dyDescent="0.25">
      <c r="A6736" s="279">
        <v>39266</v>
      </c>
      <c r="B6736" s="309" t="s">
        <v>411</v>
      </c>
      <c r="C6736" s="309" t="s">
        <v>407</v>
      </c>
      <c r="D6736">
        <v>163479</v>
      </c>
    </row>
    <row r="6737" spans="1:4" x14ac:dyDescent="0.25">
      <c r="A6737" s="279">
        <v>39266</v>
      </c>
      <c r="B6737" s="309" t="s">
        <v>411</v>
      </c>
      <c r="C6737" s="309" t="s">
        <v>412</v>
      </c>
      <c r="D6737">
        <v>1007</v>
      </c>
    </row>
    <row r="6738" spans="1:4" x14ac:dyDescent="0.25">
      <c r="A6738" s="279">
        <v>39266</v>
      </c>
      <c r="B6738" s="309" t="s">
        <v>411</v>
      </c>
      <c r="C6738" s="309" t="s">
        <v>409</v>
      </c>
      <c r="D6738">
        <v>1049</v>
      </c>
    </row>
    <row r="6739" spans="1:4" x14ac:dyDescent="0.25">
      <c r="A6739" s="279">
        <v>39267</v>
      </c>
      <c r="B6739" s="309" t="s">
        <v>405</v>
      </c>
      <c r="C6739" s="309" t="s">
        <v>406</v>
      </c>
      <c r="D6739">
        <v>2830983.1</v>
      </c>
    </row>
    <row r="6740" spans="1:4" x14ac:dyDescent="0.25">
      <c r="A6740" s="279">
        <v>39267</v>
      </c>
      <c r="B6740" s="309" t="s">
        <v>405</v>
      </c>
      <c r="C6740" s="309" t="s">
        <v>89</v>
      </c>
      <c r="D6740">
        <v>0</v>
      </c>
    </row>
    <row r="6741" spans="1:4" x14ac:dyDescent="0.25">
      <c r="A6741" s="279">
        <v>39267</v>
      </c>
      <c r="B6741" s="309" t="s">
        <v>405</v>
      </c>
      <c r="C6741" s="309" t="s">
        <v>198</v>
      </c>
      <c r="D6741">
        <v>0</v>
      </c>
    </row>
    <row r="6742" spans="1:4" x14ac:dyDescent="0.25">
      <c r="A6742" s="279">
        <v>39267</v>
      </c>
      <c r="B6742" s="309" t="s">
        <v>405</v>
      </c>
      <c r="C6742" s="309" t="s">
        <v>199</v>
      </c>
      <c r="D6742">
        <v>0</v>
      </c>
    </row>
    <row r="6743" spans="1:4" x14ac:dyDescent="0.25">
      <c r="A6743" s="279">
        <v>39267</v>
      </c>
      <c r="B6743" s="309" t="s">
        <v>405</v>
      </c>
      <c r="C6743" s="309" t="s">
        <v>90</v>
      </c>
      <c r="D6743">
        <v>1869</v>
      </c>
    </row>
    <row r="6744" spans="1:4" x14ac:dyDescent="0.25">
      <c r="A6744" s="279">
        <v>39267</v>
      </c>
      <c r="B6744" s="309" t="s">
        <v>405</v>
      </c>
      <c r="C6744" s="309" t="s">
        <v>24</v>
      </c>
      <c r="D6744">
        <v>0</v>
      </c>
    </row>
    <row r="6745" spans="1:4" x14ac:dyDescent="0.25">
      <c r="A6745" s="279">
        <v>39267</v>
      </c>
      <c r="B6745" s="309" t="s">
        <v>405</v>
      </c>
      <c r="C6745" s="309" t="s">
        <v>91</v>
      </c>
      <c r="D6745">
        <v>0</v>
      </c>
    </row>
    <row r="6746" spans="1:4" x14ac:dyDescent="0.25">
      <c r="A6746" s="279">
        <v>39267</v>
      </c>
      <c r="B6746" s="309" t="s">
        <v>405</v>
      </c>
      <c r="C6746" s="309" t="s">
        <v>118</v>
      </c>
      <c r="D6746">
        <v>0</v>
      </c>
    </row>
    <row r="6747" spans="1:4" x14ac:dyDescent="0.25">
      <c r="A6747" s="279">
        <v>39267</v>
      </c>
      <c r="B6747" s="309" t="s">
        <v>405</v>
      </c>
      <c r="C6747" s="309" t="s">
        <v>407</v>
      </c>
      <c r="D6747">
        <v>2829114.1</v>
      </c>
    </row>
    <row r="6748" spans="1:4" x14ac:dyDescent="0.25">
      <c r="A6748" s="279">
        <v>39267</v>
      </c>
      <c r="B6748" s="309" t="s">
        <v>405</v>
      </c>
      <c r="C6748" s="309" t="s">
        <v>408</v>
      </c>
      <c r="D6748">
        <v>1007</v>
      </c>
    </row>
    <row r="6749" spans="1:4" x14ac:dyDescent="0.25">
      <c r="A6749" s="279">
        <v>39267</v>
      </c>
      <c r="B6749" s="309" t="s">
        <v>405</v>
      </c>
      <c r="C6749" s="309" t="s">
        <v>409</v>
      </c>
      <c r="D6749">
        <v>1058</v>
      </c>
    </row>
    <row r="6750" spans="1:4" x14ac:dyDescent="0.25">
      <c r="A6750" s="279">
        <v>39267</v>
      </c>
      <c r="B6750" s="309" t="s">
        <v>405</v>
      </c>
      <c r="C6750" s="309" t="s">
        <v>410</v>
      </c>
      <c r="D6750">
        <v>1038</v>
      </c>
    </row>
    <row r="6751" spans="1:4" x14ac:dyDescent="0.25">
      <c r="A6751" s="279">
        <v>39267</v>
      </c>
      <c r="B6751" s="309" t="s">
        <v>411</v>
      </c>
      <c r="C6751" s="309" t="s">
        <v>406</v>
      </c>
      <c r="D6751">
        <v>163479</v>
      </c>
    </row>
    <row r="6752" spans="1:4" x14ac:dyDescent="0.25">
      <c r="A6752" s="279">
        <v>39267</v>
      </c>
      <c r="B6752" s="309" t="s">
        <v>411</v>
      </c>
      <c r="C6752" s="309" t="s">
        <v>198</v>
      </c>
      <c r="D6752">
        <v>0</v>
      </c>
    </row>
    <row r="6753" spans="1:4" x14ac:dyDescent="0.25">
      <c r="A6753" s="279">
        <v>39267</v>
      </c>
      <c r="B6753" s="309" t="s">
        <v>411</v>
      </c>
      <c r="C6753" s="309" t="s">
        <v>199</v>
      </c>
      <c r="D6753">
        <v>0</v>
      </c>
    </row>
    <row r="6754" spans="1:4" x14ac:dyDescent="0.25">
      <c r="A6754" s="279">
        <v>39267</v>
      </c>
      <c r="B6754" s="309" t="s">
        <v>411</v>
      </c>
      <c r="C6754" s="309" t="s">
        <v>90</v>
      </c>
      <c r="D6754">
        <v>65</v>
      </c>
    </row>
    <row r="6755" spans="1:4" x14ac:dyDescent="0.25">
      <c r="A6755" s="279">
        <v>39267</v>
      </c>
      <c r="B6755" s="309" t="s">
        <v>411</v>
      </c>
      <c r="C6755" s="309" t="s">
        <v>24</v>
      </c>
      <c r="D6755">
        <v>0</v>
      </c>
    </row>
    <row r="6756" spans="1:4" x14ac:dyDescent="0.25">
      <c r="A6756" s="279">
        <v>39267</v>
      </c>
      <c r="B6756" s="309" t="s">
        <v>411</v>
      </c>
      <c r="C6756" s="309" t="s">
        <v>91</v>
      </c>
      <c r="D6756">
        <v>0</v>
      </c>
    </row>
    <row r="6757" spans="1:4" x14ac:dyDescent="0.25">
      <c r="A6757" s="279">
        <v>39267</v>
      </c>
      <c r="B6757" s="309" t="s">
        <v>411</v>
      </c>
      <c r="C6757" s="309" t="s">
        <v>118</v>
      </c>
      <c r="D6757">
        <v>0</v>
      </c>
    </row>
    <row r="6758" spans="1:4" x14ac:dyDescent="0.25">
      <c r="A6758" s="279">
        <v>39267</v>
      </c>
      <c r="B6758" s="309" t="s">
        <v>411</v>
      </c>
      <c r="C6758" s="309" t="s">
        <v>407</v>
      </c>
      <c r="D6758">
        <v>163414</v>
      </c>
    </row>
    <row r="6759" spans="1:4" x14ac:dyDescent="0.25">
      <c r="A6759" s="279">
        <v>39267</v>
      </c>
      <c r="B6759" s="309" t="s">
        <v>411</v>
      </c>
      <c r="C6759" s="309" t="s">
        <v>412</v>
      </c>
      <c r="D6759">
        <v>1007</v>
      </c>
    </row>
    <row r="6760" spans="1:4" x14ac:dyDescent="0.25">
      <c r="A6760" s="279">
        <v>39267</v>
      </c>
      <c r="B6760" s="309" t="s">
        <v>411</v>
      </c>
      <c r="C6760" s="309" t="s">
        <v>409</v>
      </c>
      <c r="D6760">
        <v>1049</v>
      </c>
    </row>
    <row r="6761" spans="1:4" x14ac:dyDescent="0.25">
      <c r="A6761" s="279">
        <v>39268</v>
      </c>
      <c r="B6761" s="309" t="s">
        <v>405</v>
      </c>
      <c r="C6761" s="309" t="s">
        <v>406</v>
      </c>
      <c r="D6761">
        <v>2829114.1</v>
      </c>
    </row>
    <row r="6762" spans="1:4" x14ac:dyDescent="0.25">
      <c r="A6762" s="279">
        <v>39268</v>
      </c>
      <c r="B6762" s="309" t="s">
        <v>405</v>
      </c>
      <c r="C6762" s="309" t="s">
        <v>89</v>
      </c>
      <c r="D6762">
        <v>0</v>
      </c>
    </row>
    <row r="6763" spans="1:4" x14ac:dyDescent="0.25">
      <c r="A6763" s="279">
        <v>39268</v>
      </c>
      <c r="B6763" s="309" t="s">
        <v>405</v>
      </c>
      <c r="C6763" s="309" t="s">
        <v>198</v>
      </c>
      <c r="D6763">
        <v>0</v>
      </c>
    </row>
    <row r="6764" spans="1:4" x14ac:dyDescent="0.25">
      <c r="A6764" s="279">
        <v>39268</v>
      </c>
      <c r="B6764" s="309" t="s">
        <v>405</v>
      </c>
      <c r="C6764" s="309" t="s">
        <v>199</v>
      </c>
      <c r="D6764">
        <v>0</v>
      </c>
    </row>
    <row r="6765" spans="1:4" x14ac:dyDescent="0.25">
      <c r="A6765" s="279">
        <v>39268</v>
      </c>
      <c r="B6765" s="309" t="s">
        <v>405</v>
      </c>
      <c r="C6765" s="309" t="s">
        <v>90</v>
      </c>
      <c r="D6765">
        <v>2670</v>
      </c>
    </row>
    <row r="6766" spans="1:4" x14ac:dyDescent="0.25">
      <c r="A6766" s="279">
        <v>39268</v>
      </c>
      <c r="B6766" s="309" t="s">
        <v>405</v>
      </c>
      <c r="C6766" s="309" t="s">
        <v>24</v>
      </c>
      <c r="D6766">
        <v>0</v>
      </c>
    </row>
    <row r="6767" spans="1:4" x14ac:dyDescent="0.25">
      <c r="A6767" s="279">
        <v>39268</v>
      </c>
      <c r="B6767" s="309" t="s">
        <v>405</v>
      </c>
      <c r="C6767" s="309" t="s">
        <v>91</v>
      </c>
      <c r="D6767">
        <v>0</v>
      </c>
    </row>
    <row r="6768" spans="1:4" x14ac:dyDescent="0.25">
      <c r="A6768" s="279">
        <v>39268</v>
      </c>
      <c r="B6768" s="309" t="s">
        <v>405</v>
      </c>
      <c r="C6768" s="309" t="s">
        <v>118</v>
      </c>
      <c r="D6768">
        <v>0</v>
      </c>
    </row>
    <row r="6769" spans="1:4" x14ac:dyDescent="0.25">
      <c r="A6769" s="279">
        <v>39268</v>
      </c>
      <c r="B6769" s="309" t="s">
        <v>405</v>
      </c>
      <c r="C6769" s="309" t="s">
        <v>407</v>
      </c>
      <c r="D6769">
        <v>2826444.1</v>
      </c>
    </row>
    <row r="6770" spans="1:4" x14ac:dyDescent="0.25">
      <c r="A6770" s="279">
        <v>39268</v>
      </c>
      <c r="B6770" s="309" t="s">
        <v>405</v>
      </c>
      <c r="C6770" s="309" t="s">
        <v>408</v>
      </c>
      <c r="D6770">
        <v>1007</v>
      </c>
    </row>
    <row r="6771" spans="1:4" x14ac:dyDescent="0.25">
      <c r="A6771" s="279">
        <v>39268</v>
      </c>
      <c r="B6771" s="309" t="s">
        <v>405</v>
      </c>
      <c r="C6771" s="309" t="s">
        <v>409</v>
      </c>
      <c r="D6771">
        <v>1058</v>
      </c>
    </row>
    <row r="6772" spans="1:4" x14ac:dyDescent="0.25">
      <c r="A6772" s="279">
        <v>39268</v>
      </c>
      <c r="B6772" s="309" t="s">
        <v>405</v>
      </c>
      <c r="C6772" s="309" t="s">
        <v>410</v>
      </c>
      <c r="D6772">
        <v>1036</v>
      </c>
    </row>
    <row r="6773" spans="1:4" x14ac:dyDescent="0.25">
      <c r="A6773" s="279">
        <v>39268</v>
      </c>
      <c r="B6773" s="309" t="s">
        <v>411</v>
      </c>
      <c r="C6773" s="309" t="s">
        <v>406</v>
      </c>
      <c r="D6773">
        <v>163414</v>
      </c>
    </row>
    <row r="6774" spans="1:4" x14ac:dyDescent="0.25">
      <c r="A6774" s="279">
        <v>39268</v>
      </c>
      <c r="B6774" s="309" t="s">
        <v>411</v>
      </c>
      <c r="C6774" s="309" t="s">
        <v>198</v>
      </c>
      <c r="D6774">
        <v>0</v>
      </c>
    </row>
    <row r="6775" spans="1:4" x14ac:dyDescent="0.25">
      <c r="A6775" s="279">
        <v>39268</v>
      </c>
      <c r="B6775" s="309" t="s">
        <v>411</v>
      </c>
      <c r="C6775" s="309" t="s">
        <v>199</v>
      </c>
      <c r="D6775">
        <v>0</v>
      </c>
    </row>
    <row r="6776" spans="1:4" x14ac:dyDescent="0.25">
      <c r="A6776" s="279">
        <v>39268</v>
      </c>
      <c r="B6776" s="309" t="s">
        <v>411</v>
      </c>
      <c r="C6776" s="309" t="s">
        <v>90</v>
      </c>
      <c r="D6776">
        <v>50</v>
      </c>
    </row>
    <row r="6777" spans="1:4" x14ac:dyDescent="0.25">
      <c r="A6777" s="279">
        <v>39268</v>
      </c>
      <c r="B6777" s="309" t="s">
        <v>411</v>
      </c>
      <c r="C6777" s="309" t="s">
        <v>24</v>
      </c>
      <c r="D6777">
        <v>0</v>
      </c>
    </row>
    <row r="6778" spans="1:4" x14ac:dyDescent="0.25">
      <c r="A6778" s="279">
        <v>39268</v>
      </c>
      <c r="B6778" s="309" t="s">
        <v>411</v>
      </c>
      <c r="C6778" s="309" t="s">
        <v>91</v>
      </c>
      <c r="D6778">
        <v>0</v>
      </c>
    </row>
    <row r="6779" spans="1:4" x14ac:dyDescent="0.25">
      <c r="A6779" s="279">
        <v>39268</v>
      </c>
      <c r="B6779" s="309" t="s">
        <v>411</v>
      </c>
      <c r="C6779" s="309" t="s">
        <v>118</v>
      </c>
      <c r="D6779">
        <v>0</v>
      </c>
    </row>
    <row r="6780" spans="1:4" x14ac:dyDescent="0.25">
      <c r="A6780" s="279">
        <v>39268</v>
      </c>
      <c r="B6780" s="309" t="s">
        <v>411</v>
      </c>
      <c r="C6780" s="309" t="s">
        <v>407</v>
      </c>
      <c r="D6780">
        <v>163364</v>
      </c>
    </row>
    <row r="6781" spans="1:4" x14ac:dyDescent="0.25">
      <c r="A6781" s="279">
        <v>39268</v>
      </c>
      <c r="B6781" s="309" t="s">
        <v>411</v>
      </c>
      <c r="C6781" s="309" t="s">
        <v>412</v>
      </c>
      <c r="D6781">
        <v>1007</v>
      </c>
    </row>
    <row r="6782" spans="1:4" x14ac:dyDescent="0.25">
      <c r="A6782" s="279">
        <v>39268</v>
      </c>
      <c r="B6782" s="309" t="s">
        <v>411</v>
      </c>
      <c r="C6782" s="309" t="s">
        <v>409</v>
      </c>
      <c r="D6782">
        <v>1049</v>
      </c>
    </row>
    <row r="6783" spans="1:4" x14ac:dyDescent="0.25">
      <c r="A6783" s="279">
        <v>39269</v>
      </c>
      <c r="B6783" s="309" t="s">
        <v>405</v>
      </c>
      <c r="C6783" s="309" t="s">
        <v>406</v>
      </c>
      <c r="D6783">
        <v>2826444.1</v>
      </c>
    </row>
    <row r="6784" spans="1:4" x14ac:dyDescent="0.25">
      <c r="A6784" s="279">
        <v>39269</v>
      </c>
      <c r="B6784" s="309" t="s">
        <v>405</v>
      </c>
      <c r="C6784" s="309" t="s">
        <v>89</v>
      </c>
      <c r="D6784">
        <v>0</v>
      </c>
    </row>
    <row r="6785" spans="1:4" x14ac:dyDescent="0.25">
      <c r="A6785" s="279">
        <v>39269</v>
      </c>
      <c r="B6785" s="309" t="s">
        <v>405</v>
      </c>
      <c r="C6785" s="309" t="s">
        <v>198</v>
      </c>
      <c r="D6785">
        <v>0</v>
      </c>
    </row>
    <row r="6786" spans="1:4" x14ac:dyDescent="0.25">
      <c r="A6786" s="279">
        <v>39269</v>
      </c>
      <c r="B6786" s="309" t="s">
        <v>405</v>
      </c>
      <c r="C6786" s="309" t="s">
        <v>199</v>
      </c>
      <c r="D6786">
        <v>0</v>
      </c>
    </row>
    <row r="6787" spans="1:4" x14ac:dyDescent="0.25">
      <c r="A6787" s="279">
        <v>39269</v>
      </c>
      <c r="B6787" s="309" t="s">
        <v>405</v>
      </c>
      <c r="C6787" s="309" t="s">
        <v>90</v>
      </c>
      <c r="D6787">
        <v>2403</v>
      </c>
    </row>
    <row r="6788" spans="1:4" x14ac:dyDescent="0.25">
      <c r="A6788" s="279">
        <v>39269</v>
      </c>
      <c r="B6788" s="309" t="s">
        <v>405</v>
      </c>
      <c r="C6788" s="309" t="s">
        <v>24</v>
      </c>
      <c r="D6788">
        <v>0</v>
      </c>
    </row>
    <row r="6789" spans="1:4" x14ac:dyDescent="0.25">
      <c r="A6789" s="279">
        <v>39269</v>
      </c>
      <c r="B6789" s="309" t="s">
        <v>405</v>
      </c>
      <c r="C6789" s="309" t="s">
        <v>91</v>
      </c>
      <c r="D6789">
        <v>0</v>
      </c>
    </row>
    <row r="6790" spans="1:4" x14ac:dyDescent="0.25">
      <c r="A6790" s="279">
        <v>39269</v>
      </c>
      <c r="B6790" s="309" t="s">
        <v>405</v>
      </c>
      <c r="C6790" s="309" t="s">
        <v>118</v>
      </c>
      <c r="D6790">
        <v>0</v>
      </c>
    </row>
    <row r="6791" spans="1:4" x14ac:dyDescent="0.25">
      <c r="A6791" s="279">
        <v>39269</v>
      </c>
      <c r="B6791" s="309" t="s">
        <v>405</v>
      </c>
      <c r="C6791" s="309" t="s">
        <v>407</v>
      </c>
      <c r="D6791">
        <v>2824041.1</v>
      </c>
    </row>
    <row r="6792" spans="1:4" x14ac:dyDescent="0.25">
      <c r="A6792" s="279">
        <v>39269</v>
      </c>
      <c r="B6792" s="309" t="s">
        <v>405</v>
      </c>
      <c r="C6792" s="309" t="s">
        <v>408</v>
      </c>
      <c r="D6792">
        <v>1007</v>
      </c>
    </row>
    <row r="6793" spans="1:4" x14ac:dyDescent="0.25">
      <c r="A6793" s="279">
        <v>39269</v>
      </c>
      <c r="B6793" s="309" t="s">
        <v>405</v>
      </c>
      <c r="C6793" s="309" t="s">
        <v>409</v>
      </c>
      <c r="D6793">
        <v>1058</v>
      </c>
    </row>
    <row r="6794" spans="1:4" x14ac:dyDescent="0.25">
      <c r="A6794" s="279">
        <v>39269</v>
      </c>
      <c r="B6794" s="309" t="s">
        <v>405</v>
      </c>
      <c r="C6794" s="309" t="s">
        <v>410</v>
      </c>
      <c r="D6794">
        <v>1037</v>
      </c>
    </row>
    <row r="6795" spans="1:4" x14ac:dyDescent="0.25">
      <c r="A6795" s="279">
        <v>39269</v>
      </c>
      <c r="B6795" s="309" t="s">
        <v>411</v>
      </c>
      <c r="C6795" s="309" t="s">
        <v>406</v>
      </c>
      <c r="D6795">
        <v>163364</v>
      </c>
    </row>
    <row r="6796" spans="1:4" x14ac:dyDescent="0.25">
      <c r="A6796" s="279">
        <v>39269</v>
      </c>
      <c r="B6796" s="309" t="s">
        <v>411</v>
      </c>
      <c r="C6796" s="309" t="s">
        <v>198</v>
      </c>
      <c r="D6796">
        <v>0</v>
      </c>
    </row>
    <row r="6797" spans="1:4" x14ac:dyDescent="0.25">
      <c r="A6797" s="279">
        <v>39269</v>
      </c>
      <c r="B6797" s="309" t="s">
        <v>411</v>
      </c>
      <c r="C6797" s="309" t="s">
        <v>199</v>
      </c>
      <c r="D6797">
        <v>0</v>
      </c>
    </row>
    <row r="6798" spans="1:4" x14ac:dyDescent="0.25">
      <c r="A6798" s="279">
        <v>39269</v>
      </c>
      <c r="B6798" s="309" t="s">
        <v>411</v>
      </c>
      <c r="C6798" s="309" t="s">
        <v>90</v>
      </c>
      <c r="D6798">
        <v>161</v>
      </c>
    </row>
    <row r="6799" spans="1:4" x14ac:dyDescent="0.25">
      <c r="A6799" s="279">
        <v>39269</v>
      </c>
      <c r="B6799" s="309" t="s">
        <v>411</v>
      </c>
      <c r="C6799" s="309" t="s">
        <v>24</v>
      </c>
      <c r="D6799">
        <v>0</v>
      </c>
    </row>
    <row r="6800" spans="1:4" x14ac:dyDescent="0.25">
      <c r="A6800" s="279">
        <v>39269</v>
      </c>
      <c r="B6800" s="309" t="s">
        <v>411</v>
      </c>
      <c r="C6800" s="309" t="s">
        <v>91</v>
      </c>
      <c r="D6800">
        <v>0</v>
      </c>
    </row>
    <row r="6801" spans="1:4" x14ac:dyDescent="0.25">
      <c r="A6801" s="279">
        <v>39269</v>
      </c>
      <c r="B6801" s="309" t="s">
        <v>411</v>
      </c>
      <c r="C6801" s="309" t="s">
        <v>118</v>
      </c>
      <c r="D6801">
        <v>0</v>
      </c>
    </row>
    <row r="6802" spans="1:4" x14ac:dyDescent="0.25">
      <c r="A6802" s="279">
        <v>39269</v>
      </c>
      <c r="B6802" s="309" t="s">
        <v>411</v>
      </c>
      <c r="C6802" s="309" t="s">
        <v>407</v>
      </c>
      <c r="D6802">
        <v>163203</v>
      </c>
    </row>
    <row r="6803" spans="1:4" x14ac:dyDescent="0.25">
      <c r="A6803" s="279">
        <v>39269</v>
      </c>
      <c r="B6803" s="309" t="s">
        <v>411</v>
      </c>
      <c r="C6803" s="309" t="s">
        <v>412</v>
      </c>
      <c r="D6803">
        <v>1007</v>
      </c>
    </row>
    <row r="6804" spans="1:4" x14ac:dyDescent="0.25">
      <c r="A6804" s="279">
        <v>39269</v>
      </c>
      <c r="B6804" s="309" t="s">
        <v>411</v>
      </c>
      <c r="C6804" s="309" t="s">
        <v>409</v>
      </c>
      <c r="D6804">
        <v>1049</v>
      </c>
    </row>
    <row r="6805" spans="1:4" x14ac:dyDescent="0.25">
      <c r="A6805" s="279">
        <v>39270</v>
      </c>
      <c r="B6805" s="309" t="s">
        <v>405</v>
      </c>
      <c r="C6805" s="309" t="s">
        <v>406</v>
      </c>
      <c r="D6805">
        <v>2824041.1</v>
      </c>
    </row>
    <row r="6806" spans="1:4" x14ac:dyDescent="0.25">
      <c r="A6806" s="279">
        <v>39270</v>
      </c>
      <c r="B6806" s="309" t="s">
        <v>405</v>
      </c>
      <c r="C6806" s="309" t="s">
        <v>89</v>
      </c>
      <c r="D6806">
        <v>0</v>
      </c>
    </row>
    <row r="6807" spans="1:4" x14ac:dyDescent="0.25">
      <c r="A6807" s="279">
        <v>39270</v>
      </c>
      <c r="B6807" s="309" t="s">
        <v>405</v>
      </c>
      <c r="C6807" s="309" t="s">
        <v>198</v>
      </c>
      <c r="D6807">
        <v>0</v>
      </c>
    </row>
    <row r="6808" spans="1:4" x14ac:dyDescent="0.25">
      <c r="A6808" s="279">
        <v>39270</v>
      </c>
      <c r="B6808" s="309" t="s">
        <v>405</v>
      </c>
      <c r="C6808" s="309" t="s">
        <v>199</v>
      </c>
      <c r="D6808">
        <v>0</v>
      </c>
    </row>
    <row r="6809" spans="1:4" x14ac:dyDescent="0.25">
      <c r="A6809" s="279">
        <v>39270</v>
      </c>
      <c r="B6809" s="309" t="s">
        <v>405</v>
      </c>
      <c r="C6809" s="309" t="s">
        <v>90</v>
      </c>
      <c r="D6809">
        <v>1869</v>
      </c>
    </row>
    <row r="6810" spans="1:4" x14ac:dyDescent="0.25">
      <c r="A6810" s="279">
        <v>39270</v>
      </c>
      <c r="B6810" s="309" t="s">
        <v>405</v>
      </c>
      <c r="C6810" s="309" t="s">
        <v>24</v>
      </c>
      <c r="D6810">
        <v>0</v>
      </c>
    </row>
    <row r="6811" spans="1:4" x14ac:dyDescent="0.25">
      <c r="A6811" s="279">
        <v>39270</v>
      </c>
      <c r="B6811" s="309" t="s">
        <v>405</v>
      </c>
      <c r="C6811" s="309" t="s">
        <v>91</v>
      </c>
      <c r="D6811">
        <v>0</v>
      </c>
    </row>
    <row r="6812" spans="1:4" x14ac:dyDescent="0.25">
      <c r="A6812" s="279">
        <v>39270</v>
      </c>
      <c r="B6812" s="309" t="s">
        <v>405</v>
      </c>
      <c r="C6812" s="309" t="s">
        <v>118</v>
      </c>
      <c r="D6812">
        <v>0</v>
      </c>
    </row>
    <row r="6813" spans="1:4" x14ac:dyDescent="0.25">
      <c r="A6813" s="279">
        <v>39270</v>
      </c>
      <c r="B6813" s="309" t="s">
        <v>405</v>
      </c>
      <c r="C6813" s="309" t="s">
        <v>407</v>
      </c>
      <c r="D6813">
        <v>2822172.1</v>
      </c>
    </row>
    <row r="6814" spans="1:4" x14ac:dyDescent="0.25">
      <c r="A6814" s="279">
        <v>39270</v>
      </c>
      <c r="B6814" s="309" t="s">
        <v>405</v>
      </c>
      <c r="C6814" s="309" t="s">
        <v>408</v>
      </c>
      <c r="D6814">
        <v>1007</v>
      </c>
    </row>
    <row r="6815" spans="1:4" x14ac:dyDescent="0.25">
      <c r="A6815" s="279">
        <v>39270</v>
      </c>
      <c r="B6815" s="309" t="s">
        <v>405</v>
      </c>
      <c r="C6815" s="309" t="s">
        <v>409</v>
      </c>
      <c r="D6815">
        <v>1058</v>
      </c>
    </row>
    <row r="6816" spans="1:4" x14ac:dyDescent="0.25">
      <c r="A6816" s="279">
        <v>39270</v>
      </c>
      <c r="B6816" s="309" t="s">
        <v>405</v>
      </c>
      <c r="C6816" s="309" t="s">
        <v>410</v>
      </c>
      <c r="D6816">
        <v>1036</v>
      </c>
    </row>
    <row r="6817" spans="1:4" x14ac:dyDescent="0.25">
      <c r="A6817" s="279">
        <v>39270</v>
      </c>
      <c r="B6817" s="309" t="s">
        <v>411</v>
      </c>
      <c r="C6817" s="309" t="s">
        <v>406</v>
      </c>
      <c r="D6817">
        <v>163203</v>
      </c>
    </row>
    <row r="6818" spans="1:4" x14ac:dyDescent="0.25">
      <c r="A6818" s="279">
        <v>39270</v>
      </c>
      <c r="B6818" s="309" t="s">
        <v>411</v>
      </c>
      <c r="C6818" s="309" t="s">
        <v>198</v>
      </c>
      <c r="D6818">
        <v>0</v>
      </c>
    </row>
    <row r="6819" spans="1:4" x14ac:dyDescent="0.25">
      <c r="A6819" s="279">
        <v>39270</v>
      </c>
      <c r="B6819" s="309" t="s">
        <v>411</v>
      </c>
      <c r="C6819" s="309" t="s">
        <v>199</v>
      </c>
      <c r="D6819">
        <v>0</v>
      </c>
    </row>
    <row r="6820" spans="1:4" x14ac:dyDescent="0.25">
      <c r="A6820" s="279">
        <v>39270</v>
      </c>
      <c r="B6820" s="309" t="s">
        <v>411</v>
      </c>
      <c r="C6820" s="309" t="s">
        <v>90</v>
      </c>
      <c r="D6820">
        <v>0</v>
      </c>
    </row>
    <row r="6821" spans="1:4" x14ac:dyDescent="0.25">
      <c r="A6821" s="279">
        <v>39270</v>
      </c>
      <c r="B6821" s="309" t="s">
        <v>411</v>
      </c>
      <c r="C6821" s="309" t="s">
        <v>24</v>
      </c>
      <c r="D6821">
        <v>0</v>
      </c>
    </row>
    <row r="6822" spans="1:4" x14ac:dyDescent="0.25">
      <c r="A6822" s="279">
        <v>39270</v>
      </c>
      <c r="B6822" s="309" t="s">
        <v>411</v>
      </c>
      <c r="C6822" s="309" t="s">
        <v>91</v>
      </c>
      <c r="D6822">
        <v>0</v>
      </c>
    </row>
    <row r="6823" spans="1:4" x14ac:dyDescent="0.25">
      <c r="A6823" s="279">
        <v>39270</v>
      </c>
      <c r="B6823" s="309" t="s">
        <v>411</v>
      </c>
      <c r="C6823" s="309" t="s">
        <v>118</v>
      </c>
      <c r="D6823">
        <v>0</v>
      </c>
    </row>
    <row r="6824" spans="1:4" x14ac:dyDescent="0.25">
      <c r="A6824" s="279">
        <v>39270</v>
      </c>
      <c r="B6824" s="309" t="s">
        <v>411</v>
      </c>
      <c r="C6824" s="309" t="s">
        <v>407</v>
      </c>
      <c r="D6824">
        <v>163203</v>
      </c>
    </row>
    <row r="6825" spans="1:4" x14ac:dyDescent="0.25">
      <c r="A6825" s="279">
        <v>39270</v>
      </c>
      <c r="B6825" s="309" t="s">
        <v>411</v>
      </c>
      <c r="C6825" s="309" t="s">
        <v>412</v>
      </c>
      <c r="D6825">
        <v>1007</v>
      </c>
    </row>
    <row r="6826" spans="1:4" x14ac:dyDescent="0.25">
      <c r="A6826" s="279">
        <v>39270</v>
      </c>
      <c r="B6826" s="309" t="s">
        <v>411</v>
      </c>
      <c r="C6826" s="309" t="s">
        <v>409</v>
      </c>
      <c r="D6826">
        <v>1049</v>
      </c>
    </row>
    <row r="6827" spans="1:4" x14ac:dyDescent="0.25">
      <c r="A6827" s="279">
        <v>39271</v>
      </c>
      <c r="B6827" s="309" t="s">
        <v>405</v>
      </c>
      <c r="C6827" s="309" t="s">
        <v>406</v>
      </c>
      <c r="D6827">
        <v>2822172.1</v>
      </c>
    </row>
    <row r="6828" spans="1:4" x14ac:dyDescent="0.25">
      <c r="A6828" s="279">
        <v>39271</v>
      </c>
      <c r="B6828" s="309" t="s">
        <v>405</v>
      </c>
      <c r="C6828" s="309" t="s">
        <v>89</v>
      </c>
      <c r="D6828">
        <v>0</v>
      </c>
    </row>
    <row r="6829" spans="1:4" x14ac:dyDescent="0.25">
      <c r="A6829" s="279">
        <v>39271</v>
      </c>
      <c r="B6829" s="309" t="s">
        <v>405</v>
      </c>
      <c r="C6829" s="309" t="s">
        <v>198</v>
      </c>
      <c r="D6829">
        <v>0</v>
      </c>
    </row>
    <row r="6830" spans="1:4" x14ac:dyDescent="0.25">
      <c r="A6830" s="279">
        <v>39271</v>
      </c>
      <c r="B6830" s="309" t="s">
        <v>405</v>
      </c>
      <c r="C6830" s="309" t="s">
        <v>199</v>
      </c>
      <c r="D6830">
        <v>0</v>
      </c>
    </row>
    <row r="6831" spans="1:4" x14ac:dyDescent="0.25">
      <c r="A6831" s="279">
        <v>39271</v>
      </c>
      <c r="B6831" s="309" t="s">
        <v>405</v>
      </c>
      <c r="C6831" s="309" t="s">
        <v>90</v>
      </c>
      <c r="D6831">
        <v>2403</v>
      </c>
    </row>
    <row r="6832" spans="1:4" x14ac:dyDescent="0.25">
      <c r="A6832" s="279">
        <v>39271</v>
      </c>
      <c r="B6832" s="309" t="s">
        <v>405</v>
      </c>
      <c r="C6832" s="309" t="s">
        <v>24</v>
      </c>
      <c r="D6832">
        <v>0</v>
      </c>
    </row>
    <row r="6833" spans="1:4" x14ac:dyDescent="0.25">
      <c r="A6833" s="279">
        <v>39271</v>
      </c>
      <c r="B6833" s="309" t="s">
        <v>405</v>
      </c>
      <c r="C6833" s="309" t="s">
        <v>91</v>
      </c>
      <c r="D6833">
        <v>0</v>
      </c>
    </row>
    <row r="6834" spans="1:4" x14ac:dyDescent="0.25">
      <c r="A6834" s="279">
        <v>39271</v>
      </c>
      <c r="B6834" s="309" t="s">
        <v>405</v>
      </c>
      <c r="C6834" s="309" t="s">
        <v>118</v>
      </c>
      <c r="D6834">
        <v>0</v>
      </c>
    </row>
    <row r="6835" spans="1:4" x14ac:dyDescent="0.25">
      <c r="A6835" s="279">
        <v>39271</v>
      </c>
      <c r="B6835" s="309" t="s">
        <v>405</v>
      </c>
      <c r="C6835" s="309" t="s">
        <v>407</v>
      </c>
      <c r="D6835">
        <v>2819769.1</v>
      </c>
    </row>
    <row r="6836" spans="1:4" x14ac:dyDescent="0.25">
      <c r="A6836" s="279">
        <v>39271</v>
      </c>
      <c r="B6836" s="309" t="s">
        <v>405</v>
      </c>
      <c r="C6836" s="309" t="s">
        <v>408</v>
      </c>
      <c r="D6836">
        <v>1007</v>
      </c>
    </row>
    <row r="6837" spans="1:4" x14ac:dyDescent="0.25">
      <c r="A6837" s="279">
        <v>39271</v>
      </c>
      <c r="B6837" s="309" t="s">
        <v>405</v>
      </c>
      <c r="C6837" s="309" t="s">
        <v>409</v>
      </c>
      <c r="D6837">
        <v>1058</v>
      </c>
    </row>
    <row r="6838" spans="1:4" x14ac:dyDescent="0.25">
      <c r="A6838" s="279">
        <v>39271</v>
      </c>
      <c r="B6838" s="309" t="s">
        <v>405</v>
      </c>
      <c r="C6838" s="309" t="s">
        <v>410</v>
      </c>
      <c r="D6838">
        <v>1035</v>
      </c>
    </row>
    <row r="6839" spans="1:4" x14ac:dyDescent="0.25">
      <c r="A6839" s="279">
        <v>39271</v>
      </c>
      <c r="B6839" s="309" t="s">
        <v>411</v>
      </c>
      <c r="C6839" s="309" t="s">
        <v>406</v>
      </c>
      <c r="D6839">
        <v>163203</v>
      </c>
    </row>
    <row r="6840" spans="1:4" x14ac:dyDescent="0.25">
      <c r="A6840" s="279">
        <v>39271</v>
      </c>
      <c r="B6840" s="309" t="s">
        <v>411</v>
      </c>
      <c r="C6840" s="309" t="s">
        <v>198</v>
      </c>
      <c r="D6840">
        <v>0</v>
      </c>
    </row>
    <row r="6841" spans="1:4" x14ac:dyDescent="0.25">
      <c r="A6841" s="279">
        <v>39271</v>
      </c>
      <c r="B6841" s="309" t="s">
        <v>411</v>
      </c>
      <c r="C6841" s="309" t="s">
        <v>199</v>
      </c>
      <c r="D6841">
        <v>0</v>
      </c>
    </row>
    <row r="6842" spans="1:4" x14ac:dyDescent="0.25">
      <c r="A6842" s="279">
        <v>39271</v>
      </c>
      <c r="B6842" s="309" t="s">
        <v>411</v>
      </c>
      <c r="C6842" s="309" t="s">
        <v>90</v>
      </c>
      <c r="D6842">
        <v>275</v>
      </c>
    </row>
    <row r="6843" spans="1:4" x14ac:dyDescent="0.25">
      <c r="A6843" s="279">
        <v>39271</v>
      </c>
      <c r="B6843" s="309" t="s">
        <v>411</v>
      </c>
      <c r="C6843" s="309" t="s">
        <v>24</v>
      </c>
      <c r="D6843">
        <v>0</v>
      </c>
    </row>
    <row r="6844" spans="1:4" x14ac:dyDescent="0.25">
      <c r="A6844" s="279">
        <v>39271</v>
      </c>
      <c r="B6844" s="309" t="s">
        <v>411</v>
      </c>
      <c r="C6844" s="309" t="s">
        <v>91</v>
      </c>
      <c r="D6844">
        <v>0</v>
      </c>
    </row>
    <row r="6845" spans="1:4" x14ac:dyDescent="0.25">
      <c r="A6845" s="279">
        <v>39271</v>
      </c>
      <c r="B6845" s="309" t="s">
        <v>411</v>
      </c>
      <c r="C6845" s="309" t="s">
        <v>118</v>
      </c>
      <c r="D6845">
        <v>0</v>
      </c>
    </row>
    <row r="6846" spans="1:4" x14ac:dyDescent="0.25">
      <c r="A6846" s="279">
        <v>39271</v>
      </c>
      <c r="B6846" s="309" t="s">
        <v>411</v>
      </c>
      <c r="C6846" s="309" t="s">
        <v>407</v>
      </c>
      <c r="D6846">
        <v>162928</v>
      </c>
    </row>
    <row r="6847" spans="1:4" x14ac:dyDescent="0.25">
      <c r="A6847" s="279">
        <v>39271</v>
      </c>
      <c r="B6847" s="309" t="s">
        <v>411</v>
      </c>
      <c r="C6847" s="309" t="s">
        <v>412</v>
      </c>
      <c r="D6847">
        <v>1007</v>
      </c>
    </row>
    <row r="6848" spans="1:4" x14ac:dyDescent="0.25">
      <c r="A6848" s="279">
        <v>39271</v>
      </c>
      <c r="B6848" s="309" t="s">
        <v>411</v>
      </c>
      <c r="C6848" s="309" t="s">
        <v>409</v>
      </c>
      <c r="D6848">
        <v>1049</v>
      </c>
    </row>
    <row r="6849" spans="1:4" x14ac:dyDescent="0.25">
      <c r="A6849" s="279">
        <v>39272</v>
      </c>
      <c r="B6849" s="309" t="s">
        <v>405</v>
      </c>
      <c r="C6849" s="309" t="s">
        <v>406</v>
      </c>
      <c r="D6849">
        <v>2819769.1</v>
      </c>
    </row>
    <row r="6850" spans="1:4" x14ac:dyDescent="0.25">
      <c r="A6850" s="279">
        <v>39272</v>
      </c>
      <c r="B6850" s="309" t="s">
        <v>405</v>
      </c>
      <c r="C6850" s="309" t="s">
        <v>89</v>
      </c>
      <c r="D6850">
        <v>0</v>
      </c>
    </row>
    <row r="6851" spans="1:4" x14ac:dyDescent="0.25">
      <c r="A6851" s="279">
        <v>39272</v>
      </c>
      <c r="B6851" s="309" t="s">
        <v>405</v>
      </c>
      <c r="C6851" s="309" t="s">
        <v>198</v>
      </c>
      <c r="D6851">
        <v>0</v>
      </c>
    </row>
    <row r="6852" spans="1:4" x14ac:dyDescent="0.25">
      <c r="A6852" s="279">
        <v>39272</v>
      </c>
      <c r="B6852" s="309" t="s">
        <v>405</v>
      </c>
      <c r="C6852" s="309" t="s">
        <v>199</v>
      </c>
      <c r="D6852">
        <v>0</v>
      </c>
    </row>
    <row r="6853" spans="1:4" x14ac:dyDescent="0.25">
      <c r="A6853" s="279">
        <v>39272</v>
      </c>
      <c r="B6853" s="309" t="s">
        <v>405</v>
      </c>
      <c r="C6853" s="309" t="s">
        <v>90</v>
      </c>
      <c r="D6853">
        <v>2136</v>
      </c>
    </row>
    <row r="6854" spans="1:4" x14ac:dyDescent="0.25">
      <c r="A6854" s="279">
        <v>39272</v>
      </c>
      <c r="B6854" s="309" t="s">
        <v>405</v>
      </c>
      <c r="C6854" s="309" t="s">
        <v>24</v>
      </c>
      <c r="D6854">
        <v>0</v>
      </c>
    </row>
    <row r="6855" spans="1:4" x14ac:dyDescent="0.25">
      <c r="A6855" s="279">
        <v>39272</v>
      </c>
      <c r="B6855" s="309" t="s">
        <v>405</v>
      </c>
      <c r="C6855" s="309" t="s">
        <v>91</v>
      </c>
      <c r="D6855">
        <v>0</v>
      </c>
    </row>
    <row r="6856" spans="1:4" x14ac:dyDescent="0.25">
      <c r="A6856" s="279">
        <v>39272</v>
      </c>
      <c r="B6856" s="309" t="s">
        <v>405</v>
      </c>
      <c r="C6856" s="309" t="s">
        <v>118</v>
      </c>
      <c r="D6856">
        <v>0</v>
      </c>
    </row>
    <row r="6857" spans="1:4" x14ac:dyDescent="0.25">
      <c r="A6857" s="279">
        <v>39272</v>
      </c>
      <c r="B6857" s="309" t="s">
        <v>405</v>
      </c>
      <c r="C6857" s="309" t="s">
        <v>407</v>
      </c>
      <c r="D6857">
        <v>2817633.1</v>
      </c>
    </row>
    <row r="6858" spans="1:4" x14ac:dyDescent="0.25">
      <c r="A6858" s="279">
        <v>39272</v>
      </c>
      <c r="B6858" s="309" t="s">
        <v>405</v>
      </c>
      <c r="C6858" s="309" t="s">
        <v>408</v>
      </c>
      <c r="D6858">
        <v>1007</v>
      </c>
    </row>
    <row r="6859" spans="1:4" x14ac:dyDescent="0.25">
      <c r="A6859" s="279">
        <v>39272</v>
      </c>
      <c r="B6859" s="309" t="s">
        <v>405</v>
      </c>
      <c r="C6859" s="309" t="s">
        <v>409</v>
      </c>
      <c r="D6859">
        <v>1058</v>
      </c>
    </row>
    <row r="6860" spans="1:4" x14ac:dyDescent="0.25">
      <c r="A6860" s="279">
        <v>39272</v>
      </c>
      <c r="B6860" s="309" t="s">
        <v>405</v>
      </c>
      <c r="C6860" s="309" t="s">
        <v>410</v>
      </c>
      <c r="D6860">
        <v>1037</v>
      </c>
    </row>
    <row r="6861" spans="1:4" x14ac:dyDescent="0.25">
      <c r="A6861" s="279">
        <v>39272</v>
      </c>
      <c r="B6861" s="309" t="s">
        <v>411</v>
      </c>
      <c r="C6861" s="309" t="s">
        <v>406</v>
      </c>
      <c r="D6861">
        <v>162928</v>
      </c>
    </row>
    <row r="6862" spans="1:4" x14ac:dyDescent="0.25">
      <c r="A6862" s="279">
        <v>39272</v>
      </c>
      <c r="B6862" s="309" t="s">
        <v>411</v>
      </c>
      <c r="C6862" s="309" t="s">
        <v>198</v>
      </c>
      <c r="D6862">
        <v>0</v>
      </c>
    </row>
    <row r="6863" spans="1:4" x14ac:dyDescent="0.25">
      <c r="A6863" s="279">
        <v>39272</v>
      </c>
      <c r="B6863" s="309" t="s">
        <v>411</v>
      </c>
      <c r="C6863" s="309" t="s">
        <v>199</v>
      </c>
      <c r="D6863">
        <v>0</v>
      </c>
    </row>
    <row r="6864" spans="1:4" x14ac:dyDescent="0.25">
      <c r="A6864" s="279">
        <v>39272</v>
      </c>
      <c r="B6864" s="309" t="s">
        <v>411</v>
      </c>
      <c r="C6864" s="309" t="s">
        <v>90</v>
      </c>
      <c r="D6864">
        <v>276</v>
      </c>
    </row>
    <row r="6865" spans="1:4" x14ac:dyDescent="0.25">
      <c r="A6865" s="279">
        <v>39272</v>
      </c>
      <c r="B6865" s="309" t="s">
        <v>411</v>
      </c>
      <c r="C6865" s="309" t="s">
        <v>24</v>
      </c>
      <c r="D6865">
        <v>0</v>
      </c>
    </row>
    <row r="6866" spans="1:4" x14ac:dyDescent="0.25">
      <c r="A6866" s="279">
        <v>39272</v>
      </c>
      <c r="B6866" s="309" t="s">
        <v>411</v>
      </c>
      <c r="C6866" s="309" t="s">
        <v>91</v>
      </c>
      <c r="D6866">
        <v>0</v>
      </c>
    </row>
    <row r="6867" spans="1:4" x14ac:dyDescent="0.25">
      <c r="A6867" s="279">
        <v>39272</v>
      </c>
      <c r="B6867" s="309" t="s">
        <v>411</v>
      </c>
      <c r="C6867" s="309" t="s">
        <v>118</v>
      </c>
      <c r="D6867">
        <v>0</v>
      </c>
    </row>
    <row r="6868" spans="1:4" x14ac:dyDescent="0.25">
      <c r="A6868" s="279">
        <v>39272</v>
      </c>
      <c r="B6868" s="309" t="s">
        <v>411</v>
      </c>
      <c r="C6868" s="309" t="s">
        <v>407</v>
      </c>
      <c r="D6868">
        <v>162652</v>
      </c>
    </row>
    <row r="6869" spans="1:4" x14ac:dyDescent="0.25">
      <c r="A6869" s="279">
        <v>39272</v>
      </c>
      <c r="B6869" s="309" t="s">
        <v>411</v>
      </c>
      <c r="C6869" s="309" t="s">
        <v>412</v>
      </c>
      <c r="D6869">
        <v>1007</v>
      </c>
    </row>
    <row r="6870" spans="1:4" x14ac:dyDescent="0.25">
      <c r="A6870" s="279">
        <v>39272</v>
      </c>
      <c r="B6870" s="309" t="s">
        <v>411</v>
      </c>
      <c r="C6870" s="309" t="s">
        <v>409</v>
      </c>
      <c r="D6870">
        <v>1049</v>
      </c>
    </row>
    <row r="6871" spans="1:4" x14ac:dyDescent="0.25">
      <c r="A6871" s="279">
        <v>39273</v>
      </c>
      <c r="B6871" s="309" t="s">
        <v>405</v>
      </c>
      <c r="C6871" s="309" t="s">
        <v>406</v>
      </c>
      <c r="D6871">
        <v>2817633.1</v>
      </c>
    </row>
    <row r="6872" spans="1:4" x14ac:dyDescent="0.25">
      <c r="A6872" s="279">
        <v>39273</v>
      </c>
      <c r="B6872" s="309" t="s">
        <v>405</v>
      </c>
      <c r="C6872" s="309" t="s">
        <v>89</v>
      </c>
      <c r="D6872">
        <v>0</v>
      </c>
    </row>
    <row r="6873" spans="1:4" x14ac:dyDescent="0.25">
      <c r="A6873" s="279">
        <v>39273</v>
      </c>
      <c r="B6873" s="309" t="s">
        <v>405</v>
      </c>
      <c r="C6873" s="309" t="s">
        <v>198</v>
      </c>
      <c r="D6873">
        <v>0</v>
      </c>
    </row>
    <row r="6874" spans="1:4" x14ac:dyDescent="0.25">
      <c r="A6874" s="279">
        <v>39273</v>
      </c>
      <c r="B6874" s="309" t="s">
        <v>405</v>
      </c>
      <c r="C6874" s="309" t="s">
        <v>199</v>
      </c>
      <c r="D6874">
        <v>0</v>
      </c>
    </row>
    <row r="6875" spans="1:4" x14ac:dyDescent="0.25">
      <c r="A6875" s="279">
        <v>39273</v>
      </c>
      <c r="B6875" s="309" t="s">
        <v>405</v>
      </c>
      <c r="C6875" s="309" t="s">
        <v>90</v>
      </c>
      <c r="D6875">
        <v>2402</v>
      </c>
    </row>
    <row r="6876" spans="1:4" x14ac:dyDescent="0.25">
      <c r="A6876" s="279">
        <v>39273</v>
      </c>
      <c r="B6876" s="309" t="s">
        <v>405</v>
      </c>
      <c r="C6876" s="309" t="s">
        <v>24</v>
      </c>
      <c r="D6876">
        <v>0</v>
      </c>
    </row>
    <row r="6877" spans="1:4" x14ac:dyDescent="0.25">
      <c r="A6877" s="279">
        <v>39273</v>
      </c>
      <c r="B6877" s="309" t="s">
        <v>405</v>
      </c>
      <c r="C6877" s="309" t="s">
        <v>91</v>
      </c>
      <c r="D6877">
        <v>0</v>
      </c>
    </row>
    <row r="6878" spans="1:4" x14ac:dyDescent="0.25">
      <c r="A6878" s="279">
        <v>39273</v>
      </c>
      <c r="B6878" s="309" t="s">
        <v>405</v>
      </c>
      <c r="C6878" s="309" t="s">
        <v>118</v>
      </c>
      <c r="D6878">
        <v>0</v>
      </c>
    </row>
    <row r="6879" spans="1:4" x14ac:dyDescent="0.25">
      <c r="A6879" s="279">
        <v>39273</v>
      </c>
      <c r="B6879" s="309" t="s">
        <v>405</v>
      </c>
      <c r="C6879" s="309" t="s">
        <v>407</v>
      </c>
      <c r="D6879">
        <v>2815231.1</v>
      </c>
    </row>
    <row r="6880" spans="1:4" x14ac:dyDescent="0.25">
      <c r="A6880" s="279">
        <v>39273</v>
      </c>
      <c r="B6880" s="309" t="s">
        <v>405</v>
      </c>
      <c r="C6880" s="309" t="s">
        <v>408</v>
      </c>
      <c r="D6880">
        <v>1007</v>
      </c>
    </row>
    <row r="6881" spans="1:4" x14ac:dyDescent="0.25">
      <c r="A6881" s="279">
        <v>39273</v>
      </c>
      <c r="B6881" s="309" t="s">
        <v>405</v>
      </c>
      <c r="C6881" s="309" t="s">
        <v>409</v>
      </c>
      <c r="D6881">
        <v>1058</v>
      </c>
    </row>
    <row r="6882" spans="1:4" x14ac:dyDescent="0.25">
      <c r="A6882" s="279">
        <v>39273</v>
      </c>
      <c r="B6882" s="309" t="s">
        <v>405</v>
      </c>
      <c r="C6882" s="309" t="s">
        <v>410</v>
      </c>
      <c r="D6882">
        <v>1036</v>
      </c>
    </row>
    <row r="6883" spans="1:4" x14ac:dyDescent="0.25">
      <c r="A6883" s="279">
        <v>39273</v>
      </c>
      <c r="B6883" s="309" t="s">
        <v>411</v>
      </c>
      <c r="C6883" s="309" t="s">
        <v>406</v>
      </c>
      <c r="D6883">
        <v>162652</v>
      </c>
    </row>
    <row r="6884" spans="1:4" x14ac:dyDescent="0.25">
      <c r="A6884" s="279">
        <v>39273</v>
      </c>
      <c r="B6884" s="309" t="s">
        <v>411</v>
      </c>
      <c r="C6884" s="309" t="s">
        <v>198</v>
      </c>
      <c r="D6884">
        <v>0</v>
      </c>
    </row>
    <row r="6885" spans="1:4" x14ac:dyDescent="0.25">
      <c r="A6885" s="279">
        <v>39273</v>
      </c>
      <c r="B6885" s="309" t="s">
        <v>411</v>
      </c>
      <c r="C6885" s="309" t="s">
        <v>199</v>
      </c>
      <c r="D6885">
        <v>0</v>
      </c>
    </row>
    <row r="6886" spans="1:4" x14ac:dyDescent="0.25">
      <c r="A6886" s="279">
        <v>39273</v>
      </c>
      <c r="B6886" s="309" t="s">
        <v>411</v>
      </c>
      <c r="C6886" s="309" t="s">
        <v>90</v>
      </c>
      <c r="D6886">
        <v>0</v>
      </c>
    </row>
    <row r="6887" spans="1:4" x14ac:dyDescent="0.25">
      <c r="A6887" s="279">
        <v>39273</v>
      </c>
      <c r="B6887" s="309" t="s">
        <v>411</v>
      </c>
      <c r="C6887" s="309" t="s">
        <v>24</v>
      </c>
      <c r="D6887">
        <v>0</v>
      </c>
    </row>
    <row r="6888" spans="1:4" x14ac:dyDescent="0.25">
      <c r="A6888" s="279">
        <v>39273</v>
      </c>
      <c r="B6888" s="309" t="s">
        <v>411</v>
      </c>
      <c r="C6888" s="309" t="s">
        <v>91</v>
      </c>
      <c r="D6888">
        <v>0</v>
      </c>
    </row>
    <row r="6889" spans="1:4" x14ac:dyDescent="0.25">
      <c r="A6889" s="279">
        <v>39273</v>
      </c>
      <c r="B6889" s="309" t="s">
        <v>411</v>
      </c>
      <c r="C6889" s="309" t="s">
        <v>118</v>
      </c>
      <c r="D6889">
        <v>0</v>
      </c>
    </row>
    <row r="6890" spans="1:4" x14ac:dyDescent="0.25">
      <c r="A6890" s="279">
        <v>39273</v>
      </c>
      <c r="B6890" s="309" t="s">
        <v>411</v>
      </c>
      <c r="C6890" s="309" t="s">
        <v>407</v>
      </c>
      <c r="D6890">
        <v>162652</v>
      </c>
    </row>
    <row r="6891" spans="1:4" x14ac:dyDescent="0.25">
      <c r="A6891" s="279">
        <v>39273</v>
      </c>
      <c r="B6891" s="309" t="s">
        <v>411</v>
      </c>
      <c r="C6891" s="309" t="s">
        <v>412</v>
      </c>
      <c r="D6891">
        <v>1007</v>
      </c>
    </row>
    <row r="6892" spans="1:4" x14ac:dyDescent="0.25">
      <c r="A6892" s="279">
        <v>39273</v>
      </c>
      <c r="B6892" s="309" t="s">
        <v>411</v>
      </c>
      <c r="C6892" s="309" t="s">
        <v>409</v>
      </c>
      <c r="D6892">
        <v>1049</v>
      </c>
    </row>
    <row r="6893" spans="1:4" x14ac:dyDescent="0.25">
      <c r="A6893" s="279">
        <v>39274</v>
      </c>
      <c r="B6893" s="309" t="s">
        <v>405</v>
      </c>
      <c r="C6893" s="309" t="s">
        <v>406</v>
      </c>
      <c r="D6893">
        <v>2815231.1</v>
      </c>
    </row>
    <row r="6894" spans="1:4" x14ac:dyDescent="0.25">
      <c r="A6894" s="279">
        <v>39274</v>
      </c>
      <c r="B6894" s="309" t="s">
        <v>405</v>
      </c>
      <c r="C6894" s="309" t="s">
        <v>89</v>
      </c>
      <c r="D6894">
        <v>0</v>
      </c>
    </row>
    <row r="6895" spans="1:4" x14ac:dyDescent="0.25">
      <c r="A6895" s="279">
        <v>39274</v>
      </c>
      <c r="B6895" s="309" t="s">
        <v>405</v>
      </c>
      <c r="C6895" s="309" t="s">
        <v>198</v>
      </c>
      <c r="D6895">
        <v>0</v>
      </c>
    </row>
    <row r="6896" spans="1:4" x14ac:dyDescent="0.25">
      <c r="A6896" s="279">
        <v>39274</v>
      </c>
      <c r="B6896" s="309" t="s">
        <v>405</v>
      </c>
      <c r="C6896" s="309" t="s">
        <v>199</v>
      </c>
      <c r="D6896">
        <v>0</v>
      </c>
    </row>
    <row r="6897" spans="1:4" x14ac:dyDescent="0.25">
      <c r="A6897" s="279">
        <v>39274</v>
      </c>
      <c r="B6897" s="309" t="s">
        <v>405</v>
      </c>
      <c r="C6897" s="309" t="s">
        <v>90</v>
      </c>
      <c r="D6897">
        <v>2669</v>
      </c>
    </row>
    <row r="6898" spans="1:4" x14ac:dyDescent="0.25">
      <c r="A6898" s="279">
        <v>39274</v>
      </c>
      <c r="B6898" s="309" t="s">
        <v>405</v>
      </c>
      <c r="C6898" s="309" t="s">
        <v>24</v>
      </c>
      <c r="D6898">
        <v>0</v>
      </c>
    </row>
    <row r="6899" spans="1:4" x14ac:dyDescent="0.25">
      <c r="A6899" s="279">
        <v>39274</v>
      </c>
      <c r="B6899" s="309" t="s">
        <v>405</v>
      </c>
      <c r="C6899" s="309" t="s">
        <v>91</v>
      </c>
      <c r="D6899">
        <v>0</v>
      </c>
    </row>
    <row r="6900" spans="1:4" x14ac:dyDescent="0.25">
      <c r="A6900" s="279">
        <v>39274</v>
      </c>
      <c r="B6900" s="309" t="s">
        <v>405</v>
      </c>
      <c r="C6900" s="309" t="s">
        <v>118</v>
      </c>
      <c r="D6900">
        <v>0</v>
      </c>
    </row>
    <row r="6901" spans="1:4" x14ac:dyDescent="0.25">
      <c r="A6901" s="279">
        <v>39274</v>
      </c>
      <c r="B6901" s="309" t="s">
        <v>405</v>
      </c>
      <c r="C6901" s="309" t="s">
        <v>407</v>
      </c>
      <c r="D6901">
        <v>2812562.1</v>
      </c>
    </row>
    <row r="6902" spans="1:4" x14ac:dyDescent="0.25">
      <c r="A6902" s="279">
        <v>39274</v>
      </c>
      <c r="B6902" s="309" t="s">
        <v>405</v>
      </c>
      <c r="C6902" s="309" t="s">
        <v>408</v>
      </c>
      <c r="D6902">
        <v>1007</v>
      </c>
    </row>
    <row r="6903" spans="1:4" x14ac:dyDescent="0.25">
      <c r="A6903" s="279">
        <v>39274</v>
      </c>
      <c r="B6903" s="309" t="s">
        <v>405</v>
      </c>
      <c r="C6903" s="309" t="s">
        <v>409</v>
      </c>
      <c r="D6903">
        <v>1058</v>
      </c>
    </row>
    <row r="6904" spans="1:4" x14ac:dyDescent="0.25">
      <c r="A6904" s="279">
        <v>39274</v>
      </c>
      <c r="B6904" s="309" t="s">
        <v>405</v>
      </c>
      <c r="C6904" s="309" t="s">
        <v>410</v>
      </c>
      <c r="D6904">
        <v>1038</v>
      </c>
    </row>
    <row r="6905" spans="1:4" x14ac:dyDescent="0.25">
      <c r="A6905" s="279">
        <v>39274</v>
      </c>
      <c r="B6905" s="309" t="s">
        <v>411</v>
      </c>
      <c r="C6905" s="309" t="s">
        <v>406</v>
      </c>
      <c r="D6905">
        <v>162652</v>
      </c>
    </row>
    <row r="6906" spans="1:4" x14ac:dyDescent="0.25">
      <c r="A6906" s="279">
        <v>39274</v>
      </c>
      <c r="B6906" s="309" t="s">
        <v>411</v>
      </c>
      <c r="C6906" s="309" t="s">
        <v>198</v>
      </c>
      <c r="D6906">
        <v>0</v>
      </c>
    </row>
    <row r="6907" spans="1:4" x14ac:dyDescent="0.25">
      <c r="A6907" s="279">
        <v>39274</v>
      </c>
      <c r="B6907" s="309" t="s">
        <v>411</v>
      </c>
      <c r="C6907" s="309" t="s">
        <v>199</v>
      </c>
      <c r="D6907">
        <v>0</v>
      </c>
    </row>
    <row r="6908" spans="1:4" x14ac:dyDescent="0.25">
      <c r="A6908" s="279">
        <v>39274</v>
      </c>
      <c r="B6908" s="309" t="s">
        <v>411</v>
      </c>
      <c r="C6908" s="309" t="s">
        <v>90</v>
      </c>
      <c r="D6908">
        <v>0</v>
      </c>
    </row>
    <row r="6909" spans="1:4" x14ac:dyDescent="0.25">
      <c r="A6909" s="279">
        <v>39274</v>
      </c>
      <c r="B6909" s="309" t="s">
        <v>411</v>
      </c>
      <c r="C6909" s="309" t="s">
        <v>24</v>
      </c>
      <c r="D6909">
        <v>0</v>
      </c>
    </row>
    <row r="6910" spans="1:4" x14ac:dyDescent="0.25">
      <c r="A6910" s="279">
        <v>39274</v>
      </c>
      <c r="B6910" s="309" t="s">
        <v>411</v>
      </c>
      <c r="C6910" s="309" t="s">
        <v>91</v>
      </c>
      <c r="D6910">
        <v>0</v>
      </c>
    </row>
    <row r="6911" spans="1:4" x14ac:dyDescent="0.25">
      <c r="A6911" s="279">
        <v>39274</v>
      </c>
      <c r="B6911" s="309" t="s">
        <v>411</v>
      </c>
      <c r="C6911" s="309" t="s">
        <v>118</v>
      </c>
      <c r="D6911">
        <v>0</v>
      </c>
    </row>
    <row r="6912" spans="1:4" x14ac:dyDescent="0.25">
      <c r="A6912" s="279">
        <v>39274</v>
      </c>
      <c r="B6912" s="309" t="s">
        <v>411</v>
      </c>
      <c r="C6912" s="309" t="s">
        <v>407</v>
      </c>
      <c r="D6912">
        <v>162652</v>
      </c>
    </row>
    <row r="6913" spans="1:4" x14ac:dyDescent="0.25">
      <c r="A6913" s="279">
        <v>39274</v>
      </c>
      <c r="B6913" s="309" t="s">
        <v>411</v>
      </c>
      <c r="C6913" s="309" t="s">
        <v>412</v>
      </c>
      <c r="D6913">
        <v>1007</v>
      </c>
    </row>
    <row r="6914" spans="1:4" x14ac:dyDescent="0.25">
      <c r="A6914" s="279">
        <v>39274</v>
      </c>
      <c r="B6914" s="309" t="s">
        <v>411</v>
      </c>
      <c r="C6914" s="309" t="s">
        <v>409</v>
      </c>
      <c r="D6914">
        <v>1049</v>
      </c>
    </row>
    <row r="6915" spans="1:4" x14ac:dyDescent="0.25">
      <c r="A6915" s="279">
        <v>39275</v>
      </c>
      <c r="B6915" s="309" t="s">
        <v>405</v>
      </c>
      <c r="C6915" s="309" t="s">
        <v>406</v>
      </c>
      <c r="D6915">
        <v>2812562.1</v>
      </c>
    </row>
    <row r="6916" spans="1:4" x14ac:dyDescent="0.25">
      <c r="A6916" s="279">
        <v>39275</v>
      </c>
      <c r="B6916" s="309" t="s">
        <v>405</v>
      </c>
      <c r="C6916" s="309" t="s">
        <v>89</v>
      </c>
      <c r="D6916">
        <v>0</v>
      </c>
    </row>
    <row r="6917" spans="1:4" x14ac:dyDescent="0.25">
      <c r="A6917" s="279">
        <v>39275</v>
      </c>
      <c r="B6917" s="309" t="s">
        <v>405</v>
      </c>
      <c r="C6917" s="309" t="s">
        <v>198</v>
      </c>
      <c r="D6917">
        <v>0</v>
      </c>
    </row>
    <row r="6918" spans="1:4" x14ac:dyDescent="0.25">
      <c r="A6918" s="279">
        <v>39275</v>
      </c>
      <c r="B6918" s="309" t="s">
        <v>405</v>
      </c>
      <c r="C6918" s="309" t="s">
        <v>199</v>
      </c>
      <c r="D6918">
        <v>0</v>
      </c>
    </row>
    <row r="6919" spans="1:4" x14ac:dyDescent="0.25">
      <c r="A6919" s="279">
        <v>39275</v>
      </c>
      <c r="B6919" s="309" t="s">
        <v>405</v>
      </c>
      <c r="C6919" s="309" t="s">
        <v>90</v>
      </c>
      <c r="D6919">
        <v>1335</v>
      </c>
    </row>
    <row r="6920" spans="1:4" x14ac:dyDescent="0.25">
      <c r="A6920" s="279">
        <v>39275</v>
      </c>
      <c r="B6920" s="309" t="s">
        <v>405</v>
      </c>
      <c r="C6920" s="309" t="s">
        <v>24</v>
      </c>
      <c r="D6920">
        <v>0</v>
      </c>
    </row>
    <row r="6921" spans="1:4" x14ac:dyDescent="0.25">
      <c r="A6921" s="279">
        <v>39275</v>
      </c>
      <c r="B6921" s="309" t="s">
        <v>405</v>
      </c>
      <c r="C6921" s="309" t="s">
        <v>91</v>
      </c>
      <c r="D6921">
        <v>0</v>
      </c>
    </row>
    <row r="6922" spans="1:4" x14ac:dyDescent="0.25">
      <c r="A6922" s="279">
        <v>39275</v>
      </c>
      <c r="B6922" s="309" t="s">
        <v>405</v>
      </c>
      <c r="C6922" s="309" t="s">
        <v>118</v>
      </c>
      <c r="D6922">
        <v>0</v>
      </c>
    </row>
    <row r="6923" spans="1:4" x14ac:dyDescent="0.25">
      <c r="A6923" s="279">
        <v>39275</v>
      </c>
      <c r="B6923" s="309" t="s">
        <v>405</v>
      </c>
      <c r="C6923" s="309" t="s">
        <v>407</v>
      </c>
      <c r="D6923">
        <v>2811227.1</v>
      </c>
    </row>
    <row r="6924" spans="1:4" x14ac:dyDescent="0.25">
      <c r="A6924" s="279">
        <v>39275</v>
      </c>
      <c r="B6924" s="309" t="s">
        <v>405</v>
      </c>
      <c r="C6924" s="309" t="s">
        <v>408</v>
      </c>
      <c r="D6924">
        <v>1007</v>
      </c>
    </row>
    <row r="6925" spans="1:4" x14ac:dyDescent="0.25">
      <c r="A6925" s="279">
        <v>39275</v>
      </c>
      <c r="B6925" s="309" t="s">
        <v>405</v>
      </c>
      <c r="C6925" s="309" t="s">
        <v>409</v>
      </c>
      <c r="D6925">
        <v>1058</v>
      </c>
    </row>
    <row r="6926" spans="1:4" x14ac:dyDescent="0.25">
      <c r="A6926" s="279">
        <v>39275</v>
      </c>
      <c r="B6926" s="309" t="s">
        <v>405</v>
      </c>
      <c r="C6926" s="309" t="s">
        <v>410</v>
      </c>
      <c r="D6926">
        <v>1039</v>
      </c>
    </row>
    <row r="6927" spans="1:4" x14ac:dyDescent="0.25">
      <c r="A6927" s="279">
        <v>39275</v>
      </c>
      <c r="B6927" s="309" t="s">
        <v>411</v>
      </c>
      <c r="C6927" s="309" t="s">
        <v>406</v>
      </c>
      <c r="D6927">
        <v>162652</v>
      </c>
    </row>
    <row r="6928" spans="1:4" x14ac:dyDescent="0.25">
      <c r="A6928" s="279">
        <v>39275</v>
      </c>
      <c r="B6928" s="309" t="s">
        <v>411</v>
      </c>
      <c r="C6928" s="309" t="s">
        <v>198</v>
      </c>
      <c r="D6928">
        <v>0</v>
      </c>
    </row>
    <row r="6929" spans="1:4" x14ac:dyDescent="0.25">
      <c r="A6929" s="279">
        <v>39275</v>
      </c>
      <c r="B6929" s="309" t="s">
        <v>411</v>
      </c>
      <c r="C6929" s="309" t="s">
        <v>199</v>
      </c>
      <c r="D6929">
        <v>0</v>
      </c>
    </row>
    <row r="6930" spans="1:4" x14ac:dyDescent="0.25">
      <c r="A6930" s="279">
        <v>39275</v>
      </c>
      <c r="B6930" s="309" t="s">
        <v>411</v>
      </c>
      <c r="C6930" s="309" t="s">
        <v>90</v>
      </c>
      <c r="D6930">
        <v>276</v>
      </c>
    </row>
    <row r="6931" spans="1:4" x14ac:dyDescent="0.25">
      <c r="A6931" s="279">
        <v>39275</v>
      </c>
      <c r="B6931" s="309" t="s">
        <v>411</v>
      </c>
      <c r="C6931" s="309" t="s">
        <v>24</v>
      </c>
      <c r="D6931">
        <v>0</v>
      </c>
    </row>
    <row r="6932" spans="1:4" x14ac:dyDescent="0.25">
      <c r="A6932" s="279">
        <v>39275</v>
      </c>
      <c r="B6932" s="309" t="s">
        <v>411</v>
      </c>
      <c r="C6932" s="309" t="s">
        <v>91</v>
      </c>
      <c r="D6932">
        <v>0</v>
      </c>
    </row>
    <row r="6933" spans="1:4" x14ac:dyDescent="0.25">
      <c r="A6933" s="279">
        <v>39275</v>
      </c>
      <c r="B6933" s="309" t="s">
        <v>411</v>
      </c>
      <c r="C6933" s="309" t="s">
        <v>118</v>
      </c>
      <c r="D6933">
        <v>0</v>
      </c>
    </row>
    <row r="6934" spans="1:4" x14ac:dyDescent="0.25">
      <c r="A6934" s="279">
        <v>39275</v>
      </c>
      <c r="B6934" s="309" t="s">
        <v>411</v>
      </c>
      <c r="C6934" s="309" t="s">
        <v>407</v>
      </c>
      <c r="D6934">
        <v>162376</v>
      </c>
    </row>
    <row r="6935" spans="1:4" x14ac:dyDescent="0.25">
      <c r="A6935" s="279">
        <v>39275</v>
      </c>
      <c r="B6935" s="309" t="s">
        <v>411</v>
      </c>
      <c r="C6935" s="309" t="s">
        <v>412</v>
      </c>
      <c r="D6935">
        <v>1007</v>
      </c>
    </row>
    <row r="6936" spans="1:4" x14ac:dyDescent="0.25">
      <c r="A6936" s="279">
        <v>39275</v>
      </c>
      <c r="B6936" s="309" t="s">
        <v>411</v>
      </c>
      <c r="C6936" s="309" t="s">
        <v>409</v>
      </c>
      <c r="D6936">
        <v>1049</v>
      </c>
    </row>
    <row r="6937" spans="1:4" x14ac:dyDescent="0.25">
      <c r="A6937" s="279">
        <v>39276</v>
      </c>
      <c r="B6937" s="309" t="s">
        <v>405</v>
      </c>
      <c r="C6937" s="309" t="s">
        <v>406</v>
      </c>
      <c r="D6937">
        <v>2811227.1</v>
      </c>
    </row>
    <row r="6938" spans="1:4" x14ac:dyDescent="0.25">
      <c r="A6938" s="279">
        <v>39276</v>
      </c>
      <c r="B6938" s="309" t="s">
        <v>405</v>
      </c>
      <c r="C6938" s="309" t="s">
        <v>89</v>
      </c>
      <c r="D6938">
        <v>0</v>
      </c>
    </row>
    <row r="6939" spans="1:4" x14ac:dyDescent="0.25">
      <c r="A6939" s="279">
        <v>39276</v>
      </c>
      <c r="B6939" s="309" t="s">
        <v>405</v>
      </c>
      <c r="C6939" s="309" t="s">
        <v>198</v>
      </c>
      <c r="D6939">
        <v>0</v>
      </c>
    </row>
    <row r="6940" spans="1:4" x14ac:dyDescent="0.25">
      <c r="A6940" s="279">
        <v>39276</v>
      </c>
      <c r="B6940" s="309" t="s">
        <v>405</v>
      </c>
      <c r="C6940" s="309" t="s">
        <v>199</v>
      </c>
      <c r="D6940">
        <v>0</v>
      </c>
    </row>
    <row r="6941" spans="1:4" x14ac:dyDescent="0.25">
      <c r="A6941" s="279">
        <v>39276</v>
      </c>
      <c r="B6941" s="309" t="s">
        <v>405</v>
      </c>
      <c r="C6941" s="309" t="s">
        <v>90</v>
      </c>
      <c r="D6941">
        <v>1335</v>
      </c>
    </row>
    <row r="6942" spans="1:4" x14ac:dyDescent="0.25">
      <c r="A6942" s="279">
        <v>39276</v>
      </c>
      <c r="B6942" s="309" t="s">
        <v>405</v>
      </c>
      <c r="C6942" s="309" t="s">
        <v>24</v>
      </c>
      <c r="D6942">
        <v>0</v>
      </c>
    </row>
    <row r="6943" spans="1:4" x14ac:dyDescent="0.25">
      <c r="A6943" s="279">
        <v>39276</v>
      </c>
      <c r="B6943" s="309" t="s">
        <v>405</v>
      </c>
      <c r="C6943" s="309" t="s">
        <v>91</v>
      </c>
      <c r="D6943">
        <v>0</v>
      </c>
    </row>
    <row r="6944" spans="1:4" x14ac:dyDescent="0.25">
      <c r="A6944" s="279">
        <v>39276</v>
      </c>
      <c r="B6944" s="309" t="s">
        <v>405</v>
      </c>
      <c r="C6944" s="309" t="s">
        <v>118</v>
      </c>
      <c r="D6944">
        <v>0</v>
      </c>
    </row>
    <row r="6945" spans="1:4" x14ac:dyDescent="0.25">
      <c r="A6945" s="279">
        <v>39276</v>
      </c>
      <c r="B6945" s="309" t="s">
        <v>405</v>
      </c>
      <c r="C6945" s="309" t="s">
        <v>407</v>
      </c>
      <c r="D6945">
        <v>2809892.1</v>
      </c>
    </row>
    <row r="6946" spans="1:4" x14ac:dyDescent="0.25">
      <c r="A6946" s="279">
        <v>39276</v>
      </c>
      <c r="B6946" s="309" t="s">
        <v>405</v>
      </c>
      <c r="C6946" s="309" t="s">
        <v>408</v>
      </c>
      <c r="D6946">
        <v>1007</v>
      </c>
    </row>
    <row r="6947" spans="1:4" x14ac:dyDescent="0.25">
      <c r="A6947" s="279">
        <v>39276</v>
      </c>
      <c r="B6947" s="309" t="s">
        <v>405</v>
      </c>
      <c r="C6947" s="309" t="s">
        <v>409</v>
      </c>
      <c r="D6947">
        <v>1058</v>
      </c>
    </row>
    <row r="6948" spans="1:4" x14ac:dyDescent="0.25">
      <c r="A6948" s="279">
        <v>39276</v>
      </c>
      <c r="B6948" s="309" t="s">
        <v>405</v>
      </c>
      <c r="C6948" s="309" t="s">
        <v>410</v>
      </c>
      <c r="D6948">
        <v>1037</v>
      </c>
    </row>
    <row r="6949" spans="1:4" x14ac:dyDescent="0.25">
      <c r="A6949" s="279">
        <v>39276</v>
      </c>
      <c r="B6949" s="309" t="s">
        <v>411</v>
      </c>
      <c r="C6949" s="309" t="s">
        <v>406</v>
      </c>
      <c r="D6949">
        <v>162376</v>
      </c>
    </row>
    <row r="6950" spans="1:4" x14ac:dyDescent="0.25">
      <c r="A6950" s="279">
        <v>39276</v>
      </c>
      <c r="B6950" s="309" t="s">
        <v>411</v>
      </c>
      <c r="C6950" s="309" t="s">
        <v>198</v>
      </c>
      <c r="D6950">
        <v>0</v>
      </c>
    </row>
    <row r="6951" spans="1:4" x14ac:dyDescent="0.25">
      <c r="A6951" s="279">
        <v>39276</v>
      </c>
      <c r="B6951" s="309" t="s">
        <v>411</v>
      </c>
      <c r="C6951" s="309" t="s">
        <v>199</v>
      </c>
      <c r="D6951">
        <v>0</v>
      </c>
    </row>
    <row r="6952" spans="1:4" x14ac:dyDescent="0.25">
      <c r="A6952" s="279">
        <v>39276</v>
      </c>
      <c r="B6952" s="309" t="s">
        <v>411</v>
      </c>
      <c r="C6952" s="309" t="s">
        <v>90</v>
      </c>
      <c r="D6952">
        <v>0</v>
      </c>
    </row>
    <row r="6953" spans="1:4" x14ac:dyDescent="0.25">
      <c r="A6953" s="279">
        <v>39276</v>
      </c>
      <c r="B6953" s="309" t="s">
        <v>411</v>
      </c>
      <c r="C6953" s="309" t="s">
        <v>24</v>
      </c>
      <c r="D6953">
        <v>0</v>
      </c>
    </row>
    <row r="6954" spans="1:4" x14ac:dyDescent="0.25">
      <c r="A6954" s="279">
        <v>39276</v>
      </c>
      <c r="B6954" s="309" t="s">
        <v>411</v>
      </c>
      <c r="C6954" s="309" t="s">
        <v>91</v>
      </c>
      <c r="D6954">
        <v>0</v>
      </c>
    </row>
    <row r="6955" spans="1:4" x14ac:dyDescent="0.25">
      <c r="A6955" s="279">
        <v>39276</v>
      </c>
      <c r="B6955" s="309" t="s">
        <v>411</v>
      </c>
      <c r="C6955" s="309" t="s">
        <v>118</v>
      </c>
      <c r="D6955">
        <v>0</v>
      </c>
    </row>
    <row r="6956" spans="1:4" x14ac:dyDescent="0.25">
      <c r="A6956" s="279">
        <v>39276</v>
      </c>
      <c r="B6956" s="309" t="s">
        <v>411</v>
      </c>
      <c r="C6956" s="309" t="s">
        <v>407</v>
      </c>
      <c r="D6956">
        <v>162376</v>
      </c>
    </row>
    <row r="6957" spans="1:4" x14ac:dyDescent="0.25">
      <c r="A6957" s="279">
        <v>39276</v>
      </c>
      <c r="B6957" s="309" t="s">
        <v>411</v>
      </c>
      <c r="C6957" s="309" t="s">
        <v>412</v>
      </c>
      <c r="D6957">
        <v>1007</v>
      </c>
    </row>
    <row r="6958" spans="1:4" x14ac:dyDescent="0.25">
      <c r="A6958" s="279">
        <v>39276</v>
      </c>
      <c r="B6958" s="309" t="s">
        <v>411</v>
      </c>
      <c r="C6958" s="309" t="s">
        <v>409</v>
      </c>
      <c r="D6958">
        <v>1049</v>
      </c>
    </row>
    <row r="6959" spans="1:4" x14ac:dyDescent="0.25">
      <c r="A6959" s="279">
        <v>39277</v>
      </c>
      <c r="B6959" s="309" t="s">
        <v>405</v>
      </c>
      <c r="C6959" s="309" t="s">
        <v>406</v>
      </c>
      <c r="D6959">
        <v>2809892.1</v>
      </c>
    </row>
    <row r="6960" spans="1:4" x14ac:dyDescent="0.25">
      <c r="A6960" s="279">
        <v>39277</v>
      </c>
      <c r="B6960" s="309" t="s">
        <v>405</v>
      </c>
      <c r="C6960" s="309" t="s">
        <v>89</v>
      </c>
      <c r="D6960">
        <v>0</v>
      </c>
    </row>
    <row r="6961" spans="1:4" x14ac:dyDescent="0.25">
      <c r="A6961" s="279">
        <v>39277</v>
      </c>
      <c r="B6961" s="309" t="s">
        <v>405</v>
      </c>
      <c r="C6961" s="309" t="s">
        <v>198</v>
      </c>
      <c r="D6961">
        <v>0</v>
      </c>
    </row>
    <row r="6962" spans="1:4" x14ac:dyDescent="0.25">
      <c r="A6962" s="279">
        <v>39277</v>
      </c>
      <c r="B6962" s="309" t="s">
        <v>405</v>
      </c>
      <c r="C6962" s="309" t="s">
        <v>199</v>
      </c>
      <c r="D6962">
        <v>0</v>
      </c>
    </row>
    <row r="6963" spans="1:4" x14ac:dyDescent="0.25">
      <c r="A6963" s="279">
        <v>39277</v>
      </c>
      <c r="B6963" s="309" t="s">
        <v>405</v>
      </c>
      <c r="C6963" s="309" t="s">
        <v>90</v>
      </c>
      <c r="D6963">
        <v>1602</v>
      </c>
    </row>
    <row r="6964" spans="1:4" x14ac:dyDescent="0.25">
      <c r="A6964" s="279">
        <v>39277</v>
      </c>
      <c r="B6964" s="309" t="s">
        <v>405</v>
      </c>
      <c r="C6964" s="309" t="s">
        <v>24</v>
      </c>
      <c r="D6964">
        <v>0</v>
      </c>
    </row>
    <row r="6965" spans="1:4" x14ac:dyDescent="0.25">
      <c r="A6965" s="279">
        <v>39277</v>
      </c>
      <c r="B6965" s="309" t="s">
        <v>405</v>
      </c>
      <c r="C6965" s="309" t="s">
        <v>91</v>
      </c>
      <c r="D6965">
        <v>0</v>
      </c>
    </row>
    <row r="6966" spans="1:4" x14ac:dyDescent="0.25">
      <c r="A6966" s="279">
        <v>39277</v>
      </c>
      <c r="B6966" s="309" t="s">
        <v>405</v>
      </c>
      <c r="C6966" s="309" t="s">
        <v>118</v>
      </c>
      <c r="D6966">
        <v>0</v>
      </c>
    </row>
    <row r="6967" spans="1:4" x14ac:dyDescent="0.25">
      <c r="A6967" s="279">
        <v>39277</v>
      </c>
      <c r="B6967" s="309" t="s">
        <v>405</v>
      </c>
      <c r="C6967" s="309" t="s">
        <v>407</v>
      </c>
      <c r="D6967">
        <v>2808290.1</v>
      </c>
    </row>
    <row r="6968" spans="1:4" x14ac:dyDescent="0.25">
      <c r="A6968" s="279">
        <v>39277</v>
      </c>
      <c r="B6968" s="309" t="s">
        <v>405</v>
      </c>
      <c r="C6968" s="309" t="s">
        <v>408</v>
      </c>
      <c r="D6968">
        <v>1007</v>
      </c>
    </row>
    <row r="6969" spans="1:4" x14ac:dyDescent="0.25">
      <c r="A6969" s="279">
        <v>39277</v>
      </c>
      <c r="B6969" s="309" t="s">
        <v>405</v>
      </c>
      <c r="C6969" s="309" t="s">
        <v>409</v>
      </c>
      <c r="D6969">
        <v>1058</v>
      </c>
    </row>
    <row r="6970" spans="1:4" x14ac:dyDescent="0.25">
      <c r="A6970" s="279">
        <v>39277</v>
      </c>
      <c r="B6970" s="309" t="s">
        <v>405</v>
      </c>
      <c r="C6970" s="309" t="s">
        <v>410</v>
      </c>
      <c r="D6970">
        <v>1037</v>
      </c>
    </row>
    <row r="6971" spans="1:4" x14ac:dyDescent="0.25">
      <c r="A6971" s="279">
        <v>39277</v>
      </c>
      <c r="B6971" s="309" t="s">
        <v>411</v>
      </c>
      <c r="C6971" s="309" t="s">
        <v>406</v>
      </c>
      <c r="D6971">
        <v>162376</v>
      </c>
    </row>
    <row r="6972" spans="1:4" x14ac:dyDescent="0.25">
      <c r="A6972" s="279">
        <v>39277</v>
      </c>
      <c r="B6972" s="309" t="s">
        <v>411</v>
      </c>
      <c r="C6972" s="309" t="s">
        <v>198</v>
      </c>
      <c r="D6972">
        <v>0</v>
      </c>
    </row>
    <row r="6973" spans="1:4" x14ac:dyDescent="0.25">
      <c r="A6973" s="279">
        <v>39277</v>
      </c>
      <c r="B6973" s="309" t="s">
        <v>411</v>
      </c>
      <c r="C6973" s="309" t="s">
        <v>199</v>
      </c>
      <c r="D6973">
        <v>0</v>
      </c>
    </row>
    <row r="6974" spans="1:4" x14ac:dyDescent="0.25">
      <c r="A6974" s="279">
        <v>39277</v>
      </c>
      <c r="B6974" s="309" t="s">
        <v>411</v>
      </c>
      <c r="C6974" s="309" t="s">
        <v>90</v>
      </c>
      <c r="D6974">
        <v>0</v>
      </c>
    </row>
    <row r="6975" spans="1:4" x14ac:dyDescent="0.25">
      <c r="A6975" s="279">
        <v>39277</v>
      </c>
      <c r="B6975" s="309" t="s">
        <v>411</v>
      </c>
      <c r="C6975" s="309" t="s">
        <v>24</v>
      </c>
      <c r="D6975">
        <v>0</v>
      </c>
    </row>
    <row r="6976" spans="1:4" x14ac:dyDescent="0.25">
      <c r="A6976" s="279">
        <v>39277</v>
      </c>
      <c r="B6976" s="309" t="s">
        <v>411</v>
      </c>
      <c r="C6976" s="309" t="s">
        <v>91</v>
      </c>
      <c r="D6976">
        <v>0</v>
      </c>
    </row>
    <row r="6977" spans="1:4" x14ac:dyDescent="0.25">
      <c r="A6977" s="279">
        <v>39277</v>
      </c>
      <c r="B6977" s="309" t="s">
        <v>411</v>
      </c>
      <c r="C6977" s="309" t="s">
        <v>118</v>
      </c>
      <c r="D6977">
        <v>0</v>
      </c>
    </row>
    <row r="6978" spans="1:4" x14ac:dyDescent="0.25">
      <c r="A6978" s="279">
        <v>39277</v>
      </c>
      <c r="B6978" s="309" t="s">
        <v>411</v>
      </c>
      <c r="C6978" s="309" t="s">
        <v>407</v>
      </c>
      <c r="D6978">
        <v>162376</v>
      </c>
    </row>
    <row r="6979" spans="1:4" x14ac:dyDescent="0.25">
      <c r="A6979" s="279">
        <v>39277</v>
      </c>
      <c r="B6979" s="309" t="s">
        <v>411</v>
      </c>
      <c r="C6979" s="309" t="s">
        <v>412</v>
      </c>
      <c r="D6979">
        <v>1007</v>
      </c>
    </row>
    <row r="6980" spans="1:4" x14ac:dyDescent="0.25">
      <c r="A6980" s="279">
        <v>39277</v>
      </c>
      <c r="B6980" s="309" t="s">
        <v>411</v>
      </c>
      <c r="C6980" s="309" t="s">
        <v>409</v>
      </c>
      <c r="D6980">
        <v>1049</v>
      </c>
    </row>
    <row r="6981" spans="1:4" x14ac:dyDescent="0.25">
      <c r="A6981" s="279">
        <v>39278</v>
      </c>
      <c r="B6981" s="309" t="s">
        <v>405</v>
      </c>
      <c r="C6981" s="309" t="s">
        <v>406</v>
      </c>
      <c r="D6981">
        <v>2808290.1</v>
      </c>
    </row>
    <row r="6982" spans="1:4" x14ac:dyDescent="0.25">
      <c r="A6982" s="279">
        <v>39278</v>
      </c>
      <c r="B6982" s="309" t="s">
        <v>405</v>
      </c>
      <c r="C6982" s="309" t="s">
        <v>89</v>
      </c>
      <c r="D6982">
        <v>0</v>
      </c>
    </row>
    <row r="6983" spans="1:4" x14ac:dyDescent="0.25">
      <c r="A6983" s="279">
        <v>39278</v>
      </c>
      <c r="B6983" s="309" t="s">
        <v>405</v>
      </c>
      <c r="C6983" s="309" t="s">
        <v>198</v>
      </c>
      <c r="D6983">
        <v>0</v>
      </c>
    </row>
    <row r="6984" spans="1:4" x14ac:dyDescent="0.25">
      <c r="A6984" s="279">
        <v>39278</v>
      </c>
      <c r="B6984" s="309" t="s">
        <v>405</v>
      </c>
      <c r="C6984" s="309" t="s">
        <v>199</v>
      </c>
      <c r="D6984">
        <v>0</v>
      </c>
    </row>
    <row r="6985" spans="1:4" x14ac:dyDescent="0.25">
      <c r="A6985" s="279">
        <v>39278</v>
      </c>
      <c r="B6985" s="309" t="s">
        <v>405</v>
      </c>
      <c r="C6985" s="309" t="s">
        <v>90</v>
      </c>
      <c r="D6985">
        <v>2669</v>
      </c>
    </row>
    <row r="6986" spans="1:4" x14ac:dyDescent="0.25">
      <c r="A6986" s="279">
        <v>39278</v>
      </c>
      <c r="B6986" s="309" t="s">
        <v>405</v>
      </c>
      <c r="C6986" s="309" t="s">
        <v>24</v>
      </c>
      <c r="D6986">
        <v>0</v>
      </c>
    </row>
    <row r="6987" spans="1:4" x14ac:dyDescent="0.25">
      <c r="A6987" s="279">
        <v>39278</v>
      </c>
      <c r="B6987" s="309" t="s">
        <v>405</v>
      </c>
      <c r="C6987" s="309" t="s">
        <v>91</v>
      </c>
      <c r="D6987">
        <v>0</v>
      </c>
    </row>
    <row r="6988" spans="1:4" x14ac:dyDescent="0.25">
      <c r="A6988" s="279">
        <v>39278</v>
      </c>
      <c r="B6988" s="309" t="s">
        <v>405</v>
      </c>
      <c r="C6988" s="309" t="s">
        <v>118</v>
      </c>
      <c r="D6988">
        <v>0</v>
      </c>
    </row>
    <row r="6989" spans="1:4" x14ac:dyDescent="0.25">
      <c r="A6989" s="279">
        <v>39278</v>
      </c>
      <c r="B6989" s="309" t="s">
        <v>405</v>
      </c>
      <c r="C6989" s="309" t="s">
        <v>407</v>
      </c>
      <c r="D6989">
        <v>2805621.1</v>
      </c>
    </row>
    <row r="6990" spans="1:4" x14ac:dyDescent="0.25">
      <c r="A6990" s="279">
        <v>39278</v>
      </c>
      <c r="B6990" s="309" t="s">
        <v>405</v>
      </c>
      <c r="C6990" s="309" t="s">
        <v>408</v>
      </c>
      <c r="D6990">
        <v>1007</v>
      </c>
    </row>
    <row r="6991" spans="1:4" x14ac:dyDescent="0.25">
      <c r="A6991" s="279">
        <v>39278</v>
      </c>
      <c r="B6991" s="309" t="s">
        <v>405</v>
      </c>
      <c r="C6991" s="309" t="s">
        <v>409</v>
      </c>
      <c r="D6991">
        <v>1058</v>
      </c>
    </row>
    <row r="6992" spans="1:4" x14ac:dyDescent="0.25">
      <c r="A6992" s="279">
        <v>39278</v>
      </c>
      <c r="B6992" s="309" t="s">
        <v>405</v>
      </c>
      <c r="C6992" s="309" t="s">
        <v>410</v>
      </c>
      <c r="D6992">
        <v>1038</v>
      </c>
    </row>
    <row r="6993" spans="1:4" x14ac:dyDescent="0.25">
      <c r="A6993" s="279">
        <v>39278</v>
      </c>
      <c r="B6993" s="309" t="s">
        <v>411</v>
      </c>
      <c r="C6993" s="309" t="s">
        <v>406</v>
      </c>
      <c r="D6993">
        <v>162376</v>
      </c>
    </row>
    <row r="6994" spans="1:4" x14ac:dyDescent="0.25">
      <c r="A6994" s="279">
        <v>39278</v>
      </c>
      <c r="B6994" s="309" t="s">
        <v>411</v>
      </c>
      <c r="C6994" s="309" t="s">
        <v>198</v>
      </c>
      <c r="D6994">
        <v>0</v>
      </c>
    </row>
    <row r="6995" spans="1:4" x14ac:dyDescent="0.25">
      <c r="A6995" s="279">
        <v>39278</v>
      </c>
      <c r="B6995" s="309" t="s">
        <v>411</v>
      </c>
      <c r="C6995" s="309" t="s">
        <v>199</v>
      </c>
      <c r="D6995">
        <v>0</v>
      </c>
    </row>
    <row r="6996" spans="1:4" x14ac:dyDescent="0.25">
      <c r="A6996" s="279">
        <v>39278</v>
      </c>
      <c r="B6996" s="309" t="s">
        <v>411</v>
      </c>
      <c r="C6996" s="309" t="s">
        <v>90</v>
      </c>
      <c r="D6996">
        <v>276</v>
      </c>
    </row>
    <row r="6997" spans="1:4" x14ac:dyDescent="0.25">
      <c r="A6997" s="279">
        <v>39278</v>
      </c>
      <c r="B6997" s="309" t="s">
        <v>411</v>
      </c>
      <c r="C6997" s="309" t="s">
        <v>24</v>
      </c>
      <c r="D6997">
        <v>0</v>
      </c>
    </row>
    <row r="6998" spans="1:4" x14ac:dyDescent="0.25">
      <c r="A6998" s="279">
        <v>39278</v>
      </c>
      <c r="B6998" s="309" t="s">
        <v>411</v>
      </c>
      <c r="C6998" s="309" t="s">
        <v>91</v>
      </c>
      <c r="D6998">
        <v>0</v>
      </c>
    </row>
    <row r="6999" spans="1:4" x14ac:dyDescent="0.25">
      <c r="A6999" s="279">
        <v>39278</v>
      </c>
      <c r="B6999" s="309" t="s">
        <v>411</v>
      </c>
      <c r="C6999" s="309" t="s">
        <v>118</v>
      </c>
      <c r="D6999">
        <v>0</v>
      </c>
    </row>
    <row r="7000" spans="1:4" x14ac:dyDescent="0.25">
      <c r="A7000" s="279">
        <v>39278</v>
      </c>
      <c r="B7000" s="309" t="s">
        <v>411</v>
      </c>
      <c r="C7000" s="309" t="s">
        <v>407</v>
      </c>
      <c r="D7000">
        <v>162100</v>
      </c>
    </row>
    <row r="7001" spans="1:4" x14ac:dyDescent="0.25">
      <c r="A7001" s="279">
        <v>39278</v>
      </c>
      <c r="B7001" s="309" t="s">
        <v>411</v>
      </c>
      <c r="C7001" s="309" t="s">
        <v>412</v>
      </c>
      <c r="D7001">
        <v>1007</v>
      </c>
    </row>
    <row r="7002" spans="1:4" x14ac:dyDescent="0.25">
      <c r="A7002" s="279">
        <v>39278</v>
      </c>
      <c r="B7002" s="309" t="s">
        <v>411</v>
      </c>
      <c r="C7002" s="309" t="s">
        <v>409</v>
      </c>
      <c r="D7002">
        <v>1049</v>
      </c>
    </row>
    <row r="7003" spans="1:4" x14ac:dyDescent="0.25">
      <c r="A7003" s="279">
        <v>39279</v>
      </c>
      <c r="B7003" s="309" t="s">
        <v>405</v>
      </c>
      <c r="C7003" s="309" t="s">
        <v>406</v>
      </c>
      <c r="D7003">
        <v>2805621.1</v>
      </c>
    </row>
    <row r="7004" spans="1:4" x14ac:dyDescent="0.25">
      <c r="A7004" s="279">
        <v>39279</v>
      </c>
      <c r="B7004" s="309" t="s">
        <v>405</v>
      </c>
      <c r="C7004" s="309" t="s">
        <v>89</v>
      </c>
      <c r="D7004">
        <v>0</v>
      </c>
    </row>
    <row r="7005" spans="1:4" x14ac:dyDescent="0.25">
      <c r="A7005" s="279">
        <v>39279</v>
      </c>
      <c r="B7005" s="309" t="s">
        <v>405</v>
      </c>
      <c r="C7005" s="309" t="s">
        <v>198</v>
      </c>
      <c r="D7005">
        <v>0</v>
      </c>
    </row>
    <row r="7006" spans="1:4" x14ac:dyDescent="0.25">
      <c r="A7006" s="279">
        <v>39279</v>
      </c>
      <c r="B7006" s="309" t="s">
        <v>405</v>
      </c>
      <c r="C7006" s="309" t="s">
        <v>199</v>
      </c>
      <c r="D7006">
        <v>0</v>
      </c>
    </row>
    <row r="7007" spans="1:4" x14ac:dyDescent="0.25">
      <c r="A7007" s="279">
        <v>39279</v>
      </c>
      <c r="B7007" s="309" t="s">
        <v>405</v>
      </c>
      <c r="C7007" s="309" t="s">
        <v>90</v>
      </c>
      <c r="D7007">
        <v>1602</v>
      </c>
    </row>
    <row r="7008" spans="1:4" x14ac:dyDescent="0.25">
      <c r="A7008" s="279">
        <v>39279</v>
      </c>
      <c r="B7008" s="309" t="s">
        <v>405</v>
      </c>
      <c r="C7008" s="309" t="s">
        <v>24</v>
      </c>
      <c r="D7008">
        <v>0</v>
      </c>
    </row>
    <row r="7009" spans="1:4" x14ac:dyDescent="0.25">
      <c r="A7009" s="279">
        <v>39279</v>
      </c>
      <c r="B7009" s="309" t="s">
        <v>405</v>
      </c>
      <c r="C7009" s="309" t="s">
        <v>91</v>
      </c>
      <c r="D7009">
        <v>0</v>
      </c>
    </row>
    <row r="7010" spans="1:4" x14ac:dyDescent="0.25">
      <c r="A7010" s="279">
        <v>39279</v>
      </c>
      <c r="B7010" s="309" t="s">
        <v>405</v>
      </c>
      <c r="C7010" s="309" t="s">
        <v>118</v>
      </c>
      <c r="D7010">
        <v>0</v>
      </c>
    </row>
    <row r="7011" spans="1:4" x14ac:dyDescent="0.25">
      <c r="A7011" s="279">
        <v>39279</v>
      </c>
      <c r="B7011" s="309" t="s">
        <v>405</v>
      </c>
      <c r="C7011" s="309" t="s">
        <v>407</v>
      </c>
      <c r="D7011">
        <v>2804019.1</v>
      </c>
    </row>
    <row r="7012" spans="1:4" x14ac:dyDescent="0.25">
      <c r="A7012" s="279">
        <v>39279</v>
      </c>
      <c r="B7012" s="309" t="s">
        <v>405</v>
      </c>
      <c r="C7012" s="309" t="s">
        <v>408</v>
      </c>
      <c r="D7012">
        <v>1007</v>
      </c>
    </row>
    <row r="7013" spans="1:4" x14ac:dyDescent="0.25">
      <c r="A7013" s="279">
        <v>39279</v>
      </c>
      <c r="B7013" s="309" t="s">
        <v>405</v>
      </c>
      <c r="C7013" s="309" t="s">
        <v>409</v>
      </c>
      <c r="D7013">
        <v>1058</v>
      </c>
    </row>
    <row r="7014" spans="1:4" x14ac:dyDescent="0.25">
      <c r="A7014" s="279">
        <v>39279</v>
      </c>
      <c r="B7014" s="309" t="s">
        <v>405</v>
      </c>
      <c r="C7014" s="309" t="s">
        <v>410</v>
      </c>
      <c r="D7014">
        <v>1038</v>
      </c>
    </row>
    <row r="7015" spans="1:4" x14ac:dyDescent="0.25">
      <c r="A7015" s="279">
        <v>39279</v>
      </c>
      <c r="B7015" s="309" t="s">
        <v>411</v>
      </c>
      <c r="C7015" s="309" t="s">
        <v>406</v>
      </c>
      <c r="D7015">
        <v>162100</v>
      </c>
    </row>
    <row r="7016" spans="1:4" x14ac:dyDescent="0.25">
      <c r="A7016" s="279">
        <v>39279</v>
      </c>
      <c r="B7016" s="309" t="s">
        <v>411</v>
      </c>
      <c r="C7016" s="309" t="s">
        <v>198</v>
      </c>
      <c r="D7016">
        <v>0</v>
      </c>
    </row>
    <row r="7017" spans="1:4" x14ac:dyDescent="0.25">
      <c r="A7017" s="279">
        <v>39279</v>
      </c>
      <c r="B7017" s="309" t="s">
        <v>411</v>
      </c>
      <c r="C7017" s="309" t="s">
        <v>199</v>
      </c>
      <c r="D7017">
        <v>0</v>
      </c>
    </row>
    <row r="7018" spans="1:4" x14ac:dyDescent="0.25">
      <c r="A7018" s="279">
        <v>39279</v>
      </c>
      <c r="B7018" s="309" t="s">
        <v>411</v>
      </c>
      <c r="C7018" s="309" t="s">
        <v>90</v>
      </c>
      <c r="D7018">
        <v>0</v>
      </c>
    </row>
    <row r="7019" spans="1:4" x14ac:dyDescent="0.25">
      <c r="A7019" s="279">
        <v>39279</v>
      </c>
      <c r="B7019" s="309" t="s">
        <v>411</v>
      </c>
      <c r="C7019" s="309" t="s">
        <v>24</v>
      </c>
      <c r="D7019">
        <v>0</v>
      </c>
    </row>
    <row r="7020" spans="1:4" x14ac:dyDescent="0.25">
      <c r="A7020" s="279">
        <v>39279</v>
      </c>
      <c r="B7020" s="309" t="s">
        <v>411</v>
      </c>
      <c r="C7020" s="309" t="s">
        <v>91</v>
      </c>
      <c r="D7020">
        <v>0</v>
      </c>
    </row>
    <row r="7021" spans="1:4" x14ac:dyDescent="0.25">
      <c r="A7021" s="279">
        <v>39279</v>
      </c>
      <c r="B7021" s="309" t="s">
        <v>411</v>
      </c>
      <c r="C7021" s="309" t="s">
        <v>118</v>
      </c>
      <c r="D7021">
        <v>0</v>
      </c>
    </row>
    <row r="7022" spans="1:4" x14ac:dyDescent="0.25">
      <c r="A7022" s="279">
        <v>39279</v>
      </c>
      <c r="B7022" s="309" t="s">
        <v>411</v>
      </c>
      <c r="C7022" s="309" t="s">
        <v>407</v>
      </c>
      <c r="D7022">
        <v>162100</v>
      </c>
    </row>
    <row r="7023" spans="1:4" x14ac:dyDescent="0.25">
      <c r="A7023" s="279">
        <v>39279</v>
      </c>
      <c r="B7023" s="309" t="s">
        <v>411</v>
      </c>
      <c r="C7023" s="309" t="s">
        <v>412</v>
      </c>
      <c r="D7023">
        <v>1007</v>
      </c>
    </row>
    <row r="7024" spans="1:4" x14ac:dyDescent="0.25">
      <c r="A7024" s="279">
        <v>39279</v>
      </c>
      <c r="B7024" s="309" t="s">
        <v>411</v>
      </c>
      <c r="C7024" s="309" t="s">
        <v>409</v>
      </c>
      <c r="D7024">
        <v>1049</v>
      </c>
    </row>
    <row r="7025" spans="1:4" x14ac:dyDescent="0.25">
      <c r="A7025" s="279">
        <v>39280</v>
      </c>
      <c r="B7025" s="309" t="s">
        <v>405</v>
      </c>
      <c r="C7025" s="309" t="s">
        <v>406</v>
      </c>
      <c r="D7025">
        <v>2804019.1</v>
      </c>
    </row>
    <row r="7026" spans="1:4" x14ac:dyDescent="0.25">
      <c r="A7026" s="279">
        <v>39280</v>
      </c>
      <c r="B7026" s="309" t="s">
        <v>405</v>
      </c>
      <c r="C7026" s="309" t="s">
        <v>89</v>
      </c>
      <c r="D7026">
        <v>0</v>
      </c>
    </row>
    <row r="7027" spans="1:4" x14ac:dyDescent="0.25">
      <c r="A7027" s="279">
        <v>39280</v>
      </c>
      <c r="B7027" s="309" t="s">
        <v>405</v>
      </c>
      <c r="C7027" s="309" t="s">
        <v>198</v>
      </c>
      <c r="D7027">
        <v>0</v>
      </c>
    </row>
    <row r="7028" spans="1:4" x14ac:dyDescent="0.25">
      <c r="A7028" s="279">
        <v>39280</v>
      </c>
      <c r="B7028" s="309" t="s">
        <v>405</v>
      </c>
      <c r="C7028" s="309" t="s">
        <v>199</v>
      </c>
      <c r="D7028">
        <v>0</v>
      </c>
    </row>
    <row r="7029" spans="1:4" x14ac:dyDescent="0.25">
      <c r="A7029" s="279">
        <v>39280</v>
      </c>
      <c r="B7029" s="309" t="s">
        <v>405</v>
      </c>
      <c r="C7029" s="309" t="s">
        <v>90</v>
      </c>
      <c r="D7029">
        <v>1335</v>
      </c>
    </row>
    <row r="7030" spans="1:4" x14ac:dyDescent="0.25">
      <c r="A7030" s="279">
        <v>39280</v>
      </c>
      <c r="B7030" s="309" t="s">
        <v>405</v>
      </c>
      <c r="C7030" s="309" t="s">
        <v>24</v>
      </c>
      <c r="D7030">
        <v>0</v>
      </c>
    </row>
    <row r="7031" spans="1:4" x14ac:dyDescent="0.25">
      <c r="A7031" s="279">
        <v>39280</v>
      </c>
      <c r="B7031" s="309" t="s">
        <v>405</v>
      </c>
      <c r="C7031" s="309" t="s">
        <v>91</v>
      </c>
      <c r="D7031">
        <v>0</v>
      </c>
    </row>
    <row r="7032" spans="1:4" x14ac:dyDescent="0.25">
      <c r="A7032" s="279">
        <v>39280</v>
      </c>
      <c r="B7032" s="309" t="s">
        <v>405</v>
      </c>
      <c r="C7032" s="309" t="s">
        <v>118</v>
      </c>
      <c r="D7032">
        <v>0</v>
      </c>
    </row>
    <row r="7033" spans="1:4" x14ac:dyDescent="0.25">
      <c r="A7033" s="279">
        <v>39280</v>
      </c>
      <c r="B7033" s="309" t="s">
        <v>405</v>
      </c>
      <c r="C7033" s="309" t="s">
        <v>407</v>
      </c>
      <c r="D7033">
        <v>2802684.1</v>
      </c>
    </row>
    <row r="7034" spans="1:4" x14ac:dyDescent="0.25">
      <c r="A7034" s="279">
        <v>39280</v>
      </c>
      <c r="B7034" s="309" t="s">
        <v>405</v>
      </c>
      <c r="C7034" s="309" t="s">
        <v>408</v>
      </c>
      <c r="D7034">
        <v>1007</v>
      </c>
    </row>
    <row r="7035" spans="1:4" x14ac:dyDescent="0.25">
      <c r="A7035" s="279">
        <v>39280</v>
      </c>
      <c r="B7035" s="309" t="s">
        <v>405</v>
      </c>
      <c r="C7035" s="309" t="s">
        <v>409</v>
      </c>
      <c r="D7035">
        <v>1058</v>
      </c>
    </row>
    <row r="7036" spans="1:4" x14ac:dyDescent="0.25">
      <c r="A7036" s="279">
        <v>39280</v>
      </c>
      <c r="B7036" s="309" t="s">
        <v>405</v>
      </c>
      <c r="C7036" s="309" t="s">
        <v>410</v>
      </c>
      <c r="D7036">
        <v>1037</v>
      </c>
    </row>
    <row r="7037" spans="1:4" x14ac:dyDescent="0.25">
      <c r="A7037" s="279">
        <v>39280</v>
      </c>
      <c r="B7037" s="309" t="s">
        <v>411</v>
      </c>
      <c r="C7037" s="309" t="s">
        <v>406</v>
      </c>
      <c r="D7037">
        <v>162100</v>
      </c>
    </row>
    <row r="7038" spans="1:4" x14ac:dyDescent="0.25">
      <c r="A7038" s="279">
        <v>39280</v>
      </c>
      <c r="B7038" s="309" t="s">
        <v>411</v>
      </c>
      <c r="C7038" s="309" t="s">
        <v>198</v>
      </c>
      <c r="D7038">
        <v>0</v>
      </c>
    </row>
    <row r="7039" spans="1:4" x14ac:dyDescent="0.25">
      <c r="A7039" s="279">
        <v>39280</v>
      </c>
      <c r="B7039" s="309" t="s">
        <v>411</v>
      </c>
      <c r="C7039" s="309" t="s">
        <v>199</v>
      </c>
      <c r="D7039">
        <v>0</v>
      </c>
    </row>
    <row r="7040" spans="1:4" x14ac:dyDescent="0.25">
      <c r="A7040" s="279">
        <v>39280</v>
      </c>
      <c r="B7040" s="309" t="s">
        <v>411</v>
      </c>
      <c r="C7040" s="309" t="s">
        <v>90</v>
      </c>
      <c r="D7040">
        <v>276</v>
      </c>
    </row>
    <row r="7041" spans="1:4" x14ac:dyDescent="0.25">
      <c r="A7041" s="279">
        <v>39280</v>
      </c>
      <c r="B7041" s="309" t="s">
        <v>411</v>
      </c>
      <c r="C7041" s="309" t="s">
        <v>24</v>
      </c>
      <c r="D7041">
        <v>0</v>
      </c>
    </row>
    <row r="7042" spans="1:4" x14ac:dyDescent="0.25">
      <c r="A7042" s="279">
        <v>39280</v>
      </c>
      <c r="B7042" s="309" t="s">
        <v>411</v>
      </c>
      <c r="C7042" s="309" t="s">
        <v>91</v>
      </c>
      <c r="D7042">
        <v>0</v>
      </c>
    </row>
    <row r="7043" spans="1:4" x14ac:dyDescent="0.25">
      <c r="A7043" s="279">
        <v>39280</v>
      </c>
      <c r="B7043" s="309" t="s">
        <v>411</v>
      </c>
      <c r="C7043" s="309" t="s">
        <v>118</v>
      </c>
      <c r="D7043">
        <v>0</v>
      </c>
    </row>
    <row r="7044" spans="1:4" x14ac:dyDescent="0.25">
      <c r="A7044" s="279">
        <v>39280</v>
      </c>
      <c r="B7044" s="309" t="s">
        <v>411</v>
      </c>
      <c r="C7044" s="309" t="s">
        <v>407</v>
      </c>
      <c r="D7044">
        <v>161824</v>
      </c>
    </row>
    <row r="7045" spans="1:4" x14ac:dyDescent="0.25">
      <c r="A7045" s="279">
        <v>39280</v>
      </c>
      <c r="B7045" s="309" t="s">
        <v>411</v>
      </c>
      <c r="C7045" s="309" t="s">
        <v>412</v>
      </c>
      <c r="D7045">
        <v>1007</v>
      </c>
    </row>
    <row r="7046" spans="1:4" x14ac:dyDescent="0.25">
      <c r="A7046" s="279">
        <v>39280</v>
      </c>
      <c r="B7046" s="309" t="s">
        <v>411</v>
      </c>
      <c r="C7046" s="309" t="s">
        <v>409</v>
      </c>
      <c r="D7046">
        <v>1049</v>
      </c>
    </row>
    <row r="7047" spans="1:4" x14ac:dyDescent="0.25">
      <c r="A7047" s="279">
        <v>39281</v>
      </c>
      <c r="B7047" s="309" t="s">
        <v>405</v>
      </c>
      <c r="C7047" s="309" t="s">
        <v>406</v>
      </c>
      <c r="D7047">
        <v>2802684.1</v>
      </c>
    </row>
    <row r="7048" spans="1:4" x14ac:dyDescent="0.25">
      <c r="A7048" s="279">
        <v>39281</v>
      </c>
      <c r="B7048" s="309" t="s">
        <v>405</v>
      </c>
      <c r="C7048" s="309" t="s">
        <v>89</v>
      </c>
      <c r="D7048">
        <v>0</v>
      </c>
    </row>
    <row r="7049" spans="1:4" x14ac:dyDescent="0.25">
      <c r="A7049" s="279">
        <v>39281</v>
      </c>
      <c r="B7049" s="309" t="s">
        <v>405</v>
      </c>
      <c r="C7049" s="309" t="s">
        <v>198</v>
      </c>
      <c r="D7049">
        <v>0</v>
      </c>
    </row>
    <row r="7050" spans="1:4" x14ac:dyDescent="0.25">
      <c r="A7050" s="279">
        <v>39281</v>
      </c>
      <c r="B7050" s="309" t="s">
        <v>405</v>
      </c>
      <c r="C7050" s="309" t="s">
        <v>199</v>
      </c>
      <c r="D7050">
        <v>0</v>
      </c>
    </row>
    <row r="7051" spans="1:4" x14ac:dyDescent="0.25">
      <c r="A7051" s="279">
        <v>39281</v>
      </c>
      <c r="B7051" s="309" t="s">
        <v>405</v>
      </c>
      <c r="C7051" s="309" t="s">
        <v>90</v>
      </c>
      <c r="D7051">
        <v>2135</v>
      </c>
    </row>
    <row r="7052" spans="1:4" x14ac:dyDescent="0.25">
      <c r="A7052" s="279">
        <v>39281</v>
      </c>
      <c r="B7052" s="309" t="s">
        <v>405</v>
      </c>
      <c r="C7052" s="309" t="s">
        <v>24</v>
      </c>
      <c r="D7052">
        <v>0</v>
      </c>
    </row>
    <row r="7053" spans="1:4" x14ac:dyDescent="0.25">
      <c r="A7053" s="279">
        <v>39281</v>
      </c>
      <c r="B7053" s="309" t="s">
        <v>405</v>
      </c>
      <c r="C7053" s="309" t="s">
        <v>91</v>
      </c>
      <c r="D7053">
        <v>0</v>
      </c>
    </row>
    <row r="7054" spans="1:4" x14ac:dyDescent="0.25">
      <c r="A7054" s="279">
        <v>39281</v>
      </c>
      <c r="B7054" s="309" t="s">
        <v>405</v>
      </c>
      <c r="C7054" s="309" t="s">
        <v>118</v>
      </c>
      <c r="D7054">
        <v>0</v>
      </c>
    </row>
    <row r="7055" spans="1:4" x14ac:dyDescent="0.25">
      <c r="A7055" s="279">
        <v>39281</v>
      </c>
      <c r="B7055" s="309" t="s">
        <v>405</v>
      </c>
      <c r="C7055" s="309" t="s">
        <v>407</v>
      </c>
      <c r="D7055">
        <v>2800549.1</v>
      </c>
    </row>
    <row r="7056" spans="1:4" x14ac:dyDescent="0.25">
      <c r="A7056" s="279">
        <v>39281</v>
      </c>
      <c r="B7056" s="309" t="s">
        <v>405</v>
      </c>
      <c r="C7056" s="309" t="s">
        <v>408</v>
      </c>
      <c r="D7056">
        <v>1007</v>
      </c>
    </row>
    <row r="7057" spans="1:4" x14ac:dyDescent="0.25">
      <c r="A7057" s="279">
        <v>39281</v>
      </c>
      <c r="B7057" s="309" t="s">
        <v>405</v>
      </c>
      <c r="C7057" s="309" t="s">
        <v>409</v>
      </c>
      <c r="D7057">
        <v>1058</v>
      </c>
    </row>
    <row r="7058" spans="1:4" x14ac:dyDescent="0.25">
      <c r="A7058" s="279">
        <v>39281</v>
      </c>
      <c r="B7058" s="309" t="s">
        <v>405</v>
      </c>
      <c r="C7058" s="309" t="s">
        <v>410</v>
      </c>
      <c r="D7058">
        <v>1038</v>
      </c>
    </row>
    <row r="7059" spans="1:4" x14ac:dyDescent="0.25">
      <c r="A7059" s="279">
        <v>39281</v>
      </c>
      <c r="B7059" s="309" t="s">
        <v>411</v>
      </c>
      <c r="C7059" s="309" t="s">
        <v>406</v>
      </c>
      <c r="D7059">
        <v>161824</v>
      </c>
    </row>
    <row r="7060" spans="1:4" x14ac:dyDescent="0.25">
      <c r="A7060" s="279">
        <v>39281</v>
      </c>
      <c r="B7060" s="309" t="s">
        <v>411</v>
      </c>
      <c r="C7060" s="309" t="s">
        <v>198</v>
      </c>
      <c r="D7060">
        <v>0</v>
      </c>
    </row>
    <row r="7061" spans="1:4" x14ac:dyDescent="0.25">
      <c r="A7061" s="279">
        <v>39281</v>
      </c>
      <c r="B7061" s="309" t="s">
        <v>411</v>
      </c>
      <c r="C7061" s="309" t="s">
        <v>199</v>
      </c>
      <c r="D7061">
        <v>0</v>
      </c>
    </row>
    <row r="7062" spans="1:4" x14ac:dyDescent="0.25">
      <c r="A7062" s="279">
        <v>39281</v>
      </c>
      <c r="B7062" s="309" t="s">
        <v>411</v>
      </c>
      <c r="C7062" s="309" t="s">
        <v>90</v>
      </c>
      <c r="D7062">
        <v>0</v>
      </c>
    </row>
    <row r="7063" spans="1:4" x14ac:dyDescent="0.25">
      <c r="A7063" s="279">
        <v>39281</v>
      </c>
      <c r="B7063" s="309" t="s">
        <v>411</v>
      </c>
      <c r="C7063" s="309" t="s">
        <v>24</v>
      </c>
      <c r="D7063">
        <v>0</v>
      </c>
    </row>
    <row r="7064" spans="1:4" x14ac:dyDescent="0.25">
      <c r="A7064" s="279">
        <v>39281</v>
      </c>
      <c r="B7064" s="309" t="s">
        <v>411</v>
      </c>
      <c r="C7064" s="309" t="s">
        <v>91</v>
      </c>
      <c r="D7064">
        <v>0</v>
      </c>
    </row>
    <row r="7065" spans="1:4" x14ac:dyDescent="0.25">
      <c r="A7065" s="279">
        <v>39281</v>
      </c>
      <c r="B7065" s="309" t="s">
        <v>411</v>
      </c>
      <c r="C7065" s="309" t="s">
        <v>118</v>
      </c>
      <c r="D7065">
        <v>0</v>
      </c>
    </row>
    <row r="7066" spans="1:4" x14ac:dyDescent="0.25">
      <c r="A7066" s="279">
        <v>39281</v>
      </c>
      <c r="B7066" s="309" t="s">
        <v>411</v>
      </c>
      <c r="C7066" s="309" t="s">
        <v>407</v>
      </c>
      <c r="D7066">
        <v>161824</v>
      </c>
    </row>
    <row r="7067" spans="1:4" x14ac:dyDescent="0.25">
      <c r="A7067" s="279">
        <v>39281</v>
      </c>
      <c r="B7067" s="309" t="s">
        <v>411</v>
      </c>
      <c r="C7067" s="309" t="s">
        <v>412</v>
      </c>
      <c r="D7067">
        <v>1007</v>
      </c>
    </row>
    <row r="7068" spans="1:4" x14ac:dyDescent="0.25">
      <c r="A7068" s="279">
        <v>39281</v>
      </c>
      <c r="B7068" s="309" t="s">
        <v>411</v>
      </c>
      <c r="C7068" s="309" t="s">
        <v>409</v>
      </c>
      <c r="D7068">
        <v>1049</v>
      </c>
    </row>
    <row r="7069" spans="1:4" x14ac:dyDescent="0.25">
      <c r="A7069" s="279">
        <v>39282</v>
      </c>
      <c r="B7069" s="309" t="s">
        <v>405</v>
      </c>
      <c r="C7069" s="309" t="s">
        <v>406</v>
      </c>
      <c r="D7069">
        <v>2800549.1</v>
      </c>
    </row>
    <row r="7070" spans="1:4" x14ac:dyDescent="0.25">
      <c r="A7070" s="279">
        <v>39282</v>
      </c>
      <c r="B7070" s="309" t="s">
        <v>405</v>
      </c>
      <c r="C7070" s="309" t="s">
        <v>89</v>
      </c>
      <c r="D7070">
        <v>0</v>
      </c>
    </row>
    <row r="7071" spans="1:4" x14ac:dyDescent="0.25">
      <c r="A7071" s="279">
        <v>39282</v>
      </c>
      <c r="B7071" s="309" t="s">
        <v>405</v>
      </c>
      <c r="C7071" s="309" t="s">
        <v>198</v>
      </c>
      <c r="D7071">
        <v>0</v>
      </c>
    </row>
    <row r="7072" spans="1:4" x14ac:dyDescent="0.25">
      <c r="A7072" s="279">
        <v>39282</v>
      </c>
      <c r="B7072" s="309" t="s">
        <v>405</v>
      </c>
      <c r="C7072" s="309" t="s">
        <v>199</v>
      </c>
      <c r="D7072">
        <v>0</v>
      </c>
    </row>
    <row r="7073" spans="1:4" x14ac:dyDescent="0.25">
      <c r="A7073" s="279">
        <v>39282</v>
      </c>
      <c r="B7073" s="309" t="s">
        <v>405</v>
      </c>
      <c r="C7073" s="309" t="s">
        <v>90</v>
      </c>
      <c r="D7073">
        <v>2936</v>
      </c>
    </row>
    <row r="7074" spans="1:4" x14ac:dyDescent="0.25">
      <c r="A7074" s="279">
        <v>39282</v>
      </c>
      <c r="B7074" s="309" t="s">
        <v>405</v>
      </c>
      <c r="C7074" s="309" t="s">
        <v>24</v>
      </c>
      <c r="D7074">
        <v>0</v>
      </c>
    </row>
    <row r="7075" spans="1:4" x14ac:dyDescent="0.25">
      <c r="A7075" s="279">
        <v>39282</v>
      </c>
      <c r="B7075" s="309" t="s">
        <v>405</v>
      </c>
      <c r="C7075" s="309" t="s">
        <v>91</v>
      </c>
      <c r="D7075">
        <v>0</v>
      </c>
    </row>
    <row r="7076" spans="1:4" x14ac:dyDescent="0.25">
      <c r="A7076" s="279">
        <v>39282</v>
      </c>
      <c r="B7076" s="309" t="s">
        <v>405</v>
      </c>
      <c r="C7076" s="309" t="s">
        <v>118</v>
      </c>
      <c r="D7076">
        <v>0</v>
      </c>
    </row>
    <row r="7077" spans="1:4" x14ac:dyDescent="0.25">
      <c r="A7077" s="279">
        <v>39282</v>
      </c>
      <c r="B7077" s="309" t="s">
        <v>405</v>
      </c>
      <c r="C7077" s="309" t="s">
        <v>407</v>
      </c>
      <c r="D7077">
        <v>2797613.1</v>
      </c>
    </row>
    <row r="7078" spans="1:4" x14ac:dyDescent="0.25">
      <c r="A7078" s="279">
        <v>39282</v>
      </c>
      <c r="B7078" s="309" t="s">
        <v>405</v>
      </c>
      <c r="C7078" s="309" t="s">
        <v>408</v>
      </c>
      <c r="D7078">
        <v>1007</v>
      </c>
    </row>
    <row r="7079" spans="1:4" x14ac:dyDescent="0.25">
      <c r="A7079" s="279">
        <v>39282</v>
      </c>
      <c r="B7079" s="309" t="s">
        <v>405</v>
      </c>
      <c r="C7079" s="309" t="s">
        <v>409</v>
      </c>
      <c r="D7079">
        <v>1058</v>
      </c>
    </row>
    <row r="7080" spans="1:4" x14ac:dyDescent="0.25">
      <c r="A7080" s="279">
        <v>39282</v>
      </c>
      <c r="B7080" s="309" t="s">
        <v>405</v>
      </c>
      <c r="C7080" s="309" t="s">
        <v>410</v>
      </c>
      <c r="D7080">
        <v>1037</v>
      </c>
    </row>
    <row r="7081" spans="1:4" x14ac:dyDescent="0.25">
      <c r="A7081" s="279">
        <v>39282</v>
      </c>
      <c r="B7081" s="309" t="s">
        <v>411</v>
      </c>
      <c r="C7081" s="309" t="s">
        <v>406</v>
      </c>
      <c r="D7081">
        <v>161824</v>
      </c>
    </row>
    <row r="7082" spans="1:4" x14ac:dyDescent="0.25">
      <c r="A7082" s="279">
        <v>39282</v>
      </c>
      <c r="B7082" s="309" t="s">
        <v>411</v>
      </c>
      <c r="C7082" s="309" t="s">
        <v>198</v>
      </c>
      <c r="D7082">
        <v>0</v>
      </c>
    </row>
    <row r="7083" spans="1:4" x14ac:dyDescent="0.25">
      <c r="A7083" s="279">
        <v>39282</v>
      </c>
      <c r="B7083" s="309" t="s">
        <v>411</v>
      </c>
      <c r="C7083" s="309" t="s">
        <v>199</v>
      </c>
      <c r="D7083">
        <v>0</v>
      </c>
    </row>
    <row r="7084" spans="1:4" x14ac:dyDescent="0.25">
      <c r="A7084" s="279">
        <v>39282</v>
      </c>
      <c r="B7084" s="309" t="s">
        <v>411</v>
      </c>
      <c r="C7084" s="309" t="s">
        <v>90</v>
      </c>
      <c r="D7084">
        <v>50</v>
      </c>
    </row>
    <row r="7085" spans="1:4" x14ac:dyDescent="0.25">
      <c r="A7085" s="279">
        <v>39282</v>
      </c>
      <c r="B7085" s="309" t="s">
        <v>411</v>
      </c>
      <c r="C7085" s="309" t="s">
        <v>24</v>
      </c>
      <c r="D7085">
        <v>0</v>
      </c>
    </row>
    <row r="7086" spans="1:4" x14ac:dyDescent="0.25">
      <c r="A7086" s="279">
        <v>39282</v>
      </c>
      <c r="B7086" s="309" t="s">
        <v>411</v>
      </c>
      <c r="C7086" s="309" t="s">
        <v>91</v>
      </c>
      <c r="D7086">
        <v>0</v>
      </c>
    </row>
    <row r="7087" spans="1:4" x14ac:dyDescent="0.25">
      <c r="A7087" s="279">
        <v>39282</v>
      </c>
      <c r="B7087" s="309" t="s">
        <v>411</v>
      </c>
      <c r="C7087" s="309" t="s">
        <v>118</v>
      </c>
      <c r="D7087">
        <v>0</v>
      </c>
    </row>
    <row r="7088" spans="1:4" x14ac:dyDescent="0.25">
      <c r="A7088" s="279">
        <v>39282</v>
      </c>
      <c r="B7088" s="309" t="s">
        <v>411</v>
      </c>
      <c r="C7088" s="309" t="s">
        <v>407</v>
      </c>
      <c r="D7088">
        <v>161774</v>
      </c>
    </row>
    <row r="7089" spans="1:4" x14ac:dyDescent="0.25">
      <c r="A7089" s="279">
        <v>39282</v>
      </c>
      <c r="B7089" s="309" t="s">
        <v>411</v>
      </c>
      <c r="C7089" s="309" t="s">
        <v>412</v>
      </c>
      <c r="D7089">
        <v>1007</v>
      </c>
    </row>
    <row r="7090" spans="1:4" x14ac:dyDescent="0.25">
      <c r="A7090" s="279">
        <v>39282</v>
      </c>
      <c r="B7090" s="309" t="s">
        <v>411</v>
      </c>
      <c r="C7090" s="309" t="s">
        <v>409</v>
      </c>
      <c r="D7090">
        <v>1049</v>
      </c>
    </row>
    <row r="7091" spans="1:4" x14ac:dyDescent="0.25">
      <c r="A7091" s="279">
        <v>39283</v>
      </c>
      <c r="B7091" s="309" t="s">
        <v>405</v>
      </c>
      <c r="C7091" s="309" t="s">
        <v>406</v>
      </c>
      <c r="D7091">
        <v>2797613.1</v>
      </c>
    </row>
    <row r="7092" spans="1:4" x14ac:dyDescent="0.25">
      <c r="A7092" s="279">
        <v>39283</v>
      </c>
      <c r="B7092" s="309" t="s">
        <v>405</v>
      </c>
      <c r="C7092" s="309" t="s">
        <v>89</v>
      </c>
      <c r="D7092">
        <v>0</v>
      </c>
    </row>
    <row r="7093" spans="1:4" x14ac:dyDescent="0.25">
      <c r="A7093" s="279">
        <v>39283</v>
      </c>
      <c r="B7093" s="309" t="s">
        <v>405</v>
      </c>
      <c r="C7093" s="309" t="s">
        <v>198</v>
      </c>
      <c r="D7093">
        <v>0</v>
      </c>
    </row>
    <row r="7094" spans="1:4" x14ac:dyDescent="0.25">
      <c r="A7094" s="279">
        <v>39283</v>
      </c>
      <c r="B7094" s="309" t="s">
        <v>405</v>
      </c>
      <c r="C7094" s="309" t="s">
        <v>199</v>
      </c>
      <c r="D7094">
        <v>0</v>
      </c>
    </row>
    <row r="7095" spans="1:4" x14ac:dyDescent="0.25">
      <c r="A7095" s="279">
        <v>39283</v>
      </c>
      <c r="B7095" s="309" t="s">
        <v>405</v>
      </c>
      <c r="C7095" s="309" t="s">
        <v>90</v>
      </c>
      <c r="D7095">
        <v>1068</v>
      </c>
    </row>
    <row r="7096" spans="1:4" x14ac:dyDescent="0.25">
      <c r="A7096" s="279">
        <v>39283</v>
      </c>
      <c r="B7096" s="309" t="s">
        <v>405</v>
      </c>
      <c r="C7096" s="309" t="s">
        <v>24</v>
      </c>
      <c r="D7096">
        <v>0</v>
      </c>
    </row>
    <row r="7097" spans="1:4" x14ac:dyDescent="0.25">
      <c r="A7097" s="279">
        <v>39283</v>
      </c>
      <c r="B7097" s="309" t="s">
        <v>405</v>
      </c>
      <c r="C7097" s="309" t="s">
        <v>91</v>
      </c>
      <c r="D7097">
        <v>0</v>
      </c>
    </row>
    <row r="7098" spans="1:4" x14ac:dyDescent="0.25">
      <c r="A7098" s="279">
        <v>39283</v>
      </c>
      <c r="B7098" s="309" t="s">
        <v>405</v>
      </c>
      <c r="C7098" s="309" t="s">
        <v>118</v>
      </c>
      <c r="D7098">
        <v>0</v>
      </c>
    </row>
    <row r="7099" spans="1:4" x14ac:dyDescent="0.25">
      <c r="A7099" s="279">
        <v>39283</v>
      </c>
      <c r="B7099" s="309" t="s">
        <v>405</v>
      </c>
      <c r="C7099" s="309" t="s">
        <v>407</v>
      </c>
      <c r="D7099">
        <v>2796545.1</v>
      </c>
    </row>
    <row r="7100" spans="1:4" x14ac:dyDescent="0.25">
      <c r="A7100" s="279">
        <v>39283</v>
      </c>
      <c r="B7100" s="309" t="s">
        <v>405</v>
      </c>
      <c r="C7100" s="309" t="s">
        <v>408</v>
      </c>
      <c r="D7100">
        <v>1007</v>
      </c>
    </row>
    <row r="7101" spans="1:4" x14ac:dyDescent="0.25">
      <c r="A7101" s="279">
        <v>39283</v>
      </c>
      <c r="B7101" s="309" t="s">
        <v>405</v>
      </c>
      <c r="C7101" s="309" t="s">
        <v>409</v>
      </c>
      <c r="D7101">
        <v>1058</v>
      </c>
    </row>
    <row r="7102" spans="1:4" x14ac:dyDescent="0.25">
      <c r="A7102" s="279">
        <v>39283</v>
      </c>
      <c r="B7102" s="309" t="s">
        <v>405</v>
      </c>
      <c r="C7102" s="309" t="s">
        <v>410</v>
      </c>
      <c r="D7102">
        <v>1038</v>
      </c>
    </row>
    <row r="7103" spans="1:4" x14ac:dyDescent="0.25">
      <c r="A7103" s="279">
        <v>39283</v>
      </c>
      <c r="B7103" s="309" t="s">
        <v>411</v>
      </c>
      <c r="C7103" s="309" t="s">
        <v>406</v>
      </c>
      <c r="D7103">
        <v>161774</v>
      </c>
    </row>
    <row r="7104" spans="1:4" x14ac:dyDescent="0.25">
      <c r="A7104" s="279">
        <v>39283</v>
      </c>
      <c r="B7104" s="309" t="s">
        <v>411</v>
      </c>
      <c r="C7104" s="309" t="s">
        <v>198</v>
      </c>
      <c r="D7104">
        <v>0</v>
      </c>
    </row>
    <row r="7105" spans="1:4" x14ac:dyDescent="0.25">
      <c r="A7105" s="279">
        <v>39283</v>
      </c>
      <c r="B7105" s="309" t="s">
        <v>411</v>
      </c>
      <c r="C7105" s="309" t="s">
        <v>199</v>
      </c>
      <c r="D7105">
        <v>0</v>
      </c>
    </row>
    <row r="7106" spans="1:4" x14ac:dyDescent="0.25">
      <c r="A7106" s="279">
        <v>39283</v>
      </c>
      <c r="B7106" s="309" t="s">
        <v>411</v>
      </c>
      <c r="C7106" s="309" t="s">
        <v>90</v>
      </c>
      <c r="D7106">
        <v>225</v>
      </c>
    </row>
    <row r="7107" spans="1:4" x14ac:dyDescent="0.25">
      <c r="A7107" s="279">
        <v>39283</v>
      </c>
      <c r="B7107" s="309" t="s">
        <v>411</v>
      </c>
      <c r="C7107" s="309" t="s">
        <v>24</v>
      </c>
      <c r="D7107">
        <v>0</v>
      </c>
    </row>
    <row r="7108" spans="1:4" x14ac:dyDescent="0.25">
      <c r="A7108" s="279">
        <v>39283</v>
      </c>
      <c r="B7108" s="309" t="s">
        <v>411</v>
      </c>
      <c r="C7108" s="309" t="s">
        <v>91</v>
      </c>
      <c r="D7108">
        <v>0</v>
      </c>
    </row>
    <row r="7109" spans="1:4" x14ac:dyDescent="0.25">
      <c r="A7109" s="279">
        <v>39283</v>
      </c>
      <c r="B7109" s="309" t="s">
        <v>411</v>
      </c>
      <c r="C7109" s="309" t="s">
        <v>118</v>
      </c>
      <c r="D7109">
        <v>0</v>
      </c>
    </row>
    <row r="7110" spans="1:4" x14ac:dyDescent="0.25">
      <c r="A7110" s="279">
        <v>39283</v>
      </c>
      <c r="B7110" s="309" t="s">
        <v>411</v>
      </c>
      <c r="C7110" s="309" t="s">
        <v>407</v>
      </c>
      <c r="D7110">
        <v>161549</v>
      </c>
    </row>
    <row r="7111" spans="1:4" x14ac:dyDescent="0.25">
      <c r="A7111" s="279">
        <v>39283</v>
      </c>
      <c r="B7111" s="309" t="s">
        <v>411</v>
      </c>
      <c r="C7111" s="309" t="s">
        <v>412</v>
      </c>
      <c r="D7111">
        <v>1007</v>
      </c>
    </row>
    <row r="7112" spans="1:4" x14ac:dyDescent="0.25">
      <c r="A7112" s="279">
        <v>39283</v>
      </c>
      <c r="B7112" s="309" t="s">
        <v>411</v>
      </c>
      <c r="C7112" s="309" t="s">
        <v>409</v>
      </c>
      <c r="D7112">
        <v>1049</v>
      </c>
    </row>
    <row r="7113" spans="1:4" x14ac:dyDescent="0.25">
      <c r="A7113" s="279">
        <v>39284</v>
      </c>
      <c r="B7113" s="309" t="s">
        <v>405</v>
      </c>
      <c r="C7113" s="309" t="s">
        <v>406</v>
      </c>
      <c r="D7113">
        <v>2796545.1</v>
      </c>
    </row>
    <row r="7114" spans="1:4" x14ac:dyDescent="0.25">
      <c r="A7114" s="279">
        <v>39284</v>
      </c>
      <c r="B7114" s="309" t="s">
        <v>405</v>
      </c>
      <c r="C7114" s="309" t="s">
        <v>89</v>
      </c>
      <c r="D7114">
        <v>0</v>
      </c>
    </row>
    <row r="7115" spans="1:4" x14ac:dyDescent="0.25">
      <c r="A7115" s="279">
        <v>39284</v>
      </c>
      <c r="B7115" s="309" t="s">
        <v>405</v>
      </c>
      <c r="C7115" s="309" t="s">
        <v>198</v>
      </c>
      <c r="D7115">
        <v>0</v>
      </c>
    </row>
    <row r="7116" spans="1:4" x14ac:dyDescent="0.25">
      <c r="A7116" s="279">
        <v>39284</v>
      </c>
      <c r="B7116" s="309" t="s">
        <v>405</v>
      </c>
      <c r="C7116" s="309" t="s">
        <v>199</v>
      </c>
      <c r="D7116">
        <v>0</v>
      </c>
    </row>
    <row r="7117" spans="1:4" x14ac:dyDescent="0.25">
      <c r="A7117" s="279">
        <v>39284</v>
      </c>
      <c r="B7117" s="309" t="s">
        <v>405</v>
      </c>
      <c r="C7117" s="309" t="s">
        <v>90</v>
      </c>
      <c r="D7117">
        <v>801</v>
      </c>
    </row>
    <row r="7118" spans="1:4" x14ac:dyDescent="0.25">
      <c r="A7118" s="279">
        <v>39284</v>
      </c>
      <c r="B7118" s="309" t="s">
        <v>405</v>
      </c>
      <c r="C7118" s="309" t="s">
        <v>24</v>
      </c>
      <c r="D7118">
        <v>0</v>
      </c>
    </row>
    <row r="7119" spans="1:4" x14ac:dyDescent="0.25">
      <c r="A7119" s="279">
        <v>39284</v>
      </c>
      <c r="B7119" s="309" t="s">
        <v>405</v>
      </c>
      <c r="C7119" s="309" t="s">
        <v>91</v>
      </c>
      <c r="D7119">
        <v>0</v>
      </c>
    </row>
    <row r="7120" spans="1:4" x14ac:dyDescent="0.25">
      <c r="A7120" s="279">
        <v>39284</v>
      </c>
      <c r="B7120" s="309" t="s">
        <v>405</v>
      </c>
      <c r="C7120" s="309" t="s">
        <v>118</v>
      </c>
      <c r="D7120">
        <v>0</v>
      </c>
    </row>
    <row r="7121" spans="1:4" x14ac:dyDescent="0.25">
      <c r="A7121" s="279">
        <v>39284</v>
      </c>
      <c r="B7121" s="309" t="s">
        <v>405</v>
      </c>
      <c r="C7121" s="309" t="s">
        <v>407</v>
      </c>
      <c r="D7121">
        <v>2795744.1</v>
      </c>
    </row>
    <row r="7122" spans="1:4" x14ac:dyDescent="0.25">
      <c r="A7122" s="279">
        <v>39284</v>
      </c>
      <c r="B7122" s="309" t="s">
        <v>405</v>
      </c>
      <c r="C7122" s="309" t="s">
        <v>408</v>
      </c>
      <c r="D7122">
        <v>1007</v>
      </c>
    </row>
    <row r="7123" spans="1:4" x14ac:dyDescent="0.25">
      <c r="A7123" s="279">
        <v>39284</v>
      </c>
      <c r="B7123" s="309" t="s">
        <v>405</v>
      </c>
      <c r="C7123" s="309" t="s">
        <v>409</v>
      </c>
      <c r="D7123">
        <v>1058</v>
      </c>
    </row>
    <row r="7124" spans="1:4" x14ac:dyDescent="0.25">
      <c r="A7124" s="279">
        <v>39284</v>
      </c>
      <c r="B7124" s="309" t="s">
        <v>405</v>
      </c>
      <c r="C7124" s="309" t="s">
        <v>410</v>
      </c>
      <c r="D7124">
        <v>1036</v>
      </c>
    </row>
    <row r="7125" spans="1:4" x14ac:dyDescent="0.25">
      <c r="A7125" s="279">
        <v>39284</v>
      </c>
      <c r="B7125" s="309" t="s">
        <v>411</v>
      </c>
      <c r="C7125" s="309" t="s">
        <v>406</v>
      </c>
      <c r="D7125">
        <v>161549</v>
      </c>
    </row>
    <row r="7126" spans="1:4" x14ac:dyDescent="0.25">
      <c r="A7126" s="279">
        <v>39284</v>
      </c>
      <c r="B7126" s="309" t="s">
        <v>411</v>
      </c>
      <c r="C7126" s="309" t="s">
        <v>198</v>
      </c>
      <c r="D7126">
        <v>0</v>
      </c>
    </row>
    <row r="7127" spans="1:4" x14ac:dyDescent="0.25">
      <c r="A7127" s="279">
        <v>39284</v>
      </c>
      <c r="B7127" s="309" t="s">
        <v>411</v>
      </c>
      <c r="C7127" s="309" t="s">
        <v>199</v>
      </c>
      <c r="D7127">
        <v>0</v>
      </c>
    </row>
    <row r="7128" spans="1:4" x14ac:dyDescent="0.25">
      <c r="A7128" s="279">
        <v>39284</v>
      </c>
      <c r="B7128" s="309" t="s">
        <v>411</v>
      </c>
      <c r="C7128" s="309" t="s">
        <v>90</v>
      </c>
      <c r="D7128">
        <v>276</v>
      </c>
    </row>
    <row r="7129" spans="1:4" x14ac:dyDescent="0.25">
      <c r="A7129" s="279">
        <v>39284</v>
      </c>
      <c r="B7129" s="309" t="s">
        <v>411</v>
      </c>
      <c r="C7129" s="309" t="s">
        <v>24</v>
      </c>
      <c r="D7129">
        <v>0</v>
      </c>
    </row>
    <row r="7130" spans="1:4" x14ac:dyDescent="0.25">
      <c r="A7130" s="279">
        <v>39284</v>
      </c>
      <c r="B7130" s="309" t="s">
        <v>411</v>
      </c>
      <c r="C7130" s="309" t="s">
        <v>91</v>
      </c>
      <c r="D7130">
        <v>0</v>
      </c>
    </row>
    <row r="7131" spans="1:4" x14ac:dyDescent="0.25">
      <c r="A7131" s="279">
        <v>39284</v>
      </c>
      <c r="B7131" s="309" t="s">
        <v>411</v>
      </c>
      <c r="C7131" s="309" t="s">
        <v>118</v>
      </c>
      <c r="D7131">
        <v>0</v>
      </c>
    </row>
    <row r="7132" spans="1:4" x14ac:dyDescent="0.25">
      <c r="A7132" s="279">
        <v>39284</v>
      </c>
      <c r="B7132" s="309" t="s">
        <v>411</v>
      </c>
      <c r="C7132" s="309" t="s">
        <v>407</v>
      </c>
      <c r="D7132">
        <v>161273</v>
      </c>
    </row>
    <row r="7133" spans="1:4" x14ac:dyDescent="0.25">
      <c r="A7133" s="279">
        <v>39284</v>
      </c>
      <c r="B7133" s="309" t="s">
        <v>411</v>
      </c>
      <c r="C7133" s="309" t="s">
        <v>412</v>
      </c>
      <c r="D7133">
        <v>1007</v>
      </c>
    </row>
    <row r="7134" spans="1:4" x14ac:dyDescent="0.25">
      <c r="A7134" s="279">
        <v>39284</v>
      </c>
      <c r="B7134" s="309" t="s">
        <v>411</v>
      </c>
      <c r="C7134" s="309" t="s">
        <v>409</v>
      </c>
      <c r="D7134">
        <v>1049</v>
      </c>
    </row>
    <row r="7135" spans="1:4" x14ac:dyDescent="0.25">
      <c r="A7135" s="279">
        <v>39285</v>
      </c>
      <c r="B7135" s="309" t="s">
        <v>405</v>
      </c>
      <c r="C7135" s="309" t="s">
        <v>406</v>
      </c>
      <c r="D7135">
        <v>2795744.1</v>
      </c>
    </row>
    <row r="7136" spans="1:4" x14ac:dyDescent="0.25">
      <c r="A7136" s="279">
        <v>39285</v>
      </c>
      <c r="B7136" s="309" t="s">
        <v>405</v>
      </c>
      <c r="C7136" s="309" t="s">
        <v>89</v>
      </c>
      <c r="D7136">
        <v>0</v>
      </c>
    </row>
    <row r="7137" spans="1:4" x14ac:dyDescent="0.25">
      <c r="A7137" s="279">
        <v>39285</v>
      </c>
      <c r="B7137" s="309" t="s">
        <v>405</v>
      </c>
      <c r="C7137" s="309" t="s">
        <v>198</v>
      </c>
      <c r="D7137">
        <v>0</v>
      </c>
    </row>
    <row r="7138" spans="1:4" x14ac:dyDescent="0.25">
      <c r="A7138" s="279">
        <v>39285</v>
      </c>
      <c r="B7138" s="309" t="s">
        <v>405</v>
      </c>
      <c r="C7138" s="309" t="s">
        <v>199</v>
      </c>
      <c r="D7138">
        <v>0</v>
      </c>
    </row>
    <row r="7139" spans="1:4" x14ac:dyDescent="0.25">
      <c r="A7139" s="279">
        <v>39285</v>
      </c>
      <c r="B7139" s="309" t="s">
        <v>405</v>
      </c>
      <c r="C7139" s="309" t="s">
        <v>90</v>
      </c>
      <c r="D7139">
        <v>801</v>
      </c>
    </row>
    <row r="7140" spans="1:4" x14ac:dyDescent="0.25">
      <c r="A7140" s="279">
        <v>39285</v>
      </c>
      <c r="B7140" s="309" t="s">
        <v>405</v>
      </c>
      <c r="C7140" s="309" t="s">
        <v>24</v>
      </c>
      <c r="D7140">
        <v>0</v>
      </c>
    </row>
    <row r="7141" spans="1:4" x14ac:dyDescent="0.25">
      <c r="A7141" s="279">
        <v>39285</v>
      </c>
      <c r="B7141" s="309" t="s">
        <v>405</v>
      </c>
      <c r="C7141" s="309" t="s">
        <v>91</v>
      </c>
      <c r="D7141">
        <v>0</v>
      </c>
    </row>
    <row r="7142" spans="1:4" x14ac:dyDescent="0.25">
      <c r="A7142" s="279">
        <v>39285</v>
      </c>
      <c r="B7142" s="309" t="s">
        <v>405</v>
      </c>
      <c r="C7142" s="309" t="s">
        <v>118</v>
      </c>
      <c r="D7142">
        <v>0</v>
      </c>
    </row>
    <row r="7143" spans="1:4" x14ac:dyDescent="0.25">
      <c r="A7143" s="279">
        <v>39285</v>
      </c>
      <c r="B7143" s="309" t="s">
        <v>405</v>
      </c>
      <c r="C7143" s="309" t="s">
        <v>407</v>
      </c>
      <c r="D7143">
        <v>2794943.1</v>
      </c>
    </row>
    <row r="7144" spans="1:4" x14ac:dyDescent="0.25">
      <c r="A7144" s="279">
        <v>39285</v>
      </c>
      <c r="B7144" s="309" t="s">
        <v>405</v>
      </c>
      <c r="C7144" s="309" t="s">
        <v>408</v>
      </c>
      <c r="D7144">
        <v>1007</v>
      </c>
    </row>
    <row r="7145" spans="1:4" x14ac:dyDescent="0.25">
      <c r="A7145" s="279">
        <v>39285</v>
      </c>
      <c r="B7145" s="309" t="s">
        <v>405</v>
      </c>
      <c r="C7145" s="309" t="s">
        <v>409</v>
      </c>
      <c r="D7145">
        <v>1058</v>
      </c>
    </row>
    <row r="7146" spans="1:4" x14ac:dyDescent="0.25">
      <c r="A7146" s="279">
        <v>39285</v>
      </c>
      <c r="B7146" s="309" t="s">
        <v>405</v>
      </c>
      <c r="C7146" s="309" t="s">
        <v>410</v>
      </c>
      <c r="D7146">
        <v>1036</v>
      </c>
    </row>
    <row r="7147" spans="1:4" x14ac:dyDescent="0.25">
      <c r="A7147" s="279">
        <v>39285</v>
      </c>
      <c r="B7147" s="309" t="s">
        <v>411</v>
      </c>
      <c r="C7147" s="309" t="s">
        <v>406</v>
      </c>
      <c r="D7147">
        <v>161273</v>
      </c>
    </row>
    <row r="7148" spans="1:4" x14ac:dyDescent="0.25">
      <c r="A7148" s="279">
        <v>39285</v>
      </c>
      <c r="B7148" s="309" t="s">
        <v>411</v>
      </c>
      <c r="C7148" s="309" t="s">
        <v>198</v>
      </c>
      <c r="D7148">
        <v>0</v>
      </c>
    </row>
    <row r="7149" spans="1:4" x14ac:dyDescent="0.25">
      <c r="A7149" s="279">
        <v>39285</v>
      </c>
      <c r="B7149" s="309" t="s">
        <v>411</v>
      </c>
      <c r="C7149" s="309" t="s">
        <v>199</v>
      </c>
      <c r="D7149">
        <v>0</v>
      </c>
    </row>
    <row r="7150" spans="1:4" x14ac:dyDescent="0.25">
      <c r="A7150" s="279">
        <v>39285</v>
      </c>
      <c r="B7150" s="309" t="s">
        <v>411</v>
      </c>
      <c r="C7150" s="309" t="s">
        <v>90</v>
      </c>
      <c r="D7150">
        <v>0</v>
      </c>
    </row>
    <row r="7151" spans="1:4" x14ac:dyDescent="0.25">
      <c r="A7151" s="279">
        <v>39285</v>
      </c>
      <c r="B7151" s="309" t="s">
        <v>411</v>
      </c>
      <c r="C7151" s="309" t="s">
        <v>24</v>
      </c>
      <c r="D7151">
        <v>0</v>
      </c>
    </row>
    <row r="7152" spans="1:4" x14ac:dyDescent="0.25">
      <c r="A7152" s="279">
        <v>39285</v>
      </c>
      <c r="B7152" s="309" t="s">
        <v>411</v>
      </c>
      <c r="C7152" s="309" t="s">
        <v>91</v>
      </c>
      <c r="D7152">
        <v>0</v>
      </c>
    </row>
    <row r="7153" spans="1:4" x14ac:dyDescent="0.25">
      <c r="A7153" s="279">
        <v>39285</v>
      </c>
      <c r="B7153" s="309" t="s">
        <v>411</v>
      </c>
      <c r="C7153" s="309" t="s">
        <v>118</v>
      </c>
      <c r="D7153">
        <v>0</v>
      </c>
    </row>
    <row r="7154" spans="1:4" x14ac:dyDescent="0.25">
      <c r="A7154" s="279">
        <v>39285</v>
      </c>
      <c r="B7154" s="309" t="s">
        <v>411</v>
      </c>
      <c r="C7154" s="309" t="s">
        <v>407</v>
      </c>
      <c r="D7154">
        <v>161273</v>
      </c>
    </row>
    <row r="7155" spans="1:4" x14ac:dyDescent="0.25">
      <c r="A7155" s="279">
        <v>39285</v>
      </c>
      <c r="B7155" s="309" t="s">
        <v>411</v>
      </c>
      <c r="C7155" s="309" t="s">
        <v>412</v>
      </c>
      <c r="D7155">
        <v>1007</v>
      </c>
    </row>
    <row r="7156" spans="1:4" x14ac:dyDescent="0.25">
      <c r="A7156" s="279">
        <v>39285</v>
      </c>
      <c r="B7156" s="309" t="s">
        <v>411</v>
      </c>
      <c r="C7156" s="309" t="s">
        <v>409</v>
      </c>
      <c r="D7156">
        <v>1049</v>
      </c>
    </row>
    <row r="7157" spans="1:4" x14ac:dyDescent="0.25">
      <c r="A7157" s="279">
        <v>39286</v>
      </c>
      <c r="B7157" s="309" t="s">
        <v>405</v>
      </c>
      <c r="C7157" s="309" t="s">
        <v>406</v>
      </c>
      <c r="D7157">
        <v>2794943.1</v>
      </c>
    </row>
    <row r="7158" spans="1:4" x14ac:dyDescent="0.25">
      <c r="A7158" s="279">
        <v>39286</v>
      </c>
      <c r="B7158" s="309" t="s">
        <v>405</v>
      </c>
      <c r="C7158" s="309" t="s">
        <v>89</v>
      </c>
      <c r="D7158">
        <v>0</v>
      </c>
    </row>
    <row r="7159" spans="1:4" x14ac:dyDescent="0.25">
      <c r="A7159" s="279">
        <v>39286</v>
      </c>
      <c r="B7159" s="309" t="s">
        <v>405</v>
      </c>
      <c r="C7159" s="309" t="s">
        <v>198</v>
      </c>
      <c r="D7159">
        <v>0</v>
      </c>
    </row>
    <row r="7160" spans="1:4" x14ac:dyDescent="0.25">
      <c r="A7160" s="279">
        <v>39286</v>
      </c>
      <c r="B7160" s="309" t="s">
        <v>405</v>
      </c>
      <c r="C7160" s="309" t="s">
        <v>199</v>
      </c>
      <c r="D7160">
        <v>0</v>
      </c>
    </row>
    <row r="7161" spans="1:4" x14ac:dyDescent="0.25">
      <c r="A7161" s="279">
        <v>39286</v>
      </c>
      <c r="B7161" s="309" t="s">
        <v>405</v>
      </c>
      <c r="C7161" s="309" t="s">
        <v>90</v>
      </c>
      <c r="D7161">
        <v>2135</v>
      </c>
    </row>
    <row r="7162" spans="1:4" x14ac:dyDescent="0.25">
      <c r="A7162" s="279">
        <v>39286</v>
      </c>
      <c r="B7162" s="309" t="s">
        <v>405</v>
      </c>
      <c r="C7162" s="309" t="s">
        <v>24</v>
      </c>
      <c r="D7162">
        <v>0</v>
      </c>
    </row>
    <row r="7163" spans="1:4" x14ac:dyDescent="0.25">
      <c r="A7163" s="279">
        <v>39286</v>
      </c>
      <c r="B7163" s="309" t="s">
        <v>405</v>
      </c>
      <c r="C7163" s="309" t="s">
        <v>91</v>
      </c>
      <c r="D7163">
        <v>0</v>
      </c>
    </row>
    <row r="7164" spans="1:4" x14ac:dyDescent="0.25">
      <c r="A7164" s="279">
        <v>39286</v>
      </c>
      <c r="B7164" s="309" t="s">
        <v>405</v>
      </c>
      <c r="C7164" s="309" t="s">
        <v>118</v>
      </c>
      <c r="D7164">
        <v>0</v>
      </c>
    </row>
    <row r="7165" spans="1:4" x14ac:dyDescent="0.25">
      <c r="A7165" s="279">
        <v>39286</v>
      </c>
      <c r="B7165" s="309" t="s">
        <v>405</v>
      </c>
      <c r="C7165" s="309" t="s">
        <v>407</v>
      </c>
      <c r="D7165">
        <v>2792808.1</v>
      </c>
    </row>
    <row r="7166" spans="1:4" x14ac:dyDescent="0.25">
      <c r="A7166" s="279">
        <v>39286</v>
      </c>
      <c r="B7166" s="309" t="s">
        <v>405</v>
      </c>
      <c r="C7166" s="309" t="s">
        <v>408</v>
      </c>
      <c r="D7166">
        <v>1007</v>
      </c>
    </row>
    <row r="7167" spans="1:4" x14ac:dyDescent="0.25">
      <c r="A7167" s="279">
        <v>39286</v>
      </c>
      <c r="B7167" s="309" t="s">
        <v>405</v>
      </c>
      <c r="C7167" s="309" t="s">
        <v>409</v>
      </c>
      <c r="D7167">
        <v>1058</v>
      </c>
    </row>
    <row r="7168" spans="1:4" x14ac:dyDescent="0.25">
      <c r="A7168" s="279">
        <v>39286</v>
      </c>
      <c r="B7168" s="309" t="s">
        <v>405</v>
      </c>
      <c r="C7168" s="309" t="s">
        <v>410</v>
      </c>
      <c r="D7168">
        <v>1035</v>
      </c>
    </row>
    <row r="7169" spans="1:4" x14ac:dyDescent="0.25">
      <c r="A7169" s="279">
        <v>39286</v>
      </c>
      <c r="B7169" s="309" t="s">
        <v>411</v>
      </c>
      <c r="C7169" s="309" t="s">
        <v>406</v>
      </c>
      <c r="D7169">
        <v>161273</v>
      </c>
    </row>
    <row r="7170" spans="1:4" x14ac:dyDescent="0.25">
      <c r="A7170" s="279">
        <v>39286</v>
      </c>
      <c r="B7170" s="309" t="s">
        <v>411</v>
      </c>
      <c r="C7170" s="309" t="s">
        <v>198</v>
      </c>
      <c r="D7170">
        <v>0</v>
      </c>
    </row>
    <row r="7171" spans="1:4" x14ac:dyDescent="0.25">
      <c r="A7171" s="279">
        <v>39286</v>
      </c>
      <c r="B7171" s="309" t="s">
        <v>411</v>
      </c>
      <c r="C7171" s="309" t="s">
        <v>199</v>
      </c>
      <c r="D7171">
        <v>0</v>
      </c>
    </row>
    <row r="7172" spans="1:4" x14ac:dyDescent="0.25">
      <c r="A7172" s="279">
        <v>39286</v>
      </c>
      <c r="B7172" s="309" t="s">
        <v>411</v>
      </c>
      <c r="C7172" s="309" t="s">
        <v>90</v>
      </c>
      <c r="D7172">
        <v>0</v>
      </c>
    </row>
    <row r="7173" spans="1:4" x14ac:dyDescent="0.25">
      <c r="A7173" s="279">
        <v>39286</v>
      </c>
      <c r="B7173" s="309" t="s">
        <v>411</v>
      </c>
      <c r="C7173" s="309" t="s">
        <v>24</v>
      </c>
      <c r="D7173">
        <v>0</v>
      </c>
    </row>
    <row r="7174" spans="1:4" x14ac:dyDescent="0.25">
      <c r="A7174" s="279">
        <v>39286</v>
      </c>
      <c r="B7174" s="309" t="s">
        <v>411</v>
      </c>
      <c r="C7174" s="309" t="s">
        <v>91</v>
      </c>
      <c r="D7174">
        <v>0</v>
      </c>
    </row>
    <row r="7175" spans="1:4" x14ac:dyDescent="0.25">
      <c r="A7175" s="279">
        <v>39286</v>
      </c>
      <c r="B7175" s="309" t="s">
        <v>411</v>
      </c>
      <c r="C7175" s="309" t="s">
        <v>118</v>
      </c>
      <c r="D7175">
        <v>0</v>
      </c>
    </row>
    <row r="7176" spans="1:4" x14ac:dyDescent="0.25">
      <c r="A7176" s="279">
        <v>39286</v>
      </c>
      <c r="B7176" s="309" t="s">
        <v>411</v>
      </c>
      <c r="C7176" s="309" t="s">
        <v>407</v>
      </c>
      <c r="D7176">
        <v>161273</v>
      </c>
    </row>
    <row r="7177" spans="1:4" x14ac:dyDescent="0.25">
      <c r="A7177" s="279">
        <v>39286</v>
      </c>
      <c r="B7177" s="309" t="s">
        <v>411</v>
      </c>
      <c r="C7177" s="309" t="s">
        <v>412</v>
      </c>
      <c r="D7177">
        <v>1007</v>
      </c>
    </row>
    <row r="7178" spans="1:4" x14ac:dyDescent="0.25">
      <c r="A7178" s="279">
        <v>39286</v>
      </c>
      <c r="B7178" s="309" t="s">
        <v>411</v>
      </c>
      <c r="C7178" s="309" t="s">
        <v>409</v>
      </c>
      <c r="D7178">
        <v>1049</v>
      </c>
    </row>
    <row r="7179" spans="1:4" x14ac:dyDescent="0.25">
      <c r="A7179" s="279">
        <v>39287</v>
      </c>
      <c r="B7179" s="309" t="s">
        <v>405</v>
      </c>
      <c r="C7179" s="309" t="s">
        <v>406</v>
      </c>
      <c r="D7179">
        <v>2792808.1</v>
      </c>
    </row>
    <row r="7180" spans="1:4" x14ac:dyDescent="0.25">
      <c r="A7180" s="279">
        <v>39287</v>
      </c>
      <c r="B7180" s="309" t="s">
        <v>405</v>
      </c>
      <c r="C7180" s="309" t="s">
        <v>89</v>
      </c>
      <c r="D7180">
        <v>0</v>
      </c>
    </row>
    <row r="7181" spans="1:4" x14ac:dyDescent="0.25">
      <c r="A7181" s="279">
        <v>39287</v>
      </c>
      <c r="B7181" s="309" t="s">
        <v>405</v>
      </c>
      <c r="C7181" s="309" t="s">
        <v>198</v>
      </c>
      <c r="D7181">
        <v>0</v>
      </c>
    </row>
    <row r="7182" spans="1:4" x14ac:dyDescent="0.25">
      <c r="A7182" s="279">
        <v>39287</v>
      </c>
      <c r="B7182" s="309" t="s">
        <v>405</v>
      </c>
      <c r="C7182" s="309" t="s">
        <v>199</v>
      </c>
      <c r="D7182">
        <v>0</v>
      </c>
    </row>
    <row r="7183" spans="1:4" x14ac:dyDescent="0.25">
      <c r="A7183" s="279">
        <v>39287</v>
      </c>
      <c r="B7183" s="309" t="s">
        <v>405</v>
      </c>
      <c r="C7183" s="309" t="s">
        <v>90</v>
      </c>
      <c r="D7183">
        <v>1602</v>
      </c>
    </row>
    <row r="7184" spans="1:4" x14ac:dyDescent="0.25">
      <c r="A7184" s="279">
        <v>39287</v>
      </c>
      <c r="B7184" s="309" t="s">
        <v>405</v>
      </c>
      <c r="C7184" s="309" t="s">
        <v>24</v>
      </c>
      <c r="D7184">
        <v>0</v>
      </c>
    </row>
    <row r="7185" spans="1:4" x14ac:dyDescent="0.25">
      <c r="A7185" s="279">
        <v>39287</v>
      </c>
      <c r="B7185" s="309" t="s">
        <v>405</v>
      </c>
      <c r="C7185" s="309" t="s">
        <v>91</v>
      </c>
      <c r="D7185">
        <v>0</v>
      </c>
    </row>
    <row r="7186" spans="1:4" x14ac:dyDescent="0.25">
      <c r="A7186" s="279">
        <v>39287</v>
      </c>
      <c r="B7186" s="309" t="s">
        <v>405</v>
      </c>
      <c r="C7186" s="309" t="s">
        <v>118</v>
      </c>
      <c r="D7186">
        <v>0</v>
      </c>
    </row>
    <row r="7187" spans="1:4" x14ac:dyDescent="0.25">
      <c r="A7187" s="279">
        <v>39287</v>
      </c>
      <c r="B7187" s="309" t="s">
        <v>405</v>
      </c>
      <c r="C7187" s="309" t="s">
        <v>407</v>
      </c>
      <c r="D7187">
        <v>2791206.1</v>
      </c>
    </row>
    <row r="7188" spans="1:4" x14ac:dyDescent="0.25">
      <c r="A7188" s="279">
        <v>39287</v>
      </c>
      <c r="B7188" s="309" t="s">
        <v>405</v>
      </c>
      <c r="C7188" s="309" t="s">
        <v>408</v>
      </c>
      <c r="D7188">
        <v>1007</v>
      </c>
    </row>
    <row r="7189" spans="1:4" x14ac:dyDescent="0.25">
      <c r="A7189" s="279">
        <v>39287</v>
      </c>
      <c r="B7189" s="309" t="s">
        <v>405</v>
      </c>
      <c r="C7189" s="309" t="s">
        <v>409</v>
      </c>
      <c r="D7189">
        <v>1058</v>
      </c>
    </row>
    <row r="7190" spans="1:4" x14ac:dyDescent="0.25">
      <c r="A7190" s="279">
        <v>39287</v>
      </c>
      <c r="B7190" s="309" t="s">
        <v>405</v>
      </c>
      <c r="C7190" s="309" t="s">
        <v>410</v>
      </c>
      <c r="D7190">
        <v>1034</v>
      </c>
    </row>
    <row r="7191" spans="1:4" x14ac:dyDescent="0.25">
      <c r="A7191" s="279">
        <v>39287</v>
      </c>
      <c r="B7191" s="309" t="s">
        <v>411</v>
      </c>
      <c r="C7191" s="309" t="s">
        <v>406</v>
      </c>
      <c r="D7191">
        <v>161273</v>
      </c>
    </row>
    <row r="7192" spans="1:4" x14ac:dyDescent="0.25">
      <c r="A7192" s="279">
        <v>39287</v>
      </c>
      <c r="B7192" s="309" t="s">
        <v>411</v>
      </c>
      <c r="C7192" s="309" t="s">
        <v>198</v>
      </c>
      <c r="D7192">
        <v>0</v>
      </c>
    </row>
    <row r="7193" spans="1:4" x14ac:dyDescent="0.25">
      <c r="A7193" s="279">
        <v>39287</v>
      </c>
      <c r="B7193" s="309" t="s">
        <v>411</v>
      </c>
      <c r="C7193" s="309" t="s">
        <v>199</v>
      </c>
      <c r="D7193">
        <v>0</v>
      </c>
    </row>
    <row r="7194" spans="1:4" x14ac:dyDescent="0.25">
      <c r="A7194" s="279">
        <v>39287</v>
      </c>
      <c r="B7194" s="309" t="s">
        <v>411</v>
      </c>
      <c r="C7194" s="309" t="s">
        <v>90</v>
      </c>
      <c r="D7194">
        <v>0</v>
      </c>
    </row>
    <row r="7195" spans="1:4" x14ac:dyDescent="0.25">
      <c r="A7195" s="279">
        <v>39287</v>
      </c>
      <c r="B7195" s="309" t="s">
        <v>411</v>
      </c>
      <c r="C7195" s="309" t="s">
        <v>24</v>
      </c>
      <c r="D7195">
        <v>0</v>
      </c>
    </row>
    <row r="7196" spans="1:4" x14ac:dyDescent="0.25">
      <c r="A7196" s="279">
        <v>39287</v>
      </c>
      <c r="B7196" s="309" t="s">
        <v>411</v>
      </c>
      <c r="C7196" s="309" t="s">
        <v>91</v>
      </c>
      <c r="D7196">
        <v>0</v>
      </c>
    </row>
    <row r="7197" spans="1:4" x14ac:dyDescent="0.25">
      <c r="A7197" s="279">
        <v>39287</v>
      </c>
      <c r="B7197" s="309" t="s">
        <v>411</v>
      </c>
      <c r="C7197" s="309" t="s">
        <v>118</v>
      </c>
      <c r="D7197">
        <v>0</v>
      </c>
    </row>
    <row r="7198" spans="1:4" x14ac:dyDescent="0.25">
      <c r="A7198" s="279">
        <v>39287</v>
      </c>
      <c r="B7198" s="309" t="s">
        <v>411</v>
      </c>
      <c r="C7198" s="309" t="s">
        <v>407</v>
      </c>
      <c r="D7198">
        <v>161273</v>
      </c>
    </row>
    <row r="7199" spans="1:4" x14ac:dyDescent="0.25">
      <c r="A7199" s="279">
        <v>39287</v>
      </c>
      <c r="B7199" s="309" t="s">
        <v>411</v>
      </c>
      <c r="C7199" s="309" t="s">
        <v>412</v>
      </c>
      <c r="D7199">
        <v>1007</v>
      </c>
    </row>
    <row r="7200" spans="1:4" x14ac:dyDescent="0.25">
      <c r="A7200" s="279">
        <v>39287</v>
      </c>
      <c r="B7200" s="309" t="s">
        <v>411</v>
      </c>
      <c r="C7200" s="309" t="s">
        <v>409</v>
      </c>
      <c r="D7200">
        <v>1049</v>
      </c>
    </row>
    <row r="7201" spans="1:4" x14ac:dyDescent="0.25">
      <c r="A7201" s="279">
        <v>39288</v>
      </c>
      <c r="B7201" s="309" t="s">
        <v>405</v>
      </c>
      <c r="C7201" s="309" t="s">
        <v>406</v>
      </c>
      <c r="D7201">
        <v>2791206.1</v>
      </c>
    </row>
    <row r="7202" spans="1:4" x14ac:dyDescent="0.25">
      <c r="A7202" s="279">
        <v>39288</v>
      </c>
      <c r="B7202" s="309" t="s">
        <v>405</v>
      </c>
      <c r="C7202" s="309" t="s">
        <v>89</v>
      </c>
      <c r="D7202">
        <v>0</v>
      </c>
    </row>
    <row r="7203" spans="1:4" x14ac:dyDescent="0.25">
      <c r="A7203" s="279">
        <v>39288</v>
      </c>
      <c r="B7203" s="309" t="s">
        <v>405</v>
      </c>
      <c r="C7203" s="309" t="s">
        <v>198</v>
      </c>
      <c r="D7203">
        <v>0</v>
      </c>
    </row>
    <row r="7204" spans="1:4" x14ac:dyDescent="0.25">
      <c r="A7204" s="279">
        <v>39288</v>
      </c>
      <c r="B7204" s="309" t="s">
        <v>405</v>
      </c>
      <c r="C7204" s="309" t="s">
        <v>199</v>
      </c>
      <c r="D7204">
        <v>0</v>
      </c>
    </row>
    <row r="7205" spans="1:4" x14ac:dyDescent="0.25">
      <c r="A7205" s="279">
        <v>39288</v>
      </c>
      <c r="B7205" s="309" t="s">
        <v>405</v>
      </c>
      <c r="C7205" s="309" t="s">
        <v>90</v>
      </c>
      <c r="D7205">
        <v>1602</v>
      </c>
    </row>
    <row r="7206" spans="1:4" x14ac:dyDescent="0.25">
      <c r="A7206" s="279">
        <v>39288</v>
      </c>
      <c r="B7206" s="309" t="s">
        <v>405</v>
      </c>
      <c r="C7206" s="309" t="s">
        <v>24</v>
      </c>
      <c r="D7206">
        <v>0</v>
      </c>
    </row>
    <row r="7207" spans="1:4" x14ac:dyDescent="0.25">
      <c r="A7207" s="279">
        <v>39288</v>
      </c>
      <c r="B7207" s="309" t="s">
        <v>405</v>
      </c>
      <c r="C7207" s="309" t="s">
        <v>91</v>
      </c>
      <c r="D7207">
        <v>0</v>
      </c>
    </row>
    <row r="7208" spans="1:4" x14ac:dyDescent="0.25">
      <c r="A7208" s="279">
        <v>39288</v>
      </c>
      <c r="B7208" s="309" t="s">
        <v>405</v>
      </c>
      <c r="C7208" s="309" t="s">
        <v>118</v>
      </c>
      <c r="D7208">
        <v>0</v>
      </c>
    </row>
    <row r="7209" spans="1:4" x14ac:dyDescent="0.25">
      <c r="A7209" s="279">
        <v>39288</v>
      </c>
      <c r="B7209" s="309" t="s">
        <v>405</v>
      </c>
      <c r="C7209" s="309" t="s">
        <v>407</v>
      </c>
      <c r="D7209">
        <v>2789604.1</v>
      </c>
    </row>
    <row r="7210" spans="1:4" x14ac:dyDescent="0.25">
      <c r="A7210" s="279">
        <v>39288</v>
      </c>
      <c r="B7210" s="309" t="s">
        <v>405</v>
      </c>
      <c r="C7210" s="309" t="s">
        <v>408</v>
      </c>
      <c r="D7210">
        <v>1007</v>
      </c>
    </row>
    <row r="7211" spans="1:4" x14ac:dyDescent="0.25">
      <c r="A7211" s="279">
        <v>39288</v>
      </c>
      <c r="B7211" s="309" t="s">
        <v>405</v>
      </c>
      <c r="C7211" s="309" t="s">
        <v>409</v>
      </c>
      <c r="D7211">
        <v>1058</v>
      </c>
    </row>
    <row r="7212" spans="1:4" x14ac:dyDescent="0.25">
      <c r="A7212" s="279">
        <v>39288</v>
      </c>
      <c r="B7212" s="309" t="s">
        <v>405</v>
      </c>
      <c r="C7212" s="309" t="s">
        <v>410</v>
      </c>
      <c r="D7212">
        <v>1035</v>
      </c>
    </row>
    <row r="7213" spans="1:4" x14ac:dyDescent="0.25">
      <c r="A7213" s="279">
        <v>39288</v>
      </c>
      <c r="B7213" s="309" t="s">
        <v>411</v>
      </c>
      <c r="C7213" s="309" t="s">
        <v>406</v>
      </c>
      <c r="D7213">
        <v>161273</v>
      </c>
    </row>
    <row r="7214" spans="1:4" x14ac:dyDescent="0.25">
      <c r="A7214" s="279">
        <v>39288</v>
      </c>
      <c r="B7214" s="309" t="s">
        <v>411</v>
      </c>
      <c r="C7214" s="309" t="s">
        <v>198</v>
      </c>
      <c r="D7214">
        <v>0</v>
      </c>
    </row>
    <row r="7215" spans="1:4" x14ac:dyDescent="0.25">
      <c r="A7215" s="279">
        <v>39288</v>
      </c>
      <c r="B7215" s="309" t="s">
        <v>411</v>
      </c>
      <c r="C7215" s="309" t="s">
        <v>199</v>
      </c>
      <c r="D7215">
        <v>0</v>
      </c>
    </row>
    <row r="7216" spans="1:4" x14ac:dyDescent="0.25">
      <c r="A7216" s="279">
        <v>39288</v>
      </c>
      <c r="B7216" s="309" t="s">
        <v>411</v>
      </c>
      <c r="C7216" s="309" t="s">
        <v>90</v>
      </c>
      <c r="D7216">
        <v>276</v>
      </c>
    </row>
    <row r="7217" spans="1:4" x14ac:dyDescent="0.25">
      <c r="A7217" s="279">
        <v>39288</v>
      </c>
      <c r="B7217" s="309" t="s">
        <v>411</v>
      </c>
      <c r="C7217" s="309" t="s">
        <v>24</v>
      </c>
      <c r="D7217">
        <v>0</v>
      </c>
    </row>
    <row r="7218" spans="1:4" x14ac:dyDescent="0.25">
      <c r="A7218" s="279">
        <v>39288</v>
      </c>
      <c r="B7218" s="309" t="s">
        <v>411</v>
      </c>
      <c r="C7218" s="309" t="s">
        <v>91</v>
      </c>
      <c r="D7218">
        <v>0</v>
      </c>
    </row>
    <row r="7219" spans="1:4" x14ac:dyDescent="0.25">
      <c r="A7219" s="279">
        <v>39288</v>
      </c>
      <c r="B7219" s="309" t="s">
        <v>411</v>
      </c>
      <c r="C7219" s="309" t="s">
        <v>118</v>
      </c>
      <c r="D7219">
        <v>0</v>
      </c>
    </row>
    <row r="7220" spans="1:4" x14ac:dyDescent="0.25">
      <c r="A7220" s="279">
        <v>39288</v>
      </c>
      <c r="B7220" s="309" t="s">
        <v>411</v>
      </c>
      <c r="C7220" s="309" t="s">
        <v>407</v>
      </c>
      <c r="D7220">
        <v>160997</v>
      </c>
    </row>
    <row r="7221" spans="1:4" x14ac:dyDescent="0.25">
      <c r="A7221" s="279">
        <v>39288</v>
      </c>
      <c r="B7221" s="309" t="s">
        <v>411</v>
      </c>
      <c r="C7221" s="309" t="s">
        <v>412</v>
      </c>
      <c r="D7221">
        <v>1007</v>
      </c>
    </row>
    <row r="7222" spans="1:4" x14ac:dyDescent="0.25">
      <c r="A7222" s="279">
        <v>39288</v>
      </c>
      <c r="B7222" s="309" t="s">
        <v>411</v>
      </c>
      <c r="C7222" s="309" t="s">
        <v>409</v>
      </c>
      <c r="D7222">
        <v>1049</v>
      </c>
    </row>
    <row r="7223" spans="1:4" x14ac:dyDescent="0.25">
      <c r="A7223" s="279">
        <v>39289</v>
      </c>
      <c r="B7223" s="309" t="s">
        <v>405</v>
      </c>
      <c r="C7223" s="309" t="s">
        <v>406</v>
      </c>
      <c r="D7223">
        <v>2789604.1</v>
      </c>
    </row>
    <row r="7224" spans="1:4" x14ac:dyDescent="0.25">
      <c r="A7224" s="279">
        <v>39289</v>
      </c>
      <c r="B7224" s="309" t="s">
        <v>405</v>
      </c>
      <c r="C7224" s="309" t="s">
        <v>89</v>
      </c>
      <c r="D7224">
        <v>0</v>
      </c>
    </row>
    <row r="7225" spans="1:4" x14ac:dyDescent="0.25">
      <c r="A7225" s="279">
        <v>39289</v>
      </c>
      <c r="B7225" s="309" t="s">
        <v>405</v>
      </c>
      <c r="C7225" s="309" t="s">
        <v>198</v>
      </c>
      <c r="D7225">
        <v>0</v>
      </c>
    </row>
    <row r="7226" spans="1:4" x14ac:dyDescent="0.25">
      <c r="A7226" s="279">
        <v>39289</v>
      </c>
      <c r="B7226" s="309" t="s">
        <v>405</v>
      </c>
      <c r="C7226" s="309" t="s">
        <v>199</v>
      </c>
      <c r="D7226">
        <v>0</v>
      </c>
    </row>
    <row r="7227" spans="1:4" x14ac:dyDescent="0.25">
      <c r="A7227" s="279">
        <v>39289</v>
      </c>
      <c r="B7227" s="309" t="s">
        <v>405</v>
      </c>
      <c r="C7227" s="309" t="s">
        <v>90</v>
      </c>
      <c r="D7227">
        <v>2135</v>
      </c>
    </row>
    <row r="7228" spans="1:4" x14ac:dyDescent="0.25">
      <c r="A7228" s="279">
        <v>39289</v>
      </c>
      <c r="B7228" s="309" t="s">
        <v>405</v>
      </c>
      <c r="C7228" s="309" t="s">
        <v>24</v>
      </c>
      <c r="D7228">
        <v>0</v>
      </c>
    </row>
    <row r="7229" spans="1:4" x14ac:dyDescent="0.25">
      <c r="A7229" s="279">
        <v>39289</v>
      </c>
      <c r="B7229" s="309" t="s">
        <v>405</v>
      </c>
      <c r="C7229" s="309" t="s">
        <v>91</v>
      </c>
      <c r="D7229">
        <v>0</v>
      </c>
    </row>
    <row r="7230" spans="1:4" x14ac:dyDescent="0.25">
      <c r="A7230" s="279">
        <v>39289</v>
      </c>
      <c r="B7230" s="309" t="s">
        <v>405</v>
      </c>
      <c r="C7230" s="309" t="s">
        <v>118</v>
      </c>
      <c r="D7230">
        <v>0</v>
      </c>
    </row>
    <row r="7231" spans="1:4" x14ac:dyDescent="0.25">
      <c r="A7231" s="279">
        <v>39289</v>
      </c>
      <c r="B7231" s="309" t="s">
        <v>405</v>
      </c>
      <c r="C7231" s="309" t="s">
        <v>407</v>
      </c>
      <c r="D7231">
        <v>2787469.1</v>
      </c>
    </row>
    <row r="7232" spans="1:4" x14ac:dyDescent="0.25">
      <c r="A7232" s="279">
        <v>39289</v>
      </c>
      <c r="B7232" s="309" t="s">
        <v>405</v>
      </c>
      <c r="C7232" s="309" t="s">
        <v>408</v>
      </c>
      <c r="D7232">
        <v>1007</v>
      </c>
    </row>
    <row r="7233" spans="1:4" x14ac:dyDescent="0.25">
      <c r="A7233" s="279">
        <v>39289</v>
      </c>
      <c r="B7233" s="309" t="s">
        <v>405</v>
      </c>
      <c r="C7233" s="309" t="s">
        <v>409</v>
      </c>
      <c r="D7233">
        <v>1058</v>
      </c>
    </row>
    <row r="7234" spans="1:4" x14ac:dyDescent="0.25">
      <c r="A7234" s="279">
        <v>39289</v>
      </c>
      <c r="B7234" s="309" t="s">
        <v>405</v>
      </c>
      <c r="C7234" s="309" t="s">
        <v>410</v>
      </c>
      <c r="D7234">
        <v>1034</v>
      </c>
    </row>
    <row r="7235" spans="1:4" x14ac:dyDescent="0.25">
      <c r="A7235" s="279">
        <v>39289</v>
      </c>
      <c r="B7235" s="309" t="s">
        <v>411</v>
      </c>
      <c r="C7235" s="309" t="s">
        <v>406</v>
      </c>
      <c r="D7235">
        <v>160997</v>
      </c>
    </row>
    <row r="7236" spans="1:4" x14ac:dyDescent="0.25">
      <c r="A7236" s="279">
        <v>39289</v>
      </c>
      <c r="B7236" s="309" t="s">
        <v>411</v>
      </c>
      <c r="C7236" s="309" t="s">
        <v>198</v>
      </c>
      <c r="D7236">
        <v>0</v>
      </c>
    </row>
    <row r="7237" spans="1:4" x14ac:dyDescent="0.25">
      <c r="A7237" s="279">
        <v>39289</v>
      </c>
      <c r="B7237" s="309" t="s">
        <v>411</v>
      </c>
      <c r="C7237" s="309" t="s">
        <v>199</v>
      </c>
      <c r="D7237">
        <v>0</v>
      </c>
    </row>
    <row r="7238" spans="1:4" x14ac:dyDescent="0.25">
      <c r="A7238" s="279">
        <v>39289</v>
      </c>
      <c r="B7238" s="309" t="s">
        <v>411</v>
      </c>
      <c r="C7238" s="309" t="s">
        <v>90</v>
      </c>
      <c r="D7238">
        <v>0</v>
      </c>
    </row>
    <row r="7239" spans="1:4" x14ac:dyDescent="0.25">
      <c r="A7239" s="279">
        <v>39289</v>
      </c>
      <c r="B7239" s="309" t="s">
        <v>411</v>
      </c>
      <c r="C7239" s="309" t="s">
        <v>24</v>
      </c>
      <c r="D7239">
        <v>0</v>
      </c>
    </row>
    <row r="7240" spans="1:4" x14ac:dyDescent="0.25">
      <c r="A7240" s="279">
        <v>39289</v>
      </c>
      <c r="B7240" s="309" t="s">
        <v>411</v>
      </c>
      <c r="C7240" s="309" t="s">
        <v>91</v>
      </c>
      <c r="D7240">
        <v>0</v>
      </c>
    </row>
    <row r="7241" spans="1:4" x14ac:dyDescent="0.25">
      <c r="A7241" s="279">
        <v>39289</v>
      </c>
      <c r="B7241" s="309" t="s">
        <v>411</v>
      </c>
      <c r="C7241" s="309" t="s">
        <v>118</v>
      </c>
      <c r="D7241">
        <v>0</v>
      </c>
    </row>
    <row r="7242" spans="1:4" x14ac:dyDescent="0.25">
      <c r="A7242" s="279">
        <v>39289</v>
      </c>
      <c r="B7242" s="309" t="s">
        <v>411</v>
      </c>
      <c r="C7242" s="309" t="s">
        <v>407</v>
      </c>
      <c r="D7242">
        <v>160997</v>
      </c>
    </row>
    <row r="7243" spans="1:4" x14ac:dyDescent="0.25">
      <c r="A7243" s="279">
        <v>39289</v>
      </c>
      <c r="B7243" s="309" t="s">
        <v>411</v>
      </c>
      <c r="C7243" s="309" t="s">
        <v>412</v>
      </c>
      <c r="D7243">
        <v>1007</v>
      </c>
    </row>
    <row r="7244" spans="1:4" x14ac:dyDescent="0.25">
      <c r="A7244" s="279">
        <v>39289</v>
      </c>
      <c r="B7244" s="309" t="s">
        <v>411</v>
      </c>
      <c r="C7244" s="309" t="s">
        <v>409</v>
      </c>
      <c r="D7244">
        <v>1049</v>
      </c>
    </row>
    <row r="7245" spans="1:4" x14ac:dyDescent="0.25">
      <c r="A7245" s="279">
        <v>39290</v>
      </c>
      <c r="B7245" s="309" t="s">
        <v>405</v>
      </c>
      <c r="C7245" s="309" t="s">
        <v>406</v>
      </c>
      <c r="D7245">
        <v>2787469.1</v>
      </c>
    </row>
    <row r="7246" spans="1:4" x14ac:dyDescent="0.25">
      <c r="A7246" s="279">
        <v>39290</v>
      </c>
      <c r="B7246" s="309" t="s">
        <v>405</v>
      </c>
      <c r="C7246" s="309" t="s">
        <v>89</v>
      </c>
      <c r="D7246">
        <v>0</v>
      </c>
    </row>
    <row r="7247" spans="1:4" x14ac:dyDescent="0.25">
      <c r="A7247" s="279">
        <v>39290</v>
      </c>
      <c r="B7247" s="309" t="s">
        <v>405</v>
      </c>
      <c r="C7247" s="309" t="s">
        <v>198</v>
      </c>
      <c r="D7247">
        <v>0</v>
      </c>
    </row>
    <row r="7248" spans="1:4" x14ac:dyDescent="0.25">
      <c r="A7248" s="279">
        <v>39290</v>
      </c>
      <c r="B7248" s="309" t="s">
        <v>405</v>
      </c>
      <c r="C7248" s="309" t="s">
        <v>199</v>
      </c>
      <c r="D7248">
        <v>0</v>
      </c>
    </row>
    <row r="7249" spans="1:4" x14ac:dyDescent="0.25">
      <c r="A7249" s="279">
        <v>39290</v>
      </c>
      <c r="B7249" s="309" t="s">
        <v>405</v>
      </c>
      <c r="C7249" s="309" t="s">
        <v>90</v>
      </c>
      <c r="D7249">
        <v>3202</v>
      </c>
    </row>
    <row r="7250" spans="1:4" x14ac:dyDescent="0.25">
      <c r="A7250" s="279">
        <v>39290</v>
      </c>
      <c r="B7250" s="309" t="s">
        <v>405</v>
      </c>
      <c r="C7250" s="309" t="s">
        <v>24</v>
      </c>
      <c r="D7250">
        <v>0</v>
      </c>
    </row>
    <row r="7251" spans="1:4" x14ac:dyDescent="0.25">
      <c r="A7251" s="279">
        <v>39290</v>
      </c>
      <c r="B7251" s="309" t="s">
        <v>405</v>
      </c>
      <c r="C7251" s="309" t="s">
        <v>91</v>
      </c>
      <c r="D7251">
        <v>0</v>
      </c>
    </row>
    <row r="7252" spans="1:4" x14ac:dyDescent="0.25">
      <c r="A7252" s="279">
        <v>39290</v>
      </c>
      <c r="B7252" s="309" t="s">
        <v>405</v>
      </c>
      <c r="C7252" s="309" t="s">
        <v>118</v>
      </c>
      <c r="D7252">
        <v>0</v>
      </c>
    </row>
    <row r="7253" spans="1:4" x14ac:dyDescent="0.25">
      <c r="A7253" s="279">
        <v>39290</v>
      </c>
      <c r="B7253" s="309" t="s">
        <v>405</v>
      </c>
      <c r="C7253" s="309" t="s">
        <v>407</v>
      </c>
      <c r="D7253">
        <v>2784267.1</v>
      </c>
    </row>
    <row r="7254" spans="1:4" x14ac:dyDescent="0.25">
      <c r="A7254" s="279">
        <v>39290</v>
      </c>
      <c r="B7254" s="309" t="s">
        <v>405</v>
      </c>
      <c r="C7254" s="309" t="s">
        <v>408</v>
      </c>
      <c r="D7254">
        <v>1007</v>
      </c>
    </row>
    <row r="7255" spans="1:4" x14ac:dyDescent="0.25">
      <c r="A7255" s="279">
        <v>39290</v>
      </c>
      <c r="B7255" s="309" t="s">
        <v>405</v>
      </c>
      <c r="C7255" s="309" t="s">
        <v>409</v>
      </c>
      <c r="D7255">
        <v>1058</v>
      </c>
    </row>
    <row r="7256" spans="1:4" x14ac:dyDescent="0.25">
      <c r="A7256" s="279">
        <v>39290</v>
      </c>
      <c r="B7256" s="309" t="s">
        <v>405</v>
      </c>
      <c r="C7256" s="309" t="s">
        <v>410</v>
      </c>
      <c r="D7256">
        <v>1034</v>
      </c>
    </row>
    <row r="7257" spans="1:4" x14ac:dyDescent="0.25">
      <c r="A7257" s="279">
        <v>39290</v>
      </c>
      <c r="B7257" s="309" t="s">
        <v>411</v>
      </c>
      <c r="C7257" s="309" t="s">
        <v>406</v>
      </c>
      <c r="D7257">
        <v>160997</v>
      </c>
    </row>
    <row r="7258" spans="1:4" x14ac:dyDescent="0.25">
      <c r="A7258" s="279">
        <v>39290</v>
      </c>
      <c r="B7258" s="309" t="s">
        <v>411</v>
      </c>
      <c r="C7258" s="309" t="s">
        <v>198</v>
      </c>
      <c r="D7258">
        <v>0</v>
      </c>
    </row>
    <row r="7259" spans="1:4" x14ac:dyDescent="0.25">
      <c r="A7259" s="279">
        <v>39290</v>
      </c>
      <c r="B7259" s="309" t="s">
        <v>411</v>
      </c>
      <c r="C7259" s="309" t="s">
        <v>199</v>
      </c>
      <c r="D7259">
        <v>0</v>
      </c>
    </row>
    <row r="7260" spans="1:4" x14ac:dyDescent="0.25">
      <c r="A7260" s="279">
        <v>39290</v>
      </c>
      <c r="B7260" s="309" t="s">
        <v>411</v>
      </c>
      <c r="C7260" s="309" t="s">
        <v>90</v>
      </c>
      <c r="D7260">
        <v>276</v>
      </c>
    </row>
    <row r="7261" spans="1:4" x14ac:dyDescent="0.25">
      <c r="A7261" s="279">
        <v>39290</v>
      </c>
      <c r="B7261" s="309" t="s">
        <v>411</v>
      </c>
      <c r="C7261" s="309" t="s">
        <v>24</v>
      </c>
      <c r="D7261">
        <v>0</v>
      </c>
    </row>
    <row r="7262" spans="1:4" x14ac:dyDescent="0.25">
      <c r="A7262" s="279">
        <v>39290</v>
      </c>
      <c r="B7262" s="309" t="s">
        <v>411</v>
      </c>
      <c r="C7262" s="309" t="s">
        <v>91</v>
      </c>
      <c r="D7262">
        <v>0</v>
      </c>
    </row>
    <row r="7263" spans="1:4" x14ac:dyDescent="0.25">
      <c r="A7263" s="279">
        <v>39290</v>
      </c>
      <c r="B7263" s="309" t="s">
        <v>411</v>
      </c>
      <c r="C7263" s="309" t="s">
        <v>118</v>
      </c>
      <c r="D7263">
        <v>0</v>
      </c>
    </row>
    <row r="7264" spans="1:4" x14ac:dyDescent="0.25">
      <c r="A7264" s="279">
        <v>39290</v>
      </c>
      <c r="B7264" s="309" t="s">
        <v>411</v>
      </c>
      <c r="C7264" s="309" t="s">
        <v>407</v>
      </c>
      <c r="D7264">
        <v>160721</v>
      </c>
    </row>
    <row r="7265" spans="1:4" x14ac:dyDescent="0.25">
      <c r="A7265" s="279">
        <v>39290</v>
      </c>
      <c r="B7265" s="309" t="s">
        <v>411</v>
      </c>
      <c r="C7265" s="309" t="s">
        <v>412</v>
      </c>
      <c r="D7265">
        <v>1007</v>
      </c>
    </row>
    <row r="7266" spans="1:4" x14ac:dyDescent="0.25">
      <c r="A7266" s="279">
        <v>39290</v>
      </c>
      <c r="B7266" s="309" t="s">
        <v>411</v>
      </c>
      <c r="C7266" s="309" t="s">
        <v>409</v>
      </c>
      <c r="D7266">
        <v>1049</v>
      </c>
    </row>
    <row r="7267" spans="1:4" x14ac:dyDescent="0.25">
      <c r="A7267" s="279">
        <v>39291</v>
      </c>
      <c r="B7267" s="309" t="s">
        <v>405</v>
      </c>
      <c r="C7267" s="309" t="s">
        <v>406</v>
      </c>
      <c r="D7267">
        <v>2784267.1</v>
      </c>
    </row>
    <row r="7268" spans="1:4" x14ac:dyDescent="0.25">
      <c r="A7268" s="279">
        <v>39291</v>
      </c>
      <c r="B7268" s="309" t="s">
        <v>405</v>
      </c>
      <c r="C7268" s="309" t="s">
        <v>89</v>
      </c>
      <c r="D7268">
        <v>0</v>
      </c>
    </row>
    <row r="7269" spans="1:4" x14ac:dyDescent="0.25">
      <c r="A7269" s="279">
        <v>39291</v>
      </c>
      <c r="B7269" s="309" t="s">
        <v>405</v>
      </c>
      <c r="C7269" s="309" t="s">
        <v>198</v>
      </c>
      <c r="D7269">
        <v>0</v>
      </c>
    </row>
    <row r="7270" spans="1:4" x14ac:dyDescent="0.25">
      <c r="A7270" s="279">
        <v>39291</v>
      </c>
      <c r="B7270" s="309" t="s">
        <v>405</v>
      </c>
      <c r="C7270" s="309" t="s">
        <v>199</v>
      </c>
      <c r="D7270">
        <v>0</v>
      </c>
    </row>
    <row r="7271" spans="1:4" x14ac:dyDescent="0.25">
      <c r="A7271" s="279">
        <v>39291</v>
      </c>
      <c r="B7271" s="309" t="s">
        <v>405</v>
      </c>
      <c r="C7271" s="309" t="s">
        <v>90</v>
      </c>
      <c r="D7271">
        <v>2670</v>
      </c>
    </row>
    <row r="7272" spans="1:4" x14ac:dyDescent="0.25">
      <c r="A7272" s="279">
        <v>39291</v>
      </c>
      <c r="B7272" s="309" t="s">
        <v>405</v>
      </c>
      <c r="C7272" s="309" t="s">
        <v>24</v>
      </c>
      <c r="D7272">
        <v>0</v>
      </c>
    </row>
    <row r="7273" spans="1:4" x14ac:dyDescent="0.25">
      <c r="A7273" s="279">
        <v>39291</v>
      </c>
      <c r="B7273" s="309" t="s">
        <v>405</v>
      </c>
      <c r="C7273" s="309" t="s">
        <v>91</v>
      </c>
      <c r="D7273">
        <v>0</v>
      </c>
    </row>
    <row r="7274" spans="1:4" x14ac:dyDescent="0.25">
      <c r="A7274" s="279">
        <v>39291</v>
      </c>
      <c r="B7274" s="309" t="s">
        <v>405</v>
      </c>
      <c r="C7274" s="309" t="s">
        <v>118</v>
      </c>
      <c r="D7274">
        <v>0</v>
      </c>
    </row>
    <row r="7275" spans="1:4" x14ac:dyDescent="0.25">
      <c r="A7275" s="279">
        <v>39291</v>
      </c>
      <c r="B7275" s="309" t="s">
        <v>405</v>
      </c>
      <c r="C7275" s="309" t="s">
        <v>407</v>
      </c>
      <c r="D7275">
        <v>2781597.1</v>
      </c>
    </row>
    <row r="7276" spans="1:4" x14ac:dyDescent="0.25">
      <c r="A7276" s="279">
        <v>39291</v>
      </c>
      <c r="B7276" s="309" t="s">
        <v>405</v>
      </c>
      <c r="C7276" s="309" t="s">
        <v>408</v>
      </c>
      <c r="D7276">
        <v>1007</v>
      </c>
    </row>
    <row r="7277" spans="1:4" x14ac:dyDescent="0.25">
      <c r="A7277" s="279">
        <v>39291</v>
      </c>
      <c r="B7277" s="309" t="s">
        <v>405</v>
      </c>
      <c r="C7277" s="309" t="s">
        <v>409</v>
      </c>
      <c r="D7277">
        <v>1058</v>
      </c>
    </row>
    <row r="7278" spans="1:4" x14ac:dyDescent="0.25">
      <c r="A7278" s="279">
        <v>39291</v>
      </c>
      <c r="B7278" s="309" t="s">
        <v>405</v>
      </c>
      <c r="C7278" s="309" t="s">
        <v>410</v>
      </c>
      <c r="D7278">
        <v>1031</v>
      </c>
    </row>
    <row r="7279" spans="1:4" x14ac:dyDescent="0.25">
      <c r="A7279" s="279">
        <v>39291</v>
      </c>
      <c r="B7279" s="309" t="s">
        <v>411</v>
      </c>
      <c r="C7279" s="309" t="s">
        <v>406</v>
      </c>
      <c r="D7279">
        <v>160721</v>
      </c>
    </row>
    <row r="7280" spans="1:4" x14ac:dyDescent="0.25">
      <c r="A7280" s="279">
        <v>39291</v>
      </c>
      <c r="B7280" s="309" t="s">
        <v>411</v>
      </c>
      <c r="C7280" s="309" t="s">
        <v>198</v>
      </c>
      <c r="D7280">
        <v>0</v>
      </c>
    </row>
    <row r="7281" spans="1:4" x14ac:dyDescent="0.25">
      <c r="A7281" s="279">
        <v>39291</v>
      </c>
      <c r="B7281" s="309" t="s">
        <v>411</v>
      </c>
      <c r="C7281" s="309" t="s">
        <v>199</v>
      </c>
      <c r="D7281">
        <v>0</v>
      </c>
    </row>
    <row r="7282" spans="1:4" x14ac:dyDescent="0.25">
      <c r="A7282" s="279">
        <v>39291</v>
      </c>
      <c r="B7282" s="309" t="s">
        <v>411</v>
      </c>
      <c r="C7282" s="309" t="s">
        <v>90</v>
      </c>
      <c r="D7282">
        <v>276</v>
      </c>
    </row>
    <row r="7283" spans="1:4" x14ac:dyDescent="0.25">
      <c r="A7283" s="279">
        <v>39291</v>
      </c>
      <c r="B7283" s="309" t="s">
        <v>411</v>
      </c>
      <c r="C7283" s="309" t="s">
        <v>24</v>
      </c>
      <c r="D7283">
        <v>0</v>
      </c>
    </row>
    <row r="7284" spans="1:4" x14ac:dyDescent="0.25">
      <c r="A7284" s="279">
        <v>39291</v>
      </c>
      <c r="B7284" s="309" t="s">
        <v>411</v>
      </c>
      <c r="C7284" s="309" t="s">
        <v>91</v>
      </c>
      <c r="D7284">
        <v>0</v>
      </c>
    </row>
    <row r="7285" spans="1:4" x14ac:dyDescent="0.25">
      <c r="A7285" s="279">
        <v>39291</v>
      </c>
      <c r="B7285" s="309" t="s">
        <v>411</v>
      </c>
      <c r="C7285" s="309" t="s">
        <v>118</v>
      </c>
      <c r="D7285">
        <v>0</v>
      </c>
    </row>
    <row r="7286" spans="1:4" x14ac:dyDescent="0.25">
      <c r="A7286" s="279">
        <v>39291</v>
      </c>
      <c r="B7286" s="309" t="s">
        <v>411</v>
      </c>
      <c r="C7286" s="309" t="s">
        <v>407</v>
      </c>
      <c r="D7286">
        <v>160445</v>
      </c>
    </row>
    <row r="7287" spans="1:4" x14ac:dyDescent="0.25">
      <c r="A7287" s="279">
        <v>39291</v>
      </c>
      <c r="B7287" s="309" t="s">
        <v>411</v>
      </c>
      <c r="C7287" s="309" t="s">
        <v>412</v>
      </c>
      <c r="D7287">
        <v>1007</v>
      </c>
    </row>
    <row r="7288" spans="1:4" x14ac:dyDescent="0.25">
      <c r="A7288" s="279">
        <v>39291</v>
      </c>
      <c r="B7288" s="309" t="s">
        <v>411</v>
      </c>
      <c r="C7288" s="309" t="s">
        <v>409</v>
      </c>
      <c r="D7288">
        <v>1049</v>
      </c>
    </row>
    <row r="7289" spans="1:4" x14ac:dyDescent="0.25">
      <c r="A7289" s="279">
        <v>39292</v>
      </c>
      <c r="B7289" s="309" t="s">
        <v>405</v>
      </c>
      <c r="C7289" s="309" t="s">
        <v>406</v>
      </c>
      <c r="D7289">
        <v>2781597.1</v>
      </c>
    </row>
    <row r="7290" spans="1:4" x14ac:dyDescent="0.25">
      <c r="A7290" s="279">
        <v>39292</v>
      </c>
      <c r="B7290" s="309" t="s">
        <v>405</v>
      </c>
      <c r="C7290" s="309" t="s">
        <v>89</v>
      </c>
      <c r="D7290">
        <v>0</v>
      </c>
    </row>
    <row r="7291" spans="1:4" x14ac:dyDescent="0.25">
      <c r="A7291" s="279">
        <v>39292</v>
      </c>
      <c r="B7291" s="309" t="s">
        <v>405</v>
      </c>
      <c r="C7291" s="309" t="s">
        <v>198</v>
      </c>
      <c r="D7291">
        <v>0</v>
      </c>
    </row>
    <row r="7292" spans="1:4" x14ac:dyDescent="0.25">
      <c r="A7292" s="279">
        <v>39292</v>
      </c>
      <c r="B7292" s="309" t="s">
        <v>405</v>
      </c>
      <c r="C7292" s="309" t="s">
        <v>199</v>
      </c>
      <c r="D7292">
        <v>0</v>
      </c>
    </row>
    <row r="7293" spans="1:4" x14ac:dyDescent="0.25">
      <c r="A7293" s="279">
        <v>39292</v>
      </c>
      <c r="B7293" s="309" t="s">
        <v>405</v>
      </c>
      <c r="C7293" s="309" t="s">
        <v>90</v>
      </c>
      <c r="D7293">
        <v>2135</v>
      </c>
    </row>
    <row r="7294" spans="1:4" x14ac:dyDescent="0.25">
      <c r="A7294" s="279">
        <v>39292</v>
      </c>
      <c r="B7294" s="309" t="s">
        <v>405</v>
      </c>
      <c r="C7294" s="309" t="s">
        <v>24</v>
      </c>
      <c r="D7294">
        <v>0</v>
      </c>
    </row>
    <row r="7295" spans="1:4" x14ac:dyDescent="0.25">
      <c r="A7295" s="279">
        <v>39292</v>
      </c>
      <c r="B7295" s="309" t="s">
        <v>405</v>
      </c>
      <c r="C7295" s="309" t="s">
        <v>91</v>
      </c>
      <c r="D7295">
        <v>0</v>
      </c>
    </row>
    <row r="7296" spans="1:4" x14ac:dyDescent="0.25">
      <c r="A7296" s="279">
        <v>39292</v>
      </c>
      <c r="B7296" s="309" t="s">
        <v>405</v>
      </c>
      <c r="C7296" s="309" t="s">
        <v>118</v>
      </c>
      <c r="D7296">
        <v>0</v>
      </c>
    </row>
    <row r="7297" spans="1:4" x14ac:dyDescent="0.25">
      <c r="A7297" s="279">
        <v>39292</v>
      </c>
      <c r="B7297" s="309" t="s">
        <v>405</v>
      </c>
      <c r="C7297" s="309" t="s">
        <v>407</v>
      </c>
      <c r="D7297">
        <v>2779462.1</v>
      </c>
    </row>
    <row r="7298" spans="1:4" x14ac:dyDescent="0.25">
      <c r="A7298" s="279">
        <v>39292</v>
      </c>
      <c r="B7298" s="309" t="s">
        <v>405</v>
      </c>
      <c r="C7298" s="309" t="s">
        <v>408</v>
      </c>
      <c r="D7298">
        <v>1007</v>
      </c>
    </row>
    <row r="7299" spans="1:4" x14ac:dyDescent="0.25">
      <c r="A7299" s="279">
        <v>39292</v>
      </c>
      <c r="B7299" s="309" t="s">
        <v>405</v>
      </c>
      <c r="C7299" s="309" t="s">
        <v>409</v>
      </c>
      <c r="D7299">
        <v>1058</v>
      </c>
    </row>
    <row r="7300" spans="1:4" x14ac:dyDescent="0.25">
      <c r="A7300" s="279">
        <v>39292</v>
      </c>
      <c r="B7300" s="309" t="s">
        <v>405</v>
      </c>
      <c r="C7300" s="309" t="s">
        <v>410</v>
      </c>
      <c r="D7300">
        <v>1035</v>
      </c>
    </row>
    <row r="7301" spans="1:4" x14ac:dyDescent="0.25">
      <c r="A7301" s="279">
        <v>39292</v>
      </c>
      <c r="B7301" s="309" t="s">
        <v>411</v>
      </c>
      <c r="C7301" s="309" t="s">
        <v>406</v>
      </c>
      <c r="D7301">
        <v>160445</v>
      </c>
    </row>
    <row r="7302" spans="1:4" x14ac:dyDescent="0.25">
      <c r="A7302" s="279">
        <v>39292</v>
      </c>
      <c r="B7302" s="309" t="s">
        <v>411</v>
      </c>
      <c r="C7302" s="309" t="s">
        <v>198</v>
      </c>
      <c r="D7302">
        <v>0</v>
      </c>
    </row>
    <row r="7303" spans="1:4" x14ac:dyDescent="0.25">
      <c r="A7303" s="279">
        <v>39292</v>
      </c>
      <c r="B7303" s="309" t="s">
        <v>411</v>
      </c>
      <c r="C7303" s="309" t="s">
        <v>199</v>
      </c>
      <c r="D7303">
        <v>0</v>
      </c>
    </row>
    <row r="7304" spans="1:4" x14ac:dyDescent="0.25">
      <c r="A7304" s="279">
        <v>39292</v>
      </c>
      <c r="B7304" s="309" t="s">
        <v>411</v>
      </c>
      <c r="C7304" s="309" t="s">
        <v>90</v>
      </c>
      <c r="D7304">
        <v>0</v>
      </c>
    </row>
    <row r="7305" spans="1:4" x14ac:dyDescent="0.25">
      <c r="A7305" s="279">
        <v>39292</v>
      </c>
      <c r="B7305" s="309" t="s">
        <v>411</v>
      </c>
      <c r="C7305" s="309" t="s">
        <v>24</v>
      </c>
      <c r="D7305">
        <v>0</v>
      </c>
    </row>
    <row r="7306" spans="1:4" x14ac:dyDescent="0.25">
      <c r="A7306" s="279">
        <v>39292</v>
      </c>
      <c r="B7306" s="309" t="s">
        <v>411</v>
      </c>
      <c r="C7306" s="309" t="s">
        <v>91</v>
      </c>
      <c r="D7306">
        <v>0</v>
      </c>
    </row>
    <row r="7307" spans="1:4" x14ac:dyDescent="0.25">
      <c r="A7307" s="279">
        <v>39292</v>
      </c>
      <c r="B7307" s="309" t="s">
        <v>411</v>
      </c>
      <c r="C7307" s="309" t="s">
        <v>118</v>
      </c>
      <c r="D7307">
        <v>0</v>
      </c>
    </row>
    <row r="7308" spans="1:4" x14ac:dyDescent="0.25">
      <c r="A7308" s="279">
        <v>39292</v>
      </c>
      <c r="B7308" s="309" t="s">
        <v>411</v>
      </c>
      <c r="C7308" s="309" t="s">
        <v>407</v>
      </c>
      <c r="D7308">
        <v>160445</v>
      </c>
    </row>
    <row r="7309" spans="1:4" x14ac:dyDescent="0.25">
      <c r="A7309" s="279">
        <v>39292</v>
      </c>
      <c r="B7309" s="309" t="s">
        <v>411</v>
      </c>
      <c r="C7309" s="309" t="s">
        <v>412</v>
      </c>
      <c r="D7309">
        <v>1007</v>
      </c>
    </row>
    <row r="7310" spans="1:4" x14ac:dyDescent="0.25">
      <c r="A7310" s="279">
        <v>39292</v>
      </c>
      <c r="B7310" s="309" t="s">
        <v>411</v>
      </c>
      <c r="C7310" s="309" t="s">
        <v>409</v>
      </c>
      <c r="D7310">
        <v>1049</v>
      </c>
    </row>
    <row r="7311" spans="1:4" x14ac:dyDescent="0.25">
      <c r="A7311" s="279">
        <v>39293</v>
      </c>
      <c r="B7311" s="309" t="s">
        <v>405</v>
      </c>
      <c r="C7311" s="309" t="s">
        <v>406</v>
      </c>
      <c r="D7311">
        <v>2779462.1</v>
      </c>
    </row>
    <row r="7312" spans="1:4" x14ac:dyDescent="0.25">
      <c r="A7312" s="279">
        <v>39293</v>
      </c>
      <c r="B7312" s="309" t="s">
        <v>405</v>
      </c>
      <c r="C7312" s="309" t="s">
        <v>89</v>
      </c>
      <c r="D7312">
        <v>0</v>
      </c>
    </row>
    <row r="7313" spans="1:4" x14ac:dyDescent="0.25">
      <c r="A7313" s="279">
        <v>39293</v>
      </c>
      <c r="B7313" s="309" t="s">
        <v>405</v>
      </c>
      <c r="C7313" s="309" t="s">
        <v>198</v>
      </c>
      <c r="D7313">
        <v>0</v>
      </c>
    </row>
    <row r="7314" spans="1:4" x14ac:dyDescent="0.25">
      <c r="A7314" s="279">
        <v>39293</v>
      </c>
      <c r="B7314" s="309" t="s">
        <v>405</v>
      </c>
      <c r="C7314" s="309" t="s">
        <v>199</v>
      </c>
      <c r="D7314">
        <v>0</v>
      </c>
    </row>
    <row r="7315" spans="1:4" x14ac:dyDescent="0.25">
      <c r="A7315" s="279">
        <v>39293</v>
      </c>
      <c r="B7315" s="309" t="s">
        <v>405</v>
      </c>
      <c r="C7315" s="309" t="s">
        <v>90</v>
      </c>
      <c r="D7315">
        <v>1592</v>
      </c>
    </row>
    <row r="7316" spans="1:4" x14ac:dyDescent="0.25">
      <c r="A7316" s="279">
        <v>39293</v>
      </c>
      <c r="B7316" s="309" t="s">
        <v>405</v>
      </c>
      <c r="C7316" s="309" t="s">
        <v>24</v>
      </c>
      <c r="D7316">
        <v>0</v>
      </c>
    </row>
    <row r="7317" spans="1:4" x14ac:dyDescent="0.25">
      <c r="A7317" s="279">
        <v>39293</v>
      </c>
      <c r="B7317" s="309" t="s">
        <v>405</v>
      </c>
      <c r="C7317" s="309" t="s">
        <v>91</v>
      </c>
      <c r="D7317">
        <v>0</v>
      </c>
    </row>
    <row r="7318" spans="1:4" x14ac:dyDescent="0.25">
      <c r="A7318" s="279">
        <v>39293</v>
      </c>
      <c r="B7318" s="309" t="s">
        <v>405</v>
      </c>
      <c r="C7318" s="309" t="s">
        <v>118</v>
      </c>
      <c r="D7318">
        <v>0</v>
      </c>
    </row>
    <row r="7319" spans="1:4" x14ac:dyDescent="0.25">
      <c r="A7319" s="279">
        <v>39293</v>
      </c>
      <c r="B7319" s="309" t="s">
        <v>405</v>
      </c>
      <c r="C7319" s="309" t="s">
        <v>407</v>
      </c>
      <c r="D7319">
        <v>2777870.1</v>
      </c>
    </row>
    <row r="7320" spans="1:4" x14ac:dyDescent="0.25">
      <c r="A7320" s="279">
        <v>39293</v>
      </c>
      <c r="B7320" s="309" t="s">
        <v>405</v>
      </c>
      <c r="C7320" s="309" t="s">
        <v>408</v>
      </c>
      <c r="D7320">
        <v>1007</v>
      </c>
    </row>
    <row r="7321" spans="1:4" x14ac:dyDescent="0.25">
      <c r="A7321" s="279">
        <v>39293</v>
      </c>
      <c r="B7321" s="309" t="s">
        <v>405</v>
      </c>
      <c r="C7321" s="309" t="s">
        <v>409</v>
      </c>
      <c r="D7321">
        <v>1058</v>
      </c>
    </row>
    <row r="7322" spans="1:4" x14ac:dyDescent="0.25">
      <c r="A7322" s="279">
        <v>39293</v>
      </c>
      <c r="B7322" s="309" t="s">
        <v>405</v>
      </c>
      <c r="C7322" s="309" t="s">
        <v>410</v>
      </c>
      <c r="D7322">
        <v>1033</v>
      </c>
    </row>
    <row r="7323" spans="1:4" x14ac:dyDescent="0.25">
      <c r="A7323" s="279">
        <v>39293</v>
      </c>
      <c r="B7323" s="309" t="s">
        <v>411</v>
      </c>
      <c r="C7323" s="309" t="s">
        <v>406</v>
      </c>
      <c r="D7323">
        <v>160445</v>
      </c>
    </row>
    <row r="7324" spans="1:4" x14ac:dyDescent="0.25">
      <c r="A7324" s="279">
        <v>39293</v>
      </c>
      <c r="B7324" s="309" t="s">
        <v>411</v>
      </c>
      <c r="C7324" s="309" t="s">
        <v>198</v>
      </c>
      <c r="D7324">
        <v>0</v>
      </c>
    </row>
    <row r="7325" spans="1:4" x14ac:dyDescent="0.25">
      <c r="A7325" s="279">
        <v>39293</v>
      </c>
      <c r="B7325" s="309" t="s">
        <v>411</v>
      </c>
      <c r="C7325" s="309" t="s">
        <v>199</v>
      </c>
      <c r="D7325">
        <v>0</v>
      </c>
    </row>
    <row r="7326" spans="1:4" x14ac:dyDescent="0.25">
      <c r="A7326" s="279">
        <v>39293</v>
      </c>
      <c r="B7326" s="309" t="s">
        <v>411</v>
      </c>
      <c r="C7326" s="309" t="s">
        <v>90</v>
      </c>
      <c r="D7326">
        <v>71</v>
      </c>
    </row>
    <row r="7327" spans="1:4" x14ac:dyDescent="0.25">
      <c r="A7327" s="279">
        <v>39293</v>
      </c>
      <c r="B7327" s="309" t="s">
        <v>411</v>
      </c>
      <c r="C7327" s="309" t="s">
        <v>24</v>
      </c>
      <c r="D7327">
        <v>0</v>
      </c>
    </row>
    <row r="7328" spans="1:4" x14ac:dyDescent="0.25">
      <c r="A7328" s="279">
        <v>39293</v>
      </c>
      <c r="B7328" s="309" t="s">
        <v>411</v>
      </c>
      <c r="C7328" s="309" t="s">
        <v>91</v>
      </c>
      <c r="D7328">
        <v>0</v>
      </c>
    </row>
    <row r="7329" spans="1:4" x14ac:dyDescent="0.25">
      <c r="A7329" s="279">
        <v>39293</v>
      </c>
      <c r="B7329" s="309" t="s">
        <v>411</v>
      </c>
      <c r="C7329" s="309" t="s">
        <v>118</v>
      </c>
      <c r="D7329">
        <v>0</v>
      </c>
    </row>
    <row r="7330" spans="1:4" x14ac:dyDescent="0.25">
      <c r="A7330" s="279">
        <v>39293</v>
      </c>
      <c r="B7330" s="309" t="s">
        <v>411</v>
      </c>
      <c r="C7330" s="309" t="s">
        <v>407</v>
      </c>
      <c r="D7330">
        <v>160374</v>
      </c>
    </row>
    <row r="7331" spans="1:4" x14ac:dyDescent="0.25">
      <c r="A7331" s="279">
        <v>39293</v>
      </c>
      <c r="B7331" s="309" t="s">
        <v>411</v>
      </c>
      <c r="C7331" s="309" t="s">
        <v>412</v>
      </c>
      <c r="D7331">
        <v>1007</v>
      </c>
    </row>
    <row r="7332" spans="1:4" x14ac:dyDescent="0.25">
      <c r="A7332" s="279">
        <v>39293</v>
      </c>
      <c r="B7332" s="309" t="s">
        <v>411</v>
      </c>
      <c r="C7332" s="309" t="s">
        <v>409</v>
      </c>
      <c r="D7332">
        <v>1049</v>
      </c>
    </row>
    <row r="7333" spans="1:4" x14ac:dyDescent="0.25">
      <c r="A7333" s="279">
        <v>39294</v>
      </c>
      <c r="B7333" s="309" t="s">
        <v>405</v>
      </c>
      <c r="C7333" s="309" t="s">
        <v>406</v>
      </c>
      <c r="D7333">
        <v>2777870.1</v>
      </c>
    </row>
    <row r="7334" spans="1:4" x14ac:dyDescent="0.25">
      <c r="A7334" s="279">
        <v>39294</v>
      </c>
      <c r="B7334" s="309" t="s">
        <v>405</v>
      </c>
      <c r="C7334" s="309" t="s">
        <v>89</v>
      </c>
      <c r="D7334">
        <v>0</v>
      </c>
    </row>
    <row r="7335" spans="1:4" x14ac:dyDescent="0.25">
      <c r="A7335" s="279">
        <v>39294</v>
      </c>
      <c r="B7335" s="309" t="s">
        <v>405</v>
      </c>
      <c r="C7335" s="309" t="s">
        <v>198</v>
      </c>
      <c r="D7335">
        <v>0</v>
      </c>
    </row>
    <row r="7336" spans="1:4" x14ac:dyDescent="0.25">
      <c r="A7336" s="279">
        <v>39294</v>
      </c>
      <c r="B7336" s="309" t="s">
        <v>405</v>
      </c>
      <c r="C7336" s="309" t="s">
        <v>199</v>
      </c>
      <c r="D7336">
        <v>0</v>
      </c>
    </row>
    <row r="7337" spans="1:4" x14ac:dyDescent="0.25">
      <c r="A7337" s="279">
        <v>39294</v>
      </c>
      <c r="B7337" s="309" t="s">
        <v>405</v>
      </c>
      <c r="C7337" s="309" t="s">
        <v>90</v>
      </c>
      <c r="D7337">
        <v>1869</v>
      </c>
    </row>
    <row r="7338" spans="1:4" x14ac:dyDescent="0.25">
      <c r="A7338" s="279">
        <v>39294</v>
      </c>
      <c r="B7338" s="309" t="s">
        <v>405</v>
      </c>
      <c r="C7338" s="309" t="s">
        <v>24</v>
      </c>
      <c r="D7338">
        <v>0</v>
      </c>
    </row>
    <row r="7339" spans="1:4" x14ac:dyDescent="0.25">
      <c r="A7339" s="279">
        <v>39294</v>
      </c>
      <c r="B7339" s="309" t="s">
        <v>405</v>
      </c>
      <c r="C7339" s="309" t="s">
        <v>91</v>
      </c>
      <c r="D7339">
        <v>0</v>
      </c>
    </row>
    <row r="7340" spans="1:4" x14ac:dyDescent="0.25">
      <c r="A7340" s="279">
        <v>39294</v>
      </c>
      <c r="B7340" s="309" t="s">
        <v>405</v>
      </c>
      <c r="C7340" s="309" t="s">
        <v>118</v>
      </c>
      <c r="D7340">
        <v>0</v>
      </c>
    </row>
    <row r="7341" spans="1:4" x14ac:dyDescent="0.25">
      <c r="A7341" s="279">
        <v>39294</v>
      </c>
      <c r="B7341" s="309" t="s">
        <v>405</v>
      </c>
      <c r="C7341" s="309" t="s">
        <v>407</v>
      </c>
      <c r="D7341">
        <v>2776001.1</v>
      </c>
    </row>
    <row r="7342" spans="1:4" x14ac:dyDescent="0.25">
      <c r="A7342" s="279">
        <v>39294</v>
      </c>
      <c r="B7342" s="309" t="s">
        <v>405</v>
      </c>
      <c r="C7342" s="309" t="s">
        <v>408</v>
      </c>
      <c r="D7342">
        <v>1007</v>
      </c>
    </row>
    <row r="7343" spans="1:4" x14ac:dyDescent="0.25">
      <c r="A7343" s="279">
        <v>39294</v>
      </c>
      <c r="B7343" s="309" t="s">
        <v>405</v>
      </c>
      <c r="C7343" s="309" t="s">
        <v>409</v>
      </c>
      <c r="D7343">
        <v>1058</v>
      </c>
    </row>
    <row r="7344" spans="1:4" x14ac:dyDescent="0.25">
      <c r="A7344" s="279">
        <v>39294</v>
      </c>
      <c r="B7344" s="309" t="s">
        <v>405</v>
      </c>
      <c r="C7344" s="309" t="s">
        <v>410</v>
      </c>
      <c r="D7344">
        <v>1036</v>
      </c>
    </row>
    <row r="7345" spans="1:4" x14ac:dyDescent="0.25">
      <c r="A7345" s="279">
        <v>39294</v>
      </c>
      <c r="B7345" s="309" t="s">
        <v>411</v>
      </c>
      <c r="C7345" s="309" t="s">
        <v>406</v>
      </c>
      <c r="D7345">
        <v>160374</v>
      </c>
    </row>
    <row r="7346" spans="1:4" x14ac:dyDescent="0.25">
      <c r="A7346" s="279">
        <v>39294</v>
      </c>
      <c r="B7346" s="309" t="s">
        <v>411</v>
      </c>
      <c r="C7346" s="309" t="s">
        <v>198</v>
      </c>
      <c r="D7346">
        <v>0</v>
      </c>
    </row>
    <row r="7347" spans="1:4" x14ac:dyDescent="0.25">
      <c r="A7347" s="279">
        <v>39294</v>
      </c>
      <c r="B7347" s="309" t="s">
        <v>411</v>
      </c>
      <c r="C7347" s="309" t="s">
        <v>199</v>
      </c>
      <c r="D7347">
        <v>0</v>
      </c>
    </row>
    <row r="7348" spans="1:4" x14ac:dyDescent="0.25">
      <c r="A7348" s="279">
        <v>39294</v>
      </c>
      <c r="B7348" s="309" t="s">
        <v>411</v>
      </c>
      <c r="C7348" s="309" t="s">
        <v>90</v>
      </c>
      <c r="D7348">
        <v>201</v>
      </c>
    </row>
    <row r="7349" spans="1:4" x14ac:dyDescent="0.25">
      <c r="A7349" s="279">
        <v>39294</v>
      </c>
      <c r="B7349" s="309" t="s">
        <v>411</v>
      </c>
      <c r="C7349" s="309" t="s">
        <v>24</v>
      </c>
      <c r="D7349">
        <v>0</v>
      </c>
    </row>
    <row r="7350" spans="1:4" x14ac:dyDescent="0.25">
      <c r="A7350" s="279">
        <v>39294</v>
      </c>
      <c r="B7350" s="309" t="s">
        <v>411</v>
      </c>
      <c r="C7350" s="309" t="s">
        <v>91</v>
      </c>
      <c r="D7350">
        <v>0</v>
      </c>
    </row>
    <row r="7351" spans="1:4" x14ac:dyDescent="0.25">
      <c r="A7351" s="279">
        <v>39294</v>
      </c>
      <c r="B7351" s="309" t="s">
        <v>411</v>
      </c>
      <c r="C7351" s="309" t="s">
        <v>118</v>
      </c>
      <c r="D7351">
        <v>0</v>
      </c>
    </row>
    <row r="7352" spans="1:4" x14ac:dyDescent="0.25">
      <c r="A7352" s="279">
        <v>39294</v>
      </c>
      <c r="B7352" s="309" t="s">
        <v>411</v>
      </c>
      <c r="C7352" s="309" t="s">
        <v>407</v>
      </c>
      <c r="D7352">
        <v>160173</v>
      </c>
    </row>
    <row r="7353" spans="1:4" x14ac:dyDescent="0.25">
      <c r="A7353" s="279">
        <v>39294</v>
      </c>
      <c r="B7353" s="309" t="s">
        <v>411</v>
      </c>
      <c r="C7353" s="309" t="s">
        <v>412</v>
      </c>
      <c r="D7353">
        <v>1007</v>
      </c>
    </row>
    <row r="7354" spans="1:4" x14ac:dyDescent="0.25">
      <c r="A7354" s="279">
        <v>39294</v>
      </c>
      <c r="B7354" s="309" t="s">
        <v>411</v>
      </c>
      <c r="C7354" s="309" t="s">
        <v>409</v>
      </c>
      <c r="D7354">
        <v>1049</v>
      </c>
    </row>
    <row r="7355" spans="1:4" x14ac:dyDescent="0.25">
      <c r="A7355" s="279">
        <v>39295</v>
      </c>
      <c r="B7355" s="309" t="s">
        <v>405</v>
      </c>
      <c r="C7355" s="309" t="s">
        <v>406</v>
      </c>
      <c r="D7355">
        <v>2776001.1</v>
      </c>
    </row>
    <row r="7356" spans="1:4" x14ac:dyDescent="0.25">
      <c r="A7356" s="279">
        <v>39295</v>
      </c>
      <c r="B7356" s="309" t="s">
        <v>405</v>
      </c>
      <c r="C7356" s="309" t="s">
        <v>89</v>
      </c>
      <c r="D7356">
        <v>0</v>
      </c>
    </row>
    <row r="7357" spans="1:4" x14ac:dyDescent="0.25">
      <c r="A7357" s="279">
        <v>39295</v>
      </c>
      <c r="B7357" s="309" t="s">
        <v>405</v>
      </c>
      <c r="C7357" s="309" t="s">
        <v>198</v>
      </c>
      <c r="D7357">
        <v>0</v>
      </c>
    </row>
    <row r="7358" spans="1:4" x14ac:dyDescent="0.25">
      <c r="A7358" s="279">
        <v>39295</v>
      </c>
      <c r="B7358" s="309" t="s">
        <v>405</v>
      </c>
      <c r="C7358" s="309" t="s">
        <v>199</v>
      </c>
      <c r="D7358">
        <v>0</v>
      </c>
    </row>
    <row r="7359" spans="1:4" x14ac:dyDescent="0.25">
      <c r="A7359" s="279">
        <v>39295</v>
      </c>
      <c r="B7359" s="309" t="s">
        <v>405</v>
      </c>
      <c r="C7359" s="309" t="s">
        <v>90</v>
      </c>
      <c r="D7359">
        <v>1868</v>
      </c>
    </row>
    <row r="7360" spans="1:4" x14ac:dyDescent="0.25">
      <c r="A7360" s="279">
        <v>39295</v>
      </c>
      <c r="B7360" s="309" t="s">
        <v>405</v>
      </c>
      <c r="C7360" s="309" t="s">
        <v>24</v>
      </c>
      <c r="D7360">
        <v>0</v>
      </c>
    </row>
    <row r="7361" spans="1:4" x14ac:dyDescent="0.25">
      <c r="A7361" s="279">
        <v>39295</v>
      </c>
      <c r="B7361" s="309" t="s">
        <v>405</v>
      </c>
      <c r="C7361" s="309" t="s">
        <v>91</v>
      </c>
      <c r="D7361">
        <v>0</v>
      </c>
    </row>
    <row r="7362" spans="1:4" x14ac:dyDescent="0.25">
      <c r="A7362" s="279">
        <v>39295</v>
      </c>
      <c r="B7362" s="309" t="s">
        <v>405</v>
      </c>
      <c r="C7362" s="309" t="s">
        <v>118</v>
      </c>
      <c r="D7362">
        <v>0</v>
      </c>
    </row>
    <row r="7363" spans="1:4" x14ac:dyDescent="0.25">
      <c r="A7363" s="279">
        <v>39295</v>
      </c>
      <c r="B7363" s="309" t="s">
        <v>405</v>
      </c>
      <c r="C7363" s="309" t="s">
        <v>407</v>
      </c>
      <c r="D7363">
        <v>2774133.1</v>
      </c>
    </row>
    <row r="7364" spans="1:4" x14ac:dyDescent="0.25">
      <c r="A7364" s="279">
        <v>39295</v>
      </c>
      <c r="B7364" s="309" t="s">
        <v>405</v>
      </c>
      <c r="C7364" s="309" t="s">
        <v>408</v>
      </c>
      <c r="D7364">
        <v>1007</v>
      </c>
    </row>
    <row r="7365" spans="1:4" x14ac:dyDescent="0.25">
      <c r="A7365" s="279">
        <v>39295</v>
      </c>
      <c r="B7365" s="309" t="s">
        <v>405</v>
      </c>
      <c r="C7365" s="309" t="s">
        <v>409</v>
      </c>
      <c r="D7365">
        <v>1058</v>
      </c>
    </row>
    <row r="7366" spans="1:4" x14ac:dyDescent="0.25">
      <c r="A7366" s="279">
        <v>39295</v>
      </c>
      <c r="B7366" s="309" t="s">
        <v>405</v>
      </c>
      <c r="C7366" s="309" t="s">
        <v>410</v>
      </c>
      <c r="D7366">
        <v>1035</v>
      </c>
    </row>
    <row r="7367" spans="1:4" x14ac:dyDescent="0.25">
      <c r="A7367" s="279">
        <v>39295</v>
      </c>
      <c r="B7367" s="309" t="s">
        <v>411</v>
      </c>
      <c r="C7367" s="309" t="s">
        <v>406</v>
      </c>
      <c r="D7367">
        <v>160173</v>
      </c>
    </row>
    <row r="7368" spans="1:4" x14ac:dyDescent="0.25">
      <c r="A7368" s="279">
        <v>39295</v>
      </c>
      <c r="B7368" s="309" t="s">
        <v>411</v>
      </c>
      <c r="C7368" s="309" t="s">
        <v>198</v>
      </c>
      <c r="D7368">
        <v>0</v>
      </c>
    </row>
    <row r="7369" spans="1:4" x14ac:dyDescent="0.25">
      <c r="A7369" s="279">
        <v>39295</v>
      </c>
      <c r="B7369" s="309" t="s">
        <v>411</v>
      </c>
      <c r="C7369" s="309" t="s">
        <v>199</v>
      </c>
      <c r="D7369">
        <v>0</v>
      </c>
    </row>
    <row r="7370" spans="1:4" x14ac:dyDescent="0.25">
      <c r="A7370" s="279">
        <v>39295</v>
      </c>
      <c r="B7370" s="309" t="s">
        <v>411</v>
      </c>
      <c r="C7370" s="309" t="s">
        <v>90</v>
      </c>
      <c r="D7370">
        <v>73</v>
      </c>
    </row>
    <row r="7371" spans="1:4" x14ac:dyDescent="0.25">
      <c r="A7371" s="279">
        <v>39295</v>
      </c>
      <c r="B7371" s="309" t="s">
        <v>411</v>
      </c>
      <c r="C7371" s="309" t="s">
        <v>24</v>
      </c>
      <c r="D7371">
        <v>0</v>
      </c>
    </row>
    <row r="7372" spans="1:4" x14ac:dyDescent="0.25">
      <c r="A7372" s="279">
        <v>39295</v>
      </c>
      <c r="B7372" s="309" t="s">
        <v>411</v>
      </c>
      <c r="C7372" s="309" t="s">
        <v>91</v>
      </c>
      <c r="D7372">
        <v>0</v>
      </c>
    </row>
    <row r="7373" spans="1:4" x14ac:dyDescent="0.25">
      <c r="A7373" s="279">
        <v>39295</v>
      </c>
      <c r="B7373" s="309" t="s">
        <v>411</v>
      </c>
      <c r="C7373" s="309" t="s">
        <v>118</v>
      </c>
      <c r="D7373">
        <v>0</v>
      </c>
    </row>
    <row r="7374" spans="1:4" x14ac:dyDescent="0.25">
      <c r="A7374" s="279">
        <v>39295</v>
      </c>
      <c r="B7374" s="309" t="s">
        <v>411</v>
      </c>
      <c r="C7374" s="309" t="s">
        <v>407</v>
      </c>
      <c r="D7374">
        <v>160100</v>
      </c>
    </row>
    <row r="7375" spans="1:4" x14ac:dyDescent="0.25">
      <c r="A7375" s="279">
        <v>39295</v>
      </c>
      <c r="B7375" s="309" t="s">
        <v>411</v>
      </c>
      <c r="C7375" s="309" t="s">
        <v>412</v>
      </c>
      <c r="D7375">
        <v>1007</v>
      </c>
    </row>
    <row r="7376" spans="1:4" x14ac:dyDescent="0.25">
      <c r="A7376" s="279">
        <v>39295</v>
      </c>
      <c r="B7376" s="309" t="s">
        <v>411</v>
      </c>
      <c r="C7376" s="309" t="s">
        <v>409</v>
      </c>
      <c r="D7376">
        <v>1049</v>
      </c>
    </row>
    <row r="7377" spans="1:4" x14ac:dyDescent="0.25">
      <c r="A7377" s="279">
        <v>39296</v>
      </c>
      <c r="B7377" s="309" t="s">
        <v>405</v>
      </c>
      <c r="C7377" s="309" t="s">
        <v>406</v>
      </c>
      <c r="D7377">
        <v>2774133.1</v>
      </c>
    </row>
    <row r="7378" spans="1:4" x14ac:dyDescent="0.25">
      <c r="A7378" s="279">
        <v>39296</v>
      </c>
      <c r="B7378" s="309" t="s">
        <v>405</v>
      </c>
      <c r="C7378" s="309" t="s">
        <v>89</v>
      </c>
      <c r="D7378">
        <v>0</v>
      </c>
    </row>
    <row r="7379" spans="1:4" x14ac:dyDescent="0.25">
      <c r="A7379" s="279">
        <v>39296</v>
      </c>
      <c r="B7379" s="309" t="s">
        <v>405</v>
      </c>
      <c r="C7379" s="309" t="s">
        <v>198</v>
      </c>
      <c r="D7379">
        <v>0</v>
      </c>
    </row>
    <row r="7380" spans="1:4" x14ac:dyDescent="0.25">
      <c r="A7380" s="279">
        <v>39296</v>
      </c>
      <c r="B7380" s="309" t="s">
        <v>405</v>
      </c>
      <c r="C7380" s="309" t="s">
        <v>199</v>
      </c>
      <c r="D7380">
        <v>0</v>
      </c>
    </row>
    <row r="7381" spans="1:4" x14ac:dyDescent="0.25">
      <c r="A7381" s="279">
        <v>39296</v>
      </c>
      <c r="B7381" s="309" t="s">
        <v>405</v>
      </c>
      <c r="C7381" s="309" t="s">
        <v>90</v>
      </c>
      <c r="D7381">
        <v>1601</v>
      </c>
    </row>
    <row r="7382" spans="1:4" x14ac:dyDescent="0.25">
      <c r="A7382" s="279">
        <v>39296</v>
      </c>
      <c r="B7382" s="309" t="s">
        <v>405</v>
      </c>
      <c r="C7382" s="309" t="s">
        <v>24</v>
      </c>
      <c r="D7382">
        <v>0</v>
      </c>
    </row>
    <row r="7383" spans="1:4" x14ac:dyDescent="0.25">
      <c r="A7383" s="279">
        <v>39296</v>
      </c>
      <c r="B7383" s="309" t="s">
        <v>405</v>
      </c>
      <c r="C7383" s="309" t="s">
        <v>91</v>
      </c>
      <c r="D7383">
        <v>0</v>
      </c>
    </row>
    <row r="7384" spans="1:4" x14ac:dyDescent="0.25">
      <c r="A7384" s="279">
        <v>39296</v>
      </c>
      <c r="B7384" s="309" t="s">
        <v>405</v>
      </c>
      <c r="C7384" s="309" t="s">
        <v>118</v>
      </c>
      <c r="D7384">
        <v>0</v>
      </c>
    </row>
    <row r="7385" spans="1:4" x14ac:dyDescent="0.25">
      <c r="A7385" s="279">
        <v>39296</v>
      </c>
      <c r="B7385" s="309" t="s">
        <v>405</v>
      </c>
      <c r="C7385" s="309" t="s">
        <v>407</v>
      </c>
      <c r="D7385">
        <v>2772532.1</v>
      </c>
    </row>
    <row r="7386" spans="1:4" x14ac:dyDescent="0.25">
      <c r="A7386" s="279">
        <v>39296</v>
      </c>
      <c r="B7386" s="309" t="s">
        <v>405</v>
      </c>
      <c r="C7386" s="309" t="s">
        <v>408</v>
      </c>
      <c r="D7386">
        <v>1007</v>
      </c>
    </row>
    <row r="7387" spans="1:4" x14ac:dyDescent="0.25">
      <c r="A7387" s="279">
        <v>39296</v>
      </c>
      <c r="B7387" s="309" t="s">
        <v>405</v>
      </c>
      <c r="C7387" s="309" t="s">
        <v>409</v>
      </c>
      <c r="D7387">
        <v>1058</v>
      </c>
    </row>
    <row r="7388" spans="1:4" x14ac:dyDescent="0.25">
      <c r="A7388" s="279">
        <v>39296</v>
      </c>
      <c r="B7388" s="309" t="s">
        <v>405</v>
      </c>
      <c r="C7388" s="309" t="s">
        <v>410</v>
      </c>
      <c r="D7388">
        <v>1035</v>
      </c>
    </row>
    <row r="7389" spans="1:4" x14ac:dyDescent="0.25">
      <c r="A7389" s="279">
        <v>39296</v>
      </c>
      <c r="B7389" s="309" t="s">
        <v>411</v>
      </c>
      <c r="C7389" s="309" t="s">
        <v>406</v>
      </c>
      <c r="D7389">
        <v>160100</v>
      </c>
    </row>
    <row r="7390" spans="1:4" x14ac:dyDescent="0.25">
      <c r="A7390" s="279">
        <v>39296</v>
      </c>
      <c r="B7390" s="309" t="s">
        <v>411</v>
      </c>
      <c r="C7390" s="309" t="s">
        <v>198</v>
      </c>
      <c r="D7390">
        <v>0</v>
      </c>
    </row>
    <row r="7391" spans="1:4" x14ac:dyDescent="0.25">
      <c r="A7391" s="279">
        <v>39296</v>
      </c>
      <c r="B7391" s="309" t="s">
        <v>411</v>
      </c>
      <c r="C7391" s="309" t="s">
        <v>199</v>
      </c>
      <c r="D7391">
        <v>0</v>
      </c>
    </row>
    <row r="7392" spans="1:4" x14ac:dyDescent="0.25">
      <c r="A7392" s="279">
        <v>39296</v>
      </c>
      <c r="B7392" s="309" t="s">
        <v>411</v>
      </c>
      <c r="C7392" s="309" t="s">
        <v>90</v>
      </c>
      <c r="D7392">
        <v>202</v>
      </c>
    </row>
    <row r="7393" spans="1:4" x14ac:dyDescent="0.25">
      <c r="A7393" s="279">
        <v>39296</v>
      </c>
      <c r="B7393" s="309" t="s">
        <v>411</v>
      </c>
      <c r="C7393" s="309" t="s">
        <v>24</v>
      </c>
      <c r="D7393">
        <v>0</v>
      </c>
    </row>
    <row r="7394" spans="1:4" x14ac:dyDescent="0.25">
      <c r="A7394" s="279">
        <v>39296</v>
      </c>
      <c r="B7394" s="309" t="s">
        <v>411</v>
      </c>
      <c r="C7394" s="309" t="s">
        <v>91</v>
      </c>
      <c r="D7394">
        <v>0</v>
      </c>
    </row>
    <row r="7395" spans="1:4" x14ac:dyDescent="0.25">
      <c r="A7395" s="279">
        <v>39296</v>
      </c>
      <c r="B7395" s="309" t="s">
        <v>411</v>
      </c>
      <c r="C7395" s="309" t="s">
        <v>118</v>
      </c>
      <c r="D7395">
        <v>0</v>
      </c>
    </row>
    <row r="7396" spans="1:4" x14ac:dyDescent="0.25">
      <c r="A7396" s="279">
        <v>39296</v>
      </c>
      <c r="B7396" s="309" t="s">
        <v>411</v>
      </c>
      <c r="C7396" s="309" t="s">
        <v>407</v>
      </c>
      <c r="D7396">
        <v>159898</v>
      </c>
    </row>
    <row r="7397" spans="1:4" x14ac:dyDescent="0.25">
      <c r="A7397" s="279">
        <v>39296</v>
      </c>
      <c r="B7397" s="309" t="s">
        <v>411</v>
      </c>
      <c r="C7397" s="309" t="s">
        <v>412</v>
      </c>
      <c r="D7397">
        <v>1007</v>
      </c>
    </row>
    <row r="7398" spans="1:4" x14ac:dyDescent="0.25">
      <c r="A7398" s="279">
        <v>39296</v>
      </c>
      <c r="B7398" s="309" t="s">
        <v>411</v>
      </c>
      <c r="C7398" s="309" t="s">
        <v>409</v>
      </c>
      <c r="D7398">
        <v>1049</v>
      </c>
    </row>
    <row r="7399" spans="1:4" x14ac:dyDescent="0.25">
      <c r="A7399" s="279">
        <v>39297</v>
      </c>
      <c r="B7399" s="309" t="s">
        <v>405</v>
      </c>
      <c r="C7399" s="309" t="s">
        <v>406</v>
      </c>
      <c r="D7399">
        <v>2772532.1</v>
      </c>
    </row>
    <row r="7400" spans="1:4" x14ac:dyDescent="0.25">
      <c r="A7400" s="279">
        <v>39297</v>
      </c>
      <c r="B7400" s="309" t="s">
        <v>405</v>
      </c>
      <c r="C7400" s="309" t="s">
        <v>89</v>
      </c>
      <c r="D7400">
        <v>0</v>
      </c>
    </row>
    <row r="7401" spans="1:4" x14ac:dyDescent="0.25">
      <c r="A7401" s="279">
        <v>39297</v>
      </c>
      <c r="B7401" s="309" t="s">
        <v>405</v>
      </c>
      <c r="C7401" s="309" t="s">
        <v>198</v>
      </c>
      <c r="D7401">
        <v>0</v>
      </c>
    </row>
    <row r="7402" spans="1:4" x14ac:dyDescent="0.25">
      <c r="A7402" s="279">
        <v>39297</v>
      </c>
      <c r="B7402" s="309" t="s">
        <v>405</v>
      </c>
      <c r="C7402" s="309" t="s">
        <v>199</v>
      </c>
      <c r="D7402">
        <v>0</v>
      </c>
    </row>
    <row r="7403" spans="1:4" x14ac:dyDescent="0.25">
      <c r="A7403" s="279">
        <v>39297</v>
      </c>
      <c r="B7403" s="309" t="s">
        <v>405</v>
      </c>
      <c r="C7403" s="309" t="s">
        <v>90</v>
      </c>
      <c r="D7403">
        <v>2136</v>
      </c>
    </row>
    <row r="7404" spans="1:4" x14ac:dyDescent="0.25">
      <c r="A7404" s="279">
        <v>39297</v>
      </c>
      <c r="B7404" s="309" t="s">
        <v>405</v>
      </c>
      <c r="C7404" s="309" t="s">
        <v>24</v>
      </c>
      <c r="D7404">
        <v>0</v>
      </c>
    </row>
    <row r="7405" spans="1:4" x14ac:dyDescent="0.25">
      <c r="A7405" s="279">
        <v>39297</v>
      </c>
      <c r="B7405" s="309" t="s">
        <v>405</v>
      </c>
      <c r="C7405" s="309" t="s">
        <v>91</v>
      </c>
      <c r="D7405">
        <v>0</v>
      </c>
    </row>
    <row r="7406" spans="1:4" x14ac:dyDescent="0.25">
      <c r="A7406" s="279">
        <v>39297</v>
      </c>
      <c r="B7406" s="309" t="s">
        <v>405</v>
      </c>
      <c r="C7406" s="309" t="s">
        <v>118</v>
      </c>
      <c r="D7406">
        <v>0</v>
      </c>
    </row>
    <row r="7407" spans="1:4" x14ac:dyDescent="0.25">
      <c r="A7407" s="279">
        <v>39297</v>
      </c>
      <c r="B7407" s="309" t="s">
        <v>405</v>
      </c>
      <c r="C7407" s="309" t="s">
        <v>407</v>
      </c>
      <c r="D7407">
        <v>2770396.1</v>
      </c>
    </row>
    <row r="7408" spans="1:4" x14ac:dyDescent="0.25">
      <c r="A7408" s="279">
        <v>39297</v>
      </c>
      <c r="B7408" s="309" t="s">
        <v>405</v>
      </c>
      <c r="C7408" s="309" t="s">
        <v>408</v>
      </c>
      <c r="D7408">
        <v>1007</v>
      </c>
    </row>
    <row r="7409" spans="1:4" x14ac:dyDescent="0.25">
      <c r="A7409" s="279">
        <v>39297</v>
      </c>
      <c r="B7409" s="309" t="s">
        <v>405</v>
      </c>
      <c r="C7409" s="309" t="s">
        <v>409</v>
      </c>
      <c r="D7409">
        <v>1058</v>
      </c>
    </row>
    <row r="7410" spans="1:4" x14ac:dyDescent="0.25">
      <c r="A7410" s="279">
        <v>39297</v>
      </c>
      <c r="B7410" s="309" t="s">
        <v>405</v>
      </c>
      <c r="C7410" s="309" t="s">
        <v>410</v>
      </c>
      <c r="D7410">
        <v>1032</v>
      </c>
    </row>
    <row r="7411" spans="1:4" x14ac:dyDescent="0.25">
      <c r="A7411" s="279">
        <v>39297</v>
      </c>
      <c r="B7411" s="309" t="s">
        <v>411</v>
      </c>
      <c r="C7411" s="309" t="s">
        <v>406</v>
      </c>
      <c r="D7411">
        <v>159898</v>
      </c>
    </row>
    <row r="7412" spans="1:4" x14ac:dyDescent="0.25">
      <c r="A7412" s="279">
        <v>39297</v>
      </c>
      <c r="B7412" s="309" t="s">
        <v>411</v>
      </c>
      <c r="C7412" s="309" t="s">
        <v>198</v>
      </c>
      <c r="D7412">
        <v>0</v>
      </c>
    </row>
    <row r="7413" spans="1:4" x14ac:dyDescent="0.25">
      <c r="A7413" s="279">
        <v>39297</v>
      </c>
      <c r="B7413" s="309" t="s">
        <v>411</v>
      </c>
      <c r="C7413" s="309" t="s">
        <v>199</v>
      </c>
      <c r="D7413">
        <v>0</v>
      </c>
    </row>
    <row r="7414" spans="1:4" x14ac:dyDescent="0.25">
      <c r="A7414" s="279">
        <v>39297</v>
      </c>
      <c r="B7414" s="309" t="s">
        <v>411</v>
      </c>
      <c r="C7414" s="309" t="s">
        <v>90</v>
      </c>
      <c r="D7414">
        <v>84</v>
      </c>
    </row>
    <row r="7415" spans="1:4" x14ac:dyDescent="0.25">
      <c r="A7415" s="279">
        <v>39297</v>
      </c>
      <c r="B7415" s="309" t="s">
        <v>411</v>
      </c>
      <c r="C7415" s="309" t="s">
        <v>24</v>
      </c>
      <c r="D7415">
        <v>0</v>
      </c>
    </row>
    <row r="7416" spans="1:4" x14ac:dyDescent="0.25">
      <c r="A7416" s="279">
        <v>39297</v>
      </c>
      <c r="B7416" s="309" t="s">
        <v>411</v>
      </c>
      <c r="C7416" s="309" t="s">
        <v>91</v>
      </c>
      <c r="D7416">
        <v>0</v>
      </c>
    </row>
    <row r="7417" spans="1:4" x14ac:dyDescent="0.25">
      <c r="A7417" s="279">
        <v>39297</v>
      </c>
      <c r="B7417" s="309" t="s">
        <v>411</v>
      </c>
      <c r="C7417" s="309" t="s">
        <v>118</v>
      </c>
      <c r="D7417">
        <v>0</v>
      </c>
    </row>
    <row r="7418" spans="1:4" x14ac:dyDescent="0.25">
      <c r="A7418" s="279">
        <v>39297</v>
      </c>
      <c r="B7418" s="309" t="s">
        <v>411</v>
      </c>
      <c r="C7418" s="309" t="s">
        <v>407</v>
      </c>
      <c r="D7418">
        <v>159814</v>
      </c>
    </row>
    <row r="7419" spans="1:4" x14ac:dyDescent="0.25">
      <c r="A7419" s="279">
        <v>39297</v>
      </c>
      <c r="B7419" s="309" t="s">
        <v>411</v>
      </c>
      <c r="C7419" s="309" t="s">
        <v>412</v>
      </c>
      <c r="D7419">
        <v>1007</v>
      </c>
    </row>
    <row r="7420" spans="1:4" x14ac:dyDescent="0.25">
      <c r="A7420" s="279">
        <v>39297</v>
      </c>
      <c r="B7420" s="309" t="s">
        <v>411</v>
      </c>
      <c r="C7420" s="309" t="s">
        <v>409</v>
      </c>
      <c r="D7420">
        <v>1049</v>
      </c>
    </row>
    <row r="7421" spans="1:4" x14ac:dyDescent="0.25">
      <c r="A7421" s="279">
        <v>39298</v>
      </c>
      <c r="B7421" s="309" t="s">
        <v>405</v>
      </c>
      <c r="C7421" s="309" t="s">
        <v>406</v>
      </c>
      <c r="D7421">
        <v>2770396.1</v>
      </c>
    </row>
    <row r="7422" spans="1:4" x14ac:dyDescent="0.25">
      <c r="A7422" s="279">
        <v>39298</v>
      </c>
      <c r="B7422" s="309" t="s">
        <v>405</v>
      </c>
      <c r="C7422" s="309" t="s">
        <v>89</v>
      </c>
      <c r="D7422">
        <v>0</v>
      </c>
    </row>
    <row r="7423" spans="1:4" x14ac:dyDescent="0.25">
      <c r="A7423" s="279">
        <v>39298</v>
      </c>
      <c r="B7423" s="309" t="s">
        <v>405</v>
      </c>
      <c r="C7423" s="309" t="s">
        <v>198</v>
      </c>
      <c r="D7423">
        <v>0</v>
      </c>
    </row>
    <row r="7424" spans="1:4" x14ac:dyDescent="0.25">
      <c r="A7424" s="279">
        <v>39298</v>
      </c>
      <c r="B7424" s="309" t="s">
        <v>405</v>
      </c>
      <c r="C7424" s="309" t="s">
        <v>199</v>
      </c>
      <c r="D7424">
        <v>0</v>
      </c>
    </row>
    <row r="7425" spans="1:4" x14ac:dyDescent="0.25">
      <c r="A7425" s="279">
        <v>39298</v>
      </c>
      <c r="B7425" s="309" t="s">
        <v>405</v>
      </c>
      <c r="C7425" s="309" t="s">
        <v>90</v>
      </c>
      <c r="D7425">
        <v>1602</v>
      </c>
    </row>
    <row r="7426" spans="1:4" x14ac:dyDescent="0.25">
      <c r="A7426" s="279">
        <v>39298</v>
      </c>
      <c r="B7426" s="309" t="s">
        <v>405</v>
      </c>
      <c r="C7426" s="309" t="s">
        <v>24</v>
      </c>
      <c r="D7426">
        <v>0</v>
      </c>
    </row>
    <row r="7427" spans="1:4" x14ac:dyDescent="0.25">
      <c r="A7427" s="279">
        <v>39298</v>
      </c>
      <c r="B7427" s="309" t="s">
        <v>405</v>
      </c>
      <c r="C7427" s="309" t="s">
        <v>91</v>
      </c>
      <c r="D7427">
        <v>0</v>
      </c>
    </row>
    <row r="7428" spans="1:4" x14ac:dyDescent="0.25">
      <c r="A7428" s="279">
        <v>39298</v>
      </c>
      <c r="B7428" s="309" t="s">
        <v>405</v>
      </c>
      <c r="C7428" s="309" t="s">
        <v>118</v>
      </c>
      <c r="D7428">
        <v>0</v>
      </c>
    </row>
    <row r="7429" spans="1:4" x14ac:dyDescent="0.25">
      <c r="A7429" s="279">
        <v>39298</v>
      </c>
      <c r="B7429" s="309" t="s">
        <v>405</v>
      </c>
      <c r="C7429" s="309" t="s">
        <v>407</v>
      </c>
      <c r="D7429">
        <v>2768794.1</v>
      </c>
    </row>
    <row r="7430" spans="1:4" x14ac:dyDescent="0.25">
      <c r="A7430" s="279">
        <v>39298</v>
      </c>
      <c r="B7430" s="309" t="s">
        <v>405</v>
      </c>
      <c r="C7430" s="309" t="s">
        <v>408</v>
      </c>
      <c r="D7430">
        <v>1007</v>
      </c>
    </row>
    <row r="7431" spans="1:4" x14ac:dyDescent="0.25">
      <c r="A7431" s="279">
        <v>39298</v>
      </c>
      <c r="B7431" s="309" t="s">
        <v>405</v>
      </c>
      <c r="C7431" s="309" t="s">
        <v>409</v>
      </c>
      <c r="D7431">
        <v>1058</v>
      </c>
    </row>
    <row r="7432" spans="1:4" x14ac:dyDescent="0.25">
      <c r="A7432" s="279">
        <v>39298</v>
      </c>
      <c r="B7432" s="309" t="s">
        <v>405</v>
      </c>
      <c r="C7432" s="309" t="s">
        <v>410</v>
      </c>
      <c r="D7432">
        <v>1036</v>
      </c>
    </row>
    <row r="7433" spans="1:4" x14ac:dyDescent="0.25">
      <c r="A7433" s="279">
        <v>39298</v>
      </c>
      <c r="B7433" s="309" t="s">
        <v>411</v>
      </c>
      <c r="C7433" s="309" t="s">
        <v>406</v>
      </c>
      <c r="D7433">
        <v>159814</v>
      </c>
    </row>
    <row r="7434" spans="1:4" x14ac:dyDescent="0.25">
      <c r="A7434" s="279">
        <v>39298</v>
      </c>
      <c r="B7434" s="309" t="s">
        <v>411</v>
      </c>
      <c r="C7434" s="309" t="s">
        <v>198</v>
      </c>
      <c r="D7434">
        <v>0</v>
      </c>
    </row>
    <row r="7435" spans="1:4" x14ac:dyDescent="0.25">
      <c r="A7435" s="279">
        <v>39298</v>
      </c>
      <c r="B7435" s="309" t="s">
        <v>411</v>
      </c>
      <c r="C7435" s="309" t="s">
        <v>199</v>
      </c>
      <c r="D7435">
        <v>0</v>
      </c>
    </row>
    <row r="7436" spans="1:4" x14ac:dyDescent="0.25">
      <c r="A7436" s="279">
        <v>39298</v>
      </c>
      <c r="B7436" s="309" t="s">
        <v>411</v>
      </c>
      <c r="C7436" s="309" t="s">
        <v>90</v>
      </c>
      <c r="D7436">
        <v>192</v>
      </c>
    </row>
    <row r="7437" spans="1:4" x14ac:dyDescent="0.25">
      <c r="A7437" s="279">
        <v>39298</v>
      </c>
      <c r="B7437" s="309" t="s">
        <v>411</v>
      </c>
      <c r="C7437" s="309" t="s">
        <v>24</v>
      </c>
      <c r="D7437">
        <v>0</v>
      </c>
    </row>
    <row r="7438" spans="1:4" x14ac:dyDescent="0.25">
      <c r="A7438" s="279">
        <v>39298</v>
      </c>
      <c r="B7438" s="309" t="s">
        <v>411</v>
      </c>
      <c r="C7438" s="309" t="s">
        <v>91</v>
      </c>
      <c r="D7438">
        <v>0</v>
      </c>
    </row>
    <row r="7439" spans="1:4" x14ac:dyDescent="0.25">
      <c r="A7439" s="279">
        <v>39298</v>
      </c>
      <c r="B7439" s="309" t="s">
        <v>411</v>
      </c>
      <c r="C7439" s="309" t="s">
        <v>118</v>
      </c>
      <c r="D7439">
        <v>0</v>
      </c>
    </row>
    <row r="7440" spans="1:4" x14ac:dyDescent="0.25">
      <c r="A7440" s="279">
        <v>39298</v>
      </c>
      <c r="B7440" s="309" t="s">
        <v>411</v>
      </c>
      <c r="C7440" s="309" t="s">
        <v>407</v>
      </c>
      <c r="D7440">
        <v>159622</v>
      </c>
    </row>
    <row r="7441" spans="1:4" x14ac:dyDescent="0.25">
      <c r="A7441" s="279">
        <v>39298</v>
      </c>
      <c r="B7441" s="309" t="s">
        <v>411</v>
      </c>
      <c r="C7441" s="309" t="s">
        <v>412</v>
      </c>
      <c r="D7441">
        <v>1007</v>
      </c>
    </row>
    <row r="7442" spans="1:4" x14ac:dyDescent="0.25">
      <c r="A7442" s="279">
        <v>39298</v>
      </c>
      <c r="B7442" s="309" t="s">
        <v>411</v>
      </c>
      <c r="C7442" s="309" t="s">
        <v>409</v>
      </c>
      <c r="D7442">
        <v>1049</v>
      </c>
    </row>
    <row r="7443" spans="1:4" x14ac:dyDescent="0.25">
      <c r="A7443" s="279">
        <v>39299</v>
      </c>
      <c r="B7443" s="309" t="s">
        <v>405</v>
      </c>
      <c r="C7443" s="309" t="s">
        <v>406</v>
      </c>
      <c r="D7443">
        <v>2768794.1</v>
      </c>
    </row>
    <row r="7444" spans="1:4" x14ac:dyDescent="0.25">
      <c r="A7444" s="279">
        <v>39299</v>
      </c>
      <c r="B7444" s="309" t="s">
        <v>405</v>
      </c>
      <c r="C7444" s="309" t="s">
        <v>89</v>
      </c>
      <c r="D7444">
        <v>0</v>
      </c>
    </row>
    <row r="7445" spans="1:4" x14ac:dyDescent="0.25">
      <c r="A7445" s="279">
        <v>39299</v>
      </c>
      <c r="B7445" s="309" t="s">
        <v>405</v>
      </c>
      <c r="C7445" s="309" t="s">
        <v>198</v>
      </c>
      <c r="D7445">
        <v>0</v>
      </c>
    </row>
    <row r="7446" spans="1:4" x14ac:dyDescent="0.25">
      <c r="A7446" s="279">
        <v>39299</v>
      </c>
      <c r="B7446" s="309" t="s">
        <v>405</v>
      </c>
      <c r="C7446" s="309" t="s">
        <v>199</v>
      </c>
      <c r="D7446">
        <v>0</v>
      </c>
    </row>
    <row r="7447" spans="1:4" x14ac:dyDescent="0.25">
      <c r="A7447" s="279">
        <v>39299</v>
      </c>
      <c r="B7447" s="309" t="s">
        <v>405</v>
      </c>
      <c r="C7447" s="309" t="s">
        <v>90</v>
      </c>
      <c r="D7447">
        <v>2135</v>
      </c>
    </row>
    <row r="7448" spans="1:4" x14ac:dyDescent="0.25">
      <c r="A7448" s="279">
        <v>39299</v>
      </c>
      <c r="B7448" s="309" t="s">
        <v>405</v>
      </c>
      <c r="C7448" s="309" t="s">
        <v>24</v>
      </c>
      <c r="D7448">
        <v>0</v>
      </c>
    </row>
    <row r="7449" spans="1:4" x14ac:dyDescent="0.25">
      <c r="A7449" s="279">
        <v>39299</v>
      </c>
      <c r="B7449" s="309" t="s">
        <v>405</v>
      </c>
      <c r="C7449" s="309" t="s">
        <v>91</v>
      </c>
      <c r="D7449">
        <v>0</v>
      </c>
    </row>
    <row r="7450" spans="1:4" x14ac:dyDescent="0.25">
      <c r="A7450" s="279">
        <v>39299</v>
      </c>
      <c r="B7450" s="309" t="s">
        <v>405</v>
      </c>
      <c r="C7450" s="309" t="s">
        <v>118</v>
      </c>
      <c r="D7450">
        <v>0</v>
      </c>
    </row>
    <row r="7451" spans="1:4" x14ac:dyDescent="0.25">
      <c r="A7451" s="279">
        <v>39299</v>
      </c>
      <c r="B7451" s="309" t="s">
        <v>405</v>
      </c>
      <c r="C7451" s="309" t="s">
        <v>407</v>
      </c>
      <c r="D7451">
        <v>2766659.1</v>
      </c>
    </row>
    <row r="7452" spans="1:4" x14ac:dyDescent="0.25">
      <c r="A7452" s="279">
        <v>39299</v>
      </c>
      <c r="B7452" s="309" t="s">
        <v>405</v>
      </c>
      <c r="C7452" s="309" t="s">
        <v>408</v>
      </c>
      <c r="D7452">
        <v>1007</v>
      </c>
    </row>
    <row r="7453" spans="1:4" x14ac:dyDescent="0.25">
      <c r="A7453" s="279">
        <v>39299</v>
      </c>
      <c r="B7453" s="309" t="s">
        <v>405</v>
      </c>
      <c r="C7453" s="309" t="s">
        <v>409</v>
      </c>
      <c r="D7453">
        <v>1058</v>
      </c>
    </row>
    <row r="7454" spans="1:4" x14ac:dyDescent="0.25">
      <c r="A7454" s="279">
        <v>39299</v>
      </c>
      <c r="B7454" s="309" t="s">
        <v>405</v>
      </c>
      <c r="C7454" s="309" t="s">
        <v>410</v>
      </c>
      <c r="D7454">
        <v>1036</v>
      </c>
    </row>
    <row r="7455" spans="1:4" x14ac:dyDescent="0.25">
      <c r="A7455" s="279">
        <v>39299</v>
      </c>
      <c r="B7455" s="309" t="s">
        <v>411</v>
      </c>
      <c r="C7455" s="309" t="s">
        <v>406</v>
      </c>
      <c r="D7455">
        <v>159622</v>
      </c>
    </row>
    <row r="7456" spans="1:4" x14ac:dyDescent="0.25">
      <c r="A7456" s="279">
        <v>39299</v>
      </c>
      <c r="B7456" s="309" t="s">
        <v>411</v>
      </c>
      <c r="C7456" s="309" t="s">
        <v>198</v>
      </c>
      <c r="D7456">
        <v>0</v>
      </c>
    </row>
    <row r="7457" spans="1:4" x14ac:dyDescent="0.25">
      <c r="A7457" s="279">
        <v>39299</v>
      </c>
      <c r="B7457" s="309" t="s">
        <v>411</v>
      </c>
      <c r="C7457" s="309" t="s">
        <v>199</v>
      </c>
      <c r="D7457">
        <v>0</v>
      </c>
    </row>
    <row r="7458" spans="1:4" x14ac:dyDescent="0.25">
      <c r="A7458" s="279">
        <v>39299</v>
      </c>
      <c r="B7458" s="309" t="s">
        <v>411</v>
      </c>
      <c r="C7458" s="309" t="s">
        <v>90</v>
      </c>
      <c r="D7458">
        <v>78</v>
      </c>
    </row>
    <row r="7459" spans="1:4" x14ac:dyDescent="0.25">
      <c r="A7459" s="279">
        <v>39299</v>
      </c>
      <c r="B7459" s="309" t="s">
        <v>411</v>
      </c>
      <c r="C7459" s="309" t="s">
        <v>24</v>
      </c>
      <c r="D7459">
        <v>0</v>
      </c>
    </row>
    <row r="7460" spans="1:4" x14ac:dyDescent="0.25">
      <c r="A7460" s="279">
        <v>39299</v>
      </c>
      <c r="B7460" s="309" t="s">
        <v>411</v>
      </c>
      <c r="C7460" s="309" t="s">
        <v>91</v>
      </c>
      <c r="D7460">
        <v>0</v>
      </c>
    </row>
    <row r="7461" spans="1:4" x14ac:dyDescent="0.25">
      <c r="A7461" s="279">
        <v>39299</v>
      </c>
      <c r="B7461" s="309" t="s">
        <v>411</v>
      </c>
      <c r="C7461" s="309" t="s">
        <v>118</v>
      </c>
      <c r="D7461">
        <v>0</v>
      </c>
    </row>
    <row r="7462" spans="1:4" x14ac:dyDescent="0.25">
      <c r="A7462" s="279">
        <v>39299</v>
      </c>
      <c r="B7462" s="309" t="s">
        <v>411</v>
      </c>
      <c r="C7462" s="309" t="s">
        <v>407</v>
      </c>
      <c r="D7462">
        <v>159544</v>
      </c>
    </row>
    <row r="7463" spans="1:4" x14ac:dyDescent="0.25">
      <c r="A7463" s="279">
        <v>39299</v>
      </c>
      <c r="B7463" s="309" t="s">
        <v>411</v>
      </c>
      <c r="C7463" s="309" t="s">
        <v>412</v>
      </c>
      <c r="D7463">
        <v>1007</v>
      </c>
    </row>
    <row r="7464" spans="1:4" x14ac:dyDescent="0.25">
      <c r="A7464" s="279">
        <v>39299</v>
      </c>
      <c r="B7464" s="309" t="s">
        <v>411</v>
      </c>
      <c r="C7464" s="309" t="s">
        <v>409</v>
      </c>
      <c r="D7464">
        <v>1049</v>
      </c>
    </row>
    <row r="7465" spans="1:4" x14ac:dyDescent="0.25">
      <c r="A7465" s="279">
        <v>39300</v>
      </c>
      <c r="B7465" s="309" t="s">
        <v>405</v>
      </c>
      <c r="C7465" s="309" t="s">
        <v>406</v>
      </c>
      <c r="D7465">
        <v>2766659.1</v>
      </c>
    </row>
    <row r="7466" spans="1:4" x14ac:dyDescent="0.25">
      <c r="A7466" s="279">
        <v>39300</v>
      </c>
      <c r="B7466" s="309" t="s">
        <v>405</v>
      </c>
      <c r="C7466" s="309" t="s">
        <v>89</v>
      </c>
      <c r="D7466">
        <v>0</v>
      </c>
    </row>
    <row r="7467" spans="1:4" x14ac:dyDescent="0.25">
      <c r="A7467" s="279">
        <v>39300</v>
      </c>
      <c r="B7467" s="309" t="s">
        <v>405</v>
      </c>
      <c r="C7467" s="309" t="s">
        <v>198</v>
      </c>
      <c r="D7467">
        <v>0</v>
      </c>
    </row>
    <row r="7468" spans="1:4" x14ac:dyDescent="0.25">
      <c r="A7468" s="279">
        <v>39300</v>
      </c>
      <c r="B7468" s="309" t="s">
        <v>405</v>
      </c>
      <c r="C7468" s="309" t="s">
        <v>199</v>
      </c>
      <c r="D7468">
        <v>0</v>
      </c>
    </row>
    <row r="7469" spans="1:4" x14ac:dyDescent="0.25">
      <c r="A7469" s="279">
        <v>39300</v>
      </c>
      <c r="B7469" s="309" t="s">
        <v>405</v>
      </c>
      <c r="C7469" s="309" t="s">
        <v>90</v>
      </c>
      <c r="D7469">
        <v>2134</v>
      </c>
    </row>
    <row r="7470" spans="1:4" x14ac:dyDescent="0.25">
      <c r="A7470" s="279">
        <v>39300</v>
      </c>
      <c r="B7470" s="309" t="s">
        <v>405</v>
      </c>
      <c r="C7470" s="309" t="s">
        <v>24</v>
      </c>
      <c r="D7470">
        <v>0</v>
      </c>
    </row>
    <row r="7471" spans="1:4" x14ac:dyDescent="0.25">
      <c r="A7471" s="279">
        <v>39300</v>
      </c>
      <c r="B7471" s="309" t="s">
        <v>405</v>
      </c>
      <c r="C7471" s="309" t="s">
        <v>91</v>
      </c>
      <c r="D7471">
        <v>0</v>
      </c>
    </row>
    <row r="7472" spans="1:4" x14ac:dyDescent="0.25">
      <c r="A7472" s="279">
        <v>39300</v>
      </c>
      <c r="B7472" s="309" t="s">
        <v>405</v>
      </c>
      <c r="C7472" s="309" t="s">
        <v>118</v>
      </c>
      <c r="D7472">
        <v>0</v>
      </c>
    </row>
    <row r="7473" spans="1:4" x14ac:dyDescent="0.25">
      <c r="A7473" s="279">
        <v>39300</v>
      </c>
      <c r="B7473" s="309" t="s">
        <v>405</v>
      </c>
      <c r="C7473" s="309" t="s">
        <v>407</v>
      </c>
      <c r="D7473">
        <v>2764525.1</v>
      </c>
    </row>
    <row r="7474" spans="1:4" x14ac:dyDescent="0.25">
      <c r="A7474" s="279">
        <v>39300</v>
      </c>
      <c r="B7474" s="309" t="s">
        <v>405</v>
      </c>
      <c r="C7474" s="309" t="s">
        <v>408</v>
      </c>
      <c r="D7474">
        <v>1007</v>
      </c>
    </row>
    <row r="7475" spans="1:4" x14ac:dyDescent="0.25">
      <c r="A7475" s="279">
        <v>39300</v>
      </c>
      <c r="B7475" s="309" t="s">
        <v>405</v>
      </c>
      <c r="C7475" s="309" t="s">
        <v>409</v>
      </c>
      <c r="D7475">
        <v>1058</v>
      </c>
    </row>
    <row r="7476" spans="1:4" x14ac:dyDescent="0.25">
      <c r="A7476" s="279">
        <v>39300</v>
      </c>
      <c r="B7476" s="309" t="s">
        <v>405</v>
      </c>
      <c r="C7476" s="309" t="s">
        <v>410</v>
      </c>
      <c r="D7476">
        <v>1037</v>
      </c>
    </row>
    <row r="7477" spans="1:4" x14ac:dyDescent="0.25">
      <c r="A7477" s="279">
        <v>39300</v>
      </c>
      <c r="B7477" s="309" t="s">
        <v>411</v>
      </c>
      <c r="C7477" s="309" t="s">
        <v>406</v>
      </c>
      <c r="D7477">
        <v>159544</v>
      </c>
    </row>
    <row r="7478" spans="1:4" x14ac:dyDescent="0.25">
      <c r="A7478" s="279">
        <v>39300</v>
      </c>
      <c r="B7478" s="309" t="s">
        <v>411</v>
      </c>
      <c r="C7478" s="309" t="s">
        <v>198</v>
      </c>
      <c r="D7478">
        <v>0</v>
      </c>
    </row>
    <row r="7479" spans="1:4" x14ac:dyDescent="0.25">
      <c r="A7479" s="279">
        <v>39300</v>
      </c>
      <c r="B7479" s="309" t="s">
        <v>411</v>
      </c>
      <c r="C7479" s="309" t="s">
        <v>199</v>
      </c>
      <c r="D7479">
        <v>0</v>
      </c>
    </row>
    <row r="7480" spans="1:4" x14ac:dyDescent="0.25">
      <c r="A7480" s="279">
        <v>39300</v>
      </c>
      <c r="B7480" s="309" t="s">
        <v>411</v>
      </c>
      <c r="C7480" s="309" t="s">
        <v>90</v>
      </c>
      <c r="D7480">
        <v>84</v>
      </c>
    </row>
    <row r="7481" spans="1:4" x14ac:dyDescent="0.25">
      <c r="A7481" s="279">
        <v>39300</v>
      </c>
      <c r="B7481" s="309" t="s">
        <v>411</v>
      </c>
      <c r="C7481" s="309" t="s">
        <v>24</v>
      </c>
      <c r="D7481">
        <v>0</v>
      </c>
    </row>
    <row r="7482" spans="1:4" x14ac:dyDescent="0.25">
      <c r="A7482" s="279">
        <v>39300</v>
      </c>
      <c r="B7482" s="309" t="s">
        <v>411</v>
      </c>
      <c r="C7482" s="309" t="s">
        <v>91</v>
      </c>
      <c r="D7482">
        <v>0</v>
      </c>
    </row>
    <row r="7483" spans="1:4" x14ac:dyDescent="0.25">
      <c r="A7483" s="279">
        <v>39300</v>
      </c>
      <c r="B7483" s="309" t="s">
        <v>411</v>
      </c>
      <c r="C7483" s="309" t="s">
        <v>118</v>
      </c>
      <c r="D7483">
        <v>0</v>
      </c>
    </row>
    <row r="7484" spans="1:4" x14ac:dyDescent="0.25">
      <c r="A7484" s="279">
        <v>39300</v>
      </c>
      <c r="B7484" s="309" t="s">
        <v>411</v>
      </c>
      <c r="C7484" s="309" t="s">
        <v>407</v>
      </c>
      <c r="D7484">
        <v>159460</v>
      </c>
    </row>
    <row r="7485" spans="1:4" x14ac:dyDescent="0.25">
      <c r="A7485" s="279">
        <v>39300</v>
      </c>
      <c r="B7485" s="309" t="s">
        <v>411</v>
      </c>
      <c r="C7485" s="309" t="s">
        <v>412</v>
      </c>
      <c r="D7485">
        <v>1007</v>
      </c>
    </row>
    <row r="7486" spans="1:4" x14ac:dyDescent="0.25">
      <c r="A7486" s="279">
        <v>39300</v>
      </c>
      <c r="B7486" s="309" t="s">
        <v>411</v>
      </c>
      <c r="C7486" s="309" t="s">
        <v>409</v>
      </c>
      <c r="D7486">
        <v>1049</v>
      </c>
    </row>
    <row r="7487" spans="1:4" x14ac:dyDescent="0.25">
      <c r="A7487" s="279">
        <v>39301</v>
      </c>
      <c r="B7487" s="309" t="s">
        <v>405</v>
      </c>
      <c r="C7487" s="309" t="s">
        <v>406</v>
      </c>
      <c r="D7487">
        <v>2764525.1</v>
      </c>
    </row>
    <row r="7488" spans="1:4" x14ac:dyDescent="0.25">
      <c r="A7488" s="279">
        <v>39301</v>
      </c>
      <c r="B7488" s="309" t="s">
        <v>405</v>
      </c>
      <c r="C7488" s="309" t="s">
        <v>89</v>
      </c>
      <c r="D7488">
        <v>0</v>
      </c>
    </row>
    <row r="7489" spans="1:4" x14ac:dyDescent="0.25">
      <c r="A7489" s="279">
        <v>39301</v>
      </c>
      <c r="B7489" s="309" t="s">
        <v>405</v>
      </c>
      <c r="C7489" s="309" t="s">
        <v>198</v>
      </c>
      <c r="D7489">
        <v>0</v>
      </c>
    </row>
    <row r="7490" spans="1:4" x14ac:dyDescent="0.25">
      <c r="A7490" s="279">
        <v>39301</v>
      </c>
      <c r="B7490" s="309" t="s">
        <v>405</v>
      </c>
      <c r="C7490" s="309" t="s">
        <v>199</v>
      </c>
      <c r="D7490">
        <v>0</v>
      </c>
    </row>
    <row r="7491" spans="1:4" x14ac:dyDescent="0.25">
      <c r="A7491" s="279">
        <v>39301</v>
      </c>
      <c r="B7491" s="309" t="s">
        <v>405</v>
      </c>
      <c r="C7491" s="309" t="s">
        <v>90</v>
      </c>
      <c r="D7491">
        <v>2402</v>
      </c>
    </row>
    <row r="7492" spans="1:4" x14ac:dyDescent="0.25">
      <c r="A7492" s="279">
        <v>39301</v>
      </c>
      <c r="B7492" s="309" t="s">
        <v>405</v>
      </c>
      <c r="C7492" s="309" t="s">
        <v>24</v>
      </c>
      <c r="D7492">
        <v>0</v>
      </c>
    </row>
    <row r="7493" spans="1:4" x14ac:dyDescent="0.25">
      <c r="A7493" s="279">
        <v>39301</v>
      </c>
      <c r="B7493" s="309" t="s">
        <v>405</v>
      </c>
      <c r="C7493" s="309" t="s">
        <v>91</v>
      </c>
      <c r="D7493">
        <v>0</v>
      </c>
    </row>
    <row r="7494" spans="1:4" x14ac:dyDescent="0.25">
      <c r="A7494" s="279">
        <v>39301</v>
      </c>
      <c r="B7494" s="309" t="s">
        <v>405</v>
      </c>
      <c r="C7494" s="309" t="s">
        <v>118</v>
      </c>
      <c r="D7494">
        <v>0</v>
      </c>
    </row>
    <row r="7495" spans="1:4" x14ac:dyDescent="0.25">
      <c r="A7495" s="279">
        <v>39301</v>
      </c>
      <c r="B7495" s="309" t="s">
        <v>405</v>
      </c>
      <c r="C7495" s="309" t="s">
        <v>407</v>
      </c>
      <c r="D7495">
        <v>2762123.1</v>
      </c>
    </row>
    <row r="7496" spans="1:4" x14ac:dyDescent="0.25">
      <c r="A7496" s="279">
        <v>39301</v>
      </c>
      <c r="B7496" s="309" t="s">
        <v>405</v>
      </c>
      <c r="C7496" s="309" t="s">
        <v>408</v>
      </c>
      <c r="D7496">
        <v>1007</v>
      </c>
    </row>
    <row r="7497" spans="1:4" x14ac:dyDescent="0.25">
      <c r="A7497" s="279">
        <v>39301</v>
      </c>
      <c r="B7497" s="309" t="s">
        <v>405</v>
      </c>
      <c r="C7497" s="309" t="s">
        <v>409</v>
      </c>
      <c r="D7497">
        <v>1058</v>
      </c>
    </row>
    <row r="7498" spans="1:4" x14ac:dyDescent="0.25">
      <c r="A7498" s="279">
        <v>39301</v>
      </c>
      <c r="B7498" s="309" t="s">
        <v>405</v>
      </c>
      <c r="C7498" s="309" t="s">
        <v>410</v>
      </c>
      <c r="D7498">
        <v>1036</v>
      </c>
    </row>
    <row r="7499" spans="1:4" x14ac:dyDescent="0.25">
      <c r="A7499" s="279">
        <v>39301</v>
      </c>
      <c r="B7499" s="309" t="s">
        <v>411</v>
      </c>
      <c r="C7499" s="309" t="s">
        <v>406</v>
      </c>
      <c r="D7499">
        <v>159460</v>
      </c>
    </row>
    <row r="7500" spans="1:4" x14ac:dyDescent="0.25">
      <c r="A7500" s="279">
        <v>39301</v>
      </c>
      <c r="B7500" s="309" t="s">
        <v>411</v>
      </c>
      <c r="C7500" s="309" t="s">
        <v>198</v>
      </c>
      <c r="D7500">
        <v>0</v>
      </c>
    </row>
    <row r="7501" spans="1:4" x14ac:dyDescent="0.25">
      <c r="A7501" s="279">
        <v>39301</v>
      </c>
      <c r="B7501" s="309" t="s">
        <v>411</v>
      </c>
      <c r="C7501" s="309" t="s">
        <v>199</v>
      </c>
      <c r="D7501">
        <v>0</v>
      </c>
    </row>
    <row r="7502" spans="1:4" x14ac:dyDescent="0.25">
      <c r="A7502" s="279">
        <v>39301</v>
      </c>
      <c r="B7502" s="309" t="s">
        <v>411</v>
      </c>
      <c r="C7502" s="309" t="s">
        <v>90</v>
      </c>
      <c r="D7502">
        <v>114</v>
      </c>
    </row>
    <row r="7503" spans="1:4" x14ac:dyDescent="0.25">
      <c r="A7503" s="279">
        <v>39301</v>
      </c>
      <c r="B7503" s="309" t="s">
        <v>411</v>
      </c>
      <c r="C7503" s="309" t="s">
        <v>24</v>
      </c>
      <c r="D7503">
        <v>0</v>
      </c>
    </row>
    <row r="7504" spans="1:4" x14ac:dyDescent="0.25">
      <c r="A7504" s="279">
        <v>39301</v>
      </c>
      <c r="B7504" s="309" t="s">
        <v>411</v>
      </c>
      <c r="C7504" s="309" t="s">
        <v>91</v>
      </c>
      <c r="D7504">
        <v>0</v>
      </c>
    </row>
    <row r="7505" spans="1:4" x14ac:dyDescent="0.25">
      <c r="A7505" s="279">
        <v>39301</v>
      </c>
      <c r="B7505" s="309" t="s">
        <v>411</v>
      </c>
      <c r="C7505" s="309" t="s">
        <v>118</v>
      </c>
      <c r="D7505">
        <v>0</v>
      </c>
    </row>
    <row r="7506" spans="1:4" x14ac:dyDescent="0.25">
      <c r="A7506" s="279">
        <v>39301</v>
      </c>
      <c r="B7506" s="309" t="s">
        <v>411</v>
      </c>
      <c r="C7506" s="309" t="s">
        <v>407</v>
      </c>
      <c r="D7506">
        <v>159346</v>
      </c>
    </row>
    <row r="7507" spans="1:4" x14ac:dyDescent="0.25">
      <c r="A7507" s="279">
        <v>39301</v>
      </c>
      <c r="B7507" s="309" t="s">
        <v>411</v>
      </c>
      <c r="C7507" s="309" t="s">
        <v>412</v>
      </c>
      <c r="D7507">
        <v>1007</v>
      </c>
    </row>
    <row r="7508" spans="1:4" x14ac:dyDescent="0.25">
      <c r="A7508" s="279">
        <v>39301</v>
      </c>
      <c r="B7508" s="309" t="s">
        <v>411</v>
      </c>
      <c r="C7508" s="309" t="s">
        <v>409</v>
      </c>
      <c r="D7508">
        <v>1049</v>
      </c>
    </row>
    <row r="7509" spans="1:4" x14ac:dyDescent="0.25">
      <c r="A7509" s="279">
        <v>39302</v>
      </c>
      <c r="B7509" s="309" t="s">
        <v>405</v>
      </c>
      <c r="C7509" s="309" t="s">
        <v>406</v>
      </c>
      <c r="D7509">
        <v>2762123.1</v>
      </c>
    </row>
    <row r="7510" spans="1:4" x14ac:dyDescent="0.25">
      <c r="A7510" s="279">
        <v>39302</v>
      </c>
      <c r="B7510" s="309" t="s">
        <v>405</v>
      </c>
      <c r="C7510" s="309" t="s">
        <v>89</v>
      </c>
      <c r="D7510">
        <v>0</v>
      </c>
    </row>
    <row r="7511" spans="1:4" x14ac:dyDescent="0.25">
      <c r="A7511" s="279">
        <v>39302</v>
      </c>
      <c r="B7511" s="309" t="s">
        <v>405</v>
      </c>
      <c r="C7511" s="309" t="s">
        <v>198</v>
      </c>
      <c r="D7511">
        <v>0</v>
      </c>
    </row>
    <row r="7512" spans="1:4" x14ac:dyDescent="0.25">
      <c r="A7512" s="279">
        <v>39302</v>
      </c>
      <c r="B7512" s="309" t="s">
        <v>405</v>
      </c>
      <c r="C7512" s="309" t="s">
        <v>199</v>
      </c>
      <c r="D7512">
        <v>0</v>
      </c>
    </row>
    <row r="7513" spans="1:4" x14ac:dyDescent="0.25">
      <c r="A7513" s="279">
        <v>39302</v>
      </c>
      <c r="B7513" s="309" t="s">
        <v>405</v>
      </c>
      <c r="C7513" s="309" t="s">
        <v>90</v>
      </c>
      <c r="D7513">
        <v>2668</v>
      </c>
    </row>
    <row r="7514" spans="1:4" x14ac:dyDescent="0.25">
      <c r="A7514" s="279">
        <v>39302</v>
      </c>
      <c r="B7514" s="309" t="s">
        <v>405</v>
      </c>
      <c r="C7514" s="309" t="s">
        <v>24</v>
      </c>
      <c r="D7514">
        <v>0</v>
      </c>
    </row>
    <row r="7515" spans="1:4" x14ac:dyDescent="0.25">
      <c r="A7515" s="279">
        <v>39302</v>
      </c>
      <c r="B7515" s="309" t="s">
        <v>405</v>
      </c>
      <c r="C7515" s="309" t="s">
        <v>91</v>
      </c>
      <c r="D7515">
        <v>0</v>
      </c>
    </row>
    <row r="7516" spans="1:4" x14ac:dyDescent="0.25">
      <c r="A7516" s="279">
        <v>39302</v>
      </c>
      <c r="B7516" s="309" t="s">
        <v>405</v>
      </c>
      <c r="C7516" s="309" t="s">
        <v>118</v>
      </c>
      <c r="D7516">
        <v>0</v>
      </c>
    </row>
    <row r="7517" spans="1:4" x14ac:dyDescent="0.25">
      <c r="A7517" s="279">
        <v>39302</v>
      </c>
      <c r="B7517" s="309" t="s">
        <v>405</v>
      </c>
      <c r="C7517" s="309" t="s">
        <v>407</v>
      </c>
      <c r="D7517">
        <v>2759455.1</v>
      </c>
    </row>
    <row r="7518" spans="1:4" x14ac:dyDescent="0.25">
      <c r="A7518" s="279">
        <v>39302</v>
      </c>
      <c r="B7518" s="309" t="s">
        <v>405</v>
      </c>
      <c r="C7518" s="309" t="s">
        <v>408</v>
      </c>
      <c r="D7518">
        <v>1007</v>
      </c>
    </row>
    <row r="7519" spans="1:4" x14ac:dyDescent="0.25">
      <c r="A7519" s="279">
        <v>39302</v>
      </c>
      <c r="B7519" s="309" t="s">
        <v>405</v>
      </c>
      <c r="C7519" s="309" t="s">
        <v>409</v>
      </c>
      <c r="D7519">
        <v>1058</v>
      </c>
    </row>
    <row r="7520" spans="1:4" x14ac:dyDescent="0.25">
      <c r="A7520" s="279">
        <v>39302</v>
      </c>
      <c r="B7520" s="309" t="s">
        <v>405</v>
      </c>
      <c r="C7520" s="309" t="s">
        <v>410</v>
      </c>
      <c r="D7520">
        <v>1038</v>
      </c>
    </row>
    <row r="7521" spans="1:4" x14ac:dyDescent="0.25">
      <c r="A7521" s="279">
        <v>39302</v>
      </c>
      <c r="B7521" s="309" t="s">
        <v>411</v>
      </c>
      <c r="C7521" s="309" t="s">
        <v>406</v>
      </c>
      <c r="D7521">
        <v>159346</v>
      </c>
    </row>
    <row r="7522" spans="1:4" x14ac:dyDescent="0.25">
      <c r="A7522" s="279">
        <v>39302</v>
      </c>
      <c r="B7522" s="309" t="s">
        <v>411</v>
      </c>
      <c r="C7522" s="309" t="s">
        <v>198</v>
      </c>
      <c r="D7522">
        <v>0</v>
      </c>
    </row>
    <row r="7523" spans="1:4" x14ac:dyDescent="0.25">
      <c r="A7523" s="279">
        <v>39302</v>
      </c>
      <c r="B7523" s="309" t="s">
        <v>411</v>
      </c>
      <c r="C7523" s="309" t="s">
        <v>199</v>
      </c>
      <c r="D7523">
        <v>0</v>
      </c>
    </row>
    <row r="7524" spans="1:4" x14ac:dyDescent="0.25">
      <c r="A7524" s="279">
        <v>39302</v>
      </c>
      <c r="B7524" s="309" t="s">
        <v>411</v>
      </c>
      <c r="C7524" s="309" t="s">
        <v>90</v>
      </c>
      <c r="D7524">
        <v>91</v>
      </c>
    </row>
    <row r="7525" spans="1:4" x14ac:dyDescent="0.25">
      <c r="A7525" s="279">
        <v>39302</v>
      </c>
      <c r="B7525" s="309" t="s">
        <v>411</v>
      </c>
      <c r="C7525" s="309" t="s">
        <v>24</v>
      </c>
      <c r="D7525">
        <v>0</v>
      </c>
    </row>
    <row r="7526" spans="1:4" x14ac:dyDescent="0.25">
      <c r="A7526" s="279">
        <v>39302</v>
      </c>
      <c r="B7526" s="309" t="s">
        <v>411</v>
      </c>
      <c r="C7526" s="309" t="s">
        <v>91</v>
      </c>
      <c r="D7526">
        <v>0</v>
      </c>
    </row>
    <row r="7527" spans="1:4" x14ac:dyDescent="0.25">
      <c r="A7527" s="279">
        <v>39302</v>
      </c>
      <c r="B7527" s="309" t="s">
        <v>411</v>
      </c>
      <c r="C7527" s="309" t="s">
        <v>118</v>
      </c>
      <c r="D7527">
        <v>0</v>
      </c>
    </row>
    <row r="7528" spans="1:4" x14ac:dyDescent="0.25">
      <c r="A7528" s="279">
        <v>39302</v>
      </c>
      <c r="B7528" s="309" t="s">
        <v>411</v>
      </c>
      <c r="C7528" s="309" t="s">
        <v>407</v>
      </c>
      <c r="D7528">
        <v>159255</v>
      </c>
    </row>
    <row r="7529" spans="1:4" x14ac:dyDescent="0.25">
      <c r="A7529" s="279">
        <v>39302</v>
      </c>
      <c r="B7529" s="309" t="s">
        <v>411</v>
      </c>
      <c r="C7529" s="309" t="s">
        <v>412</v>
      </c>
      <c r="D7529">
        <v>1007</v>
      </c>
    </row>
    <row r="7530" spans="1:4" x14ac:dyDescent="0.25">
      <c r="A7530" s="279">
        <v>39302</v>
      </c>
      <c r="B7530" s="309" t="s">
        <v>411</v>
      </c>
      <c r="C7530" s="309" t="s">
        <v>409</v>
      </c>
      <c r="D7530">
        <v>1049</v>
      </c>
    </row>
    <row r="7531" spans="1:4" x14ac:dyDescent="0.25">
      <c r="A7531" s="279">
        <v>39303</v>
      </c>
      <c r="B7531" s="309" t="s">
        <v>405</v>
      </c>
      <c r="C7531" s="309" t="s">
        <v>406</v>
      </c>
      <c r="D7531">
        <v>2759455.1</v>
      </c>
    </row>
    <row r="7532" spans="1:4" x14ac:dyDescent="0.25">
      <c r="A7532" s="279">
        <v>39303</v>
      </c>
      <c r="B7532" s="309" t="s">
        <v>405</v>
      </c>
      <c r="C7532" s="309" t="s">
        <v>89</v>
      </c>
      <c r="D7532">
        <v>0</v>
      </c>
    </row>
    <row r="7533" spans="1:4" x14ac:dyDescent="0.25">
      <c r="A7533" s="279">
        <v>39303</v>
      </c>
      <c r="B7533" s="309" t="s">
        <v>405</v>
      </c>
      <c r="C7533" s="309" t="s">
        <v>198</v>
      </c>
      <c r="D7533">
        <v>0</v>
      </c>
    </row>
    <row r="7534" spans="1:4" x14ac:dyDescent="0.25">
      <c r="A7534" s="279">
        <v>39303</v>
      </c>
      <c r="B7534" s="309" t="s">
        <v>405</v>
      </c>
      <c r="C7534" s="309" t="s">
        <v>199</v>
      </c>
      <c r="D7534">
        <v>0</v>
      </c>
    </row>
    <row r="7535" spans="1:4" x14ac:dyDescent="0.25">
      <c r="A7535" s="279">
        <v>39303</v>
      </c>
      <c r="B7535" s="309" t="s">
        <v>405</v>
      </c>
      <c r="C7535" s="309" t="s">
        <v>90</v>
      </c>
      <c r="D7535">
        <v>1868</v>
      </c>
    </row>
    <row r="7536" spans="1:4" x14ac:dyDescent="0.25">
      <c r="A7536" s="279">
        <v>39303</v>
      </c>
      <c r="B7536" s="309" t="s">
        <v>405</v>
      </c>
      <c r="C7536" s="309" t="s">
        <v>24</v>
      </c>
      <c r="D7536">
        <v>0</v>
      </c>
    </row>
    <row r="7537" spans="1:4" x14ac:dyDescent="0.25">
      <c r="A7537" s="279">
        <v>39303</v>
      </c>
      <c r="B7537" s="309" t="s">
        <v>405</v>
      </c>
      <c r="C7537" s="309" t="s">
        <v>91</v>
      </c>
      <c r="D7537">
        <v>0</v>
      </c>
    </row>
    <row r="7538" spans="1:4" x14ac:dyDescent="0.25">
      <c r="A7538" s="279">
        <v>39303</v>
      </c>
      <c r="B7538" s="309" t="s">
        <v>405</v>
      </c>
      <c r="C7538" s="309" t="s">
        <v>118</v>
      </c>
      <c r="D7538">
        <v>0</v>
      </c>
    </row>
    <row r="7539" spans="1:4" x14ac:dyDescent="0.25">
      <c r="A7539" s="279">
        <v>39303</v>
      </c>
      <c r="B7539" s="309" t="s">
        <v>405</v>
      </c>
      <c r="C7539" s="309" t="s">
        <v>407</v>
      </c>
      <c r="D7539">
        <v>2757587.1</v>
      </c>
    </row>
    <row r="7540" spans="1:4" x14ac:dyDescent="0.25">
      <c r="A7540" s="279">
        <v>39303</v>
      </c>
      <c r="B7540" s="309" t="s">
        <v>405</v>
      </c>
      <c r="C7540" s="309" t="s">
        <v>408</v>
      </c>
      <c r="D7540">
        <v>1007</v>
      </c>
    </row>
    <row r="7541" spans="1:4" x14ac:dyDescent="0.25">
      <c r="A7541" s="279">
        <v>39303</v>
      </c>
      <c r="B7541" s="309" t="s">
        <v>405</v>
      </c>
      <c r="C7541" s="309" t="s">
        <v>409</v>
      </c>
      <c r="D7541">
        <v>1058</v>
      </c>
    </row>
    <row r="7542" spans="1:4" x14ac:dyDescent="0.25">
      <c r="A7542" s="279">
        <v>39303</v>
      </c>
      <c r="B7542" s="309" t="s">
        <v>405</v>
      </c>
      <c r="C7542" s="309" t="s">
        <v>410</v>
      </c>
      <c r="D7542">
        <v>1040</v>
      </c>
    </row>
    <row r="7543" spans="1:4" x14ac:dyDescent="0.25">
      <c r="A7543" s="279">
        <v>39303</v>
      </c>
      <c r="B7543" s="309" t="s">
        <v>411</v>
      </c>
      <c r="C7543" s="309" t="s">
        <v>406</v>
      </c>
      <c r="D7543">
        <v>159255</v>
      </c>
    </row>
    <row r="7544" spans="1:4" x14ac:dyDescent="0.25">
      <c r="A7544" s="279">
        <v>39303</v>
      </c>
      <c r="B7544" s="309" t="s">
        <v>411</v>
      </c>
      <c r="C7544" s="309" t="s">
        <v>198</v>
      </c>
      <c r="D7544">
        <v>0</v>
      </c>
    </row>
    <row r="7545" spans="1:4" x14ac:dyDescent="0.25">
      <c r="A7545" s="279">
        <v>39303</v>
      </c>
      <c r="B7545" s="309" t="s">
        <v>411</v>
      </c>
      <c r="C7545" s="309" t="s">
        <v>199</v>
      </c>
      <c r="D7545">
        <v>0</v>
      </c>
    </row>
    <row r="7546" spans="1:4" x14ac:dyDescent="0.25">
      <c r="A7546" s="279">
        <v>39303</v>
      </c>
      <c r="B7546" s="309" t="s">
        <v>411</v>
      </c>
      <c r="C7546" s="309" t="s">
        <v>90</v>
      </c>
      <c r="D7546">
        <v>184</v>
      </c>
    </row>
    <row r="7547" spans="1:4" x14ac:dyDescent="0.25">
      <c r="A7547" s="279">
        <v>39303</v>
      </c>
      <c r="B7547" s="309" t="s">
        <v>411</v>
      </c>
      <c r="C7547" s="309" t="s">
        <v>24</v>
      </c>
      <c r="D7547">
        <v>0</v>
      </c>
    </row>
    <row r="7548" spans="1:4" x14ac:dyDescent="0.25">
      <c r="A7548" s="279">
        <v>39303</v>
      </c>
      <c r="B7548" s="309" t="s">
        <v>411</v>
      </c>
      <c r="C7548" s="309" t="s">
        <v>91</v>
      </c>
      <c r="D7548">
        <v>0</v>
      </c>
    </row>
    <row r="7549" spans="1:4" x14ac:dyDescent="0.25">
      <c r="A7549" s="279">
        <v>39303</v>
      </c>
      <c r="B7549" s="309" t="s">
        <v>411</v>
      </c>
      <c r="C7549" s="309" t="s">
        <v>118</v>
      </c>
      <c r="D7549">
        <v>0</v>
      </c>
    </row>
    <row r="7550" spans="1:4" x14ac:dyDescent="0.25">
      <c r="A7550" s="279">
        <v>39303</v>
      </c>
      <c r="B7550" s="309" t="s">
        <v>411</v>
      </c>
      <c r="C7550" s="309" t="s">
        <v>407</v>
      </c>
      <c r="D7550">
        <v>159071</v>
      </c>
    </row>
    <row r="7551" spans="1:4" x14ac:dyDescent="0.25">
      <c r="A7551" s="279">
        <v>39303</v>
      </c>
      <c r="B7551" s="309" t="s">
        <v>411</v>
      </c>
      <c r="C7551" s="309" t="s">
        <v>412</v>
      </c>
      <c r="D7551">
        <v>1007</v>
      </c>
    </row>
    <row r="7552" spans="1:4" x14ac:dyDescent="0.25">
      <c r="A7552" s="279">
        <v>39303</v>
      </c>
      <c r="B7552" s="309" t="s">
        <v>411</v>
      </c>
      <c r="C7552" s="309" t="s">
        <v>409</v>
      </c>
      <c r="D7552">
        <v>1049</v>
      </c>
    </row>
    <row r="7553" spans="1:4" x14ac:dyDescent="0.25">
      <c r="A7553" s="279">
        <v>39304</v>
      </c>
      <c r="B7553" s="309" t="s">
        <v>405</v>
      </c>
      <c r="C7553" s="309" t="s">
        <v>406</v>
      </c>
      <c r="D7553">
        <v>2757587.1</v>
      </c>
    </row>
    <row r="7554" spans="1:4" x14ac:dyDescent="0.25">
      <c r="A7554" s="279">
        <v>39304</v>
      </c>
      <c r="B7554" s="309" t="s">
        <v>405</v>
      </c>
      <c r="C7554" s="309" t="s">
        <v>89</v>
      </c>
      <c r="D7554">
        <v>0</v>
      </c>
    </row>
    <row r="7555" spans="1:4" x14ac:dyDescent="0.25">
      <c r="A7555" s="279">
        <v>39304</v>
      </c>
      <c r="B7555" s="309" t="s">
        <v>405</v>
      </c>
      <c r="C7555" s="309" t="s">
        <v>198</v>
      </c>
      <c r="D7555">
        <v>0</v>
      </c>
    </row>
    <row r="7556" spans="1:4" x14ac:dyDescent="0.25">
      <c r="A7556" s="279">
        <v>39304</v>
      </c>
      <c r="B7556" s="309" t="s">
        <v>405</v>
      </c>
      <c r="C7556" s="309" t="s">
        <v>199</v>
      </c>
      <c r="D7556">
        <v>0</v>
      </c>
    </row>
    <row r="7557" spans="1:4" x14ac:dyDescent="0.25">
      <c r="A7557" s="279">
        <v>39304</v>
      </c>
      <c r="B7557" s="309" t="s">
        <v>405</v>
      </c>
      <c r="C7557" s="309" t="s">
        <v>90</v>
      </c>
      <c r="D7557">
        <v>1868</v>
      </c>
    </row>
    <row r="7558" spans="1:4" x14ac:dyDescent="0.25">
      <c r="A7558" s="279">
        <v>39304</v>
      </c>
      <c r="B7558" s="309" t="s">
        <v>405</v>
      </c>
      <c r="C7558" s="309" t="s">
        <v>24</v>
      </c>
      <c r="D7558">
        <v>0</v>
      </c>
    </row>
    <row r="7559" spans="1:4" x14ac:dyDescent="0.25">
      <c r="A7559" s="279">
        <v>39304</v>
      </c>
      <c r="B7559" s="309" t="s">
        <v>405</v>
      </c>
      <c r="C7559" s="309" t="s">
        <v>91</v>
      </c>
      <c r="D7559">
        <v>0</v>
      </c>
    </row>
    <row r="7560" spans="1:4" x14ac:dyDescent="0.25">
      <c r="A7560" s="279">
        <v>39304</v>
      </c>
      <c r="B7560" s="309" t="s">
        <v>405</v>
      </c>
      <c r="C7560" s="309" t="s">
        <v>118</v>
      </c>
      <c r="D7560">
        <v>0</v>
      </c>
    </row>
    <row r="7561" spans="1:4" x14ac:dyDescent="0.25">
      <c r="A7561" s="279">
        <v>39304</v>
      </c>
      <c r="B7561" s="309" t="s">
        <v>405</v>
      </c>
      <c r="C7561" s="309" t="s">
        <v>407</v>
      </c>
      <c r="D7561">
        <v>2755719.1</v>
      </c>
    </row>
    <row r="7562" spans="1:4" x14ac:dyDescent="0.25">
      <c r="A7562" s="279">
        <v>39304</v>
      </c>
      <c r="B7562" s="309" t="s">
        <v>405</v>
      </c>
      <c r="C7562" s="309" t="s">
        <v>408</v>
      </c>
      <c r="D7562">
        <v>1007</v>
      </c>
    </row>
    <row r="7563" spans="1:4" x14ac:dyDescent="0.25">
      <c r="A7563" s="279">
        <v>39304</v>
      </c>
      <c r="B7563" s="309" t="s">
        <v>405</v>
      </c>
      <c r="C7563" s="309" t="s">
        <v>409</v>
      </c>
      <c r="D7563">
        <v>1058</v>
      </c>
    </row>
    <row r="7564" spans="1:4" x14ac:dyDescent="0.25">
      <c r="A7564" s="279">
        <v>39304</v>
      </c>
      <c r="B7564" s="309" t="s">
        <v>405</v>
      </c>
      <c r="C7564" s="309" t="s">
        <v>410</v>
      </c>
      <c r="D7564">
        <v>1038</v>
      </c>
    </row>
    <row r="7565" spans="1:4" x14ac:dyDescent="0.25">
      <c r="A7565" s="279">
        <v>39304</v>
      </c>
      <c r="B7565" s="309" t="s">
        <v>411</v>
      </c>
      <c r="C7565" s="309" t="s">
        <v>406</v>
      </c>
      <c r="D7565">
        <v>159071</v>
      </c>
    </row>
    <row r="7566" spans="1:4" x14ac:dyDescent="0.25">
      <c r="A7566" s="279">
        <v>39304</v>
      </c>
      <c r="B7566" s="309" t="s">
        <v>411</v>
      </c>
      <c r="C7566" s="309" t="s">
        <v>198</v>
      </c>
      <c r="D7566">
        <v>0</v>
      </c>
    </row>
    <row r="7567" spans="1:4" x14ac:dyDescent="0.25">
      <c r="A7567" s="279">
        <v>39304</v>
      </c>
      <c r="B7567" s="309" t="s">
        <v>411</v>
      </c>
      <c r="C7567" s="309" t="s">
        <v>199</v>
      </c>
      <c r="D7567">
        <v>0</v>
      </c>
    </row>
    <row r="7568" spans="1:4" x14ac:dyDescent="0.25">
      <c r="A7568" s="279">
        <v>39304</v>
      </c>
      <c r="B7568" s="309" t="s">
        <v>411</v>
      </c>
      <c r="C7568" s="309" t="s">
        <v>90</v>
      </c>
      <c r="D7568">
        <v>73</v>
      </c>
    </row>
    <row r="7569" spans="1:4" x14ac:dyDescent="0.25">
      <c r="A7569" s="279">
        <v>39304</v>
      </c>
      <c r="B7569" s="309" t="s">
        <v>411</v>
      </c>
      <c r="C7569" s="309" t="s">
        <v>24</v>
      </c>
      <c r="D7569">
        <v>0</v>
      </c>
    </row>
    <row r="7570" spans="1:4" x14ac:dyDescent="0.25">
      <c r="A7570" s="279">
        <v>39304</v>
      </c>
      <c r="B7570" s="309" t="s">
        <v>411</v>
      </c>
      <c r="C7570" s="309" t="s">
        <v>91</v>
      </c>
      <c r="D7570">
        <v>0</v>
      </c>
    </row>
    <row r="7571" spans="1:4" x14ac:dyDescent="0.25">
      <c r="A7571" s="279">
        <v>39304</v>
      </c>
      <c r="B7571" s="309" t="s">
        <v>411</v>
      </c>
      <c r="C7571" s="309" t="s">
        <v>118</v>
      </c>
      <c r="D7571">
        <v>0</v>
      </c>
    </row>
    <row r="7572" spans="1:4" x14ac:dyDescent="0.25">
      <c r="A7572" s="279">
        <v>39304</v>
      </c>
      <c r="B7572" s="309" t="s">
        <v>411</v>
      </c>
      <c r="C7572" s="309" t="s">
        <v>407</v>
      </c>
      <c r="D7572">
        <v>158998</v>
      </c>
    </row>
    <row r="7573" spans="1:4" x14ac:dyDescent="0.25">
      <c r="A7573" s="279">
        <v>39304</v>
      </c>
      <c r="B7573" s="309" t="s">
        <v>411</v>
      </c>
      <c r="C7573" s="309" t="s">
        <v>412</v>
      </c>
      <c r="D7573">
        <v>1007</v>
      </c>
    </row>
    <row r="7574" spans="1:4" x14ac:dyDescent="0.25">
      <c r="A7574" s="279">
        <v>39304</v>
      </c>
      <c r="B7574" s="309" t="s">
        <v>411</v>
      </c>
      <c r="C7574" s="309" t="s">
        <v>409</v>
      </c>
      <c r="D7574">
        <v>1049</v>
      </c>
    </row>
    <row r="7575" spans="1:4" x14ac:dyDescent="0.25">
      <c r="A7575" s="279">
        <v>39305</v>
      </c>
      <c r="B7575" s="309" t="s">
        <v>405</v>
      </c>
      <c r="C7575" s="309" t="s">
        <v>406</v>
      </c>
      <c r="D7575">
        <v>2755719.1</v>
      </c>
    </row>
    <row r="7576" spans="1:4" x14ac:dyDescent="0.25">
      <c r="A7576" s="279">
        <v>39305</v>
      </c>
      <c r="B7576" s="309" t="s">
        <v>405</v>
      </c>
      <c r="C7576" s="309" t="s">
        <v>89</v>
      </c>
      <c r="D7576">
        <v>0</v>
      </c>
    </row>
    <row r="7577" spans="1:4" x14ac:dyDescent="0.25">
      <c r="A7577" s="279">
        <v>39305</v>
      </c>
      <c r="B7577" s="309" t="s">
        <v>405</v>
      </c>
      <c r="C7577" s="309" t="s">
        <v>198</v>
      </c>
      <c r="D7577">
        <v>0</v>
      </c>
    </row>
    <row r="7578" spans="1:4" x14ac:dyDescent="0.25">
      <c r="A7578" s="279">
        <v>39305</v>
      </c>
      <c r="B7578" s="309" t="s">
        <v>405</v>
      </c>
      <c r="C7578" s="309" t="s">
        <v>199</v>
      </c>
      <c r="D7578">
        <v>0</v>
      </c>
    </row>
    <row r="7579" spans="1:4" x14ac:dyDescent="0.25">
      <c r="A7579" s="279">
        <v>39305</v>
      </c>
      <c r="B7579" s="309" t="s">
        <v>405</v>
      </c>
      <c r="C7579" s="309" t="s">
        <v>90</v>
      </c>
      <c r="D7579">
        <v>534</v>
      </c>
    </row>
    <row r="7580" spans="1:4" x14ac:dyDescent="0.25">
      <c r="A7580" s="279">
        <v>39305</v>
      </c>
      <c r="B7580" s="309" t="s">
        <v>405</v>
      </c>
      <c r="C7580" s="309" t="s">
        <v>24</v>
      </c>
      <c r="D7580">
        <v>0</v>
      </c>
    </row>
    <row r="7581" spans="1:4" x14ac:dyDescent="0.25">
      <c r="A7581" s="279">
        <v>39305</v>
      </c>
      <c r="B7581" s="309" t="s">
        <v>405</v>
      </c>
      <c r="C7581" s="309" t="s">
        <v>91</v>
      </c>
      <c r="D7581">
        <v>0</v>
      </c>
    </row>
    <row r="7582" spans="1:4" x14ac:dyDescent="0.25">
      <c r="A7582" s="279">
        <v>39305</v>
      </c>
      <c r="B7582" s="309" t="s">
        <v>405</v>
      </c>
      <c r="C7582" s="309" t="s">
        <v>118</v>
      </c>
      <c r="D7582">
        <v>0</v>
      </c>
    </row>
    <row r="7583" spans="1:4" x14ac:dyDescent="0.25">
      <c r="A7583" s="279">
        <v>39305</v>
      </c>
      <c r="B7583" s="309" t="s">
        <v>405</v>
      </c>
      <c r="C7583" s="309" t="s">
        <v>407</v>
      </c>
      <c r="D7583">
        <v>2755185.1</v>
      </c>
    </row>
    <row r="7584" spans="1:4" x14ac:dyDescent="0.25">
      <c r="A7584" s="279">
        <v>39305</v>
      </c>
      <c r="B7584" s="309" t="s">
        <v>405</v>
      </c>
      <c r="C7584" s="309" t="s">
        <v>408</v>
      </c>
      <c r="D7584">
        <v>1007</v>
      </c>
    </row>
    <row r="7585" spans="1:4" x14ac:dyDescent="0.25">
      <c r="A7585" s="279">
        <v>39305</v>
      </c>
      <c r="B7585" s="309" t="s">
        <v>405</v>
      </c>
      <c r="C7585" s="309" t="s">
        <v>409</v>
      </c>
      <c r="D7585">
        <v>1058</v>
      </c>
    </row>
    <row r="7586" spans="1:4" x14ac:dyDescent="0.25">
      <c r="A7586" s="279">
        <v>39305</v>
      </c>
      <c r="B7586" s="309" t="s">
        <v>405</v>
      </c>
      <c r="C7586" s="309" t="s">
        <v>410</v>
      </c>
      <c r="D7586">
        <v>1045</v>
      </c>
    </row>
    <row r="7587" spans="1:4" x14ac:dyDescent="0.25">
      <c r="A7587" s="279">
        <v>39305</v>
      </c>
      <c r="B7587" s="309" t="s">
        <v>411</v>
      </c>
      <c r="C7587" s="309" t="s">
        <v>406</v>
      </c>
      <c r="D7587">
        <v>158998</v>
      </c>
    </row>
    <row r="7588" spans="1:4" x14ac:dyDescent="0.25">
      <c r="A7588" s="279">
        <v>39305</v>
      </c>
      <c r="B7588" s="309" t="s">
        <v>411</v>
      </c>
      <c r="C7588" s="309" t="s">
        <v>198</v>
      </c>
      <c r="D7588">
        <v>0</v>
      </c>
    </row>
    <row r="7589" spans="1:4" x14ac:dyDescent="0.25">
      <c r="A7589" s="279">
        <v>39305</v>
      </c>
      <c r="B7589" s="309" t="s">
        <v>411</v>
      </c>
      <c r="C7589" s="309" t="s">
        <v>199</v>
      </c>
      <c r="D7589">
        <v>0</v>
      </c>
    </row>
    <row r="7590" spans="1:4" x14ac:dyDescent="0.25">
      <c r="A7590" s="279">
        <v>39305</v>
      </c>
      <c r="B7590" s="309" t="s">
        <v>411</v>
      </c>
      <c r="C7590" s="309" t="s">
        <v>90</v>
      </c>
      <c r="D7590">
        <v>202</v>
      </c>
    </row>
    <row r="7591" spans="1:4" x14ac:dyDescent="0.25">
      <c r="A7591" s="279">
        <v>39305</v>
      </c>
      <c r="B7591" s="309" t="s">
        <v>411</v>
      </c>
      <c r="C7591" s="309" t="s">
        <v>24</v>
      </c>
      <c r="D7591">
        <v>0</v>
      </c>
    </row>
    <row r="7592" spans="1:4" x14ac:dyDescent="0.25">
      <c r="A7592" s="279">
        <v>39305</v>
      </c>
      <c r="B7592" s="309" t="s">
        <v>411</v>
      </c>
      <c r="C7592" s="309" t="s">
        <v>91</v>
      </c>
      <c r="D7592">
        <v>0</v>
      </c>
    </row>
    <row r="7593" spans="1:4" x14ac:dyDescent="0.25">
      <c r="A7593" s="279">
        <v>39305</v>
      </c>
      <c r="B7593" s="309" t="s">
        <v>411</v>
      </c>
      <c r="C7593" s="309" t="s">
        <v>118</v>
      </c>
      <c r="D7593">
        <v>0</v>
      </c>
    </row>
    <row r="7594" spans="1:4" x14ac:dyDescent="0.25">
      <c r="A7594" s="279">
        <v>39305</v>
      </c>
      <c r="B7594" s="309" t="s">
        <v>411</v>
      </c>
      <c r="C7594" s="309" t="s">
        <v>407</v>
      </c>
      <c r="D7594">
        <v>158796</v>
      </c>
    </row>
    <row r="7595" spans="1:4" x14ac:dyDescent="0.25">
      <c r="A7595" s="279">
        <v>39305</v>
      </c>
      <c r="B7595" s="309" t="s">
        <v>411</v>
      </c>
      <c r="C7595" s="309" t="s">
        <v>412</v>
      </c>
      <c r="D7595">
        <v>1007</v>
      </c>
    </row>
    <row r="7596" spans="1:4" x14ac:dyDescent="0.25">
      <c r="A7596" s="279">
        <v>39305</v>
      </c>
      <c r="B7596" s="309" t="s">
        <v>411</v>
      </c>
      <c r="C7596" s="309" t="s">
        <v>409</v>
      </c>
      <c r="D7596">
        <v>1049</v>
      </c>
    </row>
    <row r="7597" spans="1:4" x14ac:dyDescent="0.25">
      <c r="A7597" s="279">
        <v>39306</v>
      </c>
      <c r="B7597" s="309" t="s">
        <v>405</v>
      </c>
      <c r="C7597" s="309" t="s">
        <v>406</v>
      </c>
      <c r="D7597">
        <v>2755185.1</v>
      </c>
    </row>
    <row r="7598" spans="1:4" x14ac:dyDescent="0.25">
      <c r="A7598" s="279">
        <v>39306</v>
      </c>
      <c r="B7598" s="309" t="s">
        <v>405</v>
      </c>
      <c r="C7598" s="309" t="s">
        <v>89</v>
      </c>
      <c r="D7598">
        <v>0</v>
      </c>
    </row>
    <row r="7599" spans="1:4" x14ac:dyDescent="0.25">
      <c r="A7599" s="279">
        <v>39306</v>
      </c>
      <c r="B7599" s="309" t="s">
        <v>405</v>
      </c>
      <c r="C7599" s="309" t="s">
        <v>198</v>
      </c>
      <c r="D7599">
        <v>0</v>
      </c>
    </row>
    <row r="7600" spans="1:4" x14ac:dyDescent="0.25">
      <c r="A7600" s="279">
        <v>39306</v>
      </c>
      <c r="B7600" s="309" t="s">
        <v>405</v>
      </c>
      <c r="C7600" s="309" t="s">
        <v>199</v>
      </c>
      <c r="D7600">
        <v>0</v>
      </c>
    </row>
    <row r="7601" spans="1:4" x14ac:dyDescent="0.25">
      <c r="A7601" s="279">
        <v>39306</v>
      </c>
      <c r="B7601" s="309" t="s">
        <v>405</v>
      </c>
      <c r="C7601" s="309" t="s">
        <v>90</v>
      </c>
      <c r="D7601">
        <v>1868</v>
      </c>
    </row>
    <row r="7602" spans="1:4" x14ac:dyDescent="0.25">
      <c r="A7602" s="279">
        <v>39306</v>
      </c>
      <c r="B7602" s="309" t="s">
        <v>405</v>
      </c>
      <c r="C7602" s="309" t="s">
        <v>24</v>
      </c>
      <c r="D7602">
        <v>0</v>
      </c>
    </row>
    <row r="7603" spans="1:4" x14ac:dyDescent="0.25">
      <c r="A7603" s="279">
        <v>39306</v>
      </c>
      <c r="B7603" s="309" t="s">
        <v>405</v>
      </c>
      <c r="C7603" s="309" t="s">
        <v>91</v>
      </c>
      <c r="D7603">
        <v>0</v>
      </c>
    </row>
    <row r="7604" spans="1:4" x14ac:dyDescent="0.25">
      <c r="A7604" s="279">
        <v>39306</v>
      </c>
      <c r="B7604" s="309" t="s">
        <v>405</v>
      </c>
      <c r="C7604" s="309" t="s">
        <v>118</v>
      </c>
      <c r="D7604">
        <v>0</v>
      </c>
    </row>
    <row r="7605" spans="1:4" x14ac:dyDescent="0.25">
      <c r="A7605" s="279">
        <v>39306</v>
      </c>
      <c r="B7605" s="309" t="s">
        <v>405</v>
      </c>
      <c r="C7605" s="309" t="s">
        <v>407</v>
      </c>
      <c r="D7605">
        <v>2753317.1</v>
      </c>
    </row>
    <row r="7606" spans="1:4" x14ac:dyDescent="0.25">
      <c r="A7606" s="279">
        <v>39306</v>
      </c>
      <c r="B7606" s="309" t="s">
        <v>405</v>
      </c>
      <c r="C7606" s="309" t="s">
        <v>408</v>
      </c>
      <c r="D7606">
        <v>1007</v>
      </c>
    </row>
    <row r="7607" spans="1:4" x14ac:dyDescent="0.25">
      <c r="A7607" s="279">
        <v>39306</v>
      </c>
      <c r="B7607" s="309" t="s">
        <v>405</v>
      </c>
      <c r="C7607" s="309" t="s">
        <v>409</v>
      </c>
      <c r="D7607">
        <v>1058</v>
      </c>
    </row>
    <row r="7608" spans="1:4" x14ac:dyDescent="0.25">
      <c r="A7608" s="279">
        <v>39306</v>
      </c>
      <c r="B7608" s="309" t="s">
        <v>405</v>
      </c>
      <c r="C7608" s="309" t="s">
        <v>410</v>
      </c>
      <c r="D7608">
        <v>1044</v>
      </c>
    </row>
    <row r="7609" spans="1:4" x14ac:dyDescent="0.25">
      <c r="A7609" s="279">
        <v>39306</v>
      </c>
      <c r="B7609" s="309" t="s">
        <v>411</v>
      </c>
      <c r="C7609" s="309" t="s">
        <v>406</v>
      </c>
      <c r="D7609">
        <v>158796</v>
      </c>
    </row>
    <row r="7610" spans="1:4" x14ac:dyDescent="0.25">
      <c r="A7610" s="279">
        <v>39306</v>
      </c>
      <c r="B7610" s="309" t="s">
        <v>411</v>
      </c>
      <c r="C7610" s="309" t="s">
        <v>198</v>
      </c>
      <c r="D7610">
        <v>0</v>
      </c>
    </row>
    <row r="7611" spans="1:4" x14ac:dyDescent="0.25">
      <c r="A7611" s="279">
        <v>39306</v>
      </c>
      <c r="B7611" s="309" t="s">
        <v>411</v>
      </c>
      <c r="C7611" s="309" t="s">
        <v>199</v>
      </c>
      <c r="D7611">
        <v>0</v>
      </c>
    </row>
    <row r="7612" spans="1:4" x14ac:dyDescent="0.25">
      <c r="A7612" s="279">
        <v>39306</v>
      </c>
      <c r="B7612" s="309" t="s">
        <v>411</v>
      </c>
      <c r="C7612" s="309" t="s">
        <v>90</v>
      </c>
      <c r="D7612">
        <v>81</v>
      </c>
    </row>
    <row r="7613" spans="1:4" x14ac:dyDescent="0.25">
      <c r="A7613" s="279">
        <v>39306</v>
      </c>
      <c r="B7613" s="309" t="s">
        <v>411</v>
      </c>
      <c r="C7613" s="309" t="s">
        <v>24</v>
      </c>
      <c r="D7613">
        <v>0</v>
      </c>
    </row>
    <row r="7614" spans="1:4" x14ac:dyDescent="0.25">
      <c r="A7614" s="279">
        <v>39306</v>
      </c>
      <c r="B7614" s="309" t="s">
        <v>411</v>
      </c>
      <c r="C7614" s="309" t="s">
        <v>91</v>
      </c>
      <c r="D7614">
        <v>0</v>
      </c>
    </row>
    <row r="7615" spans="1:4" x14ac:dyDescent="0.25">
      <c r="A7615" s="279">
        <v>39306</v>
      </c>
      <c r="B7615" s="309" t="s">
        <v>411</v>
      </c>
      <c r="C7615" s="309" t="s">
        <v>118</v>
      </c>
      <c r="D7615">
        <v>0</v>
      </c>
    </row>
    <row r="7616" spans="1:4" x14ac:dyDescent="0.25">
      <c r="A7616" s="279">
        <v>39306</v>
      </c>
      <c r="B7616" s="309" t="s">
        <v>411</v>
      </c>
      <c r="C7616" s="309" t="s">
        <v>407</v>
      </c>
      <c r="D7616">
        <v>158715</v>
      </c>
    </row>
    <row r="7617" spans="1:4" x14ac:dyDescent="0.25">
      <c r="A7617" s="279">
        <v>39306</v>
      </c>
      <c r="B7617" s="309" t="s">
        <v>411</v>
      </c>
      <c r="C7617" s="309" t="s">
        <v>412</v>
      </c>
      <c r="D7617">
        <v>1007</v>
      </c>
    </row>
    <row r="7618" spans="1:4" x14ac:dyDescent="0.25">
      <c r="A7618" s="279">
        <v>39306</v>
      </c>
      <c r="B7618" s="309" t="s">
        <v>411</v>
      </c>
      <c r="C7618" s="309" t="s">
        <v>409</v>
      </c>
      <c r="D7618">
        <v>1049</v>
      </c>
    </row>
    <row r="7619" spans="1:4" x14ac:dyDescent="0.25">
      <c r="A7619" s="279">
        <v>39307</v>
      </c>
      <c r="B7619" s="309" t="s">
        <v>405</v>
      </c>
      <c r="C7619" s="309" t="s">
        <v>406</v>
      </c>
      <c r="D7619">
        <v>2753317.1</v>
      </c>
    </row>
    <row r="7620" spans="1:4" x14ac:dyDescent="0.25">
      <c r="A7620" s="279">
        <v>39307</v>
      </c>
      <c r="B7620" s="309" t="s">
        <v>405</v>
      </c>
      <c r="C7620" s="309" t="s">
        <v>89</v>
      </c>
      <c r="D7620">
        <v>0</v>
      </c>
    </row>
    <row r="7621" spans="1:4" x14ac:dyDescent="0.25">
      <c r="A7621" s="279">
        <v>39307</v>
      </c>
      <c r="B7621" s="309" t="s">
        <v>405</v>
      </c>
      <c r="C7621" s="309" t="s">
        <v>198</v>
      </c>
      <c r="D7621">
        <v>0</v>
      </c>
    </row>
    <row r="7622" spans="1:4" x14ac:dyDescent="0.25">
      <c r="A7622" s="279">
        <v>39307</v>
      </c>
      <c r="B7622" s="309" t="s">
        <v>405</v>
      </c>
      <c r="C7622" s="309" t="s">
        <v>199</v>
      </c>
      <c r="D7622">
        <v>0</v>
      </c>
    </row>
    <row r="7623" spans="1:4" x14ac:dyDescent="0.25">
      <c r="A7623" s="279">
        <v>39307</v>
      </c>
      <c r="B7623" s="309" t="s">
        <v>405</v>
      </c>
      <c r="C7623" s="309" t="s">
        <v>90</v>
      </c>
      <c r="D7623">
        <v>2135</v>
      </c>
    </row>
    <row r="7624" spans="1:4" x14ac:dyDescent="0.25">
      <c r="A7624" s="279">
        <v>39307</v>
      </c>
      <c r="B7624" s="309" t="s">
        <v>405</v>
      </c>
      <c r="C7624" s="309" t="s">
        <v>24</v>
      </c>
      <c r="D7624">
        <v>0</v>
      </c>
    </row>
    <row r="7625" spans="1:4" x14ac:dyDescent="0.25">
      <c r="A7625" s="279">
        <v>39307</v>
      </c>
      <c r="B7625" s="309" t="s">
        <v>405</v>
      </c>
      <c r="C7625" s="309" t="s">
        <v>91</v>
      </c>
      <c r="D7625">
        <v>0</v>
      </c>
    </row>
    <row r="7626" spans="1:4" x14ac:dyDescent="0.25">
      <c r="A7626" s="279">
        <v>39307</v>
      </c>
      <c r="B7626" s="309" t="s">
        <v>405</v>
      </c>
      <c r="C7626" s="309" t="s">
        <v>118</v>
      </c>
      <c r="D7626">
        <v>0</v>
      </c>
    </row>
    <row r="7627" spans="1:4" x14ac:dyDescent="0.25">
      <c r="A7627" s="279">
        <v>39307</v>
      </c>
      <c r="B7627" s="309" t="s">
        <v>405</v>
      </c>
      <c r="C7627" s="309" t="s">
        <v>407</v>
      </c>
      <c r="D7627">
        <v>2751182.1</v>
      </c>
    </row>
    <row r="7628" spans="1:4" x14ac:dyDescent="0.25">
      <c r="A7628" s="279">
        <v>39307</v>
      </c>
      <c r="B7628" s="309" t="s">
        <v>405</v>
      </c>
      <c r="C7628" s="309" t="s">
        <v>408</v>
      </c>
      <c r="D7628">
        <v>1007</v>
      </c>
    </row>
    <row r="7629" spans="1:4" x14ac:dyDescent="0.25">
      <c r="A7629" s="279">
        <v>39307</v>
      </c>
      <c r="B7629" s="309" t="s">
        <v>405</v>
      </c>
      <c r="C7629" s="309" t="s">
        <v>409</v>
      </c>
      <c r="D7629">
        <v>1058</v>
      </c>
    </row>
    <row r="7630" spans="1:4" x14ac:dyDescent="0.25">
      <c r="A7630" s="279">
        <v>39307</v>
      </c>
      <c r="B7630" s="309" t="s">
        <v>405</v>
      </c>
      <c r="C7630" s="309" t="s">
        <v>410</v>
      </c>
      <c r="D7630">
        <v>1046</v>
      </c>
    </row>
    <row r="7631" spans="1:4" x14ac:dyDescent="0.25">
      <c r="A7631" s="279">
        <v>39307</v>
      </c>
      <c r="B7631" s="309" t="s">
        <v>411</v>
      </c>
      <c r="C7631" s="309" t="s">
        <v>406</v>
      </c>
      <c r="D7631">
        <v>158715</v>
      </c>
    </row>
    <row r="7632" spans="1:4" x14ac:dyDescent="0.25">
      <c r="A7632" s="279">
        <v>39307</v>
      </c>
      <c r="B7632" s="309" t="s">
        <v>411</v>
      </c>
      <c r="C7632" s="309" t="s">
        <v>198</v>
      </c>
      <c r="D7632">
        <v>0</v>
      </c>
    </row>
    <row r="7633" spans="1:4" x14ac:dyDescent="0.25">
      <c r="A7633" s="279">
        <v>39307</v>
      </c>
      <c r="B7633" s="309" t="s">
        <v>411</v>
      </c>
      <c r="C7633" s="309" t="s">
        <v>199</v>
      </c>
      <c r="D7633">
        <v>0</v>
      </c>
    </row>
    <row r="7634" spans="1:4" x14ac:dyDescent="0.25">
      <c r="A7634" s="279">
        <v>39307</v>
      </c>
      <c r="B7634" s="309" t="s">
        <v>411</v>
      </c>
      <c r="C7634" s="309" t="s">
        <v>90</v>
      </c>
      <c r="D7634">
        <v>195</v>
      </c>
    </row>
    <row r="7635" spans="1:4" x14ac:dyDescent="0.25">
      <c r="A7635" s="279">
        <v>39307</v>
      </c>
      <c r="B7635" s="309" t="s">
        <v>411</v>
      </c>
      <c r="C7635" s="309" t="s">
        <v>24</v>
      </c>
      <c r="D7635">
        <v>0</v>
      </c>
    </row>
    <row r="7636" spans="1:4" x14ac:dyDescent="0.25">
      <c r="A7636" s="279">
        <v>39307</v>
      </c>
      <c r="B7636" s="309" t="s">
        <v>411</v>
      </c>
      <c r="C7636" s="309" t="s">
        <v>91</v>
      </c>
      <c r="D7636">
        <v>0</v>
      </c>
    </row>
    <row r="7637" spans="1:4" x14ac:dyDescent="0.25">
      <c r="A7637" s="279">
        <v>39307</v>
      </c>
      <c r="B7637" s="309" t="s">
        <v>411</v>
      </c>
      <c r="C7637" s="309" t="s">
        <v>118</v>
      </c>
      <c r="D7637">
        <v>0</v>
      </c>
    </row>
    <row r="7638" spans="1:4" x14ac:dyDescent="0.25">
      <c r="A7638" s="279">
        <v>39307</v>
      </c>
      <c r="B7638" s="309" t="s">
        <v>411</v>
      </c>
      <c r="C7638" s="309" t="s">
        <v>407</v>
      </c>
      <c r="D7638">
        <v>158520</v>
      </c>
    </row>
    <row r="7639" spans="1:4" x14ac:dyDescent="0.25">
      <c r="A7639" s="279">
        <v>39307</v>
      </c>
      <c r="B7639" s="309" t="s">
        <v>411</v>
      </c>
      <c r="C7639" s="309" t="s">
        <v>412</v>
      </c>
      <c r="D7639">
        <v>1007</v>
      </c>
    </row>
    <row r="7640" spans="1:4" x14ac:dyDescent="0.25">
      <c r="A7640" s="279">
        <v>39307</v>
      </c>
      <c r="B7640" s="309" t="s">
        <v>411</v>
      </c>
      <c r="C7640" s="309" t="s">
        <v>409</v>
      </c>
      <c r="D7640">
        <v>1049</v>
      </c>
    </row>
    <row r="7641" spans="1:4" x14ac:dyDescent="0.25">
      <c r="A7641" s="279">
        <v>39308</v>
      </c>
      <c r="B7641" s="309" t="s">
        <v>405</v>
      </c>
      <c r="C7641" s="309" t="s">
        <v>406</v>
      </c>
      <c r="D7641">
        <v>2751182.1</v>
      </c>
    </row>
    <row r="7642" spans="1:4" x14ac:dyDescent="0.25">
      <c r="A7642" s="279">
        <v>39308</v>
      </c>
      <c r="B7642" s="309" t="s">
        <v>405</v>
      </c>
      <c r="C7642" s="309" t="s">
        <v>89</v>
      </c>
      <c r="D7642">
        <v>0</v>
      </c>
    </row>
    <row r="7643" spans="1:4" x14ac:dyDescent="0.25">
      <c r="A7643" s="279">
        <v>39308</v>
      </c>
      <c r="B7643" s="309" t="s">
        <v>405</v>
      </c>
      <c r="C7643" s="309" t="s">
        <v>198</v>
      </c>
      <c r="D7643">
        <v>0</v>
      </c>
    </row>
    <row r="7644" spans="1:4" x14ac:dyDescent="0.25">
      <c r="A7644" s="279">
        <v>39308</v>
      </c>
      <c r="B7644" s="309" t="s">
        <v>405</v>
      </c>
      <c r="C7644" s="309" t="s">
        <v>199</v>
      </c>
      <c r="D7644">
        <v>0</v>
      </c>
    </row>
    <row r="7645" spans="1:4" x14ac:dyDescent="0.25">
      <c r="A7645" s="279">
        <v>39308</v>
      </c>
      <c r="B7645" s="309" t="s">
        <v>405</v>
      </c>
      <c r="C7645" s="309" t="s">
        <v>90</v>
      </c>
      <c r="D7645">
        <v>1869</v>
      </c>
    </row>
    <row r="7646" spans="1:4" x14ac:dyDescent="0.25">
      <c r="A7646" s="279">
        <v>39308</v>
      </c>
      <c r="B7646" s="309" t="s">
        <v>405</v>
      </c>
      <c r="C7646" s="309" t="s">
        <v>24</v>
      </c>
      <c r="D7646">
        <v>0</v>
      </c>
    </row>
    <row r="7647" spans="1:4" x14ac:dyDescent="0.25">
      <c r="A7647" s="279">
        <v>39308</v>
      </c>
      <c r="B7647" s="309" t="s">
        <v>405</v>
      </c>
      <c r="C7647" s="309" t="s">
        <v>91</v>
      </c>
      <c r="D7647">
        <v>0</v>
      </c>
    </row>
    <row r="7648" spans="1:4" x14ac:dyDescent="0.25">
      <c r="A7648" s="279">
        <v>39308</v>
      </c>
      <c r="B7648" s="309" t="s">
        <v>405</v>
      </c>
      <c r="C7648" s="309" t="s">
        <v>118</v>
      </c>
      <c r="D7648">
        <v>0</v>
      </c>
    </row>
    <row r="7649" spans="1:4" x14ac:dyDescent="0.25">
      <c r="A7649" s="279">
        <v>39308</v>
      </c>
      <c r="B7649" s="309" t="s">
        <v>405</v>
      </c>
      <c r="C7649" s="309" t="s">
        <v>407</v>
      </c>
      <c r="D7649">
        <v>2749313.1</v>
      </c>
    </row>
    <row r="7650" spans="1:4" x14ac:dyDescent="0.25">
      <c r="A7650" s="279">
        <v>39308</v>
      </c>
      <c r="B7650" s="309" t="s">
        <v>405</v>
      </c>
      <c r="C7650" s="309" t="s">
        <v>408</v>
      </c>
      <c r="D7650">
        <v>1007</v>
      </c>
    </row>
    <row r="7651" spans="1:4" x14ac:dyDescent="0.25">
      <c r="A7651" s="279">
        <v>39308</v>
      </c>
      <c r="B7651" s="309" t="s">
        <v>405</v>
      </c>
      <c r="C7651" s="309" t="s">
        <v>409</v>
      </c>
      <c r="D7651">
        <v>1058</v>
      </c>
    </row>
    <row r="7652" spans="1:4" x14ac:dyDescent="0.25">
      <c r="A7652" s="279">
        <v>39308</v>
      </c>
      <c r="B7652" s="309" t="s">
        <v>405</v>
      </c>
      <c r="C7652" s="309" t="s">
        <v>410</v>
      </c>
      <c r="D7652">
        <v>1033</v>
      </c>
    </row>
    <row r="7653" spans="1:4" x14ac:dyDescent="0.25">
      <c r="A7653" s="279">
        <v>39308</v>
      </c>
      <c r="B7653" s="309" t="s">
        <v>411</v>
      </c>
      <c r="C7653" s="309" t="s">
        <v>406</v>
      </c>
      <c r="D7653">
        <v>158520</v>
      </c>
    </row>
    <row r="7654" spans="1:4" x14ac:dyDescent="0.25">
      <c r="A7654" s="279">
        <v>39308</v>
      </c>
      <c r="B7654" s="309" t="s">
        <v>411</v>
      </c>
      <c r="C7654" s="309" t="s">
        <v>198</v>
      </c>
      <c r="D7654">
        <v>0</v>
      </c>
    </row>
    <row r="7655" spans="1:4" x14ac:dyDescent="0.25">
      <c r="A7655" s="279">
        <v>39308</v>
      </c>
      <c r="B7655" s="309" t="s">
        <v>411</v>
      </c>
      <c r="C7655" s="309" t="s">
        <v>199</v>
      </c>
      <c r="D7655">
        <v>0</v>
      </c>
    </row>
    <row r="7656" spans="1:4" x14ac:dyDescent="0.25">
      <c r="A7656" s="279">
        <v>39308</v>
      </c>
      <c r="B7656" s="309" t="s">
        <v>411</v>
      </c>
      <c r="C7656" s="309" t="s">
        <v>90</v>
      </c>
      <c r="D7656">
        <v>76</v>
      </c>
    </row>
    <row r="7657" spans="1:4" x14ac:dyDescent="0.25">
      <c r="A7657" s="279">
        <v>39308</v>
      </c>
      <c r="B7657" s="309" t="s">
        <v>411</v>
      </c>
      <c r="C7657" s="309" t="s">
        <v>24</v>
      </c>
      <c r="D7657">
        <v>0</v>
      </c>
    </row>
    <row r="7658" spans="1:4" x14ac:dyDescent="0.25">
      <c r="A7658" s="279">
        <v>39308</v>
      </c>
      <c r="B7658" s="309" t="s">
        <v>411</v>
      </c>
      <c r="C7658" s="309" t="s">
        <v>91</v>
      </c>
      <c r="D7658">
        <v>0</v>
      </c>
    </row>
    <row r="7659" spans="1:4" x14ac:dyDescent="0.25">
      <c r="A7659" s="279">
        <v>39308</v>
      </c>
      <c r="B7659" s="309" t="s">
        <v>411</v>
      </c>
      <c r="C7659" s="309" t="s">
        <v>118</v>
      </c>
      <c r="D7659">
        <v>0</v>
      </c>
    </row>
    <row r="7660" spans="1:4" x14ac:dyDescent="0.25">
      <c r="A7660" s="279">
        <v>39308</v>
      </c>
      <c r="B7660" s="309" t="s">
        <v>411</v>
      </c>
      <c r="C7660" s="309" t="s">
        <v>407</v>
      </c>
      <c r="D7660">
        <v>158444</v>
      </c>
    </row>
    <row r="7661" spans="1:4" x14ac:dyDescent="0.25">
      <c r="A7661" s="279">
        <v>39308</v>
      </c>
      <c r="B7661" s="309" t="s">
        <v>411</v>
      </c>
      <c r="C7661" s="309" t="s">
        <v>412</v>
      </c>
      <c r="D7661">
        <v>1007</v>
      </c>
    </row>
    <row r="7662" spans="1:4" x14ac:dyDescent="0.25">
      <c r="A7662" s="279">
        <v>39308</v>
      </c>
      <c r="B7662" s="309" t="s">
        <v>411</v>
      </c>
      <c r="C7662" s="309" t="s">
        <v>409</v>
      </c>
      <c r="D7662">
        <v>1049</v>
      </c>
    </row>
    <row r="7663" spans="1:4" x14ac:dyDescent="0.25">
      <c r="A7663" s="279">
        <v>39309</v>
      </c>
      <c r="B7663" s="309" t="s">
        <v>405</v>
      </c>
      <c r="C7663" s="309" t="s">
        <v>406</v>
      </c>
      <c r="D7663">
        <v>2749313.1</v>
      </c>
    </row>
    <row r="7664" spans="1:4" x14ac:dyDescent="0.25">
      <c r="A7664" s="279">
        <v>39309</v>
      </c>
      <c r="B7664" s="309" t="s">
        <v>405</v>
      </c>
      <c r="C7664" s="309" t="s">
        <v>89</v>
      </c>
      <c r="D7664">
        <v>0</v>
      </c>
    </row>
    <row r="7665" spans="1:4" x14ac:dyDescent="0.25">
      <c r="A7665" s="279">
        <v>39309</v>
      </c>
      <c r="B7665" s="309" t="s">
        <v>405</v>
      </c>
      <c r="C7665" s="309" t="s">
        <v>198</v>
      </c>
      <c r="D7665">
        <v>0</v>
      </c>
    </row>
    <row r="7666" spans="1:4" x14ac:dyDescent="0.25">
      <c r="A7666" s="279">
        <v>39309</v>
      </c>
      <c r="B7666" s="309" t="s">
        <v>405</v>
      </c>
      <c r="C7666" s="309" t="s">
        <v>199</v>
      </c>
      <c r="D7666">
        <v>0</v>
      </c>
    </row>
    <row r="7667" spans="1:4" x14ac:dyDescent="0.25">
      <c r="A7667" s="279">
        <v>39309</v>
      </c>
      <c r="B7667" s="309" t="s">
        <v>405</v>
      </c>
      <c r="C7667" s="309" t="s">
        <v>90</v>
      </c>
      <c r="D7667">
        <v>2135</v>
      </c>
    </row>
    <row r="7668" spans="1:4" x14ac:dyDescent="0.25">
      <c r="A7668" s="279">
        <v>39309</v>
      </c>
      <c r="B7668" s="309" t="s">
        <v>405</v>
      </c>
      <c r="C7668" s="309" t="s">
        <v>24</v>
      </c>
      <c r="D7668">
        <v>0</v>
      </c>
    </row>
    <row r="7669" spans="1:4" x14ac:dyDescent="0.25">
      <c r="A7669" s="279">
        <v>39309</v>
      </c>
      <c r="B7669" s="309" t="s">
        <v>405</v>
      </c>
      <c r="C7669" s="309" t="s">
        <v>91</v>
      </c>
      <c r="D7669">
        <v>0</v>
      </c>
    </row>
    <row r="7670" spans="1:4" x14ac:dyDescent="0.25">
      <c r="A7670" s="279">
        <v>39309</v>
      </c>
      <c r="B7670" s="309" t="s">
        <v>405</v>
      </c>
      <c r="C7670" s="309" t="s">
        <v>118</v>
      </c>
      <c r="D7670">
        <v>0</v>
      </c>
    </row>
    <row r="7671" spans="1:4" x14ac:dyDescent="0.25">
      <c r="A7671" s="279">
        <v>39309</v>
      </c>
      <c r="B7671" s="309" t="s">
        <v>405</v>
      </c>
      <c r="C7671" s="309" t="s">
        <v>407</v>
      </c>
      <c r="D7671">
        <v>2747178.1</v>
      </c>
    </row>
    <row r="7672" spans="1:4" x14ac:dyDescent="0.25">
      <c r="A7672" s="279">
        <v>39309</v>
      </c>
      <c r="B7672" s="309" t="s">
        <v>405</v>
      </c>
      <c r="C7672" s="309" t="s">
        <v>408</v>
      </c>
      <c r="D7672">
        <v>1007</v>
      </c>
    </row>
    <row r="7673" spans="1:4" x14ac:dyDescent="0.25">
      <c r="A7673" s="279">
        <v>39309</v>
      </c>
      <c r="B7673" s="309" t="s">
        <v>405</v>
      </c>
      <c r="C7673" s="309" t="s">
        <v>409</v>
      </c>
      <c r="D7673">
        <v>1058</v>
      </c>
    </row>
    <row r="7674" spans="1:4" x14ac:dyDescent="0.25">
      <c r="A7674" s="279">
        <v>39309</v>
      </c>
      <c r="B7674" s="309" t="s">
        <v>405</v>
      </c>
      <c r="C7674" s="309" t="s">
        <v>410</v>
      </c>
      <c r="D7674">
        <v>1048</v>
      </c>
    </row>
    <row r="7675" spans="1:4" x14ac:dyDescent="0.25">
      <c r="A7675" s="279">
        <v>39309</v>
      </c>
      <c r="B7675" s="309" t="s">
        <v>411</v>
      </c>
      <c r="C7675" s="309" t="s">
        <v>406</v>
      </c>
      <c r="D7675">
        <v>158444</v>
      </c>
    </row>
    <row r="7676" spans="1:4" x14ac:dyDescent="0.25">
      <c r="A7676" s="279">
        <v>39309</v>
      </c>
      <c r="B7676" s="309" t="s">
        <v>411</v>
      </c>
      <c r="C7676" s="309" t="s">
        <v>198</v>
      </c>
      <c r="D7676">
        <v>0</v>
      </c>
    </row>
    <row r="7677" spans="1:4" x14ac:dyDescent="0.25">
      <c r="A7677" s="279">
        <v>39309</v>
      </c>
      <c r="B7677" s="309" t="s">
        <v>411</v>
      </c>
      <c r="C7677" s="309" t="s">
        <v>199</v>
      </c>
      <c r="D7677">
        <v>0</v>
      </c>
    </row>
    <row r="7678" spans="1:4" x14ac:dyDescent="0.25">
      <c r="A7678" s="279">
        <v>39309</v>
      </c>
      <c r="B7678" s="309" t="s">
        <v>411</v>
      </c>
      <c r="C7678" s="309" t="s">
        <v>90</v>
      </c>
      <c r="D7678">
        <v>83</v>
      </c>
    </row>
    <row r="7679" spans="1:4" x14ac:dyDescent="0.25">
      <c r="A7679" s="279">
        <v>39309</v>
      </c>
      <c r="B7679" s="309" t="s">
        <v>411</v>
      </c>
      <c r="C7679" s="309" t="s">
        <v>24</v>
      </c>
      <c r="D7679">
        <v>0</v>
      </c>
    </row>
    <row r="7680" spans="1:4" x14ac:dyDescent="0.25">
      <c r="A7680" s="279">
        <v>39309</v>
      </c>
      <c r="B7680" s="309" t="s">
        <v>411</v>
      </c>
      <c r="C7680" s="309" t="s">
        <v>91</v>
      </c>
      <c r="D7680">
        <v>0</v>
      </c>
    </row>
    <row r="7681" spans="1:4" x14ac:dyDescent="0.25">
      <c r="A7681" s="279">
        <v>39309</v>
      </c>
      <c r="B7681" s="309" t="s">
        <v>411</v>
      </c>
      <c r="C7681" s="309" t="s">
        <v>118</v>
      </c>
      <c r="D7681">
        <v>0</v>
      </c>
    </row>
    <row r="7682" spans="1:4" x14ac:dyDescent="0.25">
      <c r="A7682" s="279">
        <v>39309</v>
      </c>
      <c r="B7682" s="309" t="s">
        <v>411</v>
      </c>
      <c r="C7682" s="309" t="s">
        <v>407</v>
      </c>
      <c r="D7682">
        <v>158361</v>
      </c>
    </row>
    <row r="7683" spans="1:4" x14ac:dyDescent="0.25">
      <c r="A7683" s="279">
        <v>39309</v>
      </c>
      <c r="B7683" s="309" t="s">
        <v>411</v>
      </c>
      <c r="C7683" s="309" t="s">
        <v>412</v>
      </c>
      <c r="D7683">
        <v>1007</v>
      </c>
    </row>
    <row r="7684" spans="1:4" x14ac:dyDescent="0.25">
      <c r="A7684" s="279">
        <v>39309</v>
      </c>
      <c r="B7684" s="309" t="s">
        <v>411</v>
      </c>
      <c r="C7684" s="309" t="s">
        <v>409</v>
      </c>
      <c r="D7684">
        <v>1049</v>
      </c>
    </row>
    <row r="7685" spans="1:4" x14ac:dyDescent="0.25">
      <c r="A7685" s="279">
        <v>39310</v>
      </c>
      <c r="B7685" s="309" t="s">
        <v>405</v>
      </c>
      <c r="C7685" s="309" t="s">
        <v>406</v>
      </c>
      <c r="D7685">
        <v>2747178.1</v>
      </c>
    </row>
    <row r="7686" spans="1:4" x14ac:dyDescent="0.25">
      <c r="A7686" s="279">
        <v>39310</v>
      </c>
      <c r="B7686" s="309" t="s">
        <v>405</v>
      </c>
      <c r="C7686" s="309" t="s">
        <v>89</v>
      </c>
      <c r="D7686">
        <v>0</v>
      </c>
    </row>
    <row r="7687" spans="1:4" x14ac:dyDescent="0.25">
      <c r="A7687" s="279">
        <v>39310</v>
      </c>
      <c r="B7687" s="309" t="s">
        <v>405</v>
      </c>
      <c r="C7687" s="309" t="s">
        <v>198</v>
      </c>
      <c r="D7687">
        <v>0</v>
      </c>
    </row>
    <row r="7688" spans="1:4" x14ac:dyDescent="0.25">
      <c r="A7688" s="279">
        <v>39310</v>
      </c>
      <c r="B7688" s="309" t="s">
        <v>405</v>
      </c>
      <c r="C7688" s="309" t="s">
        <v>199</v>
      </c>
      <c r="D7688">
        <v>0</v>
      </c>
    </row>
    <row r="7689" spans="1:4" x14ac:dyDescent="0.25">
      <c r="A7689" s="279">
        <v>39310</v>
      </c>
      <c r="B7689" s="309" t="s">
        <v>405</v>
      </c>
      <c r="C7689" s="309" t="s">
        <v>90</v>
      </c>
      <c r="D7689">
        <v>2134</v>
      </c>
    </row>
    <row r="7690" spans="1:4" x14ac:dyDescent="0.25">
      <c r="A7690" s="279">
        <v>39310</v>
      </c>
      <c r="B7690" s="309" t="s">
        <v>405</v>
      </c>
      <c r="C7690" s="309" t="s">
        <v>24</v>
      </c>
      <c r="D7690">
        <v>0</v>
      </c>
    </row>
    <row r="7691" spans="1:4" x14ac:dyDescent="0.25">
      <c r="A7691" s="279">
        <v>39310</v>
      </c>
      <c r="B7691" s="309" t="s">
        <v>405</v>
      </c>
      <c r="C7691" s="309" t="s">
        <v>91</v>
      </c>
      <c r="D7691">
        <v>0</v>
      </c>
    </row>
    <row r="7692" spans="1:4" x14ac:dyDescent="0.25">
      <c r="A7692" s="279">
        <v>39310</v>
      </c>
      <c r="B7692" s="309" t="s">
        <v>405</v>
      </c>
      <c r="C7692" s="309" t="s">
        <v>118</v>
      </c>
      <c r="D7692">
        <v>0</v>
      </c>
    </row>
    <row r="7693" spans="1:4" x14ac:dyDescent="0.25">
      <c r="A7693" s="279">
        <v>39310</v>
      </c>
      <c r="B7693" s="309" t="s">
        <v>405</v>
      </c>
      <c r="C7693" s="309" t="s">
        <v>407</v>
      </c>
      <c r="D7693">
        <v>2745044.1</v>
      </c>
    </row>
    <row r="7694" spans="1:4" x14ac:dyDescent="0.25">
      <c r="A7694" s="279">
        <v>39310</v>
      </c>
      <c r="B7694" s="309" t="s">
        <v>405</v>
      </c>
      <c r="C7694" s="309" t="s">
        <v>408</v>
      </c>
      <c r="D7694">
        <v>1007</v>
      </c>
    </row>
    <row r="7695" spans="1:4" x14ac:dyDescent="0.25">
      <c r="A7695" s="279">
        <v>39310</v>
      </c>
      <c r="B7695" s="309" t="s">
        <v>405</v>
      </c>
      <c r="C7695" s="309" t="s">
        <v>409</v>
      </c>
      <c r="D7695">
        <v>1058</v>
      </c>
    </row>
    <row r="7696" spans="1:4" x14ac:dyDescent="0.25">
      <c r="A7696" s="279">
        <v>39310</v>
      </c>
      <c r="B7696" s="309" t="s">
        <v>405</v>
      </c>
      <c r="C7696" s="309" t="s">
        <v>410</v>
      </c>
      <c r="D7696">
        <v>1032</v>
      </c>
    </row>
    <row r="7697" spans="1:4" x14ac:dyDescent="0.25">
      <c r="A7697" s="279">
        <v>39310</v>
      </c>
      <c r="B7697" s="309" t="s">
        <v>411</v>
      </c>
      <c r="C7697" s="309" t="s">
        <v>406</v>
      </c>
      <c r="D7697">
        <v>158361</v>
      </c>
    </row>
    <row r="7698" spans="1:4" x14ac:dyDescent="0.25">
      <c r="A7698" s="279">
        <v>39310</v>
      </c>
      <c r="B7698" s="309" t="s">
        <v>411</v>
      </c>
      <c r="C7698" s="309" t="s">
        <v>198</v>
      </c>
      <c r="D7698">
        <v>0</v>
      </c>
    </row>
    <row r="7699" spans="1:4" x14ac:dyDescent="0.25">
      <c r="A7699" s="279">
        <v>39310</v>
      </c>
      <c r="B7699" s="309" t="s">
        <v>411</v>
      </c>
      <c r="C7699" s="309" t="s">
        <v>199</v>
      </c>
      <c r="D7699">
        <v>0</v>
      </c>
    </row>
    <row r="7700" spans="1:4" x14ac:dyDescent="0.25">
      <c r="A7700" s="279">
        <v>39310</v>
      </c>
      <c r="B7700" s="309" t="s">
        <v>411</v>
      </c>
      <c r="C7700" s="309" t="s">
        <v>90</v>
      </c>
      <c r="D7700">
        <v>117</v>
      </c>
    </row>
    <row r="7701" spans="1:4" x14ac:dyDescent="0.25">
      <c r="A7701" s="279">
        <v>39310</v>
      </c>
      <c r="B7701" s="309" t="s">
        <v>411</v>
      </c>
      <c r="C7701" s="309" t="s">
        <v>24</v>
      </c>
      <c r="D7701">
        <v>0</v>
      </c>
    </row>
    <row r="7702" spans="1:4" x14ac:dyDescent="0.25">
      <c r="A7702" s="279">
        <v>39310</v>
      </c>
      <c r="B7702" s="309" t="s">
        <v>411</v>
      </c>
      <c r="C7702" s="309" t="s">
        <v>91</v>
      </c>
      <c r="D7702">
        <v>0</v>
      </c>
    </row>
    <row r="7703" spans="1:4" x14ac:dyDescent="0.25">
      <c r="A7703" s="279">
        <v>39310</v>
      </c>
      <c r="B7703" s="309" t="s">
        <v>411</v>
      </c>
      <c r="C7703" s="309" t="s">
        <v>118</v>
      </c>
      <c r="D7703">
        <v>0</v>
      </c>
    </row>
    <row r="7704" spans="1:4" x14ac:dyDescent="0.25">
      <c r="A7704" s="279">
        <v>39310</v>
      </c>
      <c r="B7704" s="309" t="s">
        <v>411</v>
      </c>
      <c r="C7704" s="309" t="s">
        <v>407</v>
      </c>
      <c r="D7704">
        <v>158244</v>
      </c>
    </row>
    <row r="7705" spans="1:4" x14ac:dyDescent="0.25">
      <c r="A7705" s="279">
        <v>39310</v>
      </c>
      <c r="B7705" s="309" t="s">
        <v>411</v>
      </c>
      <c r="C7705" s="309" t="s">
        <v>412</v>
      </c>
      <c r="D7705">
        <v>1007</v>
      </c>
    </row>
    <row r="7706" spans="1:4" x14ac:dyDescent="0.25">
      <c r="A7706" s="279">
        <v>39310</v>
      </c>
      <c r="B7706" s="309" t="s">
        <v>411</v>
      </c>
      <c r="C7706" s="309" t="s">
        <v>409</v>
      </c>
      <c r="D7706">
        <v>1049</v>
      </c>
    </row>
    <row r="7707" spans="1:4" x14ac:dyDescent="0.25">
      <c r="A7707" s="279">
        <v>39311</v>
      </c>
      <c r="B7707" s="309" t="s">
        <v>405</v>
      </c>
      <c r="C7707" s="309" t="s">
        <v>406</v>
      </c>
      <c r="D7707">
        <v>2745044.1</v>
      </c>
    </row>
    <row r="7708" spans="1:4" x14ac:dyDescent="0.25">
      <c r="A7708" s="279">
        <v>39311</v>
      </c>
      <c r="B7708" s="309" t="s">
        <v>405</v>
      </c>
      <c r="C7708" s="309" t="s">
        <v>89</v>
      </c>
      <c r="D7708">
        <v>0</v>
      </c>
    </row>
    <row r="7709" spans="1:4" x14ac:dyDescent="0.25">
      <c r="A7709" s="279">
        <v>39311</v>
      </c>
      <c r="B7709" s="309" t="s">
        <v>405</v>
      </c>
      <c r="C7709" s="309" t="s">
        <v>198</v>
      </c>
      <c r="D7709">
        <v>0</v>
      </c>
    </row>
    <row r="7710" spans="1:4" x14ac:dyDescent="0.25">
      <c r="A7710" s="279">
        <v>39311</v>
      </c>
      <c r="B7710" s="309" t="s">
        <v>405</v>
      </c>
      <c r="C7710" s="309" t="s">
        <v>199</v>
      </c>
      <c r="D7710">
        <v>0</v>
      </c>
    </row>
    <row r="7711" spans="1:4" x14ac:dyDescent="0.25">
      <c r="A7711" s="279">
        <v>39311</v>
      </c>
      <c r="B7711" s="309" t="s">
        <v>405</v>
      </c>
      <c r="C7711" s="309" t="s">
        <v>90</v>
      </c>
      <c r="D7711">
        <v>1601</v>
      </c>
    </row>
    <row r="7712" spans="1:4" x14ac:dyDescent="0.25">
      <c r="A7712" s="279">
        <v>39311</v>
      </c>
      <c r="B7712" s="309" t="s">
        <v>405</v>
      </c>
      <c r="C7712" s="309" t="s">
        <v>24</v>
      </c>
      <c r="D7712">
        <v>0</v>
      </c>
    </row>
    <row r="7713" spans="1:4" x14ac:dyDescent="0.25">
      <c r="A7713" s="279">
        <v>39311</v>
      </c>
      <c r="B7713" s="309" t="s">
        <v>405</v>
      </c>
      <c r="C7713" s="309" t="s">
        <v>91</v>
      </c>
      <c r="D7713">
        <v>0</v>
      </c>
    </row>
    <row r="7714" spans="1:4" x14ac:dyDescent="0.25">
      <c r="A7714" s="279">
        <v>39311</v>
      </c>
      <c r="B7714" s="309" t="s">
        <v>405</v>
      </c>
      <c r="C7714" s="309" t="s">
        <v>118</v>
      </c>
      <c r="D7714">
        <v>0</v>
      </c>
    </row>
    <row r="7715" spans="1:4" x14ac:dyDescent="0.25">
      <c r="A7715" s="279">
        <v>39311</v>
      </c>
      <c r="B7715" s="309" t="s">
        <v>405</v>
      </c>
      <c r="C7715" s="309" t="s">
        <v>407</v>
      </c>
      <c r="D7715">
        <v>2743443.1</v>
      </c>
    </row>
    <row r="7716" spans="1:4" x14ac:dyDescent="0.25">
      <c r="A7716" s="279">
        <v>39311</v>
      </c>
      <c r="B7716" s="309" t="s">
        <v>405</v>
      </c>
      <c r="C7716" s="309" t="s">
        <v>408</v>
      </c>
      <c r="D7716">
        <v>1007</v>
      </c>
    </row>
    <row r="7717" spans="1:4" x14ac:dyDescent="0.25">
      <c r="A7717" s="279">
        <v>39311</v>
      </c>
      <c r="B7717" s="309" t="s">
        <v>405</v>
      </c>
      <c r="C7717" s="309" t="s">
        <v>409</v>
      </c>
      <c r="D7717">
        <v>1058</v>
      </c>
    </row>
    <row r="7718" spans="1:4" x14ac:dyDescent="0.25">
      <c r="A7718" s="279">
        <v>39311</v>
      </c>
      <c r="B7718" s="309" t="s">
        <v>405</v>
      </c>
      <c r="C7718" s="309" t="s">
        <v>410</v>
      </c>
      <c r="D7718">
        <v>1048</v>
      </c>
    </row>
    <row r="7719" spans="1:4" x14ac:dyDescent="0.25">
      <c r="A7719" s="279">
        <v>39311</v>
      </c>
      <c r="B7719" s="309" t="s">
        <v>411</v>
      </c>
      <c r="C7719" s="309" t="s">
        <v>406</v>
      </c>
      <c r="D7719">
        <v>158244</v>
      </c>
    </row>
    <row r="7720" spans="1:4" x14ac:dyDescent="0.25">
      <c r="A7720" s="279">
        <v>39311</v>
      </c>
      <c r="B7720" s="309" t="s">
        <v>411</v>
      </c>
      <c r="C7720" s="309" t="s">
        <v>198</v>
      </c>
      <c r="D7720">
        <v>0</v>
      </c>
    </row>
    <row r="7721" spans="1:4" x14ac:dyDescent="0.25">
      <c r="A7721" s="279">
        <v>39311</v>
      </c>
      <c r="B7721" s="309" t="s">
        <v>411</v>
      </c>
      <c r="C7721" s="309" t="s">
        <v>199</v>
      </c>
      <c r="D7721">
        <v>0</v>
      </c>
    </row>
    <row r="7722" spans="1:4" x14ac:dyDescent="0.25">
      <c r="A7722" s="279">
        <v>39311</v>
      </c>
      <c r="B7722" s="309" t="s">
        <v>411</v>
      </c>
      <c r="C7722" s="309" t="s">
        <v>90</v>
      </c>
      <c r="D7722">
        <v>75</v>
      </c>
    </row>
    <row r="7723" spans="1:4" x14ac:dyDescent="0.25">
      <c r="A7723" s="279">
        <v>39311</v>
      </c>
      <c r="B7723" s="309" t="s">
        <v>411</v>
      </c>
      <c r="C7723" s="309" t="s">
        <v>24</v>
      </c>
      <c r="D7723">
        <v>0</v>
      </c>
    </row>
    <row r="7724" spans="1:4" x14ac:dyDescent="0.25">
      <c r="A7724" s="279">
        <v>39311</v>
      </c>
      <c r="B7724" s="309" t="s">
        <v>411</v>
      </c>
      <c r="C7724" s="309" t="s">
        <v>91</v>
      </c>
      <c r="D7724">
        <v>0</v>
      </c>
    </row>
    <row r="7725" spans="1:4" x14ac:dyDescent="0.25">
      <c r="A7725" s="279">
        <v>39311</v>
      </c>
      <c r="B7725" s="309" t="s">
        <v>411</v>
      </c>
      <c r="C7725" s="309" t="s">
        <v>118</v>
      </c>
      <c r="D7725">
        <v>0</v>
      </c>
    </row>
    <row r="7726" spans="1:4" x14ac:dyDescent="0.25">
      <c r="A7726" s="279">
        <v>39311</v>
      </c>
      <c r="B7726" s="309" t="s">
        <v>411</v>
      </c>
      <c r="C7726" s="309" t="s">
        <v>407</v>
      </c>
      <c r="D7726">
        <v>158169</v>
      </c>
    </row>
    <row r="7727" spans="1:4" x14ac:dyDescent="0.25">
      <c r="A7727" s="279">
        <v>39311</v>
      </c>
      <c r="B7727" s="309" t="s">
        <v>411</v>
      </c>
      <c r="C7727" s="309" t="s">
        <v>412</v>
      </c>
      <c r="D7727">
        <v>1007</v>
      </c>
    </row>
    <row r="7728" spans="1:4" x14ac:dyDescent="0.25">
      <c r="A7728" s="279">
        <v>39311</v>
      </c>
      <c r="B7728" s="309" t="s">
        <v>411</v>
      </c>
      <c r="C7728" s="309" t="s">
        <v>409</v>
      </c>
      <c r="D7728">
        <v>1049</v>
      </c>
    </row>
    <row r="7729" spans="1:4" x14ac:dyDescent="0.25">
      <c r="A7729" s="279">
        <v>39312</v>
      </c>
      <c r="B7729" s="309" t="s">
        <v>405</v>
      </c>
      <c r="C7729" s="309" t="s">
        <v>406</v>
      </c>
      <c r="D7729">
        <v>2743443.1</v>
      </c>
    </row>
    <row r="7730" spans="1:4" x14ac:dyDescent="0.25">
      <c r="A7730" s="279">
        <v>39312</v>
      </c>
      <c r="B7730" s="309" t="s">
        <v>405</v>
      </c>
      <c r="C7730" s="309" t="s">
        <v>89</v>
      </c>
      <c r="D7730">
        <v>0</v>
      </c>
    </row>
    <row r="7731" spans="1:4" x14ac:dyDescent="0.25">
      <c r="A7731" s="279">
        <v>39312</v>
      </c>
      <c r="B7731" s="309" t="s">
        <v>405</v>
      </c>
      <c r="C7731" s="309" t="s">
        <v>198</v>
      </c>
      <c r="D7731">
        <v>0</v>
      </c>
    </row>
    <row r="7732" spans="1:4" x14ac:dyDescent="0.25">
      <c r="A7732" s="279">
        <v>39312</v>
      </c>
      <c r="B7732" s="309" t="s">
        <v>405</v>
      </c>
      <c r="C7732" s="309" t="s">
        <v>199</v>
      </c>
      <c r="D7732">
        <v>0</v>
      </c>
    </row>
    <row r="7733" spans="1:4" x14ac:dyDescent="0.25">
      <c r="A7733" s="279">
        <v>39312</v>
      </c>
      <c r="B7733" s="309" t="s">
        <v>405</v>
      </c>
      <c r="C7733" s="309" t="s">
        <v>90</v>
      </c>
      <c r="D7733">
        <v>534</v>
      </c>
    </row>
    <row r="7734" spans="1:4" x14ac:dyDescent="0.25">
      <c r="A7734" s="279">
        <v>39312</v>
      </c>
      <c r="B7734" s="309" t="s">
        <v>405</v>
      </c>
      <c r="C7734" s="309" t="s">
        <v>24</v>
      </c>
      <c r="D7734">
        <v>0</v>
      </c>
    </row>
    <row r="7735" spans="1:4" x14ac:dyDescent="0.25">
      <c r="A7735" s="279">
        <v>39312</v>
      </c>
      <c r="B7735" s="309" t="s">
        <v>405</v>
      </c>
      <c r="C7735" s="309" t="s">
        <v>91</v>
      </c>
      <c r="D7735">
        <v>0</v>
      </c>
    </row>
    <row r="7736" spans="1:4" x14ac:dyDescent="0.25">
      <c r="A7736" s="279">
        <v>39312</v>
      </c>
      <c r="B7736" s="309" t="s">
        <v>405</v>
      </c>
      <c r="C7736" s="309" t="s">
        <v>118</v>
      </c>
      <c r="D7736">
        <v>0</v>
      </c>
    </row>
    <row r="7737" spans="1:4" x14ac:dyDescent="0.25">
      <c r="A7737" s="279">
        <v>39312</v>
      </c>
      <c r="B7737" s="309" t="s">
        <v>405</v>
      </c>
      <c r="C7737" s="309" t="s">
        <v>407</v>
      </c>
      <c r="D7737">
        <v>2742909.1</v>
      </c>
    </row>
    <row r="7738" spans="1:4" x14ac:dyDescent="0.25">
      <c r="A7738" s="279">
        <v>39312</v>
      </c>
      <c r="B7738" s="309" t="s">
        <v>405</v>
      </c>
      <c r="C7738" s="309" t="s">
        <v>408</v>
      </c>
      <c r="D7738">
        <v>1007</v>
      </c>
    </row>
    <row r="7739" spans="1:4" x14ac:dyDescent="0.25">
      <c r="A7739" s="279">
        <v>39312</v>
      </c>
      <c r="B7739" s="309" t="s">
        <v>405</v>
      </c>
      <c r="C7739" s="309" t="s">
        <v>409</v>
      </c>
      <c r="D7739">
        <v>1058</v>
      </c>
    </row>
    <row r="7740" spans="1:4" x14ac:dyDescent="0.25">
      <c r="A7740" s="279">
        <v>39312</v>
      </c>
      <c r="B7740" s="309" t="s">
        <v>405</v>
      </c>
      <c r="C7740" s="309" t="s">
        <v>410</v>
      </c>
      <c r="D7740">
        <v>1035</v>
      </c>
    </row>
    <row r="7741" spans="1:4" x14ac:dyDescent="0.25">
      <c r="A7741" s="279">
        <v>39312</v>
      </c>
      <c r="B7741" s="309" t="s">
        <v>411</v>
      </c>
      <c r="C7741" s="309" t="s">
        <v>406</v>
      </c>
      <c r="D7741">
        <v>158169</v>
      </c>
    </row>
    <row r="7742" spans="1:4" x14ac:dyDescent="0.25">
      <c r="A7742" s="279">
        <v>39312</v>
      </c>
      <c r="B7742" s="309" t="s">
        <v>411</v>
      </c>
      <c r="C7742" s="309" t="s">
        <v>198</v>
      </c>
      <c r="D7742">
        <v>0</v>
      </c>
    </row>
    <row r="7743" spans="1:4" x14ac:dyDescent="0.25">
      <c r="A7743" s="279">
        <v>39312</v>
      </c>
      <c r="B7743" s="309" t="s">
        <v>411</v>
      </c>
      <c r="C7743" s="309" t="s">
        <v>199</v>
      </c>
      <c r="D7743">
        <v>0</v>
      </c>
    </row>
    <row r="7744" spans="1:4" x14ac:dyDescent="0.25">
      <c r="A7744" s="279">
        <v>39312</v>
      </c>
      <c r="B7744" s="309" t="s">
        <v>411</v>
      </c>
      <c r="C7744" s="309" t="s">
        <v>90</v>
      </c>
      <c r="D7744">
        <v>68</v>
      </c>
    </row>
    <row r="7745" spans="1:4" x14ac:dyDescent="0.25">
      <c r="A7745" s="279">
        <v>39312</v>
      </c>
      <c r="B7745" s="309" t="s">
        <v>411</v>
      </c>
      <c r="C7745" s="309" t="s">
        <v>24</v>
      </c>
      <c r="D7745">
        <v>0</v>
      </c>
    </row>
    <row r="7746" spans="1:4" x14ac:dyDescent="0.25">
      <c r="A7746" s="279">
        <v>39312</v>
      </c>
      <c r="B7746" s="309" t="s">
        <v>411</v>
      </c>
      <c r="C7746" s="309" t="s">
        <v>91</v>
      </c>
      <c r="D7746">
        <v>0</v>
      </c>
    </row>
    <row r="7747" spans="1:4" x14ac:dyDescent="0.25">
      <c r="A7747" s="279">
        <v>39312</v>
      </c>
      <c r="B7747" s="309" t="s">
        <v>411</v>
      </c>
      <c r="C7747" s="309" t="s">
        <v>118</v>
      </c>
      <c r="D7747">
        <v>0</v>
      </c>
    </row>
    <row r="7748" spans="1:4" x14ac:dyDescent="0.25">
      <c r="A7748" s="279">
        <v>39312</v>
      </c>
      <c r="B7748" s="309" t="s">
        <v>411</v>
      </c>
      <c r="C7748" s="309" t="s">
        <v>407</v>
      </c>
      <c r="D7748">
        <v>158101</v>
      </c>
    </row>
    <row r="7749" spans="1:4" x14ac:dyDescent="0.25">
      <c r="A7749" s="279">
        <v>39312</v>
      </c>
      <c r="B7749" s="309" t="s">
        <v>411</v>
      </c>
      <c r="C7749" s="309" t="s">
        <v>412</v>
      </c>
      <c r="D7749">
        <v>1007</v>
      </c>
    </row>
    <row r="7750" spans="1:4" x14ac:dyDescent="0.25">
      <c r="A7750" s="279">
        <v>39312</v>
      </c>
      <c r="B7750" s="309" t="s">
        <v>411</v>
      </c>
      <c r="C7750" s="309" t="s">
        <v>409</v>
      </c>
      <c r="D7750">
        <v>1049</v>
      </c>
    </row>
    <row r="7751" spans="1:4" x14ac:dyDescent="0.25">
      <c r="A7751" s="279">
        <v>39313</v>
      </c>
      <c r="B7751" s="309" t="s">
        <v>405</v>
      </c>
      <c r="C7751" s="309" t="s">
        <v>406</v>
      </c>
      <c r="D7751">
        <v>2742909.1</v>
      </c>
    </row>
    <row r="7752" spans="1:4" x14ac:dyDescent="0.25">
      <c r="A7752" s="279">
        <v>39313</v>
      </c>
      <c r="B7752" s="309" t="s">
        <v>405</v>
      </c>
      <c r="C7752" s="309" t="s">
        <v>89</v>
      </c>
      <c r="D7752">
        <v>0</v>
      </c>
    </row>
    <row r="7753" spans="1:4" x14ac:dyDescent="0.25">
      <c r="A7753" s="279">
        <v>39313</v>
      </c>
      <c r="B7753" s="309" t="s">
        <v>405</v>
      </c>
      <c r="C7753" s="309" t="s">
        <v>198</v>
      </c>
      <c r="D7753">
        <v>0</v>
      </c>
    </row>
    <row r="7754" spans="1:4" x14ac:dyDescent="0.25">
      <c r="A7754" s="279">
        <v>39313</v>
      </c>
      <c r="B7754" s="309" t="s">
        <v>405</v>
      </c>
      <c r="C7754" s="309" t="s">
        <v>199</v>
      </c>
      <c r="D7754">
        <v>0</v>
      </c>
    </row>
    <row r="7755" spans="1:4" x14ac:dyDescent="0.25">
      <c r="A7755" s="279">
        <v>39313</v>
      </c>
      <c r="B7755" s="309" t="s">
        <v>405</v>
      </c>
      <c r="C7755" s="309" t="s">
        <v>90</v>
      </c>
      <c r="D7755">
        <v>1602</v>
      </c>
    </row>
    <row r="7756" spans="1:4" x14ac:dyDescent="0.25">
      <c r="A7756" s="279">
        <v>39313</v>
      </c>
      <c r="B7756" s="309" t="s">
        <v>405</v>
      </c>
      <c r="C7756" s="309" t="s">
        <v>24</v>
      </c>
      <c r="D7756">
        <v>0</v>
      </c>
    </row>
    <row r="7757" spans="1:4" x14ac:dyDescent="0.25">
      <c r="A7757" s="279">
        <v>39313</v>
      </c>
      <c r="B7757" s="309" t="s">
        <v>405</v>
      </c>
      <c r="C7757" s="309" t="s">
        <v>91</v>
      </c>
      <c r="D7757">
        <v>0</v>
      </c>
    </row>
    <row r="7758" spans="1:4" x14ac:dyDescent="0.25">
      <c r="A7758" s="279">
        <v>39313</v>
      </c>
      <c r="B7758" s="309" t="s">
        <v>405</v>
      </c>
      <c r="C7758" s="309" t="s">
        <v>118</v>
      </c>
      <c r="D7758">
        <v>0</v>
      </c>
    </row>
    <row r="7759" spans="1:4" x14ac:dyDescent="0.25">
      <c r="A7759" s="279">
        <v>39313</v>
      </c>
      <c r="B7759" s="309" t="s">
        <v>405</v>
      </c>
      <c r="C7759" s="309" t="s">
        <v>407</v>
      </c>
      <c r="D7759">
        <v>2741307.1</v>
      </c>
    </row>
    <row r="7760" spans="1:4" x14ac:dyDescent="0.25">
      <c r="A7760" s="279">
        <v>39313</v>
      </c>
      <c r="B7760" s="309" t="s">
        <v>405</v>
      </c>
      <c r="C7760" s="309" t="s">
        <v>408</v>
      </c>
      <c r="D7760">
        <v>1007</v>
      </c>
    </row>
    <row r="7761" spans="1:4" x14ac:dyDescent="0.25">
      <c r="A7761" s="279">
        <v>39313</v>
      </c>
      <c r="B7761" s="309" t="s">
        <v>405</v>
      </c>
      <c r="C7761" s="309" t="s">
        <v>409</v>
      </c>
      <c r="D7761">
        <v>1058</v>
      </c>
    </row>
    <row r="7762" spans="1:4" x14ac:dyDescent="0.25">
      <c r="A7762" s="279">
        <v>39313</v>
      </c>
      <c r="B7762" s="309" t="s">
        <v>405</v>
      </c>
      <c r="C7762" s="309" t="s">
        <v>410</v>
      </c>
      <c r="D7762">
        <v>1035</v>
      </c>
    </row>
    <row r="7763" spans="1:4" x14ac:dyDescent="0.25">
      <c r="A7763" s="279">
        <v>39313</v>
      </c>
      <c r="B7763" s="309" t="s">
        <v>411</v>
      </c>
      <c r="C7763" s="309" t="s">
        <v>406</v>
      </c>
      <c r="D7763">
        <v>158101</v>
      </c>
    </row>
    <row r="7764" spans="1:4" x14ac:dyDescent="0.25">
      <c r="A7764" s="279">
        <v>39313</v>
      </c>
      <c r="B7764" s="309" t="s">
        <v>411</v>
      </c>
      <c r="C7764" s="309" t="s">
        <v>198</v>
      </c>
      <c r="D7764">
        <v>0</v>
      </c>
    </row>
    <row r="7765" spans="1:4" x14ac:dyDescent="0.25">
      <c r="A7765" s="279">
        <v>39313</v>
      </c>
      <c r="B7765" s="309" t="s">
        <v>411</v>
      </c>
      <c r="C7765" s="309" t="s">
        <v>199</v>
      </c>
      <c r="D7765">
        <v>0</v>
      </c>
    </row>
    <row r="7766" spans="1:4" x14ac:dyDescent="0.25">
      <c r="A7766" s="279">
        <v>39313</v>
      </c>
      <c r="B7766" s="309" t="s">
        <v>411</v>
      </c>
      <c r="C7766" s="309" t="s">
        <v>90</v>
      </c>
      <c r="D7766">
        <v>71</v>
      </c>
    </row>
    <row r="7767" spans="1:4" x14ac:dyDescent="0.25">
      <c r="A7767" s="279">
        <v>39313</v>
      </c>
      <c r="B7767" s="309" t="s">
        <v>411</v>
      </c>
      <c r="C7767" s="309" t="s">
        <v>24</v>
      </c>
      <c r="D7767">
        <v>0</v>
      </c>
    </row>
    <row r="7768" spans="1:4" x14ac:dyDescent="0.25">
      <c r="A7768" s="279">
        <v>39313</v>
      </c>
      <c r="B7768" s="309" t="s">
        <v>411</v>
      </c>
      <c r="C7768" s="309" t="s">
        <v>91</v>
      </c>
      <c r="D7768">
        <v>0</v>
      </c>
    </row>
    <row r="7769" spans="1:4" x14ac:dyDescent="0.25">
      <c r="A7769" s="279">
        <v>39313</v>
      </c>
      <c r="B7769" s="309" t="s">
        <v>411</v>
      </c>
      <c r="C7769" s="309" t="s">
        <v>118</v>
      </c>
      <c r="D7769">
        <v>0</v>
      </c>
    </row>
    <row r="7770" spans="1:4" x14ac:dyDescent="0.25">
      <c r="A7770" s="279">
        <v>39313</v>
      </c>
      <c r="B7770" s="309" t="s">
        <v>411</v>
      </c>
      <c r="C7770" s="309" t="s">
        <v>407</v>
      </c>
      <c r="D7770">
        <v>158030</v>
      </c>
    </row>
    <row r="7771" spans="1:4" x14ac:dyDescent="0.25">
      <c r="A7771" s="279">
        <v>39313</v>
      </c>
      <c r="B7771" s="309" t="s">
        <v>411</v>
      </c>
      <c r="C7771" s="309" t="s">
        <v>412</v>
      </c>
      <c r="D7771">
        <v>1007</v>
      </c>
    </row>
    <row r="7772" spans="1:4" x14ac:dyDescent="0.25">
      <c r="A7772" s="279">
        <v>39313</v>
      </c>
      <c r="B7772" s="309" t="s">
        <v>411</v>
      </c>
      <c r="C7772" s="309" t="s">
        <v>409</v>
      </c>
      <c r="D7772">
        <v>1049</v>
      </c>
    </row>
    <row r="7773" spans="1:4" x14ac:dyDescent="0.25">
      <c r="A7773" s="279">
        <v>39314</v>
      </c>
      <c r="B7773" s="309" t="s">
        <v>405</v>
      </c>
      <c r="C7773" s="309" t="s">
        <v>406</v>
      </c>
      <c r="D7773">
        <v>2741307.1</v>
      </c>
    </row>
    <row r="7774" spans="1:4" x14ac:dyDescent="0.25">
      <c r="A7774" s="279">
        <v>39314</v>
      </c>
      <c r="B7774" s="309" t="s">
        <v>405</v>
      </c>
      <c r="C7774" s="309" t="s">
        <v>89</v>
      </c>
      <c r="D7774">
        <v>0</v>
      </c>
    </row>
    <row r="7775" spans="1:4" x14ac:dyDescent="0.25">
      <c r="A7775" s="279">
        <v>39314</v>
      </c>
      <c r="B7775" s="309" t="s">
        <v>405</v>
      </c>
      <c r="C7775" s="309" t="s">
        <v>198</v>
      </c>
      <c r="D7775">
        <v>0</v>
      </c>
    </row>
    <row r="7776" spans="1:4" x14ac:dyDescent="0.25">
      <c r="A7776" s="279">
        <v>39314</v>
      </c>
      <c r="B7776" s="309" t="s">
        <v>405</v>
      </c>
      <c r="C7776" s="309" t="s">
        <v>199</v>
      </c>
      <c r="D7776">
        <v>0</v>
      </c>
    </row>
    <row r="7777" spans="1:4" x14ac:dyDescent="0.25">
      <c r="A7777" s="279">
        <v>39314</v>
      </c>
      <c r="B7777" s="309" t="s">
        <v>405</v>
      </c>
      <c r="C7777" s="309" t="s">
        <v>90</v>
      </c>
      <c r="D7777">
        <v>1601</v>
      </c>
    </row>
    <row r="7778" spans="1:4" x14ac:dyDescent="0.25">
      <c r="A7778" s="279">
        <v>39314</v>
      </c>
      <c r="B7778" s="309" t="s">
        <v>405</v>
      </c>
      <c r="C7778" s="309" t="s">
        <v>24</v>
      </c>
      <c r="D7778">
        <v>0</v>
      </c>
    </row>
    <row r="7779" spans="1:4" x14ac:dyDescent="0.25">
      <c r="A7779" s="279">
        <v>39314</v>
      </c>
      <c r="B7779" s="309" t="s">
        <v>405</v>
      </c>
      <c r="C7779" s="309" t="s">
        <v>91</v>
      </c>
      <c r="D7779">
        <v>0</v>
      </c>
    </row>
    <row r="7780" spans="1:4" x14ac:dyDescent="0.25">
      <c r="A7780" s="279">
        <v>39314</v>
      </c>
      <c r="B7780" s="309" t="s">
        <v>405</v>
      </c>
      <c r="C7780" s="309" t="s">
        <v>118</v>
      </c>
      <c r="D7780">
        <v>0</v>
      </c>
    </row>
    <row r="7781" spans="1:4" x14ac:dyDescent="0.25">
      <c r="A7781" s="279">
        <v>39314</v>
      </c>
      <c r="B7781" s="309" t="s">
        <v>405</v>
      </c>
      <c r="C7781" s="309" t="s">
        <v>407</v>
      </c>
      <c r="D7781">
        <v>2739706.1</v>
      </c>
    </row>
    <row r="7782" spans="1:4" x14ac:dyDescent="0.25">
      <c r="A7782" s="279">
        <v>39314</v>
      </c>
      <c r="B7782" s="309" t="s">
        <v>405</v>
      </c>
      <c r="C7782" s="309" t="s">
        <v>408</v>
      </c>
      <c r="D7782">
        <v>1007</v>
      </c>
    </row>
    <row r="7783" spans="1:4" x14ac:dyDescent="0.25">
      <c r="A7783" s="279">
        <v>39314</v>
      </c>
      <c r="B7783" s="309" t="s">
        <v>405</v>
      </c>
      <c r="C7783" s="309" t="s">
        <v>409</v>
      </c>
      <c r="D7783">
        <v>1058</v>
      </c>
    </row>
    <row r="7784" spans="1:4" x14ac:dyDescent="0.25">
      <c r="A7784" s="279">
        <v>39314</v>
      </c>
      <c r="B7784" s="309" t="s">
        <v>405</v>
      </c>
      <c r="C7784" s="309" t="s">
        <v>410</v>
      </c>
      <c r="D7784">
        <v>1034</v>
      </c>
    </row>
    <row r="7785" spans="1:4" x14ac:dyDescent="0.25">
      <c r="A7785" s="279">
        <v>39314</v>
      </c>
      <c r="B7785" s="309" t="s">
        <v>411</v>
      </c>
      <c r="C7785" s="309" t="s">
        <v>406</v>
      </c>
      <c r="D7785">
        <v>158030</v>
      </c>
    </row>
    <row r="7786" spans="1:4" x14ac:dyDescent="0.25">
      <c r="A7786" s="279">
        <v>39314</v>
      </c>
      <c r="B7786" s="309" t="s">
        <v>411</v>
      </c>
      <c r="C7786" s="309" t="s">
        <v>198</v>
      </c>
      <c r="D7786">
        <v>0</v>
      </c>
    </row>
    <row r="7787" spans="1:4" x14ac:dyDescent="0.25">
      <c r="A7787" s="279">
        <v>39314</v>
      </c>
      <c r="B7787" s="309" t="s">
        <v>411</v>
      </c>
      <c r="C7787" s="309" t="s">
        <v>199</v>
      </c>
      <c r="D7787">
        <v>0</v>
      </c>
    </row>
    <row r="7788" spans="1:4" x14ac:dyDescent="0.25">
      <c r="A7788" s="279">
        <v>39314</v>
      </c>
      <c r="B7788" s="309" t="s">
        <v>411</v>
      </c>
      <c r="C7788" s="309" t="s">
        <v>90</v>
      </c>
      <c r="D7788">
        <v>62</v>
      </c>
    </row>
    <row r="7789" spans="1:4" x14ac:dyDescent="0.25">
      <c r="A7789" s="279">
        <v>39314</v>
      </c>
      <c r="B7789" s="309" t="s">
        <v>411</v>
      </c>
      <c r="C7789" s="309" t="s">
        <v>24</v>
      </c>
      <c r="D7789">
        <v>0</v>
      </c>
    </row>
    <row r="7790" spans="1:4" x14ac:dyDescent="0.25">
      <c r="A7790" s="279">
        <v>39314</v>
      </c>
      <c r="B7790" s="309" t="s">
        <v>411</v>
      </c>
      <c r="C7790" s="309" t="s">
        <v>91</v>
      </c>
      <c r="D7790">
        <v>0</v>
      </c>
    </row>
    <row r="7791" spans="1:4" x14ac:dyDescent="0.25">
      <c r="A7791" s="279">
        <v>39314</v>
      </c>
      <c r="B7791" s="309" t="s">
        <v>411</v>
      </c>
      <c r="C7791" s="309" t="s">
        <v>118</v>
      </c>
      <c r="D7791">
        <v>0</v>
      </c>
    </row>
    <row r="7792" spans="1:4" x14ac:dyDescent="0.25">
      <c r="A7792" s="279">
        <v>39314</v>
      </c>
      <c r="B7792" s="309" t="s">
        <v>411</v>
      </c>
      <c r="C7792" s="309" t="s">
        <v>407</v>
      </c>
      <c r="D7792">
        <v>157968</v>
      </c>
    </row>
    <row r="7793" spans="1:4" x14ac:dyDescent="0.25">
      <c r="A7793" s="279">
        <v>39314</v>
      </c>
      <c r="B7793" s="309" t="s">
        <v>411</v>
      </c>
      <c r="C7793" s="309" t="s">
        <v>412</v>
      </c>
      <c r="D7793">
        <v>1007</v>
      </c>
    </row>
    <row r="7794" spans="1:4" x14ac:dyDescent="0.25">
      <c r="A7794" s="279">
        <v>39314</v>
      </c>
      <c r="B7794" s="309" t="s">
        <v>411</v>
      </c>
      <c r="C7794" s="309" t="s">
        <v>409</v>
      </c>
      <c r="D7794">
        <v>1049</v>
      </c>
    </row>
    <row r="7795" spans="1:4" x14ac:dyDescent="0.25">
      <c r="A7795" s="279">
        <v>39315</v>
      </c>
      <c r="B7795" s="309" t="s">
        <v>405</v>
      </c>
      <c r="C7795" s="309" t="s">
        <v>406</v>
      </c>
      <c r="D7795">
        <v>2739706.1</v>
      </c>
    </row>
    <row r="7796" spans="1:4" x14ac:dyDescent="0.25">
      <c r="A7796" s="279">
        <v>39315</v>
      </c>
      <c r="B7796" s="309" t="s">
        <v>405</v>
      </c>
      <c r="C7796" s="309" t="s">
        <v>89</v>
      </c>
      <c r="D7796">
        <v>0</v>
      </c>
    </row>
    <row r="7797" spans="1:4" x14ac:dyDescent="0.25">
      <c r="A7797" s="279">
        <v>39315</v>
      </c>
      <c r="B7797" s="309" t="s">
        <v>405</v>
      </c>
      <c r="C7797" s="309" t="s">
        <v>198</v>
      </c>
      <c r="D7797">
        <v>0</v>
      </c>
    </row>
    <row r="7798" spans="1:4" x14ac:dyDescent="0.25">
      <c r="A7798" s="279">
        <v>39315</v>
      </c>
      <c r="B7798" s="309" t="s">
        <v>405</v>
      </c>
      <c r="C7798" s="309" t="s">
        <v>199</v>
      </c>
      <c r="D7798">
        <v>0</v>
      </c>
    </row>
    <row r="7799" spans="1:4" x14ac:dyDescent="0.25">
      <c r="A7799" s="279">
        <v>39315</v>
      </c>
      <c r="B7799" s="309" t="s">
        <v>405</v>
      </c>
      <c r="C7799" s="309" t="s">
        <v>90</v>
      </c>
      <c r="D7799">
        <v>2135</v>
      </c>
    </row>
    <row r="7800" spans="1:4" x14ac:dyDescent="0.25">
      <c r="A7800" s="279">
        <v>39315</v>
      </c>
      <c r="B7800" s="309" t="s">
        <v>405</v>
      </c>
      <c r="C7800" s="309" t="s">
        <v>24</v>
      </c>
      <c r="D7800">
        <v>0</v>
      </c>
    </row>
    <row r="7801" spans="1:4" x14ac:dyDescent="0.25">
      <c r="A7801" s="279">
        <v>39315</v>
      </c>
      <c r="B7801" s="309" t="s">
        <v>405</v>
      </c>
      <c r="C7801" s="309" t="s">
        <v>91</v>
      </c>
      <c r="D7801">
        <v>0</v>
      </c>
    </row>
    <row r="7802" spans="1:4" x14ac:dyDescent="0.25">
      <c r="A7802" s="279">
        <v>39315</v>
      </c>
      <c r="B7802" s="309" t="s">
        <v>405</v>
      </c>
      <c r="C7802" s="309" t="s">
        <v>118</v>
      </c>
      <c r="D7802">
        <v>0</v>
      </c>
    </row>
    <row r="7803" spans="1:4" x14ac:dyDescent="0.25">
      <c r="A7803" s="279">
        <v>39315</v>
      </c>
      <c r="B7803" s="309" t="s">
        <v>405</v>
      </c>
      <c r="C7803" s="309" t="s">
        <v>407</v>
      </c>
      <c r="D7803">
        <v>2737571.1</v>
      </c>
    </row>
    <row r="7804" spans="1:4" x14ac:dyDescent="0.25">
      <c r="A7804" s="279">
        <v>39315</v>
      </c>
      <c r="B7804" s="309" t="s">
        <v>405</v>
      </c>
      <c r="C7804" s="309" t="s">
        <v>408</v>
      </c>
      <c r="D7804">
        <v>1007</v>
      </c>
    </row>
    <row r="7805" spans="1:4" x14ac:dyDescent="0.25">
      <c r="A7805" s="279">
        <v>39315</v>
      </c>
      <c r="B7805" s="309" t="s">
        <v>405</v>
      </c>
      <c r="C7805" s="309" t="s">
        <v>409</v>
      </c>
      <c r="D7805">
        <v>1058</v>
      </c>
    </row>
    <row r="7806" spans="1:4" x14ac:dyDescent="0.25">
      <c r="A7806" s="279">
        <v>39315</v>
      </c>
      <c r="B7806" s="309" t="s">
        <v>405</v>
      </c>
      <c r="C7806" s="309" t="s">
        <v>410</v>
      </c>
      <c r="D7806">
        <v>1038</v>
      </c>
    </row>
    <row r="7807" spans="1:4" x14ac:dyDescent="0.25">
      <c r="A7807" s="279">
        <v>39315</v>
      </c>
      <c r="B7807" s="309" t="s">
        <v>411</v>
      </c>
      <c r="C7807" s="309" t="s">
        <v>406</v>
      </c>
      <c r="D7807">
        <v>157968</v>
      </c>
    </row>
    <row r="7808" spans="1:4" x14ac:dyDescent="0.25">
      <c r="A7808" s="279">
        <v>39315</v>
      </c>
      <c r="B7808" s="309" t="s">
        <v>411</v>
      </c>
      <c r="C7808" s="309" t="s">
        <v>198</v>
      </c>
      <c r="D7808">
        <v>0</v>
      </c>
    </row>
    <row r="7809" spans="1:4" x14ac:dyDescent="0.25">
      <c r="A7809" s="279">
        <v>39315</v>
      </c>
      <c r="B7809" s="309" t="s">
        <v>411</v>
      </c>
      <c r="C7809" s="309" t="s">
        <v>199</v>
      </c>
      <c r="D7809">
        <v>0</v>
      </c>
    </row>
    <row r="7810" spans="1:4" x14ac:dyDescent="0.25">
      <c r="A7810" s="279">
        <v>39315</v>
      </c>
      <c r="B7810" s="309" t="s">
        <v>411</v>
      </c>
      <c r="C7810" s="309" t="s">
        <v>90</v>
      </c>
      <c r="D7810">
        <v>60</v>
      </c>
    </row>
    <row r="7811" spans="1:4" x14ac:dyDescent="0.25">
      <c r="A7811" s="279">
        <v>39315</v>
      </c>
      <c r="B7811" s="309" t="s">
        <v>411</v>
      </c>
      <c r="C7811" s="309" t="s">
        <v>24</v>
      </c>
      <c r="D7811">
        <v>0</v>
      </c>
    </row>
    <row r="7812" spans="1:4" x14ac:dyDescent="0.25">
      <c r="A7812" s="279">
        <v>39315</v>
      </c>
      <c r="B7812" s="309" t="s">
        <v>411</v>
      </c>
      <c r="C7812" s="309" t="s">
        <v>91</v>
      </c>
      <c r="D7812">
        <v>0</v>
      </c>
    </row>
    <row r="7813" spans="1:4" x14ac:dyDescent="0.25">
      <c r="A7813" s="279">
        <v>39315</v>
      </c>
      <c r="B7813" s="309" t="s">
        <v>411</v>
      </c>
      <c r="C7813" s="309" t="s">
        <v>118</v>
      </c>
      <c r="D7813">
        <v>0</v>
      </c>
    </row>
    <row r="7814" spans="1:4" x14ac:dyDescent="0.25">
      <c r="A7814" s="279">
        <v>39315</v>
      </c>
      <c r="B7814" s="309" t="s">
        <v>411</v>
      </c>
      <c r="C7814" s="309" t="s">
        <v>407</v>
      </c>
      <c r="D7814">
        <v>157908</v>
      </c>
    </row>
    <row r="7815" spans="1:4" x14ac:dyDescent="0.25">
      <c r="A7815" s="279">
        <v>39315</v>
      </c>
      <c r="B7815" s="309" t="s">
        <v>411</v>
      </c>
      <c r="C7815" s="309" t="s">
        <v>412</v>
      </c>
      <c r="D7815">
        <v>1007</v>
      </c>
    </row>
    <row r="7816" spans="1:4" x14ac:dyDescent="0.25">
      <c r="A7816" s="279">
        <v>39315</v>
      </c>
      <c r="B7816" s="309" t="s">
        <v>411</v>
      </c>
      <c r="C7816" s="309" t="s">
        <v>409</v>
      </c>
      <c r="D7816">
        <v>1049</v>
      </c>
    </row>
    <row r="7817" spans="1:4" x14ac:dyDescent="0.25">
      <c r="A7817" s="279">
        <v>39316</v>
      </c>
      <c r="B7817" s="309" t="s">
        <v>405</v>
      </c>
      <c r="C7817" s="309" t="s">
        <v>406</v>
      </c>
      <c r="D7817">
        <v>2737571.1</v>
      </c>
    </row>
    <row r="7818" spans="1:4" x14ac:dyDescent="0.25">
      <c r="A7818" s="279">
        <v>39316</v>
      </c>
      <c r="B7818" s="309" t="s">
        <v>405</v>
      </c>
      <c r="C7818" s="309" t="s">
        <v>89</v>
      </c>
      <c r="D7818">
        <v>0</v>
      </c>
    </row>
    <row r="7819" spans="1:4" x14ac:dyDescent="0.25">
      <c r="A7819" s="279">
        <v>39316</v>
      </c>
      <c r="B7819" s="309" t="s">
        <v>405</v>
      </c>
      <c r="C7819" s="309" t="s">
        <v>198</v>
      </c>
      <c r="D7819">
        <v>0</v>
      </c>
    </row>
    <row r="7820" spans="1:4" x14ac:dyDescent="0.25">
      <c r="A7820" s="279">
        <v>39316</v>
      </c>
      <c r="B7820" s="309" t="s">
        <v>405</v>
      </c>
      <c r="C7820" s="309" t="s">
        <v>199</v>
      </c>
      <c r="D7820">
        <v>0</v>
      </c>
    </row>
    <row r="7821" spans="1:4" x14ac:dyDescent="0.25">
      <c r="A7821" s="279">
        <v>39316</v>
      </c>
      <c r="B7821" s="309" t="s">
        <v>405</v>
      </c>
      <c r="C7821" s="309" t="s">
        <v>90</v>
      </c>
      <c r="D7821">
        <v>1068</v>
      </c>
    </row>
    <row r="7822" spans="1:4" x14ac:dyDescent="0.25">
      <c r="A7822" s="279">
        <v>39316</v>
      </c>
      <c r="B7822" s="309" t="s">
        <v>405</v>
      </c>
      <c r="C7822" s="309" t="s">
        <v>24</v>
      </c>
      <c r="D7822">
        <v>0</v>
      </c>
    </row>
    <row r="7823" spans="1:4" x14ac:dyDescent="0.25">
      <c r="A7823" s="279">
        <v>39316</v>
      </c>
      <c r="B7823" s="309" t="s">
        <v>405</v>
      </c>
      <c r="C7823" s="309" t="s">
        <v>91</v>
      </c>
      <c r="D7823">
        <v>0</v>
      </c>
    </row>
    <row r="7824" spans="1:4" x14ac:dyDescent="0.25">
      <c r="A7824" s="279">
        <v>39316</v>
      </c>
      <c r="B7824" s="309" t="s">
        <v>405</v>
      </c>
      <c r="C7824" s="309" t="s">
        <v>118</v>
      </c>
      <c r="D7824">
        <v>0</v>
      </c>
    </row>
    <row r="7825" spans="1:4" x14ac:dyDescent="0.25">
      <c r="A7825" s="279">
        <v>39316</v>
      </c>
      <c r="B7825" s="309" t="s">
        <v>405</v>
      </c>
      <c r="C7825" s="309" t="s">
        <v>407</v>
      </c>
      <c r="D7825">
        <v>2736503.1</v>
      </c>
    </row>
    <row r="7826" spans="1:4" x14ac:dyDescent="0.25">
      <c r="A7826" s="279">
        <v>39316</v>
      </c>
      <c r="B7826" s="309" t="s">
        <v>405</v>
      </c>
      <c r="C7826" s="309" t="s">
        <v>408</v>
      </c>
      <c r="D7826">
        <v>1007</v>
      </c>
    </row>
    <row r="7827" spans="1:4" x14ac:dyDescent="0.25">
      <c r="A7827" s="279">
        <v>39316</v>
      </c>
      <c r="B7827" s="309" t="s">
        <v>405</v>
      </c>
      <c r="C7827" s="309" t="s">
        <v>409</v>
      </c>
      <c r="D7827">
        <v>1058</v>
      </c>
    </row>
    <row r="7828" spans="1:4" x14ac:dyDescent="0.25">
      <c r="A7828" s="279">
        <v>39316</v>
      </c>
      <c r="B7828" s="309" t="s">
        <v>405</v>
      </c>
      <c r="C7828" s="309" t="s">
        <v>410</v>
      </c>
      <c r="D7828">
        <v>1039</v>
      </c>
    </row>
    <row r="7829" spans="1:4" x14ac:dyDescent="0.25">
      <c r="A7829" s="279">
        <v>39316</v>
      </c>
      <c r="B7829" s="309" t="s">
        <v>411</v>
      </c>
      <c r="C7829" s="309" t="s">
        <v>406</v>
      </c>
      <c r="D7829">
        <v>157908</v>
      </c>
    </row>
    <row r="7830" spans="1:4" x14ac:dyDescent="0.25">
      <c r="A7830" s="279">
        <v>39316</v>
      </c>
      <c r="B7830" s="309" t="s">
        <v>411</v>
      </c>
      <c r="C7830" s="309" t="s">
        <v>198</v>
      </c>
      <c r="D7830">
        <v>0</v>
      </c>
    </row>
    <row r="7831" spans="1:4" x14ac:dyDescent="0.25">
      <c r="A7831" s="279">
        <v>39316</v>
      </c>
      <c r="B7831" s="309" t="s">
        <v>411</v>
      </c>
      <c r="C7831" s="309" t="s">
        <v>199</v>
      </c>
      <c r="D7831">
        <v>0</v>
      </c>
    </row>
    <row r="7832" spans="1:4" x14ac:dyDescent="0.25">
      <c r="A7832" s="279">
        <v>39316</v>
      </c>
      <c r="B7832" s="309" t="s">
        <v>411</v>
      </c>
      <c r="C7832" s="309" t="s">
        <v>90</v>
      </c>
      <c r="D7832">
        <v>61</v>
      </c>
    </row>
    <row r="7833" spans="1:4" x14ac:dyDescent="0.25">
      <c r="A7833" s="279">
        <v>39316</v>
      </c>
      <c r="B7833" s="309" t="s">
        <v>411</v>
      </c>
      <c r="C7833" s="309" t="s">
        <v>24</v>
      </c>
      <c r="D7833">
        <v>0</v>
      </c>
    </row>
    <row r="7834" spans="1:4" x14ac:dyDescent="0.25">
      <c r="A7834" s="279">
        <v>39316</v>
      </c>
      <c r="B7834" s="309" t="s">
        <v>411</v>
      </c>
      <c r="C7834" s="309" t="s">
        <v>91</v>
      </c>
      <c r="D7834">
        <v>0</v>
      </c>
    </row>
    <row r="7835" spans="1:4" x14ac:dyDescent="0.25">
      <c r="A7835" s="279">
        <v>39316</v>
      </c>
      <c r="B7835" s="309" t="s">
        <v>411</v>
      </c>
      <c r="C7835" s="309" t="s">
        <v>118</v>
      </c>
      <c r="D7835">
        <v>0</v>
      </c>
    </row>
    <row r="7836" spans="1:4" x14ac:dyDescent="0.25">
      <c r="A7836" s="279">
        <v>39316</v>
      </c>
      <c r="B7836" s="309" t="s">
        <v>411</v>
      </c>
      <c r="C7836" s="309" t="s">
        <v>407</v>
      </c>
      <c r="D7836">
        <v>157847</v>
      </c>
    </row>
    <row r="7837" spans="1:4" x14ac:dyDescent="0.25">
      <c r="A7837" s="279">
        <v>39316</v>
      </c>
      <c r="B7837" s="309" t="s">
        <v>411</v>
      </c>
      <c r="C7837" s="309" t="s">
        <v>412</v>
      </c>
      <c r="D7837">
        <v>1007</v>
      </c>
    </row>
    <row r="7838" spans="1:4" x14ac:dyDescent="0.25">
      <c r="A7838" s="279">
        <v>39316</v>
      </c>
      <c r="B7838" s="309" t="s">
        <v>411</v>
      </c>
      <c r="C7838" s="309" t="s">
        <v>409</v>
      </c>
      <c r="D7838">
        <v>1049</v>
      </c>
    </row>
    <row r="7839" spans="1:4" x14ac:dyDescent="0.25">
      <c r="A7839" s="279">
        <v>39317</v>
      </c>
      <c r="B7839" s="309" t="s">
        <v>405</v>
      </c>
      <c r="C7839" s="309" t="s">
        <v>406</v>
      </c>
      <c r="D7839">
        <v>2736503.1</v>
      </c>
    </row>
    <row r="7840" spans="1:4" x14ac:dyDescent="0.25">
      <c r="A7840" s="279">
        <v>39317</v>
      </c>
      <c r="B7840" s="309" t="s">
        <v>405</v>
      </c>
      <c r="C7840" s="309" t="s">
        <v>89</v>
      </c>
      <c r="D7840">
        <v>0</v>
      </c>
    </row>
    <row r="7841" spans="1:4" x14ac:dyDescent="0.25">
      <c r="A7841" s="279">
        <v>39317</v>
      </c>
      <c r="B7841" s="309" t="s">
        <v>405</v>
      </c>
      <c r="C7841" s="309" t="s">
        <v>198</v>
      </c>
      <c r="D7841">
        <v>0</v>
      </c>
    </row>
    <row r="7842" spans="1:4" x14ac:dyDescent="0.25">
      <c r="A7842" s="279">
        <v>39317</v>
      </c>
      <c r="B7842" s="309" t="s">
        <v>405</v>
      </c>
      <c r="C7842" s="309" t="s">
        <v>199</v>
      </c>
      <c r="D7842">
        <v>0</v>
      </c>
    </row>
    <row r="7843" spans="1:4" x14ac:dyDescent="0.25">
      <c r="A7843" s="279">
        <v>39317</v>
      </c>
      <c r="B7843" s="309" t="s">
        <v>405</v>
      </c>
      <c r="C7843" s="309" t="s">
        <v>90</v>
      </c>
      <c r="D7843">
        <v>2135</v>
      </c>
    </row>
    <row r="7844" spans="1:4" x14ac:dyDescent="0.25">
      <c r="A7844" s="279">
        <v>39317</v>
      </c>
      <c r="B7844" s="309" t="s">
        <v>405</v>
      </c>
      <c r="C7844" s="309" t="s">
        <v>24</v>
      </c>
      <c r="D7844">
        <v>0</v>
      </c>
    </row>
    <row r="7845" spans="1:4" x14ac:dyDescent="0.25">
      <c r="A7845" s="279">
        <v>39317</v>
      </c>
      <c r="B7845" s="309" t="s">
        <v>405</v>
      </c>
      <c r="C7845" s="309" t="s">
        <v>91</v>
      </c>
      <c r="D7845">
        <v>0</v>
      </c>
    </row>
    <row r="7846" spans="1:4" x14ac:dyDescent="0.25">
      <c r="A7846" s="279">
        <v>39317</v>
      </c>
      <c r="B7846" s="309" t="s">
        <v>405</v>
      </c>
      <c r="C7846" s="309" t="s">
        <v>118</v>
      </c>
      <c r="D7846">
        <v>0</v>
      </c>
    </row>
    <row r="7847" spans="1:4" x14ac:dyDescent="0.25">
      <c r="A7847" s="279">
        <v>39317</v>
      </c>
      <c r="B7847" s="309" t="s">
        <v>405</v>
      </c>
      <c r="C7847" s="309" t="s">
        <v>407</v>
      </c>
      <c r="D7847">
        <v>2734368.1</v>
      </c>
    </row>
    <row r="7848" spans="1:4" x14ac:dyDescent="0.25">
      <c r="A7848" s="279">
        <v>39317</v>
      </c>
      <c r="B7848" s="309" t="s">
        <v>405</v>
      </c>
      <c r="C7848" s="309" t="s">
        <v>408</v>
      </c>
      <c r="D7848">
        <v>1007</v>
      </c>
    </row>
    <row r="7849" spans="1:4" x14ac:dyDescent="0.25">
      <c r="A7849" s="279">
        <v>39317</v>
      </c>
      <c r="B7849" s="309" t="s">
        <v>405</v>
      </c>
      <c r="C7849" s="309" t="s">
        <v>409</v>
      </c>
      <c r="D7849">
        <v>1058</v>
      </c>
    </row>
    <row r="7850" spans="1:4" x14ac:dyDescent="0.25">
      <c r="A7850" s="279">
        <v>39317</v>
      </c>
      <c r="B7850" s="309" t="s">
        <v>405</v>
      </c>
      <c r="C7850" s="309" t="s">
        <v>410</v>
      </c>
      <c r="D7850">
        <v>1044</v>
      </c>
    </row>
    <row r="7851" spans="1:4" x14ac:dyDescent="0.25">
      <c r="A7851" s="279">
        <v>39317</v>
      </c>
      <c r="B7851" s="309" t="s">
        <v>411</v>
      </c>
      <c r="C7851" s="309" t="s">
        <v>406</v>
      </c>
      <c r="D7851">
        <v>157847</v>
      </c>
    </row>
    <row r="7852" spans="1:4" x14ac:dyDescent="0.25">
      <c r="A7852" s="279">
        <v>39317</v>
      </c>
      <c r="B7852" s="309" t="s">
        <v>411</v>
      </c>
      <c r="C7852" s="309" t="s">
        <v>198</v>
      </c>
      <c r="D7852">
        <v>0</v>
      </c>
    </row>
    <row r="7853" spans="1:4" x14ac:dyDescent="0.25">
      <c r="A7853" s="279">
        <v>39317</v>
      </c>
      <c r="B7853" s="309" t="s">
        <v>411</v>
      </c>
      <c r="C7853" s="309" t="s">
        <v>199</v>
      </c>
      <c r="D7853">
        <v>0</v>
      </c>
    </row>
    <row r="7854" spans="1:4" x14ac:dyDescent="0.25">
      <c r="A7854" s="279">
        <v>39317</v>
      </c>
      <c r="B7854" s="309" t="s">
        <v>411</v>
      </c>
      <c r="C7854" s="309" t="s">
        <v>90</v>
      </c>
      <c r="D7854">
        <v>154</v>
      </c>
    </row>
    <row r="7855" spans="1:4" x14ac:dyDescent="0.25">
      <c r="A7855" s="279">
        <v>39317</v>
      </c>
      <c r="B7855" s="309" t="s">
        <v>411</v>
      </c>
      <c r="C7855" s="309" t="s">
        <v>24</v>
      </c>
      <c r="D7855">
        <v>0</v>
      </c>
    </row>
    <row r="7856" spans="1:4" x14ac:dyDescent="0.25">
      <c r="A7856" s="279">
        <v>39317</v>
      </c>
      <c r="B7856" s="309" t="s">
        <v>411</v>
      </c>
      <c r="C7856" s="309" t="s">
        <v>91</v>
      </c>
      <c r="D7856">
        <v>0</v>
      </c>
    </row>
    <row r="7857" spans="1:4" x14ac:dyDescent="0.25">
      <c r="A7857" s="279">
        <v>39317</v>
      </c>
      <c r="B7857" s="309" t="s">
        <v>411</v>
      </c>
      <c r="C7857" s="309" t="s">
        <v>118</v>
      </c>
      <c r="D7857">
        <v>0</v>
      </c>
    </row>
    <row r="7858" spans="1:4" x14ac:dyDescent="0.25">
      <c r="A7858" s="279">
        <v>39317</v>
      </c>
      <c r="B7858" s="309" t="s">
        <v>411</v>
      </c>
      <c r="C7858" s="309" t="s">
        <v>407</v>
      </c>
      <c r="D7858">
        <v>157693</v>
      </c>
    </row>
    <row r="7859" spans="1:4" x14ac:dyDescent="0.25">
      <c r="A7859" s="279">
        <v>39317</v>
      </c>
      <c r="B7859" s="309" t="s">
        <v>411</v>
      </c>
      <c r="C7859" s="309" t="s">
        <v>412</v>
      </c>
      <c r="D7859">
        <v>1007</v>
      </c>
    </row>
    <row r="7860" spans="1:4" x14ac:dyDescent="0.25">
      <c r="A7860" s="279">
        <v>39317</v>
      </c>
      <c r="B7860" s="309" t="s">
        <v>411</v>
      </c>
      <c r="C7860" s="309" t="s">
        <v>409</v>
      </c>
      <c r="D7860">
        <v>1049</v>
      </c>
    </row>
    <row r="7861" spans="1:4" x14ac:dyDescent="0.25">
      <c r="A7861" s="279">
        <v>39318</v>
      </c>
      <c r="B7861" s="309" t="s">
        <v>405</v>
      </c>
      <c r="C7861" s="309" t="s">
        <v>406</v>
      </c>
      <c r="D7861">
        <v>2734368.1</v>
      </c>
    </row>
    <row r="7862" spans="1:4" x14ac:dyDescent="0.25">
      <c r="A7862" s="279">
        <v>39318</v>
      </c>
      <c r="B7862" s="309" t="s">
        <v>405</v>
      </c>
      <c r="C7862" s="309" t="s">
        <v>89</v>
      </c>
      <c r="D7862">
        <v>0</v>
      </c>
    </row>
    <row r="7863" spans="1:4" x14ac:dyDescent="0.25">
      <c r="A7863" s="279">
        <v>39318</v>
      </c>
      <c r="B7863" s="309" t="s">
        <v>405</v>
      </c>
      <c r="C7863" s="309" t="s">
        <v>198</v>
      </c>
      <c r="D7863">
        <v>0</v>
      </c>
    </row>
    <row r="7864" spans="1:4" x14ac:dyDescent="0.25">
      <c r="A7864" s="279">
        <v>39318</v>
      </c>
      <c r="B7864" s="309" t="s">
        <v>405</v>
      </c>
      <c r="C7864" s="309" t="s">
        <v>199</v>
      </c>
      <c r="D7864">
        <v>0</v>
      </c>
    </row>
    <row r="7865" spans="1:4" x14ac:dyDescent="0.25">
      <c r="A7865" s="279">
        <v>39318</v>
      </c>
      <c r="B7865" s="309" t="s">
        <v>405</v>
      </c>
      <c r="C7865" s="309" t="s">
        <v>90</v>
      </c>
      <c r="D7865">
        <v>2401</v>
      </c>
    </row>
    <row r="7866" spans="1:4" x14ac:dyDescent="0.25">
      <c r="A7866" s="279">
        <v>39318</v>
      </c>
      <c r="B7866" s="309" t="s">
        <v>405</v>
      </c>
      <c r="C7866" s="309" t="s">
        <v>24</v>
      </c>
      <c r="D7866">
        <v>0</v>
      </c>
    </row>
    <row r="7867" spans="1:4" x14ac:dyDescent="0.25">
      <c r="A7867" s="279">
        <v>39318</v>
      </c>
      <c r="B7867" s="309" t="s">
        <v>405</v>
      </c>
      <c r="C7867" s="309" t="s">
        <v>91</v>
      </c>
      <c r="D7867">
        <v>0</v>
      </c>
    </row>
    <row r="7868" spans="1:4" x14ac:dyDescent="0.25">
      <c r="A7868" s="279">
        <v>39318</v>
      </c>
      <c r="B7868" s="309" t="s">
        <v>405</v>
      </c>
      <c r="C7868" s="309" t="s">
        <v>118</v>
      </c>
      <c r="D7868">
        <v>0</v>
      </c>
    </row>
    <row r="7869" spans="1:4" x14ac:dyDescent="0.25">
      <c r="A7869" s="279">
        <v>39318</v>
      </c>
      <c r="B7869" s="309" t="s">
        <v>405</v>
      </c>
      <c r="C7869" s="309" t="s">
        <v>407</v>
      </c>
      <c r="D7869">
        <v>2731967.1</v>
      </c>
    </row>
    <row r="7870" spans="1:4" x14ac:dyDescent="0.25">
      <c r="A7870" s="279">
        <v>39318</v>
      </c>
      <c r="B7870" s="309" t="s">
        <v>405</v>
      </c>
      <c r="C7870" s="309" t="s">
        <v>408</v>
      </c>
      <c r="D7870">
        <v>1007</v>
      </c>
    </row>
    <row r="7871" spans="1:4" x14ac:dyDescent="0.25">
      <c r="A7871" s="279">
        <v>39318</v>
      </c>
      <c r="B7871" s="309" t="s">
        <v>405</v>
      </c>
      <c r="C7871" s="309" t="s">
        <v>409</v>
      </c>
      <c r="D7871">
        <v>1058</v>
      </c>
    </row>
    <row r="7872" spans="1:4" x14ac:dyDescent="0.25">
      <c r="A7872" s="279">
        <v>39318</v>
      </c>
      <c r="B7872" s="309" t="s">
        <v>405</v>
      </c>
      <c r="C7872" s="309" t="s">
        <v>410</v>
      </c>
      <c r="D7872">
        <v>1037</v>
      </c>
    </row>
    <row r="7873" spans="1:4" x14ac:dyDescent="0.25">
      <c r="A7873" s="279">
        <v>39318</v>
      </c>
      <c r="B7873" s="309" t="s">
        <v>411</v>
      </c>
      <c r="C7873" s="309" t="s">
        <v>406</v>
      </c>
      <c r="D7873">
        <v>157693</v>
      </c>
    </row>
    <row r="7874" spans="1:4" x14ac:dyDescent="0.25">
      <c r="A7874" s="279">
        <v>39318</v>
      </c>
      <c r="B7874" s="309" t="s">
        <v>411</v>
      </c>
      <c r="C7874" s="309" t="s">
        <v>198</v>
      </c>
      <c r="D7874">
        <v>0</v>
      </c>
    </row>
    <row r="7875" spans="1:4" x14ac:dyDescent="0.25">
      <c r="A7875" s="279">
        <v>39318</v>
      </c>
      <c r="B7875" s="309" t="s">
        <v>411</v>
      </c>
      <c r="C7875" s="309" t="s">
        <v>199</v>
      </c>
      <c r="D7875">
        <v>0</v>
      </c>
    </row>
    <row r="7876" spans="1:4" x14ac:dyDescent="0.25">
      <c r="A7876" s="279">
        <v>39318</v>
      </c>
      <c r="B7876" s="309" t="s">
        <v>411</v>
      </c>
      <c r="C7876" s="309" t="s">
        <v>90</v>
      </c>
      <c r="D7876">
        <v>63</v>
      </c>
    </row>
    <row r="7877" spans="1:4" x14ac:dyDescent="0.25">
      <c r="A7877" s="279">
        <v>39318</v>
      </c>
      <c r="B7877" s="309" t="s">
        <v>411</v>
      </c>
      <c r="C7877" s="309" t="s">
        <v>24</v>
      </c>
      <c r="D7877">
        <v>0</v>
      </c>
    </row>
    <row r="7878" spans="1:4" x14ac:dyDescent="0.25">
      <c r="A7878" s="279">
        <v>39318</v>
      </c>
      <c r="B7878" s="309" t="s">
        <v>411</v>
      </c>
      <c r="C7878" s="309" t="s">
        <v>91</v>
      </c>
      <c r="D7878">
        <v>0</v>
      </c>
    </row>
    <row r="7879" spans="1:4" x14ac:dyDescent="0.25">
      <c r="A7879" s="279">
        <v>39318</v>
      </c>
      <c r="B7879" s="309" t="s">
        <v>411</v>
      </c>
      <c r="C7879" s="309" t="s">
        <v>118</v>
      </c>
      <c r="D7879">
        <v>0</v>
      </c>
    </row>
    <row r="7880" spans="1:4" x14ac:dyDescent="0.25">
      <c r="A7880" s="279">
        <v>39318</v>
      </c>
      <c r="B7880" s="309" t="s">
        <v>411</v>
      </c>
      <c r="C7880" s="309" t="s">
        <v>407</v>
      </c>
      <c r="D7880">
        <v>157630</v>
      </c>
    </row>
    <row r="7881" spans="1:4" x14ac:dyDescent="0.25">
      <c r="A7881" s="279">
        <v>39318</v>
      </c>
      <c r="B7881" s="309" t="s">
        <v>411</v>
      </c>
      <c r="C7881" s="309" t="s">
        <v>412</v>
      </c>
      <c r="D7881">
        <v>1007</v>
      </c>
    </row>
    <row r="7882" spans="1:4" x14ac:dyDescent="0.25">
      <c r="A7882" s="279">
        <v>39318</v>
      </c>
      <c r="B7882" s="309" t="s">
        <v>411</v>
      </c>
      <c r="C7882" s="309" t="s">
        <v>409</v>
      </c>
      <c r="D7882">
        <v>1049</v>
      </c>
    </row>
    <row r="7883" spans="1:4" x14ac:dyDescent="0.25">
      <c r="A7883" s="279">
        <v>39319</v>
      </c>
      <c r="B7883" s="309" t="s">
        <v>405</v>
      </c>
      <c r="C7883" s="309" t="s">
        <v>406</v>
      </c>
      <c r="D7883">
        <v>2731967.1</v>
      </c>
    </row>
    <row r="7884" spans="1:4" x14ac:dyDescent="0.25">
      <c r="A7884" s="279">
        <v>39319</v>
      </c>
      <c r="B7884" s="309" t="s">
        <v>405</v>
      </c>
      <c r="C7884" s="309" t="s">
        <v>89</v>
      </c>
      <c r="D7884">
        <v>0</v>
      </c>
    </row>
    <row r="7885" spans="1:4" x14ac:dyDescent="0.25">
      <c r="A7885" s="279">
        <v>39319</v>
      </c>
      <c r="B7885" s="309" t="s">
        <v>405</v>
      </c>
      <c r="C7885" s="309" t="s">
        <v>198</v>
      </c>
      <c r="D7885">
        <v>0</v>
      </c>
    </row>
    <row r="7886" spans="1:4" x14ac:dyDescent="0.25">
      <c r="A7886" s="279">
        <v>39319</v>
      </c>
      <c r="B7886" s="309" t="s">
        <v>405</v>
      </c>
      <c r="C7886" s="309" t="s">
        <v>199</v>
      </c>
      <c r="D7886">
        <v>0</v>
      </c>
    </row>
    <row r="7887" spans="1:4" x14ac:dyDescent="0.25">
      <c r="A7887" s="279">
        <v>39319</v>
      </c>
      <c r="B7887" s="309" t="s">
        <v>405</v>
      </c>
      <c r="C7887" s="309" t="s">
        <v>90</v>
      </c>
      <c r="D7887">
        <v>3469</v>
      </c>
    </row>
    <row r="7888" spans="1:4" x14ac:dyDescent="0.25">
      <c r="A7888" s="279">
        <v>39319</v>
      </c>
      <c r="B7888" s="309" t="s">
        <v>405</v>
      </c>
      <c r="C7888" s="309" t="s">
        <v>24</v>
      </c>
      <c r="D7888">
        <v>0</v>
      </c>
    </row>
    <row r="7889" spans="1:4" x14ac:dyDescent="0.25">
      <c r="A7889" s="279">
        <v>39319</v>
      </c>
      <c r="B7889" s="309" t="s">
        <v>405</v>
      </c>
      <c r="C7889" s="309" t="s">
        <v>91</v>
      </c>
      <c r="D7889">
        <v>0</v>
      </c>
    </row>
    <row r="7890" spans="1:4" x14ac:dyDescent="0.25">
      <c r="A7890" s="279">
        <v>39319</v>
      </c>
      <c r="B7890" s="309" t="s">
        <v>405</v>
      </c>
      <c r="C7890" s="309" t="s">
        <v>118</v>
      </c>
      <c r="D7890">
        <v>0</v>
      </c>
    </row>
    <row r="7891" spans="1:4" x14ac:dyDescent="0.25">
      <c r="A7891" s="279">
        <v>39319</v>
      </c>
      <c r="B7891" s="309" t="s">
        <v>405</v>
      </c>
      <c r="C7891" s="309" t="s">
        <v>407</v>
      </c>
      <c r="D7891">
        <v>2728498.1</v>
      </c>
    </row>
    <row r="7892" spans="1:4" x14ac:dyDescent="0.25">
      <c r="A7892" s="279">
        <v>39319</v>
      </c>
      <c r="B7892" s="309" t="s">
        <v>405</v>
      </c>
      <c r="C7892" s="309" t="s">
        <v>408</v>
      </c>
      <c r="D7892">
        <v>1007</v>
      </c>
    </row>
    <row r="7893" spans="1:4" x14ac:dyDescent="0.25">
      <c r="A7893" s="279">
        <v>39319</v>
      </c>
      <c r="B7893" s="309" t="s">
        <v>405</v>
      </c>
      <c r="C7893" s="309" t="s">
        <v>409</v>
      </c>
      <c r="D7893">
        <v>1058</v>
      </c>
    </row>
    <row r="7894" spans="1:4" x14ac:dyDescent="0.25">
      <c r="A7894" s="279">
        <v>39319</v>
      </c>
      <c r="B7894" s="309" t="s">
        <v>405</v>
      </c>
      <c r="C7894" s="309" t="s">
        <v>410</v>
      </c>
      <c r="D7894">
        <v>1039</v>
      </c>
    </row>
    <row r="7895" spans="1:4" x14ac:dyDescent="0.25">
      <c r="A7895" s="279">
        <v>39319</v>
      </c>
      <c r="B7895" s="309" t="s">
        <v>411</v>
      </c>
      <c r="C7895" s="309" t="s">
        <v>406</v>
      </c>
      <c r="D7895">
        <v>157630</v>
      </c>
    </row>
    <row r="7896" spans="1:4" x14ac:dyDescent="0.25">
      <c r="A7896" s="279">
        <v>39319</v>
      </c>
      <c r="B7896" s="309" t="s">
        <v>411</v>
      </c>
      <c r="C7896" s="309" t="s">
        <v>198</v>
      </c>
      <c r="D7896">
        <v>0</v>
      </c>
    </row>
    <row r="7897" spans="1:4" x14ac:dyDescent="0.25">
      <c r="A7897" s="279">
        <v>39319</v>
      </c>
      <c r="B7897" s="309" t="s">
        <v>411</v>
      </c>
      <c r="C7897" s="309" t="s">
        <v>199</v>
      </c>
      <c r="D7897">
        <v>0</v>
      </c>
    </row>
    <row r="7898" spans="1:4" x14ac:dyDescent="0.25">
      <c r="A7898" s="279">
        <v>39319</v>
      </c>
      <c r="B7898" s="309" t="s">
        <v>411</v>
      </c>
      <c r="C7898" s="309" t="s">
        <v>90</v>
      </c>
      <c r="D7898">
        <v>213</v>
      </c>
    </row>
    <row r="7899" spans="1:4" x14ac:dyDescent="0.25">
      <c r="A7899" s="279">
        <v>39319</v>
      </c>
      <c r="B7899" s="309" t="s">
        <v>411</v>
      </c>
      <c r="C7899" s="309" t="s">
        <v>24</v>
      </c>
      <c r="D7899">
        <v>0</v>
      </c>
    </row>
    <row r="7900" spans="1:4" x14ac:dyDescent="0.25">
      <c r="A7900" s="279">
        <v>39319</v>
      </c>
      <c r="B7900" s="309" t="s">
        <v>411</v>
      </c>
      <c r="C7900" s="309" t="s">
        <v>91</v>
      </c>
      <c r="D7900">
        <v>0</v>
      </c>
    </row>
    <row r="7901" spans="1:4" x14ac:dyDescent="0.25">
      <c r="A7901" s="279">
        <v>39319</v>
      </c>
      <c r="B7901" s="309" t="s">
        <v>411</v>
      </c>
      <c r="C7901" s="309" t="s">
        <v>118</v>
      </c>
      <c r="D7901">
        <v>0</v>
      </c>
    </row>
    <row r="7902" spans="1:4" x14ac:dyDescent="0.25">
      <c r="A7902" s="279">
        <v>39319</v>
      </c>
      <c r="B7902" s="309" t="s">
        <v>411</v>
      </c>
      <c r="C7902" s="309" t="s">
        <v>407</v>
      </c>
      <c r="D7902">
        <v>157417</v>
      </c>
    </row>
    <row r="7903" spans="1:4" x14ac:dyDescent="0.25">
      <c r="A7903" s="279">
        <v>39319</v>
      </c>
      <c r="B7903" s="309" t="s">
        <v>411</v>
      </c>
      <c r="C7903" s="309" t="s">
        <v>412</v>
      </c>
      <c r="D7903">
        <v>1007</v>
      </c>
    </row>
    <row r="7904" spans="1:4" x14ac:dyDescent="0.25">
      <c r="A7904" s="279">
        <v>39319</v>
      </c>
      <c r="B7904" s="309" t="s">
        <v>411</v>
      </c>
      <c r="C7904" s="309" t="s">
        <v>409</v>
      </c>
      <c r="D7904">
        <v>1049</v>
      </c>
    </row>
    <row r="7905" spans="1:4" x14ac:dyDescent="0.25">
      <c r="A7905" s="279">
        <v>39320</v>
      </c>
      <c r="B7905" s="309" t="s">
        <v>405</v>
      </c>
      <c r="C7905" s="309" t="s">
        <v>406</v>
      </c>
      <c r="D7905">
        <v>2728498.1</v>
      </c>
    </row>
    <row r="7906" spans="1:4" x14ac:dyDescent="0.25">
      <c r="A7906" s="279">
        <v>39320</v>
      </c>
      <c r="B7906" s="309" t="s">
        <v>405</v>
      </c>
      <c r="C7906" s="309" t="s">
        <v>89</v>
      </c>
      <c r="D7906">
        <v>0</v>
      </c>
    </row>
    <row r="7907" spans="1:4" x14ac:dyDescent="0.25">
      <c r="A7907" s="279">
        <v>39320</v>
      </c>
      <c r="B7907" s="309" t="s">
        <v>405</v>
      </c>
      <c r="C7907" s="309" t="s">
        <v>198</v>
      </c>
      <c r="D7907">
        <v>0</v>
      </c>
    </row>
    <row r="7908" spans="1:4" x14ac:dyDescent="0.25">
      <c r="A7908" s="279">
        <v>39320</v>
      </c>
      <c r="B7908" s="309" t="s">
        <v>405</v>
      </c>
      <c r="C7908" s="309" t="s">
        <v>199</v>
      </c>
      <c r="D7908">
        <v>0</v>
      </c>
    </row>
    <row r="7909" spans="1:4" x14ac:dyDescent="0.25">
      <c r="A7909" s="279">
        <v>39320</v>
      </c>
      <c r="B7909" s="309" t="s">
        <v>405</v>
      </c>
      <c r="C7909" s="309" t="s">
        <v>90</v>
      </c>
      <c r="D7909">
        <v>1601</v>
      </c>
    </row>
    <row r="7910" spans="1:4" x14ac:dyDescent="0.25">
      <c r="A7910" s="279">
        <v>39320</v>
      </c>
      <c r="B7910" s="309" t="s">
        <v>405</v>
      </c>
      <c r="C7910" s="309" t="s">
        <v>24</v>
      </c>
      <c r="D7910">
        <v>0</v>
      </c>
    </row>
    <row r="7911" spans="1:4" x14ac:dyDescent="0.25">
      <c r="A7911" s="279">
        <v>39320</v>
      </c>
      <c r="B7911" s="309" t="s">
        <v>405</v>
      </c>
      <c r="C7911" s="309" t="s">
        <v>91</v>
      </c>
      <c r="D7911">
        <v>0</v>
      </c>
    </row>
    <row r="7912" spans="1:4" x14ac:dyDescent="0.25">
      <c r="A7912" s="279">
        <v>39320</v>
      </c>
      <c r="B7912" s="309" t="s">
        <v>405</v>
      </c>
      <c r="C7912" s="309" t="s">
        <v>118</v>
      </c>
      <c r="D7912">
        <v>0</v>
      </c>
    </row>
    <row r="7913" spans="1:4" x14ac:dyDescent="0.25">
      <c r="A7913" s="279">
        <v>39320</v>
      </c>
      <c r="B7913" s="309" t="s">
        <v>405</v>
      </c>
      <c r="C7913" s="309" t="s">
        <v>407</v>
      </c>
      <c r="D7913">
        <v>2726897.1</v>
      </c>
    </row>
    <row r="7914" spans="1:4" x14ac:dyDescent="0.25">
      <c r="A7914" s="279">
        <v>39320</v>
      </c>
      <c r="B7914" s="309" t="s">
        <v>405</v>
      </c>
      <c r="C7914" s="309" t="s">
        <v>408</v>
      </c>
      <c r="D7914">
        <v>1007</v>
      </c>
    </row>
    <row r="7915" spans="1:4" x14ac:dyDescent="0.25">
      <c r="A7915" s="279">
        <v>39320</v>
      </c>
      <c r="B7915" s="309" t="s">
        <v>405</v>
      </c>
      <c r="C7915" s="309" t="s">
        <v>409</v>
      </c>
      <c r="D7915">
        <v>1058</v>
      </c>
    </row>
    <row r="7916" spans="1:4" x14ac:dyDescent="0.25">
      <c r="A7916" s="279">
        <v>39320</v>
      </c>
      <c r="B7916" s="309" t="s">
        <v>405</v>
      </c>
      <c r="C7916" s="309" t="s">
        <v>410</v>
      </c>
      <c r="D7916">
        <v>1035</v>
      </c>
    </row>
    <row r="7917" spans="1:4" x14ac:dyDescent="0.25">
      <c r="A7917" s="279">
        <v>39320</v>
      </c>
      <c r="B7917" s="309" t="s">
        <v>411</v>
      </c>
      <c r="C7917" s="309" t="s">
        <v>406</v>
      </c>
      <c r="D7917">
        <v>157417</v>
      </c>
    </row>
    <row r="7918" spans="1:4" x14ac:dyDescent="0.25">
      <c r="A7918" s="279">
        <v>39320</v>
      </c>
      <c r="B7918" s="309" t="s">
        <v>411</v>
      </c>
      <c r="C7918" s="309" t="s">
        <v>198</v>
      </c>
      <c r="D7918">
        <v>0</v>
      </c>
    </row>
    <row r="7919" spans="1:4" x14ac:dyDescent="0.25">
      <c r="A7919" s="279">
        <v>39320</v>
      </c>
      <c r="B7919" s="309" t="s">
        <v>411</v>
      </c>
      <c r="C7919" s="309" t="s">
        <v>199</v>
      </c>
      <c r="D7919">
        <v>0</v>
      </c>
    </row>
    <row r="7920" spans="1:4" x14ac:dyDescent="0.25">
      <c r="A7920" s="279">
        <v>39320</v>
      </c>
      <c r="B7920" s="309" t="s">
        <v>411</v>
      </c>
      <c r="C7920" s="309" t="s">
        <v>90</v>
      </c>
      <c r="D7920">
        <v>71</v>
      </c>
    </row>
    <row r="7921" spans="1:4" x14ac:dyDescent="0.25">
      <c r="A7921" s="279">
        <v>39320</v>
      </c>
      <c r="B7921" s="309" t="s">
        <v>411</v>
      </c>
      <c r="C7921" s="309" t="s">
        <v>24</v>
      </c>
      <c r="D7921">
        <v>0</v>
      </c>
    </row>
    <row r="7922" spans="1:4" x14ac:dyDescent="0.25">
      <c r="A7922" s="279">
        <v>39320</v>
      </c>
      <c r="B7922" s="309" t="s">
        <v>411</v>
      </c>
      <c r="C7922" s="309" t="s">
        <v>91</v>
      </c>
      <c r="D7922">
        <v>0</v>
      </c>
    </row>
    <row r="7923" spans="1:4" x14ac:dyDescent="0.25">
      <c r="A7923" s="279">
        <v>39320</v>
      </c>
      <c r="B7923" s="309" t="s">
        <v>411</v>
      </c>
      <c r="C7923" s="309" t="s">
        <v>118</v>
      </c>
      <c r="D7923">
        <v>0</v>
      </c>
    </row>
    <row r="7924" spans="1:4" x14ac:dyDescent="0.25">
      <c r="A7924" s="279">
        <v>39320</v>
      </c>
      <c r="B7924" s="309" t="s">
        <v>411</v>
      </c>
      <c r="C7924" s="309" t="s">
        <v>407</v>
      </c>
      <c r="D7924">
        <v>157346</v>
      </c>
    </row>
    <row r="7925" spans="1:4" x14ac:dyDescent="0.25">
      <c r="A7925" s="279">
        <v>39320</v>
      </c>
      <c r="B7925" s="309" t="s">
        <v>411</v>
      </c>
      <c r="C7925" s="309" t="s">
        <v>412</v>
      </c>
      <c r="D7925">
        <v>1007</v>
      </c>
    </row>
    <row r="7926" spans="1:4" x14ac:dyDescent="0.25">
      <c r="A7926" s="279">
        <v>39320</v>
      </c>
      <c r="B7926" s="309" t="s">
        <v>411</v>
      </c>
      <c r="C7926" s="309" t="s">
        <v>409</v>
      </c>
      <c r="D7926">
        <v>1049</v>
      </c>
    </row>
    <row r="7927" spans="1:4" x14ac:dyDescent="0.25">
      <c r="A7927" s="279">
        <v>39321</v>
      </c>
      <c r="B7927" s="309" t="s">
        <v>405</v>
      </c>
      <c r="C7927" s="309" t="s">
        <v>406</v>
      </c>
      <c r="D7927">
        <v>2726897.1</v>
      </c>
    </row>
    <row r="7928" spans="1:4" x14ac:dyDescent="0.25">
      <c r="A7928" s="279">
        <v>39321</v>
      </c>
      <c r="B7928" s="309" t="s">
        <v>405</v>
      </c>
      <c r="C7928" s="309" t="s">
        <v>89</v>
      </c>
      <c r="D7928">
        <v>0</v>
      </c>
    </row>
    <row r="7929" spans="1:4" x14ac:dyDescent="0.25">
      <c r="A7929" s="279">
        <v>39321</v>
      </c>
      <c r="B7929" s="309" t="s">
        <v>405</v>
      </c>
      <c r="C7929" s="309" t="s">
        <v>198</v>
      </c>
      <c r="D7929">
        <v>0</v>
      </c>
    </row>
    <row r="7930" spans="1:4" x14ac:dyDescent="0.25">
      <c r="A7930" s="279">
        <v>39321</v>
      </c>
      <c r="B7930" s="309" t="s">
        <v>405</v>
      </c>
      <c r="C7930" s="309" t="s">
        <v>199</v>
      </c>
      <c r="D7930">
        <v>0</v>
      </c>
    </row>
    <row r="7931" spans="1:4" x14ac:dyDescent="0.25">
      <c r="A7931" s="279">
        <v>39321</v>
      </c>
      <c r="B7931" s="309" t="s">
        <v>405</v>
      </c>
      <c r="C7931" s="309" t="s">
        <v>90</v>
      </c>
      <c r="D7931">
        <v>1068</v>
      </c>
    </row>
    <row r="7932" spans="1:4" x14ac:dyDescent="0.25">
      <c r="A7932" s="279">
        <v>39321</v>
      </c>
      <c r="B7932" s="309" t="s">
        <v>405</v>
      </c>
      <c r="C7932" s="309" t="s">
        <v>24</v>
      </c>
      <c r="D7932">
        <v>0</v>
      </c>
    </row>
    <row r="7933" spans="1:4" x14ac:dyDescent="0.25">
      <c r="A7933" s="279">
        <v>39321</v>
      </c>
      <c r="B7933" s="309" t="s">
        <v>405</v>
      </c>
      <c r="C7933" s="309" t="s">
        <v>91</v>
      </c>
      <c r="D7933">
        <v>0</v>
      </c>
    </row>
    <row r="7934" spans="1:4" x14ac:dyDescent="0.25">
      <c r="A7934" s="279">
        <v>39321</v>
      </c>
      <c r="B7934" s="309" t="s">
        <v>405</v>
      </c>
      <c r="C7934" s="309" t="s">
        <v>118</v>
      </c>
      <c r="D7934">
        <v>0</v>
      </c>
    </row>
    <row r="7935" spans="1:4" x14ac:dyDescent="0.25">
      <c r="A7935" s="279">
        <v>39321</v>
      </c>
      <c r="B7935" s="309" t="s">
        <v>405</v>
      </c>
      <c r="C7935" s="309" t="s">
        <v>407</v>
      </c>
      <c r="D7935">
        <v>2725829.1</v>
      </c>
    </row>
    <row r="7936" spans="1:4" x14ac:dyDescent="0.25">
      <c r="A7936" s="279">
        <v>39321</v>
      </c>
      <c r="B7936" s="309" t="s">
        <v>405</v>
      </c>
      <c r="C7936" s="309" t="s">
        <v>408</v>
      </c>
      <c r="D7936">
        <v>1007</v>
      </c>
    </row>
    <row r="7937" spans="1:4" x14ac:dyDescent="0.25">
      <c r="A7937" s="279">
        <v>39321</v>
      </c>
      <c r="B7937" s="309" t="s">
        <v>405</v>
      </c>
      <c r="C7937" s="309" t="s">
        <v>409</v>
      </c>
      <c r="D7937">
        <v>1058</v>
      </c>
    </row>
    <row r="7938" spans="1:4" x14ac:dyDescent="0.25">
      <c r="A7938" s="279">
        <v>39321</v>
      </c>
      <c r="B7938" s="309" t="s">
        <v>405</v>
      </c>
      <c r="C7938" s="309" t="s">
        <v>410</v>
      </c>
      <c r="D7938">
        <v>1036</v>
      </c>
    </row>
    <row r="7939" spans="1:4" x14ac:dyDescent="0.25">
      <c r="A7939" s="279">
        <v>39321</v>
      </c>
      <c r="B7939" s="309" t="s">
        <v>411</v>
      </c>
      <c r="C7939" s="309" t="s">
        <v>406</v>
      </c>
      <c r="D7939">
        <v>157346</v>
      </c>
    </row>
    <row r="7940" spans="1:4" x14ac:dyDescent="0.25">
      <c r="A7940" s="279">
        <v>39321</v>
      </c>
      <c r="B7940" s="309" t="s">
        <v>411</v>
      </c>
      <c r="C7940" s="309" t="s">
        <v>198</v>
      </c>
      <c r="D7940">
        <v>0</v>
      </c>
    </row>
    <row r="7941" spans="1:4" x14ac:dyDescent="0.25">
      <c r="A7941" s="279">
        <v>39321</v>
      </c>
      <c r="B7941" s="309" t="s">
        <v>411</v>
      </c>
      <c r="C7941" s="309" t="s">
        <v>199</v>
      </c>
      <c r="D7941">
        <v>0</v>
      </c>
    </row>
    <row r="7942" spans="1:4" x14ac:dyDescent="0.25">
      <c r="A7942" s="279">
        <v>39321</v>
      </c>
      <c r="B7942" s="309" t="s">
        <v>411</v>
      </c>
      <c r="C7942" s="309" t="s">
        <v>90</v>
      </c>
      <c r="D7942">
        <v>203</v>
      </c>
    </row>
    <row r="7943" spans="1:4" x14ac:dyDescent="0.25">
      <c r="A7943" s="279">
        <v>39321</v>
      </c>
      <c r="B7943" s="309" t="s">
        <v>411</v>
      </c>
      <c r="C7943" s="309" t="s">
        <v>24</v>
      </c>
      <c r="D7943">
        <v>0</v>
      </c>
    </row>
    <row r="7944" spans="1:4" x14ac:dyDescent="0.25">
      <c r="A7944" s="279">
        <v>39321</v>
      </c>
      <c r="B7944" s="309" t="s">
        <v>411</v>
      </c>
      <c r="C7944" s="309" t="s">
        <v>91</v>
      </c>
      <c r="D7944">
        <v>0</v>
      </c>
    </row>
    <row r="7945" spans="1:4" x14ac:dyDescent="0.25">
      <c r="A7945" s="279">
        <v>39321</v>
      </c>
      <c r="B7945" s="309" t="s">
        <v>411</v>
      </c>
      <c r="C7945" s="309" t="s">
        <v>118</v>
      </c>
      <c r="D7945">
        <v>0</v>
      </c>
    </row>
    <row r="7946" spans="1:4" x14ac:dyDescent="0.25">
      <c r="A7946" s="279">
        <v>39321</v>
      </c>
      <c r="B7946" s="309" t="s">
        <v>411</v>
      </c>
      <c r="C7946" s="309" t="s">
        <v>407</v>
      </c>
      <c r="D7946">
        <v>157143</v>
      </c>
    </row>
    <row r="7947" spans="1:4" x14ac:dyDescent="0.25">
      <c r="A7947" s="279">
        <v>39321</v>
      </c>
      <c r="B7947" s="309" t="s">
        <v>411</v>
      </c>
      <c r="C7947" s="309" t="s">
        <v>412</v>
      </c>
      <c r="D7947">
        <v>1007</v>
      </c>
    </row>
    <row r="7948" spans="1:4" x14ac:dyDescent="0.25">
      <c r="A7948" s="279">
        <v>39321</v>
      </c>
      <c r="B7948" s="309" t="s">
        <v>411</v>
      </c>
      <c r="C7948" s="309" t="s">
        <v>409</v>
      </c>
      <c r="D7948">
        <v>1049</v>
      </c>
    </row>
    <row r="7949" spans="1:4" x14ac:dyDescent="0.25">
      <c r="A7949" s="279">
        <v>39322</v>
      </c>
      <c r="B7949" s="309" t="s">
        <v>405</v>
      </c>
      <c r="C7949" s="309" t="s">
        <v>406</v>
      </c>
      <c r="D7949">
        <v>2725829.1</v>
      </c>
    </row>
    <row r="7950" spans="1:4" x14ac:dyDescent="0.25">
      <c r="A7950" s="279">
        <v>39322</v>
      </c>
      <c r="B7950" s="309" t="s">
        <v>405</v>
      </c>
      <c r="C7950" s="309" t="s">
        <v>89</v>
      </c>
      <c r="D7950">
        <v>0</v>
      </c>
    </row>
    <row r="7951" spans="1:4" x14ac:dyDescent="0.25">
      <c r="A7951" s="279">
        <v>39322</v>
      </c>
      <c r="B7951" s="309" t="s">
        <v>405</v>
      </c>
      <c r="C7951" s="309" t="s">
        <v>198</v>
      </c>
      <c r="D7951">
        <v>0</v>
      </c>
    </row>
    <row r="7952" spans="1:4" x14ac:dyDescent="0.25">
      <c r="A7952" s="279">
        <v>39322</v>
      </c>
      <c r="B7952" s="309" t="s">
        <v>405</v>
      </c>
      <c r="C7952" s="309" t="s">
        <v>199</v>
      </c>
      <c r="D7952">
        <v>0</v>
      </c>
    </row>
    <row r="7953" spans="1:4" x14ac:dyDescent="0.25">
      <c r="A7953" s="279">
        <v>39322</v>
      </c>
      <c r="B7953" s="309" t="s">
        <v>405</v>
      </c>
      <c r="C7953" s="309" t="s">
        <v>90</v>
      </c>
      <c r="D7953">
        <v>1602</v>
      </c>
    </row>
    <row r="7954" spans="1:4" x14ac:dyDescent="0.25">
      <c r="A7954" s="279">
        <v>39322</v>
      </c>
      <c r="B7954" s="309" t="s">
        <v>405</v>
      </c>
      <c r="C7954" s="309" t="s">
        <v>24</v>
      </c>
      <c r="D7954">
        <v>0</v>
      </c>
    </row>
    <row r="7955" spans="1:4" x14ac:dyDescent="0.25">
      <c r="A7955" s="279">
        <v>39322</v>
      </c>
      <c r="B7955" s="309" t="s">
        <v>405</v>
      </c>
      <c r="C7955" s="309" t="s">
        <v>91</v>
      </c>
      <c r="D7955">
        <v>0</v>
      </c>
    </row>
    <row r="7956" spans="1:4" x14ac:dyDescent="0.25">
      <c r="A7956" s="279">
        <v>39322</v>
      </c>
      <c r="B7956" s="309" t="s">
        <v>405</v>
      </c>
      <c r="C7956" s="309" t="s">
        <v>118</v>
      </c>
      <c r="D7956">
        <v>0</v>
      </c>
    </row>
    <row r="7957" spans="1:4" x14ac:dyDescent="0.25">
      <c r="A7957" s="279">
        <v>39322</v>
      </c>
      <c r="B7957" s="309" t="s">
        <v>405</v>
      </c>
      <c r="C7957" s="309" t="s">
        <v>407</v>
      </c>
      <c r="D7957">
        <v>2724227.1</v>
      </c>
    </row>
    <row r="7958" spans="1:4" x14ac:dyDescent="0.25">
      <c r="A7958" s="279">
        <v>39322</v>
      </c>
      <c r="B7958" s="309" t="s">
        <v>405</v>
      </c>
      <c r="C7958" s="309" t="s">
        <v>408</v>
      </c>
      <c r="D7958">
        <v>1007</v>
      </c>
    </row>
    <row r="7959" spans="1:4" x14ac:dyDescent="0.25">
      <c r="A7959" s="279">
        <v>39322</v>
      </c>
      <c r="B7959" s="309" t="s">
        <v>405</v>
      </c>
      <c r="C7959" s="309" t="s">
        <v>409</v>
      </c>
      <c r="D7959">
        <v>1058</v>
      </c>
    </row>
    <row r="7960" spans="1:4" x14ac:dyDescent="0.25">
      <c r="A7960" s="279">
        <v>39322</v>
      </c>
      <c r="B7960" s="309" t="s">
        <v>405</v>
      </c>
      <c r="C7960" s="309" t="s">
        <v>410</v>
      </c>
      <c r="D7960">
        <v>1036</v>
      </c>
    </row>
    <row r="7961" spans="1:4" x14ac:dyDescent="0.25">
      <c r="A7961" s="279">
        <v>39322</v>
      </c>
      <c r="B7961" s="309" t="s">
        <v>411</v>
      </c>
      <c r="C7961" s="309" t="s">
        <v>406</v>
      </c>
      <c r="D7961">
        <v>157143</v>
      </c>
    </row>
    <row r="7962" spans="1:4" x14ac:dyDescent="0.25">
      <c r="A7962" s="279">
        <v>39322</v>
      </c>
      <c r="B7962" s="309" t="s">
        <v>411</v>
      </c>
      <c r="C7962" s="309" t="s">
        <v>198</v>
      </c>
      <c r="D7962">
        <v>0</v>
      </c>
    </row>
    <row r="7963" spans="1:4" x14ac:dyDescent="0.25">
      <c r="A7963" s="279">
        <v>39322</v>
      </c>
      <c r="B7963" s="309" t="s">
        <v>411</v>
      </c>
      <c r="C7963" s="309" t="s">
        <v>199</v>
      </c>
      <c r="D7963">
        <v>0</v>
      </c>
    </row>
    <row r="7964" spans="1:4" x14ac:dyDescent="0.25">
      <c r="A7964" s="279">
        <v>39322</v>
      </c>
      <c r="B7964" s="309" t="s">
        <v>411</v>
      </c>
      <c r="C7964" s="309" t="s">
        <v>90</v>
      </c>
      <c r="D7964">
        <v>276</v>
      </c>
    </row>
    <row r="7965" spans="1:4" x14ac:dyDescent="0.25">
      <c r="A7965" s="279">
        <v>39322</v>
      </c>
      <c r="B7965" s="309" t="s">
        <v>411</v>
      </c>
      <c r="C7965" s="309" t="s">
        <v>24</v>
      </c>
      <c r="D7965">
        <v>0</v>
      </c>
    </row>
    <row r="7966" spans="1:4" x14ac:dyDescent="0.25">
      <c r="A7966" s="279">
        <v>39322</v>
      </c>
      <c r="B7966" s="309" t="s">
        <v>411</v>
      </c>
      <c r="C7966" s="309" t="s">
        <v>91</v>
      </c>
      <c r="D7966">
        <v>0</v>
      </c>
    </row>
    <row r="7967" spans="1:4" x14ac:dyDescent="0.25">
      <c r="A7967" s="279">
        <v>39322</v>
      </c>
      <c r="B7967" s="309" t="s">
        <v>411</v>
      </c>
      <c r="C7967" s="309" t="s">
        <v>118</v>
      </c>
      <c r="D7967">
        <v>0</v>
      </c>
    </row>
    <row r="7968" spans="1:4" x14ac:dyDescent="0.25">
      <c r="A7968" s="279">
        <v>39322</v>
      </c>
      <c r="B7968" s="309" t="s">
        <v>411</v>
      </c>
      <c r="C7968" s="309" t="s">
        <v>407</v>
      </c>
      <c r="D7968">
        <v>156867</v>
      </c>
    </row>
    <row r="7969" spans="1:4" x14ac:dyDescent="0.25">
      <c r="A7969" s="279">
        <v>39322</v>
      </c>
      <c r="B7969" s="309" t="s">
        <v>411</v>
      </c>
      <c r="C7969" s="309" t="s">
        <v>412</v>
      </c>
      <c r="D7969">
        <v>1007</v>
      </c>
    </row>
    <row r="7970" spans="1:4" x14ac:dyDescent="0.25">
      <c r="A7970" s="279">
        <v>39322</v>
      </c>
      <c r="B7970" s="309" t="s">
        <v>411</v>
      </c>
      <c r="C7970" s="309" t="s">
        <v>409</v>
      </c>
      <c r="D7970">
        <v>1049</v>
      </c>
    </row>
    <row r="7971" spans="1:4" x14ac:dyDescent="0.25">
      <c r="A7971" s="279">
        <v>39323</v>
      </c>
      <c r="B7971" s="309" t="s">
        <v>405</v>
      </c>
      <c r="C7971" s="309" t="s">
        <v>406</v>
      </c>
      <c r="D7971">
        <v>2724227.1</v>
      </c>
    </row>
    <row r="7972" spans="1:4" x14ac:dyDescent="0.25">
      <c r="A7972" s="279">
        <v>39323</v>
      </c>
      <c r="B7972" s="309" t="s">
        <v>405</v>
      </c>
      <c r="C7972" s="309" t="s">
        <v>89</v>
      </c>
      <c r="D7972">
        <v>0</v>
      </c>
    </row>
    <row r="7973" spans="1:4" x14ac:dyDescent="0.25">
      <c r="A7973" s="279">
        <v>39323</v>
      </c>
      <c r="B7973" s="309" t="s">
        <v>405</v>
      </c>
      <c r="C7973" s="309" t="s">
        <v>198</v>
      </c>
      <c r="D7973">
        <v>0</v>
      </c>
    </row>
    <row r="7974" spans="1:4" x14ac:dyDescent="0.25">
      <c r="A7974" s="279">
        <v>39323</v>
      </c>
      <c r="B7974" s="309" t="s">
        <v>405</v>
      </c>
      <c r="C7974" s="309" t="s">
        <v>199</v>
      </c>
      <c r="D7974">
        <v>0</v>
      </c>
    </row>
    <row r="7975" spans="1:4" x14ac:dyDescent="0.25">
      <c r="A7975" s="279">
        <v>39323</v>
      </c>
      <c r="B7975" s="309" t="s">
        <v>405</v>
      </c>
      <c r="C7975" s="309" t="s">
        <v>90</v>
      </c>
      <c r="D7975">
        <v>2134</v>
      </c>
    </row>
    <row r="7976" spans="1:4" x14ac:dyDescent="0.25">
      <c r="A7976" s="279">
        <v>39323</v>
      </c>
      <c r="B7976" s="309" t="s">
        <v>405</v>
      </c>
      <c r="C7976" s="309" t="s">
        <v>24</v>
      </c>
      <c r="D7976">
        <v>0</v>
      </c>
    </row>
    <row r="7977" spans="1:4" x14ac:dyDescent="0.25">
      <c r="A7977" s="279">
        <v>39323</v>
      </c>
      <c r="B7977" s="309" t="s">
        <v>405</v>
      </c>
      <c r="C7977" s="309" t="s">
        <v>91</v>
      </c>
      <c r="D7977">
        <v>0</v>
      </c>
    </row>
    <row r="7978" spans="1:4" x14ac:dyDescent="0.25">
      <c r="A7978" s="279">
        <v>39323</v>
      </c>
      <c r="B7978" s="309" t="s">
        <v>405</v>
      </c>
      <c r="C7978" s="309" t="s">
        <v>118</v>
      </c>
      <c r="D7978">
        <v>0</v>
      </c>
    </row>
    <row r="7979" spans="1:4" x14ac:dyDescent="0.25">
      <c r="A7979" s="279">
        <v>39323</v>
      </c>
      <c r="B7979" s="309" t="s">
        <v>405</v>
      </c>
      <c r="C7979" s="309" t="s">
        <v>407</v>
      </c>
      <c r="D7979">
        <v>2722093.1</v>
      </c>
    </row>
    <row r="7980" spans="1:4" x14ac:dyDescent="0.25">
      <c r="A7980" s="279">
        <v>39323</v>
      </c>
      <c r="B7980" s="309" t="s">
        <v>405</v>
      </c>
      <c r="C7980" s="309" t="s">
        <v>408</v>
      </c>
      <c r="D7980">
        <v>1007</v>
      </c>
    </row>
    <row r="7981" spans="1:4" x14ac:dyDescent="0.25">
      <c r="A7981" s="279">
        <v>39323</v>
      </c>
      <c r="B7981" s="309" t="s">
        <v>405</v>
      </c>
      <c r="C7981" s="309" t="s">
        <v>409</v>
      </c>
      <c r="D7981">
        <v>1058</v>
      </c>
    </row>
    <row r="7982" spans="1:4" x14ac:dyDescent="0.25">
      <c r="A7982" s="279">
        <v>39323</v>
      </c>
      <c r="B7982" s="309" t="s">
        <v>405</v>
      </c>
      <c r="C7982" s="309" t="s">
        <v>410</v>
      </c>
      <c r="D7982">
        <v>1036</v>
      </c>
    </row>
    <row r="7983" spans="1:4" x14ac:dyDescent="0.25">
      <c r="A7983" s="279">
        <v>39323</v>
      </c>
      <c r="B7983" s="309" t="s">
        <v>411</v>
      </c>
      <c r="C7983" s="309" t="s">
        <v>406</v>
      </c>
      <c r="D7983">
        <v>156867</v>
      </c>
    </row>
    <row r="7984" spans="1:4" x14ac:dyDescent="0.25">
      <c r="A7984" s="279">
        <v>39323</v>
      </c>
      <c r="B7984" s="309" t="s">
        <v>411</v>
      </c>
      <c r="C7984" s="309" t="s">
        <v>198</v>
      </c>
      <c r="D7984">
        <v>0</v>
      </c>
    </row>
    <row r="7985" spans="1:4" x14ac:dyDescent="0.25">
      <c r="A7985" s="279">
        <v>39323</v>
      </c>
      <c r="B7985" s="309" t="s">
        <v>411</v>
      </c>
      <c r="C7985" s="309" t="s">
        <v>199</v>
      </c>
      <c r="D7985">
        <v>0</v>
      </c>
    </row>
    <row r="7986" spans="1:4" x14ac:dyDescent="0.25">
      <c r="A7986" s="279">
        <v>39323</v>
      </c>
      <c r="B7986" s="309" t="s">
        <v>411</v>
      </c>
      <c r="C7986" s="309" t="s">
        <v>90</v>
      </c>
      <c r="D7986">
        <v>71</v>
      </c>
    </row>
    <row r="7987" spans="1:4" x14ac:dyDescent="0.25">
      <c r="A7987" s="279">
        <v>39323</v>
      </c>
      <c r="B7987" s="309" t="s">
        <v>411</v>
      </c>
      <c r="C7987" s="309" t="s">
        <v>24</v>
      </c>
      <c r="D7987">
        <v>0</v>
      </c>
    </row>
    <row r="7988" spans="1:4" x14ac:dyDescent="0.25">
      <c r="A7988" s="279">
        <v>39323</v>
      </c>
      <c r="B7988" s="309" t="s">
        <v>411</v>
      </c>
      <c r="C7988" s="309" t="s">
        <v>91</v>
      </c>
      <c r="D7988">
        <v>0</v>
      </c>
    </row>
    <row r="7989" spans="1:4" x14ac:dyDescent="0.25">
      <c r="A7989" s="279">
        <v>39323</v>
      </c>
      <c r="B7989" s="309" t="s">
        <v>411</v>
      </c>
      <c r="C7989" s="309" t="s">
        <v>118</v>
      </c>
      <c r="D7989">
        <v>0</v>
      </c>
    </row>
    <row r="7990" spans="1:4" x14ac:dyDescent="0.25">
      <c r="A7990" s="279">
        <v>39323</v>
      </c>
      <c r="B7990" s="309" t="s">
        <v>411</v>
      </c>
      <c r="C7990" s="309" t="s">
        <v>407</v>
      </c>
      <c r="D7990">
        <v>156796</v>
      </c>
    </row>
    <row r="7991" spans="1:4" x14ac:dyDescent="0.25">
      <c r="A7991" s="279">
        <v>39323</v>
      </c>
      <c r="B7991" s="309" t="s">
        <v>411</v>
      </c>
      <c r="C7991" s="309" t="s">
        <v>412</v>
      </c>
      <c r="D7991">
        <v>1007</v>
      </c>
    </row>
    <row r="7992" spans="1:4" x14ac:dyDescent="0.25">
      <c r="A7992" s="279">
        <v>39323</v>
      </c>
      <c r="B7992" s="309" t="s">
        <v>411</v>
      </c>
      <c r="C7992" s="309" t="s">
        <v>409</v>
      </c>
      <c r="D7992">
        <v>1049</v>
      </c>
    </row>
    <row r="7993" spans="1:4" x14ac:dyDescent="0.25">
      <c r="A7993" s="279">
        <v>39324</v>
      </c>
      <c r="B7993" s="309" t="s">
        <v>405</v>
      </c>
      <c r="C7993" s="309" t="s">
        <v>406</v>
      </c>
      <c r="D7993">
        <v>2722093.1</v>
      </c>
    </row>
    <row r="7994" spans="1:4" x14ac:dyDescent="0.25">
      <c r="A7994" s="279">
        <v>39324</v>
      </c>
      <c r="B7994" s="309" t="s">
        <v>405</v>
      </c>
      <c r="C7994" s="309" t="s">
        <v>89</v>
      </c>
      <c r="D7994">
        <v>0</v>
      </c>
    </row>
    <row r="7995" spans="1:4" x14ac:dyDescent="0.25">
      <c r="A7995" s="279">
        <v>39324</v>
      </c>
      <c r="B7995" s="309" t="s">
        <v>405</v>
      </c>
      <c r="C7995" s="309" t="s">
        <v>198</v>
      </c>
      <c r="D7995">
        <v>0</v>
      </c>
    </row>
    <row r="7996" spans="1:4" x14ac:dyDescent="0.25">
      <c r="A7996" s="279">
        <v>39324</v>
      </c>
      <c r="B7996" s="309" t="s">
        <v>405</v>
      </c>
      <c r="C7996" s="309" t="s">
        <v>199</v>
      </c>
      <c r="D7996">
        <v>0</v>
      </c>
    </row>
    <row r="7997" spans="1:4" x14ac:dyDescent="0.25">
      <c r="A7997" s="279">
        <v>39324</v>
      </c>
      <c r="B7997" s="309" t="s">
        <v>405</v>
      </c>
      <c r="C7997" s="309" t="s">
        <v>90</v>
      </c>
      <c r="D7997">
        <v>2135</v>
      </c>
    </row>
    <row r="7998" spans="1:4" x14ac:dyDescent="0.25">
      <c r="A7998" s="279">
        <v>39324</v>
      </c>
      <c r="B7998" s="309" t="s">
        <v>405</v>
      </c>
      <c r="C7998" s="309" t="s">
        <v>24</v>
      </c>
      <c r="D7998">
        <v>0</v>
      </c>
    </row>
    <row r="7999" spans="1:4" x14ac:dyDescent="0.25">
      <c r="A7999" s="279">
        <v>39324</v>
      </c>
      <c r="B7999" s="309" t="s">
        <v>405</v>
      </c>
      <c r="C7999" s="309" t="s">
        <v>91</v>
      </c>
      <c r="D7999">
        <v>0</v>
      </c>
    </row>
    <row r="8000" spans="1:4" x14ac:dyDescent="0.25">
      <c r="A8000" s="279">
        <v>39324</v>
      </c>
      <c r="B8000" s="309" t="s">
        <v>405</v>
      </c>
      <c r="C8000" s="309" t="s">
        <v>118</v>
      </c>
      <c r="D8000">
        <v>0</v>
      </c>
    </row>
    <row r="8001" spans="1:4" x14ac:dyDescent="0.25">
      <c r="A8001" s="279">
        <v>39324</v>
      </c>
      <c r="B8001" s="309" t="s">
        <v>405</v>
      </c>
      <c r="C8001" s="309" t="s">
        <v>407</v>
      </c>
      <c r="D8001">
        <v>2719958.1</v>
      </c>
    </row>
    <row r="8002" spans="1:4" x14ac:dyDescent="0.25">
      <c r="A8002" s="279">
        <v>39324</v>
      </c>
      <c r="B8002" s="309" t="s">
        <v>405</v>
      </c>
      <c r="C8002" s="309" t="s">
        <v>408</v>
      </c>
      <c r="D8002">
        <v>1007</v>
      </c>
    </row>
    <row r="8003" spans="1:4" x14ac:dyDescent="0.25">
      <c r="A8003" s="279">
        <v>39324</v>
      </c>
      <c r="B8003" s="309" t="s">
        <v>405</v>
      </c>
      <c r="C8003" s="309" t="s">
        <v>409</v>
      </c>
      <c r="D8003">
        <v>1058</v>
      </c>
    </row>
    <row r="8004" spans="1:4" x14ac:dyDescent="0.25">
      <c r="A8004" s="279">
        <v>39324</v>
      </c>
      <c r="B8004" s="309" t="s">
        <v>405</v>
      </c>
      <c r="C8004" s="309" t="s">
        <v>410</v>
      </c>
      <c r="D8004">
        <v>1036</v>
      </c>
    </row>
    <row r="8005" spans="1:4" x14ac:dyDescent="0.25">
      <c r="A8005" s="279">
        <v>39324</v>
      </c>
      <c r="B8005" s="309" t="s">
        <v>411</v>
      </c>
      <c r="C8005" s="309" t="s">
        <v>406</v>
      </c>
      <c r="D8005">
        <v>156796</v>
      </c>
    </row>
    <row r="8006" spans="1:4" x14ac:dyDescent="0.25">
      <c r="A8006" s="279">
        <v>39324</v>
      </c>
      <c r="B8006" s="309" t="s">
        <v>411</v>
      </c>
      <c r="C8006" s="309" t="s">
        <v>198</v>
      </c>
      <c r="D8006">
        <v>0</v>
      </c>
    </row>
    <row r="8007" spans="1:4" x14ac:dyDescent="0.25">
      <c r="A8007" s="279">
        <v>39324</v>
      </c>
      <c r="B8007" s="309" t="s">
        <v>411</v>
      </c>
      <c r="C8007" s="309" t="s">
        <v>199</v>
      </c>
      <c r="D8007">
        <v>0</v>
      </c>
    </row>
    <row r="8008" spans="1:4" x14ac:dyDescent="0.25">
      <c r="A8008" s="279">
        <v>39324</v>
      </c>
      <c r="B8008" s="309" t="s">
        <v>411</v>
      </c>
      <c r="C8008" s="309" t="s">
        <v>90</v>
      </c>
      <c r="D8008">
        <v>74</v>
      </c>
    </row>
    <row r="8009" spans="1:4" x14ac:dyDescent="0.25">
      <c r="A8009" s="279">
        <v>39324</v>
      </c>
      <c r="B8009" s="309" t="s">
        <v>411</v>
      </c>
      <c r="C8009" s="309" t="s">
        <v>24</v>
      </c>
      <c r="D8009">
        <v>0</v>
      </c>
    </row>
    <row r="8010" spans="1:4" x14ac:dyDescent="0.25">
      <c r="A8010" s="279">
        <v>39324</v>
      </c>
      <c r="B8010" s="309" t="s">
        <v>411</v>
      </c>
      <c r="C8010" s="309" t="s">
        <v>91</v>
      </c>
      <c r="D8010">
        <v>0</v>
      </c>
    </row>
    <row r="8011" spans="1:4" x14ac:dyDescent="0.25">
      <c r="A8011" s="279">
        <v>39324</v>
      </c>
      <c r="B8011" s="309" t="s">
        <v>411</v>
      </c>
      <c r="C8011" s="309" t="s">
        <v>118</v>
      </c>
      <c r="D8011">
        <v>0</v>
      </c>
    </row>
    <row r="8012" spans="1:4" x14ac:dyDescent="0.25">
      <c r="A8012" s="279">
        <v>39324</v>
      </c>
      <c r="B8012" s="309" t="s">
        <v>411</v>
      </c>
      <c r="C8012" s="309" t="s">
        <v>407</v>
      </c>
      <c r="D8012">
        <v>156722</v>
      </c>
    </row>
    <row r="8013" spans="1:4" x14ac:dyDescent="0.25">
      <c r="A8013" s="279">
        <v>39324</v>
      </c>
      <c r="B8013" s="309" t="s">
        <v>411</v>
      </c>
      <c r="C8013" s="309" t="s">
        <v>412</v>
      </c>
      <c r="D8013">
        <v>1007</v>
      </c>
    </row>
    <row r="8014" spans="1:4" x14ac:dyDescent="0.25">
      <c r="A8014" s="279">
        <v>39324</v>
      </c>
      <c r="B8014" s="309" t="s">
        <v>411</v>
      </c>
      <c r="C8014" s="309" t="s">
        <v>409</v>
      </c>
      <c r="D8014">
        <v>1049</v>
      </c>
    </row>
    <row r="8015" spans="1:4" x14ac:dyDescent="0.25">
      <c r="A8015" s="279">
        <v>39325</v>
      </c>
      <c r="B8015" s="309" t="s">
        <v>405</v>
      </c>
      <c r="C8015" s="309" t="s">
        <v>406</v>
      </c>
      <c r="D8015">
        <v>2719958.1</v>
      </c>
    </row>
    <row r="8016" spans="1:4" x14ac:dyDescent="0.25">
      <c r="A8016" s="279">
        <v>39325</v>
      </c>
      <c r="B8016" s="309" t="s">
        <v>405</v>
      </c>
      <c r="C8016" s="309" t="s">
        <v>89</v>
      </c>
      <c r="D8016">
        <v>0</v>
      </c>
    </row>
    <row r="8017" spans="1:4" x14ac:dyDescent="0.25">
      <c r="A8017" s="279">
        <v>39325</v>
      </c>
      <c r="B8017" s="309" t="s">
        <v>405</v>
      </c>
      <c r="C8017" s="309" t="s">
        <v>198</v>
      </c>
      <c r="D8017">
        <v>0</v>
      </c>
    </row>
    <row r="8018" spans="1:4" x14ac:dyDescent="0.25">
      <c r="A8018" s="279">
        <v>39325</v>
      </c>
      <c r="B8018" s="309" t="s">
        <v>405</v>
      </c>
      <c r="C8018" s="309" t="s">
        <v>199</v>
      </c>
      <c r="D8018">
        <v>0</v>
      </c>
    </row>
    <row r="8019" spans="1:4" x14ac:dyDescent="0.25">
      <c r="A8019" s="279">
        <v>39325</v>
      </c>
      <c r="B8019" s="309" t="s">
        <v>405</v>
      </c>
      <c r="C8019" s="309" t="s">
        <v>90</v>
      </c>
      <c r="D8019">
        <v>2133</v>
      </c>
    </row>
    <row r="8020" spans="1:4" x14ac:dyDescent="0.25">
      <c r="A8020" s="279">
        <v>39325</v>
      </c>
      <c r="B8020" s="309" t="s">
        <v>405</v>
      </c>
      <c r="C8020" s="309" t="s">
        <v>24</v>
      </c>
      <c r="D8020">
        <v>0</v>
      </c>
    </row>
    <row r="8021" spans="1:4" x14ac:dyDescent="0.25">
      <c r="A8021" s="279">
        <v>39325</v>
      </c>
      <c r="B8021" s="309" t="s">
        <v>405</v>
      </c>
      <c r="C8021" s="309" t="s">
        <v>91</v>
      </c>
      <c r="D8021">
        <v>0</v>
      </c>
    </row>
    <row r="8022" spans="1:4" x14ac:dyDescent="0.25">
      <c r="A8022" s="279">
        <v>39325</v>
      </c>
      <c r="B8022" s="309" t="s">
        <v>405</v>
      </c>
      <c r="C8022" s="309" t="s">
        <v>118</v>
      </c>
      <c r="D8022">
        <v>0</v>
      </c>
    </row>
    <row r="8023" spans="1:4" x14ac:dyDescent="0.25">
      <c r="A8023" s="279">
        <v>39325</v>
      </c>
      <c r="B8023" s="309" t="s">
        <v>405</v>
      </c>
      <c r="C8023" s="309" t="s">
        <v>407</v>
      </c>
      <c r="D8023">
        <v>2717825.1</v>
      </c>
    </row>
    <row r="8024" spans="1:4" x14ac:dyDescent="0.25">
      <c r="A8024" s="279">
        <v>39325</v>
      </c>
      <c r="B8024" s="309" t="s">
        <v>405</v>
      </c>
      <c r="C8024" s="309" t="s">
        <v>408</v>
      </c>
      <c r="D8024">
        <v>1007</v>
      </c>
    </row>
    <row r="8025" spans="1:4" x14ac:dyDescent="0.25">
      <c r="A8025" s="279">
        <v>39325</v>
      </c>
      <c r="B8025" s="309" t="s">
        <v>405</v>
      </c>
      <c r="C8025" s="309" t="s">
        <v>409</v>
      </c>
      <c r="D8025">
        <v>1058</v>
      </c>
    </row>
    <row r="8026" spans="1:4" x14ac:dyDescent="0.25">
      <c r="A8026" s="279">
        <v>39325</v>
      </c>
      <c r="B8026" s="309" t="s">
        <v>405</v>
      </c>
      <c r="C8026" s="309" t="s">
        <v>410</v>
      </c>
      <c r="D8026">
        <v>1036</v>
      </c>
    </row>
    <row r="8027" spans="1:4" x14ac:dyDescent="0.25">
      <c r="A8027" s="279">
        <v>39325</v>
      </c>
      <c r="B8027" s="309" t="s">
        <v>411</v>
      </c>
      <c r="C8027" s="309" t="s">
        <v>406</v>
      </c>
      <c r="D8027">
        <v>156722</v>
      </c>
    </row>
    <row r="8028" spans="1:4" x14ac:dyDescent="0.25">
      <c r="A8028" s="279">
        <v>39325</v>
      </c>
      <c r="B8028" s="309" t="s">
        <v>411</v>
      </c>
      <c r="C8028" s="309" t="s">
        <v>198</v>
      </c>
      <c r="D8028">
        <v>0</v>
      </c>
    </row>
    <row r="8029" spans="1:4" x14ac:dyDescent="0.25">
      <c r="A8029" s="279">
        <v>39325</v>
      </c>
      <c r="B8029" s="309" t="s">
        <v>411</v>
      </c>
      <c r="C8029" s="309" t="s">
        <v>199</v>
      </c>
      <c r="D8029">
        <v>0</v>
      </c>
    </row>
    <row r="8030" spans="1:4" x14ac:dyDescent="0.25">
      <c r="A8030" s="279">
        <v>39325</v>
      </c>
      <c r="B8030" s="309" t="s">
        <v>411</v>
      </c>
      <c r="C8030" s="309" t="s">
        <v>90</v>
      </c>
      <c r="D8030">
        <v>131</v>
      </c>
    </row>
    <row r="8031" spans="1:4" x14ac:dyDescent="0.25">
      <c r="A8031" s="279">
        <v>39325</v>
      </c>
      <c r="B8031" s="309" t="s">
        <v>411</v>
      </c>
      <c r="C8031" s="309" t="s">
        <v>24</v>
      </c>
      <c r="D8031">
        <v>0</v>
      </c>
    </row>
    <row r="8032" spans="1:4" x14ac:dyDescent="0.25">
      <c r="A8032" s="279">
        <v>39325</v>
      </c>
      <c r="B8032" s="309" t="s">
        <v>411</v>
      </c>
      <c r="C8032" s="309" t="s">
        <v>91</v>
      </c>
      <c r="D8032">
        <v>0</v>
      </c>
    </row>
    <row r="8033" spans="1:4" x14ac:dyDescent="0.25">
      <c r="A8033" s="279">
        <v>39325</v>
      </c>
      <c r="B8033" s="309" t="s">
        <v>411</v>
      </c>
      <c r="C8033" s="309" t="s">
        <v>118</v>
      </c>
      <c r="D8033">
        <v>0</v>
      </c>
    </row>
    <row r="8034" spans="1:4" x14ac:dyDescent="0.25">
      <c r="A8034" s="279">
        <v>39325</v>
      </c>
      <c r="B8034" s="309" t="s">
        <v>411</v>
      </c>
      <c r="C8034" s="309" t="s">
        <v>407</v>
      </c>
      <c r="D8034">
        <v>156591</v>
      </c>
    </row>
    <row r="8035" spans="1:4" x14ac:dyDescent="0.25">
      <c r="A8035" s="279">
        <v>39325</v>
      </c>
      <c r="B8035" s="309" t="s">
        <v>411</v>
      </c>
      <c r="C8035" s="309" t="s">
        <v>412</v>
      </c>
      <c r="D8035">
        <v>1007</v>
      </c>
    </row>
    <row r="8036" spans="1:4" x14ac:dyDescent="0.25">
      <c r="A8036" s="279">
        <v>39325</v>
      </c>
      <c r="B8036" s="309" t="s">
        <v>411</v>
      </c>
      <c r="C8036" s="309" t="s">
        <v>409</v>
      </c>
      <c r="D8036">
        <v>1049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261"/>
  <sheetViews>
    <sheetView zoomScaleNormal="100" workbookViewId="0">
      <pane xSplit="1" ySplit="1" topLeftCell="B2" activePane="bottomRight" state="frozen"/>
      <selection activeCell="O329" sqref="O329"/>
      <selection pane="topRight" activeCell="O329" sqref="O329"/>
      <selection pane="bottomLeft" activeCell="O329" sqref="O329"/>
      <selection pane="bottomRight" sqref="A1:L366"/>
    </sheetView>
  </sheetViews>
  <sheetFormatPr defaultColWidth="9" defaultRowHeight="15.75" x14ac:dyDescent="0.25"/>
  <cols>
    <col min="1" max="1" width="10.125" style="20" customWidth="1"/>
    <col min="2" max="2" width="12" style="20" customWidth="1"/>
    <col min="3" max="3" width="11.25" style="20" customWidth="1"/>
    <col min="4" max="4" width="13.75" style="20" customWidth="1"/>
    <col min="5" max="5" width="9.5" style="20" customWidth="1"/>
    <col min="6" max="6" width="9" style="69"/>
    <col min="7" max="7" width="15.875" style="20" customWidth="1"/>
    <col min="8" max="8" width="14.5" style="20" customWidth="1"/>
    <col min="9" max="9" width="14.375" style="20" customWidth="1"/>
    <col min="10" max="10" width="15.875" style="20" customWidth="1"/>
    <col min="11" max="11" width="12.625" style="20" customWidth="1"/>
    <col min="12" max="12" width="8.25" style="69" customWidth="1"/>
    <col min="13" max="16384" width="9" style="20"/>
  </cols>
  <sheetData>
    <row r="1" spans="1:12" s="18" customFormat="1" x14ac:dyDescent="0.25">
      <c r="A1" s="275" t="s">
        <v>58</v>
      </c>
      <c r="B1" s="276" t="s">
        <v>325</v>
      </c>
      <c r="C1" s="276" t="s">
        <v>324</v>
      </c>
      <c r="D1" s="276" t="s">
        <v>326</v>
      </c>
      <c r="E1" s="276" t="s">
        <v>327</v>
      </c>
      <c r="F1" s="277" t="s">
        <v>328</v>
      </c>
      <c r="G1" s="276" t="s">
        <v>329</v>
      </c>
      <c r="H1" s="276" t="s">
        <v>330</v>
      </c>
      <c r="I1" s="276" t="s">
        <v>331</v>
      </c>
      <c r="J1" s="276" t="s">
        <v>332</v>
      </c>
      <c r="K1" s="276" t="s">
        <v>333</v>
      </c>
      <c r="L1" s="278" t="s">
        <v>334</v>
      </c>
    </row>
    <row r="2" spans="1:12" x14ac:dyDescent="0.25">
      <c r="A2" s="223">
        <v>38961</v>
      </c>
      <c r="B2" s="216">
        <v>0</v>
      </c>
      <c r="C2" s="216">
        <v>0</v>
      </c>
      <c r="D2" s="216">
        <v>280</v>
      </c>
      <c r="E2" s="216">
        <v>0</v>
      </c>
      <c r="F2" s="217">
        <v>1035</v>
      </c>
      <c r="G2" s="216">
        <v>46048</v>
      </c>
      <c r="H2" s="216">
        <v>19422</v>
      </c>
      <c r="I2" s="216">
        <v>0</v>
      </c>
      <c r="J2" s="216">
        <v>0</v>
      </c>
      <c r="K2" s="216">
        <v>0</v>
      </c>
      <c r="L2" s="217">
        <v>1040</v>
      </c>
    </row>
    <row r="3" spans="1:12" x14ac:dyDescent="0.25">
      <c r="A3" s="31">
        <f>1+A2</f>
        <v>38962</v>
      </c>
      <c r="B3" s="216">
        <v>0</v>
      </c>
      <c r="C3" s="216">
        <v>0</v>
      </c>
      <c r="D3" s="216">
        <v>220</v>
      </c>
      <c r="E3" s="216">
        <v>0</v>
      </c>
      <c r="F3" s="217">
        <v>1033</v>
      </c>
      <c r="G3" s="216">
        <v>40239</v>
      </c>
      <c r="H3" s="216">
        <v>21799</v>
      </c>
      <c r="I3" s="216">
        <v>0</v>
      </c>
      <c r="J3" s="216">
        <v>5</v>
      </c>
      <c r="K3" s="216">
        <v>0</v>
      </c>
      <c r="L3" s="217">
        <v>1037</v>
      </c>
    </row>
    <row r="4" spans="1:12" x14ac:dyDescent="0.25">
      <c r="A4" s="31">
        <f t="shared" ref="A4:A67" si="0">1+A3</f>
        <v>38963</v>
      </c>
      <c r="B4" s="216">
        <v>0</v>
      </c>
      <c r="C4" s="216">
        <v>0</v>
      </c>
      <c r="D4" s="216">
        <v>210</v>
      </c>
      <c r="E4" s="216">
        <v>0</v>
      </c>
      <c r="F4" s="217">
        <v>1033</v>
      </c>
      <c r="G4" s="216">
        <v>37210</v>
      </c>
      <c r="H4" s="216">
        <v>24418</v>
      </c>
      <c r="I4" s="216">
        <v>0</v>
      </c>
      <c r="J4" s="216">
        <v>0</v>
      </c>
      <c r="K4" s="216">
        <v>0</v>
      </c>
      <c r="L4" s="217">
        <v>1037</v>
      </c>
    </row>
    <row r="5" spans="1:12" x14ac:dyDescent="0.25">
      <c r="A5" s="31">
        <f t="shared" si="0"/>
        <v>38964</v>
      </c>
      <c r="B5" s="216">
        <v>0</v>
      </c>
      <c r="C5" s="216">
        <v>0</v>
      </c>
      <c r="D5" s="216">
        <v>210</v>
      </c>
      <c r="E5" s="216">
        <v>0</v>
      </c>
      <c r="F5" s="217">
        <v>1033</v>
      </c>
      <c r="G5" s="216">
        <v>39008</v>
      </c>
      <c r="H5" s="216">
        <v>27913</v>
      </c>
      <c r="I5" s="216">
        <v>0</v>
      </c>
      <c r="J5" s="216">
        <v>0</v>
      </c>
      <c r="K5" s="216">
        <v>0</v>
      </c>
      <c r="L5" s="217">
        <v>1039</v>
      </c>
    </row>
    <row r="6" spans="1:12" x14ac:dyDescent="0.25">
      <c r="A6" s="31">
        <f t="shared" si="0"/>
        <v>38965</v>
      </c>
      <c r="B6" s="216">
        <v>0</v>
      </c>
      <c r="C6" s="216">
        <v>0</v>
      </c>
      <c r="D6" s="216">
        <v>270</v>
      </c>
      <c r="E6" s="216">
        <v>0</v>
      </c>
      <c r="F6" s="217">
        <v>1033</v>
      </c>
      <c r="G6" s="216">
        <v>51951</v>
      </c>
      <c r="H6" s="216">
        <v>32952</v>
      </c>
      <c r="I6" s="216">
        <v>0</v>
      </c>
      <c r="J6" s="216">
        <v>0</v>
      </c>
      <c r="K6" s="216">
        <v>0</v>
      </c>
      <c r="L6" s="217">
        <v>1035</v>
      </c>
    </row>
    <row r="7" spans="1:12" x14ac:dyDescent="0.25">
      <c r="A7" s="31">
        <f t="shared" si="0"/>
        <v>38966</v>
      </c>
      <c r="B7" s="216">
        <v>0</v>
      </c>
      <c r="C7" s="216">
        <v>0</v>
      </c>
      <c r="D7" s="216">
        <v>270</v>
      </c>
      <c r="E7" s="216">
        <v>0</v>
      </c>
      <c r="F7" s="217">
        <v>1032</v>
      </c>
      <c r="G7" s="216">
        <v>47757</v>
      </c>
      <c r="H7" s="216">
        <v>39741</v>
      </c>
      <c r="I7" s="216">
        <v>0</v>
      </c>
      <c r="J7" s="216">
        <v>0</v>
      </c>
      <c r="K7" s="216">
        <v>0</v>
      </c>
      <c r="L7" s="217">
        <v>1035</v>
      </c>
    </row>
    <row r="8" spans="1:12" x14ac:dyDescent="0.25">
      <c r="A8" s="31">
        <f t="shared" si="0"/>
        <v>38967</v>
      </c>
      <c r="B8" s="216">
        <v>0</v>
      </c>
      <c r="C8" s="216">
        <v>0</v>
      </c>
      <c r="D8" s="216">
        <v>15</v>
      </c>
      <c r="E8" s="216">
        <v>0</v>
      </c>
      <c r="F8" s="217">
        <v>1032</v>
      </c>
      <c r="G8" s="216">
        <v>52934</v>
      </c>
      <c r="H8" s="216">
        <v>33541</v>
      </c>
      <c r="I8" s="216">
        <v>0</v>
      </c>
      <c r="J8" s="216">
        <v>0</v>
      </c>
      <c r="K8" s="216">
        <v>0</v>
      </c>
      <c r="L8" s="217">
        <v>1032</v>
      </c>
    </row>
    <row r="9" spans="1:12" x14ac:dyDescent="0.25">
      <c r="A9" s="31">
        <f t="shared" si="0"/>
        <v>38968</v>
      </c>
      <c r="B9" s="216">
        <v>0</v>
      </c>
      <c r="C9" s="216">
        <v>0</v>
      </c>
      <c r="D9" s="216">
        <v>0</v>
      </c>
      <c r="E9" s="216">
        <v>0</v>
      </c>
      <c r="F9" s="217">
        <v>1033</v>
      </c>
      <c r="G9" s="216">
        <v>44966</v>
      </c>
      <c r="H9" s="216">
        <v>31501</v>
      </c>
      <c r="I9" s="216">
        <v>0</v>
      </c>
      <c r="J9" s="216">
        <v>10011</v>
      </c>
      <c r="K9" s="216">
        <v>0</v>
      </c>
      <c r="L9" s="217">
        <v>1037</v>
      </c>
    </row>
    <row r="10" spans="1:12" x14ac:dyDescent="0.25">
      <c r="A10" s="31">
        <f t="shared" si="0"/>
        <v>38969</v>
      </c>
      <c r="B10" s="216">
        <v>0</v>
      </c>
      <c r="C10" s="216">
        <v>0</v>
      </c>
      <c r="D10" s="216">
        <v>0</v>
      </c>
      <c r="E10" s="216">
        <v>0</v>
      </c>
      <c r="F10" s="217">
        <v>1034</v>
      </c>
      <c r="G10" s="216">
        <v>45040</v>
      </c>
      <c r="H10" s="216">
        <v>27347</v>
      </c>
      <c r="I10" s="216">
        <v>0</v>
      </c>
      <c r="J10" s="216">
        <v>12100</v>
      </c>
      <c r="K10" s="216">
        <v>0</v>
      </c>
      <c r="L10" s="217">
        <v>1034</v>
      </c>
    </row>
    <row r="11" spans="1:12" x14ac:dyDescent="0.25">
      <c r="A11" s="31">
        <f t="shared" si="0"/>
        <v>38970</v>
      </c>
      <c r="B11" s="216">
        <v>0</v>
      </c>
      <c r="C11" s="216">
        <v>0</v>
      </c>
      <c r="D11" s="216">
        <v>0</v>
      </c>
      <c r="E11" s="216">
        <v>0</v>
      </c>
      <c r="F11" s="217">
        <v>1034</v>
      </c>
      <c r="G11" s="216">
        <v>54573</v>
      </c>
      <c r="H11" s="216">
        <v>33310</v>
      </c>
      <c r="I11" s="216">
        <v>0</v>
      </c>
      <c r="J11" s="216">
        <v>2855</v>
      </c>
      <c r="K11" s="216">
        <v>0</v>
      </c>
      <c r="L11" s="217">
        <v>1032</v>
      </c>
    </row>
    <row r="12" spans="1:12" x14ac:dyDescent="0.25">
      <c r="A12" s="31">
        <f t="shared" si="0"/>
        <v>38971</v>
      </c>
      <c r="B12" s="216">
        <v>0</v>
      </c>
      <c r="C12" s="216">
        <v>0</v>
      </c>
      <c r="D12" s="216">
        <v>0</v>
      </c>
      <c r="E12" s="216">
        <v>0</v>
      </c>
      <c r="F12" s="217">
        <v>1033</v>
      </c>
      <c r="G12" s="216">
        <v>50196</v>
      </c>
      <c r="H12" s="216">
        <v>34672</v>
      </c>
      <c r="I12" s="216">
        <v>0</v>
      </c>
      <c r="J12" s="216">
        <v>0</v>
      </c>
      <c r="K12" s="216">
        <v>0</v>
      </c>
      <c r="L12" s="217">
        <v>1030</v>
      </c>
    </row>
    <row r="13" spans="1:12" x14ac:dyDescent="0.25">
      <c r="A13" s="31">
        <f t="shared" si="0"/>
        <v>38972</v>
      </c>
      <c r="B13" s="216">
        <v>0</v>
      </c>
      <c r="C13" s="216">
        <v>0</v>
      </c>
      <c r="D13" s="216">
        <v>0</v>
      </c>
      <c r="E13" s="216">
        <v>0</v>
      </c>
      <c r="F13" s="217">
        <v>1033</v>
      </c>
      <c r="G13" s="216">
        <v>58790</v>
      </c>
      <c r="H13" s="216">
        <v>38564</v>
      </c>
      <c r="I13" s="216">
        <v>0</v>
      </c>
      <c r="J13" s="216">
        <v>0</v>
      </c>
      <c r="K13" s="216">
        <v>0</v>
      </c>
      <c r="L13" s="217">
        <v>1033</v>
      </c>
    </row>
    <row r="14" spans="1:12" x14ac:dyDescent="0.25">
      <c r="A14" s="31">
        <f t="shared" si="0"/>
        <v>38973</v>
      </c>
      <c r="B14" s="216">
        <v>0</v>
      </c>
      <c r="C14" s="216">
        <v>0</v>
      </c>
      <c r="D14" s="216">
        <v>0</v>
      </c>
      <c r="E14" s="216">
        <v>0</v>
      </c>
      <c r="F14" s="217">
        <v>1030</v>
      </c>
      <c r="G14" s="216">
        <v>62229</v>
      </c>
      <c r="H14" s="216">
        <v>34635</v>
      </c>
      <c r="I14" s="216">
        <v>0</v>
      </c>
      <c r="J14" s="216">
        <v>0</v>
      </c>
      <c r="K14" s="216">
        <v>0</v>
      </c>
      <c r="L14" s="217">
        <v>1032</v>
      </c>
    </row>
    <row r="15" spans="1:12" x14ac:dyDescent="0.25">
      <c r="A15" s="31">
        <f t="shared" si="0"/>
        <v>38974</v>
      </c>
      <c r="B15" s="216">
        <v>0</v>
      </c>
      <c r="C15" s="216">
        <v>0</v>
      </c>
      <c r="D15" s="216">
        <v>0</v>
      </c>
      <c r="E15" s="216">
        <v>0</v>
      </c>
      <c r="F15" s="217">
        <v>1032</v>
      </c>
      <c r="G15" s="216">
        <v>60815</v>
      </c>
      <c r="H15" s="216">
        <v>34585</v>
      </c>
      <c r="I15" s="216">
        <v>0</v>
      </c>
      <c r="J15" s="216">
        <v>0</v>
      </c>
      <c r="K15" s="216">
        <v>0</v>
      </c>
      <c r="L15" s="217">
        <v>1034</v>
      </c>
    </row>
    <row r="16" spans="1:12" x14ac:dyDescent="0.25">
      <c r="A16" s="31">
        <f t="shared" si="0"/>
        <v>38975</v>
      </c>
      <c r="B16" s="216">
        <v>0</v>
      </c>
      <c r="C16" s="216">
        <v>0</v>
      </c>
      <c r="D16" s="216">
        <v>0</v>
      </c>
      <c r="E16" s="216">
        <v>0</v>
      </c>
      <c r="F16" s="217">
        <v>1027</v>
      </c>
      <c r="G16" s="216">
        <v>62655</v>
      </c>
      <c r="H16" s="216">
        <v>36164</v>
      </c>
      <c r="I16" s="216">
        <v>0</v>
      </c>
      <c r="J16" s="216">
        <v>0</v>
      </c>
      <c r="K16" s="216">
        <v>0</v>
      </c>
      <c r="L16" s="217">
        <v>1034</v>
      </c>
    </row>
    <row r="17" spans="1:12" x14ac:dyDescent="0.25">
      <c r="A17" s="31">
        <f t="shared" si="0"/>
        <v>38976</v>
      </c>
      <c r="B17" s="216">
        <v>0</v>
      </c>
      <c r="C17" s="216">
        <v>0</v>
      </c>
      <c r="D17" s="216">
        <v>0</v>
      </c>
      <c r="E17" s="216">
        <v>0</v>
      </c>
      <c r="F17" s="217">
        <v>1027</v>
      </c>
      <c r="G17" s="216">
        <v>61286</v>
      </c>
      <c r="H17" s="216">
        <v>37516</v>
      </c>
      <c r="I17" s="216">
        <v>0</v>
      </c>
      <c r="J17" s="216">
        <v>0</v>
      </c>
      <c r="K17" s="216">
        <v>0</v>
      </c>
      <c r="L17" s="217">
        <v>1032</v>
      </c>
    </row>
    <row r="18" spans="1:12" x14ac:dyDescent="0.25">
      <c r="A18" s="31">
        <f t="shared" si="0"/>
        <v>38977</v>
      </c>
      <c r="B18" s="216">
        <v>0</v>
      </c>
      <c r="C18" s="216">
        <v>0</v>
      </c>
      <c r="D18" s="216">
        <v>0</v>
      </c>
      <c r="E18" s="216">
        <v>0</v>
      </c>
      <c r="F18" s="217">
        <v>1030</v>
      </c>
      <c r="G18" s="216">
        <v>59071</v>
      </c>
      <c r="H18" s="216">
        <v>39335</v>
      </c>
      <c r="I18" s="216">
        <v>0</v>
      </c>
      <c r="J18" s="216">
        <v>0</v>
      </c>
      <c r="K18" s="216">
        <v>0</v>
      </c>
      <c r="L18" s="217">
        <v>1033</v>
      </c>
    </row>
    <row r="19" spans="1:12" x14ac:dyDescent="0.25">
      <c r="A19" s="31">
        <f t="shared" si="0"/>
        <v>38978</v>
      </c>
      <c r="B19" s="216">
        <v>0</v>
      </c>
      <c r="C19" s="216">
        <v>0</v>
      </c>
      <c r="D19" s="216">
        <v>0</v>
      </c>
      <c r="E19" s="216">
        <v>0</v>
      </c>
      <c r="F19" s="217">
        <v>1030</v>
      </c>
      <c r="G19" s="216">
        <v>57079</v>
      </c>
      <c r="H19" s="216">
        <v>38927</v>
      </c>
      <c r="I19" s="216">
        <v>0</v>
      </c>
      <c r="J19" s="216">
        <v>0</v>
      </c>
      <c r="K19" s="216">
        <v>0</v>
      </c>
      <c r="L19" s="217">
        <v>1033</v>
      </c>
    </row>
    <row r="20" spans="1:12" x14ac:dyDescent="0.25">
      <c r="A20" s="31">
        <f t="shared" si="0"/>
        <v>38979</v>
      </c>
      <c r="B20" s="216">
        <v>0</v>
      </c>
      <c r="C20" s="216">
        <v>0</v>
      </c>
      <c r="D20" s="216">
        <v>0</v>
      </c>
      <c r="E20" s="216">
        <v>0</v>
      </c>
      <c r="F20" s="217">
        <v>1028</v>
      </c>
      <c r="G20" s="216">
        <v>56063</v>
      </c>
      <c r="H20" s="216">
        <v>38843</v>
      </c>
      <c r="I20" s="216">
        <v>0</v>
      </c>
      <c r="J20" s="216">
        <v>0</v>
      </c>
      <c r="K20" s="216">
        <v>0</v>
      </c>
      <c r="L20" s="217">
        <v>1033</v>
      </c>
    </row>
    <row r="21" spans="1:12" x14ac:dyDescent="0.25">
      <c r="A21" s="31">
        <f t="shared" si="0"/>
        <v>38980</v>
      </c>
      <c r="B21" s="216">
        <v>0</v>
      </c>
      <c r="C21" s="216">
        <v>0</v>
      </c>
      <c r="D21" s="216">
        <v>0</v>
      </c>
      <c r="E21" s="216">
        <v>0</v>
      </c>
      <c r="F21" s="217">
        <v>1029</v>
      </c>
      <c r="G21" s="216">
        <v>66346</v>
      </c>
      <c r="H21" s="216">
        <v>33255</v>
      </c>
      <c r="I21" s="216">
        <v>0</v>
      </c>
      <c r="J21" s="216">
        <v>5</v>
      </c>
      <c r="K21" s="216">
        <v>0</v>
      </c>
      <c r="L21" s="217">
        <v>1032</v>
      </c>
    </row>
    <row r="22" spans="1:12" x14ac:dyDescent="0.25">
      <c r="A22" s="31">
        <f t="shared" si="0"/>
        <v>38981</v>
      </c>
      <c r="B22" s="216">
        <v>0</v>
      </c>
      <c r="C22" s="216">
        <v>0</v>
      </c>
      <c r="D22" s="216">
        <v>0</v>
      </c>
      <c r="E22" s="216">
        <v>0</v>
      </c>
      <c r="F22" s="217">
        <v>1030</v>
      </c>
      <c r="G22" s="216">
        <v>70756</v>
      </c>
      <c r="H22" s="216">
        <v>33032</v>
      </c>
      <c r="I22" s="216">
        <v>0</v>
      </c>
      <c r="J22" s="216">
        <v>0</v>
      </c>
      <c r="K22" s="216">
        <v>0</v>
      </c>
      <c r="L22" s="217">
        <v>1032</v>
      </c>
    </row>
    <row r="23" spans="1:12" x14ac:dyDescent="0.25">
      <c r="A23" s="31">
        <f t="shared" si="0"/>
        <v>38982</v>
      </c>
      <c r="B23" s="216">
        <v>0</v>
      </c>
      <c r="C23" s="216">
        <v>0</v>
      </c>
      <c r="D23" s="216">
        <v>0</v>
      </c>
      <c r="E23" s="216">
        <v>0</v>
      </c>
      <c r="F23" s="217">
        <v>1032</v>
      </c>
      <c r="G23" s="216">
        <v>62254</v>
      </c>
      <c r="H23" s="216">
        <v>33003</v>
      </c>
      <c r="I23" s="216">
        <v>0</v>
      </c>
      <c r="J23" s="216">
        <v>0</v>
      </c>
      <c r="K23" s="216">
        <v>0</v>
      </c>
      <c r="L23" s="217">
        <v>1031</v>
      </c>
    </row>
    <row r="24" spans="1:12" x14ac:dyDescent="0.25">
      <c r="A24" s="31">
        <f t="shared" si="0"/>
        <v>38983</v>
      </c>
      <c r="B24" s="216">
        <v>0</v>
      </c>
      <c r="C24" s="216">
        <v>0</v>
      </c>
      <c r="D24" s="216">
        <v>0</v>
      </c>
      <c r="E24" s="216">
        <v>0</v>
      </c>
      <c r="F24" s="217">
        <v>1031</v>
      </c>
      <c r="G24" s="216">
        <v>55296</v>
      </c>
      <c r="H24" s="216">
        <v>34734</v>
      </c>
      <c r="I24" s="216">
        <v>0</v>
      </c>
      <c r="J24" s="216">
        <v>0</v>
      </c>
      <c r="K24" s="216">
        <v>0</v>
      </c>
      <c r="L24" s="217">
        <v>1031</v>
      </c>
    </row>
    <row r="25" spans="1:12" x14ac:dyDescent="0.25">
      <c r="A25" s="31">
        <f t="shared" si="0"/>
        <v>38984</v>
      </c>
      <c r="B25" s="216">
        <v>0</v>
      </c>
      <c r="C25" s="216">
        <v>0</v>
      </c>
      <c r="D25" s="216">
        <v>0</v>
      </c>
      <c r="E25" s="216">
        <v>0</v>
      </c>
      <c r="F25" s="217">
        <v>1034</v>
      </c>
      <c r="G25" s="216">
        <v>68207</v>
      </c>
      <c r="H25" s="216">
        <v>26494</v>
      </c>
      <c r="I25" s="216">
        <v>0</v>
      </c>
      <c r="J25" s="216">
        <v>0</v>
      </c>
      <c r="K25" s="216">
        <v>0</v>
      </c>
      <c r="L25" s="217">
        <v>1034</v>
      </c>
    </row>
    <row r="26" spans="1:12" x14ac:dyDescent="0.25">
      <c r="A26" s="31">
        <f t="shared" si="0"/>
        <v>38985</v>
      </c>
      <c r="B26" s="216">
        <v>0</v>
      </c>
      <c r="C26" s="216">
        <v>0</v>
      </c>
      <c r="D26" s="216">
        <v>0</v>
      </c>
      <c r="E26" s="216">
        <v>0</v>
      </c>
      <c r="F26" s="217">
        <v>1032</v>
      </c>
      <c r="G26" s="216">
        <v>66893</v>
      </c>
      <c r="H26" s="216">
        <v>31449</v>
      </c>
      <c r="I26" s="216">
        <v>0</v>
      </c>
      <c r="J26" s="216">
        <v>0</v>
      </c>
      <c r="K26" s="216">
        <v>0</v>
      </c>
      <c r="L26" s="217">
        <v>1033</v>
      </c>
    </row>
    <row r="27" spans="1:12" x14ac:dyDescent="0.25">
      <c r="A27" s="31">
        <f t="shared" si="0"/>
        <v>38986</v>
      </c>
      <c r="B27" s="216">
        <v>0</v>
      </c>
      <c r="C27" s="216">
        <v>0</v>
      </c>
      <c r="D27" s="216">
        <v>11</v>
      </c>
      <c r="E27" s="216">
        <v>0</v>
      </c>
      <c r="F27" s="217">
        <v>1030</v>
      </c>
      <c r="G27" s="216">
        <v>72142</v>
      </c>
      <c r="H27" s="216">
        <v>30394</v>
      </c>
      <c r="I27" s="216">
        <v>0</v>
      </c>
      <c r="J27" s="216">
        <v>0</v>
      </c>
      <c r="K27" s="216">
        <v>0</v>
      </c>
      <c r="L27" s="217">
        <v>1033</v>
      </c>
    </row>
    <row r="28" spans="1:12" x14ac:dyDescent="0.25">
      <c r="A28" s="31">
        <f t="shared" si="0"/>
        <v>38987</v>
      </c>
      <c r="B28" s="216">
        <v>0</v>
      </c>
      <c r="C28" s="216">
        <v>0</v>
      </c>
      <c r="D28" s="216">
        <v>260</v>
      </c>
      <c r="E28" s="216">
        <v>0</v>
      </c>
      <c r="F28" s="217">
        <v>1032</v>
      </c>
      <c r="G28" s="216">
        <v>67175</v>
      </c>
      <c r="H28" s="216">
        <v>31904</v>
      </c>
      <c r="I28" s="216">
        <v>0</v>
      </c>
      <c r="J28" s="216">
        <v>5</v>
      </c>
      <c r="K28" s="216">
        <v>0</v>
      </c>
      <c r="L28" s="217">
        <v>1033</v>
      </c>
    </row>
    <row r="29" spans="1:12" x14ac:dyDescent="0.25">
      <c r="A29" s="31">
        <f t="shared" si="0"/>
        <v>38988</v>
      </c>
      <c r="B29" s="216">
        <v>0</v>
      </c>
      <c r="C29" s="216">
        <v>0</v>
      </c>
      <c r="D29" s="216">
        <v>300</v>
      </c>
      <c r="E29" s="216">
        <v>0</v>
      </c>
      <c r="F29" s="217">
        <v>1032</v>
      </c>
      <c r="G29" s="216">
        <v>65927</v>
      </c>
      <c r="H29" s="216">
        <v>29248</v>
      </c>
      <c r="I29" s="216">
        <v>0</v>
      </c>
      <c r="J29" s="216">
        <v>0</v>
      </c>
      <c r="K29" s="216">
        <v>485</v>
      </c>
      <c r="L29" s="217">
        <v>1035</v>
      </c>
    </row>
    <row r="30" spans="1:12" x14ac:dyDescent="0.25">
      <c r="A30" s="31">
        <f t="shared" si="0"/>
        <v>38989</v>
      </c>
      <c r="B30" s="216">
        <v>0</v>
      </c>
      <c r="C30" s="216">
        <v>0</v>
      </c>
      <c r="D30" s="216">
        <v>310</v>
      </c>
      <c r="E30" s="216">
        <v>0</v>
      </c>
      <c r="F30" s="217">
        <v>1032</v>
      </c>
      <c r="G30" s="216">
        <v>80113</v>
      </c>
      <c r="H30" s="216">
        <v>23844</v>
      </c>
      <c r="I30" s="216">
        <v>0</v>
      </c>
      <c r="J30" s="216">
        <v>0</v>
      </c>
      <c r="K30" s="216">
        <v>0</v>
      </c>
      <c r="L30" s="217">
        <v>1033</v>
      </c>
    </row>
    <row r="31" spans="1:12" x14ac:dyDescent="0.25">
      <c r="A31" s="31">
        <f t="shared" si="0"/>
        <v>38990</v>
      </c>
      <c r="B31" s="216">
        <v>0</v>
      </c>
      <c r="C31" s="216">
        <v>0</v>
      </c>
      <c r="D31" s="216">
        <v>280</v>
      </c>
      <c r="E31" s="216">
        <v>0</v>
      </c>
      <c r="F31" s="217">
        <v>1032</v>
      </c>
      <c r="G31" s="216">
        <v>67899</v>
      </c>
      <c r="H31" s="216">
        <v>28552</v>
      </c>
      <c r="I31" s="216">
        <v>0</v>
      </c>
      <c r="J31" s="216">
        <v>0</v>
      </c>
      <c r="K31" s="216">
        <v>0</v>
      </c>
      <c r="L31" s="217">
        <v>1032</v>
      </c>
    </row>
    <row r="32" spans="1:12" x14ac:dyDescent="0.25">
      <c r="A32" s="31">
        <f>1+A31</f>
        <v>38991</v>
      </c>
      <c r="B32" s="216">
        <v>0</v>
      </c>
      <c r="C32" s="216">
        <v>0</v>
      </c>
      <c r="D32" s="216">
        <v>330</v>
      </c>
      <c r="E32" s="216">
        <v>0</v>
      </c>
      <c r="F32" s="217">
        <v>1030</v>
      </c>
      <c r="G32" s="216">
        <v>67317</v>
      </c>
      <c r="H32" s="216">
        <v>21870</v>
      </c>
      <c r="I32" s="216">
        <v>0</v>
      </c>
      <c r="J32" s="216">
        <v>0</v>
      </c>
      <c r="K32" s="216">
        <v>0</v>
      </c>
      <c r="L32" s="217">
        <v>1029</v>
      </c>
    </row>
    <row r="33" spans="1:12" x14ac:dyDescent="0.25">
      <c r="A33" s="31">
        <f t="shared" si="0"/>
        <v>38992</v>
      </c>
      <c r="B33" s="216">
        <v>0</v>
      </c>
      <c r="C33" s="216">
        <v>0</v>
      </c>
      <c r="D33" s="216">
        <v>350</v>
      </c>
      <c r="E33" s="216">
        <v>0</v>
      </c>
      <c r="F33" s="217">
        <v>1030</v>
      </c>
      <c r="G33" s="216">
        <v>66007</v>
      </c>
      <c r="H33" s="216">
        <v>22917</v>
      </c>
      <c r="I33" s="216">
        <v>0</v>
      </c>
      <c r="J33" s="216">
        <v>0</v>
      </c>
      <c r="K33" s="216">
        <v>0</v>
      </c>
      <c r="L33" s="217">
        <v>1033</v>
      </c>
    </row>
    <row r="34" spans="1:12" x14ac:dyDescent="0.25">
      <c r="A34" s="31">
        <f t="shared" si="0"/>
        <v>38993</v>
      </c>
      <c r="B34" s="216">
        <v>0</v>
      </c>
      <c r="C34" s="216">
        <v>0</v>
      </c>
      <c r="D34" s="216">
        <v>330</v>
      </c>
      <c r="E34" s="216">
        <v>0</v>
      </c>
      <c r="F34" s="217">
        <v>1027</v>
      </c>
      <c r="G34" s="216">
        <v>61679</v>
      </c>
      <c r="H34" s="216">
        <v>19757</v>
      </c>
      <c r="I34" s="216">
        <v>0</v>
      </c>
      <c r="J34" s="216">
        <v>0</v>
      </c>
      <c r="K34" s="216">
        <v>0</v>
      </c>
      <c r="L34" s="217">
        <v>1036</v>
      </c>
    </row>
    <row r="35" spans="1:12" x14ac:dyDescent="0.25">
      <c r="A35" s="31">
        <f t="shared" si="0"/>
        <v>38994</v>
      </c>
      <c r="B35" s="216">
        <v>0</v>
      </c>
      <c r="C35" s="216">
        <v>0</v>
      </c>
      <c r="D35" s="216">
        <v>610</v>
      </c>
      <c r="E35" s="216">
        <v>0</v>
      </c>
      <c r="F35" s="217">
        <v>1031</v>
      </c>
      <c r="G35" s="216">
        <v>62460</v>
      </c>
      <c r="H35" s="216">
        <v>17698</v>
      </c>
      <c r="I35" s="216">
        <v>0</v>
      </c>
      <c r="J35" s="216">
        <v>0</v>
      </c>
      <c r="K35" s="216">
        <v>0</v>
      </c>
      <c r="L35" s="217">
        <v>1035</v>
      </c>
    </row>
    <row r="36" spans="1:12" x14ac:dyDescent="0.25">
      <c r="A36" s="31">
        <f t="shared" si="0"/>
        <v>38995</v>
      </c>
      <c r="B36" s="216">
        <v>0</v>
      </c>
      <c r="C36" s="216">
        <v>0</v>
      </c>
      <c r="D36" s="216">
        <v>800</v>
      </c>
      <c r="E36" s="216">
        <v>0</v>
      </c>
      <c r="F36" s="217">
        <v>1030</v>
      </c>
      <c r="G36" s="216">
        <v>81251</v>
      </c>
      <c r="H36" s="216">
        <v>10239</v>
      </c>
      <c r="I36" s="216">
        <v>0</v>
      </c>
      <c r="J36" s="216">
        <v>0</v>
      </c>
      <c r="K36" s="216">
        <v>0</v>
      </c>
      <c r="L36" s="217">
        <v>1031</v>
      </c>
    </row>
    <row r="37" spans="1:12" x14ac:dyDescent="0.25">
      <c r="A37" s="31">
        <f t="shared" si="0"/>
        <v>38996</v>
      </c>
      <c r="B37" s="216">
        <v>0</v>
      </c>
      <c r="C37" s="216">
        <v>0</v>
      </c>
      <c r="D37" s="216">
        <v>1340</v>
      </c>
      <c r="E37" s="216">
        <v>0</v>
      </c>
      <c r="F37" s="217">
        <v>1031</v>
      </c>
      <c r="G37" s="216">
        <v>95050</v>
      </c>
      <c r="H37" s="216">
        <v>16155</v>
      </c>
      <c r="I37" s="216">
        <v>0</v>
      </c>
      <c r="J37" s="216">
        <v>0</v>
      </c>
      <c r="K37" s="216">
        <v>0</v>
      </c>
      <c r="L37" s="217">
        <v>1033</v>
      </c>
    </row>
    <row r="38" spans="1:12" x14ac:dyDescent="0.25">
      <c r="A38" s="31">
        <f t="shared" si="0"/>
        <v>38997</v>
      </c>
      <c r="B38" s="216">
        <v>0</v>
      </c>
      <c r="C38" s="216">
        <v>0</v>
      </c>
      <c r="D38" s="216">
        <v>1140</v>
      </c>
      <c r="E38" s="216">
        <v>0</v>
      </c>
      <c r="F38" s="217">
        <v>1031</v>
      </c>
      <c r="G38" s="216">
        <v>93734</v>
      </c>
      <c r="H38" s="216">
        <v>18019</v>
      </c>
      <c r="I38" s="216">
        <v>0</v>
      </c>
      <c r="J38" s="216">
        <v>0</v>
      </c>
      <c r="K38" s="216">
        <v>0</v>
      </c>
      <c r="L38" s="217">
        <v>1033</v>
      </c>
    </row>
    <row r="39" spans="1:12" x14ac:dyDescent="0.25">
      <c r="A39" s="31">
        <f t="shared" si="0"/>
        <v>38998</v>
      </c>
      <c r="B39" s="216">
        <v>0</v>
      </c>
      <c r="C39" s="216">
        <v>0</v>
      </c>
      <c r="D39" s="216">
        <v>840</v>
      </c>
      <c r="E39" s="216">
        <v>0</v>
      </c>
      <c r="F39" s="217">
        <v>1033</v>
      </c>
      <c r="G39" s="216">
        <v>82980</v>
      </c>
      <c r="H39" s="216">
        <v>13477</v>
      </c>
      <c r="I39" s="216">
        <v>0</v>
      </c>
      <c r="J39" s="216">
        <v>0</v>
      </c>
      <c r="K39" s="216">
        <v>0</v>
      </c>
      <c r="L39" s="217">
        <v>1035</v>
      </c>
    </row>
    <row r="40" spans="1:12" x14ac:dyDescent="0.25">
      <c r="A40" s="31">
        <f t="shared" si="0"/>
        <v>38999</v>
      </c>
      <c r="B40" s="216">
        <v>0</v>
      </c>
      <c r="C40" s="216">
        <v>0</v>
      </c>
      <c r="D40" s="216">
        <v>660</v>
      </c>
      <c r="E40" s="216">
        <v>0</v>
      </c>
      <c r="F40" s="217">
        <v>1034</v>
      </c>
      <c r="G40" s="216">
        <v>76604</v>
      </c>
      <c r="H40" s="216">
        <v>13102</v>
      </c>
      <c r="I40" s="216">
        <v>0</v>
      </c>
      <c r="J40" s="216">
        <v>0</v>
      </c>
      <c r="K40" s="216">
        <v>0</v>
      </c>
      <c r="L40" s="217">
        <v>1035</v>
      </c>
    </row>
    <row r="41" spans="1:12" x14ac:dyDescent="0.25">
      <c r="A41" s="31">
        <f t="shared" si="0"/>
        <v>39000</v>
      </c>
      <c r="B41" s="216">
        <v>0</v>
      </c>
      <c r="C41" s="216">
        <v>0</v>
      </c>
      <c r="D41" s="216">
        <v>560</v>
      </c>
      <c r="E41" s="216">
        <v>0</v>
      </c>
      <c r="F41" s="217">
        <v>1034</v>
      </c>
      <c r="G41" s="216">
        <v>66672</v>
      </c>
      <c r="H41" s="216">
        <v>15192</v>
      </c>
      <c r="I41" s="216">
        <v>0</v>
      </c>
      <c r="J41" s="216">
        <v>0</v>
      </c>
      <c r="K41" s="216">
        <v>0</v>
      </c>
      <c r="L41" s="217">
        <v>1034</v>
      </c>
    </row>
    <row r="42" spans="1:12" x14ac:dyDescent="0.25">
      <c r="A42" s="31">
        <f t="shared" si="0"/>
        <v>39001</v>
      </c>
      <c r="B42" s="216">
        <v>0</v>
      </c>
      <c r="C42" s="216">
        <v>0</v>
      </c>
      <c r="D42" s="216">
        <v>620</v>
      </c>
      <c r="E42" s="216">
        <v>0</v>
      </c>
      <c r="F42" s="217">
        <v>1030</v>
      </c>
      <c r="G42" s="216">
        <v>77120</v>
      </c>
      <c r="H42" s="216">
        <v>12234</v>
      </c>
      <c r="I42" s="216">
        <v>0</v>
      </c>
      <c r="J42" s="216">
        <v>0</v>
      </c>
      <c r="K42" s="216">
        <v>0</v>
      </c>
      <c r="L42" s="217">
        <v>1035</v>
      </c>
    </row>
    <row r="43" spans="1:12" x14ac:dyDescent="0.25">
      <c r="A43" s="31">
        <f t="shared" si="0"/>
        <v>39002</v>
      </c>
      <c r="B43" s="216">
        <v>0</v>
      </c>
      <c r="C43" s="216">
        <v>0</v>
      </c>
      <c r="D43" s="216">
        <v>919</v>
      </c>
      <c r="E43" s="216">
        <v>0</v>
      </c>
      <c r="F43" s="217">
        <v>1031</v>
      </c>
      <c r="G43" s="216">
        <v>93410</v>
      </c>
      <c r="H43" s="216">
        <v>15725</v>
      </c>
      <c r="I43" s="216">
        <v>0</v>
      </c>
      <c r="J43" s="216">
        <v>2674</v>
      </c>
      <c r="K43" s="216">
        <v>0</v>
      </c>
      <c r="L43" s="217">
        <v>1034</v>
      </c>
    </row>
    <row r="44" spans="1:12" x14ac:dyDescent="0.25">
      <c r="A44" s="31">
        <f t="shared" si="0"/>
        <v>39003</v>
      </c>
      <c r="B44" s="216">
        <v>78</v>
      </c>
      <c r="C44" s="216">
        <v>0</v>
      </c>
      <c r="D44" s="216">
        <v>1235</v>
      </c>
      <c r="E44" s="216">
        <v>0</v>
      </c>
      <c r="F44" s="217">
        <v>1031</v>
      </c>
      <c r="G44" s="216">
        <v>119025</v>
      </c>
      <c r="H44" s="216">
        <v>24520</v>
      </c>
      <c r="I44" s="216">
        <v>0</v>
      </c>
      <c r="J44" s="216">
        <v>2483</v>
      </c>
      <c r="K44" s="216">
        <v>0</v>
      </c>
      <c r="L44" s="217">
        <v>1032</v>
      </c>
    </row>
    <row r="45" spans="1:12" x14ac:dyDescent="0.25">
      <c r="A45" s="31">
        <f t="shared" si="0"/>
        <v>39004</v>
      </c>
      <c r="B45" s="216">
        <v>0</v>
      </c>
      <c r="C45" s="216">
        <v>2957</v>
      </c>
      <c r="D45" s="216">
        <v>1145</v>
      </c>
      <c r="E45" s="216">
        <v>0</v>
      </c>
      <c r="F45" s="217">
        <v>1034</v>
      </c>
      <c r="G45" s="216">
        <v>128523</v>
      </c>
      <c r="H45" s="216">
        <v>23725</v>
      </c>
      <c r="I45" s="216">
        <v>0</v>
      </c>
      <c r="J45" s="216">
        <v>0</v>
      </c>
      <c r="K45" s="216">
        <v>0</v>
      </c>
      <c r="L45" s="217">
        <v>1033</v>
      </c>
    </row>
    <row r="46" spans="1:12" x14ac:dyDescent="0.25">
      <c r="A46" s="31">
        <f t="shared" si="0"/>
        <v>39005</v>
      </c>
      <c r="B46" s="216">
        <v>16770</v>
      </c>
      <c r="C46" s="216">
        <v>0</v>
      </c>
      <c r="D46" s="216">
        <v>1070</v>
      </c>
      <c r="E46" s="216">
        <v>0</v>
      </c>
      <c r="F46" s="217">
        <v>1034</v>
      </c>
      <c r="G46" s="216">
        <v>122039</v>
      </c>
      <c r="H46" s="216">
        <v>24831</v>
      </c>
      <c r="I46" s="216">
        <v>0</v>
      </c>
      <c r="J46" s="216">
        <v>4504</v>
      </c>
      <c r="K46" s="216">
        <v>0</v>
      </c>
      <c r="L46" s="217">
        <v>1033</v>
      </c>
    </row>
    <row r="47" spans="1:12" x14ac:dyDescent="0.25">
      <c r="A47" s="31">
        <f t="shared" si="0"/>
        <v>39006</v>
      </c>
      <c r="B47" s="216">
        <v>0</v>
      </c>
      <c r="C47" s="216">
        <v>0</v>
      </c>
      <c r="D47" s="216">
        <v>980</v>
      </c>
      <c r="E47" s="216">
        <v>0</v>
      </c>
      <c r="F47" s="217">
        <v>1035</v>
      </c>
      <c r="G47" s="216">
        <v>114394</v>
      </c>
      <c r="H47" s="216">
        <v>27329</v>
      </c>
      <c r="I47" s="216">
        <v>0</v>
      </c>
      <c r="J47" s="216">
        <v>4563</v>
      </c>
      <c r="K47" s="216">
        <v>0</v>
      </c>
      <c r="L47" s="217">
        <v>1033</v>
      </c>
    </row>
    <row r="48" spans="1:12" x14ac:dyDescent="0.25">
      <c r="A48" s="31">
        <f t="shared" si="0"/>
        <v>39007</v>
      </c>
      <c r="B48" s="216">
        <v>0</v>
      </c>
      <c r="C48" s="216">
        <v>0</v>
      </c>
      <c r="D48" s="216">
        <v>1000</v>
      </c>
      <c r="E48" s="216">
        <v>0</v>
      </c>
      <c r="F48" s="217">
        <v>1033</v>
      </c>
      <c r="G48" s="216">
        <v>106811</v>
      </c>
      <c r="H48" s="216">
        <v>18844</v>
      </c>
      <c r="I48" s="216">
        <v>0</v>
      </c>
      <c r="J48" s="216">
        <v>2500</v>
      </c>
      <c r="K48" s="216">
        <v>0</v>
      </c>
      <c r="L48" s="217">
        <v>1033</v>
      </c>
    </row>
    <row r="49" spans="1:12" x14ac:dyDescent="0.25">
      <c r="A49" s="31">
        <f t="shared" si="0"/>
        <v>39008</v>
      </c>
      <c r="B49" s="216">
        <v>0</v>
      </c>
      <c r="C49" s="216">
        <v>0</v>
      </c>
      <c r="D49" s="216">
        <v>550</v>
      </c>
      <c r="E49" s="216">
        <v>0</v>
      </c>
      <c r="F49" s="217">
        <v>1035</v>
      </c>
      <c r="G49" s="216">
        <v>90301</v>
      </c>
      <c r="H49" s="216">
        <v>14828</v>
      </c>
      <c r="I49" s="216">
        <v>0</v>
      </c>
      <c r="J49" s="216">
        <v>0</v>
      </c>
      <c r="K49" s="216">
        <v>0</v>
      </c>
      <c r="L49" s="217">
        <v>1034</v>
      </c>
    </row>
    <row r="50" spans="1:12" x14ac:dyDescent="0.25">
      <c r="A50" s="31">
        <f t="shared" si="0"/>
        <v>39009</v>
      </c>
      <c r="B50" s="216">
        <v>0</v>
      </c>
      <c r="C50" s="216">
        <v>0</v>
      </c>
      <c r="D50" s="216">
        <v>560</v>
      </c>
      <c r="E50" s="216">
        <v>0</v>
      </c>
      <c r="F50" s="217">
        <v>1037</v>
      </c>
      <c r="G50" s="216">
        <v>89505</v>
      </c>
      <c r="H50" s="216">
        <v>11733</v>
      </c>
      <c r="I50" s="216">
        <v>0</v>
      </c>
      <c r="J50" s="216">
        <v>0</v>
      </c>
      <c r="K50" s="216">
        <v>0</v>
      </c>
      <c r="L50" s="217">
        <v>1033</v>
      </c>
    </row>
    <row r="51" spans="1:12" x14ac:dyDescent="0.25">
      <c r="A51" s="31">
        <f t="shared" si="0"/>
        <v>39010</v>
      </c>
      <c r="B51" s="216">
        <v>0</v>
      </c>
      <c r="C51" s="216">
        <v>3959</v>
      </c>
      <c r="D51" s="216">
        <v>1150</v>
      </c>
      <c r="E51" s="216">
        <v>0</v>
      </c>
      <c r="F51" s="217">
        <v>1037</v>
      </c>
      <c r="G51" s="216">
        <v>115937</v>
      </c>
      <c r="H51" s="216">
        <v>18082</v>
      </c>
      <c r="I51" s="216">
        <v>0</v>
      </c>
      <c r="J51" s="216">
        <v>781</v>
      </c>
      <c r="K51" s="216">
        <v>0</v>
      </c>
      <c r="L51" s="217">
        <v>1033</v>
      </c>
    </row>
    <row r="52" spans="1:12" x14ac:dyDescent="0.25">
      <c r="A52" s="31">
        <f t="shared" si="0"/>
        <v>39011</v>
      </c>
      <c r="B52" s="216">
        <v>0</v>
      </c>
      <c r="C52" s="216">
        <v>5616</v>
      </c>
      <c r="D52" s="216">
        <v>1140</v>
      </c>
      <c r="E52" s="216">
        <v>0</v>
      </c>
      <c r="F52" s="217">
        <v>1036</v>
      </c>
      <c r="G52" s="216">
        <v>124844</v>
      </c>
      <c r="H52" s="216">
        <v>25361</v>
      </c>
      <c r="I52" s="216">
        <v>0</v>
      </c>
      <c r="J52" s="216">
        <v>3817</v>
      </c>
      <c r="K52" s="216">
        <v>0</v>
      </c>
      <c r="L52" s="217">
        <v>1034</v>
      </c>
    </row>
    <row r="53" spans="1:12" x14ac:dyDescent="0.25">
      <c r="A53" s="31">
        <f t="shared" si="0"/>
        <v>39012</v>
      </c>
      <c r="B53" s="216">
        <v>0</v>
      </c>
      <c r="C53" s="216">
        <v>4962</v>
      </c>
      <c r="D53" s="216">
        <v>1170</v>
      </c>
      <c r="E53" s="216">
        <v>0</v>
      </c>
      <c r="F53" s="217">
        <v>1036</v>
      </c>
      <c r="G53" s="216">
        <v>119810</v>
      </c>
      <c r="H53" s="216">
        <v>21585</v>
      </c>
      <c r="I53" s="216">
        <v>0</v>
      </c>
      <c r="J53" s="216">
        <v>10832</v>
      </c>
      <c r="K53" s="216">
        <v>0</v>
      </c>
      <c r="L53" s="217">
        <v>1036</v>
      </c>
    </row>
    <row r="54" spans="1:12" x14ac:dyDescent="0.25">
      <c r="A54" s="31">
        <f t="shared" si="0"/>
        <v>39013</v>
      </c>
      <c r="B54" s="216">
        <v>0</v>
      </c>
      <c r="C54" s="216">
        <v>22384</v>
      </c>
      <c r="D54" s="216">
        <v>1600</v>
      </c>
      <c r="E54" s="216">
        <v>0</v>
      </c>
      <c r="F54" s="217">
        <v>1036</v>
      </c>
      <c r="G54" s="216">
        <v>108443</v>
      </c>
      <c r="H54" s="216">
        <v>41575</v>
      </c>
      <c r="I54" s="216">
        <v>22542</v>
      </c>
      <c r="J54" s="216">
        <v>16880</v>
      </c>
      <c r="K54" s="216">
        <v>0</v>
      </c>
      <c r="L54" s="217">
        <v>1035</v>
      </c>
    </row>
    <row r="55" spans="1:12" x14ac:dyDescent="0.25">
      <c r="A55" s="31">
        <f t="shared" si="0"/>
        <v>39014</v>
      </c>
      <c r="B55" s="216">
        <v>18325</v>
      </c>
      <c r="C55" s="216">
        <v>32178</v>
      </c>
      <c r="D55" s="216">
        <v>1910</v>
      </c>
      <c r="E55" s="216">
        <v>0</v>
      </c>
      <c r="F55" s="217">
        <v>1038</v>
      </c>
      <c r="G55" s="216">
        <v>121087</v>
      </c>
      <c r="H55" s="216">
        <v>30761</v>
      </c>
      <c r="I55" s="216">
        <v>23251</v>
      </c>
      <c r="J55" s="216">
        <v>18122</v>
      </c>
      <c r="K55" s="216">
        <v>0</v>
      </c>
      <c r="L55" s="217">
        <v>1034</v>
      </c>
    </row>
    <row r="56" spans="1:12" x14ac:dyDescent="0.25">
      <c r="A56" s="31">
        <f t="shared" si="0"/>
        <v>39015</v>
      </c>
      <c r="B56" s="216">
        <v>29805</v>
      </c>
      <c r="C56" s="216">
        <v>29367</v>
      </c>
      <c r="D56" s="216">
        <v>1930</v>
      </c>
      <c r="E56" s="216">
        <v>0</v>
      </c>
      <c r="F56" s="217">
        <v>1039</v>
      </c>
      <c r="G56" s="216">
        <v>120208</v>
      </c>
      <c r="H56" s="216">
        <v>25706</v>
      </c>
      <c r="I56" s="216">
        <v>23676</v>
      </c>
      <c r="J56" s="216">
        <v>10410</v>
      </c>
      <c r="K56" s="216">
        <v>0</v>
      </c>
      <c r="L56" s="217">
        <v>1034</v>
      </c>
    </row>
    <row r="57" spans="1:12" x14ac:dyDescent="0.25">
      <c r="A57" s="31">
        <f t="shared" si="0"/>
        <v>39016</v>
      </c>
      <c r="B57" s="216">
        <v>31136</v>
      </c>
      <c r="C57" s="216">
        <v>48932</v>
      </c>
      <c r="D57" s="216">
        <v>1870</v>
      </c>
      <c r="E57" s="216">
        <v>0</v>
      </c>
      <c r="F57" s="217">
        <v>1037</v>
      </c>
      <c r="G57" s="216">
        <v>127356</v>
      </c>
      <c r="H57" s="216">
        <v>28923</v>
      </c>
      <c r="I57" s="216">
        <v>18320</v>
      </c>
      <c r="J57" s="216">
        <v>0</v>
      </c>
      <c r="K57" s="216">
        <v>0</v>
      </c>
      <c r="L57" s="217">
        <v>1034</v>
      </c>
    </row>
    <row r="58" spans="1:12" x14ac:dyDescent="0.25">
      <c r="A58" s="31">
        <f t="shared" si="0"/>
        <v>39017</v>
      </c>
      <c r="B58" s="216">
        <v>26142</v>
      </c>
      <c r="C58" s="216">
        <v>28745</v>
      </c>
      <c r="D58" s="216">
        <v>1790</v>
      </c>
      <c r="E58" s="216">
        <v>0</v>
      </c>
      <c r="F58" s="217">
        <v>1034</v>
      </c>
      <c r="G58" s="216">
        <v>115346</v>
      </c>
      <c r="H58" s="216">
        <v>24557</v>
      </c>
      <c r="I58" s="216">
        <v>23729</v>
      </c>
      <c r="J58" s="216">
        <v>0</v>
      </c>
      <c r="K58" s="216">
        <v>0</v>
      </c>
      <c r="L58" s="217">
        <v>1036</v>
      </c>
    </row>
    <row r="59" spans="1:12" x14ac:dyDescent="0.25">
      <c r="A59" s="31">
        <f t="shared" si="0"/>
        <v>39018</v>
      </c>
      <c r="B59" s="216">
        <v>14883</v>
      </c>
      <c r="C59" s="216">
        <v>24035</v>
      </c>
      <c r="D59" s="216">
        <v>1700</v>
      </c>
      <c r="E59" s="216">
        <v>0</v>
      </c>
      <c r="F59" s="217">
        <v>1034</v>
      </c>
      <c r="G59" s="216">
        <v>114627</v>
      </c>
      <c r="H59" s="216">
        <v>22530</v>
      </c>
      <c r="I59" s="216">
        <v>29353</v>
      </c>
      <c r="J59" s="216">
        <v>0</v>
      </c>
      <c r="K59" s="216">
        <v>0</v>
      </c>
      <c r="L59" s="217">
        <v>1036</v>
      </c>
    </row>
    <row r="60" spans="1:12" x14ac:dyDescent="0.25">
      <c r="A60" s="31">
        <f t="shared" si="0"/>
        <v>39019</v>
      </c>
      <c r="B60" s="216">
        <v>28142</v>
      </c>
      <c r="C60" s="216">
        <v>37216</v>
      </c>
      <c r="D60" s="216">
        <v>1770</v>
      </c>
      <c r="E60" s="216">
        <v>0</v>
      </c>
      <c r="F60" s="217">
        <v>1034</v>
      </c>
      <c r="G60" s="216">
        <v>129141</v>
      </c>
      <c r="H60" s="216">
        <v>21422</v>
      </c>
      <c r="I60" s="216">
        <v>22938</v>
      </c>
      <c r="J60" s="216">
        <v>0</v>
      </c>
      <c r="K60" s="216">
        <v>0</v>
      </c>
      <c r="L60" s="217">
        <v>1035</v>
      </c>
    </row>
    <row r="61" spans="1:12" x14ac:dyDescent="0.25">
      <c r="A61" s="31">
        <f t="shared" si="0"/>
        <v>39020</v>
      </c>
      <c r="B61" s="216">
        <v>1111</v>
      </c>
      <c r="C61" s="216">
        <v>31076</v>
      </c>
      <c r="D61" s="216">
        <v>1500</v>
      </c>
      <c r="E61" s="216">
        <v>0</v>
      </c>
      <c r="F61" s="217">
        <v>1034</v>
      </c>
      <c r="G61" s="216">
        <v>110508</v>
      </c>
      <c r="H61" s="216">
        <v>24998</v>
      </c>
      <c r="I61" s="216">
        <v>16016</v>
      </c>
      <c r="J61" s="216">
        <v>0</v>
      </c>
      <c r="K61" s="216">
        <v>0</v>
      </c>
      <c r="L61" s="217">
        <v>1035</v>
      </c>
    </row>
    <row r="62" spans="1:12" x14ac:dyDescent="0.25">
      <c r="A62" s="31">
        <f t="shared" si="0"/>
        <v>39021</v>
      </c>
      <c r="B62" s="216">
        <v>0</v>
      </c>
      <c r="C62" s="216">
        <v>758</v>
      </c>
      <c r="D62" s="216">
        <v>1080</v>
      </c>
      <c r="E62" s="216">
        <v>0</v>
      </c>
      <c r="F62" s="217">
        <v>1034</v>
      </c>
      <c r="G62" s="216">
        <v>81177</v>
      </c>
      <c r="H62" s="216">
        <v>20766</v>
      </c>
      <c r="I62" s="216">
        <v>25820</v>
      </c>
      <c r="J62" s="216">
        <v>0</v>
      </c>
      <c r="K62" s="216">
        <v>0</v>
      </c>
      <c r="L62" s="217">
        <v>1035</v>
      </c>
    </row>
    <row r="63" spans="1:12" x14ac:dyDescent="0.25">
      <c r="A63" s="31">
        <f>1+A62</f>
        <v>39022</v>
      </c>
      <c r="B63" s="216">
        <v>0</v>
      </c>
      <c r="C63" s="216">
        <v>29555</v>
      </c>
      <c r="D63" s="216">
        <v>1020</v>
      </c>
      <c r="E63" s="216">
        <v>0</v>
      </c>
      <c r="F63" s="217">
        <v>1035</v>
      </c>
      <c r="G63" s="216">
        <v>57991</v>
      </c>
      <c r="H63" s="216">
        <v>27618</v>
      </c>
      <c r="I63" s="216">
        <v>2746</v>
      </c>
      <c r="J63" s="216">
        <v>0</v>
      </c>
      <c r="K63" s="216">
        <v>0</v>
      </c>
      <c r="L63" s="217">
        <v>1035</v>
      </c>
    </row>
    <row r="64" spans="1:12" x14ac:dyDescent="0.25">
      <c r="A64" s="31">
        <f t="shared" si="0"/>
        <v>39023</v>
      </c>
      <c r="B64" s="216">
        <v>16680</v>
      </c>
      <c r="C64" s="216">
        <v>60208</v>
      </c>
      <c r="D64" s="216">
        <v>1760</v>
      </c>
      <c r="E64" s="216">
        <v>0</v>
      </c>
      <c r="F64" s="217">
        <v>1035</v>
      </c>
      <c r="G64" s="216">
        <v>67004</v>
      </c>
      <c r="H64" s="216">
        <v>46847</v>
      </c>
      <c r="I64" s="216">
        <v>14352</v>
      </c>
      <c r="J64" s="216">
        <v>0</v>
      </c>
      <c r="K64" s="216">
        <v>884</v>
      </c>
      <c r="L64" s="217">
        <v>1035</v>
      </c>
    </row>
    <row r="65" spans="1:12" x14ac:dyDescent="0.25">
      <c r="A65" s="31">
        <f t="shared" si="0"/>
        <v>39024</v>
      </c>
      <c r="B65" s="216">
        <v>60942</v>
      </c>
      <c r="C65" s="216">
        <v>43711</v>
      </c>
      <c r="D65" s="216">
        <v>2040</v>
      </c>
      <c r="E65" s="216">
        <v>0</v>
      </c>
      <c r="F65" s="217">
        <v>1030</v>
      </c>
      <c r="G65" s="216">
        <v>77942</v>
      </c>
      <c r="H65" s="216">
        <v>42135</v>
      </c>
      <c r="I65" s="216">
        <v>16076</v>
      </c>
      <c r="J65" s="216">
        <v>4853</v>
      </c>
      <c r="K65" s="216">
        <v>23122</v>
      </c>
      <c r="L65" s="217">
        <v>1031</v>
      </c>
    </row>
    <row r="66" spans="1:12" x14ac:dyDescent="0.25">
      <c r="A66" s="31">
        <f t="shared" si="0"/>
        <v>39025</v>
      </c>
      <c r="B66" s="216">
        <v>72255</v>
      </c>
      <c r="C66" s="216">
        <v>32530</v>
      </c>
      <c r="D66" s="216">
        <v>2000</v>
      </c>
      <c r="E66" s="216">
        <v>0</v>
      </c>
      <c r="F66" s="217">
        <v>1035</v>
      </c>
      <c r="G66" s="216">
        <v>78336</v>
      </c>
      <c r="H66" s="216">
        <v>28455</v>
      </c>
      <c r="I66" s="216">
        <v>31551</v>
      </c>
      <c r="J66" s="216">
        <v>1218</v>
      </c>
      <c r="K66" s="216">
        <v>17153</v>
      </c>
      <c r="L66" s="217">
        <v>1031</v>
      </c>
    </row>
    <row r="67" spans="1:12" x14ac:dyDescent="0.25">
      <c r="A67" s="31">
        <f t="shared" si="0"/>
        <v>39026</v>
      </c>
      <c r="B67" s="216">
        <v>66846</v>
      </c>
      <c r="C67" s="216">
        <v>33714</v>
      </c>
      <c r="D67" s="216">
        <v>1880</v>
      </c>
      <c r="E67" s="216">
        <v>0</v>
      </c>
      <c r="F67" s="217">
        <v>1034</v>
      </c>
      <c r="G67" s="216">
        <v>77022</v>
      </c>
      <c r="H67" s="216">
        <v>33405</v>
      </c>
      <c r="I67" s="216">
        <v>30074</v>
      </c>
      <c r="J67" s="216">
        <v>0</v>
      </c>
      <c r="K67" s="216">
        <v>9336</v>
      </c>
      <c r="L67" s="217">
        <v>1032</v>
      </c>
    </row>
    <row r="68" spans="1:12" x14ac:dyDescent="0.25">
      <c r="A68" s="31">
        <f t="shared" ref="A68:A131" si="1">1+A67</f>
        <v>39027</v>
      </c>
      <c r="B68" s="216">
        <v>45726</v>
      </c>
      <c r="C68" s="216">
        <v>34315</v>
      </c>
      <c r="D68" s="216">
        <v>1630</v>
      </c>
      <c r="E68" s="216">
        <v>0</v>
      </c>
      <c r="F68" s="217">
        <v>1036</v>
      </c>
      <c r="G68" s="216">
        <v>57387</v>
      </c>
      <c r="H68" s="216">
        <v>37626</v>
      </c>
      <c r="I68" s="216">
        <v>23600</v>
      </c>
      <c r="J68" s="216">
        <v>0</v>
      </c>
      <c r="K68" s="216">
        <v>3437</v>
      </c>
      <c r="L68" s="217">
        <v>1033</v>
      </c>
    </row>
    <row r="69" spans="1:12" x14ac:dyDescent="0.25">
      <c r="A69" s="31">
        <f t="shared" si="1"/>
        <v>39028</v>
      </c>
      <c r="B69" s="216">
        <v>18636</v>
      </c>
      <c r="C69" s="216">
        <v>22274</v>
      </c>
      <c r="D69" s="216">
        <v>1310</v>
      </c>
      <c r="E69" s="216">
        <v>0</v>
      </c>
      <c r="F69" s="217">
        <v>1038</v>
      </c>
      <c r="G69" s="216">
        <v>43816</v>
      </c>
      <c r="H69" s="216">
        <v>39818</v>
      </c>
      <c r="I69" s="216">
        <v>19280</v>
      </c>
      <c r="J69" s="216">
        <v>0</v>
      </c>
      <c r="K69" s="216">
        <v>0</v>
      </c>
      <c r="L69" s="217">
        <v>1036</v>
      </c>
    </row>
    <row r="70" spans="1:12" x14ac:dyDescent="0.25">
      <c r="A70" s="31">
        <f t="shared" si="1"/>
        <v>39029</v>
      </c>
      <c r="B70" s="216">
        <v>21903</v>
      </c>
      <c r="C70" s="216">
        <v>24121</v>
      </c>
      <c r="D70" s="216">
        <v>1200</v>
      </c>
      <c r="E70" s="216">
        <v>0</v>
      </c>
      <c r="F70" s="217">
        <v>1040</v>
      </c>
      <c r="G70" s="216">
        <v>50217</v>
      </c>
      <c r="H70" s="216">
        <v>30715</v>
      </c>
      <c r="I70" s="216">
        <v>3214</v>
      </c>
      <c r="J70" s="216">
        <v>0</v>
      </c>
      <c r="K70" s="216">
        <v>0</v>
      </c>
      <c r="L70" s="217">
        <v>1033</v>
      </c>
    </row>
    <row r="71" spans="1:12" x14ac:dyDescent="0.25">
      <c r="A71" s="31">
        <f t="shared" si="1"/>
        <v>39030</v>
      </c>
      <c r="B71" s="216">
        <v>20076</v>
      </c>
      <c r="C71" s="216">
        <v>26957</v>
      </c>
      <c r="D71" s="216">
        <v>1020</v>
      </c>
      <c r="E71" s="216">
        <v>0</v>
      </c>
      <c r="F71" s="217">
        <v>1041</v>
      </c>
      <c r="G71" s="216">
        <v>49690</v>
      </c>
      <c r="H71" s="216">
        <v>23814</v>
      </c>
      <c r="I71" s="216">
        <v>184</v>
      </c>
      <c r="J71" s="216">
        <v>0</v>
      </c>
      <c r="K71" s="216">
        <v>0</v>
      </c>
      <c r="L71" s="217">
        <v>1033</v>
      </c>
    </row>
    <row r="72" spans="1:12" x14ac:dyDescent="0.25">
      <c r="A72" s="31">
        <f t="shared" si="1"/>
        <v>39031</v>
      </c>
      <c r="B72" s="216">
        <v>32480</v>
      </c>
      <c r="C72" s="216">
        <v>18878</v>
      </c>
      <c r="D72" s="216">
        <v>1070</v>
      </c>
      <c r="E72" s="216">
        <v>0</v>
      </c>
      <c r="F72" s="217">
        <v>1040</v>
      </c>
      <c r="G72" s="216">
        <v>47106</v>
      </c>
      <c r="H72" s="216">
        <v>26895</v>
      </c>
      <c r="I72" s="216">
        <v>0</v>
      </c>
      <c r="J72" s="216">
        <v>0</v>
      </c>
      <c r="K72" s="216">
        <v>0</v>
      </c>
      <c r="L72" s="217">
        <v>1034</v>
      </c>
    </row>
    <row r="73" spans="1:12" x14ac:dyDescent="0.25">
      <c r="A73" s="31">
        <f t="shared" si="1"/>
        <v>39032</v>
      </c>
      <c r="B73" s="216">
        <v>15551</v>
      </c>
      <c r="C73" s="216">
        <v>17897</v>
      </c>
      <c r="D73" s="216">
        <v>680</v>
      </c>
      <c r="E73" s="216">
        <v>0</v>
      </c>
      <c r="F73" s="217">
        <v>1040</v>
      </c>
      <c r="G73" s="216">
        <v>41290</v>
      </c>
      <c r="H73" s="216">
        <v>29420</v>
      </c>
      <c r="I73" s="216">
        <v>0</v>
      </c>
      <c r="J73" s="216">
        <v>0</v>
      </c>
      <c r="K73" s="216">
        <v>0</v>
      </c>
      <c r="L73" s="217">
        <v>1034</v>
      </c>
    </row>
    <row r="74" spans="1:12" x14ac:dyDescent="0.25">
      <c r="A74" s="31">
        <f t="shared" si="1"/>
        <v>39033</v>
      </c>
      <c r="B74" s="216">
        <v>7592</v>
      </c>
      <c r="C74" s="216">
        <v>55790</v>
      </c>
      <c r="D74" s="216">
        <v>1340</v>
      </c>
      <c r="E74" s="216">
        <v>0</v>
      </c>
      <c r="F74" s="217">
        <v>1040</v>
      </c>
      <c r="G74" s="216">
        <v>40344</v>
      </c>
      <c r="H74" s="216">
        <v>31537</v>
      </c>
      <c r="I74" s="216">
        <v>0</v>
      </c>
      <c r="J74" s="216">
        <v>0</v>
      </c>
      <c r="K74" s="216">
        <v>0</v>
      </c>
      <c r="L74" s="217">
        <v>1031</v>
      </c>
    </row>
    <row r="75" spans="1:12" x14ac:dyDescent="0.25">
      <c r="A75" s="31">
        <f t="shared" si="1"/>
        <v>39034</v>
      </c>
      <c r="B75" s="216">
        <v>26409</v>
      </c>
      <c r="C75" s="216">
        <v>34380</v>
      </c>
      <c r="D75" s="216">
        <v>1390</v>
      </c>
      <c r="E75" s="216">
        <v>0</v>
      </c>
      <c r="F75" s="217">
        <v>1040</v>
      </c>
      <c r="G75" s="216">
        <v>52261</v>
      </c>
      <c r="H75" s="216">
        <v>19505</v>
      </c>
      <c r="I75" s="216">
        <v>0</v>
      </c>
      <c r="J75" s="216">
        <v>0</v>
      </c>
      <c r="K75" s="216">
        <v>0</v>
      </c>
      <c r="L75" s="217">
        <v>1031</v>
      </c>
    </row>
    <row r="76" spans="1:12" x14ac:dyDescent="0.25">
      <c r="A76" s="31">
        <f t="shared" si="1"/>
        <v>39035</v>
      </c>
      <c r="B76" s="216">
        <v>18474</v>
      </c>
      <c r="C76" s="216">
        <v>32878</v>
      </c>
      <c r="D76" s="216">
        <v>1170</v>
      </c>
      <c r="E76" s="216">
        <v>0</v>
      </c>
      <c r="F76" s="217">
        <v>1040</v>
      </c>
      <c r="G76" s="216">
        <v>50794</v>
      </c>
      <c r="H76" s="216">
        <v>25884</v>
      </c>
      <c r="I76" s="216">
        <v>0</v>
      </c>
      <c r="J76" s="216">
        <v>0</v>
      </c>
      <c r="K76" s="216">
        <v>0</v>
      </c>
      <c r="L76" s="217">
        <v>1031</v>
      </c>
    </row>
    <row r="77" spans="1:12" x14ac:dyDescent="0.25">
      <c r="A77" s="31">
        <f t="shared" si="1"/>
        <v>39036</v>
      </c>
      <c r="B77" s="216">
        <v>14665</v>
      </c>
      <c r="C77" s="216">
        <v>28269</v>
      </c>
      <c r="D77" s="216">
        <v>950</v>
      </c>
      <c r="E77" s="216">
        <v>0</v>
      </c>
      <c r="F77" s="217">
        <v>1040</v>
      </c>
      <c r="G77" s="216">
        <v>44148</v>
      </c>
      <c r="H77" s="216">
        <v>22844</v>
      </c>
      <c r="I77" s="216">
        <v>0</v>
      </c>
      <c r="J77" s="216">
        <v>0</v>
      </c>
      <c r="K77" s="216">
        <v>0</v>
      </c>
      <c r="L77" s="217">
        <v>1031</v>
      </c>
    </row>
    <row r="78" spans="1:12" x14ac:dyDescent="0.25">
      <c r="A78" s="31">
        <f t="shared" si="1"/>
        <v>39037</v>
      </c>
      <c r="B78" s="216">
        <v>11642</v>
      </c>
      <c r="C78" s="216">
        <v>19369</v>
      </c>
      <c r="D78" s="216">
        <v>810</v>
      </c>
      <c r="E78" s="216">
        <v>0</v>
      </c>
      <c r="F78" s="217">
        <v>1044</v>
      </c>
      <c r="G78" s="216">
        <v>47941</v>
      </c>
      <c r="H78" s="216">
        <v>26416</v>
      </c>
      <c r="I78" s="216">
        <v>0</v>
      </c>
      <c r="J78" s="216">
        <v>0</v>
      </c>
      <c r="K78" s="216">
        <v>0</v>
      </c>
      <c r="L78" s="217">
        <v>1029</v>
      </c>
    </row>
    <row r="79" spans="1:12" x14ac:dyDescent="0.25">
      <c r="A79" s="31">
        <f t="shared" si="1"/>
        <v>39038</v>
      </c>
      <c r="B79" s="216">
        <v>34773</v>
      </c>
      <c r="C79" s="216">
        <v>36452</v>
      </c>
      <c r="D79" s="216">
        <v>1430</v>
      </c>
      <c r="E79" s="216">
        <v>0</v>
      </c>
      <c r="F79" s="217">
        <v>1041</v>
      </c>
      <c r="G79" s="216">
        <v>70153</v>
      </c>
      <c r="H79" s="216">
        <v>23019</v>
      </c>
      <c r="I79" s="216">
        <v>0</v>
      </c>
      <c r="J79" s="216">
        <v>5</v>
      </c>
      <c r="K79" s="216">
        <v>0</v>
      </c>
      <c r="L79" s="217">
        <v>1029</v>
      </c>
    </row>
    <row r="80" spans="1:12" x14ac:dyDescent="0.25">
      <c r="A80" s="31">
        <f t="shared" si="1"/>
        <v>39039</v>
      </c>
      <c r="B80" s="216">
        <v>35751</v>
      </c>
      <c r="C80" s="216">
        <v>58679</v>
      </c>
      <c r="D80" s="216">
        <v>1660</v>
      </c>
      <c r="E80" s="216">
        <v>0</v>
      </c>
      <c r="F80" s="217">
        <v>1037</v>
      </c>
      <c r="G80" s="216">
        <v>82714</v>
      </c>
      <c r="H80" s="216">
        <v>35621</v>
      </c>
      <c r="I80" s="216">
        <v>0</v>
      </c>
      <c r="J80" s="216">
        <v>0</v>
      </c>
      <c r="K80" s="216">
        <v>1699</v>
      </c>
      <c r="L80" s="217">
        <v>1029</v>
      </c>
    </row>
    <row r="81" spans="1:12" x14ac:dyDescent="0.25">
      <c r="A81" s="31">
        <f t="shared" si="1"/>
        <v>39040</v>
      </c>
      <c r="B81" s="216">
        <v>53414</v>
      </c>
      <c r="C81" s="216">
        <v>60450</v>
      </c>
      <c r="D81" s="216">
        <v>1630</v>
      </c>
      <c r="E81" s="216">
        <v>0</v>
      </c>
      <c r="F81" s="217">
        <v>1037</v>
      </c>
      <c r="G81" s="216">
        <v>92220</v>
      </c>
      <c r="H81" s="216">
        <v>26405</v>
      </c>
      <c r="I81" s="216">
        <v>0</v>
      </c>
      <c r="J81" s="216">
        <v>0</v>
      </c>
      <c r="K81" s="216">
        <v>5943</v>
      </c>
      <c r="L81" s="217">
        <v>1030</v>
      </c>
    </row>
    <row r="82" spans="1:12" x14ac:dyDescent="0.25">
      <c r="A82" s="31">
        <f t="shared" si="1"/>
        <v>39041</v>
      </c>
      <c r="B82" s="216">
        <v>63822</v>
      </c>
      <c r="C82" s="216">
        <v>77173</v>
      </c>
      <c r="D82" s="216">
        <v>2070</v>
      </c>
      <c r="E82" s="216">
        <v>0</v>
      </c>
      <c r="F82" s="217">
        <v>1037</v>
      </c>
      <c r="G82" s="216">
        <v>91318</v>
      </c>
      <c r="H82" s="216">
        <v>36659</v>
      </c>
      <c r="I82" s="216">
        <v>0</v>
      </c>
      <c r="J82" s="216">
        <v>4083</v>
      </c>
      <c r="K82" s="216">
        <v>16563</v>
      </c>
      <c r="L82" s="217">
        <v>1031</v>
      </c>
    </row>
    <row r="83" spans="1:12" x14ac:dyDescent="0.25">
      <c r="A83" s="31">
        <f t="shared" si="1"/>
        <v>39042</v>
      </c>
      <c r="B83" s="216">
        <v>69507</v>
      </c>
      <c r="C83" s="216">
        <v>72265</v>
      </c>
      <c r="D83" s="216">
        <v>1940</v>
      </c>
      <c r="E83" s="216">
        <v>0</v>
      </c>
      <c r="F83" s="217">
        <v>1038</v>
      </c>
      <c r="G83" s="216">
        <v>87381</v>
      </c>
      <c r="H83" s="216">
        <v>30665</v>
      </c>
      <c r="I83" s="216">
        <v>0</v>
      </c>
      <c r="J83" s="216">
        <v>453</v>
      </c>
      <c r="K83" s="216">
        <v>22248</v>
      </c>
      <c r="L83" s="217">
        <v>1031</v>
      </c>
    </row>
    <row r="84" spans="1:12" x14ac:dyDescent="0.25">
      <c r="A84" s="31">
        <f t="shared" si="1"/>
        <v>39043</v>
      </c>
      <c r="B84" s="216">
        <v>59797</v>
      </c>
      <c r="C84" s="216">
        <v>56761</v>
      </c>
      <c r="D84" s="216">
        <v>2300</v>
      </c>
      <c r="E84" s="216">
        <v>0</v>
      </c>
      <c r="F84" s="217">
        <v>1038</v>
      </c>
      <c r="G84" s="216">
        <v>90893</v>
      </c>
      <c r="H84" s="216">
        <v>40830</v>
      </c>
      <c r="I84" s="216">
        <v>26432</v>
      </c>
      <c r="J84" s="216">
        <v>0</v>
      </c>
      <c r="K84" s="216">
        <v>24413</v>
      </c>
      <c r="L84" s="217">
        <v>1032</v>
      </c>
    </row>
    <row r="85" spans="1:12" x14ac:dyDescent="0.25">
      <c r="A85" s="31">
        <f t="shared" si="1"/>
        <v>39044</v>
      </c>
      <c r="B85" s="216">
        <v>46537</v>
      </c>
      <c r="C85" s="216">
        <v>37048</v>
      </c>
      <c r="D85" s="216">
        <v>1930</v>
      </c>
      <c r="E85" s="216">
        <v>0</v>
      </c>
      <c r="F85" s="217">
        <v>1038</v>
      </c>
      <c r="G85" s="216">
        <v>77848</v>
      </c>
      <c r="H85" s="216">
        <v>42818</v>
      </c>
      <c r="I85" s="216">
        <v>30554</v>
      </c>
      <c r="J85" s="216">
        <v>0</v>
      </c>
      <c r="K85" s="216">
        <v>23513</v>
      </c>
      <c r="L85" s="217">
        <v>1032</v>
      </c>
    </row>
    <row r="86" spans="1:12" x14ac:dyDescent="0.25">
      <c r="A86" s="31">
        <f t="shared" si="1"/>
        <v>39045</v>
      </c>
      <c r="B86" s="216">
        <v>42138</v>
      </c>
      <c r="C86" s="216">
        <v>42714</v>
      </c>
      <c r="D86" s="216">
        <v>1440</v>
      </c>
      <c r="E86" s="216">
        <v>0</v>
      </c>
      <c r="F86" s="217">
        <v>1037</v>
      </c>
      <c r="G86" s="216">
        <v>69399</v>
      </c>
      <c r="H86" s="216">
        <v>37662</v>
      </c>
      <c r="I86" s="216">
        <v>6923</v>
      </c>
      <c r="J86" s="216">
        <v>0</v>
      </c>
      <c r="K86" s="216">
        <v>12375</v>
      </c>
      <c r="L86" s="217">
        <v>1032</v>
      </c>
    </row>
    <row r="87" spans="1:12" x14ac:dyDescent="0.25">
      <c r="A87" s="31">
        <f t="shared" si="1"/>
        <v>39046</v>
      </c>
      <c r="B87" s="216">
        <v>36536</v>
      </c>
      <c r="C87" s="216">
        <v>48415</v>
      </c>
      <c r="D87" s="216">
        <v>1620</v>
      </c>
      <c r="E87" s="216">
        <v>0</v>
      </c>
      <c r="F87" s="217">
        <v>1035</v>
      </c>
      <c r="G87" s="216">
        <v>77611</v>
      </c>
      <c r="H87" s="216">
        <v>40286</v>
      </c>
      <c r="I87" s="216">
        <v>2052</v>
      </c>
      <c r="J87" s="216">
        <v>0</v>
      </c>
      <c r="K87" s="216">
        <v>7356</v>
      </c>
      <c r="L87" s="217">
        <v>1032</v>
      </c>
    </row>
    <row r="88" spans="1:12" x14ac:dyDescent="0.25">
      <c r="A88" s="31">
        <f t="shared" si="1"/>
        <v>39047</v>
      </c>
      <c r="B88" s="216">
        <v>34763</v>
      </c>
      <c r="C88" s="216">
        <v>45494</v>
      </c>
      <c r="D88" s="216">
        <v>1500</v>
      </c>
      <c r="E88" s="216">
        <v>0</v>
      </c>
      <c r="F88" s="217">
        <v>1035</v>
      </c>
      <c r="G88" s="216">
        <v>77178</v>
      </c>
      <c r="H88" s="216">
        <v>39741</v>
      </c>
      <c r="I88" s="216">
        <v>0</v>
      </c>
      <c r="J88" s="216">
        <v>0</v>
      </c>
      <c r="K88" s="216">
        <v>6329</v>
      </c>
      <c r="L88" s="217">
        <v>1031</v>
      </c>
    </row>
    <row r="89" spans="1:12" x14ac:dyDescent="0.25">
      <c r="A89" s="31">
        <f t="shared" si="1"/>
        <v>39048</v>
      </c>
      <c r="B89" s="216">
        <v>32063</v>
      </c>
      <c r="C89" s="216">
        <v>36203</v>
      </c>
      <c r="D89" s="216">
        <v>1490</v>
      </c>
      <c r="E89" s="216">
        <v>0</v>
      </c>
      <c r="F89" s="217">
        <v>1036</v>
      </c>
      <c r="G89" s="216">
        <v>76195</v>
      </c>
      <c r="H89" s="216">
        <v>38658</v>
      </c>
      <c r="I89" s="216">
        <v>10715</v>
      </c>
      <c r="J89" s="216">
        <v>0</v>
      </c>
      <c r="K89" s="216">
        <v>245</v>
      </c>
      <c r="L89" s="217">
        <v>1029</v>
      </c>
    </row>
    <row r="90" spans="1:12" x14ac:dyDescent="0.25">
      <c r="A90" s="31">
        <f t="shared" si="1"/>
        <v>39049</v>
      </c>
      <c r="B90" s="216">
        <v>35054</v>
      </c>
      <c r="C90" s="216">
        <v>34219</v>
      </c>
      <c r="D90" s="216">
        <v>1470</v>
      </c>
      <c r="E90" s="216">
        <v>0</v>
      </c>
      <c r="F90" s="217">
        <v>1035</v>
      </c>
      <c r="G90" s="216">
        <v>66446</v>
      </c>
      <c r="H90" s="216">
        <v>29400</v>
      </c>
      <c r="I90" s="216">
        <v>139</v>
      </c>
      <c r="J90" s="216">
        <v>0</v>
      </c>
      <c r="K90" s="216">
        <v>0</v>
      </c>
      <c r="L90" s="217">
        <v>1028</v>
      </c>
    </row>
    <row r="91" spans="1:12" x14ac:dyDescent="0.25">
      <c r="A91" s="31">
        <f t="shared" si="1"/>
        <v>39050</v>
      </c>
      <c r="B91" s="216">
        <v>32513</v>
      </c>
      <c r="C91" s="216">
        <v>29437</v>
      </c>
      <c r="D91" s="216">
        <v>1220</v>
      </c>
      <c r="E91" s="216">
        <v>0</v>
      </c>
      <c r="F91" s="217">
        <v>1035</v>
      </c>
      <c r="G91" s="216">
        <v>49988</v>
      </c>
      <c r="H91" s="216">
        <v>27063</v>
      </c>
      <c r="I91" s="216">
        <v>0</v>
      </c>
      <c r="J91" s="216">
        <v>0</v>
      </c>
      <c r="K91" s="216">
        <v>0</v>
      </c>
      <c r="L91" s="217">
        <v>1029</v>
      </c>
    </row>
    <row r="92" spans="1:12" x14ac:dyDescent="0.25">
      <c r="A92" s="31">
        <f t="shared" si="1"/>
        <v>39051</v>
      </c>
      <c r="B92" s="216">
        <v>16511</v>
      </c>
      <c r="C92" s="216">
        <v>16127</v>
      </c>
      <c r="D92" s="216">
        <v>750</v>
      </c>
      <c r="E92" s="216">
        <v>0</v>
      </c>
      <c r="F92" s="217">
        <v>1033</v>
      </c>
      <c r="G92" s="216">
        <v>45639</v>
      </c>
      <c r="H92" s="216">
        <v>29808</v>
      </c>
      <c r="I92" s="216">
        <v>0</v>
      </c>
      <c r="J92" s="216">
        <v>0</v>
      </c>
      <c r="K92" s="216">
        <v>0</v>
      </c>
      <c r="L92" s="217">
        <v>1029</v>
      </c>
    </row>
    <row r="93" spans="1:12" x14ac:dyDescent="0.25">
      <c r="A93" s="31">
        <f>1+A92</f>
        <v>39052</v>
      </c>
      <c r="B93" s="216">
        <v>30195</v>
      </c>
      <c r="C93" s="216">
        <v>35485</v>
      </c>
      <c r="D93" s="216">
        <v>1150</v>
      </c>
      <c r="E93" s="216">
        <v>0</v>
      </c>
      <c r="F93" s="217">
        <v>1033</v>
      </c>
      <c r="G93" s="216">
        <v>42367</v>
      </c>
      <c r="H93" s="216">
        <v>31382</v>
      </c>
      <c r="I93" s="216">
        <v>0</v>
      </c>
      <c r="J93" s="216">
        <v>0</v>
      </c>
      <c r="K93" s="216">
        <v>0</v>
      </c>
      <c r="L93" s="217">
        <v>1028</v>
      </c>
    </row>
    <row r="94" spans="1:12" x14ac:dyDescent="0.25">
      <c r="A94" s="31">
        <f t="shared" si="1"/>
        <v>39053</v>
      </c>
      <c r="B94" s="216">
        <v>51160</v>
      </c>
      <c r="C94" s="216">
        <v>54521</v>
      </c>
      <c r="D94" s="216">
        <v>1940</v>
      </c>
      <c r="E94" s="216">
        <v>0</v>
      </c>
      <c r="F94" s="217">
        <v>1034</v>
      </c>
      <c r="G94" s="216">
        <v>89401</v>
      </c>
      <c r="H94" s="216">
        <v>42646</v>
      </c>
      <c r="I94" s="216">
        <v>5946</v>
      </c>
      <c r="J94" s="216">
        <v>0</v>
      </c>
      <c r="K94" s="216">
        <v>17484</v>
      </c>
      <c r="L94" s="217">
        <v>1030</v>
      </c>
    </row>
    <row r="95" spans="1:12" x14ac:dyDescent="0.25">
      <c r="A95" s="31">
        <f t="shared" si="1"/>
        <v>39054</v>
      </c>
      <c r="B95" s="216">
        <v>72501</v>
      </c>
      <c r="C95" s="216">
        <v>69555</v>
      </c>
      <c r="D95" s="216">
        <v>1829</v>
      </c>
      <c r="E95" s="216">
        <v>0</v>
      </c>
      <c r="F95" s="217">
        <v>1030</v>
      </c>
      <c r="G95" s="216">
        <v>75606</v>
      </c>
      <c r="H95" s="216">
        <v>29221</v>
      </c>
      <c r="I95" s="216">
        <v>3257</v>
      </c>
      <c r="J95" s="216">
        <v>4610</v>
      </c>
      <c r="K95" s="216">
        <v>21634</v>
      </c>
      <c r="L95" s="217">
        <v>1029</v>
      </c>
    </row>
    <row r="96" spans="1:12" x14ac:dyDescent="0.25">
      <c r="A96" s="31">
        <f t="shared" si="1"/>
        <v>39055</v>
      </c>
      <c r="B96" s="216">
        <v>76579</v>
      </c>
      <c r="C96" s="216">
        <v>68352</v>
      </c>
      <c r="D96" s="216">
        <v>1740</v>
      </c>
      <c r="E96" s="216">
        <v>0</v>
      </c>
      <c r="F96" s="217">
        <v>1020</v>
      </c>
      <c r="G96" s="216">
        <v>89015</v>
      </c>
      <c r="H96" s="216">
        <v>45384</v>
      </c>
      <c r="I96" s="216">
        <v>14379</v>
      </c>
      <c r="J96" s="216">
        <v>23019</v>
      </c>
      <c r="K96" s="216">
        <v>26865</v>
      </c>
      <c r="L96" s="217">
        <v>1031</v>
      </c>
    </row>
    <row r="97" spans="1:12" x14ac:dyDescent="0.25">
      <c r="A97" s="31">
        <f t="shared" si="1"/>
        <v>39056</v>
      </c>
      <c r="B97" s="216">
        <v>80290</v>
      </c>
      <c r="C97" s="216">
        <v>71449</v>
      </c>
      <c r="D97" s="216">
        <v>1790</v>
      </c>
      <c r="E97" s="216">
        <v>0</v>
      </c>
      <c r="F97" s="217">
        <v>1034</v>
      </c>
      <c r="G97" s="216">
        <v>84678</v>
      </c>
      <c r="H97" s="216">
        <v>49591</v>
      </c>
      <c r="I97" s="216">
        <v>19785</v>
      </c>
      <c r="J97" s="216">
        <v>21703</v>
      </c>
      <c r="K97" s="216">
        <v>26566</v>
      </c>
      <c r="L97" s="217">
        <v>1033</v>
      </c>
    </row>
    <row r="98" spans="1:12" x14ac:dyDescent="0.25">
      <c r="A98" s="31">
        <f t="shared" si="1"/>
        <v>39057</v>
      </c>
      <c r="B98" s="216">
        <v>54984</v>
      </c>
      <c r="C98" s="216">
        <v>53722</v>
      </c>
      <c r="D98" s="216">
        <v>1520</v>
      </c>
      <c r="E98" s="216">
        <v>0</v>
      </c>
      <c r="F98" s="217">
        <v>1030</v>
      </c>
      <c r="G98" s="216">
        <v>56411</v>
      </c>
      <c r="H98" s="216">
        <v>41447</v>
      </c>
      <c r="I98" s="216">
        <v>30472</v>
      </c>
      <c r="J98" s="216">
        <v>438</v>
      </c>
      <c r="K98" s="216">
        <v>21125</v>
      </c>
      <c r="L98" s="217">
        <v>1033</v>
      </c>
    </row>
    <row r="99" spans="1:12" x14ac:dyDescent="0.25">
      <c r="A99" s="31">
        <f t="shared" si="1"/>
        <v>39058</v>
      </c>
      <c r="B99" s="216">
        <v>65813</v>
      </c>
      <c r="C99" s="216">
        <v>72672</v>
      </c>
      <c r="D99" s="216">
        <v>1851</v>
      </c>
      <c r="E99" s="216">
        <v>0</v>
      </c>
      <c r="F99" s="217">
        <v>1030</v>
      </c>
      <c r="G99" s="216">
        <v>82333</v>
      </c>
      <c r="H99" s="216">
        <v>55799</v>
      </c>
      <c r="I99" s="216">
        <v>19439</v>
      </c>
      <c r="J99" s="216">
        <v>9356</v>
      </c>
      <c r="K99" s="216">
        <v>20770</v>
      </c>
      <c r="L99" s="217">
        <v>1031</v>
      </c>
    </row>
    <row r="100" spans="1:12" x14ac:dyDescent="0.25">
      <c r="A100" s="31">
        <f t="shared" si="1"/>
        <v>39059</v>
      </c>
      <c r="B100" s="216">
        <v>84280</v>
      </c>
      <c r="C100" s="216">
        <v>93738</v>
      </c>
      <c r="D100" s="216">
        <v>2169</v>
      </c>
      <c r="E100" s="216">
        <v>0</v>
      </c>
      <c r="F100" s="217">
        <v>1030</v>
      </c>
      <c r="G100" s="216">
        <v>93044</v>
      </c>
      <c r="H100" s="216">
        <v>51970</v>
      </c>
      <c r="I100" s="216">
        <v>30880</v>
      </c>
      <c r="J100" s="216">
        <v>27591</v>
      </c>
      <c r="K100" s="216">
        <v>28524</v>
      </c>
      <c r="L100" s="217">
        <v>1034</v>
      </c>
    </row>
    <row r="101" spans="1:12" x14ac:dyDescent="0.25">
      <c r="A101" s="31">
        <f t="shared" si="1"/>
        <v>39060</v>
      </c>
      <c r="B101" s="216">
        <v>80401</v>
      </c>
      <c r="C101" s="216">
        <v>74494</v>
      </c>
      <c r="D101" s="216">
        <v>1800</v>
      </c>
      <c r="E101" s="216">
        <v>0</v>
      </c>
      <c r="F101" s="217">
        <v>1043</v>
      </c>
      <c r="G101" s="216">
        <v>82440</v>
      </c>
      <c r="H101" s="216">
        <v>40964</v>
      </c>
      <c r="I101" s="216">
        <v>28798</v>
      </c>
      <c r="J101" s="216">
        <v>17640</v>
      </c>
      <c r="K101" s="216">
        <v>24142</v>
      </c>
      <c r="L101" s="217">
        <v>1034</v>
      </c>
    </row>
    <row r="102" spans="1:12" x14ac:dyDescent="0.25">
      <c r="A102" s="31">
        <f t="shared" si="1"/>
        <v>39061</v>
      </c>
      <c r="B102" s="216">
        <v>60789</v>
      </c>
      <c r="C102" s="216">
        <v>58690</v>
      </c>
      <c r="D102" s="216">
        <v>1430</v>
      </c>
      <c r="E102" s="216">
        <v>0</v>
      </c>
      <c r="F102" s="218">
        <v>1039</v>
      </c>
      <c r="G102" s="216">
        <v>53454</v>
      </c>
      <c r="H102" s="216">
        <v>34008</v>
      </c>
      <c r="I102" s="216">
        <v>24362</v>
      </c>
      <c r="J102" s="216">
        <v>1109</v>
      </c>
      <c r="K102" s="216">
        <v>21023</v>
      </c>
      <c r="L102" s="218">
        <v>1032</v>
      </c>
    </row>
    <row r="103" spans="1:12" x14ac:dyDescent="0.25">
      <c r="A103" s="31">
        <f t="shared" si="1"/>
        <v>39062</v>
      </c>
      <c r="B103" s="216">
        <v>41827</v>
      </c>
      <c r="C103" s="216">
        <v>60957</v>
      </c>
      <c r="D103" s="216">
        <v>1220</v>
      </c>
      <c r="E103" s="216">
        <v>0</v>
      </c>
      <c r="F103" s="217">
        <v>1041</v>
      </c>
      <c r="G103" s="216">
        <v>59501</v>
      </c>
      <c r="H103" s="216">
        <v>39729</v>
      </c>
      <c r="I103" s="216">
        <v>341</v>
      </c>
      <c r="J103" s="216">
        <v>0</v>
      </c>
      <c r="K103" s="216">
        <v>1702</v>
      </c>
      <c r="L103" s="217">
        <v>1032</v>
      </c>
    </row>
    <row r="104" spans="1:12" x14ac:dyDescent="0.25">
      <c r="A104" s="31">
        <f t="shared" si="1"/>
        <v>39063</v>
      </c>
      <c r="B104" s="216">
        <v>35878</v>
      </c>
      <c r="C104" s="216">
        <v>45815</v>
      </c>
      <c r="D104" s="216">
        <v>1350</v>
      </c>
      <c r="E104" s="216">
        <v>0</v>
      </c>
      <c r="F104" s="217">
        <v>1043</v>
      </c>
      <c r="G104" s="216">
        <v>68767</v>
      </c>
      <c r="H104" s="216">
        <v>39356</v>
      </c>
      <c r="I104" s="216">
        <v>17404</v>
      </c>
      <c r="J104" s="216">
        <v>0</v>
      </c>
      <c r="K104" s="216">
        <v>0</v>
      </c>
      <c r="L104" s="217">
        <v>1033</v>
      </c>
    </row>
    <row r="105" spans="1:12" x14ac:dyDescent="0.25">
      <c r="A105" s="31">
        <f t="shared" si="1"/>
        <v>39064</v>
      </c>
      <c r="B105" s="216">
        <v>38944</v>
      </c>
      <c r="C105" s="216">
        <v>60335</v>
      </c>
      <c r="D105" s="216">
        <v>1220</v>
      </c>
      <c r="E105" s="216">
        <v>0</v>
      </c>
      <c r="F105" s="217">
        <v>1043</v>
      </c>
      <c r="G105" s="216">
        <v>51466</v>
      </c>
      <c r="H105" s="216">
        <v>30343</v>
      </c>
      <c r="I105" s="216">
        <v>0</v>
      </c>
      <c r="J105" s="216">
        <v>0</v>
      </c>
      <c r="K105" s="216">
        <v>0</v>
      </c>
      <c r="L105" s="217">
        <v>1032</v>
      </c>
    </row>
    <row r="106" spans="1:12" x14ac:dyDescent="0.25">
      <c r="A106" s="31">
        <f t="shared" si="1"/>
        <v>39065</v>
      </c>
      <c r="B106" s="216">
        <v>46977</v>
      </c>
      <c r="C106" s="216">
        <v>51667</v>
      </c>
      <c r="D106" s="216">
        <v>1310</v>
      </c>
      <c r="E106" s="216">
        <v>0</v>
      </c>
      <c r="F106" s="217">
        <v>1042</v>
      </c>
      <c r="G106" s="216">
        <v>55334</v>
      </c>
      <c r="H106" s="216">
        <v>30504</v>
      </c>
      <c r="I106" s="216">
        <v>3710</v>
      </c>
      <c r="J106" s="216">
        <v>0</v>
      </c>
      <c r="K106" s="216">
        <v>0</v>
      </c>
      <c r="L106" s="217">
        <v>1033</v>
      </c>
    </row>
    <row r="107" spans="1:12" x14ac:dyDescent="0.25">
      <c r="A107" s="31">
        <f t="shared" si="1"/>
        <v>39066</v>
      </c>
      <c r="B107" s="216">
        <v>45805</v>
      </c>
      <c r="C107" s="216">
        <v>48558</v>
      </c>
      <c r="D107" s="216">
        <v>1320</v>
      </c>
      <c r="E107" s="216">
        <v>0</v>
      </c>
      <c r="F107" s="217">
        <v>1040</v>
      </c>
      <c r="G107" s="216">
        <v>61630</v>
      </c>
      <c r="H107" s="216">
        <v>38208</v>
      </c>
      <c r="I107" s="216">
        <v>394</v>
      </c>
      <c r="J107" s="216">
        <v>0</v>
      </c>
      <c r="K107" s="216">
        <v>4159</v>
      </c>
      <c r="L107" s="217">
        <v>1033</v>
      </c>
    </row>
    <row r="108" spans="1:12" x14ac:dyDescent="0.25">
      <c r="A108" s="31">
        <f t="shared" si="1"/>
        <v>39067</v>
      </c>
      <c r="B108" s="216">
        <v>46019</v>
      </c>
      <c r="C108" s="216">
        <v>61163</v>
      </c>
      <c r="D108" s="216">
        <v>1250</v>
      </c>
      <c r="E108" s="216">
        <v>0</v>
      </c>
      <c r="F108" s="217">
        <v>1042</v>
      </c>
      <c r="G108" s="216">
        <v>65207</v>
      </c>
      <c r="H108" s="216">
        <v>36375</v>
      </c>
      <c r="I108" s="216">
        <v>1419</v>
      </c>
      <c r="J108" s="216">
        <v>0</v>
      </c>
      <c r="K108" s="216">
        <v>7023</v>
      </c>
      <c r="L108" s="217">
        <v>1035</v>
      </c>
    </row>
    <row r="109" spans="1:12" x14ac:dyDescent="0.25">
      <c r="A109" s="31">
        <f t="shared" si="1"/>
        <v>39068</v>
      </c>
      <c r="B109" s="216">
        <v>46402</v>
      </c>
      <c r="C109" s="216">
        <v>47012</v>
      </c>
      <c r="D109" s="216">
        <v>1110</v>
      </c>
      <c r="E109" s="216">
        <v>0</v>
      </c>
      <c r="F109" s="217">
        <v>1042</v>
      </c>
      <c r="G109" s="216">
        <v>58832</v>
      </c>
      <c r="H109" s="216">
        <v>27583</v>
      </c>
      <c r="I109" s="216">
        <v>0</v>
      </c>
      <c r="J109" s="216">
        <v>0</v>
      </c>
      <c r="K109" s="216">
        <v>7290</v>
      </c>
      <c r="L109" s="217">
        <v>1034</v>
      </c>
    </row>
    <row r="110" spans="1:12" x14ac:dyDescent="0.25">
      <c r="A110" s="31">
        <f t="shared" si="1"/>
        <v>39069</v>
      </c>
      <c r="B110" s="216">
        <v>34964</v>
      </c>
      <c r="C110" s="216">
        <v>52951</v>
      </c>
      <c r="D110" s="216">
        <v>1100</v>
      </c>
      <c r="E110" s="216">
        <v>0</v>
      </c>
      <c r="F110" s="217">
        <v>1042</v>
      </c>
      <c r="G110" s="216">
        <v>53596</v>
      </c>
      <c r="H110" s="216">
        <v>33685</v>
      </c>
      <c r="I110" s="216">
        <v>0</v>
      </c>
      <c r="J110" s="216">
        <v>0</v>
      </c>
      <c r="K110" s="216">
        <v>5348</v>
      </c>
      <c r="L110" s="217">
        <v>1032</v>
      </c>
    </row>
    <row r="111" spans="1:12" x14ac:dyDescent="0.25">
      <c r="A111" s="31">
        <f t="shared" si="1"/>
        <v>39070</v>
      </c>
      <c r="B111" s="216">
        <v>70170</v>
      </c>
      <c r="C111" s="216">
        <v>80254</v>
      </c>
      <c r="D111" s="216">
        <v>1860</v>
      </c>
      <c r="E111" s="216">
        <v>0</v>
      </c>
      <c r="F111" s="217">
        <v>1040</v>
      </c>
      <c r="G111" s="216">
        <v>69976</v>
      </c>
      <c r="H111" s="216">
        <v>28625</v>
      </c>
      <c r="I111" s="216">
        <v>0</v>
      </c>
      <c r="J111" s="216">
        <v>5077</v>
      </c>
      <c r="K111" s="216">
        <v>15421</v>
      </c>
      <c r="L111" s="217">
        <v>1032</v>
      </c>
    </row>
    <row r="112" spans="1:12" x14ac:dyDescent="0.25">
      <c r="A112" s="31">
        <f t="shared" si="1"/>
        <v>39071</v>
      </c>
      <c r="B112" s="216">
        <v>75567</v>
      </c>
      <c r="C112" s="216">
        <v>82331</v>
      </c>
      <c r="D112" s="216">
        <v>1580</v>
      </c>
      <c r="E112" s="216">
        <v>0</v>
      </c>
      <c r="F112" s="217">
        <v>1040</v>
      </c>
      <c r="G112" s="216">
        <v>71741</v>
      </c>
      <c r="H112" s="216">
        <v>27105</v>
      </c>
      <c r="I112" s="216">
        <v>0</v>
      </c>
      <c r="J112" s="216">
        <v>3449</v>
      </c>
      <c r="K112" s="216">
        <v>14784</v>
      </c>
      <c r="L112" s="217">
        <v>1032</v>
      </c>
    </row>
    <row r="113" spans="1:12" x14ac:dyDescent="0.25">
      <c r="A113" s="31">
        <f t="shared" si="1"/>
        <v>39072</v>
      </c>
      <c r="B113" s="216">
        <v>69162</v>
      </c>
      <c r="C113" s="216">
        <v>78141</v>
      </c>
      <c r="D113" s="216">
        <v>1430</v>
      </c>
      <c r="E113" s="216">
        <v>0</v>
      </c>
      <c r="F113" s="217">
        <v>1038</v>
      </c>
      <c r="G113" s="216">
        <v>54486</v>
      </c>
      <c r="H113" s="216">
        <v>30417</v>
      </c>
      <c r="I113" s="216">
        <v>0</v>
      </c>
      <c r="J113" s="216">
        <v>77</v>
      </c>
      <c r="K113" s="216">
        <v>9542</v>
      </c>
      <c r="L113" s="217">
        <v>1032</v>
      </c>
    </row>
    <row r="114" spans="1:12" x14ac:dyDescent="0.25">
      <c r="A114" s="31">
        <f t="shared" si="1"/>
        <v>39073</v>
      </c>
      <c r="B114" s="216">
        <v>49415</v>
      </c>
      <c r="C114" s="216">
        <v>51740</v>
      </c>
      <c r="D114" s="216">
        <v>1270</v>
      </c>
      <c r="E114" s="216">
        <v>0</v>
      </c>
      <c r="F114" s="217">
        <v>1037</v>
      </c>
      <c r="G114" s="216">
        <v>52856</v>
      </c>
      <c r="H114" s="216">
        <v>26815</v>
      </c>
      <c r="I114" s="216">
        <v>0</v>
      </c>
      <c r="J114" s="216">
        <v>0</v>
      </c>
      <c r="K114" s="216">
        <v>6177</v>
      </c>
      <c r="L114" s="217">
        <v>1032</v>
      </c>
    </row>
    <row r="115" spans="1:12" x14ac:dyDescent="0.25">
      <c r="A115" s="31">
        <f t="shared" si="1"/>
        <v>39074</v>
      </c>
      <c r="B115" s="216">
        <v>40654</v>
      </c>
      <c r="C115" s="216">
        <v>43987</v>
      </c>
      <c r="D115" s="216">
        <v>1089</v>
      </c>
      <c r="E115" s="216">
        <v>0</v>
      </c>
      <c r="F115" s="217">
        <v>1039</v>
      </c>
      <c r="G115" s="216">
        <v>47076</v>
      </c>
      <c r="H115" s="216">
        <v>33557</v>
      </c>
      <c r="I115" s="216">
        <v>0</v>
      </c>
      <c r="J115" s="216">
        <v>0</v>
      </c>
      <c r="K115" s="216">
        <v>3612</v>
      </c>
      <c r="L115" s="217">
        <v>1032</v>
      </c>
    </row>
    <row r="116" spans="1:12" x14ac:dyDescent="0.25">
      <c r="A116" s="31">
        <f t="shared" si="1"/>
        <v>39075</v>
      </c>
      <c r="B116" s="216">
        <v>55100</v>
      </c>
      <c r="C116" s="216">
        <v>67454</v>
      </c>
      <c r="D116" s="216">
        <v>1240</v>
      </c>
      <c r="E116" s="216">
        <v>0</v>
      </c>
      <c r="F116" s="217">
        <v>1042</v>
      </c>
      <c r="G116" s="216">
        <v>55580</v>
      </c>
      <c r="H116" s="216">
        <v>26467</v>
      </c>
      <c r="I116" s="216">
        <v>0</v>
      </c>
      <c r="J116" s="216">
        <v>0</v>
      </c>
      <c r="K116" s="216">
        <v>4475</v>
      </c>
      <c r="L116" s="217">
        <v>1032</v>
      </c>
    </row>
    <row r="117" spans="1:12" x14ac:dyDescent="0.25">
      <c r="A117" s="31">
        <f t="shared" si="1"/>
        <v>39076</v>
      </c>
      <c r="B117" s="216">
        <v>51713</v>
      </c>
      <c r="C117" s="216">
        <v>65674</v>
      </c>
      <c r="D117" s="216">
        <v>1280</v>
      </c>
      <c r="E117" s="216">
        <v>0</v>
      </c>
      <c r="F117" s="217">
        <v>1042</v>
      </c>
      <c r="G117" s="216">
        <v>57699</v>
      </c>
      <c r="H117" s="216">
        <v>29511</v>
      </c>
      <c r="I117" s="216">
        <v>0</v>
      </c>
      <c r="J117" s="216">
        <v>5</v>
      </c>
      <c r="K117" s="216">
        <v>2019</v>
      </c>
      <c r="L117" s="217">
        <v>1032</v>
      </c>
    </row>
    <row r="118" spans="1:12" x14ac:dyDescent="0.25">
      <c r="A118" s="31">
        <f t="shared" si="1"/>
        <v>39077</v>
      </c>
      <c r="B118" s="216">
        <v>51621</v>
      </c>
      <c r="C118" s="216">
        <v>68688</v>
      </c>
      <c r="D118" s="216">
        <v>1310</v>
      </c>
      <c r="E118" s="216">
        <v>0</v>
      </c>
      <c r="F118" s="217">
        <v>1042</v>
      </c>
      <c r="G118" s="216">
        <v>44775</v>
      </c>
      <c r="H118" s="216">
        <v>37861</v>
      </c>
      <c r="I118" s="216">
        <v>0</v>
      </c>
      <c r="J118" s="216">
        <v>0</v>
      </c>
      <c r="K118" s="216">
        <v>4513</v>
      </c>
      <c r="L118" s="217">
        <v>1030</v>
      </c>
    </row>
    <row r="119" spans="1:12" x14ac:dyDescent="0.25">
      <c r="A119" s="31">
        <f t="shared" si="1"/>
        <v>39078</v>
      </c>
      <c r="B119" s="216">
        <v>73989</v>
      </c>
      <c r="C119" s="216">
        <v>87010</v>
      </c>
      <c r="D119" s="216">
        <v>1610</v>
      </c>
      <c r="E119" s="216">
        <v>0</v>
      </c>
      <c r="F119" s="217">
        <v>1044</v>
      </c>
      <c r="G119" s="216">
        <v>63626</v>
      </c>
      <c r="H119" s="216">
        <v>31813</v>
      </c>
      <c r="I119" s="216">
        <v>4654</v>
      </c>
      <c r="J119" s="216">
        <v>0</v>
      </c>
      <c r="K119" s="216">
        <v>22513</v>
      </c>
      <c r="L119" s="217">
        <v>1028</v>
      </c>
    </row>
    <row r="120" spans="1:12" x14ac:dyDescent="0.25">
      <c r="A120" s="31">
        <f t="shared" si="1"/>
        <v>39079</v>
      </c>
      <c r="B120" s="216">
        <v>63969</v>
      </c>
      <c r="C120" s="216">
        <v>87924</v>
      </c>
      <c r="D120" s="216">
        <v>1460</v>
      </c>
      <c r="E120" s="216">
        <v>0</v>
      </c>
      <c r="F120" s="217">
        <v>1043</v>
      </c>
      <c r="G120" s="216">
        <v>54455</v>
      </c>
      <c r="H120" s="216">
        <v>30150</v>
      </c>
      <c r="I120" s="216">
        <v>164</v>
      </c>
      <c r="J120" s="216">
        <v>0</v>
      </c>
      <c r="K120" s="216">
        <v>5178</v>
      </c>
      <c r="L120" s="217">
        <v>1028</v>
      </c>
    </row>
    <row r="121" spans="1:12" x14ac:dyDescent="0.25">
      <c r="A121" s="31">
        <f t="shared" si="1"/>
        <v>39080</v>
      </c>
      <c r="B121" s="216">
        <v>60036</v>
      </c>
      <c r="C121" s="216">
        <v>76472</v>
      </c>
      <c r="D121" s="216">
        <v>1400</v>
      </c>
      <c r="E121" s="216">
        <v>0</v>
      </c>
      <c r="F121" s="217">
        <v>1040</v>
      </c>
      <c r="G121" s="216">
        <v>54486</v>
      </c>
      <c r="H121" s="216">
        <v>30480</v>
      </c>
      <c r="I121" s="216">
        <v>0</v>
      </c>
      <c r="J121" s="216">
        <v>0</v>
      </c>
      <c r="K121" s="216">
        <v>4576</v>
      </c>
      <c r="L121" s="217">
        <v>1028</v>
      </c>
    </row>
    <row r="122" spans="1:12" x14ac:dyDescent="0.25">
      <c r="A122" s="31">
        <f t="shared" si="1"/>
        <v>39081</v>
      </c>
      <c r="B122" s="216">
        <v>63204</v>
      </c>
      <c r="C122" s="216">
        <v>79710</v>
      </c>
      <c r="D122" s="216">
        <v>1230</v>
      </c>
      <c r="E122" s="216">
        <v>0</v>
      </c>
      <c r="F122" s="217">
        <v>1040</v>
      </c>
      <c r="G122" s="216">
        <v>55097</v>
      </c>
      <c r="H122" s="216">
        <v>28372</v>
      </c>
      <c r="I122" s="216">
        <v>0</v>
      </c>
      <c r="J122" s="216">
        <v>0</v>
      </c>
      <c r="K122" s="216">
        <v>4880</v>
      </c>
      <c r="L122" s="217">
        <v>1030</v>
      </c>
    </row>
    <row r="123" spans="1:12" x14ac:dyDescent="0.25">
      <c r="A123" s="31">
        <f t="shared" si="1"/>
        <v>39082</v>
      </c>
      <c r="B123" s="216">
        <v>52297</v>
      </c>
      <c r="C123" s="216">
        <v>77299</v>
      </c>
      <c r="D123" s="216">
        <v>1240</v>
      </c>
      <c r="E123" s="216">
        <v>0</v>
      </c>
      <c r="F123" s="217">
        <v>1040</v>
      </c>
      <c r="G123" s="216">
        <v>60163</v>
      </c>
      <c r="H123" s="216">
        <v>27491</v>
      </c>
      <c r="I123" s="216">
        <v>0</v>
      </c>
      <c r="J123" s="216">
        <v>0</v>
      </c>
      <c r="K123" s="216">
        <v>239</v>
      </c>
      <c r="L123" s="217">
        <v>1030</v>
      </c>
    </row>
    <row r="124" spans="1:12" x14ac:dyDescent="0.25">
      <c r="A124" s="31">
        <f>1+A123</f>
        <v>39083</v>
      </c>
      <c r="B124" s="216">
        <v>45798</v>
      </c>
      <c r="C124" s="216">
        <v>58910</v>
      </c>
      <c r="D124" s="216">
        <v>1131</v>
      </c>
      <c r="E124" s="216">
        <v>0</v>
      </c>
      <c r="F124" s="217">
        <v>1040</v>
      </c>
      <c r="G124" s="216">
        <v>46121</v>
      </c>
      <c r="H124" s="216">
        <v>35377</v>
      </c>
      <c r="I124" s="216">
        <v>0</v>
      </c>
      <c r="J124" s="216">
        <v>0</v>
      </c>
      <c r="K124" s="216">
        <v>5196</v>
      </c>
      <c r="L124" s="217">
        <v>1030</v>
      </c>
    </row>
    <row r="125" spans="1:12" x14ac:dyDescent="0.25">
      <c r="A125" s="31">
        <f t="shared" si="1"/>
        <v>39084</v>
      </c>
      <c r="B125" s="216">
        <v>47108</v>
      </c>
      <c r="C125" s="216">
        <v>56850</v>
      </c>
      <c r="D125" s="216">
        <v>2040</v>
      </c>
      <c r="E125" s="216">
        <v>0</v>
      </c>
      <c r="F125" s="217">
        <v>1040</v>
      </c>
      <c r="G125" s="216">
        <v>74924</v>
      </c>
      <c r="H125" s="216">
        <v>42875</v>
      </c>
      <c r="I125" s="216">
        <v>15500</v>
      </c>
      <c r="J125" s="216">
        <v>3728</v>
      </c>
      <c r="K125" s="216">
        <v>22747</v>
      </c>
      <c r="L125" s="217">
        <v>1030</v>
      </c>
    </row>
    <row r="126" spans="1:12" x14ac:dyDescent="0.25">
      <c r="A126" s="31">
        <f t="shared" si="1"/>
        <v>39085</v>
      </c>
      <c r="B126" s="216">
        <v>56316</v>
      </c>
      <c r="C126" s="216">
        <v>67371</v>
      </c>
      <c r="D126" s="216">
        <v>2000</v>
      </c>
      <c r="E126" s="216">
        <v>0</v>
      </c>
      <c r="F126" s="217">
        <v>1042</v>
      </c>
      <c r="G126" s="216">
        <v>66698</v>
      </c>
      <c r="H126" s="216">
        <v>37498</v>
      </c>
      <c r="I126" s="216">
        <v>1349</v>
      </c>
      <c r="J126" s="216">
        <v>1007</v>
      </c>
      <c r="K126" s="216">
        <v>8934</v>
      </c>
      <c r="L126" s="217">
        <v>1030</v>
      </c>
    </row>
    <row r="127" spans="1:12" x14ac:dyDescent="0.25">
      <c r="A127" s="31">
        <f t="shared" si="1"/>
        <v>39086</v>
      </c>
      <c r="B127" s="216">
        <v>46255</v>
      </c>
      <c r="C127" s="216">
        <v>54257</v>
      </c>
      <c r="D127" s="216">
        <v>1600</v>
      </c>
      <c r="E127" s="216">
        <v>0</v>
      </c>
      <c r="F127" s="217">
        <v>1043</v>
      </c>
      <c r="G127" s="216">
        <v>42554</v>
      </c>
      <c r="H127" s="216">
        <v>26180</v>
      </c>
      <c r="I127" s="216">
        <v>0</v>
      </c>
      <c r="J127" s="216">
        <v>0</v>
      </c>
      <c r="K127" s="216">
        <v>2156</v>
      </c>
      <c r="L127" s="217">
        <v>1033</v>
      </c>
    </row>
    <row r="128" spans="1:12" x14ac:dyDescent="0.25">
      <c r="A128" s="31">
        <f t="shared" si="1"/>
        <v>39087</v>
      </c>
      <c r="B128" s="216">
        <v>25587</v>
      </c>
      <c r="C128" s="216">
        <v>28760</v>
      </c>
      <c r="D128" s="216">
        <v>1190</v>
      </c>
      <c r="E128" s="216">
        <v>0</v>
      </c>
      <c r="F128" s="217">
        <v>1043</v>
      </c>
      <c r="G128" s="216">
        <v>31690</v>
      </c>
      <c r="H128" s="216">
        <v>20160</v>
      </c>
      <c r="I128" s="216">
        <v>0</v>
      </c>
      <c r="J128" s="216">
        <v>0</v>
      </c>
      <c r="K128" s="216">
        <v>0</v>
      </c>
      <c r="L128" s="217">
        <v>1040</v>
      </c>
    </row>
    <row r="129" spans="1:12" x14ac:dyDescent="0.25">
      <c r="A129" s="31">
        <f t="shared" si="1"/>
        <v>39088</v>
      </c>
      <c r="B129" s="216">
        <v>32484</v>
      </c>
      <c r="C129" s="216">
        <v>28806</v>
      </c>
      <c r="D129" s="216">
        <v>1201</v>
      </c>
      <c r="E129" s="216">
        <v>0</v>
      </c>
      <c r="F129" s="217">
        <v>1043</v>
      </c>
      <c r="G129" s="216">
        <v>28218</v>
      </c>
      <c r="H129" s="216">
        <v>19242</v>
      </c>
      <c r="I129" s="216">
        <v>0</v>
      </c>
      <c r="J129" s="216">
        <v>0</v>
      </c>
      <c r="K129" s="216">
        <v>0</v>
      </c>
      <c r="L129" s="217">
        <v>1031</v>
      </c>
    </row>
    <row r="130" spans="1:12" x14ac:dyDescent="0.25">
      <c r="A130" s="31">
        <f t="shared" si="1"/>
        <v>39089</v>
      </c>
      <c r="B130" s="216">
        <v>45598</v>
      </c>
      <c r="C130" s="216">
        <v>46369</v>
      </c>
      <c r="D130" s="216">
        <v>1740</v>
      </c>
      <c r="E130" s="216">
        <v>0</v>
      </c>
      <c r="F130" s="217">
        <v>1042</v>
      </c>
      <c r="G130" s="216">
        <v>54310</v>
      </c>
      <c r="H130" s="216">
        <v>27304</v>
      </c>
      <c r="I130" s="216">
        <v>0</v>
      </c>
      <c r="J130" s="216">
        <v>0</v>
      </c>
      <c r="K130" s="216">
        <v>0</v>
      </c>
      <c r="L130" s="217">
        <v>1030</v>
      </c>
    </row>
    <row r="131" spans="1:12" x14ac:dyDescent="0.25">
      <c r="A131" s="31">
        <f t="shared" si="1"/>
        <v>39090</v>
      </c>
      <c r="B131" s="216">
        <v>58667</v>
      </c>
      <c r="C131" s="216">
        <v>64638</v>
      </c>
      <c r="D131" s="216">
        <v>2190</v>
      </c>
      <c r="E131" s="216">
        <v>0</v>
      </c>
      <c r="F131" s="217">
        <v>1043</v>
      </c>
      <c r="G131" s="216">
        <v>63568</v>
      </c>
      <c r="H131" s="216">
        <v>36878</v>
      </c>
      <c r="I131" s="216">
        <v>0</v>
      </c>
      <c r="J131" s="216">
        <v>10363</v>
      </c>
      <c r="K131" s="216">
        <v>17262</v>
      </c>
      <c r="L131" s="217">
        <v>1029</v>
      </c>
    </row>
    <row r="132" spans="1:12" x14ac:dyDescent="0.25">
      <c r="A132" s="31">
        <f t="shared" ref="A132:A196" si="2">1+A131</f>
        <v>39091</v>
      </c>
      <c r="B132" s="216">
        <v>72574</v>
      </c>
      <c r="C132" s="216">
        <v>79407</v>
      </c>
      <c r="D132" s="216">
        <v>2350</v>
      </c>
      <c r="E132" s="216">
        <v>0</v>
      </c>
      <c r="F132" s="217">
        <v>1036</v>
      </c>
      <c r="G132" s="216">
        <v>75035</v>
      </c>
      <c r="H132" s="216">
        <v>39955</v>
      </c>
      <c r="I132" s="216">
        <v>2540</v>
      </c>
      <c r="J132" s="216">
        <v>5713</v>
      </c>
      <c r="K132" s="216">
        <v>24499</v>
      </c>
      <c r="L132" s="217">
        <v>1039</v>
      </c>
    </row>
    <row r="133" spans="1:12" x14ac:dyDescent="0.25">
      <c r="A133" s="31">
        <f t="shared" si="2"/>
        <v>39092</v>
      </c>
      <c r="B133" s="216">
        <v>80317</v>
      </c>
      <c r="C133" s="216">
        <v>72576</v>
      </c>
      <c r="D133" s="216">
        <v>2749</v>
      </c>
      <c r="E133" s="216">
        <v>0</v>
      </c>
      <c r="F133" s="217">
        <v>1038</v>
      </c>
      <c r="G133" s="216">
        <v>85521</v>
      </c>
      <c r="H133" s="216">
        <v>54679</v>
      </c>
      <c r="I133" s="216">
        <v>30659</v>
      </c>
      <c r="J133" s="216">
        <v>23438</v>
      </c>
      <c r="K133" s="216">
        <v>29035</v>
      </c>
      <c r="L133" s="217">
        <v>1028</v>
      </c>
    </row>
    <row r="134" spans="1:12" x14ac:dyDescent="0.25">
      <c r="A134" s="31">
        <f t="shared" si="2"/>
        <v>39093</v>
      </c>
      <c r="B134" s="216">
        <v>73068</v>
      </c>
      <c r="C134" s="216">
        <v>78882</v>
      </c>
      <c r="D134" s="216">
        <v>2350</v>
      </c>
      <c r="E134" s="216">
        <v>0</v>
      </c>
      <c r="F134" s="217">
        <v>1037</v>
      </c>
      <c r="G134" s="216">
        <v>58324</v>
      </c>
      <c r="H134" s="216">
        <v>47393</v>
      </c>
      <c r="I134" s="216">
        <v>26683</v>
      </c>
      <c r="J134" s="216">
        <v>19972</v>
      </c>
      <c r="K134" s="216">
        <v>23970</v>
      </c>
      <c r="L134" s="217">
        <v>1032</v>
      </c>
    </row>
    <row r="135" spans="1:12" x14ac:dyDescent="0.25">
      <c r="A135" s="31">
        <f t="shared" si="2"/>
        <v>39094</v>
      </c>
      <c r="B135" s="216">
        <v>62159</v>
      </c>
      <c r="C135" s="216">
        <v>66196</v>
      </c>
      <c r="D135" s="216">
        <v>1910</v>
      </c>
      <c r="E135" s="216">
        <v>0</v>
      </c>
      <c r="F135" s="217">
        <v>1038</v>
      </c>
      <c r="G135" s="216">
        <v>44706</v>
      </c>
      <c r="H135" s="216">
        <v>29935</v>
      </c>
      <c r="I135" s="216">
        <v>1960</v>
      </c>
      <c r="J135" s="216">
        <v>4115</v>
      </c>
      <c r="K135" s="216">
        <v>19333</v>
      </c>
      <c r="L135" s="217">
        <v>1034</v>
      </c>
    </row>
    <row r="136" spans="1:12" x14ac:dyDescent="0.25">
      <c r="A136" s="31">
        <f t="shared" si="2"/>
        <v>39095</v>
      </c>
      <c r="B136" s="216">
        <v>34678</v>
      </c>
      <c r="C136" s="216">
        <v>40819</v>
      </c>
      <c r="D136" s="216">
        <v>1550</v>
      </c>
      <c r="E136" s="216">
        <v>0</v>
      </c>
      <c r="F136" s="217">
        <v>1042</v>
      </c>
      <c r="G136" s="216">
        <v>42876</v>
      </c>
      <c r="H136" s="216">
        <v>34246</v>
      </c>
      <c r="I136" s="216">
        <v>0</v>
      </c>
      <c r="J136" s="216">
        <v>0</v>
      </c>
      <c r="K136" s="216">
        <v>146</v>
      </c>
      <c r="L136" s="217">
        <v>1035</v>
      </c>
    </row>
    <row r="137" spans="1:12" x14ac:dyDescent="0.25">
      <c r="A137" s="31">
        <f t="shared" si="2"/>
        <v>39096</v>
      </c>
      <c r="B137" s="216">
        <v>44654</v>
      </c>
      <c r="C137" s="216">
        <v>50653</v>
      </c>
      <c r="D137" s="216">
        <v>1660</v>
      </c>
      <c r="E137" s="216">
        <v>0</v>
      </c>
      <c r="F137" s="217">
        <v>1043</v>
      </c>
      <c r="G137" s="216">
        <v>49064</v>
      </c>
      <c r="H137" s="216">
        <v>33026</v>
      </c>
      <c r="I137" s="216">
        <v>0</v>
      </c>
      <c r="J137" s="216">
        <v>0</v>
      </c>
      <c r="K137" s="216">
        <v>0</v>
      </c>
      <c r="L137" s="217">
        <v>1036</v>
      </c>
    </row>
    <row r="138" spans="1:12" x14ac:dyDescent="0.25">
      <c r="A138" s="31">
        <f t="shared" si="2"/>
        <v>39097</v>
      </c>
      <c r="B138" s="216">
        <v>54948</v>
      </c>
      <c r="C138" s="216">
        <v>52323</v>
      </c>
      <c r="D138" s="216">
        <v>1570</v>
      </c>
      <c r="E138" s="216">
        <v>0</v>
      </c>
      <c r="F138" s="217">
        <v>1043</v>
      </c>
      <c r="G138" s="216">
        <v>39161</v>
      </c>
      <c r="H138" s="216">
        <v>20839</v>
      </c>
      <c r="I138" s="216">
        <v>0</v>
      </c>
      <c r="J138" s="216">
        <v>0</v>
      </c>
      <c r="K138" s="216">
        <v>8</v>
      </c>
      <c r="L138" s="217">
        <v>1035</v>
      </c>
    </row>
    <row r="139" spans="1:12" x14ac:dyDescent="0.25">
      <c r="A139" s="31">
        <f t="shared" si="2"/>
        <v>39098</v>
      </c>
      <c r="B139" s="216">
        <v>80727</v>
      </c>
      <c r="C139" s="216">
        <v>80355</v>
      </c>
      <c r="D139" s="216">
        <v>2750</v>
      </c>
      <c r="E139" s="216">
        <v>0</v>
      </c>
      <c r="F139" s="217">
        <v>1040</v>
      </c>
      <c r="G139" s="216">
        <v>76619</v>
      </c>
      <c r="H139" s="216">
        <v>49168</v>
      </c>
      <c r="I139" s="216">
        <v>21939</v>
      </c>
      <c r="J139" s="216">
        <v>11110</v>
      </c>
      <c r="K139" s="216">
        <v>27125</v>
      </c>
      <c r="L139" s="217">
        <v>1032</v>
      </c>
    </row>
    <row r="140" spans="1:12" x14ac:dyDescent="0.25">
      <c r="A140" s="31">
        <f t="shared" si="2"/>
        <v>39099</v>
      </c>
      <c r="B140" s="216">
        <v>88337</v>
      </c>
      <c r="C140" s="216">
        <v>81946</v>
      </c>
      <c r="D140" s="216">
        <v>2860</v>
      </c>
      <c r="E140" s="216">
        <v>0</v>
      </c>
      <c r="F140" s="217">
        <v>1041</v>
      </c>
      <c r="G140" s="216">
        <v>75816</v>
      </c>
      <c r="H140" s="216">
        <v>66718</v>
      </c>
      <c r="I140" s="216">
        <v>28473</v>
      </c>
      <c r="J140" s="216">
        <v>24378</v>
      </c>
      <c r="K140" s="216">
        <v>26902</v>
      </c>
      <c r="L140" s="217">
        <v>1034</v>
      </c>
    </row>
    <row r="141" spans="1:12" x14ac:dyDescent="0.25">
      <c r="A141" s="31">
        <f t="shared" si="2"/>
        <v>39100</v>
      </c>
      <c r="B141" s="216">
        <v>83694</v>
      </c>
      <c r="C141" s="216">
        <v>85101</v>
      </c>
      <c r="D141" s="216">
        <v>2670</v>
      </c>
      <c r="E141" s="216">
        <v>0</v>
      </c>
      <c r="F141" s="217">
        <v>1041</v>
      </c>
      <c r="G141" s="216">
        <v>69048</v>
      </c>
      <c r="H141" s="216">
        <v>52446</v>
      </c>
      <c r="I141" s="216">
        <v>25683</v>
      </c>
      <c r="J141" s="216">
        <v>17220</v>
      </c>
      <c r="K141" s="216">
        <v>23939</v>
      </c>
      <c r="L141" s="217">
        <v>1035</v>
      </c>
    </row>
    <row r="142" spans="1:12" x14ac:dyDescent="0.25">
      <c r="A142" s="31">
        <f t="shared" si="2"/>
        <v>39101</v>
      </c>
      <c r="B142" s="216">
        <v>86108</v>
      </c>
      <c r="C142" s="216">
        <v>88258</v>
      </c>
      <c r="D142" s="216">
        <v>2800</v>
      </c>
      <c r="E142" s="216">
        <v>0</v>
      </c>
      <c r="F142" s="217">
        <v>1043</v>
      </c>
      <c r="G142" s="216">
        <v>80668</v>
      </c>
      <c r="H142" s="216">
        <v>47217</v>
      </c>
      <c r="I142" s="216">
        <v>4305</v>
      </c>
      <c r="J142" s="216">
        <v>17957</v>
      </c>
      <c r="K142" s="216">
        <v>23213</v>
      </c>
      <c r="L142" s="217">
        <v>1037</v>
      </c>
    </row>
    <row r="143" spans="1:12" x14ac:dyDescent="0.25">
      <c r="A143" s="31">
        <f t="shared" si="2"/>
        <v>39102</v>
      </c>
      <c r="B143" s="216">
        <v>98914</v>
      </c>
      <c r="C143" s="216">
        <v>94000</v>
      </c>
      <c r="D143" s="216">
        <v>3110</v>
      </c>
      <c r="E143" s="216">
        <v>0</v>
      </c>
      <c r="F143" s="217">
        <v>1042</v>
      </c>
      <c r="G143" s="216">
        <v>87878</v>
      </c>
      <c r="H143" s="216">
        <v>56926</v>
      </c>
      <c r="I143" s="216">
        <v>22435</v>
      </c>
      <c r="J143" s="216">
        <v>23037</v>
      </c>
      <c r="K143" s="216">
        <v>29729</v>
      </c>
      <c r="L143" s="217">
        <v>1034</v>
      </c>
    </row>
    <row r="144" spans="1:12" x14ac:dyDescent="0.25">
      <c r="A144" s="31">
        <f t="shared" si="2"/>
        <v>39103</v>
      </c>
      <c r="B144" s="216">
        <v>101966</v>
      </c>
      <c r="C144" s="216">
        <v>88655</v>
      </c>
      <c r="D144" s="216">
        <v>3050</v>
      </c>
      <c r="E144" s="216">
        <v>0</v>
      </c>
      <c r="F144" s="217">
        <v>1038</v>
      </c>
      <c r="G144" s="216">
        <v>86473</v>
      </c>
      <c r="H144" s="216">
        <v>51963</v>
      </c>
      <c r="I144" s="216">
        <v>25781</v>
      </c>
      <c r="J144" s="216">
        <v>25220</v>
      </c>
      <c r="K144" s="216">
        <v>28543</v>
      </c>
      <c r="L144" s="217">
        <v>1032</v>
      </c>
    </row>
    <row r="145" spans="1:12" x14ac:dyDescent="0.25">
      <c r="A145" s="31">
        <f t="shared" si="2"/>
        <v>39104</v>
      </c>
      <c r="B145" s="216">
        <v>94414</v>
      </c>
      <c r="C145" s="216">
        <v>89542</v>
      </c>
      <c r="D145" s="216">
        <v>2820</v>
      </c>
      <c r="E145" s="216">
        <v>0</v>
      </c>
      <c r="F145" s="217">
        <v>1043</v>
      </c>
      <c r="G145" s="216">
        <v>77070</v>
      </c>
      <c r="H145" s="216">
        <v>39562</v>
      </c>
      <c r="I145" s="216">
        <v>25063</v>
      </c>
      <c r="J145" s="216">
        <v>20346</v>
      </c>
      <c r="K145" s="216">
        <v>27206</v>
      </c>
      <c r="L145" s="217">
        <v>1032</v>
      </c>
    </row>
    <row r="146" spans="1:12" x14ac:dyDescent="0.25">
      <c r="A146" s="31">
        <f t="shared" si="2"/>
        <v>39105</v>
      </c>
      <c r="B146" s="216">
        <v>90758</v>
      </c>
      <c r="C146" s="216">
        <v>87249</v>
      </c>
      <c r="D146" s="216">
        <v>2740</v>
      </c>
      <c r="E146" s="216">
        <v>0</v>
      </c>
      <c r="F146" s="217">
        <v>1041</v>
      </c>
      <c r="G146" s="216">
        <v>64797</v>
      </c>
      <c r="H146" s="216">
        <v>43026</v>
      </c>
      <c r="I146" s="216">
        <v>26106</v>
      </c>
      <c r="J146" s="216">
        <v>20020</v>
      </c>
      <c r="K146" s="216">
        <v>26407</v>
      </c>
      <c r="L146" s="217">
        <v>1030</v>
      </c>
    </row>
    <row r="147" spans="1:12" x14ac:dyDescent="0.25">
      <c r="A147" s="31">
        <f t="shared" si="2"/>
        <v>39106</v>
      </c>
      <c r="B147" s="216">
        <v>79986</v>
      </c>
      <c r="C147" s="216">
        <v>88885</v>
      </c>
      <c r="D147" s="216">
        <v>2550</v>
      </c>
      <c r="E147" s="216">
        <v>0</v>
      </c>
      <c r="F147" s="217">
        <v>1042</v>
      </c>
      <c r="G147" s="216">
        <v>62483</v>
      </c>
      <c r="H147" s="216">
        <v>49233</v>
      </c>
      <c r="I147" s="216">
        <v>23788</v>
      </c>
      <c r="J147" s="216">
        <v>17493</v>
      </c>
      <c r="K147" s="216">
        <v>25039</v>
      </c>
      <c r="L147" s="217">
        <v>1030</v>
      </c>
    </row>
    <row r="148" spans="1:12" x14ac:dyDescent="0.25">
      <c r="A148" s="31">
        <f t="shared" si="2"/>
        <v>39107</v>
      </c>
      <c r="B148" s="216">
        <v>97259</v>
      </c>
      <c r="C148" s="216">
        <v>98731</v>
      </c>
      <c r="D148" s="216">
        <v>3210</v>
      </c>
      <c r="E148" s="216">
        <v>0</v>
      </c>
      <c r="F148" s="217">
        <v>1042</v>
      </c>
      <c r="G148" s="216">
        <v>84764</v>
      </c>
      <c r="H148" s="216">
        <v>61666</v>
      </c>
      <c r="I148" s="216">
        <v>28445</v>
      </c>
      <c r="J148" s="216">
        <v>22048</v>
      </c>
      <c r="K148" s="216">
        <v>28264</v>
      </c>
      <c r="L148" s="217">
        <v>1035</v>
      </c>
    </row>
    <row r="149" spans="1:12" x14ac:dyDescent="0.25">
      <c r="A149" s="31">
        <f t="shared" si="2"/>
        <v>39108</v>
      </c>
      <c r="B149" s="216">
        <v>104355</v>
      </c>
      <c r="C149" s="216">
        <v>91070</v>
      </c>
      <c r="D149" s="216">
        <v>3439</v>
      </c>
      <c r="E149" s="216">
        <v>0</v>
      </c>
      <c r="F149" s="217">
        <v>1042</v>
      </c>
      <c r="G149" s="216">
        <v>83317</v>
      </c>
      <c r="H149" s="216">
        <v>60365</v>
      </c>
      <c r="I149" s="216">
        <v>30018</v>
      </c>
      <c r="J149" s="216">
        <v>24272</v>
      </c>
      <c r="K149" s="216">
        <v>26709</v>
      </c>
      <c r="L149" s="217">
        <v>1032</v>
      </c>
    </row>
    <row r="150" spans="1:12" x14ac:dyDescent="0.25">
      <c r="A150" s="31">
        <f t="shared" si="2"/>
        <v>39109</v>
      </c>
      <c r="B150" s="216">
        <v>88291</v>
      </c>
      <c r="C150" s="216">
        <v>99355</v>
      </c>
      <c r="D150" s="216">
        <v>2340</v>
      </c>
      <c r="E150" s="216">
        <v>0</v>
      </c>
      <c r="F150" s="217">
        <v>1041</v>
      </c>
      <c r="G150" s="216">
        <v>59704</v>
      </c>
      <c r="H150" s="216">
        <v>37800</v>
      </c>
      <c r="I150" s="216">
        <v>9808</v>
      </c>
      <c r="J150" s="216">
        <v>10207</v>
      </c>
      <c r="K150" s="216">
        <v>18707</v>
      </c>
      <c r="L150" s="217">
        <v>1034</v>
      </c>
    </row>
    <row r="151" spans="1:12" x14ac:dyDescent="0.25">
      <c r="A151" s="31">
        <f t="shared" si="2"/>
        <v>39110</v>
      </c>
      <c r="B151" s="216">
        <v>93422</v>
      </c>
      <c r="C151" s="216">
        <v>102127</v>
      </c>
      <c r="D151" s="216">
        <v>2650</v>
      </c>
      <c r="E151" s="216">
        <v>0</v>
      </c>
      <c r="F151" s="217">
        <v>1041</v>
      </c>
      <c r="G151" s="216">
        <v>75609</v>
      </c>
      <c r="H151" s="216">
        <v>42381</v>
      </c>
      <c r="I151" s="216">
        <v>5298</v>
      </c>
      <c r="J151" s="216">
        <v>6488</v>
      </c>
      <c r="K151" s="216">
        <v>20453</v>
      </c>
      <c r="L151" s="217">
        <v>1037</v>
      </c>
    </row>
    <row r="152" spans="1:12" x14ac:dyDescent="0.25">
      <c r="A152" s="31">
        <f t="shared" si="2"/>
        <v>39111</v>
      </c>
      <c r="B152" s="216">
        <v>105141</v>
      </c>
      <c r="C152" s="216">
        <v>94950</v>
      </c>
      <c r="D152" s="216">
        <v>3230</v>
      </c>
      <c r="E152" s="216">
        <v>0</v>
      </c>
      <c r="F152" s="217">
        <v>1041</v>
      </c>
      <c r="G152" s="216">
        <v>87664</v>
      </c>
      <c r="H152" s="216">
        <v>57802</v>
      </c>
      <c r="I152" s="216">
        <v>27891</v>
      </c>
      <c r="J152" s="216">
        <v>25610</v>
      </c>
      <c r="K152" s="216">
        <v>28065</v>
      </c>
      <c r="L152" s="217">
        <v>1036</v>
      </c>
    </row>
    <row r="153" spans="1:12" x14ac:dyDescent="0.25">
      <c r="A153" s="31">
        <f t="shared" si="2"/>
        <v>39112</v>
      </c>
      <c r="B153" s="216">
        <v>101195</v>
      </c>
      <c r="C153" s="216">
        <v>94779</v>
      </c>
      <c r="D153" s="216">
        <v>2890</v>
      </c>
      <c r="E153" s="216">
        <v>0</v>
      </c>
      <c r="F153" s="217">
        <v>1041</v>
      </c>
      <c r="G153" s="216">
        <v>77502</v>
      </c>
      <c r="H153" s="216">
        <v>51435</v>
      </c>
      <c r="I153" s="216">
        <v>22729</v>
      </c>
      <c r="J153" s="216">
        <v>22075</v>
      </c>
      <c r="K153" s="216">
        <v>25761</v>
      </c>
      <c r="L153" s="217">
        <v>1036</v>
      </c>
    </row>
    <row r="154" spans="1:12" x14ac:dyDescent="0.25">
      <c r="A154" s="31">
        <f t="shared" si="2"/>
        <v>39113</v>
      </c>
      <c r="B154" s="216">
        <v>101674</v>
      </c>
      <c r="C154" s="216">
        <v>89090</v>
      </c>
      <c r="D154" s="216">
        <v>2960</v>
      </c>
      <c r="E154" s="216">
        <v>0</v>
      </c>
      <c r="F154" s="217">
        <v>1040</v>
      </c>
      <c r="G154" s="216">
        <v>86280</v>
      </c>
      <c r="H154" s="216">
        <v>53320</v>
      </c>
      <c r="I154" s="216">
        <v>26070</v>
      </c>
      <c r="J154" s="216">
        <v>24921</v>
      </c>
      <c r="K154" s="216">
        <v>28541</v>
      </c>
      <c r="L154" s="217">
        <v>1038</v>
      </c>
    </row>
    <row r="155" spans="1:12" x14ac:dyDescent="0.25">
      <c r="A155" s="31">
        <f>1+A154</f>
        <v>39114</v>
      </c>
      <c r="B155" s="216">
        <v>92928</v>
      </c>
      <c r="C155" s="216">
        <v>74419</v>
      </c>
      <c r="D155" s="216">
        <v>2960</v>
      </c>
      <c r="E155" s="216">
        <v>0</v>
      </c>
      <c r="F155" s="217">
        <v>1042</v>
      </c>
      <c r="G155" s="216">
        <v>75764</v>
      </c>
      <c r="H155" s="216">
        <v>47046</v>
      </c>
      <c r="I155" s="216">
        <v>29938</v>
      </c>
      <c r="J155" s="216">
        <v>24095</v>
      </c>
      <c r="K155" s="216">
        <v>27821</v>
      </c>
      <c r="L155" s="217">
        <v>1040</v>
      </c>
    </row>
    <row r="156" spans="1:12" x14ac:dyDescent="0.25">
      <c r="A156" s="31">
        <f t="shared" si="2"/>
        <v>39115</v>
      </c>
      <c r="B156" s="216">
        <v>81605</v>
      </c>
      <c r="C156" s="216">
        <v>63240</v>
      </c>
      <c r="D156" s="216">
        <v>2771</v>
      </c>
      <c r="E156" s="216">
        <v>0</v>
      </c>
      <c r="F156" s="217">
        <v>1042</v>
      </c>
      <c r="G156" s="216">
        <v>77063</v>
      </c>
      <c r="H156" s="216">
        <v>57414</v>
      </c>
      <c r="I156" s="216">
        <v>30718</v>
      </c>
      <c r="J156" s="216">
        <v>17750</v>
      </c>
      <c r="K156" s="216">
        <v>23043</v>
      </c>
      <c r="L156" s="217">
        <v>1037</v>
      </c>
    </row>
    <row r="157" spans="1:12" x14ac:dyDescent="0.25">
      <c r="A157" s="31">
        <f t="shared" si="2"/>
        <v>39116</v>
      </c>
      <c r="B157" s="216">
        <v>101688</v>
      </c>
      <c r="C157" s="216">
        <v>89115</v>
      </c>
      <c r="D157" s="216">
        <v>3140</v>
      </c>
      <c r="E157" s="216">
        <v>0</v>
      </c>
      <c r="F157" s="217">
        <v>1042</v>
      </c>
      <c r="G157" s="216">
        <v>96078</v>
      </c>
      <c r="H157" s="216">
        <v>58375</v>
      </c>
      <c r="I157" s="216">
        <v>31457</v>
      </c>
      <c r="J157" s="216">
        <v>23909</v>
      </c>
      <c r="K157" s="216">
        <v>26434</v>
      </c>
      <c r="L157" s="217">
        <v>1040</v>
      </c>
    </row>
    <row r="158" spans="1:12" x14ac:dyDescent="0.25">
      <c r="A158" s="31">
        <f t="shared" si="2"/>
        <v>39117</v>
      </c>
      <c r="B158" s="216">
        <v>102339</v>
      </c>
      <c r="C158" s="216">
        <v>91400</v>
      </c>
      <c r="D158" s="216">
        <v>3660</v>
      </c>
      <c r="E158" s="216">
        <v>0</v>
      </c>
      <c r="F158" s="217">
        <v>1041</v>
      </c>
      <c r="G158" s="216">
        <v>79623</v>
      </c>
      <c r="H158" s="216">
        <v>72592</v>
      </c>
      <c r="I158" s="216">
        <v>34615</v>
      </c>
      <c r="J158" s="216">
        <v>26952</v>
      </c>
      <c r="K158" s="216">
        <v>28843</v>
      </c>
      <c r="L158" s="217">
        <v>1037</v>
      </c>
    </row>
    <row r="159" spans="1:12" x14ac:dyDescent="0.25">
      <c r="A159" s="31">
        <f t="shared" si="2"/>
        <v>39118</v>
      </c>
      <c r="B159" s="216">
        <v>112225</v>
      </c>
      <c r="C159" s="216">
        <v>80946</v>
      </c>
      <c r="D159" s="216">
        <v>4200</v>
      </c>
      <c r="E159" s="216">
        <v>0</v>
      </c>
      <c r="F159" s="217">
        <v>1042</v>
      </c>
      <c r="G159" s="216">
        <v>70275</v>
      </c>
      <c r="H159" s="216">
        <v>79643</v>
      </c>
      <c r="I159" s="216">
        <v>31841</v>
      </c>
      <c r="J159" s="216">
        <v>30859</v>
      </c>
      <c r="K159" s="216">
        <v>30486</v>
      </c>
      <c r="L159" s="217">
        <v>1034</v>
      </c>
    </row>
    <row r="160" spans="1:12" x14ac:dyDescent="0.25">
      <c r="A160" s="31">
        <f t="shared" si="2"/>
        <v>39119</v>
      </c>
      <c r="B160" s="216">
        <v>113925</v>
      </c>
      <c r="C160" s="216">
        <v>78850</v>
      </c>
      <c r="D160" s="216">
        <v>3800</v>
      </c>
      <c r="E160" s="216">
        <v>0</v>
      </c>
      <c r="F160" s="217">
        <v>1042</v>
      </c>
      <c r="G160" s="216">
        <v>77280</v>
      </c>
      <c r="H160" s="216">
        <v>72059</v>
      </c>
      <c r="I160" s="216">
        <v>32632</v>
      </c>
      <c r="J160" s="216">
        <v>30105</v>
      </c>
      <c r="K160" s="216">
        <v>30058</v>
      </c>
      <c r="L160" s="217">
        <v>1034</v>
      </c>
    </row>
    <row r="161" spans="1:12" x14ac:dyDescent="0.25">
      <c r="A161" s="31">
        <f t="shared" si="2"/>
        <v>39120</v>
      </c>
      <c r="B161" s="216">
        <v>110639</v>
      </c>
      <c r="C161" s="216">
        <v>83074</v>
      </c>
      <c r="D161" s="216">
        <v>3720</v>
      </c>
      <c r="E161" s="216">
        <v>0</v>
      </c>
      <c r="F161" s="217">
        <v>1041</v>
      </c>
      <c r="G161" s="216">
        <v>74340</v>
      </c>
      <c r="H161" s="216">
        <v>76748</v>
      </c>
      <c r="I161" s="216">
        <v>33093</v>
      </c>
      <c r="J161" s="216">
        <v>28198</v>
      </c>
      <c r="K161" s="216">
        <v>28317</v>
      </c>
      <c r="L161" s="217">
        <v>1040</v>
      </c>
    </row>
    <row r="162" spans="1:12" x14ac:dyDescent="0.25">
      <c r="A162" s="31">
        <f t="shared" si="2"/>
        <v>39121</v>
      </c>
      <c r="B162" s="216">
        <v>117518</v>
      </c>
      <c r="C162" s="216">
        <v>93897</v>
      </c>
      <c r="D162" s="216">
        <v>3780</v>
      </c>
      <c r="E162" s="216">
        <v>0</v>
      </c>
      <c r="F162" s="217">
        <v>1041</v>
      </c>
      <c r="G162" s="216">
        <v>81777</v>
      </c>
      <c r="H162" s="216">
        <v>71447</v>
      </c>
      <c r="I162" s="216">
        <v>31567</v>
      </c>
      <c r="J162" s="216">
        <v>28416</v>
      </c>
      <c r="K162" s="216">
        <v>29652</v>
      </c>
      <c r="L162" s="217">
        <v>1036</v>
      </c>
    </row>
    <row r="163" spans="1:12" x14ac:dyDescent="0.25">
      <c r="A163" s="31">
        <f t="shared" si="2"/>
        <v>39122</v>
      </c>
      <c r="B163" s="216">
        <v>106657</v>
      </c>
      <c r="C163" s="216">
        <v>105631</v>
      </c>
      <c r="D163" s="216">
        <v>3360</v>
      </c>
      <c r="E163" s="216">
        <v>0</v>
      </c>
      <c r="F163" s="217">
        <v>1041</v>
      </c>
      <c r="G163" s="216">
        <v>90549</v>
      </c>
      <c r="H163" s="216">
        <v>62888</v>
      </c>
      <c r="I163" s="216">
        <v>29988</v>
      </c>
      <c r="J163" s="216">
        <v>27250</v>
      </c>
      <c r="K163" s="216">
        <v>29525</v>
      </c>
      <c r="L163" s="217">
        <v>1038</v>
      </c>
    </row>
    <row r="164" spans="1:12" x14ac:dyDescent="0.25">
      <c r="A164" s="31">
        <f t="shared" si="2"/>
        <v>39123</v>
      </c>
      <c r="B164" s="216">
        <v>108477</v>
      </c>
      <c r="C164" s="216">
        <v>105410</v>
      </c>
      <c r="D164" s="216">
        <v>3260</v>
      </c>
      <c r="E164" s="216">
        <v>0</v>
      </c>
      <c r="F164" s="217">
        <v>1041</v>
      </c>
      <c r="G164" s="216">
        <v>97722</v>
      </c>
      <c r="H164" s="216">
        <v>57147</v>
      </c>
      <c r="I164" s="216">
        <v>31977</v>
      </c>
      <c r="J164" s="216">
        <v>25441</v>
      </c>
      <c r="K164" s="216">
        <v>30680</v>
      </c>
      <c r="L164" s="217">
        <v>1038</v>
      </c>
    </row>
    <row r="165" spans="1:12" x14ac:dyDescent="0.25">
      <c r="A165" s="31">
        <f t="shared" si="2"/>
        <v>39124</v>
      </c>
      <c r="B165" s="216">
        <v>99004</v>
      </c>
      <c r="C165" s="216">
        <v>94429</v>
      </c>
      <c r="D165" s="216">
        <v>2960</v>
      </c>
      <c r="E165" s="216">
        <v>0</v>
      </c>
      <c r="F165" s="217">
        <v>1041</v>
      </c>
      <c r="G165" s="216">
        <v>91556</v>
      </c>
      <c r="H165" s="216">
        <v>60636</v>
      </c>
      <c r="I165" s="216">
        <v>26875</v>
      </c>
      <c r="J165" s="216">
        <v>26218</v>
      </c>
      <c r="K165" s="216">
        <v>27192</v>
      </c>
      <c r="L165" s="217">
        <v>1036</v>
      </c>
    </row>
    <row r="166" spans="1:12" x14ac:dyDescent="0.25">
      <c r="A166" s="31">
        <f t="shared" si="2"/>
        <v>39125</v>
      </c>
      <c r="B166" s="216">
        <v>87594</v>
      </c>
      <c r="C166" s="216">
        <v>80132</v>
      </c>
      <c r="D166" s="216">
        <v>2570</v>
      </c>
      <c r="E166" s="216">
        <v>0</v>
      </c>
      <c r="F166" s="217">
        <v>1041</v>
      </c>
      <c r="G166" s="216">
        <v>69626</v>
      </c>
      <c r="H166" s="216">
        <v>55231</v>
      </c>
      <c r="I166" s="216">
        <v>24271</v>
      </c>
      <c r="J166" s="216">
        <v>17429</v>
      </c>
      <c r="K166" s="216">
        <v>23071</v>
      </c>
      <c r="L166" s="217">
        <v>1034</v>
      </c>
    </row>
    <row r="167" spans="1:12" x14ac:dyDescent="0.25">
      <c r="A167" s="31">
        <f t="shared" si="2"/>
        <v>39126</v>
      </c>
      <c r="B167" s="216">
        <v>106480</v>
      </c>
      <c r="C167" s="216">
        <v>98503</v>
      </c>
      <c r="D167" s="216">
        <v>3530</v>
      </c>
      <c r="E167" s="216">
        <v>0</v>
      </c>
      <c r="F167" s="217">
        <v>1041</v>
      </c>
      <c r="G167" s="216">
        <v>100744</v>
      </c>
      <c r="H167" s="216">
        <v>58388</v>
      </c>
      <c r="I167" s="216">
        <v>33239</v>
      </c>
      <c r="J167" s="216">
        <v>28018</v>
      </c>
      <c r="K167" s="216">
        <v>27741</v>
      </c>
      <c r="L167" s="217">
        <v>1032</v>
      </c>
    </row>
    <row r="168" spans="1:12" x14ac:dyDescent="0.25">
      <c r="A168" s="31">
        <f t="shared" si="2"/>
        <v>39127</v>
      </c>
      <c r="B168" s="216">
        <v>118631</v>
      </c>
      <c r="C168" s="216">
        <v>89515</v>
      </c>
      <c r="D168" s="216">
        <v>3930</v>
      </c>
      <c r="E168" s="216">
        <v>0</v>
      </c>
      <c r="F168" s="217">
        <v>1040</v>
      </c>
      <c r="G168" s="216">
        <v>90504</v>
      </c>
      <c r="H168" s="216">
        <v>63601</v>
      </c>
      <c r="I168" s="216">
        <v>34930</v>
      </c>
      <c r="J168" s="216">
        <v>31283</v>
      </c>
      <c r="K168" s="216">
        <v>28205</v>
      </c>
      <c r="L168" s="217">
        <v>1032</v>
      </c>
    </row>
    <row r="169" spans="1:12" x14ac:dyDescent="0.25">
      <c r="A169" s="31">
        <f t="shared" si="2"/>
        <v>39128</v>
      </c>
      <c r="B169" s="216">
        <v>119654</v>
      </c>
      <c r="C169" s="216">
        <v>92840</v>
      </c>
      <c r="D169" s="216">
        <v>3970</v>
      </c>
      <c r="E169" s="216">
        <v>0</v>
      </c>
      <c r="F169" s="217">
        <v>1040</v>
      </c>
      <c r="G169" s="216">
        <v>89001</v>
      </c>
      <c r="H169" s="216">
        <v>70181</v>
      </c>
      <c r="I169" s="216">
        <v>31046</v>
      </c>
      <c r="J169" s="216">
        <v>30734</v>
      </c>
      <c r="K169" s="216">
        <v>30216</v>
      </c>
      <c r="L169" s="217">
        <v>1034</v>
      </c>
    </row>
    <row r="170" spans="1:12" x14ac:dyDescent="0.25">
      <c r="A170" s="31">
        <f t="shared" si="2"/>
        <v>39129</v>
      </c>
      <c r="B170" s="216">
        <v>114438</v>
      </c>
      <c r="C170" s="216">
        <v>97401</v>
      </c>
      <c r="D170" s="216">
        <v>3680</v>
      </c>
      <c r="E170" s="216">
        <v>0</v>
      </c>
      <c r="F170" s="217">
        <v>1040</v>
      </c>
      <c r="G170" s="216">
        <v>94226</v>
      </c>
      <c r="H170" s="216">
        <v>64500</v>
      </c>
      <c r="I170" s="216">
        <v>32777</v>
      </c>
      <c r="J170" s="216">
        <v>25377</v>
      </c>
      <c r="K170" s="216">
        <v>29456</v>
      </c>
      <c r="L170" s="217">
        <v>1034</v>
      </c>
    </row>
    <row r="171" spans="1:12" x14ac:dyDescent="0.25">
      <c r="A171" s="31">
        <f t="shared" si="2"/>
        <v>39130</v>
      </c>
      <c r="B171" s="216">
        <v>101538</v>
      </c>
      <c r="C171" s="216">
        <v>78194</v>
      </c>
      <c r="D171" s="216">
        <v>2910</v>
      </c>
      <c r="E171" s="216">
        <v>0</v>
      </c>
      <c r="F171" s="217">
        <v>1040</v>
      </c>
      <c r="G171" s="216">
        <v>81181</v>
      </c>
      <c r="H171" s="216">
        <v>55795</v>
      </c>
      <c r="I171" s="216">
        <v>24574</v>
      </c>
      <c r="J171" s="216">
        <v>23802</v>
      </c>
      <c r="K171" s="216">
        <v>27115</v>
      </c>
      <c r="L171" s="217">
        <v>1040</v>
      </c>
    </row>
    <row r="172" spans="1:12" x14ac:dyDescent="0.25">
      <c r="A172" s="31">
        <f t="shared" si="2"/>
        <v>39131</v>
      </c>
      <c r="B172" s="216">
        <v>112688</v>
      </c>
      <c r="C172" s="216">
        <v>96236</v>
      </c>
      <c r="D172" s="216">
        <v>3411</v>
      </c>
      <c r="E172" s="216">
        <v>0</v>
      </c>
      <c r="F172" s="217">
        <v>1040</v>
      </c>
      <c r="G172" s="216">
        <v>95985</v>
      </c>
      <c r="H172" s="216">
        <v>62973</v>
      </c>
      <c r="I172" s="216">
        <v>29230</v>
      </c>
      <c r="J172" s="216">
        <v>25685</v>
      </c>
      <c r="K172" s="216">
        <v>30595</v>
      </c>
      <c r="L172" s="217">
        <v>1038</v>
      </c>
    </row>
    <row r="173" spans="1:12" x14ac:dyDescent="0.25">
      <c r="A173" s="31">
        <f t="shared" si="2"/>
        <v>39132</v>
      </c>
      <c r="B173" s="216">
        <v>104665</v>
      </c>
      <c r="C173" s="216">
        <v>88773</v>
      </c>
      <c r="D173" s="216">
        <v>3129</v>
      </c>
      <c r="E173" s="216">
        <v>0</v>
      </c>
      <c r="F173" s="217">
        <v>1039</v>
      </c>
      <c r="G173" s="216">
        <v>95337</v>
      </c>
      <c r="H173" s="216">
        <v>62604</v>
      </c>
      <c r="I173" s="216">
        <v>28247</v>
      </c>
      <c r="J173" s="216">
        <v>25470</v>
      </c>
      <c r="K173" s="216">
        <v>26978</v>
      </c>
      <c r="L173" s="217">
        <v>1039</v>
      </c>
    </row>
    <row r="174" spans="1:12" x14ac:dyDescent="0.25">
      <c r="A174" s="31">
        <f t="shared" si="2"/>
        <v>39133</v>
      </c>
      <c r="B174" s="216">
        <v>95283</v>
      </c>
      <c r="C174" s="216">
        <v>85022</v>
      </c>
      <c r="D174" s="216">
        <v>2470</v>
      </c>
      <c r="E174" s="216">
        <v>0</v>
      </c>
      <c r="F174" s="217">
        <v>1040</v>
      </c>
      <c r="G174" s="216">
        <v>52244</v>
      </c>
      <c r="H174" s="216">
        <v>36119</v>
      </c>
      <c r="I174" s="216">
        <v>1805</v>
      </c>
      <c r="J174" s="216">
        <v>14931</v>
      </c>
      <c r="K174" s="216">
        <v>16483</v>
      </c>
      <c r="L174" s="217">
        <v>1037</v>
      </c>
    </row>
    <row r="175" spans="1:12" x14ac:dyDescent="0.25">
      <c r="A175" s="31">
        <f t="shared" si="2"/>
        <v>39134</v>
      </c>
      <c r="B175" s="216">
        <v>68549</v>
      </c>
      <c r="C175" s="216">
        <v>63526</v>
      </c>
      <c r="D175" s="216">
        <v>2380</v>
      </c>
      <c r="E175" s="216">
        <v>0</v>
      </c>
      <c r="F175" s="217">
        <v>1039</v>
      </c>
      <c r="G175" s="216">
        <v>58496</v>
      </c>
      <c r="H175" s="216">
        <v>48355</v>
      </c>
      <c r="I175" s="216">
        <v>10744</v>
      </c>
      <c r="J175" s="216">
        <v>3784</v>
      </c>
      <c r="K175" s="216">
        <v>22003</v>
      </c>
      <c r="L175" s="217">
        <v>1037</v>
      </c>
    </row>
    <row r="176" spans="1:12" x14ac:dyDescent="0.25">
      <c r="A176" s="31">
        <f t="shared" si="2"/>
        <v>39135</v>
      </c>
      <c r="B176" s="216">
        <v>77130</v>
      </c>
      <c r="C176" s="216">
        <v>55597</v>
      </c>
      <c r="D176" s="216">
        <v>2790</v>
      </c>
      <c r="E176" s="216">
        <v>0</v>
      </c>
      <c r="F176" s="217">
        <v>1041</v>
      </c>
      <c r="G176" s="216">
        <v>72501</v>
      </c>
      <c r="H176" s="216">
        <v>51873</v>
      </c>
      <c r="I176" s="216">
        <v>26269</v>
      </c>
      <c r="J176" s="216">
        <v>20490</v>
      </c>
      <c r="K176" s="216">
        <v>21216</v>
      </c>
      <c r="L176" s="217">
        <v>1038</v>
      </c>
    </row>
    <row r="177" spans="1:12" x14ac:dyDescent="0.25">
      <c r="A177" s="31">
        <f t="shared" si="2"/>
        <v>39136</v>
      </c>
      <c r="B177" s="216">
        <v>83040</v>
      </c>
      <c r="C177" s="216">
        <v>73627</v>
      </c>
      <c r="D177" s="216">
        <v>3300</v>
      </c>
      <c r="E177" s="216">
        <v>0</v>
      </c>
      <c r="F177" s="217">
        <v>1040</v>
      </c>
      <c r="G177" s="216">
        <v>91814</v>
      </c>
      <c r="H177" s="216">
        <v>69217</v>
      </c>
      <c r="I177" s="216">
        <v>30556</v>
      </c>
      <c r="J177" s="216">
        <v>24505</v>
      </c>
      <c r="K177" s="216">
        <v>27046</v>
      </c>
      <c r="L177" s="217">
        <v>1038</v>
      </c>
    </row>
    <row r="178" spans="1:12" x14ac:dyDescent="0.25">
      <c r="A178" s="31">
        <f t="shared" si="2"/>
        <v>39137</v>
      </c>
      <c r="B178" s="216">
        <v>87271</v>
      </c>
      <c r="C178" s="216">
        <v>69481</v>
      </c>
      <c r="D178" s="216">
        <v>2790</v>
      </c>
      <c r="E178" s="216">
        <v>0</v>
      </c>
      <c r="F178" s="217">
        <v>1036</v>
      </c>
      <c r="G178" s="216">
        <v>85405</v>
      </c>
      <c r="H178" s="216">
        <v>58048</v>
      </c>
      <c r="I178" s="216">
        <v>20176</v>
      </c>
      <c r="J178" s="216">
        <v>23542</v>
      </c>
      <c r="K178" s="216">
        <v>23773</v>
      </c>
      <c r="L178" s="217">
        <v>1024</v>
      </c>
    </row>
    <row r="179" spans="1:12" x14ac:dyDescent="0.25">
      <c r="A179" s="31">
        <f t="shared" si="2"/>
        <v>39138</v>
      </c>
      <c r="B179" s="216">
        <v>86659</v>
      </c>
      <c r="C179" s="216">
        <v>69151</v>
      </c>
      <c r="D179" s="216">
        <v>2900</v>
      </c>
      <c r="E179" s="216">
        <v>0</v>
      </c>
      <c r="F179" s="217">
        <v>1036</v>
      </c>
      <c r="G179" s="216">
        <v>86343</v>
      </c>
      <c r="H179" s="216">
        <v>59438</v>
      </c>
      <c r="I179" s="216">
        <v>26046</v>
      </c>
      <c r="J179" s="216">
        <v>24078</v>
      </c>
      <c r="K179" s="216">
        <v>25819</v>
      </c>
      <c r="L179" s="217">
        <v>1024</v>
      </c>
    </row>
    <row r="180" spans="1:12" x14ac:dyDescent="0.25">
      <c r="A180" s="31">
        <f t="shared" si="2"/>
        <v>39139</v>
      </c>
      <c r="B180" s="216">
        <v>85978</v>
      </c>
      <c r="C180" s="216">
        <v>66629</v>
      </c>
      <c r="D180" s="216">
        <v>2690</v>
      </c>
      <c r="E180" s="216">
        <v>0</v>
      </c>
      <c r="F180" s="217">
        <v>1040</v>
      </c>
      <c r="G180" s="216">
        <v>75542</v>
      </c>
      <c r="H180" s="216">
        <v>48217</v>
      </c>
      <c r="I180" s="216">
        <v>23437</v>
      </c>
      <c r="J180" s="216">
        <v>23536</v>
      </c>
      <c r="K180" s="216">
        <v>22823</v>
      </c>
      <c r="L180" s="217">
        <v>1032</v>
      </c>
    </row>
    <row r="181" spans="1:12" x14ac:dyDescent="0.25">
      <c r="A181" s="31">
        <f t="shared" si="2"/>
        <v>39140</v>
      </c>
      <c r="B181" s="216">
        <v>75808</v>
      </c>
      <c r="C181" s="216">
        <v>70217</v>
      </c>
      <c r="D181" s="216">
        <v>2410</v>
      </c>
      <c r="E181" s="216">
        <v>0</v>
      </c>
      <c r="F181" s="217">
        <v>1039</v>
      </c>
      <c r="G181" s="216">
        <v>72427</v>
      </c>
      <c r="H181" s="216">
        <v>40834</v>
      </c>
      <c r="I181" s="216">
        <v>219</v>
      </c>
      <c r="J181" s="216">
        <v>1004</v>
      </c>
      <c r="K181" s="216">
        <v>24857</v>
      </c>
      <c r="L181" s="217">
        <v>1032</v>
      </c>
    </row>
    <row r="182" spans="1:12" x14ac:dyDescent="0.25">
      <c r="A182" s="31">
        <f t="shared" si="2"/>
        <v>39141</v>
      </c>
      <c r="B182" s="216">
        <v>75250</v>
      </c>
      <c r="C182" s="216">
        <v>78306</v>
      </c>
      <c r="D182" s="216">
        <v>2450</v>
      </c>
      <c r="E182" s="216">
        <v>0</v>
      </c>
      <c r="F182" s="217">
        <v>1037</v>
      </c>
      <c r="G182" s="216">
        <v>76534</v>
      </c>
      <c r="H182" s="216">
        <v>45019</v>
      </c>
      <c r="I182" s="216">
        <v>4542</v>
      </c>
      <c r="J182" s="216">
        <v>0</v>
      </c>
      <c r="K182" s="216">
        <v>24669</v>
      </c>
      <c r="L182" s="217">
        <v>1033</v>
      </c>
    </row>
    <row r="183" spans="1:12" x14ac:dyDescent="0.25">
      <c r="A183" s="31">
        <f>1+A182</f>
        <v>39142</v>
      </c>
      <c r="B183" s="216">
        <v>58173</v>
      </c>
      <c r="C183" s="216">
        <v>45632</v>
      </c>
      <c r="D183" s="216">
        <v>2130</v>
      </c>
      <c r="E183" s="216">
        <v>0</v>
      </c>
      <c r="F183" s="217">
        <v>1038</v>
      </c>
      <c r="G183" s="216">
        <v>69138</v>
      </c>
      <c r="H183" s="216">
        <v>42561</v>
      </c>
      <c r="I183" s="216">
        <v>1715</v>
      </c>
      <c r="J183" s="216">
        <v>0</v>
      </c>
      <c r="K183" s="216">
        <v>18267</v>
      </c>
      <c r="L183" s="217">
        <v>1032</v>
      </c>
    </row>
    <row r="184" spans="1:12" x14ac:dyDescent="0.25">
      <c r="A184" s="31">
        <f>1+A183</f>
        <v>39143</v>
      </c>
      <c r="B184" s="216">
        <v>48578</v>
      </c>
      <c r="C184" s="216">
        <v>53576</v>
      </c>
      <c r="D184" s="216">
        <v>1890</v>
      </c>
      <c r="E184" s="216">
        <v>0</v>
      </c>
      <c r="F184" s="217">
        <v>1039</v>
      </c>
      <c r="G184" s="216">
        <v>63074</v>
      </c>
      <c r="H184" s="216">
        <v>29475</v>
      </c>
      <c r="I184" s="216">
        <v>0</v>
      </c>
      <c r="J184" s="216">
        <v>0</v>
      </c>
      <c r="K184" s="216">
        <v>4161</v>
      </c>
      <c r="L184" s="217">
        <v>1033</v>
      </c>
    </row>
    <row r="185" spans="1:12" x14ac:dyDescent="0.25">
      <c r="A185" s="31">
        <f t="shared" si="2"/>
        <v>39144</v>
      </c>
      <c r="B185" s="216">
        <v>50194</v>
      </c>
      <c r="C185" s="216">
        <v>60918</v>
      </c>
      <c r="D185" s="216">
        <v>2070</v>
      </c>
      <c r="E185" s="216">
        <v>0</v>
      </c>
      <c r="F185" s="217">
        <v>1037</v>
      </c>
      <c r="G185" s="216">
        <v>75190</v>
      </c>
      <c r="H185" s="216">
        <v>40618</v>
      </c>
      <c r="I185" s="216">
        <v>2112</v>
      </c>
      <c r="J185" s="216">
        <v>0</v>
      </c>
      <c r="K185" s="216">
        <v>8122</v>
      </c>
      <c r="L185" s="217">
        <v>1033</v>
      </c>
    </row>
    <row r="186" spans="1:12" x14ac:dyDescent="0.25">
      <c r="A186" s="31">
        <f t="shared" si="2"/>
        <v>39145</v>
      </c>
      <c r="B186" s="216">
        <v>76182</v>
      </c>
      <c r="C186" s="216">
        <v>65737</v>
      </c>
      <c r="D186" s="216">
        <v>2560</v>
      </c>
      <c r="E186" s="216">
        <v>0</v>
      </c>
      <c r="F186" s="217">
        <v>1037</v>
      </c>
      <c r="G186" s="216">
        <v>96041</v>
      </c>
      <c r="H186" s="216">
        <v>52649</v>
      </c>
      <c r="I186" s="216">
        <v>22515</v>
      </c>
      <c r="J186" s="216">
        <v>4127</v>
      </c>
      <c r="K186" s="216">
        <v>26947</v>
      </c>
      <c r="L186" s="217">
        <v>1034</v>
      </c>
    </row>
    <row r="187" spans="1:12" x14ac:dyDescent="0.25">
      <c r="A187" s="31">
        <f t="shared" si="2"/>
        <v>39146</v>
      </c>
      <c r="B187" s="216">
        <v>93784</v>
      </c>
      <c r="C187" s="216">
        <v>75585</v>
      </c>
      <c r="D187" s="216">
        <v>1329</v>
      </c>
      <c r="E187" s="216">
        <v>0</v>
      </c>
      <c r="F187" s="217">
        <v>1040</v>
      </c>
      <c r="G187" s="216">
        <v>91891</v>
      </c>
      <c r="H187" s="216">
        <v>58767</v>
      </c>
      <c r="I187" s="216">
        <v>20871</v>
      </c>
      <c r="J187" s="216">
        <v>20981</v>
      </c>
      <c r="K187" s="216">
        <v>26434</v>
      </c>
      <c r="L187" s="217">
        <v>1038</v>
      </c>
    </row>
    <row r="188" spans="1:12" x14ac:dyDescent="0.25">
      <c r="A188" s="31">
        <f t="shared" si="2"/>
        <v>39147</v>
      </c>
      <c r="B188" s="216">
        <v>116344</v>
      </c>
      <c r="C188" s="216">
        <v>81103</v>
      </c>
      <c r="D188" s="216">
        <v>2500</v>
      </c>
      <c r="E188" s="216">
        <v>0</v>
      </c>
      <c r="F188" s="217">
        <v>1041</v>
      </c>
      <c r="G188" s="216">
        <v>82851</v>
      </c>
      <c r="H188" s="216">
        <v>61371</v>
      </c>
      <c r="I188" s="216">
        <v>19218</v>
      </c>
      <c r="J188" s="216">
        <v>23669</v>
      </c>
      <c r="K188" s="216">
        <v>30200</v>
      </c>
      <c r="L188" s="217">
        <v>1042</v>
      </c>
    </row>
    <row r="189" spans="1:12" x14ac:dyDescent="0.25">
      <c r="A189" s="31">
        <f t="shared" si="2"/>
        <v>39148</v>
      </c>
      <c r="B189" s="216">
        <v>113163</v>
      </c>
      <c r="C189" s="216">
        <v>82547</v>
      </c>
      <c r="D189" s="216">
        <v>2500</v>
      </c>
      <c r="E189" s="216">
        <v>0</v>
      </c>
      <c r="F189" s="217">
        <v>1039</v>
      </c>
      <c r="G189" s="216">
        <v>84893</v>
      </c>
      <c r="H189" s="216">
        <v>61192</v>
      </c>
      <c r="I189" s="216">
        <v>23011</v>
      </c>
      <c r="J189" s="216">
        <v>21831</v>
      </c>
      <c r="K189" s="216">
        <v>27741</v>
      </c>
      <c r="L189" s="217">
        <v>1039</v>
      </c>
    </row>
    <row r="190" spans="1:12" x14ac:dyDescent="0.25">
      <c r="A190" s="31">
        <f t="shared" si="2"/>
        <v>39149</v>
      </c>
      <c r="B190" s="216">
        <v>113574</v>
      </c>
      <c r="C190" s="216">
        <v>81425</v>
      </c>
      <c r="D190" s="216">
        <v>2811</v>
      </c>
      <c r="E190" s="216">
        <v>0</v>
      </c>
      <c r="F190" s="217">
        <v>1040</v>
      </c>
      <c r="G190" s="216">
        <v>90316</v>
      </c>
      <c r="H190" s="216">
        <v>59731</v>
      </c>
      <c r="I190" s="216">
        <v>22588</v>
      </c>
      <c r="J190" s="216">
        <v>23942</v>
      </c>
      <c r="K190" s="216">
        <v>26029</v>
      </c>
      <c r="L190" s="217">
        <v>1041</v>
      </c>
    </row>
    <row r="191" spans="1:12" x14ac:dyDescent="0.25">
      <c r="A191" s="31">
        <f t="shared" si="2"/>
        <v>39150</v>
      </c>
      <c r="B191" s="216">
        <v>77790</v>
      </c>
      <c r="C191" s="216">
        <v>65989</v>
      </c>
      <c r="D191" s="216">
        <v>2730</v>
      </c>
      <c r="E191" s="216">
        <v>0</v>
      </c>
      <c r="F191" s="217">
        <v>1039</v>
      </c>
      <c r="G191" s="216">
        <v>88049</v>
      </c>
      <c r="H191" s="216">
        <v>61135</v>
      </c>
      <c r="I191" s="216">
        <v>18191</v>
      </c>
      <c r="J191" s="216">
        <v>20007</v>
      </c>
      <c r="K191" s="216">
        <v>23308</v>
      </c>
      <c r="L191" s="217">
        <v>1036</v>
      </c>
    </row>
    <row r="192" spans="1:12" x14ac:dyDescent="0.25">
      <c r="A192" s="31">
        <f t="shared" si="2"/>
        <v>39151</v>
      </c>
      <c r="B192" s="216">
        <v>53929</v>
      </c>
      <c r="C192" s="216">
        <v>49458</v>
      </c>
      <c r="D192" s="216">
        <v>1840</v>
      </c>
      <c r="E192" s="216">
        <v>0</v>
      </c>
      <c r="F192" s="217">
        <v>1039</v>
      </c>
      <c r="G192" s="216">
        <v>52287</v>
      </c>
      <c r="H192" s="216">
        <v>31588</v>
      </c>
      <c r="I192" s="216">
        <v>2289</v>
      </c>
      <c r="J192" s="216">
        <v>301</v>
      </c>
      <c r="K192" s="216">
        <v>1888</v>
      </c>
      <c r="L192" s="217">
        <v>1038</v>
      </c>
    </row>
    <row r="193" spans="1:12" x14ac:dyDescent="0.25">
      <c r="A193" s="31">
        <f t="shared" si="2"/>
        <v>39152</v>
      </c>
      <c r="B193" s="216">
        <v>51925</v>
      </c>
      <c r="C193" s="216">
        <v>52740</v>
      </c>
      <c r="D193" s="216">
        <v>2000</v>
      </c>
      <c r="E193" s="216">
        <v>0</v>
      </c>
      <c r="F193" s="217">
        <v>1039</v>
      </c>
      <c r="G193" s="216">
        <v>76493</v>
      </c>
      <c r="H193" s="216">
        <v>39166</v>
      </c>
      <c r="I193" s="216">
        <v>6240</v>
      </c>
      <c r="J193" s="216">
        <v>0</v>
      </c>
      <c r="K193" s="216">
        <v>15243</v>
      </c>
      <c r="L193" s="217">
        <v>1036</v>
      </c>
    </row>
    <row r="194" spans="1:12" x14ac:dyDescent="0.25">
      <c r="A194" s="31">
        <f t="shared" si="2"/>
        <v>39153</v>
      </c>
      <c r="B194" s="216">
        <v>48542</v>
      </c>
      <c r="C194" s="216">
        <v>53941</v>
      </c>
      <c r="D194" s="216">
        <v>1980</v>
      </c>
      <c r="E194" s="216">
        <v>0</v>
      </c>
      <c r="F194" s="217">
        <v>1035</v>
      </c>
      <c r="G194" s="216">
        <v>57286</v>
      </c>
      <c r="H194" s="216">
        <v>32783</v>
      </c>
      <c r="I194" s="216">
        <v>7187</v>
      </c>
      <c r="J194" s="216">
        <v>0</v>
      </c>
      <c r="K194" s="216">
        <v>1764</v>
      </c>
      <c r="L194" s="217">
        <v>1034</v>
      </c>
    </row>
    <row r="195" spans="1:12" x14ac:dyDescent="0.25">
      <c r="A195" s="31">
        <f t="shared" si="2"/>
        <v>39154</v>
      </c>
      <c r="B195" s="216">
        <v>32423</v>
      </c>
      <c r="C195" s="216">
        <v>39756</v>
      </c>
      <c r="D195" s="216">
        <v>1590</v>
      </c>
      <c r="E195" s="216">
        <v>0</v>
      </c>
      <c r="F195" s="217">
        <v>1033</v>
      </c>
      <c r="G195" s="216">
        <v>56134</v>
      </c>
      <c r="H195" s="216">
        <v>15262</v>
      </c>
      <c r="I195" s="216">
        <v>374</v>
      </c>
      <c r="J195" s="216">
        <v>0</v>
      </c>
      <c r="K195" s="216">
        <v>0</v>
      </c>
      <c r="L195" s="217">
        <v>1034</v>
      </c>
    </row>
    <row r="196" spans="1:12" x14ac:dyDescent="0.25">
      <c r="A196" s="31">
        <f t="shared" si="2"/>
        <v>39155</v>
      </c>
      <c r="B196" s="216">
        <v>25416</v>
      </c>
      <c r="C196" s="216">
        <v>12227</v>
      </c>
      <c r="D196" s="216">
        <v>1090</v>
      </c>
      <c r="E196" s="216">
        <v>0</v>
      </c>
      <c r="F196" s="217">
        <v>1034</v>
      </c>
      <c r="G196" s="216">
        <v>57493</v>
      </c>
      <c r="H196" s="216">
        <v>0</v>
      </c>
      <c r="I196" s="216">
        <v>0</v>
      </c>
      <c r="J196" s="216">
        <v>0</v>
      </c>
      <c r="K196" s="216">
        <v>0</v>
      </c>
      <c r="L196" s="217">
        <v>1036</v>
      </c>
    </row>
    <row r="197" spans="1:12" x14ac:dyDescent="0.25">
      <c r="A197" s="31">
        <f t="shared" ref="A197:A260" si="3">1+A196</f>
        <v>39156</v>
      </c>
      <c r="B197" s="216">
        <v>52106</v>
      </c>
      <c r="C197" s="216">
        <v>19798</v>
      </c>
      <c r="D197" s="216">
        <v>1941</v>
      </c>
      <c r="E197" s="216">
        <v>0</v>
      </c>
      <c r="F197" s="217">
        <v>1035</v>
      </c>
      <c r="G197" s="216">
        <v>71672</v>
      </c>
      <c r="H197" s="216">
        <v>29814</v>
      </c>
      <c r="I197" s="216">
        <v>4827</v>
      </c>
      <c r="J197" s="216">
        <v>0</v>
      </c>
      <c r="K197" s="216">
        <v>9031</v>
      </c>
      <c r="L197" s="217">
        <v>1035</v>
      </c>
    </row>
    <row r="198" spans="1:12" x14ac:dyDescent="0.25">
      <c r="A198" s="31">
        <f t="shared" si="3"/>
        <v>39157</v>
      </c>
      <c r="B198" s="216">
        <v>87001</v>
      </c>
      <c r="C198" s="216">
        <v>76855</v>
      </c>
      <c r="D198" s="216">
        <v>3080</v>
      </c>
      <c r="E198" s="216">
        <v>0</v>
      </c>
      <c r="F198" s="217">
        <v>1035</v>
      </c>
      <c r="G198" s="216">
        <v>95399</v>
      </c>
      <c r="H198" s="216">
        <v>55922</v>
      </c>
      <c r="I198" s="216">
        <v>25341</v>
      </c>
      <c r="J198" s="216">
        <v>3818</v>
      </c>
      <c r="K198" s="216">
        <v>29101</v>
      </c>
      <c r="L198" s="217">
        <v>1034</v>
      </c>
    </row>
    <row r="199" spans="1:12" x14ac:dyDescent="0.25">
      <c r="A199" s="31">
        <f t="shared" si="3"/>
        <v>39158</v>
      </c>
      <c r="B199" s="216">
        <v>95270</v>
      </c>
      <c r="C199" s="216">
        <v>71039</v>
      </c>
      <c r="D199" s="216">
        <v>2850</v>
      </c>
      <c r="E199" s="216">
        <v>0</v>
      </c>
      <c r="F199" s="217">
        <v>1034</v>
      </c>
      <c r="G199" s="216">
        <v>84156</v>
      </c>
      <c r="H199" s="216">
        <v>52245</v>
      </c>
      <c r="I199" s="216">
        <v>20785</v>
      </c>
      <c r="J199" s="216">
        <v>21587</v>
      </c>
      <c r="K199" s="216">
        <v>28293</v>
      </c>
      <c r="L199" s="217">
        <v>1037</v>
      </c>
    </row>
    <row r="200" spans="1:12" x14ac:dyDescent="0.25">
      <c r="A200" s="31">
        <f t="shared" si="3"/>
        <v>39159</v>
      </c>
      <c r="B200" s="216">
        <v>93694</v>
      </c>
      <c r="C200" s="216">
        <v>72502</v>
      </c>
      <c r="D200" s="216">
        <v>2650</v>
      </c>
      <c r="E200" s="216">
        <v>0</v>
      </c>
      <c r="F200" s="217">
        <v>1034</v>
      </c>
      <c r="G200" s="216">
        <v>78654</v>
      </c>
      <c r="H200" s="216">
        <v>46531</v>
      </c>
      <c r="I200" s="216">
        <v>19029</v>
      </c>
      <c r="J200" s="216">
        <v>19885</v>
      </c>
      <c r="K200" s="216">
        <v>26774</v>
      </c>
      <c r="L200" s="217">
        <v>1038</v>
      </c>
    </row>
    <row r="201" spans="1:12" x14ac:dyDescent="0.25">
      <c r="A201" s="31">
        <f t="shared" si="3"/>
        <v>39160</v>
      </c>
      <c r="B201" s="216">
        <v>74671</v>
      </c>
      <c r="C201" s="216">
        <v>56151</v>
      </c>
      <c r="D201" s="216">
        <v>2330</v>
      </c>
      <c r="E201" s="216">
        <v>0</v>
      </c>
      <c r="F201" s="217">
        <v>1034</v>
      </c>
      <c r="G201" s="216">
        <v>67494</v>
      </c>
      <c r="H201" s="216">
        <v>42594</v>
      </c>
      <c r="I201" s="216">
        <v>330</v>
      </c>
      <c r="J201" s="216">
        <v>10555</v>
      </c>
      <c r="K201" s="216">
        <v>24103</v>
      </c>
      <c r="L201" s="217">
        <v>1039</v>
      </c>
    </row>
    <row r="202" spans="1:12" x14ac:dyDescent="0.25">
      <c r="A202" s="31">
        <f t="shared" si="3"/>
        <v>39161</v>
      </c>
      <c r="B202" s="216">
        <v>66427</v>
      </c>
      <c r="C202" s="216">
        <v>60336</v>
      </c>
      <c r="D202" s="216">
        <v>2340</v>
      </c>
      <c r="E202" s="216">
        <v>0</v>
      </c>
      <c r="F202" s="217">
        <v>1035</v>
      </c>
      <c r="G202" s="216">
        <v>67452</v>
      </c>
      <c r="H202" s="216">
        <v>45902</v>
      </c>
      <c r="I202" s="216">
        <v>5091</v>
      </c>
      <c r="J202" s="216">
        <v>3222</v>
      </c>
      <c r="K202" s="216">
        <v>24270</v>
      </c>
      <c r="L202" s="217">
        <v>1038</v>
      </c>
    </row>
    <row r="203" spans="1:12" x14ac:dyDescent="0.25">
      <c r="A203" s="31">
        <f t="shared" si="3"/>
        <v>39162</v>
      </c>
      <c r="B203" s="216">
        <v>75632</v>
      </c>
      <c r="C203" s="216">
        <v>51162</v>
      </c>
      <c r="D203" s="216">
        <v>2310</v>
      </c>
      <c r="E203" s="216">
        <v>0</v>
      </c>
      <c r="F203" s="217">
        <v>1035</v>
      </c>
      <c r="G203" s="216">
        <v>53366</v>
      </c>
      <c r="H203" s="216">
        <v>41428</v>
      </c>
      <c r="I203" s="216">
        <v>4493</v>
      </c>
      <c r="J203" s="216">
        <v>15064</v>
      </c>
      <c r="K203" s="216">
        <v>17556</v>
      </c>
      <c r="L203" s="217">
        <v>1034</v>
      </c>
    </row>
    <row r="204" spans="1:12" x14ac:dyDescent="0.25">
      <c r="A204" s="31">
        <f t="shared" si="3"/>
        <v>39163</v>
      </c>
      <c r="B204" s="216">
        <v>42542</v>
      </c>
      <c r="C204" s="216">
        <v>26063</v>
      </c>
      <c r="D204" s="216">
        <v>1679</v>
      </c>
      <c r="E204" s="216">
        <v>0</v>
      </c>
      <c r="F204" s="217">
        <v>1036</v>
      </c>
      <c r="G204" s="216">
        <v>28766</v>
      </c>
      <c r="H204" s="216">
        <v>26273</v>
      </c>
      <c r="I204" s="216">
        <v>0</v>
      </c>
      <c r="J204" s="216">
        <v>344</v>
      </c>
      <c r="K204" s="216">
        <v>2170</v>
      </c>
      <c r="L204" s="217">
        <v>1034</v>
      </c>
    </row>
    <row r="205" spans="1:12" x14ac:dyDescent="0.25">
      <c r="A205" s="31">
        <f t="shared" si="3"/>
        <v>39164</v>
      </c>
      <c r="B205" s="216">
        <v>38879</v>
      </c>
      <c r="C205" s="216">
        <v>31238</v>
      </c>
      <c r="D205" s="216">
        <v>1721</v>
      </c>
      <c r="E205" s="216">
        <v>0</v>
      </c>
      <c r="F205" s="217">
        <v>1036</v>
      </c>
      <c r="G205" s="216">
        <v>30173</v>
      </c>
      <c r="H205" s="216">
        <v>28850</v>
      </c>
      <c r="I205" s="216">
        <v>0</v>
      </c>
      <c r="J205" s="216">
        <v>0</v>
      </c>
      <c r="K205" s="216">
        <v>0</v>
      </c>
      <c r="L205" s="217">
        <v>1033</v>
      </c>
    </row>
    <row r="206" spans="1:12" x14ac:dyDescent="0.25">
      <c r="A206" s="31">
        <f t="shared" si="3"/>
        <v>39165</v>
      </c>
      <c r="B206" s="216">
        <v>38509</v>
      </c>
      <c r="C206" s="216">
        <v>33068</v>
      </c>
      <c r="D206" s="216">
        <v>1890</v>
      </c>
      <c r="E206" s="216">
        <v>0</v>
      </c>
      <c r="F206" s="217">
        <v>1037</v>
      </c>
      <c r="G206" s="216">
        <v>49046</v>
      </c>
      <c r="H206" s="216">
        <v>41189</v>
      </c>
      <c r="I206" s="216">
        <v>0</v>
      </c>
      <c r="J206" s="216">
        <v>0</v>
      </c>
      <c r="K206" s="216">
        <v>0</v>
      </c>
      <c r="L206" s="217">
        <v>1037</v>
      </c>
    </row>
    <row r="207" spans="1:12" x14ac:dyDescent="0.25">
      <c r="A207" s="31">
        <f t="shared" si="3"/>
        <v>39166</v>
      </c>
      <c r="B207" s="216">
        <v>42018</v>
      </c>
      <c r="C207" s="216">
        <v>28937</v>
      </c>
      <c r="D207" s="216">
        <v>1850</v>
      </c>
      <c r="E207" s="216">
        <v>0</v>
      </c>
      <c r="F207" s="217">
        <v>1036</v>
      </c>
      <c r="G207" s="216">
        <v>65063</v>
      </c>
      <c r="H207" s="216">
        <v>41387</v>
      </c>
      <c r="I207" s="216">
        <v>3826</v>
      </c>
      <c r="J207" s="216">
        <v>0</v>
      </c>
      <c r="K207" s="216">
        <v>0</v>
      </c>
      <c r="L207" s="217">
        <v>1035</v>
      </c>
    </row>
    <row r="208" spans="1:12" x14ac:dyDescent="0.25">
      <c r="A208" s="31">
        <f t="shared" si="3"/>
        <v>39167</v>
      </c>
      <c r="B208" s="216">
        <v>38637</v>
      </c>
      <c r="C208" s="216">
        <v>32180</v>
      </c>
      <c r="D208" s="216">
        <v>1860</v>
      </c>
      <c r="E208" s="216">
        <v>0</v>
      </c>
      <c r="F208" s="217">
        <v>1037</v>
      </c>
      <c r="G208" s="216">
        <v>41006</v>
      </c>
      <c r="H208" s="216">
        <v>36938</v>
      </c>
      <c r="I208" s="216">
        <v>8462</v>
      </c>
      <c r="J208" s="216">
        <v>0</v>
      </c>
      <c r="K208" s="216">
        <v>0</v>
      </c>
      <c r="L208" s="217">
        <v>1035</v>
      </c>
    </row>
    <row r="209" spans="1:12" x14ac:dyDescent="0.25">
      <c r="A209" s="31">
        <f t="shared" si="3"/>
        <v>39168</v>
      </c>
      <c r="B209" s="216">
        <v>30756</v>
      </c>
      <c r="C209" s="216">
        <v>4836</v>
      </c>
      <c r="D209" s="216">
        <v>880</v>
      </c>
      <c r="E209" s="216">
        <v>0</v>
      </c>
      <c r="F209" s="217">
        <v>1038</v>
      </c>
      <c r="G209" s="216">
        <v>31345</v>
      </c>
      <c r="H209" s="216">
        <v>17861</v>
      </c>
      <c r="I209" s="216">
        <v>0</v>
      </c>
      <c r="J209" s="216">
        <v>0</v>
      </c>
      <c r="K209" s="216">
        <v>0</v>
      </c>
      <c r="L209" s="217">
        <v>1034</v>
      </c>
    </row>
    <row r="210" spans="1:12" x14ac:dyDescent="0.25">
      <c r="A210" s="31">
        <f t="shared" si="3"/>
        <v>39169</v>
      </c>
      <c r="B210" s="216">
        <v>35284</v>
      </c>
      <c r="C210" s="216">
        <v>36535</v>
      </c>
      <c r="D210" s="216">
        <v>1351</v>
      </c>
      <c r="E210" s="216">
        <v>0</v>
      </c>
      <c r="F210" s="217">
        <v>1036</v>
      </c>
      <c r="G210" s="216">
        <v>35737</v>
      </c>
      <c r="H210" s="216">
        <v>31877</v>
      </c>
      <c r="I210" s="216">
        <v>0</v>
      </c>
      <c r="J210" s="216">
        <v>0</v>
      </c>
      <c r="K210" s="216">
        <v>0</v>
      </c>
      <c r="L210" s="217">
        <v>1034</v>
      </c>
    </row>
    <row r="211" spans="1:12" x14ac:dyDescent="0.25">
      <c r="A211" s="31">
        <f t="shared" si="3"/>
        <v>39170</v>
      </c>
      <c r="B211" s="216">
        <v>36584</v>
      </c>
      <c r="C211" s="216">
        <v>35015</v>
      </c>
      <c r="D211" s="216">
        <v>1660</v>
      </c>
      <c r="E211" s="216">
        <v>0</v>
      </c>
      <c r="F211" s="217">
        <v>1036</v>
      </c>
      <c r="G211" s="216">
        <v>57657</v>
      </c>
      <c r="H211" s="216">
        <v>43759</v>
      </c>
      <c r="I211" s="216">
        <v>10059</v>
      </c>
      <c r="J211" s="216">
        <v>0</v>
      </c>
      <c r="K211" s="216">
        <v>0</v>
      </c>
      <c r="L211" s="217">
        <v>1034</v>
      </c>
    </row>
    <row r="212" spans="1:12" x14ac:dyDescent="0.25">
      <c r="A212" s="31">
        <f t="shared" si="3"/>
        <v>39171</v>
      </c>
      <c r="B212" s="216">
        <v>37163</v>
      </c>
      <c r="C212" s="216">
        <v>33848</v>
      </c>
      <c r="D212" s="216">
        <v>1400</v>
      </c>
      <c r="E212" s="216">
        <v>0</v>
      </c>
      <c r="F212" s="217">
        <v>1037</v>
      </c>
      <c r="G212" s="216">
        <v>37142</v>
      </c>
      <c r="H212" s="216">
        <v>30192</v>
      </c>
      <c r="I212" s="216">
        <v>0</v>
      </c>
      <c r="J212" s="216">
        <v>0</v>
      </c>
      <c r="K212" s="216">
        <v>0</v>
      </c>
      <c r="L212" s="217">
        <v>1033</v>
      </c>
    </row>
    <row r="213" spans="1:12" x14ac:dyDescent="0.25">
      <c r="A213" s="31">
        <f t="shared" si="3"/>
        <v>39172</v>
      </c>
      <c r="B213" s="216">
        <v>37823</v>
      </c>
      <c r="C213" s="216">
        <v>33463</v>
      </c>
      <c r="D213" s="216">
        <v>1580</v>
      </c>
      <c r="E213" s="216">
        <v>0</v>
      </c>
      <c r="F213" s="217">
        <v>1037</v>
      </c>
      <c r="G213" s="216">
        <v>51697</v>
      </c>
      <c r="H213" s="216">
        <v>40984</v>
      </c>
      <c r="I213" s="216">
        <v>0</v>
      </c>
      <c r="J213" s="216">
        <v>0</v>
      </c>
      <c r="K213" s="216">
        <v>2923</v>
      </c>
      <c r="L213" s="217">
        <v>1031</v>
      </c>
    </row>
    <row r="214" spans="1:12" x14ac:dyDescent="0.25">
      <c r="A214" s="31">
        <f>1+A213</f>
        <v>39173</v>
      </c>
      <c r="B214" s="216">
        <v>33962</v>
      </c>
      <c r="C214" s="216">
        <v>29734</v>
      </c>
      <c r="D214" s="216">
        <v>1570</v>
      </c>
      <c r="E214" s="216">
        <v>0</v>
      </c>
      <c r="F214" s="217">
        <v>1035</v>
      </c>
      <c r="G214" s="216">
        <v>69578</v>
      </c>
      <c r="H214" s="216">
        <v>48770</v>
      </c>
      <c r="I214" s="216">
        <v>0</v>
      </c>
      <c r="J214" s="216">
        <v>0</v>
      </c>
      <c r="K214" s="216">
        <v>7114</v>
      </c>
      <c r="L214" s="217">
        <v>1031</v>
      </c>
    </row>
    <row r="215" spans="1:12" x14ac:dyDescent="0.25">
      <c r="A215" s="31">
        <f>1+A214</f>
        <v>39174</v>
      </c>
      <c r="B215" s="216">
        <v>13266</v>
      </c>
      <c r="C215" s="216">
        <v>1876</v>
      </c>
      <c r="D215" s="216">
        <v>1200</v>
      </c>
      <c r="E215" s="216">
        <v>0</v>
      </c>
      <c r="F215" s="217">
        <v>1034</v>
      </c>
      <c r="G215" s="216">
        <v>63004</v>
      </c>
      <c r="H215" s="216">
        <v>43700</v>
      </c>
      <c r="I215" s="216">
        <v>5472</v>
      </c>
      <c r="J215" s="216">
        <v>0</v>
      </c>
      <c r="K215" s="216">
        <v>46</v>
      </c>
      <c r="L215" s="217">
        <v>1034</v>
      </c>
    </row>
    <row r="216" spans="1:12" x14ac:dyDescent="0.25">
      <c r="A216" s="31">
        <f t="shared" si="3"/>
        <v>39175</v>
      </c>
      <c r="B216" s="216">
        <v>23136</v>
      </c>
      <c r="C216" s="216">
        <v>8611</v>
      </c>
      <c r="D216" s="216">
        <v>1800</v>
      </c>
      <c r="E216" s="216">
        <v>0</v>
      </c>
      <c r="F216" s="217">
        <v>1034</v>
      </c>
      <c r="G216" s="216">
        <v>60864</v>
      </c>
      <c r="H216" s="216">
        <v>42494</v>
      </c>
      <c r="I216" s="216">
        <v>21425</v>
      </c>
      <c r="J216" s="216">
        <v>0</v>
      </c>
      <c r="K216" s="216">
        <v>0</v>
      </c>
      <c r="L216" s="217">
        <v>1032</v>
      </c>
    </row>
    <row r="217" spans="1:12" x14ac:dyDescent="0.25">
      <c r="A217" s="31">
        <f t="shared" si="3"/>
        <v>39176</v>
      </c>
      <c r="B217" s="216">
        <v>37139</v>
      </c>
      <c r="C217" s="216">
        <v>26291</v>
      </c>
      <c r="D217" s="216">
        <v>1751</v>
      </c>
      <c r="E217" s="216">
        <v>0</v>
      </c>
      <c r="F217" s="217">
        <v>1036</v>
      </c>
      <c r="G217" s="216">
        <v>91911</v>
      </c>
      <c r="H217" s="216">
        <v>49490</v>
      </c>
      <c r="I217" s="216">
        <v>26804</v>
      </c>
      <c r="J217" s="216">
        <v>4106</v>
      </c>
      <c r="K217" s="216">
        <v>4578</v>
      </c>
      <c r="L217" s="217">
        <v>1032</v>
      </c>
    </row>
    <row r="218" spans="1:12" x14ac:dyDescent="0.25">
      <c r="A218" s="31">
        <f t="shared" si="3"/>
        <v>39177</v>
      </c>
      <c r="B218" s="216">
        <v>55257</v>
      </c>
      <c r="C218" s="216">
        <v>32465</v>
      </c>
      <c r="D218" s="216">
        <v>2390</v>
      </c>
      <c r="E218" s="216">
        <v>0</v>
      </c>
      <c r="F218" s="217">
        <v>1036</v>
      </c>
      <c r="G218" s="216">
        <v>93696</v>
      </c>
      <c r="H218" s="216">
        <v>46055</v>
      </c>
      <c r="I218" s="216">
        <v>28883</v>
      </c>
      <c r="J218" s="216">
        <v>19455</v>
      </c>
      <c r="K218" s="216">
        <v>23143</v>
      </c>
      <c r="L218" s="217">
        <v>1036</v>
      </c>
    </row>
    <row r="219" spans="1:12" x14ac:dyDescent="0.25">
      <c r="A219" s="31">
        <f t="shared" si="3"/>
        <v>39178</v>
      </c>
      <c r="B219" s="216">
        <v>56064</v>
      </c>
      <c r="C219" s="216">
        <v>41640</v>
      </c>
      <c r="D219" s="216">
        <v>2230</v>
      </c>
      <c r="E219" s="216">
        <v>0</v>
      </c>
      <c r="F219" s="217">
        <v>1036</v>
      </c>
      <c r="G219" s="216">
        <v>81791</v>
      </c>
      <c r="H219" s="216">
        <v>43051</v>
      </c>
      <c r="I219" s="216">
        <v>20848</v>
      </c>
      <c r="J219" s="216">
        <v>19410</v>
      </c>
      <c r="K219" s="216">
        <v>22336</v>
      </c>
      <c r="L219" s="217">
        <v>1040</v>
      </c>
    </row>
    <row r="220" spans="1:12" x14ac:dyDescent="0.25">
      <c r="A220" s="31">
        <f t="shared" si="3"/>
        <v>39179</v>
      </c>
      <c r="B220" s="216">
        <v>51716</v>
      </c>
      <c r="C220" s="216">
        <v>48121</v>
      </c>
      <c r="D220" s="216">
        <v>2330</v>
      </c>
      <c r="E220" s="216">
        <v>0</v>
      </c>
      <c r="F220" s="217">
        <v>1036</v>
      </c>
      <c r="G220" s="216">
        <v>94838</v>
      </c>
      <c r="H220" s="216">
        <v>57022</v>
      </c>
      <c r="I220" s="216">
        <v>24894</v>
      </c>
      <c r="J220" s="216">
        <v>17905</v>
      </c>
      <c r="K220" s="216">
        <v>18739</v>
      </c>
      <c r="L220" s="217">
        <v>1039</v>
      </c>
    </row>
    <row r="221" spans="1:12" x14ac:dyDescent="0.25">
      <c r="A221" s="31">
        <f t="shared" si="3"/>
        <v>39180</v>
      </c>
      <c r="B221" s="216">
        <v>57867</v>
      </c>
      <c r="C221" s="216">
        <v>39667</v>
      </c>
      <c r="D221" s="216">
        <v>2260</v>
      </c>
      <c r="E221" s="216">
        <v>0</v>
      </c>
      <c r="F221" s="217">
        <v>1037</v>
      </c>
      <c r="G221" s="216">
        <v>91846</v>
      </c>
      <c r="H221" s="216">
        <v>56100</v>
      </c>
      <c r="I221" s="216">
        <v>24384</v>
      </c>
      <c r="J221" s="216">
        <v>17403</v>
      </c>
      <c r="K221" s="216">
        <v>22858</v>
      </c>
      <c r="L221" s="217">
        <v>1040</v>
      </c>
    </row>
    <row r="222" spans="1:12" x14ac:dyDescent="0.25">
      <c r="A222" s="31">
        <f t="shared" si="3"/>
        <v>39181</v>
      </c>
      <c r="B222" s="216">
        <v>62377</v>
      </c>
      <c r="C222" s="216">
        <v>35196</v>
      </c>
      <c r="D222" s="216">
        <v>2200</v>
      </c>
      <c r="E222" s="216">
        <v>0</v>
      </c>
      <c r="F222" s="217">
        <v>1037</v>
      </c>
      <c r="G222" s="216">
        <v>86151</v>
      </c>
      <c r="H222" s="216">
        <v>42050</v>
      </c>
      <c r="I222" s="216">
        <v>6658</v>
      </c>
      <c r="J222" s="216">
        <v>18726</v>
      </c>
      <c r="K222" s="216">
        <v>23491</v>
      </c>
      <c r="L222" s="217">
        <v>1039</v>
      </c>
    </row>
    <row r="223" spans="1:12" x14ac:dyDescent="0.25">
      <c r="A223" s="31">
        <f t="shared" si="3"/>
        <v>39182</v>
      </c>
      <c r="B223" s="216">
        <v>40333</v>
      </c>
      <c r="C223" s="216">
        <v>31506</v>
      </c>
      <c r="D223" s="216">
        <v>2100</v>
      </c>
      <c r="E223" s="216">
        <v>0</v>
      </c>
      <c r="F223" s="217">
        <v>1035</v>
      </c>
      <c r="G223" s="216">
        <v>72760</v>
      </c>
      <c r="H223" s="216">
        <v>53173</v>
      </c>
      <c r="I223" s="216">
        <v>4703</v>
      </c>
      <c r="J223" s="216">
        <v>20601</v>
      </c>
      <c r="K223" s="216">
        <v>23802</v>
      </c>
      <c r="L223" s="217">
        <v>1041</v>
      </c>
    </row>
    <row r="224" spans="1:12" x14ac:dyDescent="0.25">
      <c r="A224" s="31">
        <f t="shared" si="3"/>
        <v>39183</v>
      </c>
      <c r="B224" s="216">
        <v>9994</v>
      </c>
      <c r="C224" s="216">
        <v>30916</v>
      </c>
      <c r="D224" s="216">
        <v>2030</v>
      </c>
      <c r="E224" s="216">
        <v>0</v>
      </c>
      <c r="F224" s="217">
        <v>1034</v>
      </c>
      <c r="G224" s="216">
        <v>76818</v>
      </c>
      <c r="H224" s="216">
        <v>66138</v>
      </c>
      <c r="I224" s="216">
        <v>3938</v>
      </c>
      <c r="J224" s="216">
        <v>1690</v>
      </c>
      <c r="K224" s="216">
        <v>2592</v>
      </c>
      <c r="L224" s="217">
        <v>1041</v>
      </c>
    </row>
    <row r="225" spans="1:12" x14ac:dyDescent="0.25">
      <c r="A225" s="31">
        <f t="shared" si="3"/>
        <v>39184</v>
      </c>
      <c r="B225" s="216">
        <v>29152</v>
      </c>
      <c r="C225" s="216">
        <v>23655</v>
      </c>
      <c r="D225" s="216">
        <v>2030</v>
      </c>
      <c r="E225" s="216">
        <v>0</v>
      </c>
      <c r="F225" s="217">
        <v>1034</v>
      </c>
      <c r="G225" s="216">
        <v>88822</v>
      </c>
      <c r="H225" s="216">
        <v>58395</v>
      </c>
      <c r="I225" s="216">
        <v>0</v>
      </c>
      <c r="J225" s="216">
        <v>0</v>
      </c>
      <c r="K225" s="216">
        <v>24134</v>
      </c>
      <c r="L225" s="217">
        <v>1040</v>
      </c>
    </row>
    <row r="226" spans="1:12" x14ac:dyDescent="0.25">
      <c r="A226" s="31">
        <f t="shared" si="3"/>
        <v>39185</v>
      </c>
      <c r="B226" s="216">
        <v>41547</v>
      </c>
      <c r="C226" s="216">
        <v>35628</v>
      </c>
      <c r="D226" s="216">
        <v>2060</v>
      </c>
      <c r="E226" s="216">
        <v>0</v>
      </c>
      <c r="F226" s="217">
        <v>1033</v>
      </c>
      <c r="G226" s="216">
        <v>118159</v>
      </c>
      <c r="H226" s="216">
        <v>31921</v>
      </c>
      <c r="I226" s="216">
        <v>0</v>
      </c>
      <c r="J226" s="216">
        <v>0</v>
      </c>
      <c r="K226" s="216">
        <v>24532</v>
      </c>
      <c r="L226" s="217">
        <v>1038</v>
      </c>
    </row>
    <row r="227" spans="1:12" x14ac:dyDescent="0.25">
      <c r="A227" s="31">
        <f t="shared" si="3"/>
        <v>39186</v>
      </c>
      <c r="B227" s="216">
        <v>30847</v>
      </c>
      <c r="C227" s="216">
        <v>19639</v>
      </c>
      <c r="D227" s="216">
        <v>1680</v>
      </c>
      <c r="E227" s="216">
        <v>0</v>
      </c>
      <c r="F227" s="217">
        <v>1034</v>
      </c>
      <c r="G227" s="216">
        <v>91745</v>
      </c>
      <c r="H227" s="216">
        <v>37291</v>
      </c>
      <c r="I227" s="216">
        <v>0</v>
      </c>
      <c r="J227" s="216">
        <v>0</v>
      </c>
      <c r="K227" s="216">
        <v>18795</v>
      </c>
      <c r="L227" s="217">
        <v>1039</v>
      </c>
    </row>
    <row r="228" spans="1:12" x14ac:dyDescent="0.25">
      <c r="A228" s="31">
        <f t="shared" si="3"/>
        <v>39187</v>
      </c>
      <c r="B228" s="216">
        <v>51270</v>
      </c>
      <c r="C228" s="216">
        <v>45365</v>
      </c>
      <c r="D228" s="216">
        <v>2201</v>
      </c>
      <c r="E228" s="216">
        <v>0</v>
      </c>
      <c r="F228" s="217">
        <v>1035</v>
      </c>
      <c r="G228" s="216">
        <v>117104</v>
      </c>
      <c r="H228" s="216">
        <v>38157</v>
      </c>
      <c r="I228" s="216">
        <v>0</v>
      </c>
      <c r="J228" s="216">
        <v>0</v>
      </c>
      <c r="K228" s="216">
        <v>24589</v>
      </c>
      <c r="L228" s="217">
        <v>1034</v>
      </c>
    </row>
    <row r="229" spans="1:12" x14ac:dyDescent="0.25">
      <c r="A229" s="31">
        <f t="shared" si="3"/>
        <v>39188</v>
      </c>
      <c r="B229" s="216">
        <v>46287</v>
      </c>
      <c r="C229" s="216">
        <v>51239</v>
      </c>
      <c r="D229" s="216">
        <v>2420</v>
      </c>
      <c r="E229" s="216">
        <v>0</v>
      </c>
      <c r="F229" s="217">
        <v>1037</v>
      </c>
      <c r="G229" s="216">
        <v>82796</v>
      </c>
      <c r="H229" s="216">
        <v>43630</v>
      </c>
      <c r="I229" s="216">
        <v>27703</v>
      </c>
      <c r="J229" s="216">
        <v>19504</v>
      </c>
      <c r="K229" s="216">
        <v>26310</v>
      </c>
      <c r="L229" s="217">
        <v>1044</v>
      </c>
    </row>
    <row r="230" spans="1:12" x14ac:dyDescent="0.25">
      <c r="A230" s="31">
        <f t="shared" si="3"/>
        <v>39189</v>
      </c>
      <c r="B230" s="216">
        <v>48251</v>
      </c>
      <c r="C230" s="216">
        <v>44326</v>
      </c>
      <c r="D230" s="216">
        <v>2250</v>
      </c>
      <c r="E230" s="216">
        <v>0</v>
      </c>
      <c r="F230" s="217">
        <v>1036</v>
      </c>
      <c r="G230" s="216">
        <v>96207</v>
      </c>
      <c r="H230" s="216">
        <v>34916</v>
      </c>
      <c r="I230" s="216">
        <v>5397</v>
      </c>
      <c r="J230" s="216">
        <v>19411</v>
      </c>
      <c r="K230" s="216">
        <v>21160</v>
      </c>
      <c r="L230" s="217">
        <v>1034</v>
      </c>
    </row>
    <row r="231" spans="1:12" x14ac:dyDescent="0.25">
      <c r="A231" s="31">
        <f t="shared" si="3"/>
        <v>39190</v>
      </c>
      <c r="B231" s="216">
        <v>30260</v>
      </c>
      <c r="C231" s="216">
        <v>31676</v>
      </c>
      <c r="D231" s="216">
        <v>1900</v>
      </c>
      <c r="E231" s="216">
        <v>0</v>
      </c>
      <c r="F231" s="217">
        <v>1038</v>
      </c>
      <c r="G231" s="216">
        <v>95410</v>
      </c>
      <c r="H231" s="216">
        <v>33677</v>
      </c>
      <c r="I231" s="216">
        <v>12077</v>
      </c>
      <c r="J231" s="216">
        <v>49</v>
      </c>
      <c r="K231" s="216">
        <v>18610</v>
      </c>
      <c r="L231" s="217">
        <v>1030</v>
      </c>
    </row>
    <row r="232" spans="1:12" x14ac:dyDescent="0.25">
      <c r="A232" s="31">
        <f t="shared" si="3"/>
        <v>39191</v>
      </c>
      <c r="B232" s="216">
        <v>23991</v>
      </c>
      <c r="C232" s="216">
        <v>37558</v>
      </c>
      <c r="D232" s="216">
        <v>1700</v>
      </c>
      <c r="E232" s="216">
        <v>0</v>
      </c>
      <c r="F232" s="217">
        <v>1035</v>
      </c>
      <c r="G232" s="216">
        <v>107379</v>
      </c>
      <c r="H232" s="216">
        <v>22417</v>
      </c>
      <c r="I232" s="216">
        <v>3458</v>
      </c>
      <c r="J232" s="216">
        <v>0</v>
      </c>
      <c r="K232" s="216">
        <v>3959</v>
      </c>
      <c r="L232" s="217">
        <v>1035</v>
      </c>
    </row>
    <row r="233" spans="1:12" x14ac:dyDescent="0.25">
      <c r="A233" s="31">
        <f t="shared" si="3"/>
        <v>39192</v>
      </c>
      <c r="B233" s="216">
        <v>31817</v>
      </c>
      <c r="C233" s="216">
        <v>3682</v>
      </c>
      <c r="D233" s="216">
        <v>1210</v>
      </c>
      <c r="E233" s="216">
        <v>0</v>
      </c>
      <c r="F233" s="217">
        <v>1035</v>
      </c>
      <c r="G233" s="216">
        <v>89931</v>
      </c>
      <c r="H233" s="216">
        <v>1649</v>
      </c>
      <c r="I233" s="216">
        <v>3265</v>
      </c>
      <c r="J233" s="216">
        <v>0</v>
      </c>
      <c r="K233" s="216">
        <v>0</v>
      </c>
      <c r="L233" s="217">
        <v>1033</v>
      </c>
    </row>
    <row r="234" spans="1:12" x14ac:dyDescent="0.25">
      <c r="A234" s="31">
        <f t="shared" si="3"/>
        <v>39193</v>
      </c>
      <c r="B234" s="216">
        <v>1338</v>
      </c>
      <c r="C234" s="216">
        <v>0</v>
      </c>
      <c r="D234" s="216">
        <v>847</v>
      </c>
      <c r="E234" s="216">
        <v>0</v>
      </c>
      <c r="F234" s="217">
        <v>1034</v>
      </c>
      <c r="G234" s="216">
        <v>66383</v>
      </c>
      <c r="H234" s="216">
        <v>26351</v>
      </c>
      <c r="I234" s="216">
        <v>7728</v>
      </c>
      <c r="J234" s="216">
        <v>0</v>
      </c>
      <c r="K234" s="216">
        <v>0</v>
      </c>
      <c r="L234" s="217">
        <v>1032</v>
      </c>
    </row>
    <row r="235" spans="1:12" x14ac:dyDescent="0.25">
      <c r="A235" s="31">
        <f t="shared" si="3"/>
        <v>39194</v>
      </c>
      <c r="B235" s="216">
        <v>0</v>
      </c>
      <c r="C235" s="216">
        <v>0</v>
      </c>
      <c r="D235" s="216">
        <v>750</v>
      </c>
      <c r="E235" s="216">
        <v>0</v>
      </c>
      <c r="F235" s="217">
        <v>1036</v>
      </c>
      <c r="G235" s="216">
        <v>63350</v>
      </c>
      <c r="H235" s="216">
        <v>30178</v>
      </c>
      <c r="I235" s="216">
        <v>0</v>
      </c>
      <c r="J235" s="216">
        <v>0</v>
      </c>
      <c r="K235" s="216">
        <v>0</v>
      </c>
      <c r="L235" s="217">
        <v>1039</v>
      </c>
    </row>
    <row r="236" spans="1:12" x14ac:dyDescent="0.25">
      <c r="A236" s="31">
        <f t="shared" si="3"/>
        <v>39195</v>
      </c>
      <c r="B236" s="216">
        <v>0</v>
      </c>
      <c r="C236" s="216">
        <v>0</v>
      </c>
      <c r="D236" s="216">
        <v>570</v>
      </c>
      <c r="E236" s="216">
        <v>0</v>
      </c>
      <c r="F236" s="217">
        <v>1036</v>
      </c>
      <c r="G236" s="216">
        <v>56759</v>
      </c>
      <c r="H236" s="216">
        <v>25813</v>
      </c>
      <c r="I236" s="216">
        <v>0</v>
      </c>
      <c r="J236" s="216">
        <v>0</v>
      </c>
      <c r="K236" s="216">
        <v>0</v>
      </c>
      <c r="L236" s="217">
        <v>1039</v>
      </c>
    </row>
    <row r="237" spans="1:12" x14ac:dyDescent="0.25">
      <c r="A237" s="31">
        <f t="shared" si="3"/>
        <v>39196</v>
      </c>
      <c r="B237" s="216">
        <v>0</v>
      </c>
      <c r="C237" s="216">
        <v>0</v>
      </c>
      <c r="D237" s="216">
        <v>740</v>
      </c>
      <c r="E237" s="216">
        <v>0</v>
      </c>
      <c r="F237" s="217">
        <v>1036</v>
      </c>
      <c r="G237" s="216">
        <v>63026</v>
      </c>
      <c r="H237" s="216">
        <v>24802</v>
      </c>
      <c r="I237" s="216">
        <v>0</v>
      </c>
      <c r="J237" s="216">
        <v>0</v>
      </c>
      <c r="K237" s="216">
        <v>0</v>
      </c>
      <c r="L237" s="217">
        <v>1034</v>
      </c>
    </row>
    <row r="238" spans="1:12" x14ac:dyDescent="0.25">
      <c r="A238" s="31">
        <f t="shared" si="3"/>
        <v>39197</v>
      </c>
      <c r="B238" s="216">
        <v>0</v>
      </c>
      <c r="C238" s="216">
        <v>0</v>
      </c>
      <c r="D238" s="216">
        <v>1010</v>
      </c>
      <c r="E238" s="216">
        <v>0</v>
      </c>
      <c r="F238" s="217">
        <v>1037</v>
      </c>
      <c r="G238" s="216">
        <v>80358</v>
      </c>
      <c r="H238" s="216">
        <v>22174</v>
      </c>
      <c r="I238" s="216">
        <v>0</v>
      </c>
      <c r="J238" s="216">
        <v>0</v>
      </c>
      <c r="K238" s="216">
        <v>0</v>
      </c>
      <c r="L238" s="217">
        <v>1034</v>
      </c>
    </row>
    <row r="239" spans="1:12" x14ac:dyDescent="0.25">
      <c r="A239" s="31">
        <f t="shared" si="3"/>
        <v>39198</v>
      </c>
      <c r="B239" s="216">
        <v>2119</v>
      </c>
      <c r="C239" s="216">
        <v>0</v>
      </c>
      <c r="D239" s="216">
        <v>1270</v>
      </c>
      <c r="E239" s="216">
        <v>0</v>
      </c>
      <c r="F239" s="217">
        <v>1038</v>
      </c>
      <c r="G239" s="216">
        <v>95091</v>
      </c>
      <c r="H239" s="216">
        <v>28506</v>
      </c>
      <c r="I239" s="216">
        <v>0</v>
      </c>
      <c r="J239" s="216">
        <v>0</v>
      </c>
      <c r="K239" s="216">
        <v>0</v>
      </c>
      <c r="L239" s="217">
        <v>1034</v>
      </c>
    </row>
    <row r="240" spans="1:12" x14ac:dyDescent="0.25">
      <c r="A240" s="31">
        <f t="shared" si="3"/>
        <v>39199</v>
      </c>
      <c r="B240" s="216">
        <v>0</v>
      </c>
      <c r="C240" s="216">
        <v>0</v>
      </c>
      <c r="D240" s="216">
        <v>1110</v>
      </c>
      <c r="E240" s="216">
        <v>0</v>
      </c>
      <c r="F240" s="217">
        <v>1040</v>
      </c>
      <c r="G240" s="216">
        <v>89496</v>
      </c>
      <c r="H240" s="216">
        <v>22481</v>
      </c>
      <c r="I240" s="216">
        <v>0</v>
      </c>
      <c r="J240" s="216">
        <v>0</v>
      </c>
      <c r="K240" s="216">
        <v>0</v>
      </c>
      <c r="L240" s="217">
        <v>1034</v>
      </c>
    </row>
    <row r="241" spans="1:12" x14ac:dyDescent="0.25">
      <c r="A241" s="31">
        <f t="shared" si="3"/>
        <v>39200</v>
      </c>
      <c r="B241" s="216">
        <v>0</v>
      </c>
      <c r="C241" s="216">
        <v>0</v>
      </c>
      <c r="D241" s="216">
        <v>810</v>
      </c>
      <c r="E241" s="216">
        <v>0</v>
      </c>
      <c r="F241" s="217">
        <v>1037</v>
      </c>
      <c r="G241" s="216">
        <v>77103</v>
      </c>
      <c r="H241" s="216">
        <v>23221</v>
      </c>
      <c r="I241" s="216">
        <v>0</v>
      </c>
      <c r="J241" s="216">
        <v>0</v>
      </c>
      <c r="K241" s="216">
        <v>0</v>
      </c>
      <c r="L241" s="217">
        <v>1035</v>
      </c>
    </row>
    <row r="242" spans="1:12" x14ac:dyDescent="0.25">
      <c r="A242" s="31">
        <f t="shared" si="3"/>
        <v>39201</v>
      </c>
      <c r="B242" s="216">
        <v>0</v>
      </c>
      <c r="C242" s="216">
        <v>0</v>
      </c>
      <c r="D242" s="216">
        <v>710</v>
      </c>
      <c r="E242" s="216">
        <v>0</v>
      </c>
      <c r="F242" s="217">
        <v>1038</v>
      </c>
      <c r="G242" s="216">
        <v>79816</v>
      </c>
      <c r="H242" s="216">
        <v>19362</v>
      </c>
      <c r="I242" s="216">
        <v>0</v>
      </c>
      <c r="J242" s="216">
        <v>0</v>
      </c>
      <c r="K242" s="216">
        <v>0</v>
      </c>
      <c r="L242" s="217">
        <v>1038</v>
      </c>
    </row>
    <row r="243" spans="1:12" x14ac:dyDescent="0.25">
      <c r="A243" s="31">
        <f t="shared" si="3"/>
        <v>39202</v>
      </c>
      <c r="B243" s="216">
        <v>0</v>
      </c>
      <c r="C243" s="216">
        <v>0</v>
      </c>
      <c r="D243" s="216">
        <v>610</v>
      </c>
      <c r="E243" s="216">
        <v>0</v>
      </c>
      <c r="F243" s="217">
        <v>1040</v>
      </c>
      <c r="G243" s="216">
        <v>76656</v>
      </c>
      <c r="H243" s="216">
        <v>13570</v>
      </c>
      <c r="I243" s="216">
        <v>0</v>
      </c>
      <c r="J243" s="216">
        <v>0</v>
      </c>
      <c r="K243" s="216">
        <v>0</v>
      </c>
      <c r="L243" s="217">
        <v>1038</v>
      </c>
    </row>
    <row r="244" spans="1:12" x14ac:dyDescent="0.25">
      <c r="A244" s="31">
        <f>1+A243</f>
        <v>39203</v>
      </c>
      <c r="B244" s="216">
        <v>0</v>
      </c>
      <c r="C244" s="216">
        <v>0</v>
      </c>
      <c r="D244" s="216">
        <v>821</v>
      </c>
      <c r="E244" s="216">
        <v>0</v>
      </c>
      <c r="F244" s="217">
        <v>1041</v>
      </c>
      <c r="G244" s="216">
        <v>85124</v>
      </c>
      <c r="H244" s="216">
        <v>18606</v>
      </c>
      <c r="I244" s="216">
        <v>0</v>
      </c>
      <c r="J244" s="216">
        <v>5</v>
      </c>
      <c r="K244" s="216">
        <v>0</v>
      </c>
      <c r="L244" s="217">
        <v>1039</v>
      </c>
    </row>
    <row r="245" spans="1:12" x14ac:dyDescent="0.25">
      <c r="A245" s="31">
        <f>1+A244</f>
        <v>39204</v>
      </c>
      <c r="B245" s="216">
        <v>0</v>
      </c>
      <c r="C245" s="216">
        <v>0</v>
      </c>
      <c r="D245" s="216">
        <v>0</v>
      </c>
      <c r="E245" s="216">
        <v>0</v>
      </c>
      <c r="F245" s="217">
        <v>1045</v>
      </c>
      <c r="G245" s="216">
        <v>86302</v>
      </c>
      <c r="H245" s="216">
        <v>18873</v>
      </c>
      <c r="I245" s="216">
        <v>0</v>
      </c>
      <c r="J245" s="216">
        <v>0</v>
      </c>
      <c r="K245" s="216">
        <v>0</v>
      </c>
      <c r="L245" s="217">
        <v>1036</v>
      </c>
    </row>
    <row r="246" spans="1:12" x14ac:dyDescent="0.25">
      <c r="A246" s="31">
        <f t="shared" si="3"/>
        <v>39205</v>
      </c>
      <c r="B246" s="216">
        <v>0</v>
      </c>
      <c r="C246" s="216">
        <v>0</v>
      </c>
      <c r="D246" s="216">
        <v>0</v>
      </c>
      <c r="E246" s="216">
        <v>0</v>
      </c>
      <c r="F246" s="217">
        <v>1043</v>
      </c>
      <c r="G246" s="216">
        <v>77895</v>
      </c>
      <c r="H246" s="216">
        <v>21729</v>
      </c>
      <c r="I246" s="216">
        <v>0</v>
      </c>
      <c r="J246" s="216">
        <v>0</v>
      </c>
      <c r="K246" s="216">
        <v>0</v>
      </c>
      <c r="L246" s="217">
        <v>1036</v>
      </c>
    </row>
    <row r="247" spans="1:12" x14ac:dyDescent="0.25">
      <c r="A247" s="31">
        <f t="shared" si="3"/>
        <v>39206</v>
      </c>
      <c r="B247" s="216">
        <v>0</v>
      </c>
      <c r="C247" s="216">
        <v>0</v>
      </c>
      <c r="D247" s="216">
        <v>0</v>
      </c>
      <c r="E247" s="216">
        <v>0</v>
      </c>
      <c r="F247" s="217">
        <v>1043</v>
      </c>
      <c r="G247" s="216">
        <v>82242</v>
      </c>
      <c r="H247" s="216">
        <v>18084</v>
      </c>
      <c r="I247" s="216">
        <v>0</v>
      </c>
      <c r="J247" s="216">
        <v>0</v>
      </c>
      <c r="K247" s="216">
        <v>0</v>
      </c>
      <c r="L247" s="217">
        <v>1039</v>
      </c>
    </row>
    <row r="248" spans="1:12" x14ac:dyDescent="0.25">
      <c r="A248" s="31">
        <f t="shared" si="3"/>
        <v>39207</v>
      </c>
      <c r="B248" s="216">
        <v>0</v>
      </c>
      <c r="C248" s="216">
        <v>0</v>
      </c>
      <c r="D248" s="216">
        <v>0</v>
      </c>
      <c r="E248" s="216">
        <v>0</v>
      </c>
      <c r="F248" s="217">
        <v>1043</v>
      </c>
      <c r="G248" s="216">
        <v>80806</v>
      </c>
      <c r="H248" s="216">
        <v>19912</v>
      </c>
      <c r="I248" s="216">
        <v>0</v>
      </c>
      <c r="J248" s="216">
        <v>0</v>
      </c>
      <c r="K248" s="216">
        <v>0</v>
      </c>
      <c r="L248" s="217">
        <v>1044</v>
      </c>
    </row>
    <row r="249" spans="1:12" x14ac:dyDescent="0.25">
      <c r="A249" s="31">
        <f t="shared" si="3"/>
        <v>39208</v>
      </c>
      <c r="B249" s="216">
        <v>0</v>
      </c>
      <c r="C249" s="216">
        <v>3176</v>
      </c>
      <c r="D249" s="216">
        <v>0</v>
      </c>
      <c r="E249" s="216">
        <v>0</v>
      </c>
      <c r="F249" s="217">
        <v>1046</v>
      </c>
      <c r="G249" s="216">
        <v>102373</v>
      </c>
      <c r="H249" s="216">
        <v>20963</v>
      </c>
      <c r="I249" s="216">
        <v>3869</v>
      </c>
      <c r="J249" s="216">
        <v>0</v>
      </c>
      <c r="K249" s="216">
        <v>0</v>
      </c>
      <c r="L249" s="217">
        <v>1041</v>
      </c>
    </row>
    <row r="250" spans="1:12" x14ac:dyDescent="0.25">
      <c r="A250" s="31">
        <f t="shared" si="3"/>
        <v>39209</v>
      </c>
      <c r="B250" s="216">
        <v>0</v>
      </c>
      <c r="C250" s="216">
        <v>0</v>
      </c>
      <c r="D250" s="216">
        <v>0</v>
      </c>
      <c r="E250" s="216">
        <v>0</v>
      </c>
      <c r="F250" s="217">
        <v>1033</v>
      </c>
      <c r="G250" s="216">
        <v>97659</v>
      </c>
      <c r="H250" s="216">
        <v>24772</v>
      </c>
      <c r="I250" s="216">
        <v>222</v>
      </c>
      <c r="J250" s="216">
        <v>0</v>
      </c>
      <c r="K250" s="216">
        <v>0</v>
      </c>
      <c r="L250" s="217">
        <v>1047</v>
      </c>
    </row>
    <row r="251" spans="1:12" x14ac:dyDescent="0.25">
      <c r="A251" s="31">
        <f t="shared" si="3"/>
        <v>39210</v>
      </c>
      <c r="B251" s="216">
        <v>0</v>
      </c>
      <c r="C251" s="216">
        <v>0</v>
      </c>
      <c r="D251" s="216">
        <v>0</v>
      </c>
      <c r="E251" s="216">
        <v>0</v>
      </c>
      <c r="F251" s="217">
        <v>1033</v>
      </c>
      <c r="G251" s="216">
        <v>82780</v>
      </c>
      <c r="H251" s="216">
        <v>20884</v>
      </c>
      <c r="I251" s="216">
        <v>0</v>
      </c>
      <c r="J251" s="216">
        <v>0</v>
      </c>
      <c r="K251" s="216">
        <v>0</v>
      </c>
      <c r="L251" s="217">
        <v>1048</v>
      </c>
    </row>
    <row r="252" spans="1:12" x14ac:dyDescent="0.25">
      <c r="A252" s="31">
        <f t="shared" si="3"/>
        <v>39211</v>
      </c>
      <c r="B252" s="216">
        <v>0</v>
      </c>
      <c r="C252" s="216">
        <v>0</v>
      </c>
      <c r="D252" s="216">
        <v>0</v>
      </c>
      <c r="E252" s="216">
        <v>0</v>
      </c>
      <c r="F252" s="217">
        <v>1046</v>
      </c>
      <c r="G252" s="216">
        <v>76234</v>
      </c>
      <c r="H252" s="216">
        <v>20649</v>
      </c>
      <c r="I252" s="216">
        <v>0</v>
      </c>
      <c r="J252" s="216">
        <v>0</v>
      </c>
      <c r="K252" s="216">
        <v>0</v>
      </c>
      <c r="L252" s="217">
        <v>1046</v>
      </c>
    </row>
    <row r="253" spans="1:12" x14ac:dyDescent="0.25">
      <c r="A253" s="31">
        <f t="shared" si="3"/>
        <v>39212</v>
      </c>
      <c r="B253" s="216">
        <v>0</v>
      </c>
      <c r="C253" s="216">
        <v>0</v>
      </c>
      <c r="D253" s="216">
        <v>0</v>
      </c>
      <c r="E253" s="216">
        <v>0</v>
      </c>
      <c r="F253" s="217">
        <v>1051</v>
      </c>
      <c r="G253" s="216">
        <v>75768</v>
      </c>
      <c r="H253" s="216">
        <v>17696</v>
      </c>
      <c r="I253" s="216">
        <v>0</v>
      </c>
      <c r="J253" s="216">
        <v>0</v>
      </c>
      <c r="K253" s="216">
        <v>0</v>
      </c>
      <c r="L253" s="217">
        <v>1046</v>
      </c>
    </row>
    <row r="254" spans="1:12" x14ac:dyDescent="0.25">
      <c r="A254" s="31">
        <f t="shared" si="3"/>
        <v>39213</v>
      </c>
      <c r="B254" s="216">
        <v>0</v>
      </c>
      <c r="C254" s="216">
        <v>0</v>
      </c>
      <c r="D254" s="216">
        <v>0</v>
      </c>
      <c r="E254" s="216">
        <v>0</v>
      </c>
      <c r="F254" s="217">
        <v>1051</v>
      </c>
      <c r="G254" s="216">
        <v>73913</v>
      </c>
      <c r="H254" s="216">
        <v>17042</v>
      </c>
      <c r="I254" s="216">
        <v>0</v>
      </c>
      <c r="J254" s="216">
        <v>0</v>
      </c>
      <c r="K254" s="216">
        <v>0</v>
      </c>
      <c r="L254" s="217">
        <v>1046</v>
      </c>
    </row>
    <row r="255" spans="1:12" x14ac:dyDescent="0.25">
      <c r="A255" s="31">
        <f t="shared" si="3"/>
        <v>39214</v>
      </c>
      <c r="B255" s="216">
        <v>0</v>
      </c>
      <c r="C255" s="216">
        <v>0</v>
      </c>
      <c r="D255" s="216">
        <v>0</v>
      </c>
      <c r="E255" s="216">
        <v>0</v>
      </c>
      <c r="F255" s="217">
        <v>1044</v>
      </c>
      <c r="G255" s="216">
        <v>77288</v>
      </c>
      <c r="H255" s="216">
        <v>19897</v>
      </c>
      <c r="I255" s="216">
        <v>0</v>
      </c>
      <c r="J255" s="216">
        <v>0</v>
      </c>
      <c r="K255" s="216">
        <v>0</v>
      </c>
      <c r="L255" s="217">
        <v>1040</v>
      </c>
    </row>
    <row r="256" spans="1:12" x14ac:dyDescent="0.25">
      <c r="A256" s="31">
        <f t="shared" si="3"/>
        <v>39215</v>
      </c>
      <c r="B256" s="216">
        <v>0</v>
      </c>
      <c r="C256" s="216">
        <v>0</v>
      </c>
      <c r="D256" s="216">
        <v>0</v>
      </c>
      <c r="E256" s="216">
        <v>0</v>
      </c>
      <c r="F256" s="217">
        <v>1049</v>
      </c>
      <c r="G256" s="216">
        <v>91324</v>
      </c>
      <c r="H256" s="216">
        <v>18458</v>
      </c>
      <c r="I256" s="216">
        <v>0</v>
      </c>
      <c r="J256" s="216">
        <v>0</v>
      </c>
      <c r="K256" s="216">
        <v>0</v>
      </c>
      <c r="L256" s="217">
        <v>1046</v>
      </c>
    </row>
    <row r="257" spans="1:12" x14ac:dyDescent="0.25">
      <c r="A257" s="31">
        <f t="shared" si="3"/>
        <v>39216</v>
      </c>
      <c r="B257" s="216">
        <v>0</v>
      </c>
      <c r="C257" s="216">
        <v>0</v>
      </c>
      <c r="D257" s="216">
        <v>0</v>
      </c>
      <c r="E257" s="216">
        <v>0</v>
      </c>
      <c r="F257" s="217">
        <v>1049</v>
      </c>
      <c r="G257" s="216">
        <v>85706</v>
      </c>
      <c r="H257" s="216">
        <v>21704</v>
      </c>
      <c r="I257" s="216">
        <v>0</v>
      </c>
      <c r="J257" s="216">
        <v>0</v>
      </c>
      <c r="K257" s="216">
        <v>0</v>
      </c>
      <c r="L257" s="217">
        <v>1041</v>
      </c>
    </row>
    <row r="258" spans="1:12" x14ac:dyDescent="0.25">
      <c r="A258" s="31">
        <f t="shared" si="3"/>
        <v>39217</v>
      </c>
      <c r="B258" s="216">
        <v>0</v>
      </c>
      <c r="C258" s="216">
        <v>0</v>
      </c>
      <c r="D258" s="216">
        <v>0</v>
      </c>
      <c r="E258" s="216">
        <v>0</v>
      </c>
      <c r="F258" s="217">
        <v>1053</v>
      </c>
      <c r="G258" s="216">
        <v>78884</v>
      </c>
      <c r="H258" s="216">
        <v>18668</v>
      </c>
      <c r="I258" s="216">
        <v>0</v>
      </c>
      <c r="J258" s="216">
        <v>0</v>
      </c>
      <c r="K258" s="216">
        <v>7</v>
      </c>
      <c r="L258" s="217">
        <v>1035</v>
      </c>
    </row>
    <row r="259" spans="1:12" x14ac:dyDescent="0.25">
      <c r="A259" s="31">
        <f t="shared" si="3"/>
        <v>39218</v>
      </c>
      <c r="B259" s="216">
        <v>0</v>
      </c>
      <c r="C259" s="216">
        <v>0</v>
      </c>
      <c r="D259" s="216">
        <v>0</v>
      </c>
      <c r="E259" s="216">
        <v>0</v>
      </c>
      <c r="F259" s="217">
        <v>1059</v>
      </c>
      <c r="G259" s="216">
        <v>80741</v>
      </c>
      <c r="H259" s="216">
        <v>17369</v>
      </c>
      <c r="I259" s="216">
        <v>0</v>
      </c>
      <c r="J259" s="216">
        <v>0</v>
      </c>
      <c r="K259" s="216">
        <v>0</v>
      </c>
      <c r="L259" s="217">
        <v>1044</v>
      </c>
    </row>
    <row r="260" spans="1:12" x14ac:dyDescent="0.25">
      <c r="A260" s="31">
        <f t="shared" si="3"/>
        <v>39219</v>
      </c>
      <c r="B260" s="216">
        <v>138</v>
      </c>
      <c r="C260" s="216">
        <v>0</v>
      </c>
      <c r="D260" s="216">
        <v>506</v>
      </c>
      <c r="E260" s="216">
        <v>0</v>
      </c>
      <c r="F260" s="217">
        <v>1060</v>
      </c>
      <c r="G260" s="216">
        <v>85263</v>
      </c>
      <c r="H260" s="216">
        <v>20410</v>
      </c>
      <c r="I260" s="216">
        <v>0</v>
      </c>
      <c r="J260" s="216">
        <v>0</v>
      </c>
      <c r="K260" s="216">
        <v>0</v>
      </c>
      <c r="L260" s="217">
        <v>1033</v>
      </c>
    </row>
    <row r="261" spans="1:12" x14ac:dyDescent="0.25">
      <c r="A261" s="31">
        <f t="shared" ref="A261:A324" si="4">1+A260</f>
        <v>39220</v>
      </c>
      <c r="B261" s="216">
        <v>51</v>
      </c>
      <c r="C261" s="216">
        <v>0</v>
      </c>
      <c r="D261" s="216">
        <v>660</v>
      </c>
      <c r="E261" s="216">
        <v>0</v>
      </c>
      <c r="F261" s="217">
        <v>1058</v>
      </c>
      <c r="G261" s="216">
        <v>85905</v>
      </c>
      <c r="H261" s="216">
        <v>19718</v>
      </c>
      <c r="I261" s="216">
        <v>0</v>
      </c>
      <c r="J261" s="216">
        <v>0</v>
      </c>
      <c r="K261" s="216">
        <v>0</v>
      </c>
      <c r="L261" s="217">
        <v>1038</v>
      </c>
    </row>
    <row r="262" spans="1:12" x14ac:dyDescent="0.25">
      <c r="A262" s="31">
        <f t="shared" si="4"/>
        <v>39221</v>
      </c>
      <c r="B262" s="216">
        <v>0</v>
      </c>
      <c r="C262" s="216">
        <v>0</v>
      </c>
      <c r="D262" s="216">
        <v>500</v>
      </c>
      <c r="E262" s="216">
        <v>0</v>
      </c>
      <c r="F262" s="217">
        <v>1058</v>
      </c>
      <c r="G262" s="216">
        <v>78192</v>
      </c>
      <c r="H262" s="216">
        <v>16024</v>
      </c>
      <c r="I262" s="216">
        <v>0</v>
      </c>
      <c r="J262" s="216">
        <v>0</v>
      </c>
      <c r="K262" s="216">
        <v>0</v>
      </c>
      <c r="L262" s="217">
        <v>1038</v>
      </c>
    </row>
    <row r="263" spans="1:12" x14ac:dyDescent="0.25">
      <c r="A263" s="31">
        <f t="shared" si="4"/>
        <v>39222</v>
      </c>
      <c r="B263" s="216">
        <v>0</v>
      </c>
      <c r="C263" s="216">
        <v>0</v>
      </c>
      <c r="D263" s="216">
        <v>360</v>
      </c>
      <c r="E263" s="216">
        <v>0</v>
      </c>
      <c r="F263" s="217">
        <v>1058</v>
      </c>
      <c r="G263" s="216">
        <v>73264</v>
      </c>
      <c r="H263" s="216">
        <v>16545</v>
      </c>
      <c r="I263" s="216">
        <v>0</v>
      </c>
      <c r="J263" s="216">
        <v>0</v>
      </c>
      <c r="K263" s="216">
        <v>0</v>
      </c>
      <c r="L263" s="217">
        <v>1038</v>
      </c>
    </row>
    <row r="264" spans="1:12" x14ac:dyDescent="0.25">
      <c r="A264" s="31">
        <f t="shared" si="4"/>
        <v>39223</v>
      </c>
      <c r="B264" s="216">
        <v>0</v>
      </c>
      <c r="C264" s="216">
        <v>0</v>
      </c>
      <c r="D264" s="216">
        <v>410</v>
      </c>
      <c r="E264" s="216">
        <v>0</v>
      </c>
      <c r="F264" s="217">
        <v>1040</v>
      </c>
      <c r="G264" s="216">
        <v>77234</v>
      </c>
      <c r="H264" s="216">
        <v>14067</v>
      </c>
      <c r="I264" s="216">
        <v>0</v>
      </c>
      <c r="J264" s="216">
        <v>190</v>
      </c>
      <c r="K264" s="216">
        <v>0</v>
      </c>
      <c r="L264" s="217">
        <v>1038</v>
      </c>
    </row>
    <row r="265" spans="1:12" x14ac:dyDescent="0.25">
      <c r="A265" s="31">
        <f t="shared" si="4"/>
        <v>39224</v>
      </c>
      <c r="B265" s="216">
        <v>0</v>
      </c>
      <c r="C265" s="216">
        <v>0</v>
      </c>
      <c r="D265" s="216">
        <v>350</v>
      </c>
      <c r="E265" s="216">
        <v>0</v>
      </c>
      <c r="F265" s="217">
        <v>1058</v>
      </c>
      <c r="G265" s="216">
        <v>80876</v>
      </c>
      <c r="H265" s="216">
        <v>7810</v>
      </c>
      <c r="I265" s="216">
        <v>0</v>
      </c>
      <c r="J265" s="216">
        <v>0</v>
      </c>
      <c r="K265" s="216">
        <v>0</v>
      </c>
      <c r="L265" s="217">
        <v>1039</v>
      </c>
    </row>
    <row r="266" spans="1:12" x14ac:dyDescent="0.25">
      <c r="A266" s="31">
        <f t="shared" si="4"/>
        <v>39225</v>
      </c>
      <c r="B266" s="216">
        <v>0</v>
      </c>
      <c r="C266" s="216">
        <v>0</v>
      </c>
      <c r="D266" s="216">
        <v>280</v>
      </c>
      <c r="E266" s="216">
        <v>0</v>
      </c>
      <c r="F266" s="217">
        <v>1048</v>
      </c>
      <c r="G266" s="216">
        <v>78333</v>
      </c>
      <c r="H266" s="216">
        <v>8661</v>
      </c>
      <c r="I266" s="216">
        <v>0</v>
      </c>
      <c r="J266" s="216">
        <v>0</v>
      </c>
      <c r="K266" s="216">
        <v>0</v>
      </c>
      <c r="L266" s="217">
        <v>1039</v>
      </c>
    </row>
    <row r="267" spans="1:12" x14ac:dyDescent="0.25">
      <c r="A267" s="31">
        <f t="shared" si="4"/>
        <v>39226</v>
      </c>
      <c r="B267" s="216">
        <v>0</v>
      </c>
      <c r="C267" s="216">
        <v>0</v>
      </c>
      <c r="D267" s="216">
        <v>280</v>
      </c>
      <c r="E267" s="216">
        <v>0</v>
      </c>
      <c r="F267" s="217">
        <v>1047</v>
      </c>
      <c r="G267" s="216">
        <v>73050</v>
      </c>
      <c r="H267" s="216">
        <v>8203</v>
      </c>
      <c r="I267" s="216">
        <v>0</v>
      </c>
      <c r="J267" s="216">
        <v>0</v>
      </c>
      <c r="K267" s="216">
        <v>0</v>
      </c>
      <c r="L267" s="217">
        <v>1037</v>
      </c>
    </row>
    <row r="268" spans="1:12" x14ac:dyDescent="0.25">
      <c r="A268" s="31">
        <f t="shared" si="4"/>
        <v>39227</v>
      </c>
      <c r="B268" s="216">
        <v>0</v>
      </c>
      <c r="C268" s="216">
        <v>0</v>
      </c>
      <c r="D268" s="216">
        <v>250</v>
      </c>
      <c r="E268" s="216">
        <v>0</v>
      </c>
      <c r="F268" s="217">
        <v>1043</v>
      </c>
      <c r="G268" s="216">
        <v>65762</v>
      </c>
      <c r="H268" s="216">
        <v>7248</v>
      </c>
      <c r="I268" s="216">
        <v>0</v>
      </c>
      <c r="J268" s="216">
        <v>0</v>
      </c>
      <c r="K268" s="216">
        <v>0</v>
      </c>
      <c r="L268" s="217">
        <v>1036</v>
      </c>
    </row>
    <row r="269" spans="1:12" x14ac:dyDescent="0.25">
      <c r="A269" s="31">
        <f t="shared" si="4"/>
        <v>39228</v>
      </c>
      <c r="B269" s="216">
        <v>0</v>
      </c>
      <c r="C269" s="216">
        <v>0</v>
      </c>
      <c r="D269" s="216">
        <v>260</v>
      </c>
      <c r="E269" s="216">
        <v>0</v>
      </c>
      <c r="F269" s="217">
        <v>1045</v>
      </c>
      <c r="G269" s="216">
        <v>61484</v>
      </c>
      <c r="H269" s="216">
        <v>8291</v>
      </c>
      <c r="I269" s="216">
        <v>0</v>
      </c>
      <c r="J269" s="216">
        <v>0</v>
      </c>
      <c r="K269" s="216">
        <v>0</v>
      </c>
      <c r="L269" s="217">
        <v>1035</v>
      </c>
    </row>
    <row r="270" spans="1:12" x14ac:dyDescent="0.25">
      <c r="A270" s="31">
        <f t="shared" si="4"/>
        <v>39229</v>
      </c>
      <c r="B270" s="216">
        <v>0</v>
      </c>
      <c r="C270" s="216">
        <v>0</v>
      </c>
      <c r="D270" s="216">
        <v>250</v>
      </c>
      <c r="E270" s="216">
        <v>0</v>
      </c>
      <c r="F270" s="217">
        <v>1045</v>
      </c>
      <c r="G270" s="216">
        <v>59252</v>
      </c>
      <c r="H270" s="216">
        <v>8865</v>
      </c>
      <c r="I270" s="216">
        <v>0</v>
      </c>
      <c r="J270" s="216">
        <v>0</v>
      </c>
      <c r="K270" s="216">
        <v>0</v>
      </c>
      <c r="L270" s="217">
        <v>1051</v>
      </c>
    </row>
    <row r="271" spans="1:12" x14ac:dyDescent="0.25">
      <c r="A271" s="31">
        <f t="shared" si="4"/>
        <v>39230</v>
      </c>
      <c r="B271" s="216">
        <v>0</v>
      </c>
      <c r="C271" s="216">
        <v>0</v>
      </c>
      <c r="D271" s="216">
        <v>290</v>
      </c>
      <c r="E271" s="216">
        <v>0</v>
      </c>
      <c r="F271" s="217">
        <v>1045</v>
      </c>
      <c r="G271" s="216">
        <v>67042</v>
      </c>
      <c r="H271" s="216">
        <v>9492</v>
      </c>
      <c r="I271" s="216">
        <v>0</v>
      </c>
      <c r="J271" s="216">
        <v>0</v>
      </c>
      <c r="K271" s="216">
        <v>0</v>
      </c>
      <c r="L271" s="217">
        <v>1052</v>
      </c>
    </row>
    <row r="272" spans="1:12" x14ac:dyDescent="0.25">
      <c r="A272" s="31">
        <f t="shared" si="4"/>
        <v>39231</v>
      </c>
      <c r="B272" s="216">
        <v>0</v>
      </c>
      <c r="C272" s="216">
        <v>0</v>
      </c>
      <c r="D272" s="216">
        <v>270</v>
      </c>
      <c r="E272" s="216">
        <v>0</v>
      </c>
      <c r="F272" s="217">
        <v>1038</v>
      </c>
      <c r="G272" s="216">
        <v>69508</v>
      </c>
      <c r="H272" s="216">
        <v>9810</v>
      </c>
      <c r="I272" s="216">
        <v>0</v>
      </c>
      <c r="J272" s="216">
        <v>0</v>
      </c>
      <c r="K272" s="216">
        <v>0</v>
      </c>
      <c r="L272" s="217">
        <v>1050</v>
      </c>
    </row>
    <row r="273" spans="1:12" x14ac:dyDescent="0.25">
      <c r="A273" s="31">
        <f t="shared" si="4"/>
        <v>39232</v>
      </c>
      <c r="B273" s="216">
        <v>0</v>
      </c>
      <c r="C273" s="216">
        <v>0</v>
      </c>
      <c r="D273" s="216">
        <v>240</v>
      </c>
      <c r="E273" s="216">
        <v>0</v>
      </c>
      <c r="F273" s="217">
        <v>1038</v>
      </c>
      <c r="G273" s="216">
        <v>68476</v>
      </c>
      <c r="H273" s="216">
        <v>8550</v>
      </c>
      <c r="I273" s="216">
        <v>0</v>
      </c>
      <c r="J273" s="216">
        <v>0</v>
      </c>
      <c r="K273" s="216">
        <v>0</v>
      </c>
      <c r="L273" s="217">
        <v>1048</v>
      </c>
    </row>
    <row r="274" spans="1:12" x14ac:dyDescent="0.25">
      <c r="A274" s="31">
        <f t="shared" si="4"/>
        <v>39233</v>
      </c>
      <c r="B274" s="216">
        <v>0</v>
      </c>
      <c r="C274" s="216">
        <v>0</v>
      </c>
      <c r="D274" s="216">
        <v>240</v>
      </c>
      <c r="E274" s="216">
        <v>0</v>
      </c>
      <c r="F274" s="217">
        <v>1038</v>
      </c>
      <c r="G274" s="216">
        <v>71387</v>
      </c>
      <c r="H274" s="216">
        <v>4133</v>
      </c>
      <c r="I274" s="216">
        <v>0</v>
      </c>
      <c r="J274" s="216">
        <v>0</v>
      </c>
      <c r="K274" s="216">
        <v>0</v>
      </c>
      <c r="L274" s="217">
        <v>1037</v>
      </c>
    </row>
    <row r="275" spans="1:12" x14ac:dyDescent="0.25">
      <c r="A275" s="31">
        <f>1+A274</f>
        <v>39234</v>
      </c>
      <c r="B275" s="216">
        <v>0</v>
      </c>
      <c r="C275" s="216">
        <v>0</v>
      </c>
      <c r="D275" s="216">
        <v>260</v>
      </c>
      <c r="E275" s="216">
        <v>0</v>
      </c>
      <c r="F275" s="217">
        <v>1036</v>
      </c>
      <c r="G275" s="216">
        <v>64428</v>
      </c>
      <c r="H275" s="216">
        <v>5519</v>
      </c>
      <c r="I275" s="216">
        <v>0</v>
      </c>
      <c r="J275" s="216">
        <v>0</v>
      </c>
      <c r="K275" s="216">
        <v>0</v>
      </c>
      <c r="L275" s="217">
        <v>1036</v>
      </c>
    </row>
    <row r="276" spans="1:12" x14ac:dyDescent="0.25">
      <c r="A276" s="31">
        <f>1+A275</f>
        <v>39235</v>
      </c>
      <c r="B276" s="216">
        <v>0</v>
      </c>
      <c r="C276" s="216">
        <v>0</v>
      </c>
      <c r="D276" s="216">
        <v>200</v>
      </c>
      <c r="E276" s="216">
        <v>0</v>
      </c>
      <c r="F276" s="217">
        <v>1034</v>
      </c>
      <c r="G276" s="216">
        <v>60123</v>
      </c>
      <c r="H276" s="216">
        <v>4949</v>
      </c>
      <c r="I276" s="216">
        <v>0</v>
      </c>
      <c r="J276" s="216">
        <v>0</v>
      </c>
      <c r="K276" s="216">
        <v>0</v>
      </c>
      <c r="L276" s="217">
        <v>1036</v>
      </c>
    </row>
    <row r="277" spans="1:12" x14ac:dyDescent="0.25">
      <c r="A277" s="31">
        <f t="shared" si="4"/>
        <v>39236</v>
      </c>
      <c r="B277" s="216">
        <v>0</v>
      </c>
      <c r="C277" s="216">
        <v>0</v>
      </c>
      <c r="D277" s="216">
        <v>240</v>
      </c>
      <c r="E277" s="216">
        <v>0</v>
      </c>
      <c r="F277" s="217">
        <v>1033</v>
      </c>
      <c r="G277" s="216">
        <v>61940</v>
      </c>
      <c r="H277" s="216">
        <v>8114</v>
      </c>
      <c r="I277" s="216">
        <v>0</v>
      </c>
      <c r="J277" s="216">
        <v>0</v>
      </c>
      <c r="K277" s="216">
        <v>0</v>
      </c>
      <c r="L277" s="217">
        <v>1036</v>
      </c>
    </row>
    <row r="278" spans="1:12" x14ac:dyDescent="0.25">
      <c r="A278" s="31">
        <f t="shared" si="4"/>
        <v>39237</v>
      </c>
      <c r="B278" s="216">
        <v>0</v>
      </c>
      <c r="C278" s="216">
        <v>0</v>
      </c>
      <c r="D278" s="216">
        <v>290</v>
      </c>
      <c r="E278" s="216">
        <v>0</v>
      </c>
      <c r="F278" s="217">
        <v>1032</v>
      </c>
      <c r="G278" s="216">
        <v>61952</v>
      </c>
      <c r="H278" s="216">
        <v>8119</v>
      </c>
      <c r="I278" s="216">
        <v>0</v>
      </c>
      <c r="J278" s="216">
        <v>0</v>
      </c>
      <c r="K278" s="216">
        <v>0</v>
      </c>
      <c r="L278" s="217">
        <v>1037</v>
      </c>
    </row>
    <row r="279" spans="1:12" x14ac:dyDescent="0.25">
      <c r="A279" s="31">
        <f t="shared" si="4"/>
        <v>39238</v>
      </c>
      <c r="B279" s="216">
        <v>0</v>
      </c>
      <c r="C279" s="216">
        <v>0</v>
      </c>
      <c r="D279" s="216">
        <v>270</v>
      </c>
      <c r="E279" s="216">
        <v>0</v>
      </c>
      <c r="F279" s="217">
        <v>1032</v>
      </c>
      <c r="G279" s="216">
        <v>63771</v>
      </c>
      <c r="H279" s="216">
        <v>9832</v>
      </c>
      <c r="I279" s="216">
        <v>0</v>
      </c>
      <c r="J279" s="216">
        <v>0</v>
      </c>
      <c r="K279" s="216">
        <v>0</v>
      </c>
      <c r="L279" s="217">
        <v>1038</v>
      </c>
    </row>
    <row r="280" spans="1:12" x14ac:dyDescent="0.25">
      <c r="A280" s="31">
        <f t="shared" si="4"/>
        <v>39239</v>
      </c>
      <c r="B280" s="216">
        <v>0</v>
      </c>
      <c r="C280" s="216">
        <v>0</v>
      </c>
      <c r="D280" s="216">
        <v>290</v>
      </c>
      <c r="E280" s="216">
        <v>0</v>
      </c>
      <c r="F280" s="217">
        <v>1034</v>
      </c>
      <c r="G280" s="216">
        <v>63751</v>
      </c>
      <c r="H280" s="216">
        <v>12925</v>
      </c>
      <c r="I280" s="216">
        <v>0</v>
      </c>
      <c r="J280" s="216">
        <v>5</v>
      </c>
      <c r="K280" s="216">
        <v>0</v>
      </c>
      <c r="L280" s="217">
        <v>1039</v>
      </c>
    </row>
    <row r="281" spans="1:12" x14ac:dyDescent="0.25">
      <c r="A281" s="31">
        <f t="shared" si="4"/>
        <v>39240</v>
      </c>
      <c r="B281" s="216">
        <v>0</v>
      </c>
      <c r="C281" s="216">
        <v>0</v>
      </c>
      <c r="D281" s="216">
        <v>270</v>
      </c>
      <c r="E281" s="216">
        <v>0</v>
      </c>
      <c r="F281" s="217">
        <v>1034</v>
      </c>
      <c r="G281" s="216">
        <v>63208</v>
      </c>
      <c r="H281" s="216">
        <v>10869</v>
      </c>
      <c r="I281" s="216">
        <v>0</v>
      </c>
      <c r="J281" s="216">
        <v>0</v>
      </c>
      <c r="K281" s="216">
        <v>51</v>
      </c>
      <c r="L281" s="217">
        <v>1039</v>
      </c>
    </row>
    <row r="282" spans="1:12" x14ac:dyDescent="0.25">
      <c r="A282" s="31">
        <f t="shared" si="4"/>
        <v>39241</v>
      </c>
      <c r="B282" s="216">
        <v>0</v>
      </c>
      <c r="C282" s="216">
        <v>0</v>
      </c>
      <c r="D282" s="216">
        <v>250</v>
      </c>
      <c r="E282" s="216">
        <v>0</v>
      </c>
      <c r="F282" s="217">
        <v>1037</v>
      </c>
      <c r="G282" s="216">
        <v>62116</v>
      </c>
      <c r="H282" s="216">
        <v>6542</v>
      </c>
      <c r="I282" s="216">
        <v>0</v>
      </c>
      <c r="J282" s="216">
        <v>0</v>
      </c>
      <c r="K282" s="216">
        <v>0</v>
      </c>
      <c r="L282" s="217">
        <v>1039</v>
      </c>
    </row>
    <row r="283" spans="1:12" x14ac:dyDescent="0.25">
      <c r="A283" s="31">
        <f t="shared" si="4"/>
        <v>39242</v>
      </c>
      <c r="B283" s="216">
        <v>0</v>
      </c>
      <c r="C283" s="216">
        <v>0</v>
      </c>
      <c r="D283" s="216">
        <v>200</v>
      </c>
      <c r="E283" s="216">
        <v>0</v>
      </c>
      <c r="F283" s="217">
        <v>1040</v>
      </c>
      <c r="G283" s="216">
        <v>63064</v>
      </c>
      <c r="H283" s="216">
        <v>5801</v>
      </c>
      <c r="I283" s="216">
        <v>0</v>
      </c>
      <c r="J283" s="216">
        <v>0</v>
      </c>
      <c r="K283" s="216">
        <v>0</v>
      </c>
      <c r="L283" s="217">
        <v>1038</v>
      </c>
    </row>
    <row r="284" spans="1:12" x14ac:dyDescent="0.25">
      <c r="A284" s="31">
        <f t="shared" si="4"/>
        <v>39243</v>
      </c>
      <c r="B284" s="216">
        <v>0</v>
      </c>
      <c r="C284" s="216">
        <v>0</v>
      </c>
      <c r="D284" s="216">
        <v>260</v>
      </c>
      <c r="E284" s="216">
        <v>0</v>
      </c>
      <c r="F284" s="217">
        <v>1033</v>
      </c>
      <c r="G284" s="216">
        <v>65682</v>
      </c>
      <c r="H284" s="216">
        <v>8000</v>
      </c>
      <c r="I284" s="216">
        <v>0</v>
      </c>
      <c r="J284" s="216">
        <v>0</v>
      </c>
      <c r="K284" s="216">
        <v>0</v>
      </c>
      <c r="L284" s="217">
        <v>1044</v>
      </c>
    </row>
    <row r="285" spans="1:12" x14ac:dyDescent="0.25">
      <c r="A285" s="31">
        <f t="shared" si="4"/>
        <v>39244</v>
      </c>
      <c r="B285" s="216">
        <v>0</v>
      </c>
      <c r="C285" s="216">
        <v>0</v>
      </c>
      <c r="D285" s="216">
        <v>270</v>
      </c>
      <c r="E285" s="216">
        <v>0</v>
      </c>
      <c r="F285" s="217">
        <v>1034</v>
      </c>
      <c r="G285" s="216">
        <v>64988</v>
      </c>
      <c r="H285" s="216">
        <v>8913</v>
      </c>
      <c r="I285" s="216">
        <v>0</v>
      </c>
      <c r="J285" s="216">
        <v>0</v>
      </c>
      <c r="K285" s="216">
        <v>0</v>
      </c>
      <c r="L285" s="217">
        <v>1045</v>
      </c>
    </row>
    <row r="286" spans="1:12" x14ac:dyDescent="0.25">
      <c r="A286" s="31">
        <f t="shared" si="4"/>
        <v>39245</v>
      </c>
      <c r="B286" s="216">
        <v>0</v>
      </c>
      <c r="C286" s="216">
        <v>0</v>
      </c>
      <c r="D286" s="216">
        <v>290</v>
      </c>
      <c r="E286" s="216">
        <v>0</v>
      </c>
      <c r="F286" s="217">
        <v>1032</v>
      </c>
      <c r="G286" s="216">
        <v>65904</v>
      </c>
      <c r="H286" s="216">
        <v>8697</v>
      </c>
      <c r="I286" s="216">
        <v>0</v>
      </c>
      <c r="J286" s="216">
        <v>0</v>
      </c>
      <c r="K286" s="216">
        <v>0</v>
      </c>
      <c r="L286" s="217">
        <v>1042</v>
      </c>
    </row>
    <row r="287" spans="1:12" x14ac:dyDescent="0.25">
      <c r="A287" s="31">
        <f t="shared" si="4"/>
        <v>39246</v>
      </c>
      <c r="B287" s="216">
        <v>0</v>
      </c>
      <c r="C287" s="216">
        <v>0</v>
      </c>
      <c r="D287" s="216">
        <v>300</v>
      </c>
      <c r="E287" s="216">
        <v>0</v>
      </c>
      <c r="F287" s="217">
        <v>1033</v>
      </c>
      <c r="G287" s="216">
        <v>69763</v>
      </c>
      <c r="H287" s="216">
        <v>8201</v>
      </c>
      <c r="I287" s="216">
        <v>0</v>
      </c>
      <c r="J287" s="216">
        <v>0</v>
      </c>
      <c r="K287" s="216">
        <v>0</v>
      </c>
      <c r="L287" s="217">
        <v>1043</v>
      </c>
    </row>
    <row r="288" spans="1:12" x14ac:dyDescent="0.25">
      <c r="A288" s="31">
        <f t="shared" si="4"/>
        <v>39247</v>
      </c>
      <c r="B288" s="216">
        <v>0</v>
      </c>
      <c r="C288" s="216">
        <v>0</v>
      </c>
      <c r="D288" s="216">
        <v>340</v>
      </c>
      <c r="E288" s="216">
        <v>0</v>
      </c>
      <c r="F288" s="217">
        <v>1036</v>
      </c>
      <c r="G288" s="216">
        <v>69132</v>
      </c>
      <c r="H288" s="216">
        <v>9003</v>
      </c>
      <c r="I288" s="216">
        <v>0</v>
      </c>
      <c r="J288" s="216">
        <v>5</v>
      </c>
      <c r="K288" s="216">
        <v>0</v>
      </c>
      <c r="L288" s="217">
        <v>1034</v>
      </c>
    </row>
    <row r="289" spans="1:12" x14ac:dyDescent="0.25">
      <c r="A289" s="31">
        <f t="shared" si="4"/>
        <v>39248</v>
      </c>
      <c r="B289" s="216">
        <v>0</v>
      </c>
      <c r="C289" s="216">
        <v>0</v>
      </c>
      <c r="D289" s="216">
        <v>280</v>
      </c>
      <c r="E289" s="216">
        <v>0</v>
      </c>
      <c r="F289" s="217">
        <v>1036</v>
      </c>
      <c r="G289" s="216">
        <v>65445</v>
      </c>
      <c r="H289" s="216">
        <v>6983</v>
      </c>
      <c r="I289" s="216">
        <v>0</v>
      </c>
      <c r="J289" s="216">
        <v>10</v>
      </c>
      <c r="K289" s="216">
        <v>0</v>
      </c>
      <c r="L289" s="217">
        <v>1038</v>
      </c>
    </row>
    <row r="290" spans="1:12" x14ac:dyDescent="0.25">
      <c r="A290" s="31">
        <f t="shared" si="4"/>
        <v>39249</v>
      </c>
      <c r="B290" s="216">
        <v>0</v>
      </c>
      <c r="C290" s="216">
        <v>0</v>
      </c>
      <c r="D290" s="216">
        <v>220</v>
      </c>
      <c r="E290" s="216">
        <v>0</v>
      </c>
      <c r="F290" s="217">
        <v>1035</v>
      </c>
      <c r="G290" s="216">
        <v>60906</v>
      </c>
      <c r="H290" s="216">
        <v>6398</v>
      </c>
      <c r="I290" s="216">
        <v>0</v>
      </c>
      <c r="J290" s="216">
        <v>0</v>
      </c>
      <c r="K290" s="216">
        <v>0</v>
      </c>
      <c r="L290" s="217">
        <v>1038</v>
      </c>
    </row>
    <row r="291" spans="1:12" x14ac:dyDescent="0.25">
      <c r="A291" s="31">
        <f t="shared" si="4"/>
        <v>39250</v>
      </c>
      <c r="B291" s="216">
        <v>0</v>
      </c>
      <c r="C291" s="216">
        <v>0</v>
      </c>
      <c r="D291" s="216">
        <v>210</v>
      </c>
      <c r="E291" s="216">
        <v>0</v>
      </c>
      <c r="F291" s="217">
        <v>1033</v>
      </c>
      <c r="G291" s="216">
        <v>59919</v>
      </c>
      <c r="H291" s="216">
        <v>8916</v>
      </c>
      <c r="I291" s="216">
        <v>0</v>
      </c>
      <c r="J291" s="216">
        <v>0</v>
      </c>
      <c r="K291" s="216">
        <v>0</v>
      </c>
      <c r="L291" s="217">
        <v>1037</v>
      </c>
    </row>
    <row r="292" spans="1:12" x14ac:dyDescent="0.25">
      <c r="A292" s="31">
        <f t="shared" si="4"/>
        <v>39251</v>
      </c>
      <c r="B292" s="216">
        <v>0</v>
      </c>
      <c r="C292" s="216">
        <v>0</v>
      </c>
      <c r="D292" s="216">
        <v>240</v>
      </c>
      <c r="E292" s="216">
        <v>0</v>
      </c>
      <c r="F292" s="217">
        <v>1034</v>
      </c>
      <c r="G292" s="216">
        <v>65823</v>
      </c>
      <c r="H292" s="216">
        <v>7743</v>
      </c>
      <c r="I292" s="216">
        <v>0</v>
      </c>
      <c r="J292" s="216">
        <v>0</v>
      </c>
      <c r="K292" s="216">
        <v>0</v>
      </c>
      <c r="L292" s="217">
        <v>1045</v>
      </c>
    </row>
    <row r="293" spans="1:12" x14ac:dyDescent="0.25">
      <c r="A293" s="31">
        <f t="shared" si="4"/>
        <v>39252</v>
      </c>
      <c r="B293" s="216">
        <v>0</v>
      </c>
      <c r="C293" s="216">
        <v>0</v>
      </c>
      <c r="D293" s="216">
        <v>230</v>
      </c>
      <c r="E293" s="216">
        <v>0</v>
      </c>
      <c r="F293" s="217">
        <v>1034</v>
      </c>
      <c r="G293" s="216">
        <v>62543</v>
      </c>
      <c r="H293" s="216">
        <v>8328</v>
      </c>
      <c r="I293" s="216">
        <v>0</v>
      </c>
      <c r="J293" s="216">
        <v>0</v>
      </c>
      <c r="K293" s="216">
        <v>0</v>
      </c>
      <c r="L293" s="217">
        <v>1041</v>
      </c>
    </row>
    <row r="294" spans="1:12" x14ac:dyDescent="0.25">
      <c r="A294" s="31">
        <f t="shared" si="4"/>
        <v>39253</v>
      </c>
      <c r="B294" s="216">
        <v>0</v>
      </c>
      <c r="C294" s="216">
        <v>0</v>
      </c>
      <c r="D294" s="216">
        <v>240</v>
      </c>
      <c r="E294" s="216">
        <v>0</v>
      </c>
      <c r="F294" s="217">
        <v>1033</v>
      </c>
      <c r="G294" s="216">
        <v>55114</v>
      </c>
      <c r="H294" s="216">
        <v>6724</v>
      </c>
      <c r="I294" s="216">
        <v>0</v>
      </c>
      <c r="J294" s="216">
        <v>0</v>
      </c>
      <c r="K294" s="216">
        <v>10431</v>
      </c>
      <c r="L294" s="217">
        <v>1042</v>
      </c>
    </row>
    <row r="295" spans="1:12" x14ac:dyDescent="0.25">
      <c r="A295" s="31">
        <f t="shared" si="4"/>
        <v>39254</v>
      </c>
      <c r="B295" s="216">
        <v>0</v>
      </c>
      <c r="C295" s="216">
        <v>0</v>
      </c>
      <c r="D295" s="216">
        <v>250</v>
      </c>
      <c r="E295" s="216">
        <v>0</v>
      </c>
      <c r="F295" s="217">
        <v>1035</v>
      </c>
      <c r="G295" s="216">
        <v>46600</v>
      </c>
      <c r="H295" s="216">
        <v>6328</v>
      </c>
      <c r="I295" s="216">
        <v>0</v>
      </c>
      <c r="J295" s="216">
        <v>0</v>
      </c>
      <c r="K295" s="216">
        <v>16867</v>
      </c>
      <c r="L295" s="217">
        <v>1043</v>
      </c>
    </row>
    <row r="296" spans="1:12" x14ac:dyDescent="0.25">
      <c r="A296" s="31">
        <f t="shared" si="4"/>
        <v>39255</v>
      </c>
      <c r="B296" s="216">
        <v>0</v>
      </c>
      <c r="C296" s="216">
        <v>0</v>
      </c>
      <c r="D296" s="216">
        <v>260</v>
      </c>
      <c r="E296" s="216">
        <v>0</v>
      </c>
      <c r="F296" s="217">
        <v>1038</v>
      </c>
      <c r="G296" s="216">
        <v>56114</v>
      </c>
      <c r="H296" s="216">
        <v>6137</v>
      </c>
      <c r="I296" s="216">
        <v>0</v>
      </c>
      <c r="J296" s="216">
        <v>0</v>
      </c>
      <c r="K296" s="216">
        <v>8179</v>
      </c>
      <c r="L296" s="217">
        <v>1042</v>
      </c>
    </row>
    <row r="297" spans="1:12" x14ac:dyDescent="0.25">
      <c r="A297" s="31">
        <f t="shared" si="4"/>
        <v>39256</v>
      </c>
      <c r="B297" s="216">
        <v>0</v>
      </c>
      <c r="C297" s="216">
        <v>0</v>
      </c>
      <c r="D297" s="216">
        <v>230</v>
      </c>
      <c r="E297" s="216">
        <v>0</v>
      </c>
      <c r="F297" s="217">
        <v>1035</v>
      </c>
      <c r="G297" s="216">
        <v>61422</v>
      </c>
      <c r="H297" s="216">
        <v>7315</v>
      </c>
      <c r="I297" s="216">
        <v>0</v>
      </c>
      <c r="J297" s="216">
        <v>0</v>
      </c>
      <c r="K297" s="216">
        <v>0</v>
      </c>
      <c r="L297" s="217">
        <v>1038</v>
      </c>
    </row>
    <row r="298" spans="1:12" x14ac:dyDescent="0.25">
      <c r="A298" s="31">
        <f t="shared" si="4"/>
        <v>39257</v>
      </c>
      <c r="B298" s="216">
        <v>0</v>
      </c>
      <c r="C298" s="216">
        <v>0</v>
      </c>
      <c r="D298" s="216">
        <v>210</v>
      </c>
      <c r="E298" s="216">
        <v>0</v>
      </c>
      <c r="F298" s="217">
        <v>1035</v>
      </c>
      <c r="G298" s="216">
        <v>63987</v>
      </c>
      <c r="H298" s="216">
        <v>6014</v>
      </c>
      <c r="I298" s="216">
        <v>0</v>
      </c>
      <c r="J298" s="216">
        <v>0</v>
      </c>
      <c r="K298" s="216">
        <v>0</v>
      </c>
      <c r="L298" s="217">
        <v>1038</v>
      </c>
    </row>
    <row r="299" spans="1:12" x14ac:dyDescent="0.25">
      <c r="A299" s="31">
        <f t="shared" si="4"/>
        <v>39258</v>
      </c>
      <c r="B299" s="216">
        <v>0</v>
      </c>
      <c r="C299" s="216">
        <v>0</v>
      </c>
      <c r="D299" s="216">
        <v>240</v>
      </c>
      <c r="E299" s="216">
        <v>0</v>
      </c>
      <c r="F299" s="217">
        <v>1035</v>
      </c>
      <c r="G299" s="216">
        <v>68098</v>
      </c>
      <c r="H299" s="216">
        <v>6430</v>
      </c>
      <c r="I299" s="216">
        <v>0</v>
      </c>
      <c r="J299" s="216">
        <v>0</v>
      </c>
      <c r="K299" s="216">
        <v>0</v>
      </c>
      <c r="L299" s="217">
        <v>1034</v>
      </c>
    </row>
    <row r="300" spans="1:12" x14ac:dyDescent="0.25">
      <c r="A300" s="31">
        <f t="shared" si="4"/>
        <v>39259</v>
      </c>
      <c r="B300" s="216">
        <v>0</v>
      </c>
      <c r="C300" s="216">
        <v>0</v>
      </c>
      <c r="D300" s="216">
        <v>240</v>
      </c>
      <c r="E300" s="216">
        <v>0</v>
      </c>
      <c r="F300" s="217">
        <v>1037</v>
      </c>
      <c r="G300" s="216">
        <v>64243</v>
      </c>
      <c r="H300" s="216">
        <v>6503</v>
      </c>
      <c r="I300" s="216">
        <v>0</v>
      </c>
      <c r="J300" s="216">
        <v>0</v>
      </c>
      <c r="K300" s="216">
        <v>0</v>
      </c>
      <c r="L300" s="217">
        <v>1033</v>
      </c>
    </row>
    <row r="301" spans="1:12" x14ac:dyDescent="0.25">
      <c r="A301" s="31">
        <f t="shared" si="4"/>
        <v>39260</v>
      </c>
      <c r="B301" s="216">
        <v>0</v>
      </c>
      <c r="C301" s="216">
        <v>0</v>
      </c>
      <c r="D301" s="216">
        <v>240</v>
      </c>
      <c r="E301" s="216">
        <v>0</v>
      </c>
      <c r="F301" s="217">
        <v>1035</v>
      </c>
      <c r="G301" s="216">
        <v>60640</v>
      </c>
      <c r="H301" s="216">
        <v>6962</v>
      </c>
      <c r="I301" s="216">
        <v>0</v>
      </c>
      <c r="J301" s="216">
        <v>0</v>
      </c>
      <c r="K301" s="216">
        <v>0</v>
      </c>
      <c r="L301" s="217">
        <v>1036</v>
      </c>
    </row>
    <row r="302" spans="1:12" x14ac:dyDescent="0.25">
      <c r="A302" s="31">
        <f t="shared" si="4"/>
        <v>39261</v>
      </c>
      <c r="B302" s="216">
        <v>0</v>
      </c>
      <c r="C302" s="216">
        <v>0</v>
      </c>
      <c r="D302" s="216">
        <v>240</v>
      </c>
      <c r="E302" s="216">
        <v>0</v>
      </c>
      <c r="F302" s="217">
        <v>1036</v>
      </c>
      <c r="G302" s="216">
        <v>62522</v>
      </c>
      <c r="H302" s="216">
        <v>7161</v>
      </c>
      <c r="I302" s="216">
        <v>0</v>
      </c>
      <c r="J302" s="216">
        <v>0</v>
      </c>
      <c r="K302" s="216">
        <v>0</v>
      </c>
      <c r="L302" s="217">
        <v>1036</v>
      </c>
    </row>
    <row r="303" spans="1:12" x14ac:dyDescent="0.25">
      <c r="A303" s="31">
        <f t="shared" si="4"/>
        <v>39262</v>
      </c>
      <c r="B303" s="216">
        <v>0</v>
      </c>
      <c r="C303" s="216">
        <v>0</v>
      </c>
      <c r="D303" s="216">
        <v>290</v>
      </c>
      <c r="E303" s="216">
        <v>0</v>
      </c>
      <c r="F303" s="217">
        <v>1035</v>
      </c>
      <c r="G303" s="216">
        <v>62381</v>
      </c>
      <c r="H303" s="216">
        <v>6869</v>
      </c>
      <c r="I303" s="216">
        <v>0</v>
      </c>
      <c r="J303" s="216">
        <v>5</v>
      </c>
      <c r="K303" s="216">
        <v>0</v>
      </c>
      <c r="L303" s="217">
        <v>1038</v>
      </c>
    </row>
    <row r="304" spans="1:12" x14ac:dyDescent="0.25">
      <c r="A304" s="31">
        <f t="shared" si="4"/>
        <v>39263</v>
      </c>
      <c r="B304" s="216">
        <v>0</v>
      </c>
      <c r="C304" s="216">
        <v>0</v>
      </c>
      <c r="D304" s="216">
        <v>220</v>
      </c>
      <c r="E304" s="216">
        <v>0</v>
      </c>
      <c r="F304" s="217">
        <v>1037</v>
      </c>
      <c r="G304" s="216">
        <v>54692</v>
      </c>
      <c r="H304" s="216">
        <v>7670</v>
      </c>
      <c r="I304" s="216">
        <v>0</v>
      </c>
      <c r="J304" s="216">
        <v>0</v>
      </c>
      <c r="K304" s="216">
        <v>0</v>
      </c>
      <c r="L304" s="217">
        <v>1038</v>
      </c>
    </row>
    <row r="305" spans="1:12" x14ac:dyDescent="0.25">
      <c r="A305" s="31">
        <f>1+A304</f>
        <v>39264</v>
      </c>
      <c r="B305" s="216">
        <v>0</v>
      </c>
      <c r="C305" s="216">
        <v>0</v>
      </c>
      <c r="D305" s="216">
        <v>230</v>
      </c>
      <c r="E305" s="216">
        <v>0</v>
      </c>
      <c r="F305" s="217">
        <v>1033</v>
      </c>
      <c r="G305" s="216">
        <v>45258</v>
      </c>
      <c r="H305" s="216">
        <v>16893</v>
      </c>
      <c r="I305" s="216">
        <v>0</v>
      </c>
      <c r="J305" s="216">
        <v>0</v>
      </c>
      <c r="K305" s="216">
        <v>0</v>
      </c>
      <c r="L305" s="217">
        <v>1039</v>
      </c>
    </row>
    <row r="306" spans="1:12" x14ac:dyDescent="0.25">
      <c r="A306" s="31">
        <f>1+A305</f>
        <v>39265</v>
      </c>
      <c r="B306" s="216">
        <v>0</v>
      </c>
      <c r="C306" s="216">
        <v>0</v>
      </c>
      <c r="D306" s="216">
        <v>270</v>
      </c>
      <c r="E306" s="216">
        <v>0</v>
      </c>
      <c r="F306" s="217">
        <v>1033</v>
      </c>
      <c r="G306" s="216">
        <v>42612</v>
      </c>
      <c r="H306" s="216">
        <v>16527</v>
      </c>
      <c r="I306" s="216">
        <v>0</v>
      </c>
      <c r="J306" s="216">
        <v>0</v>
      </c>
      <c r="K306" s="216">
        <v>0</v>
      </c>
      <c r="L306" s="217">
        <v>1040</v>
      </c>
    </row>
    <row r="307" spans="1:12" x14ac:dyDescent="0.25">
      <c r="A307" s="31">
        <f t="shared" si="4"/>
        <v>39266</v>
      </c>
      <c r="B307" s="216">
        <v>0</v>
      </c>
      <c r="C307" s="216">
        <v>0</v>
      </c>
      <c r="D307" s="216">
        <v>230</v>
      </c>
      <c r="E307" s="216">
        <v>0</v>
      </c>
      <c r="F307" s="217">
        <v>1033</v>
      </c>
      <c r="G307" s="216">
        <v>38372</v>
      </c>
      <c r="H307" s="216">
        <v>15704</v>
      </c>
      <c r="I307" s="216">
        <v>0</v>
      </c>
      <c r="J307" s="216">
        <v>0</v>
      </c>
      <c r="K307" s="216">
        <v>0</v>
      </c>
      <c r="L307" s="217">
        <v>1041</v>
      </c>
    </row>
    <row r="308" spans="1:12" x14ac:dyDescent="0.25">
      <c r="A308" s="31">
        <f t="shared" si="4"/>
        <v>39267</v>
      </c>
      <c r="B308" s="216">
        <v>0</v>
      </c>
      <c r="C308" s="216">
        <v>0</v>
      </c>
      <c r="D308" s="216">
        <v>240</v>
      </c>
      <c r="E308" s="216">
        <v>0</v>
      </c>
      <c r="F308" s="217">
        <v>1033</v>
      </c>
      <c r="G308" s="216">
        <v>37611</v>
      </c>
      <c r="H308" s="216">
        <v>17156</v>
      </c>
      <c r="I308" s="216">
        <v>0</v>
      </c>
      <c r="J308" s="216">
        <v>0</v>
      </c>
      <c r="K308" s="216">
        <v>0</v>
      </c>
      <c r="L308" s="217">
        <v>1038</v>
      </c>
    </row>
    <row r="309" spans="1:12" x14ac:dyDescent="0.25">
      <c r="A309" s="31">
        <f t="shared" si="4"/>
        <v>39268</v>
      </c>
      <c r="B309" s="216">
        <v>0</v>
      </c>
      <c r="C309" s="216">
        <v>0</v>
      </c>
      <c r="D309" s="216">
        <v>270</v>
      </c>
      <c r="E309" s="216">
        <v>0</v>
      </c>
      <c r="F309" s="217">
        <v>1033</v>
      </c>
      <c r="G309" s="216">
        <v>41353</v>
      </c>
      <c r="H309" s="216">
        <v>20457</v>
      </c>
      <c r="I309" s="216">
        <v>0</v>
      </c>
      <c r="J309" s="216">
        <v>0</v>
      </c>
      <c r="K309" s="216">
        <v>0</v>
      </c>
      <c r="L309" s="217">
        <v>1036</v>
      </c>
    </row>
    <row r="310" spans="1:12" x14ac:dyDescent="0.25">
      <c r="A310" s="31">
        <f t="shared" si="4"/>
        <v>39269</v>
      </c>
      <c r="B310" s="216">
        <v>0</v>
      </c>
      <c r="C310" s="216">
        <v>0</v>
      </c>
      <c r="D310" s="216">
        <v>220</v>
      </c>
      <c r="E310" s="216">
        <v>0</v>
      </c>
      <c r="F310" s="217">
        <v>1034</v>
      </c>
      <c r="G310" s="216">
        <v>39795</v>
      </c>
      <c r="H310" s="216">
        <v>20062</v>
      </c>
      <c r="I310" s="216">
        <v>0</v>
      </c>
      <c r="J310" s="216">
        <v>0</v>
      </c>
      <c r="K310" s="216">
        <v>0</v>
      </c>
      <c r="L310" s="217">
        <v>1037</v>
      </c>
    </row>
    <row r="311" spans="1:12" x14ac:dyDescent="0.25">
      <c r="A311" s="31">
        <f t="shared" si="4"/>
        <v>39270</v>
      </c>
      <c r="B311" s="216">
        <v>0</v>
      </c>
      <c r="C311" s="216">
        <v>0</v>
      </c>
      <c r="D311" s="216">
        <v>190</v>
      </c>
      <c r="E311" s="216">
        <v>0</v>
      </c>
      <c r="F311" s="217">
        <v>1032</v>
      </c>
      <c r="G311" s="216">
        <v>37741</v>
      </c>
      <c r="H311" s="216">
        <v>19844</v>
      </c>
      <c r="I311" s="216">
        <v>0</v>
      </c>
      <c r="J311" s="216">
        <v>0</v>
      </c>
      <c r="K311" s="216">
        <v>0</v>
      </c>
      <c r="L311" s="217">
        <v>1036</v>
      </c>
    </row>
    <row r="312" spans="1:12" x14ac:dyDescent="0.25">
      <c r="A312" s="31">
        <f t="shared" si="4"/>
        <v>39271</v>
      </c>
      <c r="B312" s="216">
        <v>0</v>
      </c>
      <c r="C312" s="216">
        <v>0</v>
      </c>
      <c r="D312" s="216">
        <v>190</v>
      </c>
      <c r="E312" s="216">
        <v>0</v>
      </c>
      <c r="F312" s="217">
        <v>1038</v>
      </c>
      <c r="G312" s="216">
        <v>37367</v>
      </c>
      <c r="H312" s="216">
        <v>22873</v>
      </c>
      <c r="I312" s="216">
        <v>0</v>
      </c>
      <c r="J312" s="216">
        <v>0</v>
      </c>
      <c r="K312" s="216">
        <v>0</v>
      </c>
      <c r="L312" s="217">
        <v>1035</v>
      </c>
    </row>
    <row r="313" spans="1:12" x14ac:dyDescent="0.25">
      <c r="A313" s="31">
        <f t="shared" si="4"/>
        <v>39272</v>
      </c>
      <c r="B313" s="216">
        <v>0</v>
      </c>
      <c r="C313" s="216">
        <v>0</v>
      </c>
      <c r="D313" s="216">
        <v>240</v>
      </c>
      <c r="E313" s="216">
        <v>0</v>
      </c>
      <c r="F313" s="217">
        <v>1035</v>
      </c>
      <c r="G313" s="216">
        <v>39251</v>
      </c>
      <c r="H313" s="216">
        <v>22284</v>
      </c>
      <c r="I313" s="216">
        <v>0</v>
      </c>
      <c r="J313" s="216">
        <v>0</v>
      </c>
      <c r="K313" s="216">
        <v>0</v>
      </c>
      <c r="L313" s="217">
        <v>1037</v>
      </c>
    </row>
    <row r="314" spans="1:12" x14ac:dyDescent="0.25">
      <c r="A314" s="31">
        <f t="shared" si="4"/>
        <v>39273</v>
      </c>
      <c r="B314" s="216">
        <v>0</v>
      </c>
      <c r="C314" s="216">
        <v>0</v>
      </c>
      <c r="D314" s="216">
        <v>240</v>
      </c>
      <c r="E314" s="216">
        <v>0</v>
      </c>
      <c r="F314" s="217">
        <v>1037</v>
      </c>
      <c r="G314" s="216">
        <v>38721</v>
      </c>
      <c r="H314" s="216">
        <v>22829</v>
      </c>
      <c r="I314" s="216">
        <v>0</v>
      </c>
      <c r="J314" s="216">
        <v>0</v>
      </c>
      <c r="K314" s="216">
        <v>0</v>
      </c>
      <c r="L314" s="217">
        <v>1036</v>
      </c>
    </row>
    <row r="315" spans="1:12" x14ac:dyDescent="0.25">
      <c r="A315" s="31">
        <f t="shared" si="4"/>
        <v>39274</v>
      </c>
      <c r="B315" s="216">
        <v>0</v>
      </c>
      <c r="C315" s="216">
        <v>0</v>
      </c>
      <c r="D315" s="216">
        <v>230</v>
      </c>
      <c r="E315" s="216">
        <v>0</v>
      </c>
      <c r="F315" s="217">
        <v>1040</v>
      </c>
      <c r="G315" s="216">
        <v>38833</v>
      </c>
      <c r="H315" s="216">
        <v>24188</v>
      </c>
      <c r="I315" s="216">
        <v>0</v>
      </c>
      <c r="J315" s="216">
        <v>0</v>
      </c>
      <c r="K315" s="216">
        <v>0</v>
      </c>
      <c r="L315" s="217">
        <v>1038</v>
      </c>
    </row>
    <row r="316" spans="1:12" x14ac:dyDescent="0.25">
      <c r="A316" s="31">
        <f t="shared" si="4"/>
        <v>39275</v>
      </c>
      <c r="B316" s="216">
        <v>0</v>
      </c>
      <c r="C316" s="216">
        <v>0</v>
      </c>
      <c r="D316" s="216">
        <v>250</v>
      </c>
      <c r="E316" s="216">
        <v>0</v>
      </c>
      <c r="F316" s="217">
        <v>1033</v>
      </c>
      <c r="G316" s="216">
        <v>42329</v>
      </c>
      <c r="H316" s="216">
        <v>22223</v>
      </c>
      <c r="I316" s="216">
        <v>0</v>
      </c>
      <c r="J316" s="216">
        <v>0</v>
      </c>
      <c r="K316" s="216">
        <v>0</v>
      </c>
      <c r="L316" s="217">
        <v>1039</v>
      </c>
    </row>
    <row r="317" spans="1:12" x14ac:dyDescent="0.25">
      <c r="A317" s="31">
        <f t="shared" si="4"/>
        <v>39276</v>
      </c>
      <c r="B317" s="216">
        <v>0</v>
      </c>
      <c r="C317" s="216">
        <v>0</v>
      </c>
      <c r="D317" s="216">
        <v>240</v>
      </c>
      <c r="E317" s="216">
        <v>0</v>
      </c>
      <c r="F317" s="217">
        <v>1032</v>
      </c>
      <c r="G317" s="216">
        <v>40162</v>
      </c>
      <c r="H317" s="216">
        <v>20636</v>
      </c>
      <c r="I317" s="216">
        <v>0</v>
      </c>
      <c r="J317" s="216">
        <v>0</v>
      </c>
      <c r="K317" s="216">
        <v>0</v>
      </c>
      <c r="L317" s="217">
        <v>1037</v>
      </c>
    </row>
    <row r="318" spans="1:12" x14ac:dyDescent="0.25">
      <c r="A318" s="31">
        <f t="shared" si="4"/>
        <v>39277</v>
      </c>
      <c r="B318" s="216">
        <v>0</v>
      </c>
      <c r="C318" s="216">
        <v>0</v>
      </c>
      <c r="D318" s="216">
        <v>210</v>
      </c>
      <c r="E318" s="216">
        <v>0</v>
      </c>
      <c r="F318" s="217">
        <v>1033</v>
      </c>
      <c r="G318" s="216">
        <v>38678</v>
      </c>
      <c r="H318" s="216">
        <v>19450</v>
      </c>
      <c r="I318" s="216">
        <v>0</v>
      </c>
      <c r="J318" s="216">
        <v>0</v>
      </c>
      <c r="K318" s="216">
        <v>0</v>
      </c>
      <c r="L318" s="217">
        <v>1037</v>
      </c>
    </row>
    <row r="319" spans="1:12" x14ac:dyDescent="0.25">
      <c r="A319" s="31">
        <f t="shared" si="4"/>
        <v>39278</v>
      </c>
      <c r="B319" s="216">
        <v>0</v>
      </c>
      <c r="C319" s="216">
        <v>0</v>
      </c>
      <c r="D319" s="216">
        <v>210</v>
      </c>
      <c r="E319" s="216">
        <v>0</v>
      </c>
      <c r="F319" s="217">
        <v>1033</v>
      </c>
      <c r="G319" s="216">
        <v>37895</v>
      </c>
      <c r="H319" s="216">
        <v>22378</v>
      </c>
      <c r="I319" s="216">
        <v>0</v>
      </c>
      <c r="J319" s="216">
        <v>0</v>
      </c>
      <c r="K319" s="216">
        <v>0</v>
      </c>
      <c r="L319" s="217">
        <v>1038</v>
      </c>
    </row>
    <row r="320" spans="1:12" x14ac:dyDescent="0.25">
      <c r="A320" s="31">
        <f t="shared" si="4"/>
        <v>39279</v>
      </c>
      <c r="B320" s="216">
        <v>0</v>
      </c>
      <c r="C320" s="216">
        <v>0</v>
      </c>
      <c r="D320" s="216">
        <v>250</v>
      </c>
      <c r="E320" s="216">
        <v>0</v>
      </c>
      <c r="F320" s="217">
        <v>1032</v>
      </c>
      <c r="G320" s="216">
        <v>39251</v>
      </c>
      <c r="H320" s="216">
        <v>23119</v>
      </c>
      <c r="I320" s="216">
        <v>0</v>
      </c>
      <c r="J320" s="216">
        <v>0</v>
      </c>
      <c r="K320" s="216">
        <v>0</v>
      </c>
      <c r="L320" s="217">
        <v>1038</v>
      </c>
    </row>
    <row r="321" spans="1:12" x14ac:dyDescent="0.25">
      <c r="A321" s="31">
        <f t="shared" si="4"/>
        <v>39280</v>
      </c>
      <c r="B321" s="216">
        <v>0</v>
      </c>
      <c r="C321" s="216">
        <v>0</v>
      </c>
      <c r="D321" s="216">
        <v>260</v>
      </c>
      <c r="E321" s="216">
        <v>0</v>
      </c>
      <c r="F321" s="217">
        <v>1032</v>
      </c>
      <c r="G321" s="216">
        <v>33053</v>
      </c>
      <c r="H321" s="216">
        <v>28384</v>
      </c>
      <c r="I321" s="216">
        <v>0</v>
      </c>
      <c r="J321" s="216">
        <v>0</v>
      </c>
      <c r="K321" s="216">
        <v>0</v>
      </c>
      <c r="L321" s="217">
        <v>1037</v>
      </c>
    </row>
    <row r="322" spans="1:12" x14ac:dyDescent="0.25">
      <c r="A322" s="31">
        <f t="shared" si="4"/>
        <v>39281</v>
      </c>
      <c r="B322" s="216">
        <v>0</v>
      </c>
      <c r="C322" s="216">
        <v>0</v>
      </c>
      <c r="D322" s="216">
        <v>250</v>
      </c>
      <c r="E322" s="216">
        <v>0</v>
      </c>
      <c r="F322" s="217">
        <v>1034</v>
      </c>
      <c r="G322" s="216">
        <v>35616</v>
      </c>
      <c r="H322" s="216">
        <v>26951</v>
      </c>
      <c r="I322" s="216">
        <v>0</v>
      </c>
      <c r="J322" s="216">
        <v>0</v>
      </c>
      <c r="K322" s="216">
        <v>0</v>
      </c>
      <c r="L322" s="217">
        <v>1038</v>
      </c>
    </row>
    <row r="323" spans="1:12" x14ac:dyDescent="0.25">
      <c r="A323" s="31">
        <f t="shared" si="4"/>
        <v>39282</v>
      </c>
      <c r="B323" s="216">
        <v>0</v>
      </c>
      <c r="C323" s="216">
        <v>0</v>
      </c>
      <c r="D323" s="216">
        <v>240</v>
      </c>
      <c r="E323" s="216">
        <v>0</v>
      </c>
      <c r="F323" s="217">
        <v>1033</v>
      </c>
      <c r="G323" s="216">
        <v>33611</v>
      </c>
      <c r="H323" s="216">
        <v>28177</v>
      </c>
      <c r="I323" s="216">
        <v>0</v>
      </c>
      <c r="J323" s="216">
        <v>0</v>
      </c>
      <c r="K323" s="216">
        <v>0</v>
      </c>
      <c r="L323" s="217">
        <v>1037</v>
      </c>
    </row>
    <row r="324" spans="1:12" x14ac:dyDescent="0.25">
      <c r="A324" s="31">
        <f t="shared" si="4"/>
        <v>39283</v>
      </c>
      <c r="B324" s="216">
        <v>0</v>
      </c>
      <c r="C324" s="216">
        <v>0</v>
      </c>
      <c r="D324" s="216">
        <v>230</v>
      </c>
      <c r="E324" s="216">
        <v>0</v>
      </c>
      <c r="F324" s="217">
        <v>1033</v>
      </c>
      <c r="G324" s="216">
        <v>35637</v>
      </c>
      <c r="H324" s="216">
        <v>25731</v>
      </c>
      <c r="I324" s="216">
        <v>0</v>
      </c>
      <c r="J324" s="216">
        <v>0</v>
      </c>
      <c r="K324" s="216">
        <v>0</v>
      </c>
      <c r="L324" s="217">
        <v>1038</v>
      </c>
    </row>
    <row r="325" spans="1:12" x14ac:dyDescent="0.25">
      <c r="A325" s="31">
        <f t="shared" ref="A325:A366" si="5">1+A324</f>
        <v>39284</v>
      </c>
      <c r="B325" s="216">
        <v>0</v>
      </c>
      <c r="C325" s="216">
        <v>0</v>
      </c>
      <c r="D325" s="216">
        <v>200</v>
      </c>
      <c r="E325" s="216">
        <v>0</v>
      </c>
      <c r="F325" s="217">
        <v>1033</v>
      </c>
      <c r="G325" s="216">
        <v>34015</v>
      </c>
      <c r="H325" s="216">
        <v>25658</v>
      </c>
      <c r="I325" s="216">
        <v>0</v>
      </c>
      <c r="J325" s="216">
        <v>0</v>
      </c>
      <c r="K325" s="216">
        <v>0</v>
      </c>
      <c r="L325" s="217">
        <v>1036</v>
      </c>
    </row>
    <row r="326" spans="1:12" x14ac:dyDescent="0.25">
      <c r="A326" s="31">
        <f t="shared" si="5"/>
        <v>39285</v>
      </c>
      <c r="B326" s="216">
        <v>0</v>
      </c>
      <c r="C326" s="216">
        <v>0</v>
      </c>
      <c r="D326" s="216">
        <v>210</v>
      </c>
      <c r="E326" s="216">
        <v>0</v>
      </c>
      <c r="F326" s="217">
        <v>1033</v>
      </c>
      <c r="G326" s="216">
        <v>36313</v>
      </c>
      <c r="H326" s="216">
        <v>26061</v>
      </c>
      <c r="I326" s="216">
        <v>0</v>
      </c>
      <c r="J326" s="216">
        <v>0</v>
      </c>
      <c r="K326" s="216">
        <v>0</v>
      </c>
      <c r="L326" s="217">
        <v>1036</v>
      </c>
    </row>
    <row r="327" spans="1:12" x14ac:dyDescent="0.25">
      <c r="A327" s="31">
        <f t="shared" si="5"/>
        <v>39286</v>
      </c>
      <c r="B327" s="216">
        <v>0</v>
      </c>
      <c r="C327" s="216">
        <v>0</v>
      </c>
      <c r="D327" s="216">
        <v>290</v>
      </c>
      <c r="E327" s="216">
        <v>0</v>
      </c>
      <c r="F327" s="217">
        <v>1031</v>
      </c>
      <c r="G327" s="216">
        <v>40262</v>
      </c>
      <c r="H327" s="216">
        <v>25623</v>
      </c>
      <c r="I327" s="216">
        <v>0</v>
      </c>
      <c r="J327" s="216">
        <v>0</v>
      </c>
      <c r="K327" s="216">
        <v>0</v>
      </c>
      <c r="L327" s="217">
        <v>1035</v>
      </c>
    </row>
    <row r="328" spans="1:12" x14ac:dyDescent="0.25">
      <c r="A328" s="31">
        <f t="shared" si="5"/>
        <v>39287</v>
      </c>
      <c r="B328" s="216">
        <v>0</v>
      </c>
      <c r="C328" s="216">
        <v>0</v>
      </c>
      <c r="D328" s="216">
        <v>260</v>
      </c>
      <c r="E328" s="216">
        <v>0</v>
      </c>
      <c r="F328" s="217">
        <v>1031</v>
      </c>
      <c r="G328" s="216">
        <v>36611</v>
      </c>
      <c r="H328" s="216">
        <v>27543</v>
      </c>
      <c r="I328" s="216">
        <v>0</v>
      </c>
      <c r="J328" s="216">
        <v>0</v>
      </c>
      <c r="K328" s="216">
        <v>0</v>
      </c>
      <c r="L328" s="217">
        <v>1034</v>
      </c>
    </row>
    <row r="329" spans="1:12" x14ac:dyDescent="0.25">
      <c r="A329" s="31">
        <f t="shared" si="5"/>
        <v>39288</v>
      </c>
      <c r="B329" s="216">
        <v>0</v>
      </c>
      <c r="C329" s="216">
        <v>0</v>
      </c>
      <c r="D329" s="216">
        <v>240</v>
      </c>
      <c r="E329" s="216">
        <v>0</v>
      </c>
      <c r="F329" s="217">
        <v>1030</v>
      </c>
      <c r="G329" s="216">
        <v>36716</v>
      </c>
      <c r="H329" s="216">
        <v>27027</v>
      </c>
      <c r="I329" s="216">
        <v>0</v>
      </c>
      <c r="J329" s="216">
        <v>0</v>
      </c>
      <c r="K329" s="216">
        <v>0</v>
      </c>
      <c r="L329" s="217">
        <v>1035</v>
      </c>
    </row>
    <row r="330" spans="1:12" x14ac:dyDescent="0.25">
      <c r="A330" s="31">
        <f t="shared" si="5"/>
        <v>39289</v>
      </c>
      <c r="B330" s="216">
        <v>0</v>
      </c>
      <c r="C330" s="216">
        <v>0</v>
      </c>
      <c r="D330" s="216">
        <v>240</v>
      </c>
      <c r="E330" s="216">
        <v>0</v>
      </c>
      <c r="F330" s="217">
        <v>1033</v>
      </c>
      <c r="G330" s="216">
        <v>37596</v>
      </c>
      <c r="H330" s="216">
        <v>24617</v>
      </c>
      <c r="I330" s="216">
        <v>0</v>
      </c>
      <c r="J330" s="216">
        <v>0</v>
      </c>
      <c r="K330" s="216">
        <v>0</v>
      </c>
      <c r="L330" s="217">
        <v>1034</v>
      </c>
    </row>
    <row r="331" spans="1:12" x14ac:dyDescent="0.25">
      <c r="A331" s="31">
        <f t="shared" si="5"/>
        <v>39290</v>
      </c>
      <c r="B331" s="216">
        <v>0</v>
      </c>
      <c r="C331" s="216">
        <v>0</v>
      </c>
      <c r="D331" s="216">
        <v>220</v>
      </c>
      <c r="E331" s="216">
        <v>0</v>
      </c>
      <c r="F331" s="217">
        <v>1036</v>
      </c>
      <c r="G331" s="216">
        <v>33939</v>
      </c>
      <c r="H331" s="216">
        <v>24942</v>
      </c>
      <c r="I331" s="216">
        <v>0</v>
      </c>
      <c r="J331" s="216">
        <v>0</v>
      </c>
      <c r="K331" s="216">
        <v>0</v>
      </c>
      <c r="L331" s="217">
        <v>1034</v>
      </c>
    </row>
    <row r="332" spans="1:12" x14ac:dyDescent="0.25">
      <c r="A332" s="31">
        <f t="shared" si="5"/>
        <v>39291</v>
      </c>
      <c r="B332" s="216">
        <v>0</v>
      </c>
      <c r="C332" s="216">
        <v>0</v>
      </c>
      <c r="D332" s="216">
        <v>190</v>
      </c>
      <c r="E332" s="216">
        <v>0</v>
      </c>
      <c r="F332" s="217">
        <v>1036</v>
      </c>
      <c r="G332" s="216">
        <v>32563</v>
      </c>
      <c r="H332" s="216">
        <v>23578</v>
      </c>
      <c r="I332" s="216">
        <v>0</v>
      </c>
      <c r="J332" s="216">
        <v>0</v>
      </c>
      <c r="K332" s="216">
        <v>0</v>
      </c>
      <c r="L332" s="217">
        <v>1031</v>
      </c>
    </row>
    <row r="333" spans="1:12" x14ac:dyDescent="0.25">
      <c r="A333" s="31">
        <f t="shared" si="5"/>
        <v>39292</v>
      </c>
      <c r="B333" s="216">
        <v>0</v>
      </c>
      <c r="C333" s="216">
        <v>0</v>
      </c>
      <c r="D333" s="216">
        <v>210</v>
      </c>
      <c r="E333" s="216">
        <v>0</v>
      </c>
      <c r="F333" s="217">
        <v>1032</v>
      </c>
      <c r="G333" s="216">
        <v>36046</v>
      </c>
      <c r="H333" s="216">
        <v>24523</v>
      </c>
      <c r="I333" s="216">
        <v>0</v>
      </c>
      <c r="J333" s="216">
        <v>5</v>
      </c>
      <c r="K333" s="216">
        <v>0</v>
      </c>
      <c r="L333" s="217">
        <v>1035</v>
      </c>
    </row>
    <row r="334" spans="1:12" x14ac:dyDescent="0.25">
      <c r="A334" s="31">
        <f t="shared" si="5"/>
        <v>39293</v>
      </c>
      <c r="B334" s="216">
        <v>0</v>
      </c>
      <c r="C334" s="216">
        <v>0</v>
      </c>
      <c r="D334" s="216">
        <v>250</v>
      </c>
      <c r="E334" s="216">
        <v>0</v>
      </c>
      <c r="F334" s="217">
        <v>1032</v>
      </c>
      <c r="G334" s="216">
        <v>38286</v>
      </c>
      <c r="H334" s="216">
        <v>24423</v>
      </c>
      <c r="I334" s="216">
        <v>0</v>
      </c>
      <c r="J334" s="216">
        <v>0</v>
      </c>
      <c r="K334" s="216">
        <v>0</v>
      </c>
      <c r="L334" s="217">
        <v>1033</v>
      </c>
    </row>
    <row r="335" spans="1:12" x14ac:dyDescent="0.25">
      <c r="A335" s="31">
        <f t="shared" si="5"/>
        <v>39294</v>
      </c>
      <c r="B335" s="216">
        <v>0</v>
      </c>
      <c r="C335" s="216">
        <v>0</v>
      </c>
      <c r="D335" s="216">
        <v>240</v>
      </c>
      <c r="E335" s="216">
        <v>0</v>
      </c>
      <c r="F335" s="217">
        <v>1031</v>
      </c>
      <c r="G335" s="216">
        <v>37360</v>
      </c>
      <c r="H335" s="216">
        <v>24538</v>
      </c>
      <c r="I335" s="216">
        <v>0</v>
      </c>
      <c r="J335" s="216">
        <v>5</v>
      </c>
      <c r="K335" s="216">
        <v>0</v>
      </c>
      <c r="L335" s="217">
        <v>1036</v>
      </c>
    </row>
    <row r="336" spans="1:12" x14ac:dyDescent="0.25">
      <c r="A336" s="31">
        <f>1+A335</f>
        <v>39295</v>
      </c>
      <c r="B336" s="216">
        <v>0</v>
      </c>
      <c r="C336" s="216">
        <v>0</v>
      </c>
      <c r="D336" s="216">
        <v>250</v>
      </c>
      <c r="E336" s="216">
        <v>0</v>
      </c>
      <c r="F336" s="217">
        <v>1032</v>
      </c>
      <c r="G336" s="216">
        <v>36837</v>
      </c>
      <c r="H336" s="216">
        <v>24597</v>
      </c>
      <c r="I336" s="216">
        <v>0</v>
      </c>
      <c r="J336" s="216">
        <v>0</v>
      </c>
      <c r="K336" s="216">
        <v>0</v>
      </c>
      <c r="L336" s="217">
        <v>1035</v>
      </c>
    </row>
    <row r="337" spans="1:12" x14ac:dyDescent="0.25">
      <c r="A337" s="31">
        <f>1+A336</f>
        <v>39296</v>
      </c>
      <c r="B337" s="216">
        <v>0</v>
      </c>
      <c r="C337" s="216">
        <v>0</v>
      </c>
      <c r="D337" s="216">
        <v>230</v>
      </c>
      <c r="E337" s="216">
        <v>0</v>
      </c>
      <c r="F337" s="217">
        <v>1032</v>
      </c>
      <c r="G337" s="216">
        <v>34533</v>
      </c>
      <c r="H337" s="216">
        <v>26349</v>
      </c>
      <c r="I337" s="216">
        <v>0</v>
      </c>
      <c r="J337" s="216">
        <v>0</v>
      </c>
      <c r="K337" s="216">
        <v>0</v>
      </c>
      <c r="L337" s="217">
        <v>1035</v>
      </c>
    </row>
    <row r="338" spans="1:12" x14ac:dyDescent="0.25">
      <c r="A338" s="31">
        <f t="shared" si="5"/>
        <v>39297</v>
      </c>
      <c r="B338" s="216">
        <v>0</v>
      </c>
      <c r="C338" s="216">
        <v>0</v>
      </c>
      <c r="D338" s="216">
        <v>220</v>
      </c>
      <c r="E338" s="216">
        <v>0</v>
      </c>
      <c r="F338" s="217">
        <v>1032</v>
      </c>
      <c r="G338" s="216">
        <v>32858</v>
      </c>
      <c r="H338" s="216">
        <v>25114</v>
      </c>
      <c r="I338" s="216">
        <v>0</v>
      </c>
      <c r="J338" s="216">
        <v>133</v>
      </c>
      <c r="K338" s="216">
        <v>0</v>
      </c>
      <c r="L338" s="217">
        <v>1032</v>
      </c>
    </row>
    <row r="339" spans="1:12" x14ac:dyDescent="0.25">
      <c r="A339" s="31">
        <f t="shared" si="5"/>
        <v>39298</v>
      </c>
      <c r="B339" s="216">
        <v>0</v>
      </c>
      <c r="C339" s="216">
        <v>0</v>
      </c>
      <c r="D339" s="216">
        <v>200</v>
      </c>
      <c r="E339" s="216">
        <v>0</v>
      </c>
      <c r="F339" s="217">
        <v>1030</v>
      </c>
      <c r="G339" s="216">
        <v>30323</v>
      </c>
      <c r="H339" s="216">
        <v>23896</v>
      </c>
      <c r="I339" s="216">
        <v>0</v>
      </c>
      <c r="J339" s="216">
        <v>0</v>
      </c>
      <c r="K339" s="216">
        <v>0</v>
      </c>
      <c r="L339" s="217">
        <v>1036</v>
      </c>
    </row>
    <row r="340" spans="1:12" x14ac:dyDescent="0.25">
      <c r="A340" s="31">
        <f t="shared" si="5"/>
        <v>39299</v>
      </c>
      <c r="B340" s="216">
        <v>0</v>
      </c>
      <c r="C340" s="216">
        <v>0</v>
      </c>
      <c r="D340" s="216">
        <v>200</v>
      </c>
      <c r="E340" s="216">
        <v>0</v>
      </c>
      <c r="F340" s="217">
        <v>1030</v>
      </c>
      <c r="G340" s="216">
        <v>32618</v>
      </c>
      <c r="H340" s="216">
        <v>23676</v>
      </c>
      <c r="I340" s="216">
        <v>0</v>
      </c>
      <c r="J340" s="216">
        <v>0</v>
      </c>
      <c r="K340" s="216">
        <v>0</v>
      </c>
      <c r="L340" s="217">
        <v>1036</v>
      </c>
    </row>
    <row r="341" spans="1:12" x14ac:dyDescent="0.25">
      <c r="A341" s="31">
        <f t="shared" si="5"/>
        <v>39300</v>
      </c>
      <c r="B341" s="216">
        <v>0</v>
      </c>
      <c r="C341" s="216">
        <v>0</v>
      </c>
      <c r="D341" s="216">
        <v>230</v>
      </c>
      <c r="E341" s="216">
        <v>0</v>
      </c>
      <c r="F341" s="217">
        <v>1032</v>
      </c>
      <c r="G341" s="216">
        <v>36637</v>
      </c>
      <c r="H341" s="216">
        <v>22523</v>
      </c>
      <c r="I341" s="216">
        <v>0</v>
      </c>
      <c r="J341" s="216">
        <v>5</v>
      </c>
      <c r="K341" s="216">
        <v>0</v>
      </c>
      <c r="L341" s="217">
        <v>1037</v>
      </c>
    </row>
    <row r="342" spans="1:12" x14ac:dyDescent="0.25">
      <c r="A342" s="31">
        <f t="shared" si="5"/>
        <v>39301</v>
      </c>
      <c r="B342" s="216">
        <v>0</v>
      </c>
      <c r="C342" s="216">
        <v>0</v>
      </c>
      <c r="D342" s="216">
        <v>230</v>
      </c>
      <c r="E342" s="216">
        <v>0</v>
      </c>
      <c r="F342" s="217">
        <v>1032</v>
      </c>
      <c r="G342" s="216">
        <v>32683</v>
      </c>
      <c r="H342" s="216">
        <v>25026</v>
      </c>
      <c r="I342" s="216">
        <v>0</v>
      </c>
      <c r="J342" s="216">
        <v>0</v>
      </c>
      <c r="K342" s="216">
        <v>0</v>
      </c>
      <c r="L342" s="217">
        <v>1036</v>
      </c>
    </row>
    <row r="343" spans="1:12" x14ac:dyDescent="0.25">
      <c r="A343" s="31">
        <f t="shared" si="5"/>
        <v>39302</v>
      </c>
      <c r="B343" s="216">
        <v>0</v>
      </c>
      <c r="C343" s="216">
        <v>0</v>
      </c>
      <c r="D343" s="216">
        <v>230</v>
      </c>
      <c r="E343" s="216">
        <v>0</v>
      </c>
      <c r="F343" s="217">
        <v>1032</v>
      </c>
      <c r="G343" s="216">
        <v>33325</v>
      </c>
      <c r="H343" s="216">
        <v>25378</v>
      </c>
      <c r="I343" s="216">
        <v>0</v>
      </c>
      <c r="J343" s="216">
        <v>0</v>
      </c>
      <c r="K343" s="216">
        <v>0</v>
      </c>
      <c r="L343" s="217">
        <v>1038</v>
      </c>
    </row>
    <row r="344" spans="1:12" x14ac:dyDescent="0.25">
      <c r="A344" s="31">
        <f t="shared" si="5"/>
        <v>39303</v>
      </c>
      <c r="B344" s="216">
        <v>0</v>
      </c>
      <c r="C344" s="216">
        <v>0</v>
      </c>
      <c r="D344" s="216">
        <v>230</v>
      </c>
      <c r="E344" s="216">
        <v>0</v>
      </c>
      <c r="F344" s="217">
        <v>1032</v>
      </c>
      <c r="G344" s="216">
        <v>32197</v>
      </c>
      <c r="H344" s="216">
        <v>24317</v>
      </c>
      <c r="I344" s="216">
        <v>0</v>
      </c>
      <c r="J344" s="216">
        <v>0</v>
      </c>
      <c r="K344" s="216">
        <v>0</v>
      </c>
      <c r="L344" s="217">
        <v>1040</v>
      </c>
    </row>
    <row r="345" spans="1:12" x14ac:dyDescent="0.25">
      <c r="A345" s="31">
        <f t="shared" si="5"/>
        <v>39304</v>
      </c>
      <c r="B345" s="216">
        <v>0</v>
      </c>
      <c r="C345" s="216">
        <v>0</v>
      </c>
      <c r="D345" s="216">
        <v>240</v>
      </c>
      <c r="E345" s="216">
        <v>0</v>
      </c>
      <c r="F345" s="217">
        <v>1032</v>
      </c>
      <c r="G345" s="216">
        <v>36206</v>
      </c>
      <c r="H345" s="216">
        <v>22325</v>
      </c>
      <c r="I345" s="216">
        <v>0</v>
      </c>
      <c r="J345" s="216">
        <v>0</v>
      </c>
      <c r="K345" s="216">
        <v>0</v>
      </c>
      <c r="L345" s="217">
        <v>1038</v>
      </c>
    </row>
    <row r="346" spans="1:12" x14ac:dyDescent="0.25">
      <c r="A346" s="31">
        <f t="shared" si="5"/>
        <v>39305</v>
      </c>
      <c r="B346" s="216">
        <v>0</v>
      </c>
      <c r="C346" s="216">
        <v>0</v>
      </c>
      <c r="D346" s="216">
        <v>200</v>
      </c>
      <c r="E346" s="216">
        <v>0</v>
      </c>
      <c r="F346" s="217">
        <v>1033</v>
      </c>
      <c r="G346" s="216">
        <v>35861</v>
      </c>
      <c r="H346" s="216">
        <v>21252</v>
      </c>
      <c r="I346" s="216">
        <v>0</v>
      </c>
      <c r="J346" s="216">
        <v>0</v>
      </c>
      <c r="K346" s="216">
        <v>0</v>
      </c>
      <c r="L346" s="217">
        <v>1045</v>
      </c>
    </row>
    <row r="347" spans="1:12" x14ac:dyDescent="0.25">
      <c r="A347" s="31">
        <f t="shared" si="5"/>
        <v>39306</v>
      </c>
      <c r="B347" s="216">
        <v>0</v>
      </c>
      <c r="C347" s="216">
        <v>0</v>
      </c>
      <c r="D347" s="216">
        <v>200</v>
      </c>
      <c r="E347" s="216">
        <v>0</v>
      </c>
      <c r="F347" s="217">
        <v>1033</v>
      </c>
      <c r="G347" s="216">
        <v>31590</v>
      </c>
      <c r="H347" s="216">
        <v>24839</v>
      </c>
      <c r="I347" s="216">
        <v>0</v>
      </c>
      <c r="J347" s="216">
        <v>5</v>
      </c>
      <c r="K347" s="216">
        <v>0</v>
      </c>
      <c r="L347" s="217">
        <v>1044</v>
      </c>
    </row>
    <row r="348" spans="1:12" x14ac:dyDescent="0.25">
      <c r="A348" s="31">
        <f t="shared" si="5"/>
        <v>39307</v>
      </c>
      <c r="B348" s="216">
        <v>0</v>
      </c>
      <c r="C348" s="216">
        <v>0</v>
      </c>
      <c r="D348" s="216">
        <v>230</v>
      </c>
      <c r="E348" s="216">
        <v>0</v>
      </c>
      <c r="F348" s="217">
        <v>1033</v>
      </c>
      <c r="G348" s="216">
        <v>34305</v>
      </c>
      <c r="H348" s="216">
        <v>25141</v>
      </c>
      <c r="I348" s="216">
        <v>0</v>
      </c>
      <c r="J348" s="216">
        <v>0</v>
      </c>
      <c r="K348" s="216">
        <v>0</v>
      </c>
      <c r="L348" s="217">
        <v>1046</v>
      </c>
    </row>
    <row r="349" spans="1:12" x14ac:dyDescent="0.25">
      <c r="A349" s="31">
        <f t="shared" si="5"/>
        <v>39308</v>
      </c>
      <c r="B349" s="216">
        <v>0</v>
      </c>
      <c r="C349" s="216">
        <v>0</v>
      </c>
      <c r="D349" s="216">
        <v>230</v>
      </c>
      <c r="E349" s="216">
        <v>0</v>
      </c>
      <c r="F349" s="217">
        <v>1034</v>
      </c>
      <c r="G349" s="216">
        <v>35204</v>
      </c>
      <c r="H349" s="216">
        <v>25255</v>
      </c>
      <c r="I349" s="216">
        <v>0</v>
      </c>
      <c r="J349" s="216">
        <v>0</v>
      </c>
      <c r="K349" s="216">
        <v>0</v>
      </c>
      <c r="L349" s="217">
        <v>1033</v>
      </c>
    </row>
    <row r="350" spans="1:12" x14ac:dyDescent="0.25">
      <c r="A350" s="31">
        <f t="shared" si="5"/>
        <v>39309</v>
      </c>
      <c r="B350" s="216">
        <v>0</v>
      </c>
      <c r="C350" s="216">
        <v>0</v>
      </c>
      <c r="D350" s="216">
        <v>220</v>
      </c>
      <c r="E350" s="216">
        <v>0</v>
      </c>
      <c r="F350" s="217">
        <v>1034</v>
      </c>
      <c r="G350" s="216">
        <v>33852</v>
      </c>
      <c r="H350" s="216">
        <v>25925</v>
      </c>
      <c r="I350" s="216">
        <v>0</v>
      </c>
      <c r="J350" s="216">
        <v>0</v>
      </c>
      <c r="K350" s="216">
        <v>0</v>
      </c>
      <c r="L350" s="217">
        <v>1048</v>
      </c>
    </row>
    <row r="351" spans="1:12" x14ac:dyDescent="0.25">
      <c r="A351" s="31">
        <f t="shared" si="5"/>
        <v>39310</v>
      </c>
      <c r="B351" s="216">
        <v>0</v>
      </c>
      <c r="C351" s="216">
        <v>0</v>
      </c>
      <c r="D351" s="216">
        <v>230</v>
      </c>
      <c r="E351" s="216">
        <v>0</v>
      </c>
      <c r="F351" s="217">
        <v>1036</v>
      </c>
      <c r="G351" s="216">
        <v>34478</v>
      </c>
      <c r="H351" s="216">
        <v>24611</v>
      </c>
      <c r="I351" s="216">
        <v>0</v>
      </c>
      <c r="J351" s="216">
        <v>0</v>
      </c>
      <c r="K351" s="216">
        <v>0</v>
      </c>
      <c r="L351" s="217">
        <v>1032</v>
      </c>
    </row>
    <row r="352" spans="1:12" x14ac:dyDescent="0.25">
      <c r="A352" s="31">
        <f t="shared" si="5"/>
        <v>39311</v>
      </c>
      <c r="B352" s="216">
        <v>0</v>
      </c>
      <c r="C352" s="216">
        <v>0</v>
      </c>
      <c r="D352" s="216">
        <v>220</v>
      </c>
      <c r="E352" s="216">
        <v>0</v>
      </c>
      <c r="F352" s="217">
        <v>1034</v>
      </c>
      <c r="G352" s="216">
        <v>33167</v>
      </c>
      <c r="H352" s="216">
        <v>26201</v>
      </c>
      <c r="I352" s="216">
        <v>0</v>
      </c>
      <c r="J352" s="216">
        <v>0</v>
      </c>
      <c r="K352" s="216">
        <v>0</v>
      </c>
      <c r="L352" s="217">
        <v>1048</v>
      </c>
    </row>
    <row r="353" spans="1:26" x14ac:dyDescent="0.25">
      <c r="A353" s="31">
        <f t="shared" si="5"/>
        <v>39312</v>
      </c>
      <c r="B353" s="216">
        <v>0</v>
      </c>
      <c r="C353" s="216">
        <v>0</v>
      </c>
      <c r="D353" s="216">
        <v>200</v>
      </c>
      <c r="E353" s="216">
        <v>0</v>
      </c>
      <c r="F353" s="217">
        <v>1031</v>
      </c>
      <c r="G353" s="216">
        <v>34629</v>
      </c>
      <c r="H353" s="216">
        <v>22449</v>
      </c>
      <c r="I353" s="216">
        <v>0</v>
      </c>
      <c r="J353" s="216">
        <v>0</v>
      </c>
      <c r="K353" s="216">
        <v>0</v>
      </c>
      <c r="L353" s="217">
        <v>1035</v>
      </c>
    </row>
    <row r="354" spans="1:26" x14ac:dyDescent="0.25">
      <c r="A354" s="31">
        <f t="shared" si="5"/>
        <v>39313</v>
      </c>
      <c r="B354" s="216">
        <v>0</v>
      </c>
      <c r="C354" s="216">
        <v>0</v>
      </c>
      <c r="D354" s="216">
        <v>230</v>
      </c>
      <c r="E354" s="216">
        <v>0</v>
      </c>
      <c r="F354" s="217">
        <v>1033</v>
      </c>
      <c r="G354" s="216">
        <v>35892</v>
      </c>
      <c r="H354" s="216">
        <v>24138</v>
      </c>
      <c r="I354" s="216">
        <v>0</v>
      </c>
      <c r="J354" s="216">
        <v>0</v>
      </c>
      <c r="K354" s="216">
        <v>0</v>
      </c>
      <c r="L354" s="217">
        <v>1035</v>
      </c>
    </row>
    <row r="355" spans="1:26" x14ac:dyDescent="0.25">
      <c r="A355" s="31">
        <f t="shared" si="5"/>
        <v>39314</v>
      </c>
      <c r="B355" s="216">
        <v>0</v>
      </c>
      <c r="C355" s="216">
        <v>0</v>
      </c>
      <c r="D355" s="216">
        <v>280</v>
      </c>
      <c r="E355" s="216">
        <v>0</v>
      </c>
      <c r="F355" s="217">
        <v>1033</v>
      </c>
      <c r="G355" s="216">
        <v>40184</v>
      </c>
      <c r="H355" s="216">
        <v>25759</v>
      </c>
      <c r="I355" s="216">
        <v>0</v>
      </c>
      <c r="J355" s="216">
        <v>0</v>
      </c>
      <c r="K355" s="216">
        <v>0</v>
      </c>
      <c r="L355" s="217">
        <v>1034</v>
      </c>
    </row>
    <row r="356" spans="1:26" x14ac:dyDescent="0.25">
      <c r="A356" s="31">
        <f t="shared" si="5"/>
        <v>39315</v>
      </c>
      <c r="B356" s="216">
        <v>0</v>
      </c>
      <c r="C356" s="216">
        <v>0</v>
      </c>
      <c r="D356" s="216">
        <v>310</v>
      </c>
      <c r="E356" s="216">
        <v>0</v>
      </c>
      <c r="F356" s="217">
        <v>1040</v>
      </c>
      <c r="G356" s="216">
        <v>41144</v>
      </c>
      <c r="H356" s="216">
        <v>27775</v>
      </c>
      <c r="I356" s="216">
        <v>0</v>
      </c>
      <c r="J356" s="216">
        <v>0</v>
      </c>
      <c r="K356" s="216">
        <v>0</v>
      </c>
      <c r="L356" s="217">
        <v>1038</v>
      </c>
    </row>
    <row r="357" spans="1:26" x14ac:dyDescent="0.25">
      <c r="A357" s="31">
        <f t="shared" si="5"/>
        <v>39316</v>
      </c>
      <c r="B357" s="216">
        <v>0</v>
      </c>
      <c r="C357" s="216">
        <v>0</v>
      </c>
      <c r="D357" s="216">
        <v>300</v>
      </c>
      <c r="E357" s="216">
        <v>0</v>
      </c>
      <c r="F357" s="217">
        <v>1032</v>
      </c>
      <c r="G357" s="216">
        <v>45683</v>
      </c>
      <c r="H357" s="216">
        <v>22493</v>
      </c>
      <c r="I357" s="216">
        <v>0</v>
      </c>
      <c r="J357" s="216">
        <v>5</v>
      </c>
      <c r="K357" s="216">
        <v>0</v>
      </c>
      <c r="L357" s="217">
        <v>1039</v>
      </c>
    </row>
    <row r="358" spans="1:26" x14ac:dyDescent="0.25">
      <c r="A358" s="31">
        <f t="shared" si="5"/>
        <v>39317</v>
      </c>
      <c r="B358" s="216">
        <v>0</v>
      </c>
      <c r="C358" s="216">
        <v>0</v>
      </c>
      <c r="D358" s="216">
        <v>260</v>
      </c>
      <c r="E358" s="216">
        <v>0</v>
      </c>
      <c r="F358" s="217">
        <v>1033</v>
      </c>
      <c r="G358" s="216">
        <v>40151</v>
      </c>
      <c r="H358" s="216">
        <v>25898</v>
      </c>
      <c r="I358" s="216">
        <v>0</v>
      </c>
      <c r="J358" s="216">
        <v>0</v>
      </c>
      <c r="K358" s="216">
        <v>0</v>
      </c>
      <c r="L358" s="217">
        <v>1044</v>
      </c>
    </row>
    <row r="359" spans="1:26" x14ac:dyDescent="0.25">
      <c r="A359" s="31">
        <f t="shared" si="5"/>
        <v>39318</v>
      </c>
      <c r="B359" s="216">
        <v>0</v>
      </c>
      <c r="C359" s="216">
        <v>0</v>
      </c>
      <c r="D359" s="216">
        <v>230</v>
      </c>
      <c r="E359" s="216">
        <v>0</v>
      </c>
      <c r="F359" s="217">
        <v>1032</v>
      </c>
      <c r="G359" s="216">
        <v>37047</v>
      </c>
      <c r="H359" s="216">
        <v>26245</v>
      </c>
      <c r="I359" s="216">
        <v>0</v>
      </c>
      <c r="J359" s="216">
        <v>0</v>
      </c>
      <c r="K359" s="216">
        <v>0</v>
      </c>
      <c r="L359" s="217">
        <v>1037</v>
      </c>
    </row>
    <row r="360" spans="1:26" x14ac:dyDescent="0.25">
      <c r="A360" s="31">
        <f t="shared" si="5"/>
        <v>39319</v>
      </c>
      <c r="B360" s="216">
        <v>0</v>
      </c>
      <c r="C360" s="216">
        <v>0</v>
      </c>
      <c r="D360" s="216">
        <v>190</v>
      </c>
      <c r="E360" s="216">
        <v>0</v>
      </c>
      <c r="F360" s="217">
        <v>1032</v>
      </c>
      <c r="G360" s="216">
        <v>29319</v>
      </c>
      <c r="H360" s="216">
        <v>27108</v>
      </c>
      <c r="I360" s="216">
        <v>0</v>
      </c>
      <c r="J360" s="216">
        <v>0</v>
      </c>
      <c r="K360" s="216">
        <v>0</v>
      </c>
      <c r="L360" s="217">
        <v>1039</v>
      </c>
    </row>
    <row r="361" spans="1:26" x14ac:dyDescent="0.25">
      <c r="A361" s="31">
        <f t="shared" si="5"/>
        <v>39320</v>
      </c>
      <c r="B361" s="216">
        <v>0</v>
      </c>
      <c r="C361" s="216">
        <v>0</v>
      </c>
      <c r="D361" s="216">
        <v>210</v>
      </c>
      <c r="E361" s="216">
        <v>0</v>
      </c>
      <c r="F361" s="217">
        <v>1034</v>
      </c>
      <c r="G361" s="216">
        <v>36372</v>
      </c>
      <c r="H361" s="216">
        <v>25980</v>
      </c>
      <c r="I361" s="216">
        <v>0</v>
      </c>
      <c r="J361" s="216">
        <v>0</v>
      </c>
      <c r="K361" s="216">
        <v>0</v>
      </c>
      <c r="L361" s="217">
        <v>1035</v>
      </c>
    </row>
    <row r="362" spans="1:26" x14ac:dyDescent="0.25">
      <c r="A362" s="31">
        <f t="shared" si="5"/>
        <v>39321</v>
      </c>
      <c r="B362" s="216">
        <v>0</v>
      </c>
      <c r="C362" s="216">
        <v>0</v>
      </c>
      <c r="D362" s="216">
        <v>250</v>
      </c>
      <c r="E362" s="216">
        <v>0</v>
      </c>
      <c r="F362" s="217">
        <v>1033</v>
      </c>
      <c r="G362" s="216">
        <v>37982</v>
      </c>
      <c r="H362" s="216">
        <v>27669</v>
      </c>
      <c r="I362" s="216">
        <v>0</v>
      </c>
      <c r="J362" s="216">
        <v>0</v>
      </c>
      <c r="K362" s="216">
        <v>0</v>
      </c>
      <c r="L362" s="217">
        <v>1036</v>
      </c>
    </row>
    <row r="363" spans="1:26" x14ac:dyDescent="0.25">
      <c r="A363" s="31">
        <f t="shared" si="5"/>
        <v>39322</v>
      </c>
      <c r="B363" s="216">
        <v>0</v>
      </c>
      <c r="C363" s="216">
        <v>0</v>
      </c>
      <c r="D363" s="216">
        <v>250</v>
      </c>
      <c r="E363" s="216">
        <v>0</v>
      </c>
      <c r="F363" s="217">
        <v>1033</v>
      </c>
      <c r="G363" s="216">
        <v>38362</v>
      </c>
      <c r="H363" s="216">
        <v>27318</v>
      </c>
      <c r="I363" s="216">
        <v>0</v>
      </c>
      <c r="J363" s="216">
        <v>0</v>
      </c>
      <c r="K363" s="216">
        <v>0</v>
      </c>
      <c r="L363" s="217">
        <v>1036</v>
      </c>
    </row>
    <row r="364" spans="1:26" x14ac:dyDescent="0.25">
      <c r="A364" s="31">
        <f t="shared" si="5"/>
        <v>39323</v>
      </c>
      <c r="B364" s="216">
        <v>0</v>
      </c>
      <c r="C364" s="216">
        <v>0</v>
      </c>
      <c r="D364" s="216">
        <v>230</v>
      </c>
      <c r="E364" s="216">
        <v>0</v>
      </c>
      <c r="F364" s="217">
        <v>1034</v>
      </c>
      <c r="G364" s="216">
        <v>36929</v>
      </c>
      <c r="H364" s="216">
        <v>27402</v>
      </c>
      <c r="I364" s="216">
        <v>0</v>
      </c>
      <c r="J364" s="216">
        <v>0</v>
      </c>
      <c r="K364" s="216">
        <v>0</v>
      </c>
      <c r="L364" s="217">
        <v>1036</v>
      </c>
    </row>
    <row r="365" spans="1:26" x14ac:dyDescent="0.25">
      <c r="A365" s="31">
        <f t="shared" si="5"/>
        <v>39324</v>
      </c>
      <c r="B365" s="216">
        <v>0</v>
      </c>
      <c r="C365" s="216">
        <v>0</v>
      </c>
      <c r="D365" s="216">
        <v>230</v>
      </c>
      <c r="E365" s="216">
        <v>0</v>
      </c>
      <c r="F365" s="217">
        <v>1034</v>
      </c>
      <c r="G365" s="216">
        <v>36213</v>
      </c>
      <c r="H365" s="216">
        <v>26931</v>
      </c>
      <c r="I365" s="216">
        <v>0</v>
      </c>
      <c r="J365" s="216">
        <v>0</v>
      </c>
      <c r="K365" s="216">
        <v>0</v>
      </c>
      <c r="L365" s="217">
        <v>1036</v>
      </c>
    </row>
    <row r="366" spans="1:26" x14ac:dyDescent="0.25">
      <c r="A366" s="31">
        <f t="shared" si="5"/>
        <v>39325</v>
      </c>
      <c r="B366" s="216">
        <v>0</v>
      </c>
      <c r="C366" s="216">
        <v>0</v>
      </c>
      <c r="D366" s="216">
        <v>220</v>
      </c>
      <c r="E366" s="216">
        <v>0</v>
      </c>
      <c r="F366" s="217">
        <v>1034</v>
      </c>
      <c r="G366" s="216">
        <v>34670</v>
      </c>
      <c r="H366" s="216">
        <v>24779</v>
      </c>
      <c r="I366" s="216">
        <v>0</v>
      </c>
      <c r="J366" s="216">
        <v>0</v>
      </c>
      <c r="K366" s="216">
        <v>0</v>
      </c>
      <c r="L366" s="217">
        <v>1036</v>
      </c>
    </row>
    <row r="367" spans="1:26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spans="1:26" x14ac:dyDescent="0.25">
      <c r="A368" s="22"/>
      <c r="B368" s="52"/>
      <c r="C368" s="52"/>
      <c r="D368" s="52"/>
      <c r="E368" s="52"/>
      <c r="F368" s="79"/>
      <c r="G368" s="52"/>
      <c r="H368" s="52"/>
      <c r="I368" s="52"/>
      <c r="J368" s="52"/>
      <c r="K368" s="52"/>
      <c r="L368" s="79"/>
    </row>
    <row r="369" spans="1:12" x14ac:dyDescent="0.25">
      <c r="A369" s="22"/>
      <c r="B369" s="52"/>
      <c r="C369" s="52"/>
      <c r="D369" s="52"/>
      <c r="E369" s="52"/>
      <c r="F369" s="79"/>
      <c r="G369" s="52"/>
      <c r="H369" s="52"/>
      <c r="I369" s="52"/>
      <c r="J369" s="52"/>
      <c r="K369" s="52"/>
      <c r="L369" s="79"/>
    </row>
    <row r="370" spans="1:12" x14ac:dyDescent="0.25">
      <c r="A370" s="22"/>
      <c r="B370" s="52"/>
      <c r="C370" s="52"/>
      <c r="D370" s="52"/>
      <c r="E370" s="52"/>
      <c r="F370" s="79"/>
      <c r="G370" s="52"/>
      <c r="H370" s="52"/>
      <c r="I370" s="52"/>
      <c r="J370" s="52"/>
      <c r="K370" s="52"/>
      <c r="L370" s="79"/>
    </row>
    <row r="371" spans="1:12" x14ac:dyDescent="0.25">
      <c r="A371" s="22"/>
      <c r="B371" s="52"/>
      <c r="C371" s="52"/>
      <c r="D371" s="52"/>
      <c r="E371" s="52"/>
      <c r="F371" s="79"/>
      <c r="G371" s="52"/>
      <c r="H371" s="52"/>
      <c r="I371" s="52"/>
      <c r="J371" s="52"/>
      <c r="K371" s="52"/>
      <c r="L371" s="79"/>
    </row>
    <row r="372" spans="1:12" x14ac:dyDescent="0.25">
      <c r="A372" s="22"/>
      <c r="B372" s="52"/>
      <c r="C372" s="52"/>
      <c r="D372" s="52"/>
      <c r="E372" s="52"/>
      <c r="F372" s="79"/>
      <c r="G372" s="52"/>
      <c r="H372" s="52"/>
      <c r="I372" s="52"/>
      <c r="J372" s="52"/>
      <c r="K372" s="52"/>
      <c r="L372" s="79"/>
    </row>
    <row r="373" spans="1:12" x14ac:dyDescent="0.25">
      <c r="A373" s="22"/>
      <c r="B373" s="52"/>
      <c r="C373" s="52"/>
      <c r="D373" s="52"/>
      <c r="E373" s="52"/>
      <c r="F373" s="79"/>
      <c r="G373" s="52"/>
      <c r="H373" s="52"/>
      <c r="I373" s="52"/>
      <c r="J373" s="52"/>
      <c r="K373" s="52"/>
      <c r="L373" s="79"/>
    </row>
    <row r="374" spans="1:12" x14ac:dyDescent="0.25">
      <c r="A374" s="22"/>
      <c r="B374" s="52"/>
      <c r="C374" s="52"/>
      <c r="D374" s="52"/>
      <c r="E374" s="52"/>
      <c r="F374" s="79"/>
      <c r="G374" s="52"/>
      <c r="H374" s="52"/>
      <c r="I374" s="52"/>
      <c r="J374" s="52"/>
      <c r="K374" s="52"/>
      <c r="L374" s="79"/>
    </row>
    <row r="375" spans="1:12" x14ac:dyDescent="0.25">
      <c r="A375" s="22"/>
      <c r="B375" s="52"/>
      <c r="C375" s="52"/>
      <c r="D375" s="52"/>
      <c r="E375" s="52"/>
      <c r="F375" s="79"/>
      <c r="G375" s="52"/>
      <c r="H375" s="52"/>
      <c r="I375" s="52"/>
      <c r="J375" s="52"/>
      <c r="K375" s="52"/>
      <c r="L375" s="79"/>
    </row>
    <row r="376" spans="1:12" x14ac:dyDescent="0.25">
      <c r="A376" s="22"/>
      <c r="B376" s="52"/>
      <c r="C376" s="52"/>
      <c r="D376" s="52"/>
      <c r="E376" s="52"/>
      <c r="F376" s="79"/>
      <c r="G376" s="52"/>
      <c r="H376" s="52"/>
      <c r="I376" s="52"/>
      <c r="J376" s="52"/>
      <c r="K376" s="52"/>
      <c r="L376" s="79"/>
    </row>
    <row r="377" spans="1:12" x14ac:dyDescent="0.25">
      <c r="A377" s="22"/>
      <c r="B377" s="52"/>
      <c r="C377" s="52"/>
      <c r="D377" s="52"/>
      <c r="E377" s="52"/>
      <c r="F377" s="79"/>
      <c r="G377" s="52"/>
      <c r="H377" s="52"/>
      <c r="I377" s="52"/>
      <c r="J377" s="52"/>
      <c r="K377" s="52"/>
      <c r="L377" s="79"/>
    </row>
    <row r="378" spans="1:12" x14ac:dyDescent="0.25">
      <c r="A378" s="22"/>
      <c r="B378" s="52"/>
      <c r="C378" s="52"/>
      <c r="D378" s="52"/>
      <c r="E378" s="52"/>
      <c r="F378" s="79"/>
      <c r="G378" s="52"/>
      <c r="H378" s="52"/>
      <c r="I378" s="52"/>
      <c r="J378" s="52"/>
      <c r="K378" s="52"/>
      <c r="L378" s="79"/>
    </row>
    <row r="379" spans="1:12" x14ac:dyDescent="0.25">
      <c r="A379" s="22"/>
      <c r="B379" s="52"/>
      <c r="C379" s="52"/>
      <c r="D379" s="52"/>
      <c r="E379" s="52"/>
      <c r="F379" s="79"/>
      <c r="G379" s="52"/>
      <c r="H379" s="52"/>
      <c r="I379" s="52"/>
      <c r="J379" s="52"/>
      <c r="K379" s="52"/>
      <c r="L379" s="79"/>
    </row>
    <row r="380" spans="1:12" x14ac:dyDescent="0.25">
      <c r="A380" s="22"/>
      <c r="B380" s="52"/>
      <c r="C380" s="52"/>
      <c r="D380" s="52"/>
      <c r="E380" s="52"/>
      <c r="F380" s="79"/>
      <c r="G380" s="52"/>
      <c r="H380" s="52"/>
      <c r="I380" s="52"/>
      <c r="J380" s="52"/>
      <c r="K380" s="52"/>
      <c r="L380" s="79"/>
    </row>
    <row r="381" spans="1:12" x14ac:dyDescent="0.25">
      <c r="A381" s="22"/>
      <c r="B381" s="52"/>
      <c r="C381" s="52"/>
      <c r="D381" s="52"/>
      <c r="E381" s="52"/>
      <c r="F381" s="79"/>
      <c r="G381" s="52"/>
      <c r="H381" s="52"/>
      <c r="I381" s="52"/>
      <c r="J381" s="52"/>
      <c r="K381" s="52"/>
      <c r="L381" s="79"/>
    </row>
    <row r="382" spans="1:12" x14ac:dyDescent="0.25">
      <c r="A382" s="22"/>
      <c r="B382" s="52"/>
      <c r="C382" s="52"/>
      <c r="D382" s="52"/>
      <c r="E382" s="52"/>
      <c r="F382" s="79"/>
      <c r="G382" s="52"/>
      <c r="H382" s="52"/>
      <c r="I382" s="52"/>
      <c r="J382" s="52"/>
      <c r="K382" s="52"/>
      <c r="L382" s="79"/>
    </row>
    <row r="383" spans="1:12" x14ac:dyDescent="0.25">
      <c r="A383" s="22"/>
      <c r="B383" s="52"/>
      <c r="C383" s="52"/>
      <c r="D383" s="52"/>
      <c r="E383" s="52"/>
      <c r="F383" s="79"/>
      <c r="G383" s="52"/>
      <c r="H383" s="52"/>
      <c r="I383" s="52"/>
      <c r="J383" s="52"/>
      <c r="K383" s="52"/>
      <c r="L383" s="79"/>
    </row>
    <row r="384" spans="1:12" x14ac:dyDescent="0.25">
      <c r="A384" s="22"/>
      <c r="B384" s="52"/>
      <c r="C384" s="52"/>
      <c r="D384" s="52"/>
      <c r="E384" s="52"/>
      <c r="F384" s="79"/>
      <c r="G384" s="52"/>
      <c r="H384" s="52"/>
      <c r="I384" s="52"/>
      <c r="J384" s="52"/>
      <c r="K384" s="52"/>
      <c r="L384" s="79"/>
    </row>
    <row r="385" spans="1:12" x14ac:dyDescent="0.25">
      <c r="A385" s="22"/>
      <c r="B385" s="52"/>
      <c r="C385" s="52"/>
      <c r="D385" s="52"/>
      <c r="E385" s="52"/>
      <c r="F385" s="79"/>
      <c r="G385" s="52"/>
      <c r="H385" s="52"/>
      <c r="I385" s="52"/>
      <c r="J385" s="52"/>
      <c r="K385" s="52"/>
      <c r="L385" s="79"/>
    </row>
    <row r="386" spans="1:12" x14ac:dyDescent="0.25">
      <c r="A386" s="22"/>
      <c r="B386" s="52"/>
      <c r="C386" s="52"/>
      <c r="D386" s="52"/>
      <c r="E386" s="52"/>
      <c r="F386" s="79"/>
      <c r="G386" s="52"/>
      <c r="H386" s="52"/>
      <c r="I386" s="52"/>
      <c r="J386" s="52"/>
      <c r="K386" s="52"/>
      <c r="L386" s="79"/>
    </row>
    <row r="387" spans="1:12" x14ac:dyDescent="0.25">
      <c r="A387" s="22"/>
      <c r="B387" s="52"/>
      <c r="C387" s="52"/>
      <c r="D387" s="52"/>
      <c r="E387" s="52"/>
      <c r="F387" s="79"/>
      <c r="G387" s="52"/>
      <c r="H387" s="52"/>
      <c r="I387" s="52"/>
      <c r="J387" s="52"/>
      <c r="K387" s="52"/>
      <c r="L387" s="79"/>
    </row>
    <row r="388" spans="1:12" x14ac:dyDescent="0.25">
      <c r="A388" s="22"/>
      <c r="B388" s="52"/>
      <c r="C388" s="52"/>
      <c r="D388" s="52"/>
      <c r="E388" s="52"/>
      <c r="F388" s="79"/>
      <c r="G388" s="52"/>
      <c r="H388" s="52"/>
      <c r="I388" s="52"/>
      <c r="J388" s="52"/>
      <c r="K388" s="52"/>
      <c r="L388" s="79"/>
    </row>
    <row r="389" spans="1:12" x14ac:dyDescent="0.25">
      <c r="A389" s="22"/>
      <c r="B389" s="52"/>
      <c r="C389" s="52"/>
      <c r="D389" s="52"/>
      <c r="E389" s="52"/>
      <c r="F389" s="79"/>
      <c r="G389" s="52"/>
      <c r="H389" s="52"/>
      <c r="I389" s="52"/>
      <c r="J389" s="52"/>
      <c r="K389" s="52"/>
      <c r="L389" s="79"/>
    </row>
    <row r="390" spans="1:12" x14ac:dyDescent="0.25">
      <c r="A390" s="22"/>
      <c r="B390" s="52"/>
      <c r="C390" s="52"/>
      <c r="D390" s="52"/>
      <c r="E390" s="52"/>
      <c r="F390" s="79"/>
      <c r="G390" s="52"/>
      <c r="H390" s="52"/>
      <c r="I390" s="52"/>
      <c r="J390" s="52"/>
      <c r="K390" s="52"/>
      <c r="L390" s="79"/>
    </row>
    <row r="391" spans="1:12" x14ac:dyDescent="0.25">
      <c r="A391" s="22"/>
      <c r="B391" s="52"/>
      <c r="C391" s="52"/>
      <c r="D391" s="52"/>
      <c r="E391" s="52"/>
      <c r="F391" s="79"/>
      <c r="G391" s="52"/>
      <c r="H391" s="52"/>
      <c r="I391" s="52"/>
      <c r="J391" s="52"/>
      <c r="K391" s="52"/>
      <c r="L391" s="79"/>
    </row>
    <row r="392" spans="1:12" x14ac:dyDescent="0.25">
      <c r="A392" s="22"/>
      <c r="B392" s="52"/>
      <c r="C392" s="52"/>
      <c r="D392" s="52"/>
      <c r="E392" s="52"/>
      <c r="F392" s="79"/>
      <c r="G392" s="52"/>
      <c r="H392" s="52"/>
      <c r="I392" s="52"/>
      <c r="J392" s="52"/>
      <c r="K392" s="52"/>
      <c r="L392" s="79"/>
    </row>
    <row r="393" spans="1:12" x14ac:dyDescent="0.25">
      <c r="A393" s="22"/>
      <c r="B393" s="52"/>
      <c r="C393" s="52"/>
      <c r="D393" s="52"/>
      <c r="E393" s="52"/>
      <c r="F393" s="79"/>
      <c r="G393" s="52"/>
      <c r="H393" s="52"/>
      <c r="I393" s="52"/>
      <c r="J393" s="52"/>
      <c r="K393" s="52"/>
      <c r="L393" s="79"/>
    </row>
    <row r="394" spans="1:12" x14ac:dyDescent="0.25">
      <c r="A394" s="22"/>
      <c r="B394" s="52"/>
      <c r="C394" s="52"/>
      <c r="D394" s="52"/>
      <c r="E394" s="52"/>
      <c r="F394" s="79"/>
      <c r="G394" s="52"/>
      <c r="H394" s="52"/>
      <c r="I394" s="52"/>
      <c r="J394" s="52"/>
      <c r="K394" s="52"/>
      <c r="L394" s="79"/>
    </row>
    <row r="395" spans="1:12" x14ac:dyDescent="0.25">
      <c r="A395" s="22"/>
      <c r="B395" s="52"/>
      <c r="C395" s="52"/>
      <c r="D395" s="52"/>
      <c r="E395" s="52"/>
      <c r="F395" s="79"/>
      <c r="G395" s="52"/>
      <c r="H395" s="52"/>
      <c r="I395" s="52"/>
      <c r="J395" s="52"/>
      <c r="K395" s="52"/>
      <c r="L395" s="79"/>
    </row>
    <row r="396" spans="1:12" x14ac:dyDescent="0.25">
      <c r="A396" s="22"/>
      <c r="B396" s="52"/>
      <c r="C396" s="52"/>
      <c r="D396" s="52"/>
      <c r="E396" s="52"/>
      <c r="F396" s="79"/>
      <c r="G396" s="52"/>
      <c r="H396" s="52"/>
      <c r="I396" s="52"/>
      <c r="J396" s="52"/>
      <c r="K396" s="52"/>
      <c r="L396" s="79"/>
    </row>
    <row r="397" spans="1:12" x14ac:dyDescent="0.25">
      <c r="A397" s="22"/>
      <c r="B397" s="52"/>
      <c r="C397" s="52"/>
      <c r="D397" s="52"/>
      <c r="E397" s="52"/>
      <c r="F397" s="79"/>
      <c r="G397" s="52"/>
      <c r="H397" s="52"/>
      <c r="I397" s="52"/>
      <c r="J397" s="52"/>
      <c r="K397" s="52"/>
      <c r="L397" s="79"/>
    </row>
    <row r="398" spans="1:12" x14ac:dyDescent="0.25">
      <c r="A398" s="22"/>
      <c r="B398" s="52"/>
      <c r="C398" s="52"/>
      <c r="D398" s="52"/>
      <c r="E398" s="52"/>
      <c r="F398" s="79"/>
      <c r="G398" s="52"/>
      <c r="H398" s="52"/>
      <c r="I398" s="52"/>
      <c r="J398" s="52"/>
      <c r="K398" s="52"/>
      <c r="L398" s="79"/>
    </row>
    <row r="399" spans="1:12" x14ac:dyDescent="0.25">
      <c r="A399" s="22"/>
      <c r="B399" s="52"/>
      <c r="C399" s="52"/>
      <c r="D399" s="52"/>
      <c r="E399" s="52"/>
      <c r="F399" s="79"/>
      <c r="G399" s="52"/>
      <c r="H399" s="52"/>
      <c r="I399" s="52"/>
      <c r="J399" s="52"/>
      <c r="K399" s="52"/>
      <c r="L399" s="79"/>
    </row>
    <row r="400" spans="1:12" x14ac:dyDescent="0.25">
      <c r="A400" s="22"/>
      <c r="B400" s="52"/>
      <c r="C400" s="52"/>
      <c r="D400" s="52"/>
      <c r="E400" s="52"/>
      <c r="F400" s="79"/>
      <c r="G400" s="52"/>
      <c r="H400" s="52"/>
      <c r="I400" s="52"/>
      <c r="J400" s="52"/>
      <c r="K400" s="52"/>
      <c r="L400" s="79"/>
    </row>
    <row r="401" spans="1:12" x14ac:dyDescent="0.25">
      <c r="A401" s="22"/>
      <c r="B401" s="52"/>
      <c r="C401" s="52"/>
      <c r="D401" s="52"/>
      <c r="E401" s="52"/>
      <c r="F401" s="79"/>
      <c r="G401" s="52"/>
      <c r="H401" s="52"/>
      <c r="I401" s="52"/>
      <c r="J401" s="52"/>
      <c r="K401" s="52"/>
      <c r="L401" s="79"/>
    </row>
    <row r="402" spans="1:12" x14ac:dyDescent="0.25">
      <c r="A402" s="22"/>
      <c r="B402" s="52"/>
      <c r="C402" s="52"/>
      <c r="D402" s="52"/>
      <c r="E402" s="52"/>
      <c r="F402" s="79"/>
      <c r="G402" s="52"/>
      <c r="H402" s="52"/>
      <c r="I402" s="52"/>
      <c r="J402" s="52"/>
      <c r="K402" s="52"/>
      <c r="L402" s="79"/>
    </row>
    <row r="403" spans="1:12" x14ac:dyDescent="0.25">
      <c r="A403" s="22"/>
      <c r="B403" s="52"/>
      <c r="C403" s="52"/>
      <c r="D403" s="52"/>
      <c r="E403" s="52"/>
      <c r="F403" s="79"/>
      <c r="G403" s="52"/>
      <c r="H403" s="52"/>
      <c r="I403" s="52"/>
      <c r="J403" s="52"/>
      <c r="K403" s="52"/>
      <c r="L403" s="79"/>
    </row>
    <row r="404" spans="1:12" x14ac:dyDescent="0.25">
      <c r="A404" s="22"/>
      <c r="B404" s="52"/>
      <c r="C404" s="52"/>
      <c r="D404" s="52"/>
      <c r="E404" s="52"/>
      <c r="F404" s="79"/>
      <c r="G404" s="52"/>
      <c r="H404" s="52"/>
      <c r="I404" s="52"/>
      <c r="J404" s="52"/>
      <c r="K404" s="52"/>
      <c r="L404" s="79"/>
    </row>
    <row r="405" spans="1:12" x14ac:dyDescent="0.25">
      <c r="A405" s="22"/>
      <c r="B405" s="52"/>
      <c r="C405" s="52"/>
      <c r="D405" s="52"/>
      <c r="E405" s="52"/>
      <c r="F405" s="79"/>
      <c r="G405" s="52"/>
      <c r="H405" s="52"/>
      <c r="I405" s="52"/>
      <c r="J405" s="52"/>
      <c r="K405" s="52"/>
      <c r="L405" s="79"/>
    </row>
    <row r="406" spans="1:12" x14ac:dyDescent="0.25">
      <c r="A406" s="22"/>
      <c r="B406" s="52"/>
      <c r="C406" s="52"/>
      <c r="D406" s="52"/>
      <c r="E406" s="52"/>
      <c r="F406" s="79"/>
      <c r="G406" s="52"/>
      <c r="H406" s="52"/>
      <c r="I406" s="52"/>
      <c r="J406" s="52"/>
      <c r="K406" s="52"/>
      <c r="L406" s="79"/>
    </row>
    <row r="407" spans="1:12" x14ac:dyDescent="0.25">
      <c r="A407" s="22"/>
      <c r="B407" s="52"/>
      <c r="C407" s="52"/>
      <c r="D407" s="52"/>
      <c r="E407" s="52"/>
      <c r="F407" s="79"/>
      <c r="G407" s="52"/>
      <c r="H407" s="52"/>
      <c r="I407" s="52"/>
      <c r="J407" s="52"/>
      <c r="K407" s="52"/>
      <c r="L407" s="79"/>
    </row>
    <row r="408" spans="1:12" x14ac:dyDescent="0.25">
      <c r="A408" s="22"/>
      <c r="B408" s="52"/>
      <c r="C408" s="52"/>
      <c r="D408" s="52"/>
      <c r="E408" s="52"/>
      <c r="F408" s="79"/>
      <c r="G408" s="52"/>
      <c r="H408" s="52"/>
      <c r="I408" s="52"/>
      <c r="J408" s="52"/>
      <c r="K408" s="52"/>
      <c r="L408" s="79"/>
    </row>
    <row r="409" spans="1:12" x14ac:dyDescent="0.25">
      <c r="A409" s="22"/>
      <c r="B409" s="52"/>
      <c r="C409" s="52"/>
      <c r="D409" s="52"/>
      <c r="E409" s="52"/>
      <c r="F409" s="79"/>
      <c r="G409" s="52"/>
      <c r="H409" s="52"/>
      <c r="I409" s="52"/>
      <c r="J409" s="52"/>
      <c r="K409" s="52"/>
      <c r="L409" s="79"/>
    </row>
    <row r="410" spans="1:12" x14ac:dyDescent="0.25">
      <c r="A410" s="22"/>
      <c r="B410" s="52"/>
      <c r="C410" s="52"/>
      <c r="D410" s="52"/>
      <c r="E410" s="52"/>
      <c r="F410" s="79"/>
      <c r="G410" s="52"/>
      <c r="H410" s="52"/>
      <c r="I410" s="52"/>
      <c r="J410" s="52"/>
      <c r="K410" s="52"/>
      <c r="L410" s="79"/>
    </row>
    <row r="411" spans="1:12" x14ac:dyDescent="0.25">
      <c r="A411" s="22"/>
      <c r="B411" s="52"/>
      <c r="C411" s="52"/>
      <c r="D411" s="52"/>
      <c r="E411" s="52"/>
      <c r="F411" s="79"/>
      <c r="G411" s="52"/>
      <c r="H411" s="52"/>
      <c r="I411" s="52"/>
      <c r="J411" s="52"/>
      <c r="K411" s="52"/>
      <c r="L411" s="79"/>
    </row>
    <row r="412" spans="1:12" x14ac:dyDescent="0.25">
      <c r="A412" s="22"/>
      <c r="B412" s="52"/>
      <c r="C412" s="52"/>
      <c r="D412" s="52"/>
      <c r="E412" s="52"/>
      <c r="F412" s="79"/>
      <c r="G412" s="52"/>
      <c r="H412" s="52"/>
      <c r="I412" s="52"/>
      <c r="J412" s="52"/>
      <c r="K412" s="52"/>
      <c r="L412" s="79"/>
    </row>
    <row r="413" spans="1:12" x14ac:dyDescent="0.25">
      <c r="A413" s="22"/>
      <c r="B413" s="52"/>
      <c r="C413" s="52"/>
      <c r="D413" s="52"/>
      <c r="E413" s="52"/>
      <c r="F413" s="79"/>
      <c r="G413" s="52"/>
      <c r="H413" s="52"/>
      <c r="I413" s="52"/>
      <c r="J413" s="52"/>
      <c r="K413" s="52"/>
      <c r="L413" s="79"/>
    </row>
    <row r="414" spans="1:12" x14ac:dyDescent="0.25">
      <c r="A414" s="22"/>
      <c r="B414" s="52"/>
      <c r="C414" s="52"/>
      <c r="D414" s="52"/>
      <c r="E414" s="52"/>
      <c r="F414" s="79"/>
      <c r="G414" s="52"/>
      <c r="H414" s="52"/>
      <c r="I414" s="52"/>
      <c r="J414" s="52"/>
      <c r="K414" s="52"/>
      <c r="L414" s="79"/>
    </row>
    <row r="415" spans="1:12" x14ac:dyDescent="0.25">
      <c r="A415" s="22"/>
      <c r="B415" s="52"/>
      <c r="C415" s="52"/>
      <c r="D415" s="52"/>
      <c r="E415" s="52"/>
      <c r="F415" s="79"/>
      <c r="G415" s="52"/>
      <c r="H415" s="52"/>
      <c r="I415" s="52"/>
      <c r="J415" s="52"/>
      <c r="K415" s="52"/>
      <c r="L415" s="79"/>
    </row>
    <row r="416" spans="1:12" x14ac:dyDescent="0.25">
      <c r="A416" s="22"/>
      <c r="B416" s="52"/>
      <c r="C416" s="52"/>
      <c r="D416" s="52"/>
      <c r="E416" s="52"/>
      <c r="F416" s="79"/>
      <c r="G416" s="52"/>
      <c r="H416" s="52"/>
      <c r="I416" s="52"/>
      <c r="J416" s="52"/>
      <c r="K416" s="52"/>
      <c r="L416" s="79"/>
    </row>
    <row r="417" spans="1:12" x14ac:dyDescent="0.25">
      <c r="A417" s="22"/>
      <c r="B417" s="52"/>
      <c r="C417" s="52"/>
      <c r="D417" s="52"/>
      <c r="E417" s="52"/>
      <c r="F417" s="79"/>
      <c r="G417" s="52"/>
      <c r="H417" s="52"/>
      <c r="I417" s="52"/>
      <c r="J417" s="52"/>
      <c r="K417" s="52"/>
      <c r="L417" s="79"/>
    </row>
    <row r="418" spans="1:12" x14ac:dyDescent="0.25">
      <c r="A418" s="22"/>
      <c r="B418" s="52"/>
      <c r="C418" s="52"/>
      <c r="D418" s="52"/>
      <c r="E418" s="52"/>
      <c r="F418" s="79"/>
      <c r="G418" s="52"/>
      <c r="H418" s="52"/>
      <c r="I418" s="52"/>
      <c r="J418" s="52"/>
      <c r="K418" s="52"/>
      <c r="L418" s="79"/>
    </row>
    <row r="419" spans="1:12" x14ac:dyDescent="0.25">
      <c r="A419" s="22"/>
      <c r="B419" s="52"/>
      <c r="C419" s="52"/>
      <c r="D419" s="52"/>
      <c r="E419" s="52"/>
      <c r="F419" s="79"/>
      <c r="G419" s="52"/>
      <c r="H419" s="52"/>
      <c r="I419" s="52"/>
      <c r="J419" s="52"/>
      <c r="K419" s="52"/>
      <c r="L419" s="79"/>
    </row>
    <row r="420" spans="1:12" x14ac:dyDescent="0.25">
      <c r="A420" s="22"/>
      <c r="B420" s="52"/>
      <c r="C420" s="52"/>
      <c r="D420" s="52"/>
      <c r="E420" s="52"/>
      <c r="F420" s="79"/>
      <c r="G420" s="52"/>
      <c r="H420" s="52"/>
      <c r="I420" s="52"/>
      <c r="J420" s="52"/>
      <c r="K420" s="52"/>
      <c r="L420" s="79"/>
    </row>
    <row r="421" spans="1:12" x14ac:dyDescent="0.25">
      <c r="A421" s="22"/>
      <c r="B421" s="52"/>
      <c r="C421" s="52"/>
      <c r="D421" s="52"/>
      <c r="E421" s="52"/>
      <c r="F421" s="79"/>
      <c r="G421" s="52"/>
      <c r="H421" s="52"/>
      <c r="I421" s="52"/>
      <c r="J421" s="52"/>
      <c r="K421" s="52"/>
      <c r="L421" s="79"/>
    </row>
    <row r="422" spans="1:12" x14ac:dyDescent="0.25">
      <c r="A422" s="22"/>
      <c r="B422" s="52"/>
      <c r="C422" s="52"/>
      <c r="D422" s="52"/>
      <c r="E422" s="52"/>
      <c r="F422" s="79"/>
      <c r="G422" s="52"/>
      <c r="H422" s="52"/>
      <c r="I422" s="52"/>
      <c r="J422" s="52"/>
      <c r="K422" s="52"/>
      <c r="L422" s="79"/>
    </row>
    <row r="423" spans="1:12" x14ac:dyDescent="0.25">
      <c r="A423" s="22"/>
      <c r="B423" s="52"/>
      <c r="C423" s="52"/>
      <c r="D423" s="52"/>
      <c r="E423" s="52"/>
      <c r="F423" s="79"/>
      <c r="G423" s="52"/>
      <c r="H423" s="52"/>
      <c r="I423" s="52"/>
      <c r="J423" s="52"/>
      <c r="K423" s="52"/>
      <c r="L423" s="79"/>
    </row>
    <row r="424" spans="1:12" x14ac:dyDescent="0.25">
      <c r="A424" s="22"/>
      <c r="B424" s="52"/>
      <c r="C424" s="52"/>
      <c r="D424" s="52"/>
      <c r="E424" s="52"/>
      <c r="F424" s="79"/>
      <c r="G424" s="52"/>
      <c r="H424" s="52"/>
      <c r="I424" s="52"/>
      <c r="J424" s="52"/>
      <c r="K424" s="52"/>
      <c r="L424" s="79"/>
    </row>
    <row r="425" spans="1:12" x14ac:dyDescent="0.25">
      <c r="A425" s="22"/>
      <c r="B425" s="52"/>
      <c r="C425" s="52"/>
      <c r="D425" s="52"/>
      <c r="E425" s="52"/>
      <c r="F425" s="79"/>
      <c r="G425" s="52"/>
      <c r="H425" s="52"/>
      <c r="I425" s="52"/>
      <c r="J425" s="52"/>
      <c r="K425" s="52"/>
      <c r="L425" s="79"/>
    </row>
    <row r="426" spans="1:12" x14ac:dyDescent="0.25">
      <c r="A426" s="22"/>
      <c r="B426" s="52"/>
      <c r="C426" s="52"/>
      <c r="D426" s="52"/>
      <c r="E426" s="52"/>
      <c r="F426" s="79"/>
      <c r="G426" s="52"/>
      <c r="H426" s="52"/>
      <c r="I426" s="52"/>
      <c r="J426" s="52"/>
      <c r="K426" s="52"/>
      <c r="L426" s="79"/>
    </row>
    <row r="427" spans="1:12" x14ac:dyDescent="0.25">
      <c r="A427" s="22"/>
      <c r="B427" s="52"/>
      <c r="C427" s="52"/>
      <c r="D427" s="52"/>
      <c r="E427" s="52"/>
      <c r="F427" s="79"/>
      <c r="G427" s="52"/>
      <c r="H427" s="52"/>
      <c r="I427" s="52"/>
      <c r="J427" s="52"/>
      <c r="K427" s="52"/>
      <c r="L427" s="79"/>
    </row>
    <row r="428" spans="1:12" x14ac:dyDescent="0.25">
      <c r="A428" s="22"/>
      <c r="B428" s="52"/>
      <c r="C428" s="52"/>
      <c r="D428" s="52"/>
      <c r="E428" s="52"/>
      <c r="F428" s="79"/>
      <c r="G428" s="52"/>
      <c r="H428" s="52"/>
      <c r="I428" s="52"/>
      <c r="J428" s="52"/>
      <c r="K428" s="52"/>
      <c r="L428" s="79"/>
    </row>
    <row r="429" spans="1:12" x14ac:dyDescent="0.25">
      <c r="A429" s="22"/>
      <c r="B429" s="52"/>
      <c r="C429" s="52"/>
      <c r="D429" s="52"/>
      <c r="E429" s="52"/>
      <c r="F429" s="79"/>
      <c r="G429" s="52"/>
      <c r="H429" s="52"/>
      <c r="I429" s="52"/>
      <c r="J429" s="52"/>
      <c r="K429" s="52"/>
      <c r="L429" s="79"/>
    </row>
    <row r="430" spans="1:12" x14ac:dyDescent="0.25">
      <c r="A430" s="22"/>
      <c r="B430" s="52"/>
      <c r="C430" s="52"/>
      <c r="D430" s="52"/>
      <c r="E430" s="52"/>
      <c r="F430" s="79"/>
      <c r="G430" s="52"/>
      <c r="H430" s="52"/>
      <c r="I430" s="52"/>
      <c r="J430" s="52"/>
      <c r="K430" s="52"/>
      <c r="L430" s="79"/>
    </row>
    <row r="431" spans="1:12" x14ac:dyDescent="0.25">
      <c r="A431" s="22"/>
      <c r="B431" s="52"/>
      <c r="C431" s="52"/>
      <c r="D431" s="52"/>
      <c r="E431" s="52"/>
      <c r="F431" s="79"/>
      <c r="G431" s="52"/>
      <c r="H431" s="52"/>
      <c r="I431" s="52"/>
      <c r="J431" s="52"/>
      <c r="K431" s="52"/>
      <c r="L431" s="79"/>
    </row>
    <row r="432" spans="1:12" x14ac:dyDescent="0.25">
      <c r="A432" s="22"/>
      <c r="B432" s="52"/>
      <c r="C432" s="52"/>
      <c r="D432" s="52"/>
      <c r="E432" s="52"/>
      <c r="F432" s="79"/>
      <c r="G432" s="52"/>
      <c r="H432" s="52"/>
      <c r="I432" s="52"/>
      <c r="J432" s="52"/>
      <c r="K432" s="52"/>
      <c r="L432" s="79"/>
    </row>
    <row r="433" spans="1:12" x14ac:dyDescent="0.25">
      <c r="A433" s="22"/>
      <c r="B433" s="52"/>
      <c r="C433" s="52"/>
      <c r="D433" s="52"/>
      <c r="E433" s="52"/>
      <c r="F433" s="79"/>
      <c r="G433" s="52"/>
      <c r="H433" s="52"/>
      <c r="I433" s="52"/>
      <c r="J433" s="52"/>
      <c r="K433" s="52"/>
      <c r="L433" s="79"/>
    </row>
    <row r="434" spans="1:12" x14ac:dyDescent="0.25">
      <c r="A434" s="22"/>
      <c r="B434" s="52"/>
      <c r="C434" s="52"/>
      <c r="D434" s="52"/>
      <c r="E434" s="52"/>
      <c r="F434" s="79"/>
      <c r="G434" s="52"/>
      <c r="H434" s="52"/>
      <c r="I434" s="52"/>
      <c r="J434" s="52"/>
      <c r="K434" s="52"/>
      <c r="L434" s="79"/>
    </row>
    <row r="435" spans="1:12" x14ac:dyDescent="0.25">
      <c r="A435" s="22"/>
      <c r="B435" s="52"/>
      <c r="C435" s="52"/>
      <c r="D435" s="52"/>
      <c r="E435" s="52"/>
      <c r="F435" s="79"/>
      <c r="G435" s="52"/>
      <c r="H435" s="52"/>
      <c r="I435" s="52"/>
      <c r="J435" s="52"/>
      <c r="K435" s="52"/>
      <c r="L435" s="79"/>
    </row>
    <row r="436" spans="1:12" x14ac:dyDescent="0.25">
      <c r="A436" s="22"/>
      <c r="B436" s="52"/>
      <c r="C436" s="52"/>
      <c r="D436" s="52"/>
      <c r="E436" s="52"/>
      <c r="F436" s="79"/>
      <c r="G436" s="52"/>
      <c r="H436" s="52"/>
      <c r="I436" s="52"/>
      <c r="J436" s="52"/>
      <c r="K436" s="52"/>
      <c r="L436" s="79"/>
    </row>
    <row r="437" spans="1:12" x14ac:dyDescent="0.25">
      <c r="A437" s="22"/>
      <c r="B437" s="52"/>
      <c r="C437" s="52"/>
      <c r="D437" s="52"/>
      <c r="E437" s="52"/>
      <c r="F437" s="79"/>
      <c r="G437" s="52"/>
      <c r="H437" s="52"/>
      <c r="I437" s="52"/>
      <c r="J437" s="52"/>
      <c r="K437" s="52"/>
      <c r="L437" s="79"/>
    </row>
    <row r="438" spans="1:12" x14ac:dyDescent="0.25">
      <c r="A438" s="22"/>
      <c r="B438" s="52"/>
      <c r="C438" s="52"/>
      <c r="D438" s="52"/>
      <c r="E438" s="52"/>
      <c r="F438" s="79"/>
      <c r="G438" s="52"/>
      <c r="H438" s="52"/>
      <c r="I438" s="52"/>
      <c r="J438" s="52"/>
      <c r="K438" s="52"/>
      <c r="L438" s="79"/>
    </row>
    <row r="439" spans="1:12" x14ac:dyDescent="0.25">
      <c r="A439" s="22"/>
      <c r="B439" s="52"/>
      <c r="C439" s="52"/>
      <c r="D439" s="52"/>
      <c r="E439" s="52"/>
      <c r="F439" s="79"/>
      <c r="G439" s="52"/>
      <c r="H439" s="52"/>
      <c r="I439" s="52"/>
      <c r="J439" s="52"/>
      <c r="K439" s="52"/>
      <c r="L439" s="79"/>
    </row>
    <row r="440" spans="1:12" x14ac:dyDescent="0.25">
      <c r="A440" s="22"/>
      <c r="B440" s="52"/>
      <c r="C440" s="52"/>
      <c r="D440" s="52"/>
      <c r="E440" s="52"/>
      <c r="F440" s="79"/>
      <c r="G440" s="52"/>
      <c r="H440" s="52"/>
      <c r="I440" s="52"/>
      <c r="J440" s="52"/>
      <c r="K440" s="52"/>
      <c r="L440" s="79"/>
    </row>
    <row r="441" spans="1:12" x14ac:dyDescent="0.25">
      <c r="A441" s="22"/>
      <c r="B441" s="52"/>
      <c r="C441" s="52"/>
      <c r="D441" s="52"/>
      <c r="E441" s="52"/>
      <c r="F441" s="79"/>
      <c r="G441" s="52"/>
      <c r="H441" s="52"/>
      <c r="I441" s="52"/>
      <c r="J441" s="52"/>
      <c r="K441" s="52"/>
      <c r="L441" s="79"/>
    </row>
    <row r="442" spans="1:12" x14ac:dyDescent="0.25">
      <c r="A442" s="22"/>
      <c r="B442" s="52"/>
      <c r="C442" s="52"/>
      <c r="D442" s="52"/>
      <c r="E442" s="52"/>
      <c r="F442" s="79"/>
      <c r="G442" s="52"/>
      <c r="H442" s="52"/>
      <c r="I442" s="52"/>
      <c r="J442" s="52"/>
      <c r="K442" s="52"/>
      <c r="L442" s="79"/>
    </row>
    <row r="443" spans="1:12" x14ac:dyDescent="0.25">
      <c r="A443" s="22"/>
      <c r="B443" s="52"/>
      <c r="C443" s="52"/>
      <c r="D443" s="52"/>
      <c r="E443" s="52"/>
      <c r="F443" s="79"/>
      <c r="G443" s="52"/>
      <c r="H443" s="52"/>
      <c r="I443" s="52"/>
      <c r="J443" s="52"/>
      <c r="K443" s="52"/>
      <c r="L443" s="79"/>
    </row>
    <row r="444" spans="1:12" x14ac:dyDescent="0.25">
      <c r="A444" s="22"/>
      <c r="B444" s="52"/>
      <c r="C444" s="52"/>
      <c r="D444" s="52"/>
      <c r="E444" s="52"/>
      <c r="F444" s="79"/>
      <c r="G444" s="52"/>
      <c r="H444" s="52"/>
      <c r="I444" s="52"/>
      <c r="J444" s="52"/>
      <c r="K444" s="52"/>
      <c r="L444" s="79"/>
    </row>
    <row r="445" spans="1:12" x14ac:dyDescent="0.25">
      <c r="A445" s="22"/>
      <c r="B445" s="52"/>
      <c r="C445" s="52"/>
      <c r="D445" s="52"/>
      <c r="E445" s="52"/>
      <c r="F445" s="79"/>
      <c r="G445" s="52"/>
      <c r="H445" s="52"/>
      <c r="I445" s="52"/>
      <c r="J445" s="52"/>
      <c r="K445" s="52"/>
      <c r="L445" s="79"/>
    </row>
    <row r="446" spans="1:12" x14ac:dyDescent="0.25">
      <c r="A446" s="22"/>
      <c r="B446" s="52"/>
      <c r="C446" s="52"/>
      <c r="D446" s="52"/>
      <c r="E446" s="52"/>
      <c r="F446" s="79"/>
      <c r="G446" s="52"/>
      <c r="H446" s="52"/>
      <c r="I446" s="52"/>
      <c r="J446" s="52"/>
      <c r="K446" s="52"/>
      <c r="L446" s="79"/>
    </row>
    <row r="447" spans="1:12" x14ac:dyDescent="0.25">
      <c r="A447" s="22"/>
      <c r="B447" s="52"/>
      <c r="C447" s="52"/>
      <c r="D447" s="52"/>
      <c r="E447" s="52"/>
      <c r="F447" s="79"/>
      <c r="G447" s="52"/>
      <c r="H447" s="52"/>
      <c r="I447" s="52"/>
      <c r="J447" s="52"/>
      <c r="K447" s="52"/>
      <c r="L447" s="79"/>
    </row>
    <row r="448" spans="1:12" x14ac:dyDescent="0.25">
      <c r="A448" s="22"/>
      <c r="B448" s="52"/>
      <c r="C448" s="52"/>
      <c r="D448" s="52"/>
      <c r="E448" s="52"/>
      <c r="F448" s="79"/>
      <c r="G448" s="52"/>
      <c r="H448" s="52"/>
      <c r="I448" s="52"/>
      <c r="J448" s="52"/>
      <c r="K448" s="52"/>
      <c r="L448" s="79"/>
    </row>
    <row r="449" spans="1:12" x14ac:dyDescent="0.25">
      <c r="A449" s="22"/>
      <c r="B449" s="52"/>
      <c r="C449" s="52"/>
      <c r="D449" s="52"/>
      <c r="E449" s="52"/>
      <c r="F449" s="79"/>
      <c r="G449" s="52"/>
      <c r="H449" s="52"/>
      <c r="I449" s="52"/>
      <c r="J449" s="52"/>
      <c r="K449" s="52"/>
      <c r="L449" s="79"/>
    </row>
    <row r="450" spans="1:12" x14ac:dyDescent="0.25">
      <c r="A450" s="22"/>
      <c r="B450" s="52"/>
      <c r="C450" s="52"/>
      <c r="D450" s="52"/>
      <c r="E450" s="52"/>
      <c r="F450" s="79"/>
      <c r="G450" s="52"/>
      <c r="H450" s="52"/>
      <c r="I450" s="52"/>
      <c r="J450" s="52"/>
      <c r="K450" s="52"/>
      <c r="L450" s="79"/>
    </row>
    <row r="451" spans="1:12" x14ac:dyDescent="0.25">
      <c r="A451" s="22"/>
      <c r="B451" s="52"/>
      <c r="C451" s="52"/>
      <c r="D451" s="52"/>
      <c r="E451" s="52"/>
      <c r="F451" s="79"/>
      <c r="G451" s="52"/>
      <c r="H451" s="52"/>
      <c r="I451" s="52"/>
      <c r="J451" s="52"/>
      <c r="K451" s="52"/>
      <c r="L451" s="79"/>
    </row>
    <row r="452" spans="1:12" x14ac:dyDescent="0.25">
      <c r="A452" s="22"/>
      <c r="B452" s="52"/>
      <c r="C452" s="52"/>
      <c r="D452" s="52"/>
      <c r="E452" s="52"/>
      <c r="F452" s="79"/>
      <c r="G452" s="52"/>
      <c r="H452" s="52"/>
      <c r="I452" s="52"/>
      <c r="J452" s="52"/>
      <c r="K452" s="52"/>
      <c r="L452" s="79"/>
    </row>
    <row r="453" spans="1:12" x14ac:dyDescent="0.25">
      <c r="A453" s="22"/>
      <c r="B453" s="52"/>
      <c r="C453" s="52"/>
      <c r="D453" s="52"/>
      <c r="E453" s="52"/>
      <c r="F453" s="79"/>
      <c r="G453" s="52"/>
      <c r="H453" s="52"/>
      <c r="I453" s="52"/>
      <c r="J453" s="52"/>
      <c r="K453" s="52"/>
      <c r="L453" s="79"/>
    </row>
    <row r="454" spans="1:12" x14ac:dyDescent="0.25">
      <c r="A454" s="22"/>
      <c r="B454" s="52"/>
      <c r="C454" s="52"/>
      <c r="D454" s="52"/>
      <c r="E454" s="52"/>
      <c r="F454" s="79"/>
      <c r="G454" s="52"/>
      <c r="H454" s="52"/>
      <c r="I454" s="52"/>
      <c r="J454" s="52"/>
      <c r="K454" s="52"/>
      <c r="L454" s="79"/>
    </row>
    <row r="455" spans="1:12" x14ac:dyDescent="0.25">
      <c r="A455" s="22"/>
      <c r="B455" s="52"/>
      <c r="C455" s="52"/>
      <c r="D455" s="52"/>
      <c r="E455" s="52"/>
      <c r="F455" s="79"/>
      <c r="G455" s="52"/>
      <c r="H455" s="52"/>
      <c r="I455" s="52"/>
      <c r="J455" s="52"/>
      <c r="K455" s="52"/>
      <c r="L455" s="79"/>
    </row>
    <row r="456" spans="1:12" x14ac:dyDescent="0.25">
      <c r="A456" s="22"/>
      <c r="B456" s="52"/>
      <c r="C456" s="52"/>
      <c r="D456" s="52"/>
      <c r="E456" s="52"/>
      <c r="F456" s="79"/>
      <c r="G456" s="52"/>
      <c r="H456" s="52"/>
      <c r="I456" s="52"/>
      <c r="J456" s="52"/>
      <c r="K456" s="52"/>
      <c r="L456" s="79"/>
    </row>
    <row r="457" spans="1:12" x14ac:dyDescent="0.25">
      <c r="A457" s="22"/>
      <c r="B457" s="52"/>
      <c r="C457" s="52"/>
      <c r="D457" s="52"/>
      <c r="E457" s="52"/>
      <c r="F457" s="79"/>
      <c r="G457" s="52"/>
      <c r="H457" s="52"/>
      <c r="I457" s="52"/>
      <c r="J457" s="52"/>
      <c r="K457" s="52"/>
      <c r="L457" s="79"/>
    </row>
    <row r="458" spans="1:12" x14ac:dyDescent="0.25">
      <c r="A458" s="22"/>
      <c r="B458" s="52"/>
      <c r="C458" s="52"/>
      <c r="D458" s="52"/>
      <c r="E458" s="52"/>
      <c r="F458" s="79"/>
      <c r="G458" s="52"/>
      <c r="H458" s="52"/>
      <c r="I458" s="52"/>
      <c r="J458" s="52"/>
      <c r="K458" s="52"/>
      <c r="L458" s="79"/>
    </row>
    <row r="459" spans="1:12" x14ac:dyDescent="0.25">
      <c r="A459" s="22"/>
      <c r="B459" s="52"/>
      <c r="C459" s="52"/>
      <c r="D459" s="52"/>
      <c r="E459" s="52"/>
      <c r="F459" s="79"/>
      <c r="G459" s="52"/>
      <c r="H459" s="52"/>
      <c r="I459" s="52"/>
      <c r="J459" s="52"/>
      <c r="K459" s="52"/>
      <c r="L459" s="79"/>
    </row>
    <row r="460" spans="1:12" x14ac:dyDescent="0.25">
      <c r="A460" s="22"/>
      <c r="B460" s="52"/>
      <c r="C460" s="52"/>
      <c r="D460" s="52"/>
      <c r="E460" s="52"/>
      <c r="F460" s="79"/>
      <c r="G460" s="52"/>
      <c r="H460" s="52"/>
      <c r="I460" s="52"/>
      <c r="J460" s="52"/>
      <c r="K460" s="52"/>
      <c r="L460" s="79"/>
    </row>
    <row r="461" spans="1:12" x14ac:dyDescent="0.25">
      <c r="A461" s="22"/>
      <c r="B461" s="52"/>
      <c r="C461" s="52"/>
      <c r="D461" s="52"/>
      <c r="E461" s="52"/>
      <c r="F461" s="79"/>
      <c r="G461" s="52"/>
      <c r="H461" s="52"/>
      <c r="I461" s="52"/>
      <c r="J461" s="52"/>
      <c r="K461" s="52"/>
      <c r="L461" s="79"/>
    </row>
    <row r="462" spans="1:12" x14ac:dyDescent="0.25">
      <c r="A462" s="22"/>
      <c r="B462" s="52"/>
      <c r="C462" s="52"/>
      <c r="D462" s="52"/>
      <c r="E462" s="52"/>
      <c r="F462" s="79"/>
      <c r="G462" s="52"/>
      <c r="H462" s="52"/>
      <c r="I462" s="52"/>
      <c r="J462" s="52"/>
      <c r="K462" s="52"/>
      <c r="L462" s="79"/>
    </row>
    <row r="463" spans="1:12" x14ac:dyDescent="0.25">
      <c r="A463" s="22"/>
      <c r="B463" s="52"/>
      <c r="C463" s="52"/>
      <c r="D463" s="52"/>
      <c r="E463" s="52"/>
      <c r="F463" s="79"/>
      <c r="G463" s="52"/>
      <c r="H463" s="52"/>
      <c r="I463" s="52"/>
      <c r="J463" s="52"/>
      <c r="K463" s="52"/>
      <c r="L463" s="79"/>
    </row>
    <row r="464" spans="1:12" x14ac:dyDescent="0.25">
      <c r="A464" s="22"/>
      <c r="B464" s="52"/>
      <c r="C464" s="52"/>
      <c r="D464" s="52"/>
      <c r="E464" s="52"/>
      <c r="F464" s="79"/>
      <c r="G464" s="52"/>
      <c r="H464" s="52"/>
      <c r="I464" s="52"/>
      <c r="J464" s="52"/>
      <c r="K464" s="52"/>
      <c r="L464" s="79"/>
    </row>
    <row r="465" spans="1:12" x14ac:dyDescent="0.25">
      <c r="A465" s="22"/>
      <c r="B465" s="52"/>
      <c r="C465" s="52"/>
      <c r="D465" s="52"/>
      <c r="E465" s="52"/>
      <c r="F465" s="79"/>
      <c r="G465" s="52"/>
      <c r="H465" s="52"/>
      <c r="I465" s="52"/>
      <c r="J465" s="52"/>
      <c r="K465" s="52"/>
      <c r="L465" s="79"/>
    </row>
    <row r="466" spans="1:12" x14ac:dyDescent="0.25">
      <c r="A466" s="22"/>
      <c r="B466" s="52"/>
      <c r="C466" s="52"/>
      <c r="D466" s="52"/>
      <c r="E466" s="52"/>
      <c r="F466" s="79"/>
      <c r="G466" s="52"/>
      <c r="H466" s="52"/>
      <c r="I466" s="52"/>
      <c r="J466" s="52"/>
      <c r="K466" s="52"/>
      <c r="L466" s="79"/>
    </row>
    <row r="467" spans="1:12" x14ac:dyDescent="0.25">
      <c r="A467" s="22"/>
      <c r="B467" s="52"/>
      <c r="C467" s="52"/>
      <c r="D467" s="52"/>
      <c r="E467" s="52"/>
      <c r="F467" s="79"/>
      <c r="G467" s="52"/>
      <c r="H467" s="52"/>
      <c r="I467" s="52"/>
      <c r="J467" s="52"/>
      <c r="K467" s="52"/>
      <c r="L467" s="79"/>
    </row>
    <row r="468" spans="1:12" x14ac:dyDescent="0.25">
      <c r="A468" s="22"/>
      <c r="B468" s="52"/>
      <c r="C468" s="52"/>
      <c r="D468" s="52"/>
      <c r="E468" s="52"/>
      <c r="F468" s="79"/>
      <c r="G468" s="52"/>
      <c r="H468" s="52"/>
      <c r="I468" s="52"/>
      <c r="J468" s="52"/>
      <c r="K468" s="52"/>
      <c r="L468" s="79"/>
    </row>
    <row r="469" spans="1:12" x14ac:dyDescent="0.25">
      <c r="A469" s="22"/>
      <c r="B469" s="52"/>
      <c r="C469" s="52"/>
      <c r="D469" s="52"/>
      <c r="E469" s="52"/>
      <c r="F469" s="79"/>
      <c r="G469" s="52"/>
      <c r="H469" s="52"/>
      <c r="I469" s="52"/>
      <c r="J469" s="52"/>
      <c r="K469" s="52"/>
      <c r="L469" s="79"/>
    </row>
    <row r="470" spans="1:12" x14ac:dyDescent="0.25">
      <c r="A470" s="22"/>
      <c r="B470" s="52"/>
      <c r="C470" s="52"/>
      <c r="D470" s="52"/>
      <c r="E470" s="52"/>
      <c r="F470" s="79"/>
      <c r="G470" s="52"/>
      <c r="H470" s="52"/>
      <c r="I470" s="52"/>
      <c r="J470" s="52"/>
      <c r="K470" s="52"/>
      <c r="L470" s="79"/>
    </row>
    <row r="471" spans="1:12" x14ac:dyDescent="0.25">
      <c r="A471" s="22"/>
      <c r="B471" s="52"/>
      <c r="C471" s="52"/>
      <c r="D471" s="52"/>
      <c r="E471" s="52"/>
      <c r="F471" s="79"/>
      <c r="G471" s="52"/>
      <c r="H471" s="52"/>
      <c r="I471" s="52"/>
      <c r="J471" s="52"/>
      <c r="K471" s="52"/>
      <c r="L471" s="79"/>
    </row>
    <row r="472" spans="1:12" x14ac:dyDescent="0.25">
      <c r="A472" s="22"/>
      <c r="B472" s="52"/>
      <c r="C472" s="52"/>
      <c r="D472" s="52"/>
      <c r="E472" s="52"/>
      <c r="F472" s="79"/>
      <c r="G472" s="52"/>
      <c r="H472" s="52"/>
      <c r="I472" s="52"/>
      <c r="J472" s="52"/>
      <c r="K472" s="52"/>
      <c r="L472" s="79"/>
    </row>
    <row r="473" spans="1:12" x14ac:dyDescent="0.25">
      <c r="A473" s="22"/>
      <c r="B473" s="52"/>
      <c r="C473" s="52"/>
      <c r="D473" s="52"/>
      <c r="E473" s="52"/>
      <c r="F473" s="79"/>
      <c r="G473" s="52"/>
      <c r="H473" s="52"/>
      <c r="I473" s="52"/>
      <c r="J473" s="52"/>
      <c r="K473" s="52"/>
      <c r="L473" s="79"/>
    </row>
    <row r="474" spans="1:12" x14ac:dyDescent="0.25">
      <c r="A474" s="22"/>
      <c r="B474" s="52"/>
      <c r="C474" s="52"/>
      <c r="D474" s="52"/>
      <c r="E474" s="52"/>
      <c r="F474" s="79"/>
      <c r="G474" s="52"/>
      <c r="H474" s="52"/>
      <c r="I474" s="52"/>
      <c r="J474" s="52"/>
      <c r="K474" s="52"/>
      <c r="L474" s="79"/>
    </row>
    <row r="475" spans="1:12" x14ac:dyDescent="0.25">
      <c r="A475" s="22"/>
      <c r="B475" s="52"/>
      <c r="C475" s="52"/>
      <c r="D475" s="52"/>
      <c r="E475" s="52"/>
      <c r="F475" s="79"/>
      <c r="G475" s="52"/>
      <c r="H475" s="52"/>
      <c r="I475" s="52"/>
      <c r="J475" s="52"/>
      <c r="K475" s="52"/>
      <c r="L475" s="79"/>
    </row>
    <row r="476" spans="1:12" x14ac:dyDescent="0.25">
      <c r="A476" s="22"/>
      <c r="B476" s="52"/>
      <c r="C476" s="52"/>
      <c r="D476" s="52"/>
      <c r="E476" s="52"/>
      <c r="F476" s="79"/>
      <c r="G476" s="52"/>
      <c r="H476" s="52"/>
      <c r="I476" s="52"/>
      <c r="J476" s="52"/>
      <c r="K476" s="52"/>
      <c r="L476" s="79"/>
    </row>
    <row r="477" spans="1:12" x14ac:dyDescent="0.25">
      <c r="A477" s="22"/>
      <c r="B477" s="52"/>
      <c r="C477" s="52"/>
      <c r="D477" s="52"/>
      <c r="E477" s="52"/>
      <c r="F477" s="79"/>
      <c r="G477" s="52"/>
      <c r="H477" s="52"/>
      <c r="I477" s="52"/>
      <c r="J477" s="52"/>
      <c r="K477" s="52"/>
      <c r="L477" s="79"/>
    </row>
    <row r="478" spans="1:12" x14ac:dyDescent="0.25">
      <c r="A478" s="22"/>
      <c r="B478" s="52"/>
      <c r="C478" s="52"/>
      <c r="D478" s="52"/>
      <c r="E478" s="52"/>
      <c r="F478" s="79"/>
      <c r="G478" s="52"/>
      <c r="H478" s="52"/>
      <c r="I478" s="52"/>
      <c r="J478" s="52"/>
      <c r="K478" s="52"/>
      <c r="L478" s="79"/>
    </row>
    <row r="479" spans="1:12" x14ac:dyDescent="0.25">
      <c r="A479" s="22"/>
      <c r="B479" s="52"/>
      <c r="C479" s="52"/>
      <c r="D479" s="52"/>
      <c r="E479" s="52"/>
      <c r="F479" s="79"/>
      <c r="G479" s="52"/>
      <c r="H479" s="52"/>
      <c r="I479" s="52"/>
      <c r="J479" s="52"/>
      <c r="K479" s="52"/>
      <c r="L479" s="79"/>
    </row>
    <row r="480" spans="1:12" x14ac:dyDescent="0.25">
      <c r="A480" s="22"/>
      <c r="B480" s="52"/>
      <c r="C480" s="52"/>
      <c r="D480" s="52"/>
      <c r="E480" s="52"/>
      <c r="F480" s="79"/>
      <c r="G480" s="52"/>
      <c r="H480" s="52"/>
      <c r="I480" s="52"/>
      <c r="J480" s="52"/>
      <c r="K480" s="52"/>
      <c r="L480" s="79"/>
    </row>
    <row r="481" spans="1:12" x14ac:dyDescent="0.25">
      <c r="A481" s="22"/>
      <c r="B481" s="52"/>
      <c r="C481" s="52"/>
      <c r="D481" s="52"/>
      <c r="E481" s="52"/>
      <c r="F481" s="79"/>
      <c r="G481" s="52"/>
      <c r="H481" s="52"/>
      <c r="I481" s="52"/>
      <c r="J481" s="52"/>
      <c r="K481" s="52"/>
      <c r="L481" s="79"/>
    </row>
    <row r="482" spans="1:12" x14ac:dyDescent="0.25">
      <c r="A482" s="22"/>
      <c r="B482" s="52"/>
      <c r="C482" s="52"/>
      <c r="D482" s="52"/>
      <c r="E482" s="52"/>
      <c r="F482" s="79"/>
      <c r="G482" s="52"/>
      <c r="H482" s="52"/>
      <c r="I482" s="52"/>
      <c r="J482" s="52"/>
      <c r="K482" s="52"/>
      <c r="L482" s="79"/>
    </row>
    <row r="483" spans="1:12" x14ac:dyDescent="0.25">
      <c r="A483" s="22"/>
      <c r="B483" s="52"/>
      <c r="C483" s="52"/>
      <c r="D483" s="52"/>
      <c r="E483" s="52"/>
      <c r="F483" s="79"/>
      <c r="G483" s="52"/>
      <c r="H483" s="52"/>
      <c r="I483" s="52"/>
      <c r="J483" s="52"/>
      <c r="K483" s="52"/>
      <c r="L483" s="79"/>
    </row>
    <row r="484" spans="1:12" x14ac:dyDescent="0.25">
      <c r="A484" s="22"/>
      <c r="B484" s="52"/>
      <c r="C484" s="52"/>
      <c r="D484" s="52"/>
      <c r="E484" s="52"/>
      <c r="F484" s="79"/>
      <c r="G484" s="52"/>
      <c r="H484" s="52"/>
      <c r="I484" s="52"/>
      <c r="J484" s="52"/>
      <c r="K484" s="52"/>
      <c r="L484" s="79"/>
    </row>
    <row r="485" spans="1:12" x14ac:dyDescent="0.25">
      <c r="A485" s="22"/>
      <c r="B485" s="52"/>
      <c r="C485" s="52"/>
      <c r="D485" s="52"/>
      <c r="E485" s="52"/>
      <c r="F485" s="79"/>
      <c r="G485" s="52"/>
      <c r="H485" s="52"/>
      <c r="I485" s="52"/>
      <c r="J485" s="52"/>
      <c r="K485" s="52"/>
      <c r="L485" s="79"/>
    </row>
    <row r="486" spans="1:12" x14ac:dyDescent="0.25">
      <c r="A486" s="22"/>
      <c r="B486" s="52"/>
      <c r="C486" s="52"/>
      <c r="D486" s="52"/>
      <c r="E486" s="52"/>
      <c r="F486" s="79"/>
      <c r="G486" s="52"/>
      <c r="H486" s="52"/>
      <c r="I486" s="52"/>
      <c r="J486" s="52"/>
      <c r="K486" s="52"/>
      <c r="L486" s="79"/>
    </row>
    <row r="487" spans="1:12" x14ac:dyDescent="0.25">
      <c r="A487" s="22"/>
      <c r="B487" s="52"/>
      <c r="C487" s="52"/>
      <c r="D487" s="52"/>
      <c r="E487" s="52"/>
      <c r="F487" s="79"/>
      <c r="G487" s="52"/>
      <c r="H487" s="52"/>
      <c r="I487" s="52"/>
      <c r="J487" s="52"/>
      <c r="K487" s="52"/>
      <c r="L487" s="79"/>
    </row>
    <row r="488" spans="1:12" x14ac:dyDescent="0.25">
      <c r="A488" s="22"/>
      <c r="B488" s="52"/>
      <c r="C488" s="52"/>
      <c r="D488" s="52"/>
      <c r="E488" s="52"/>
      <c r="F488" s="79"/>
      <c r="G488" s="52"/>
      <c r="H488" s="52"/>
      <c r="I488" s="52"/>
      <c r="J488" s="52"/>
      <c r="K488" s="52"/>
      <c r="L488" s="79"/>
    </row>
    <row r="489" spans="1:12" x14ac:dyDescent="0.25">
      <c r="A489" s="22"/>
      <c r="B489" s="52"/>
      <c r="C489" s="52"/>
      <c r="D489" s="52"/>
      <c r="E489" s="52"/>
      <c r="F489" s="79"/>
      <c r="G489" s="52"/>
      <c r="H489" s="52"/>
      <c r="I489" s="52"/>
      <c r="J489" s="52"/>
      <c r="K489" s="52"/>
      <c r="L489" s="79"/>
    </row>
    <row r="490" spans="1:12" x14ac:dyDescent="0.25">
      <c r="A490" s="22"/>
      <c r="B490" s="52"/>
      <c r="C490" s="52"/>
      <c r="D490" s="52"/>
      <c r="E490" s="52"/>
      <c r="F490" s="79"/>
      <c r="G490" s="52"/>
      <c r="H490" s="52"/>
      <c r="I490" s="52"/>
      <c r="J490" s="52"/>
      <c r="K490" s="52"/>
      <c r="L490" s="79"/>
    </row>
    <row r="491" spans="1:12" x14ac:dyDescent="0.25">
      <c r="A491" s="22"/>
      <c r="B491" s="52"/>
      <c r="C491" s="52"/>
      <c r="D491" s="52"/>
      <c r="E491" s="52"/>
      <c r="F491" s="79"/>
      <c r="G491" s="52"/>
      <c r="H491" s="52"/>
      <c r="I491" s="52"/>
      <c r="J491" s="52"/>
      <c r="K491" s="52"/>
      <c r="L491" s="79"/>
    </row>
    <row r="492" spans="1:12" x14ac:dyDescent="0.25">
      <c r="A492" s="22"/>
      <c r="B492" s="52"/>
      <c r="C492" s="52"/>
      <c r="D492" s="52"/>
      <c r="E492" s="52"/>
      <c r="F492" s="79"/>
      <c r="G492" s="52"/>
      <c r="H492" s="52"/>
      <c r="I492" s="52"/>
      <c r="J492" s="52"/>
      <c r="K492" s="52"/>
      <c r="L492" s="79"/>
    </row>
    <row r="493" spans="1:12" x14ac:dyDescent="0.25">
      <c r="A493" s="22"/>
      <c r="B493" s="52"/>
      <c r="C493" s="52"/>
      <c r="D493" s="52"/>
      <c r="E493" s="52"/>
      <c r="F493" s="79"/>
      <c r="G493" s="52"/>
      <c r="H493" s="52"/>
      <c r="I493" s="52"/>
      <c r="J493" s="52"/>
      <c r="K493" s="52"/>
      <c r="L493" s="79"/>
    </row>
    <row r="494" spans="1:12" x14ac:dyDescent="0.25">
      <c r="A494" s="22"/>
      <c r="B494" s="52"/>
      <c r="C494" s="52"/>
      <c r="D494" s="52"/>
      <c r="E494" s="52"/>
      <c r="F494" s="79"/>
      <c r="G494" s="52"/>
      <c r="H494" s="52"/>
      <c r="I494" s="52"/>
      <c r="J494" s="52"/>
      <c r="K494" s="52"/>
      <c r="L494" s="79"/>
    </row>
    <row r="495" spans="1:12" x14ac:dyDescent="0.25">
      <c r="A495" s="22"/>
      <c r="B495" s="52"/>
      <c r="C495" s="52"/>
      <c r="D495" s="52"/>
      <c r="E495" s="52"/>
      <c r="F495" s="79"/>
      <c r="G495" s="52"/>
      <c r="H495" s="52"/>
      <c r="I495" s="52"/>
      <c r="J495" s="52"/>
      <c r="K495" s="52"/>
      <c r="L495" s="79"/>
    </row>
    <row r="496" spans="1:12" x14ac:dyDescent="0.25">
      <c r="A496" s="22"/>
      <c r="B496" s="52"/>
      <c r="C496" s="52"/>
      <c r="D496" s="52"/>
      <c r="E496" s="52"/>
      <c r="F496" s="79"/>
      <c r="G496" s="52"/>
      <c r="H496" s="52"/>
      <c r="I496" s="52"/>
      <c r="J496" s="52"/>
      <c r="K496" s="52"/>
      <c r="L496" s="79"/>
    </row>
    <row r="497" spans="1:12" x14ac:dyDescent="0.25">
      <c r="A497" s="22"/>
      <c r="B497" s="52"/>
      <c r="C497" s="52"/>
      <c r="D497" s="52"/>
      <c r="E497" s="52"/>
      <c r="F497" s="79"/>
      <c r="G497" s="52"/>
      <c r="H497" s="52"/>
      <c r="I497" s="52"/>
      <c r="J497" s="52"/>
      <c r="K497" s="52"/>
      <c r="L497" s="79"/>
    </row>
    <row r="498" spans="1:12" x14ac:dyDescent="0.25">
      <c r="A498" s="22"/>
      <c r="B498" s="52"/>
      <c r="C498" s="52"/>
      <c r="D498" s="52"/>
      <c r="E498" s="52"/>
      <c r="F498" s="79"/>
      <c r="G498" s="52"/>
      <c r="H498" s="52"/>
      <c r="I498" s="52"/>
      <c r="J498" s="52"/>
      <c r="K498" s="52"/>
      <c r="L498" s="79"/>
    </row>
    <row r="499" spans="1:12" x14ac:dyDescent="0.25">
      <c r="A499" s="22"/>
      <c r="B499" s="52"/>
      <c r="C499" s="52"/>
      <c r="D499" s="52"/>
      <c r="E499" s="52"/>
      <c r="F499" s="79"/>
      <c r="G499" s="52"/>
      <c r="H499" s="52"/>
      <c r="I499" s="52"/>
      <c r="J499" s="52"/>
      <c r="K499" s="52"/>
      <c r="L499" s="79"/>
    </row>
    <row r="500" spans="1:12" x14ac:dyDescent="0.25">
      <c r="A500" s="22"/>
      <c r="B500" s="52"/>
      <c r="C500" s="52"/>
      <c r="D500" s="52"/>
      <c r="E500" s="52"/>
      <c r="F500" s="79"/>
      <c r="G500" s="52"/>
      <c r="H500" s="52"/>
      <c r="I500" s="52"/>
      <c r="J500" s="52"/>
      <c r="K500" s="52"/>
      <c r="L500" s="79"/>
    </row>
    <row r="501" spans="1:12" x14ac:dyDescent="0.25">
      <c r="A501" s="22"/>
      <c r="B501" s="52"/>
      <c r="C501" s="52"/>
      <c r="D501" s="52"/>
      <c r="E501" s="52"/>
      <c r="F501" s="79"/>
      <c r="G501" s="52"/>
      <c r="H501" s="52"/>
      <c r="I501" s="52"/>
      <c r="J501" s="52"/>
      <c r="K501" s="52"/>
      <c r="L501" s="79"/>
    </row>
    <row r="502" spans="1:12" x14ac:dyDescent="0.25">
      <c r="A502" s="22"/>
      <c r="B502" s="52"/>
      <c r="C502" s="52"/>
      <c r="D502" s="52"/>
      <c r="E502" s="52"/>
      <c r="F502" s="79"/>
      <c r="G502" s="52"/>
      <c r="H502" s="52"/>
      <c r="I502" s="52"/>
      <c r="J502" s="52"/>
      <c r="K502" s="52"/>
      <c r="L502" s="79"/>
    </row>
    <row r="503" spans="1:12" x14ac:dyDescent="0.25">
      <c r="A503" s="22"/>
      <c r="B503" s="52"/>
      <c r="C503" s="52"/>
      <c r="D503" s="52"/>
      <c r="E503" s="52"/>
      <c r="F503" s="79"/>
      <c r="G503" s="52"/>
      <c r="H503" s="52"/>
      <c r="I503" s="52"/>
      <c r="J503" s="52"/>
      <c r="K503" s="52"/>
      <c r="L503" s="79"/>
    </row>
    <row r="504" spans="1:12" x14ac:dyDescent="0.25">
      <c r="A504" s="22"/>
      <c r="B504" s="52"/>
      <c r="C504" s="52"/>
      <c r="D504" s="52"/>
      <c r="E504" s="52"/>
      <c r="F504" s="79"/>
      <c r="G504" s="52"/>
      <c r="H504" s="52"/>
      <c r="I504" s="52"/>
      <c r="J504" s="52"/>
      <c r="K504" s="52"/>
      <c r="L504" s="79"/>
    </row>
    <row r="505" spans="1:12" x14ac:dyDescent="0.25">
      <c r="A505" s="22"/>
      <c r="B505" s="52"/>
      <c r="C505" s="52"/>
      <c r="D505" s="52"/>
      <c r="E505" s="52"/>
      <c r="F505" s="79"/>
      <c r="G505" s="52"/>
      <c r="H505" s="52"/>
      <c r="I505" s="52"/>
      <c r="J505" s="52"/>
      <c r="K505" s="52"/>
      <c r="L505" s="79"/>
    </row>
    <row r="506" spans="1:12" x14ac:dyDescent="0.25">
      <c r="A506" s="22"/>
      <c r="B506" s="52"/>
      <c r="C506" s="52"/>
      <c r="D506" s="52"/>
      <c r="E506" s="52"/>
      <c r="F506" s="79"/>
      <c r="G506" s="52"/>
      <c r="H506" s="52"/>
      <c r="I506" s="52"/>
      <c r="J506" s="52"/>
      <c r="K506" s="52"/>
      <c r="L506" s="79"/>
    </row>
    <row r="507" spans="1:12" x14ac:dyDescent="0.25">
      <c r="A507" s="22"/>
      <c r="B507" s="52"/>
      <c r="C507" s="52"/>
      <c r="D507" s="52"/>
      <c r="E507" s="52"/>
      <c r="F507" s="79"/>
      <c r="G507" s="52"/>
      <c r="H507" s="52"/>
      <c r="I507" s="52"/>
      <c r="J507" s="52"/>
      <c r="K507" s="52"/>
      <c r="L507" s="79"/>
    </row>
    <row r="508" spans="1:12" x14ac:dyDescent="0.25">
      <c r="A508" s="22"/>
      <c r="B508" s="52"/>
      <c r="C508" s="52"/>
      <c r="D508" s="52"/>
      <c r="E508" s="52"/>
      <c r="F508" s="79"/>
      <c r="G508" s="52"/>
      <c r="H508" s="52"/>
      <c r="I508" s="52"/>
      <c r="J508" s="52"/>
      <c r="K508" s="52"/>
      <c r="L508" s="79"/>
    </row>
    <row r="509" spans="1:12" x14ac:dyDescent="0.25">
      <c r="A509" s="22"/>
      <c r="B509" s="52"/>
      <c r="C509" s="52"/>
      <c r="D509" s="52"/>
      <c r="E509" s="52"/>
      <c r="F509" s="79"/>
      <c r="G509" s="52"/>
      <c r="H509" s="52"/>
      <c r="I509" s="52"/>
      <c r="J509" s="52"/>
      <c r="K509" s="52"/>
      <c r="L509" s="79"/>
    </row>
    <row r="510" spans="1:12" x14ac:dyDescent="0.25">
      <c r="A510" s="22"/>
      <c r="B510" s="52"/>
      <c r="C510" s="52"/>
      <c r="D510" s="52"/>
      <c r="E510" s="52"/>
      <c r="F510" s="79"/>
      <c r="G510" s="52"/>
      <c r="H510" s="52"/>
      <c r="I510" s="52"/>
      <c r="J510" s="52"/>
      <c r="K510" s="52"/>
      <c r="L510" s="79"/>
    </row>
    <row r="511" spans="1:12" x14ac:dyDescent="0.25">
      <c r="A511" s="22"/>
      <c r="B511" s="52"/>
      <c r="C511" s="52"/>
      <c r="D511" s="52"/>
      <c r="E511" s="52"/>
      <c r="F511" s="79"/>
      <c r="G511" s="52"/>
      <c r="H511" s="52"/>
      <c r="I511" s="52"/>
      <c r="J511" s="52"/>
      <c r="K511" s="52"/>
      <c r="L511" s="79"/>
    </row>
    <row r="512" spans="1:12" x14ac:dyDescent="0.25">
      <c r="A512" s="22"/>
      <c r="B512" s="52"/>
      <c r="C512" s="52"/>
      <c r="D512" s="52"/>
      <c r="E512" s="52"/>
      <c r="F512" s="79"/>
      <c r="G512" s="52"/>
      <c r="H512" s="52"/>
      <c r="I512" s="52"/>
      <c r="J512" s="52"/>
      <c r="K512" s="52"/>
      <c r="L512" s="79"/>
    </row>
    <row r="513" spans="1:12" x14ac:dyDescent="0.25">
      <c r="A513" s="22"/>
      <c r="B513" s="52"/>
      <c r="C513" s="52"/>
      <c r="D513" s="52"/>
      <c r="E513" s="52"/>
      <c r="F513" s="79"/>
      <c r="G513" s="52"/>
      <c r="H513" s="52"/>
      <c r="I513" s="52"/>
      <c r="J513" s="52"/>
      <c r="K513" s="52"/>
      <c r="L513" s="79"/>
    </row>
    <row r="514" spans="1:12" x14ac:dyDescent="0.25">
      <c r="A514" s="22"/>
      <c r="B514" s="52"/>
      <c r="C514" s="52"/>
      <c r="D514" s="52"/>
      <c r="E514" s="52"/>
      <c r="F514" s="79"/>
      <c r="G514" s="52"/>
      <c r="H514" s="52"/>
      <c r="I514" s="52"/>
      <c r="J514" s="52"/>
      <c r="K514" s="52"/>
      <c r="L514" s="79"/>
    </row>
    <row r="515" spans="1:12" x14ac:dyDescent="0.25">
      <c r="A515" s="22"/>
      <c r="B515" s="52"/>
      <c r="C515" s="52"/>
      <c r="D515" s="52"/>
      <c r="E515" s="52"/>
      <c r="F515" s="79"/>
      <c r="G515" s="52"/>
      <c r="H515" s="52"/>
      <c r="I515" s="52"/>
      <c r="J515" s="52"/>
      <c r="K515" s="52"/>
      <c r="L515" s="79"/>
    </row>
    <row r="516" spans="1:12" x14ac:dyDescent="0.25">
      <c r="A516" s="22"/>
      <c r="B516" s="52"/>
      <c r="C516" s="52"/>
      <c r="D516" s="52"/>
      <c r="E516" s="52"/>
      <c r="F516" s="79"/>
      <c r="G516" s="52"/>
      <c r="H516" s="52"/>
      <c r="I516" s="52"/>
      <c r="J516" s="52"/>
      <c r="K516" s="52"/>
      <c r="L516" s="79"/>
    </row>
    <row r="517" spans="1:12" x14ac:dyDescent="0.25">
      <c r="A517" s="22"/>
      <c r="B517" s="52"/>
      <c r="C517" s="52"/>
      <c r="D517" s="52"/>
      <c r="E517" s="52"/>
      <c r="F517" s="79"/>
      <c r="G517" s="52"/>
      <c r="H517" s="52"/>
      <c r="I517" s="52"/>
      <c r="J517" s="52"/>
      <c r="K517" s="52"/>
      <c r="L517" s="79"/>
    </row>
    <row r="518" spans="1:12" x14ac:dyDescent="0.25">
      <c r="A518" s="22"/>
      <c r="B518" s="52"/>
      <c r="C518" s="52"/>
      <c r="D518" s="52"/>
      <c r="E518" s="52"/>
      <c r="F518" s="79"/>
      <c r="G518" s="52"/>
      <c r="H518" s="52"/>
      <c r="I518" s="52"/>
      <c r="J518" s="52"/>
      <c r="K518" s="52"/>
      <c r="L518" s="79"/>
    </row>
    <row r="519" spans="1:12" x14ac:dyDescent="0.25">
      <c r="A519" s="22"/>
      <c r="B519" s="52"/>
      <c r="C519" s="52"/>
      <c r="D519" s="52"/>
      <c r="E519" s="52"/>
      <c r="F519" s="79"/>
      <c r="G519" s="52"/>
      <c r="H519" s="52"/>
      <c r="I519" s="52"/>
      <c r="J519" s="52"/>
      <c r="K519" s="52"/>
      <c r="L519" s="79"/>
    </row>
    <row r="520" spans="1:12" x14ac:dyDescent="0.25">
      <c r="A520" s="22"/>
      <c r="B520" s="52"/>
      <c r="C520" s="52"/>
      <c r="D520" s="52"/>
      <c r="E520" s="52"/>
      <c r="F520" s="79"/>
      <c r="G520" s="52"/>
      <c r="H520" s="52"/>
      <c r="I520" s="52"/>
      <c r="J520" s="52"/>
      <c r="K520" s="52"/>
      <c r="L520" s="79"/>
    </row>
    <row r="521" spans="1:12" x14ac:dyDescent="0.25">
      <c r="A521" s="22"/>
      <c r="B521" s="52"/>
      <c r="C521" s="52"/>
      <c r="D521" s="52"/>
      <c r="E521" s="52"/>
      <c r="F521" s="79"/>
      <c r="G521" s="52"/>
      <c r="H521" s="52"/>
      <c r="I521" s="52"/>
      <c r="J521" s="52"/>
      <c r="K521" s="52"/>
      <c r="L521" s="79"/>
    </row>
    <row r="522" spans="1:12" x14ac:dyDescent="0.25">
      <c r="A522" s="22"/>
      <c r="B522" s="52"/>
      <c r="C522" s="52"/>
      <c r="D522" s="52"/>
      <c r="E522" s="52"/>
      <c r="F522" s="79"/>
      <c r="G522" s="52"/>
      <c r="H522" s="52"/>
      <c r="I522" s="52"/>
      <c r="J522" s="52"/>
      <c r="K522" s="52"/>
      <c r="L522" s="79"/>
    </row>
    <row r="523" spans="1:12" x14ac:dyDescent="0.25">
      <c r="A523" s="22"/>
      <c r="B523" s="52"/>
      <c r="C523" s="52"/>
      <c r="D523" s="52"/>
      <c r="E523" s="52"/>
      <c r="F523" s="79"/>
      <c r="G523" s="52"/>
      <c r="H523" s="52"/>
      <c r="I523" s="52"/>
      <c r="J523" s="52"/>
      <c r="K523" s="52"/>
      <c r="L523" s="79"/>
    </row>
    <row r="524" spans="1:12" x14ac:dyDescent="0.25">
      <c r="A524" s="22"/>
      <c r="B524" s="52"/>
      <c r="C524" s="52"/>
      <c r="D524" s="52"/>
      <c r="E524" s="52"/>
      <c r="F524" s="79"/>
      <c r="G524" s="52"/>
      <c r="H524" s="52"/>
      <c r="I524" s="52"/>
      <c r="J524" s="52"/>
      <c r="K524" s="52"/>
      <c r="L524" s="79"/>
    </row>
    <row r="525" spans="1:12" x14ac:dyDescent="0.25">
      <c r="A525" s="22"/>
      <c r="B525" s="52"/>
      <c r="C525" s="52"/>
      <c r="D525" s="52"/>
      <c r="E525" s="52"/>
      <c r="F525" s="79"/>
      <c r="G525" s="52"/>
      <c r="H525" s="52"/>
      <c r="I525" s="52"/>
      <c r="J525" s="52"/>
      <c r="K525" s="52"/>
      <c r="L525" s="79"/>
    </row>
    <row r="526" spans="1:12" x14ac:dyDescent="0.25">
      <c r="A526" s="22"/>
      <c r="B526" s="52"/>
      <c r="C526" s="52"/>
      <c r="D526" s="52"/>
      <c r="E526" s="52"/>
      <c r="F526" s="79"/>
      <c r="G526" s="52"/>
      <c r="H526" s="52"/>
      <c r="I526" s="52"/>
      <c r="J526" s="52"/>
      <c r="K526" s="52"/>
      <c r="L526" s="79"/>
    </row>
    <row r="527" spans="1:12" x14ac:dyDescent="0.25">
      <c r="A527" s="22"/>
      <c r="B527" s="52"/>
      <c r="C527" s="52"/>
      <c r="D527" s="52"/>
      <c r="E527" s="52"/>
      <c r="F527" s="79"/>
      <c r="G527" s="52"/>
      <c r="H527" s="52"/>
      <c r="I527" s="52"/>
      <c r="J527" s="52"/>
      <c r="K527" s="52"/>
      <c r="L527" s="79"/>
    </row>
    <row r="528" spans="1:12" x14ac:dyDescent="0.25">
      <c r="A528" s="22"/>
      <c r="B528" s="52"/>
      <c r="C528" s="52"/>
      <c r="D528" s="52"/>
      <c r="E528" s="52"/>
      <c r="F528" s="79"/>
      <c r="G528" s="52"/>
      <c r="H528" s="52"/>
      <c r="I528" s="52"/>
      <c r="J528" s="52"/>
      <c r="K528" s="52"/>
      <c r="L528" s="79"/>
    </row>
    <row r="529" spans="1:12" x14ac:dyDescent="0.25">
      <c r="A529" s="22"/>
      <c r="B529" s="52"/>
      <c r="C529" s="52"/>
      <c r="D529" s="52"/>
      <c r="E529" s="52"/>
      <c r="F529" s="79"/>
      <c r="G529" s="52"/>
      <c r="H529" s="52"/>
      <c r="I529" s="52"/>
      <c r="J529" s="52"/>
      <c r="K529" s="52"/>
      <c r="L529" s="79"/>
    </row>
    <row r="530" spans="1:12" x14ac:dyDescent="0.25">
      <c r="A530" s="22"/>
      <c r="B530" s="52"/>
      <c r="C530" s="52"/>
      <c r="D530" s="52"/>
      <c r="E530" s="52"/>
      <c r="F530" s="79"/>
      <c r="G530" s="52"/>
      <c r="H530" s="52"/>
      <c r="I530" s="52"/>
      <c r="J530" s="52"/>
      <c r="K530" s="52"/>
      <c r="L530" s="79"/>
    </row>
    <row r="531" spans="1:12" x14ac:dyDescent="0.25">
      <c r="A531" s="22"/>
      <c r="B531" s="52"/>
      <c r="C531" s="52"/>
      <c r="D531" s="52"/>
      <c r="E531" s="52"/>
      <c r="F531" s="79"/>
      <c r="G531" s="52"/>
      <c r="H531" s="52"/>
      <c r="I531" s="52"/>
      <c r="J531" s="52"/>
      <c r="K531" s="52"/>
      <c r="L531" s="79"/>
    </row>
    <row r="532" spans="1:12" x14ac:dyDescent="0.25">
      <c r="A532" s="22"/>
      <c r="B532" s="52"/>
      <c r="C532" s="52"/>
      <c r="D532" s="52"/>
      <c r="E532" s="52"/>
      <c r="F532" s="79"/>
      <c r="G532" s="52"/>
      <c r="H532" s="52"/>
      <c r="I532" s="52"/>
      <c r="J532" s="52"/>
      <c r="K532" s="52"/>
      <c r="L532" s="79"/>
    </row>
    <row r="533" spans="1:12" x14ac:dyDescent="0.25">
      <c r="A533" s="22"/>
      <c r="B533" s="40"/>
      <c r="C533" s="40"/>
      <c r="D533" s="40"/>
      <c r="E533" s="40"/>
      <c r="F533" s="68"/>
      <c r="G533" s="40"/>
      <c r="H533" s="40"/>
      <c r="I533" s="40"/>
      <c r="J533" s="40"/>
      <c r="K533" s="40"/>
      <c r="L533" s="68"/>
    </row>
    <row r="534" spans="1:12" x14ac:dyDescent="0.25">
      <c r="A534" s="22"/>
      <c r="B534" s="40"/>
      <c r="C534" s="40"/>
      <c r="D534" s="40"/>
      <c r="E534" s="40"/>
      <c r="F534" s="68"/>
      <c r="G534" s="40"/>
      <c r="H534" s="40"/>
      <c r="I534" s="40"/>
      <c r="J534" s="40"/>
      <c r="K534" s="40"/>
      <c r="L534" s="68"/>
    </row>
    <row r="535" spans="1:12" x14ac:dyDescent="0.25">
      <c r="A535" s="22"/>
      <c r="B535" s="40"/>
      <c r="C535" s="40"/>
      <c r="D535" s="40"/>
      <c r="E535" s="40"/>
      <c r="F535" s="68"/>
      <c r="G535" s="40"/>
      <c r="H535" s="40"/>
      <c r="I535" s="40"/>
      <c r="J535" s="40"/>
      <c r="K535" s="40"/>
      <c r="L535" s="68"/>
    </row>
    <row r="536" spans="1:12" x14ac:dyDescent="0.25">
      <c r="A536" s="22"/>
      <c r="B536" s="40"/>
      <c r="C536" s="40"/>
      <c r="D536" s="40"/>
      <c r="E536" s="40"/>
      <c r="F536" s="68"/>
      <c r="G536" s="40"/>
      <c r="H536" s="40"/>
      <c r="I536" s="40"/>
      <c r="J536" s="40"/>
      <c r="K536" s="40"/>
      <c r="L536" s="68"/>
    </row>
    <row r="537" spans="1:12" x14ac:dyDescent="0.25">
      <c r="A537" s="22"/>
      <c r="B537" s="40"/>
      <c r="C537" s="40"/>
      <c r="D537" s="40"/>
      <c r="E537" s="40"/>
      <c r="F537" s="68"/>
      <c r="G537" s="40"/>
      <c r="H537" s="40"/>
      <c r="I537" s="40"/>
      <c r="J537" s="40"/>
      <c r="K537" s="40"/>
      <c r="L537" s="68"/>
    </row>
    <row r="538" spans="1:12" x14ac:dyDescent="0.25">
      <c r="A538" s="22"/>
      <c r="B538" s="40"/>
      <c r="C538" s="40"/>
      <c r="D538" s="40"/>
      <c r="E538" s="40"/>
      <c r="F538" s="68"/>
      <c r="G538" s="40"/>
      <c r="H538" s="40"/>
      <c r="I538" s="40"/>
      <c r="J538" s="40"/>
      <c r="K538" s="40"/>
      <c r="L538" s="68"/>
    </row>
    <row r="539" spans="1:12" x14ac:dyDescent="0.25">
      <c r="A539" s="22"/>
      <c r="B539" s="40"/>
      <c r="C539" s="40"/>
      <c r="D539" s="40"/>
      <c r="E539" s="40"/>
      <c r="F539" s="68"/>
      <c r="G539" s="40"/>
      <c r="H539" s="40"/>
      <c r="I539" s="40"/>
      <c r="J539" s="40"/>
      <c r="K539" s="40"/>
      <c r="L539" s="68"/>
    </row>
    <row r="540" spans="1:12" x14ac:dyDescent="0.25">
      <c r="A540" s="22"/>
      <c r="B540" s="40"/>
      <c r="C540" s="40"/>
      <c r="D540" s="40"/>
      <c r="E540" s="40"/>
      <c r="F540" s="68"/>
      <c r="G540" s="40"/>
      <c r="H540" s="40"/>
      <c r="I540" s="40"/>
      <c r="J540" s="40"/>
      <c r="K540" s="40"/>
      <c r="L540" s="68"/>
    </row>
    <row r="541" spans="1:12" x14ac:dyDescent="0.25">
      <c r="A541" s="22"/>
      <c r="B541" s="40"/>
      <c r="C541" s="40"/>
      <c r="D541" s="40"/>
      <c r="E541" s="40"/>
      <c r="F541" s="68"/>
      <c r="G541" s="40"/>
      <c r="H541" s="40"/>
      <c r="I541" s="40"/>
      <c r="J541" s="40"/>
      <c r="K541" s="40"/>
      <c r="L541" s="68"/>
    </row>
    <row r="542" spans="1:12" x14ac:dyDescent="0.25">
      <c r="A542" s="22"/>
      <c r="B542" s="40"/>
      <c r="C542" s="40"/>
      <c r="D542" s="40"/>
      <c r="E542" s="40"/>
      <c r="F542" s="68"/>
      <c r="G542" s="40"/>
      <c r="H542" s="40"/>
      <c r="I542" s="40"/>
      <c r="J542" s="40"/>
      <c r="K542" s="40"/>
      <c r="L542" s="68"/>
    </row>
    <row r="543" spans="1:12" x14ac:dyDescent="0.25">
      <c r="A543" s="22"/>
      <c r="B543" s="40"/>
      <c r="C543" s="40"/>
      <c r="D543" s="40"/>
      <c r="E543" s="40"/>
      <c r="F543" s="68"/>
      <c r="G543" s="40"/>
      <c r="H543" s="40"/>
      <c r="I543" s="40"/>
      <c r="J543" s="40"/>
      <c r="K543" s="40"/>
      <c r="L543" s="68"/>
    </row>
    <row r="544" spans="1:12" x14ac:dyDescent="0.25">
      <c r="A544" s="22"/>
      <c r="B544" s="40"/>
      <c r="C544" s="40"/>
      <c r="D544" s="40"/>
      <c r="E544" s="40"/>
      <c r="F544" s="68"/>
      <c r="G544" s="40"/>
      <c r="H544" s="40"/>
      <c r="I544" s="40"/>
      <c r="J544" s="40"/>
      <c r="K544" s="40"/>
      <c r="L544" s="68"/>
    </row>
    <row r="545" spans="1:12" x14ac:dyDescent="0.25">
      <c r="A545" s="22"/>
      <c r="B545" s="40"/>
      <c r="C545" s="40"/>
      <c r="D545" s="40"/>
      <c r="E545" s="40"/>
      <c r="F545" s="68"/>
      <c r="G545" s="40"/>
      <c r="H545" s="40"/>
      <c r="I545" s="40"/>
      <c r="J545" s="40"/>
      <c r="K545" s="40"/>
      <c r="L545" s="68"/>
    </row>
    <row r="546" spans="1:12" x14ac:dyDescent="0.25">
      <c r="A546" s="22"/>
      <c r="B546" s="40"/>
      <c r="C546" s="40"/>
      <c r="D546" s="40"/>
      <c r="E546" s="40"/>
      <c r="F546" s="68"/>
      <c r="G546" s="40"/>
      <c r="H546" s="40"/>
      <c r="I546" s="40"/>
      <c r="J546" s="40"/>
      <c r="K546" s="40"/>
      <c r="L546" s="68"/>
    </row>
    <row r="547" spans="1:12" x14ac:dyDescent="0.25">
      <c r="A547" s="22"/>
      <c r="B547" s="40"/>
      <c r="C547" s="40"/>
      <c r="D547" s="40"/>
      <c r="E547" s="40"/>
      <c r="F547" s="68"/>
      <c r="G547" s="40"/>
      <c r="H547" s="40"/>
      <c r="I547" s="40"/>
      <c r="J547" s="40"/>
      <c r="K547" s="40"/>
      <c r="L547" s="68"/>
    </row>
    <row r="548" spans="1:12" x14ac:dyDescent="0.25">
      <c r="A548" s="22"/>
      <c r="B548" s="40"/>
      <c r="C548" s="40"/>
      <c r="D548" s="40"/>
      <c r="E548" s="40"/>
      <c r="F548" s="68"/>
      <c r="G548" s="40"/>
      <c r="H548" s="40"/>
      <c r="I548" s="40"/>
      <c r="J548" s="40"/>
      <c r="K548" s="40"/>
      <c r="L548" s="68"/>
    </row>
    <row r="549" spans="1:12" x14ac:dyDescent="0.25">
      <c r="A549" s="22"/>
      <c r="B549" s="40"/>
      <c r="C549" s="40"/>
      <c r="D549" s="40"/>
      <c r="E549" s="40"/>
      <c r="F549" s="68"/>
      <c r="G549" s="40"/>
      <c r="H549" s="40"/>
      <c r="I549" s="40"/>
      <c r="J549" s="40"/>
      <c r="K549" s="40"/>
      <c r="L549" s="68"/>
    </row>
    <row r="550" spans="1:12" x14ac:dyDescent="0.25">
      <c r="A550" s="22"/>
      <c r="B550" s="40"/>
      <c r="C550" s="40"/>
      <c r="D550" s="40"/>
      <c r="E550" s="40"/>
      <c r="F550" s="68"/>
      <c r="G550" s="40"/>
      <c r="H550" s="40"/>
      <c r="I550" s="40"/>
      <c r="J550" s="40"/>
      <c r="K550" s="40"/>
      <c r="L550" s="68"/>
    </row>
    <row r="551" spans="1:12" x14ac:dyDescent="0.25">
      <c r="A551" s="22"/>
      <c r="B551" s="40"/>
      <c r="C551" s="40"/>
      <c r="D551" s="40"/>
      <c r="E551" s="40"/>
      <c r="F551" s="68"/>
      <c r="G551" s="40"/>
      <c r="H551" s="40"/>
      <c r="I551" s="40"/>
      <c r="J551" s="40"/>
      <c r="K551" s="40"/>
      <c r="L551" s="68"/>
    </row>
    <row r="552" spans="1:12" x14ac:dyDescent="0.25">
      <c r="A552" s="22"/>
      <c r="B552" s="40"/>
      <c r="C552" s="40"/>
      <c r="D552" s="40"/>
      <c r="E552" s="40"/>
      <c r="F552" s="68"/>
      <c r="G552" s="40"/>
      <c r="H552" s="40"/>
      <c r="I552" s="40"/>
      <c r="J552" s="40"/>
      <c r="K552" s="40"/>
      <c r="L552" s="68"/>
    </row>
    <row r="553" spans="1:12" x14ac:dyDescent="0.25">
      <c r="A553" s="22"/>
      <c r="B553" s="40"/>
      <c r="C553" s="40"/>
      <c r="D553" s="40"/>
      <c r="E553" s="40"/>
      <c r="F553" s="68"/>
      <c r="G553" s="40"/>
      <c r="H553" s="40"/>
      <c r="I553" s="40"/>
      <c r="J553" s="40"/>
      <c r="K553" s="40"/>
      <c r="L553" s="68"/>
    </row>
    <row r="554" spans="1:12" x14ac:dyDescent="0.25">
      <c r="A554" s="22"/>
      <c r="B554" s="40"/>
      <c r="C554" s="40"/>
      <c r="D554" s="40"/>
      <c r="E554" s="40"/>
      <c r="F554" s="68"/>
      <c r="G554" s="40"/>
      <c r="H554" s="40"/>
      <c r="I554" s="40"/>
      <c r="J554" s="40"/>
      <c r="K554" s="40"/>
      <c r="L554" s="68"/>
    </row>
    <row r="555" spans="1:12" x14ac:dyDescent="0.25">
      <c r="A555" s="22"/>
      <c r="B555" s="40"/>
      <c r="C555" s="40"/>
      <c r="D555" s="40"/>
      <c r="E555" s="40"/>
      <c r="F555" s="68"/>
      <c r="G555" s="40"/>
      <c r="H555" s="40"/>
      <c r="I555" s="40"/>
      <c r="J555" s="40"/>
      <c r="K555" s="40"/>
      <c r="L555" s="68"/>
    </row>
    <row r="556" spans="1:12" x14ac:dyDescent="0.25">
      <c r="A556" s="22"/>
      <c r="B556" s="40"/>
      <c r="C556" s="40"/>
      <c r="D556" s="40"/>
      <c r="E556" s="40"/>
      <c r="F556" s="68"/>
      <c r="G556" s="40"/>
      <c r="H556" s="40"/>
      <c r="I556" s="40"/>
      <c r="J556" s="40"/>
      <c r="K556" s="40"/>
      <c r="L556" s="68"/>
    </row>
    <row r="557" spans="1:12" x14ac:dyDescent="0.25">
      <c r="A557" s="22"/>
      <c r="B557" s="40"/>
      <c r="C557" s="40"/>
      <c r="D557" s="40"/>
      <c r="E557" s="40"/>
      <c r="F557" s="68"/>
      <c r="G557" s="40"/>
      <c r="H557" s="40"/>
      <c r="I557" s="40"/>
      <c r="J557" s="40"/>
      <c r="K557" s="40"/>
      <c r="L557" s="68"/>
    </row>
    <row r="558" spans="1:12" x14ac:dyDescent="0.25">
      <c r="A558" s="22"/>
      <c r="B558" s="40"/>
      <c r="C558" s="40"/>
      <c r="D558" s="40"/>
      <c r="E558" s="40"/>
      <c r="F558" s="68"/>
      <c r="G558" s="40"/>
      <c r="H558" s="40"/>
      <c r="I558" s="40"/>
      <c r="J558" s="40"/>
      <c r="K558" s="40"/>
      <c r="L558" s="68"/>
    </row>
    <row r="559" spans="1:12" x14ac:dyDescent="0.25">
      <c r="A559" s="22"/>
      <c r="B559" s="40"/>
      <c r="C559" s="40"/>
      <c r="D559" s="40"/>
      <c r="E559" s="40"/>
      <c r="F559" s="68"/>
      <c r="G559" s="40"/>
      <c r="H559" s="40"/>
      <c r="I559" s="40"/>
      <c r="J559" s="40"/>
      <c r="K559" s="40"/>
      <c r="L559" s="68"/>
    </row>
    <row r="560" spans="1:12" x14ac:dyDescent="0.25">
      <c r="A560" s="22"/>
      <c r="B560" s="40"/>
      <c r="C560" s="40"/>
      <c r="D560" s="40"/>
      <c r="E560" s="40"/>
      <c r="F560" s="68"/>
      <c r="G560" s="40"/>
      <c r="H560" s="40"/>
      <c r="I560" s="40"/>
      <c r="J560" s="40"/>
      <c r="K560" s="40"/>
      <c r="L560" s="68"/>
    </row>
    <row r="561" spans="1:12" x14ac:dyDescent="0.25">
      <c r="A561" s="22"/>
      <c r="B561" s="40"/>
      <c r="C561" s="40"/>
      <c r="D561" s="40"/>
      <c r="E561" s="40"/>
      <c r="F561" s="68"/>
      <c r="G561" s="40"/>
      <c r="H561" s="40"/>
      <c r="I561" s="40"/>
      <c r="J561" s="40"/>
      <c r="K561" s="40"/>
      <c r="L561" s="68"/>
    </row>
    <row r="562" spans="1:12" x14ac:dyDescent="0.25">
      <c r="A562" s="22"/>
      <c r="B562" s="40"/>
      <c r="C562" s="40"/>
      <c r="D562" s="40"/>
      <c r="E562" s="40"/>
      <c r="F562" s="68"/>
      <c r="G562" s="40"/>
      <c r="H562" s="40"/>
      <c r="I562" s="40"/>
      <c r="J562" s="40"/>
      <c r="K562" s="40"/>
      <c r="L562" s="68"/>
    </row>
    <row r="563" spans="1:12" x14ac:dyDescent="0.25">
      <c r="A563" s="22"/>
      <c r="B563" s="40"/>
      <c r="C563" s="40"/>
      <c r="D563" s="40"/>
      <c r="E563" s="40"/>
      <c r="F563" s="68"/>
      <c r="G563" s="40"/>
      <c r="H563" s="40"/>
      <c r="I563" s="40"/>
      <c r="J563" s="40"/>
      <c r="K563" s="40"/>
      <c r="L563" s="68"/>
    </row>
    <row r="564" spans="1:12" x14ac:dyDescent="0.25">
      <c r="A564" s="22"/>
      <c r="B564" s="40"/>
      <c r="C564" s="40"/>
      <c r="D564" s="40"/>
      <c r="E564" s="40"/>
      <c r="F564" s="68"/>
      <c r="G564" s="40"/>
      <c r="H564" s="40"/>
      <c r="I564" s="40"/>
      <c r="J564" s="40"/>
      <c r="K564" s="40"/>
      <c r="L564" s="68"/>
    </row>
    <row r="565" spans="1:12" x14ac:dyDescent="0.25">
      <c r="A565" s="22"/>
      <c r="B565" s="40"/>
      <c r="C565" s="40"/>
      <c r="D565" s="40"/>
      <c r="E565" s="40"/>
      <c r="F565" s="68"/>
      <c r="G565" s="40"/>
      <c r="H565" s="40"/>
      <c r="I565" s="40"/>
      <c r="J565" s="40"/>
      <c r="K565" s="40"/>
      <c r="L565" s="68"/>
    </row>
    <row r="566" spans="1:12" x14ac:dyDescent="0.25">
      <c r="A566" s="22"/>
      <c r="B566" s="40"/>
      <c r="C566" s="40"/>
      <c r="D566" s="40"/>
      <c r="E566" s="40"/>
      <c r="F566" s="68"/>
      <c r="G566" s="40"/>
      <c r="H566" s="40"/>
      <c r="I566" s="40"/>
      <c r="J566" s="40"/>
      <c r="K566" s="40"/>
      <c r="L566" s="68"/>
    </row>
    <row r="567" spans="1:12" x14ac:dyDescent="0.25">
      <c r="A567" s="22"/>
      <c r="B567" s="40"/>
      <c r="C567" s="40"/>
      <c r="D567" s="40"/>
      <c r="E567" s="40"/>
      <c r="F567" s="68"/>
      <c r="G567" s="40"/>
      <c r="H567" s="40"/>
      <c r="I567" s="40"/>
      <c r="J567" s="40"/>
      <c r="K567" s="40"/>
      <c r="L567" s="68"/>
    </row>
    <row r="568" spans="1:12" x14ac:dyDescent="0.25">
      <c r="A568" s="22"/>
      <c r="B568" s="40"/>
      <c r="C568" s="40"/>
      <c r="D568" s="40"/>
      <c r="E568" s="40"/>
      <c r="F568" s="68"/>
      <c r="G568" s="40"/>
      <c r="H568" s="40"/>
      <c r="I568" s="40"/>
      <c r="J568" s="40"/>
      <c r="K568" s="40"/>
      <c r="L568" s="68"/>
    </row>
    <row r="569" spans="1:12" x14ac:dyDescent="0.25">
      <c r="A569" s="22"/>
      <c r="B569" s="40"/>
      <c r="C569" s="40"/>
      <c r="D569" s="40"/>
      <c r="E569" s="40"/>
      <c r="F569" s="68"/>
      <c r="G569" s="40"/>
      <c r="H569" s="40"/>
      <c r="I569" s="40"/>
      <c r="J569" s="40"/>
      <c r="K569" s="40"/>
      <c r="L569" s="68"/>
    </row>
    <row r="570" spans="1:12" x14ac:dyDescent="0.25">
      <c r="A570" s="22"/>
      <c r="B570" s="40"/>
      <c r="C570" s="40"/>
      <c r="D570" s="40"/>
      <c r="E570" s="40"/>
      <c r="F570" s="68"/>
      <c r="G570" s="40"/>
      <c r="H570" s="40"/>
      <c r="I570" s="40"/>
      <c r="J570" s="40"/>
      <c r="K570" s="40"/>
      <c r="L570" s="68"/>
    </row>
    <row r="571" spans="1:12" x14ac:dyDescent="0.25">
      <c r="A571" s="22"/>
      <c r="B571" s="40"/>
      <c r="C571" s="40"/>
      <c r="D571" s="40"/>
      <c r="E571" s="40"/>
      <c r="F571" s="68"/>
      <c r="G571" s="40"/>
      <c r="H571" s="40"/>
      <c r="I571" s="40"/>
      <c r="J571" s="40"/>
      <c r="K571" s="40"/>
      <c r="L571" s="68"/>
    </row>
    <row r="572" spans="1:12" x14ac:dyDescent="0.25">
      <c r="A572" s="22"/>
      <c r="B572" s="40"/>
      <c r="C572" s="40"/>
      <c r="D572" s="40"/>
      <c r="E572" s="40"/>
      <c r="F572" s="68"/>
      <c r="G572" s="40"/>
      <c r="H572" s="40"/>
      <c r="I572" s="40"/>
      <c r="J572" s="40"/>
      <c r="K572" s="40"/>
      <c r="L572" s="68"/>
    </row>
    <row r="573" spans="1:12" x14ac:dyDescent="0.25">
      <c r="A573" s="22"/>
      <c r="B573" s="40"/>
      <c r="C573" s="40"/>
      <c r="D573" s="40"/>
      <c r="E573" s="40"/>
      <c r="F573" s="68"/>
      <c r="G573" s="40"/>
      <c r="H573" s="40"/>
      <c r="I573" s="40"/>
      <c r="J573" s="40"/>
      <c r="K573" s="40"/>
      <c r="L573" s="68"/>
    </row>
    <row r="574" spans="1:12" x14ac:dyDescent="0.25">
      <c r="A574" s="22"/>
      <c r="B574" s="40"/>
      <c r="C574" s="40"/>
      <c r="D574" s="40"/>
      <c r="E574" s="40"/>
      <c r="F574" s="68"/>
      <c r="G574" s="40"/>
      <c r="H574" s="40"/>
      <c r="I574" s="40"/>
      <c r="J574" s="40"/>
      <c r="K574" s="40"/>
      <c r="L574" s="68"/>
    </row>
    <row r="575" spans="1:12" x14ac:dyDescent="0.25">
      <c r="A575" s="22"/>
      <c r="B575" s="40"/>
      <c r="C575" s="40"/>
      <c r="D575" s="40"/>
      <c r="E575" s="40"/>
      <c r="F575" s="68"/>
      <c r="G575" s="40"/>
      <c r="H575" s="40"/>
      <c r="I575" s="40"/>
      <c r="J575" s="40"/>
      <c r="K575" s="40"/>
      <c r="L575" s="68"/>
    </row>
    <row r="576" spans="1:12" x14ac:dyDescent="0.25">
      <c r="A576" s="22"/>
      <c r="B576" s="40"/>
      <c r="C576" s="40"/>
      <c r="D576" s="40"/>
      <c r="E576" s="40"/>
      <c r="F576" s="68"/>
      <c r="G576" s="40"/>
      <c r="H576" s="40"/>
      <c r="I576" s="40"/>
      <c r="J576" s="40"/>
      <c r="K576" s="40"/>
      <c r="L576" s="68"/>
    </row>
    <row r="577" spans="1:12" x14ac:dyDescent="0.25">
      <c r="A577" s="22"/>
      <c r="B577" s="40"/>
      <c r="C577" s="40"/>
      <c r="D577" s="40"/>
      <c r="E577" s="40"/>
      <c r="F577" s="68"/>
      <c r="G577" s="40"/>
      <c r="H577" s="40"/>
      <c r="I577" s="40"/>
      <c r="J577" s="40"/>
      <c r="K577" s="40"/>
      <c r="L577" s="68"/>
    </row>
    <row r="578" spans="1:12" x14ac:dyDescent="0.25">
      <c r="A578" s="22"/>
      <c r="B578" s="40"/>
      <c r="C578" s="40"/>
      <c r="D578" s="40"/>
      <c r="E578" s="40"/>
      <c r="F578" s="68"/>
      <c r="G578" s="40"/>
      <c r="H578" s="40"/>
      <c r="I578" s="40"/>
      <c r="J578" s="40"/>
      <c r="K578" s="40"/>
      <c r="L578" s="68"/>
    </row>
    <row r="579" spans="1:12" x14ac:dyDescent="0.25">
      <c r="A579" s="22"/>
      <c r="B579" s="40"/>
      <c r="C579" s="40"/>
      <c r="D579" s="40"/>
      <c r="E579" s="40"/>
      <c r="F579" s="68"/>
      <c r="G579" s="40"/>
      <c r="H579" s="40"/>
      <c r="I579" s="40"/>
      <c r="J579" s="40"/>
      <c r="K579" s="40"/>
      <c r="L579" s="68"/>
    </row>
    <row r="580" spans="1:12" x14ac:dyDescent="0.25">
      <c r="A580" s="22"/>
      <c r="B580" s="40"/>
      <c r="C580" s="40"/>
      <c r="D580" s="40"/>
      <c r="E580" s="40"/>
      <c r="F580" s="68"/>
      <c r="G580" s="40"/>
      <c r="H580" s="40"/>
      <c r="I580" s="40"/>
      <c r="J580" s="40"/>
      <c r="K580" s="40"/>
      <c r="L580" s="68"/>
    </row>
    <row r="581" spans="1:12" x14ac:dyDescent="0.25">
      <c r="A581" s="22"/>
      <c r="B581" s="40"/>
      <c r="C581" s="40"/>
      <c r="D581" s="40"/>
      <c r="E581" s="40"/>
      <c r="F581" s="68"/>
      <c r="G581" s="40"/>
      <c r="H581" s="40"/>
      <c r="I581" s="40"/>
      <c r="J581" s="40"/>
      <c r="K581" s="40"/>
      <c r="L581" s="68"/>
    </row>
    <row r="582" spans="1:12" x14ac:dyDescent="0.25">
      <c r="A582" s="22"/>
      <c r="B582" s="40"/>
      <c r="C582" s="40"/>
      <c r="D582" s="40"/>
      <c r="E582" s="40"/>
      <c r="F582" s="68"/>
      <c r="G582" s="40"/>
      <c r="H582" s="40"/>
      <c r="I582" s="40"/>
      <c r="J582" s="40"/>
      <c r="K582" s="40"/>
      <c r="L582" s="68"/>
    </row>
    <row r="583" spans="1:12" x14ac:dyDescent="0.25">
      <c r="A583" s="22"/>
      <c r="B583" s="40"/>
      <c r="C583" s="40"/>
      <c r="D583" s="40"/>
      <c r="E583" s="40"/>
      <c r="F583" s="68"/>
      <c r="G583" s="40"/>
      <c r="H583" s="40"/>
      <c r="I583" s="40"/>
      <c r="J583" s="40"/>
      <c r="K583" s="40"/>
      <c r="L583" s="68"/>
    </row>
    <row r="584" spans="1:12" x14ac:dyDescent="0.25">
      <c r="A584" s="22"/>
      <c r="B584" s="40"/>
      <c r="C584" s="40"/>
      <c r="D584" s="40"/>
      <c r="E584" s="40"/>
      <c r="F584" s="68"/>
      <c r="G584" s="40"/>
      <c r="H584" s="40"/>
      <c r="I584" s="40"/>
      <c r="J584" s="40"/>
      <c r="K584" s="40"/>
      <c r="L584" s="68"/>
    </row>
    <row r="585" spans="1:12" x14ac:dyDescent="0.25">
      <c r="A585" s="22"/>
      <c r="B585" s="40"/>
      <c r="C585" s="40"/>
      <c r="D585" s="40"/>
      <c r="E585" s="40"/>
      <c r="F585" s="68"/>
      <c r="G585" s="40"/>
      <c r="H585" s="40"/>
      <c r="I585" s="40"/>
      <c r="J585" s="40"/>
      <c r="K585" s="40"/>
      <c r="L585" s="68"/>
    </row>
    <row r="586" spans="1:12" x14ac:dyDescent="0.25">
      <c r="A586" s="22"/>
      <c r="B586" s="40"/>
      <c r="C586" s="40"/>
      <c r="D586" s="40"/>
      <c r="E586" s="40"/>
      <c r="F586" s="68"/>
      <c r="G586" s="40"/>
      <c r="H586" s="40"/>
      <c r="I586" s="40"/>
      <c r="J586" s="40"/>
      <c r="K586" s="40"/>
      <c r="L586" s="68"/>
    </row>
    <row r="587" spans="1:12" x14ac:dyDescent="0.25">
      <c r="A587" s="22"/>
      <c r="B587" s="40"/>
      <c r="C587" s="40"/>
      <c r="D587" s="40"/>
      <c r="E587" s="40"/>
      <c r="F587" s="68"/>
      <c r="G587" s="40"/>
      <c r="H587" s="40"/>
      <c r="I587" s="40"/>
      <c r="J587" s="40"/>
      <c r="K587" s="40"/>
      <c r="L587" s="68"/>
    </row>
    <row r="588" spans="1:12" x14ac:dyDescent="0.25">
      <c r="A588" s="22"/>
      <c r="B588" s="40"/>
      <c r="C588" s="40"/>
      <c r="D588" s="40"/>
      <c r="E588" s="40"/>
      <c r="F588" s="68"/>
      <c r="G588" s="40"/>
      <c r="H588" s="40"/>
      <c r="I588" s="40"/>
      <c r="J588" s="40"/>
      <c r="K588" s="40"/>
      <c r="L588" s="68"/>
    </row>
    <row r="589" spans="1:12" x14ac:dyDescent="0.25">
      <c r="A589" s="22"/>
      <c r="B589" s="40"/>
      <c r="C589" s="40"/>
      <c r="D589" s="40"/>
      <c r="E589" s="40"/>
      <c r="F589" s="68"/>
      <c r="G589" s="40"/>
      <c r="H589" s="40"/>
      <c r="I589" s="40"/>
      <c r="J589" s="40"/>
      <c r="K589" s="40"/>
      <c r="L589" s="68"/>
    </row>
    <row r="590" spans="1:12" x14ac:dyDescent="0.25">
      <c r="A590" s="22"/>
      <c r="B590" s="40"/>
      <c r="C590" s="40"/>
      <c r="D590" s="40"/>
      <c r="E590" s="40"/>
      <c r="F590" s="68"/>
      <c r="G590" s="40"/>
      <c r="H590" s="40"/>
      <c r="I590" s="40"/>
      <c r="J590" s="40"/>
      <c r="K590" s="40"/>
      <c r="L590" s="68"/>
    </row>
    <row r="591" spans="1:12" x14ac:dyDescent="0.25">
      <c r="A591" s="22"/>
      <c r="B591" s="40"/>
      <c r="C591" s="40"/>
      <c r="D591" s="40"/>
      <c r="E591" s="40"/>
      <c r="F591" s="68"/>
      <c r="G591" s="40"/>
      <c r="H591" s="40"/>
      <c r="I591" s="40"/>
      <c r="J591" s="40"/>
      <c r="K591" s="40"/>
      <c r="L591" s="68"/>
    </row>
    <row r="592" spans="1:12" x14ac:dyDescent="0.25">
      <c r="A592" s="22"/>
      <c r="B592" s="40"/>
      <c r="C592" s="40"/>
      <c r="D592" s="40"/>
      <c r="E592" s="40"/>
      <c r="F592" s="68"/>
      <c r="G592" s="40"/>
      <c r="H592" s="40"/>
      <c r="I592" s="40"/>
      <c r="J592" s="40"/>
      <c r="K592" s="40"/>
      <c r="L592" s="68"/>
    </row>
    <row r="593" spans="1:12" x14ac:dyDescent="0.25">
      <c r="A593" s="22"/>
      <c r="B593" s="40"/>
      <c r="C593" s="40"/>
      <c r="D593" s="40"/>
      <c r="E593" s="40"/>
      <c r="F593" s="68"/>
      <c r="G593" s="40"/>
      <c r="H593" s="40"/>
      <c r="I593" s="40"/>
      <c r="J593" s="40"/>
      <c r="K593" s="40"/>
      <c r="L593" s="68"/>
    </row>
    <row r="594" spans="1:12" x14ac:dyDescent="0.25">
      <c r="A594" s="22"/>
      <c r="B594" s="40"/>
      <c r="C594" s="40"/>
      <c r="D594" s="40"/>
      <c r="E594" s="40"/>
      <c r="F594" s="68"/>
      <c r="G594" s="40"/>
      <c r="H594" s="40"/>
      <c r="I594" s="40"/>
      <c r="J594" s="40"/>
      <c r="K594" s="40"/>
      <c r="L594" s="68"/>
    </row>
    <row r="595" spans="1:12" x14ac:dyDescent="0.25">
      <c r="A595" s="22"/>
      <c r="B595" s="40"/>
      <c r="C595" s="40"/>
      <c r="D595" s="40"/>
      <c r="E595" s="40"/>
      <c r="F595" s="68"/>
      <c r="G595" s="40"/>
      <c r="H595" s="40"/>
      <c r="I595" s="40"/>
      <c r="J595" s="40"/>
      <c r="K595" s="40"/>
      <c r="L595" s="68"/>
    </row>
    <row r="596" spans="1:12" x14ac:dyDescent="0.25">
      <c r="A596" s="22"/>
      <c r="B596" s="40"/>
      <c r="C596" s="40"/>
      <c r="D596" s="40"/>
      <c r="E596" s="40"/>
      <c r="F596" s="68"/>
      <c r="G596" s="40"/>
      <c r="H596" s="40"/>
      <c r="I596" s="40"/>
      <c r="J596" s="40"/>
      <c r="K596" s="40"/>
      <c r="L596" s="68"/>
    </row>
    <row r="597" spans="1:12" x14ac:dyDescent="0.25">
      <c r="A597" s="22"/>
      <c r="B597" s="40"/>
      <c r="C597" s="40"/>
      <c r="D597" s="40"/>
      <c r="E597" s="40"/>
      <c r="F597" s="68"/>
      <c r="G597" s="40"/>
      <c r="H597" s="40"/>
      <c r="I597" s="40"/>
      <c r="J597" s="40"/>
      <c r="K597" s="40"/>
      <c r="L597" s="68"/>
    </row>
    <row r="598" spans="1:12" x14ac:dyDescent="0.25">
      <c r="A598" s="22"/>
      <c r="B598" s="40"/>
      <c r="C598" s="40"/>
      <c r="D598" s="40"/>
      <c r="E598" s="40"/>
      <c r="F598" s="68"/>
      <c r="G598" s="40"/>
      <c r="H598" s="40"/>
      <c r="I598" s="40"/>
      <c r="J598" s="40"/>
      <c r="K598" s="40"/>
      <c r="L598" s="68"/>
    </row>
    <row r="599" spans="1:12" x14ac:dyDescent="0.25">
      <c r="A599" s="22"/>
      <c r="B599" s="40"/>
      <c r="C599" s="40"/>
      <c r="D599" s="40"/>
      <c r="E599" s="40"/>
      <c r="F599" s="68"/>
      <c r="G599" s="40"/>
      <c r="H599" s="40"/>
      <c r="I599" s="40"/>
      <c r="J599" s="40"/>
      <c r="K599" s="40"/>
      <c r="L599" s="68"/>
    </row>
    <row r="600" spans="1:12" x14ac:dyDescent="0.25">
      <c r="A600" s="22"/>
      <c r="B600" s="40"/>
      <c r="C600" s="40"/>
      <c r="D600" s="40"/>
      <c r="E600" s="40"/>
      <c r="F600" s="68"/>
      <c r="G600" s="40"/>
      <c r="H600" s="40"/>
      <c r="I600" s="40"/>
      <c r="J600" s="40"/>
      <c r="K600" s="40"/>
      <c r="L600" s="68"/>
    </row>
    <row r="601" spans="1:12" x14ac:dyDescent="0.25">
      <c r="A601" s="22"/>
      <c r="B601" s="40"/>
      <c r="C601" s="40"/>
      <c r="D601" s="40"/>
      <c r="E601" s="40"/>
      <c r="F601" s="68"/>
      <c r="G601" s="40"/>
      <c r="H601" s="40"/>
      <c r="I601" s="40"/>
      <c r="J601" s="40"/>
      <c r="K601" s="40"/>
      <c r="L601" s="68"/>
    </row>
    <row r="602" spans="1:12" x14ac:dyDescent="0.25">
      <c r="A602" s="22"/>
      <c r="B602" s="40"/>
      <c r="C602" s="40"/>
      <c r="D602" s="40"/>
      <c r="E602" s="40"/>
      <c r="F602" s="68"/>
      <c r="G602" s="40"/>
      <c r="H602" s="40"/>
      <c r="I602" s="40"/>
      <c r="J602" s="40"/>
      <c r="K602" s="40"/>
      <c r="L602" s="68"/>
    </row>
    <row r="603" spans="1:12" x14ac:dyDescent="0.25">
      <c r="A603" s="22"/>
      <c r="B603" s="40"/>
      <c r="C603" s="40"/>
      <c r="D603" s="40"/>
      <c r="E603" s="40"/>
      <c r="F603" s="68"/>
      <c r="G603" s="40"/>
      <c r="H603" s="40"/>
      <c r="I603" s="40"/>
      <c r="J603" s="40"/>
      <c r="K603" s="40"/>
      <c r="L603" s="68"/>
    </row>
    <row r="604" spans="1:12" x14ac:dyDescent="0.25">
      <c r="A604" s="22"/>
      <c r="B604" s="40"/>
      <c r="C604" s="40"/>
      <c r="D604" s="40"/>
      <c r="E604" s="40"/>
      <c r="F604" s="68"/>
      <c r="G604" s="40"/>
      <c r="H604" s="40"/>
      <c r="I604" s="40"/>
      <c r="J604" s="40"/>
      <c r="K604" s="40"/>
      <c r="L604" s="68"/>
    </row>
    <row r="605" spans="1:12" x14ac:dyDescent="0.25">
      <c r="A605" s="22"/>
      <c r="B605" s="19"/>
      <c r="C605" s="19"/>
      <c r="D605" s="19"/>
      <c r="E605" s="19"/>
      <c r="F605" s="68"/>
      <c r="G605" s="19"/>
      <c r="H605" s="19"/>
      <c r="I605" s="19"/>
      <c r="J605" s="19"/>
      <c r="K605" s="19"/>
      <c r="L605" s="68"/>
    </row>
    <row r="606" spans="1:12" x14ac:dyDescent="0.25">
      <c r="A606" s="22"/>
      <c r="B606" s="19"/>
      <c r="C606" s="19"/>
      <c r="D606" s="19"/>
      <c r="E606" s="19"/>
      <c r="F606" s="68"/>
      <c r="G606" s="19"/>
      <c r="H606" s="19"/>
      <c r="I606" s="19"/>
      <c r="J606" s="19"/>
      <c r="K606" s="19"/>
      <c r="L606" s="68"/>
    </row>
    <row r="607" spans="1:12" x14ac:dyDescent="0.25">
      <c r="A607" s="22"/>
      <c r="B607" s="19"/>
      <c r="C607" s="19"/>
      <c r="D607" s="19"/>
      <c r="E607" s="19"/>
      <c r="F607" s="68"/>
      <c r="G607" s="19"/>
      <c r="H607" s="19"/>
      <c r="I607" s="19"/>
      <c r="J607" s="19"/>
      <c r="K607" s="19"/>
      <c r="L607" s="68"/>
    </row>
    <row r="608" spans="1:12" x14ac:dyDescent="0.25">
      <c r="A608" s="22"/>
      <c r="B608" s="19"/>
      <c r="C608" s="19"/>
      <c r="D608" s="19"/>
      <c r="E608" s="19"/>
      <c r="F608" s="68"/>
      <c r="G608" s="19"/>
      <c r="H608" s="19"/>
      <c r="I608" s="19"/>
      <c r="J608" s="19"/>
      <c r="K608" s="19"/>
      <c r="L608" s="68"/>
    </row>
    <row r="609" spans="1:12" x14ac:dyDescent="0.25">
      <c r="A609" s="22"/>
      <c r="B609" s="19"/>
      <c r="C609" s="19"/>
      <c r="D609" s="19"/>
      <c r="E609" s="19"/>
      <c r="F609" s="68"/>
      <c r="G609" s="19"/>
      <c r="H609" s="19"/>
      <c r="I609" s="19"/>
      <c r="J609" s="19"/>
      <c r="K609" s="19"/>
      <c r="L609" s="68"/>
    </row>
    <row r="610" spans="1:12" x14ac:dyDescent="0.25">
      <c r="A610" s="22"/>
      <c r="B610" s="19"/>
      <c r="C610" s="19"/>
      <c r="D610" s="19"/>
      <c r="E610" s="19"/>
      <c r="F610" s="68"/>
      <c r="G610" s="19"/>
      <c r="H610" s="19"/>
      <c r="I610" s="19"/>
      <c r="J610" s="19"/>
      <c r="K610" s="19"/>
      <c r="L610" s="68"/>
    </row>
    <row r="611" spans="1:12" x14ac:dyDescent="0.25">
      <c r="A611" s="22"/>
      <c r="B611" s="19"/>
      <c r="C611" s="19"/>
      <c r="D611" s="19"/>
      <c r="E611" s="19"/>
      <c r="F611" s="68"/>
      <c r="G611" s="19"/>
      <c r="H611" s="19"/>
      <c r="I611" s="19"/>
      <c r="J611" s="19"/>
      <c r="K611" s="19"/>
      <c r="L611" s="68"/>
    </row>
    <row r="612" spans="1:12" x14ac:dyDescent="0.25">
      <c r="A612" s="22"/>
      <c r="B612" s="19"/>
      <c r="C612" s="19"/>
      <c r="D612" s="19"/>
      <c r="E612" s="19"/>
      <c r="F612" s="68"/>
      <c r="G612" s="19"/>
      <c r="H612" s="19"/>
      <c r="I612" s="19"/>
      <c r="J612" s="19"/>
      <c r="K612" s="19"/>
      <c r="L612" s="68"/>
    </row>
    <row r="613" spans="1:12" x14ac:dyDescent="0.25">
      <c r="A613" s="22"/>
      <c r="B613" s="19"/>
      <c r="C613" s="19"/>
      <c r="D613" s="19"/>
      <c r="E613" s="19"/>
      <c r="F613" s="68"/>
      <c r="G613" s="19"/>
      <c r="H613" s="19"/>
      <c r="I613" s="19"/>
      <c r="J613" s="19"/>
      <c r="K613" s="19"/>
      <c r="L613" s="68"/>
    </row>
    <row r="614" spans="1:12" x14ac:dyDescent="0.25">
      <c r="A614" s="22"/>
      <c r="B614" s="19"/>
      <c r="C614" s="19"/>
      <c r="D614" s="19"/>
      <c r="E614" s="19"/>
      <c r="F614" s="68"/>
      <c r="G614" s="19"/>
      <c r="H614" s="19"/>
      <c r="I614" s="19"/>
      <c r="J614" s="19"/>
      <c r="K614" s="19"/>
      <c r="L614" s="68"/>
    </row>
    <row r="615" spans="1:12" x14ac:dyDescent="0.25">
      <c r="A615" s="22"/>
      <c r="B615" s="19"/>
      <c r="C615" s="19"/>
      <c r="D615" s="19"/>
      <c r="E615" s="19"/>
      <c r="F615" s="68"/>
      <c r="G615" s="19"/>
      <c r="H615" s="19"/>
      <c r="I615" s="19"/>
      <c r="J615" s="19"/>
      <c r="K615" s="19"/>
      <c r="L615" s="68"/>
    </row>
    <row r="616" spans="1:12" x14ac:dyDescent="0.25">
      <c r="A616" s="22"/>
      <c r="B616" s="19"/>
      <c r="C616" s="19"/>
      <c r="D616" s="19"/>
      <c r="E616" s="19"/>
      <c r="F616" s="68"/>
      <c r="G616" s="19"/>
      <c r="H616" s="19"/>
      <c r="I616" s="19"/>
      <c r="J616" s="19"/>
      <c r="K616" s="19"/>
      <c r="L616" s="68"/>
    </row>
    <row r="617" spans="1:12" x14ac:dyDescent="0.25">
      <c r="A617" s="22"/>
      <c r="B617" s="19"/>
      <c r="C617" s="19"/>
      <c r="D617" s="19"/>
      <c r="E617" s="19"/>
      <c r="F617" s="68"/>
      <c r="G617" s="19"/>
      <c r="H617" s="19"/>
      <c r="I617" s="19"/>
      <c r="J617" s="19"/>
      <c r="K617" s="19"/>
      <c r="L617" s="68"/>
    </row>
    <row r="618" spans="1:12" x14ac:dyDescent="0.25">
      <c r="A618" s="22"/>
      <c r="B618" s="19"/>
      <c r="C618" s="19"/>
      <c r="D618" s="19"/>
      <c r="E618" s="19"/>
      <c r="F618" s="68"/>
      <c r="G618" s="19"/>
      <c r="H618" s="19"/>
      <c r="I618" s="19"/>
      <c r="J618" s="19"/>
      <c r="K618" s="19"/>
      <c r="L618" s="68"/>
    </row>
    <row r="619" spans="1:12" x14ac:dyDescent="0.25">
      <c r="A619" s="22"/>
      <c r="B619" s="19"/>
      <c r="C619" s="19"/>
      <c r="D619" s="19"/>
      <c r="E619" s="19"/>
      <c r="F619" s="68"/>
      <c r="G619" s="19"/>
      <c r="H619" s="19"/>
      <c r="I619" s="19"/>
      <c r="J619" s="19"/>
      <c r="K619" s="19"/>
      <c r="L619" s="68"/>
    </row>
    <row r="620" spans="1:12" x14ac:dyDescent="0.25">
      <c r="A620" s="22"/>
      <c r="B620" s="19"/>
      <c r="C620" s="19"/>
      <c r="D620" s="19"/>
      <c r="E620" s="19"/>
      <c r="F620" s="68"/>
      <c r="G620" s="19"/>
      <c r="H620" s="19"/>
      <c r="I620" s="19"/>
      <c r="J620" s="19"/>
      <c r="K620" s="19"/>
      <c r="L620" s="68"/>
    </row>
    <row r="621" spans="1:12" x14ac:dyDescent="0.25">
      <c r="A621" s="22"/>
      <c r="B621" s="19"/>
      <c r="C621" s="19"/>
      <c r="D621" s="19"/>
      <c r="E621" s="19"/>
      <c r="F621" s="68"/>
      <c r="G621" s="19"/>
      <c r="H621" s="19"/>
      <c r="I621" s="19"/>
      <c r="J621" s="19"/>
      <c r="K621" s="19"/>
      <c r="L621" s="68"/>
    </row>
    <row r="622" spans="1:12" x14ac:dyDescent="0.25">
      <c r="A622" s="22"/>
      <c r="B622" s="19"/>
      <c r="C622" s="19"/>
      <c r="D622" s="19"/>
      <c r="E622" s="19"/>
      <c r="F622" s="68"/>
      <c r="G622" s="19"/>
      <c r="H622" s="19"/>
      <c r="I622" s="19"/>
      <c r="J622" s="19"/>
      <c r="K622" s="19"/>
      <c r="L622" s="68"/>
    </row>
    <row r="623" spans="1:12" x14ac:dyDescent="0.25">
      <c r="A623" s="22"/>
      <c r="B623" s="19"/>
      <c r="C623" s="19"/>
      <c r="D623" s="19"/>
      <c r="E623" s="19"/>
      <c r="F623" s="68"/>
      <c r="G623" s="19"/>
      <c r="H623" s="19"/>
      <c r="I623" s="19"/>
      <c r="J623" s="19"/>
      <c r="K623" s="19"/>
      <c r="L623" s="68"/>
    </row>
    <row r="624" spans="1:12" x14ac:dyDescent="0.25">
      <c r="A624" s="22"/>
      <c r="B624" s="19"/>
      <c r="C624" s="19"/>
      <c r="D624" s="19"/>
      <c r="E624" s="19"/>
      <c r="F624" s="68"/>
      <c r="G624" s="19"/>
      <c r="H624" s="19"/>
      <c r="I624" s="19"/>
      <c r="J624" s="19"/>
      <c r="K624" s="19"/>
      <c r="L624" s="68"/>
    </row>
    <row r="625" spans="1:12" x14ac:dyDescent="0.25">
      <c r="A625" s="22"/>
      <c r="B625" s="19"/>
      <c r="C625" s="19"/>
      <c r="D625" s="19"/>
      <c r="E625" s="19"/>
      <c r="F625" s="68"/>
      <c r="G625" s="19"/>
      <c r="H625" s="19"/>
      <c r="I625" s="19"/>
      <c r="J625" s="19"/>
      <c r="K625" s="19"/>
      <c r="L625" s="68"/>
    </row>
    <row r="626" spans="1:12" x14ac:dyDescent="0.25">
      <c r="A626" s="22"/>
      <c r="B626" s="19"/>
      <c r="C626" s="19"/>
      <c r="D626" s="19"/>
      <c r="E626" s="19"/>
      <c r="F626" s="68"/>
      <c r="G626" s="19"/>
      <c r="H626" s="19"/>
      <c r="I626" s="19"/>
      <c r="J626" s="19"/>
      <c r="K626" s="19"/>
      <c r="L626" s="68"/>
    </row>
    <row r="627" spans="1:12" x14ac:dyDescent="0.25">
      <c r="A627" s="22"/>
      <c r="B627" s="19"/>
      <c r="C627" s="19"/>
      <c r="D627" s="19"/>
      <c r="E627" s="19"/>
      <c r="F627" s="68"/>
      <c r="G627" s="19"/>
      <c r="H627" s="19"/>
      <c r="I627" s="19"/>
      <c r="J627" s="19"/>
      <c r="K627" s="19"/>
      <c r="L627" s="68"/>
    </row>
    <row r="628" spans="1:12" x14ac:dyDescent="0.25">
      <c r="A628" s="22"/>
      <c r="B628" s="19"/>
      <c r="C628" s="19"/>
      <c r="D628" s="19"/>
      <c r="E628" s="19"/>
      <c r="F628" s="68"/>
      <c r="G628" s="19"/>
      <c r="H628" s="19"/>
      <c r="I628" s="19"/>
      <c r="J628" s="19"/>
      <c r="K628" s="19"/>
      <c r="L628" s="68"/>
    </row>
    <row r="629" spans="1:12" x14ac:dyDescent="0.25">
      <c r="A629" s="22"/>
      <c r="B629" s="19"/>
      <c r="C629" s="19"/>
      <c r="D629" s="19"/>
      <c r="E629" s="19"/>
      <c r="F629" s="68"/>
      <c r="G629" s="19"/>
      <c r="H629" s="19"/>
      <c r="I629" s="19"/>
      <c r="J629" s="19"/>
      <c r="K629" s="19"/>
      <c r="L629" s="68"/>
    </row>
    <row r="630" spans="1:12" x14ac:dyDescent="0.25">
      <c r="A630" s="22"/>
      <c r="B630" s="19"/>
      <c r="C630" s="19"/>
      <c r="D630" s="19"/>
      <c r="E630" s="19"/>
      <c r="F630" s="68"/>
      <c r="G630" s="19"/>
      <c r="H630" s="19"/>
      <c r="I630" s="19"/>
      <c r="J630" s="19"/>
      <c r="K630" s="19"/>
      <c r="L630" s="68"/>
    </row>
    <row r="631" spans="1:12" x14ac:dyDescent="0.25">
      <c r="A631" s="22"/>
      <c r="B631" s="19"/>
      <c r="C631" s="19"/>
      <c r="D631" s="19"/>
      <c r="E631" s="19"/>
      <c r="F631" s="68"/>
      <c r="G631" s="19"/>
      <c r="H631" s="19"/>
      <c r="I631" s="19"/>
      <c r="J631" s="19"/>
      <c r="K631" s="19"/>
      <c r="L631" s="68"/>
    </row>
    <row r="632" spans="1:12" x14ac:dyDescent="0.25">
      <c r="A632" s="22"/>
      <c r="B632" s="19"/>
      <c r="C632" s="19"/>
      <c r="D632" s="19"/>
      <c r="E632" s="19"/>
      <c r="F632" s="68"/>
      <c r="G632" s="19"/>
      <c r="H632" s="19"/>
      <c r="I632" s="19"/>
      <c r="J632" s="19"/>
      <c r="K632" s="19"/>
      <c r="L632" s="68"/>
    </row>
    <row r="633" spans="1:12" x14ac:dyDescent="0.25">
      <c r="A633" s="22"/>
      <c r="B633" s="19"/>
      <c r="C633" s="19"/>
      <c r="D633" s="19"/>
      <c r="E633" s="19"/>
      <c r="F633" s="68"/>
      <c r="G633" s="19"/>
      <c r="H633" s="19"/>
      <c r="I633" s="19"/>
      <c r="J633" s="19"/>
      <c r="K633" s="19"/>
      <c r="L633" s="68"/>
    </row>
    <row r="634" spans="1:12" x14ac:dyDescent="0.25">
      <c r="A634" s="22"/>
      <c r="B634" s="19"/>
      <c r="C634" s="19"/>
      <c r="D634" s="19"/>
      <c r="E634" s="19"/>
      <c r="F634" s="68"/>
      <c r="G634" s="19"/>
      <c r="H634" s="19"/>
      <c r="I634" s="19"/>
      <c r="J634" s="19"/>
      <c r="K634" s="19"/>
      <c r="L634" s="68"/>
    </row>
    <row r="635" spans="1:12" x14ac:dyDescent="0.25">
      <c r="A635" s="22"/>
      <c r="B635" s="19"/>
      <c r="C635" s="19"/>
      <c r="D635" s="19"/>
      <c r="E635" s="19"/>
      <c r="F635" s="68"/>
      <c r="G635" s="19"/>
      <c r="H635" s="19"/>
      <c r="I635" s="19"/>
      <c r="J635" s="19"/>
      <c r="K635" s="19"/>
      <c r="L635" s="68"/>
    </row>
    <row r="636" spans="1:12" x14ac:dyDescent="0.25">
      <c r="A636" s="22"/>
      <c r="B636" s="19"/>
      <c r="C636" s="19"/>
      <c r="D636" s="19"/>
      <c r="E636" s="19"/>
      <c r="F636" s="68"/>
      <c r="G636" s="19"/>
      <c r="H636" s="19"/>
      <c r="I636" s="19"/>
      <c r="J636" s="19"/>
      <c r="K636" s="19"/>
      <c r="L636" s="68"/>
    </row>
    <row r="637" spans="1:12" x14ac:dyDescent="0.25">
      <c r="A637" s="22"/>
      <c r="B637" s="19"/>
      <c r="C637" s="19"/>
      <c r="D637" s="19"/>
      <c r="E637" s="19"/>
      <c r="F637" s="68"/>
      <c r="G637" s="19"/>
      <c r="H637" s="19"/>
      <c r="I637" s="19"/>
      <c r="J637" s="19"/>
      <c r="K637" s="19"/>
      <c r="L637" s="68"/>
    </row>
    <row r="638" spans="1:12" x14ac:dyDescent="0.25">
      <c r="A638" s="22"/>
      <c r="B638" s="19"/>
      <c r="C638" s="19"/>
      <c r="D638" s="19"/>
      <c r="E638" s="19"/>
      <c r="F638" s="68"/>
      <c r="G638" s="19"/>
      <c r="H638" s="19"/>
      <c r="I638" s="19"/>
      <c r="J638" s="19"/>
      <c r="K638" s="19"/>
      <c r="L638" s="68"/>
    </row>
    <row r="639" spans="1:12" x14ac:dyDescent="0.25">
      <c r="A639" s="22"/>
      <c r="B639" s="19"/>
      <c r="C639" s="19"/>
      <c r="D639" s="19"/>
      <c r="E639" s="19"/>
      <c r="F639" s="68"/>
      <c r="G639" s="19"/>
      <c r="H639" s="19"/>
      <c r="I639" s="19"/>
      <c r="J639" s="19"/>
      <c r="K639" s="19"/>
      <c r="L639" s="68"/>
    </row>
    <row r="640" spans="1:12" x14ac:dyDescent="0.25">
      <c r="A640" s="22">
        <f>+'Pipeline Gas'!A638</f>
        <v>0</v>
      </c>
      <c r="B640" s="19"/>
      <c r="C640" s="19"/>
      <c r="D640" s="19"/>
      <c r="E640" s="19"/>
      <c r="F640" s="68"/>
      <c r="G640" s="19"/>
      <c r="H640" s="19"/>
      <c r="I640" s="19"/>
      <c r="J640" s="19"/>
      <c r="K640" s="19"/>
      <c r="L640" s="68"/>
    </row>
    <row r="641" spans="1:12" x14ac:dyDescent="0.25">
      <c r="A641" s="22">
        <f>+'Pipeline Gas'!A639</f>
        <v>0</v>
      </c>
      <c r="B641" s="19"/>
      <c r="C641" s="19"/>
      <c r="D641" s="19"/>
      <c r="E641" s="19"/>
      <c r="F641" s="68"/>
      <c r="G641" s="19"/>
      <c r="H641" s="19"/>
      <c r="I641" s="19"/>
      <c r="J641" s="19"/>
      <c r="K641" s="19"/>
      <c r="L641" s="68"/>
    </row>
    <row r="642" spans="1:12" x14ac:dyDescent="0.25">
      <c r="A642" s="22">
        <f>+'Pipeline Gas'!A640</f>
        <v>0</v>
      </c>
      <c r="B642" s="19"/>
      <c r="C642" s="19"/>
      <c r="D642" s="19"/>
      <c r="E642" s="19"/>
      <c r="F642" s="68"/>
      <c r="G642" s="19"/>
      <c r="H642" s="19"/>
      <c r="I642" s="19"/>
      <c r="J642" s="19"/>
      <c r="K642" s="19"/>
      <c r="L642" s="68"/>
    </row>
    <row r="643" spans="1:12" x14ac:dyDescent="0.25">
      <c r="A643" s="22">
        <f>+'Pipeline Gas'!A641</f>
        <v>0</v>
      </c>
      <c r="B643" s="19"/>
      <c r="C643" s="19"/>
      <c r="D643" s="19"/>
      <c r="E643" s="19"/>
      <c r="F643" s="68"/>
      <c r="G643" s="19"/>
      <c r="H643" s="19"/>
      <c r="I643" s="19"/>
      <c r="J643" s="19"/>
      <c r="K643" s="19"/>
      <c r="L643" s="68"/>
    </row>
    <row r="644" spans="1:12" x14ac:dyDescent="0.25">
      <c r="A644" s="22">
        <f>+'Pipeline Gas'!A642</f>
        <v>0</v>
      </c>
      <c r="B644" s="19"/>
      <c r="C644" s="19"/>
      <c r="D644" s="19"/>
      <c r="E644" s="19"/>
      <c r="F644" s="68"/>
      <c r="G644" s="19"/>
      <c r="H644" s="19"/>
      <c r="I644" s="19"/>
      <c r="J644" s="19"/>
      <c r="K644" s="19"/>
      <c r="L644" s="68"/>
    </row>
    <row r="645" spans="1:12" x14ac:dyDescent="0.25">
      <c r="A645" s="22">
        <f>+'Pipeline Gas'!A643</f>
        <v>0</v>
      </c>
      <c r="B645" s="19"/>
      <c r="C645" s="19"/>
      <c r="D645" s="19"/>
      <c r="E645" s="19"/>
      <c r="F645" s="68"/>
      <c r="G645" s="19"/>
      <c r="H645" s="19"/>
      <c r="I645" s="19"/>
      <c r="J645" s="19"/>
      <c r="K645" s="19"/>
      <c r="L645" s="68"/>
    </row>
    <row r="646" spans="1:12" x14ac:dyDescent="0.25">
      <c r="A646" s="22">
        <f>+'Pipeline Gas'!A644</f>
        <v>0</v>
      </c>
      <c r="B646" s="19"/>
      <c r="C646" s="19"/>
      <c r="D646" s="19"/>
      <c r="E646" s="19"/>
      <c r="F646" s="68"/>
      <c r="G646" s="19"/>
      <c r="H646" s="19"/>
      <c r="I646" s="19"/>
      <c r="J646" s="19"/>
      <c r="K646" s="19"/>
      <c r="L646" s="68"/>
    </row>
    <row r="647" spans="1:12" x14ac:dyDescent="0.25">
      <c r="A647" s="22">
        <f>+'Pipeline Gas'!A645</f>
        <v>0</v>
      </c>
      <c r="B647" s="19"/>
      <c r="C647" s="19"/>
      <c r="D647" s="19"/>
      <c r="E647" s="19"/>
      <c r="F647" s="68"/>
      <c r="G647" s="19"/>
      <c r="H647" s="19"/>
      <c r="I647" s="19"/>
      <c r="J647" s="19"/>
      <c r="K647" s="19"/>
      <c r="L647" s="68"/>
    </row>
    <row r="648" spans="1:12" x14ac:dyDescent="0.25">
      <c r="A648" s="22">
        <f>+'Pipeline Gas'!A646</f>
        <v>0</v>
      </c>
      <c r="B648" s="19"/>
      <c r="C648" s="19"/>
      <c r="D648" s="19"/>
      <c r="E648" s="19"/>
      <c r="F648" s="68"/>
      <c r="G648" s="19"/>
      <c r="H648" s="19"/>
      <c r="I648" s="19"/>
      <c r="J648" s="19"/>
      <c r="K648" s="19"/>
      <c r="L648" s="68"/>
    </row>
    <row r="649" spans="1:12" x14ac:dyDescent="0.25">
      <c r="A649" s="22">
        <f>+'Pipeline Gas'!A647</f>
        <v>0</v>
      </c>
      <c r="B649" s="19"/>
      <c r="C649" s="19"/>
      <c r="D649" s="19"/>
      <c r="E649" s="19"/>
      <c r="F649" s="68"/>
      <c r="G649" s="19"/>
      <c r="H649" s="19"/>
      <c r="I649" s="19"/>
      <c r="J649" s="19"/>
      <c r="K649" s="19"/>
      <c r="L649" s="68"/>
    </row>
    <row r="650" spans="1:12" x14ac:dyDescent="0.25">
      <c r="A650" s="22">
        <f>+'Pipeline Gas'!A648</f>
        <v>0</v>
      </c>
      <c r="B650" s="19"/>
      <c r="C650" s="19"/>
      <c r="D650" s="19"/>
      <c r="E650" s="19"/>
      <c r="F650" s="68"/>
      <c r="G650" s="19"/>
      <c r="H650" s="19"/>
      <c r="I650" s="19"/>
      <c r="J650" s="19"/>
      <c r="K650" s="19"/>
      <c r="L650" s="68"/>
    </row>
    <row r="651" spans="1:12" x14ac:dyDescent="0.25">
      <c r="A651" s="22">
        <f>+'Pipeline Gas'!A649</f>
        <v>0</v>
      </c>
      <c r="B651" s="19"/>
      <c r="C651" s="19"/>
      <c r="D651" s="19"/>
      <c r="E651" s="19"/>
      <c r="F651" s="68"/>
      <c r="G651" s="19"/>
      <c r="H651" s="19"/>
      <c r="I651" s="19"/>
      <c r="J651" s="19"/>
      <c r="K651" s="19"/>
      <c r="L651" s="68"/>
    </row>
    <row r="652" spans="1:12" x14ac:dyDescent="0.25">
      <c r="A652" s="22">
        <f>+'Pipeline Gas'!A650</f>
        <v>0</v>
      </c>
      <c r="B652" s="19"/>
      <c r="C652" s="19"/>
      <c r="D652" s="19"/>
      <c r="E652" s="19"/>
      <c r="F652" s="68"/>
      <c r="G652" s="19"/>
      <c r="H652" s="19"/>
      <c r="I652" s="19"/>
      <c r="J652" s="19"/>
      <c r="K652" s="19"/>
      <c r="L652" s="68"/>
    </row>
    <row r="653" spans="1:12" x14ac:dyDescent="0.25">
      <c r="A653" s="22">
        <f>+'Pipeline Gas'!A651</f>
        <v>0</v>
      </c>
      <c r="B653" s="19"/>
      <c r="C653" s="19"/>
      <c r="D653" s="19"/>
      <c r="E653" s="19"/>
      <c r="F653" s="68"/>
      <c r="G653" s="19"/>
      <c r="H653" s="19"/>
      <c r="I653" s="19"/>
      <c r="J653" s="19"/>
      <c r="K653" s="19"/>
      <c r="L653" s="68"/>
    </row>
    <row r="654" spans="1:12" x14ac:dyDescent="0.25">
      <c r="A654" s="22">
        <f>+'Pipeline Gas'!A652</f>
        <v>0</v>
      </c>
      <c r="B654" s="19"/>
      <c r="C654" s="19"/>
      <c r="D654" s="19"/>
      <c r="E654" s="19"/>
      <c r="F654" s="68"/>
      <c r="G654" s="19"/>
      <c r="H654" s="19"/>
      <c r="I654" s="19"/>
      <c r="J654" s="19"/>
      <c r="K654" s="19"/>
      <c r="L654" s="68"/>
    </row>
    <row r="655" spans="1:12" x14ac:dyDescent="0.25">
      <c r="A655" s="22">
        <f>+'Pipeline Gas'!A653</f>
        <v>0</v>
      </c>
      <c r="B655" s="19"/>
      <c r="C655" s="19"/>
      <c r="D655" s="19"/>
      <c r="E655" s="19"/>
      <c r="F655" s="68"/>
      <c r="G655" s="19"/>
      <c r="H655" s="19"/>
      <c r="I655" s="19"/>
      <c r="J655" s="19"/>
      <c r="K655" s="19"/>
      <c r="L655" s="68"/>
    </row>
    <row r="656" spans="1:12" x14ac:dyDescent="0.25">
      <c r="A656" s="22">
        <f>+'Pipeline Gas'!A654</f>
        <v>0</v>
      </c>
      <c r="B656" s="19"/>
      <c r="C656" s="19"/>
      <c r="D656" s="19"/>
      <c r="E656" s="19"/>
      <c r="F656" s="68"/>
      <c r="G656" s="19"/>
      <c r="H656" s="19"/>
      <c r="I656" s="19"/>
      <c r="J656" s="19"/>
      <c r="K656" s="19"/>
      <c r="L656" s="68"/>
    </row>
    <row r="657" spans="1:12" x14ac:dyDescent="0.25">
      <c r="A657" s="22">
        <f>+'Pipeline Gas'!A655</f>
        <v>0</v>
      </c>
      <c r="B657" s="19"/>
      <c r="C657" s="19"/>
      <c r="D657" s="19"/>
      <c r="E657" s="19"/>
      <c r="F657" s="68"/>
      <c r="G657" s="19"/>
      <c r="H657" s="19"/>
      <c r="I657" s="19"/>
      <c r="J657" s="19"/>
      <c r="K657" s="19"/>
      <c r="L657" s="68"/>
    </row>
    <row r="658" spans="1:12" x14ac:dyDescent="0.25">
      <c r="A658" s="22">
        <f>+'Pipeline Gas'!A656</f>
        <v>0</v>
      </c>
      <c r="B658" s="19"/>
      <c r="C658" s="19"/>
      <c r="D658" s="19"/>
      <c r="E658" s="19"/>
      <c r="F658" s="68"/>
      <c r="G658" s="19"/>
      <c r="H658" s="19"/>
      <c r="I658" s="19"/>
      <c r="J658" s="19"/>
      <c r="K658" s="19"/>
      <c r="L658" s="68"/>
    </row>
    <row r="659" spans="1:12" x14ac:dyDescent="0.25">
      <c r="A659" s="22">
        <f>+'Pipeline Gas'!A657</f>
        <v>0</v>
      </c>
      <c r="B659" s="19"/>
      <c r="C659" s="19"/>
      <c r="D659" s="19"/>
      <c r="E659" s="19"/>
      <c r="F659" s="68"/>
      <c r="G659" s="19"/>
      <c r="H659" s="19"/>
      <c r="I659" s="19"/>
      <c r="J659" s="19"/>
      <c r="K659" s="19"/>
      <c r="L659" s="68"/>
    </row>
    <row r="660" spans="1:12" x14ac:dyDescent="0.25">
      <c r="A660" s="22">
        <f>+'Pipeline Gas'!A658</f>
        <v>0</v>
      </c>
      <c r="B660" s="19"/>
      <c r="C660" s="19"/>
      <c r="D660" s="19"/>
      <c r="E660" s="19"/>
      <c r="F660" s="68"/>
      <c r="G660" s="19"/>
      <c r="H660" s="19"/>
      <c r="I660" s="19"/>
      <c r="J660" s="19"/>
      <c r="K660" s="19"/>
      <c r="L660" s="68"/>
    </row>
    <row r="661" spans="1:12" x14ac:dyDescent="0.25">
      <c r="A661" s="22">
        <f>+'Pipeline Gas'!A659</f>
        <v>0</v>
      </c>
      <c r="B661" s="19"/>
      <c r="C661" s="19"/>
      <c r="D661" s="19"/>
      <c r="E661" s="19"/>
      <c r="F661" s="68"/>
      <c r="G661" s="19"/>
      <c r="H661" s="19"/>
      <c r="I661" s="19"/>
      <c r="J661" s="19"/>
      <c r="K661" s="19"/>
      <c r="L661" s="68"/>
    </row>
    <row r="662" spans="1:12" x14ac:dyDescent="0.25">
      <c r="A662" s="22">
        <f>+'Pipeline Gas'!A660</f>
        <v>0</v>
      </c>
      <c r="B662" s="19"/>
      <c r="C662" s="19"/>
      <c r="D662" s="19"/>
      <c r="E662" s="19"/>
      <c r="F662" s="68"/>
      <c r="G662" s="19"/>
      <c r="H662" s="19"/>
      <c r="I662" s="19"/>
      <c r="J662" s="19"/>
      <c r="K662" s="19"/>
      <c r="L662" s="68"/>
    </row>
    <row r="663" spans="1:12" x14ac:dyDescent="0.25">
      <c r="A663" s="22">
        <f>+'Pipeline Gas'!A661</f>
        <v>0</v>
      </c>
      <c r="B663" s="19"/>
      <c r="C663" s="19"/>
      <c r="D663" s="19"/>
      <c r="E663" s="19"/>
      <c r="F663" s="68"/>
      <c r="G663" s="19"/>
      <c r="H663" s="19"/>
      <c r="I663" s="19"/>
      <c r="J663" s="19"/>
      <c r="K663" s="19"/>
      <c r="L663" s="68"/>
    </row>
    <row r="664" spans="1:12" x14ac:dyDescent="0.25">
      <c r="A664" s="22">
        <f>+'Pipeline Gas'!A662</f>
        <v>0</v>
      </c>
      <c r="B664" s="19"/>
      <c r="C664" s="19"/>
      <c r="D664" s="19"/>
      <c r="E664" s="19"/>
      <c r="F664" s="68"/>
      <c r="G664" s="19"/>
      <c r="H664" s="19"/>
      <c r="I664" s="19"/>
      <c r="J664" s="19"/>
      <c r="K664" s="19"/>
      <c r="L664" s="68"/>
    </row>
    <row r="665" spans="1:12" x14ac:dyDescent="0.25">
      <c r="A665" s="22">
        <f>+'Pipeline Gas'!A663</f>
        <v>0</v>
      </c>
      <c r="B665" s="19"/>
      <c r="C665" s="19"/>
      <c r="D665" s="19"/>
      <c r="E665" s="19"/>
      <c r="F665" s="68"/>
      <c r="G665" s="19"/>
      <c r="H665" s="19"/>
      <c r="I665" s="19"/>
      <c r="J665" s="19"/>
      <c r="K665" s="19"/>
      <c r="L665" s="68"/>
    </row>
    <row r="666" spans="1:12" x14ac:dyDescent="0.25">
      <c r="A666" s="22">
        <f>+'Pipeline Gas'!A664</f>
        <v>0</v>
      </c>
      <c r="B666" s="19"/>
      <c r="C666" s="19"/>
      <c r="D666" s="19"/>
      <c r="E666" s="19"/>
      <c r="F666" s="68"/>
      <c r="G666" s="19"/>
      <c r="H666" s="19"/>
      <c r="I666" s="19"/>
      <c r="J666" s="19"/>
      <c r="K666" s="19"/>
      <c r="L666" s="68"/>
    </row>
    <row r="667" spans="1:12" x14ac:dyDescent="0.25">
      <c r="A667" s="22">
        <f>+'Pipeline Gas'!A665</f>
        <v>0</v>
      </c>
      <c r="B667" s="19"/>
      <c r="C667" s="19"/>
      <c r="D667" s="19"/>
      <c r="E667" s="19"/>
      <c r="F667" s="68"/>
      <c r="G667" s="19"/>
      <c r="H667" s="19"/>
      <c r="I667" s="19"/>
      <c r="J667" s="19"/>
      <c r="K667" s="19"/>
      <c r="L667" s="68"/>
    </row>
    <row r="668" spans="1:12" x14ac:dyDescent="0.25">
      <c r="A668" s="22">
        <f>+'Pipeline Gas'!A666</f>
        <v>0</v>
      </c>
      <c r="B668" s="19"/>
      <c r="C668" s="19"/>
      <c r="D668" s="19"/>
      <c r="E668" s="19"/>
      <c r="F668" s="68"/>
      <c r="G668" s="19"/>
      <c r="H668" s="19"/>
      <c r="I668" s="19"/>
      <c r="J668" s="19"/>
      <c r="K668" s="19"/>
      <c r="L668" s="68"/>
    </row>
    <row r="669" spans="1:12" x14ac:dyDescent="0.25">
      <c r="A669" s="22">
        <f>+'Pipeline Gas'!A667</f>
        <v>0</v>
      </c>
      <c r="B669" s="19"/>
      <c r="C669" s="19"/>
      <c r="D669" s="19"/>
      <c r="E669" s="19"/>
      <c r="F669" s="68"/>
      <c r="G669" s="19"/>
      <c r="H669" s="19"/>
      <c r="I669" s="19"/>
      <c r="J669" s="19"/>
      <c r="K669" s="19"/>
      <c r="L669" s="68"/>
    </row>
    <row r="670" spans="1:12" x14ac:dyDescent="0.25">
      <c r="A670" s="22">
        <f>+'Pipeline Gas'!A668</f>
        <v>0</v>
      </c>
      <c r="B670" s="19"/>
      <c r="C670" s="19"/>
      <c r="D670" s="19"/>
      <c r="E670" s="19"/>
      <c r="F670" s="68"/>
      <c r="G670" s="19"/>
      <c r="H670" s="19"/>
      <c r="I670" s="19"/>
      <c r="J670" s="19"/>
      <c r="K670" s="19"/>
      <c r="L670" s="68"/>
    </row>
    <row r="671" spans="1:12" x14ac:dyDescent="0.25">
      <c r="A671" s="22">
        <f>+'Pipeline Gas'!A669</f>
        <v>0</v>
      </c>
      <c r="B671" s="19"/>
      <c r="C671" s="19"/>
      <c r="D671" s="19"/>
      <c r="E671" s="19"/>
      <c r="F671" s="68"/>
      <c r="G671" s="19"/>
      <c r="H671" s="19"/>
      <c r="I671" s="19"/>
      <c r="J671" s="19"/>
      <c r="K671" s="19"/>
      <c r="L671" s="68"/>
    </row>
    <row r="672" spans="1:12" x14ac:dyDescent="0.25">
      <c r="A672" s="22">
        <f>+'Pipeline Gas'!A670</f>
        <v>0</v>
      </c>
      <c r="B672" s="19"/>
      <c r="C672" s="19"/>
      <c r="D672" s="19"/>
      <c r="E672" s="19"/>
      <c r="F672" s="68"/>
      <c r="G672" s="19"/>
      <c r="H672" s="19"/>
      <c r="I672" s="19"/>
      <c r="J672" s="19"/>
      <c r="K672" s="19"/>
      <c r="L672" s="68"/>
    </row>
    <row r="673" spans="1:12" x14ac:dyDescent="0.25">
      <c r="A673" s="22">
        <f>+'Pipeline Gas'!A671</f>
        <v>0</v>
      </c>
      <c r="B673" s="19"/>
      <c r="C673" s="19"/>
      <c r="D673" s="19"/>
      <c r="E673" s="19"/>
      <c r="F673" s="68"/>
      <c r="G673" s="19"/>
      <c r="H673" s="19"/>
      <c r="I673" s="19"/>
      <c r="J673" s="19"/>
      <c r="K673" s="19"/>
      <c r="L673" s="68"/>
    </row>
    <row r="674" spans="1:12" x14ac:dyDescent="0.25">
      <c r="A674" s="22">
        <f>+'Pipeline Gas'!A672</f>
        <v>0</v>
      </c>
      <c r="B674" s="19"/>
      <c r="C674" s="19"/>
      <c r="D674" s="19"/>
      <c r="E674" s="19"/>
      <c r="F674" s="68"/>
      <c r="G674" s="19"/>
      <c r="H674" s="19"/>
      <c r="I674" s="19"/>
      <c r="J674" s="19"/>
      <c r="K674" s="19"/>
      <c r="L674" s="68"/>
    </row>
    <row r="675" spans="1:12" x14ac:dyDescent="0.25">
      <c r="A675" s="22">
        <f>+'Pipeline Gas'!A673</f>
        <v>0</v>
      </c>
      <c r="B675" s="19"/>
      <c r="C675" s="19"/>
      <c r="D675" s="19"/>
      <c r="E675" s="19"/>
      <c r="F675" s="68"/>
      <c r="G675" s="19"/>
      <c r="H675" s="19"/>
      <c r="I675" s="19"/>
      <c r="J675" s="19"/>
      <c r="K675" s="19"/>
      <c r="L675" s="68"/>
    </row>
    <row r="676" spans="1:12" x14ac:dyDescent="0.25">
      <c r="A676" s="22">
        <f>+'Pipeline Gas'!A674</f>
        <v>0</v>
      </c>
      <c r="B676" s="19"/>
      <c r="C676" s="19"/>
      <c r="D676" s="19"/>
      <c r="E676" s="19"/>
      <c r="F676" s="68"/>
      <c r="G676" s="19"/>
      <c r="H676" s="19"/>
      <c r="I676" s="19"/>
      <c r="J676" s="19"/>
      <c r="K676" s="19"/>
      <c r="L676" s="68"/>
    </row>
    <row r="677" spans="1:12" x14ac:dyDescent="0.25">
      <c r="A677" s="22">
        <f>+'Pipeline Gas'!A675</f>
        <v>0</v>
      </c>
      <c r="B677" s="19"/>
      <c r="C677" s="19"/>
      <c r="D677" s="19"/>
      <c r="E677" s="19"/>
      <c r="F677" s="68"/>
      <c r="G677" s="19"/>
      <c r="H677" s="19"/>
      <c r="I677" s="19"/>
      <c r="J677" s="19"/>
      <c r="K677" s="19"/>
      <c r="L677" s="68"/>
    </row>
    <row r="678" spans="1:12" x14ac:dyDescent="0.25">
      <c r="A678" s="22">
        <f>+'Pipeline Gas'!A676</f>
        <v>0</v>
      </c>
      <c r="B678" s="19"/>
      <c r="C678" s="19"/>
      <c r="D678" s="19"/>
      <c r="E678" s="19"/>
      <c r="F678" s="68"/>
      <c r="G678" s="19"/>
      <c r="H678" s="19"/>
      <c r="I678" s="19"/>
      <c r="J678" s="19"/>
      <c r="K678" s="19"/>
      <c r="L678" s="68"/>
    </row>
    <row r="679" spans="1:12" x14ac:dyDescent="0.25">
      <c r="A679" s="22">
        <f>+'Pipeline Gas'!A677</f>
        <v>0</v>
      </c>
      <c r="B679" s="19"/>
      <c r="C679" s="19"/>
      <c r="D679" s="19"/>
      <c r="E679" s="19"/>
      <c r="F679" s="68"/>
      <c r="G679" s="19"/>
      <c r="H679" s="19"/>
      <c r="I679" s="19"/>
      <c r="J679" s="19"/>
      <c r="K679" s="19"/>
      <c r="L679" s="68"/>
    </row>
    <row r="680" spans="1:12" x14ac:dyDescent="0.25">
      <c r="A680" s="22">
        <f>+'Pipeline Gas'!A678</f>
        <v>0</v>
      </c>
      <c r="B680" s="19"/>
      <c r="C680" s="19"/>
      <c r="D680" s="19"/>
      <c r="E680" s="19"/>
      <c r="F680" s="68"/>
      <c r="G680" s="19"/>
      <c r="H680" s="19"/>
      <c r="I680" s="19"/>
      <c r="J680" s="19"/>
      <c r="K680" s="19"/>
      <c r="L680" s="68"/>
    </row>
    <row r="681" spans="1:12" x14ac:dyDescent="0.25">
      <c r="A681" s="22">
        <f>+'Pipeline Gas'!A679</f>
        <v>0</v>
      </c>
      <c r="B681" s="19"/>
      <c r="C681" s="19"/>
      <c r="D681" s="19"/>
      <c r="E681" s="19"/>
      <c r="F681" s="68"/>
      <c r="G681" s="19"/>
      <c r="H681" s="19"/>
      <c r="I681" s="19"/>
      <c r="J681" s="19"/>
      <c r="K681" s="19"/>
      <c r="L681" s="68"/>
    </row>
    <row r="682" spans="1:12" x14ac:dyDescent="0.25">
      <c r="A682" s="22">
        <f>+'Pipeline Gas'!A680</f>
        <v>0</v>
      </c>
      <c r="B682" s="19"/>
      <c r="C682" s="19"/>
      <c r="D682" s="19"/>
      <c r="E682" s="19"/>
      <c r="F682" s="68"/>
      <c r="G682" s="19"/>
      <c r="H682" s="19"/>
      <c r="I682" s="19"/>
      <c r="J682" s="19"/>
      <c r="K682" s="19"/>
      <c r="L682" s="68"/>
    </row>
    <row r="683" spans="1:12" x14ac:dyDescent="0.25">
      <c r="A683" s="22">
        <f>+'Pipeline Gas'!A681</f>
        <v>0</v>
      </c>
      <c r="B683" s="19"/>
      <c r="C683" s="19"/>
      <c r="D683" s="19"/>
      <c r="E683" s="19"/>
      <c r="F683" s="68"/>
      <c r="G683" s="19"/>
      <c r="H683" s="19"/>
      <c r="I683" s="19"/>
      <c r="J683" s="19"/>
      <c r="K683" s="19"/>
      <c r="L683" s="68"/>
    </row>
    <row r="684" spans="1:12" x14ac:dyDescent="0.25">
      <c r="A684" s="22">
        <f>+'Pipeline Gas'!A682</f>
        <v>0</v>
      </c>
      <c r="B684" s="19"/>
      <c r="C684" s="19"/>
      <c r="D684" s="19"/>
      <c r="E684" s="19"/>
      <c r="F684" s="68"/>
      <c r="G684" s="19"/>
      <c r="H684" s="19"/>
      <c r="I684" s="19"/>
      <c r="J684" s="19"/>
      <c r="K684" s="19"/>
      <c r="L684" s="68"/>
    </row>
    <row r="685" spans="1:12" x14ac:dyDescent="0.25">
      <c r="A685" s="22">
        <f>+'Pipeline Gas'!A683</f>
        <v>0</v>
      </c>
      <c r="B685" s="19"/>
      <c r="C685" s="19"/>
      <c r="D685" s="19"/>
      <c r="E685" s="19"/>
      <c r="F685" s="68"/>
      <c r="G685" s="19"/>
      <c r="H685" s="19"/>
      <c r="I685" s="19"/>
      <c r="J685" s="19"/>
      <c r="K685" s="19"/>
      <c r="L685" s="68"/>
    </row>
    <row r="686" spans="1:12" x14ac:dyDescent="0.25">
      <c r="A686" s="22">
        <f>+'Pipeline Gas'!A684</f>
        <v>0</v>
      </c>
      <c r="B686" s="19"/>
      <c r="C686" s="19"/>
      <c r="D686" s="19"/>
      <c r="E686" s="19"/>
      <c r="F686" s="68"/>
      <c r="G686" s="19"/>
      <c r="H686" s="19"/>
      <c r="I686" s="19"/>
      <c r="J686" s="19"/>
      <c r="K686" s="19"/>
      <c r="L686" s="68"/>
    </row>
    <row r="687" spans="1:12" x14ac:dyDescent="0.25">
      <c r="A687" s="22">
        <f>+'Pipeline Gas'!A685</f>
        <v>0</v>
      </c>
      <c r="B687" s="19"/>
      <c r="C687" s="19"/>
      <c r="D687" s="19"/>
      <c r="E687" s="19"/>
      <c r="F687" s="68"/>
      <c r="G687" s="19"/>
      <c r="H687" s="19"/>
      <c r="I687" s="19"/>
      <c r="J687" s="19"/>
      <c r="K687" s="19"/>
      <c r="L687" s="68"/>
    </row>
    <row r="688" spans="1:12" x14ac:dyDescent="0.25">
      <c r="A688" s="22">
        <f>+'Pipeline Gas'!A686</f>
        <v>0</v>
      </c>
      <c r="B688" s="19"/>
      <c r="C688" s="19"/>
      <c r="D688" s="19"/>
      <c r="E688" s="19"/>
      <c r="F688" s="68"/>
      <c r="G688" s="19"/>
      <c r="H688" s="19"/>
      <c r="I688" s="19"/>
      <c r="J688" s="19"/>
      <c r="K688" s="19"/>
      <c r="L688" s="68"/>
    </row>
    <row r="689" spans="1:12" x14ac:dyDescent="0.25">
      <c r="A689" s="22">
        <f>+'Pipeline Gas'!A687</f>
        <v>0</v>
      </c>
      <c r="B689" s="19"/>
      <c r="C689" s="19"/>
      <c r="D689" s="19"/>
      <c r="E689" s="19"/>
      <c r="F689" s="68"/>
      <c r="G689" s="19"/>
      <c r="H689" s="19"/>
      <c r="I689" s="19"/>
      <c r="J689" s="19"/>
      <c r="K689" s="19"/>
      <c r="L689" s="68"/>
    </row>
    <row r="690" spans="1:12" x14ac:dyDescent="0.25">
      <c r="A690" s="22">
        <f>+'Pipeline Gas'!A688</f>
        <v>0</v>
      </c>
      <c r="B690" s="19"/>
      <c r="C690" s="19"/>
      <c r="D690" s="19"/>
      <c r="E690" s="19"/>
      <c r="F690" s="68"/>
      <c r="G690" s="19"/>
      <c r="H690" s="19"/>
      <c r="I690" s="19"/>
      <c r="J690" s="19"/>
      <c r="K690" s="19"/>
      <c r="L690" s="68"/>
    </row>
    <row r="691" spans="1:12" x14ac:dyDescent="0.25">
      <c r="A691" s="22">
        <f>+'Pipeline Gas'!A689</f>
        <v>0</v>
      </c>
      <c r="B691" s="19"/>
      <c r="C691" s="19"/>
      <c r="D691" s="19"/>
      <c r="E691" s="19"/>
      <c r="F691" s="68"/>
      <c r="G691" s="19"/>
      <c r="H691" s="19"/>
      <c r="I691" s="19"/>
      <c r="J691" s="19"/>
      <c r="K691" s="19"/>
      <c r="L691" s="68"/>
    </row>
    <row r="692" spans="1:12" x14ac:dyDescent="0.25">
      <c r="A692" s="22">
        <f>+'Pipeline Gas'!A690</f>
        <v>0</v>
      </c>
      <c r="B692" s="19"/>
      <c r="C692" s="19"/>
      <c r="D692" s="19"/>
      <c r="E692" s="19"/>
      <c r="F692" s="68"/>
      <c r="G692" s="19"/>
      <c r="H692" s="19"/>
      <c r="I692" s="19"/>
      <c r="J692" s="19"/>
      <c r="K692" s="19"/>
      <c r="L692" s="68"/>
    </row>
    <row r="693" spans="1:12" x14ac:dyDescent="0.25">
      <c r="A693" s="22">
        <f>+'Pipeline Gas'!A691</f>
        <v>0</v>
      </c>
      <c r="B693" s="19"/>
      <c r="C693" s="19"/>
      <c r="D693" s="19"/>
      <c r="E693" s="19"/>
      <c r="F693" s="68"/>
      <c r="G693" s="19"/>
      <c r="H693" s="19"/>
      <c r="I693" s="19"/>
      <c r="J693" s="19"/>
      <c r="K693" s="19"/>
      <c r="L693" s="68"/>
    </row>
    <row r="694" spans="1:12" x14ac:dyDescent="0.25">
      <c r="A694" s="22">
        <f>+'Pipeline Gas'!A692</f>
        <v>0</v>
      </c>
      <c r="B694" s="19"/>
      <c r="C694" s="19"/>
      <c r="D694" s="19"/>
      <c r="E694" s="19"/>
      <c r="F694" s="68"/>
      <c r="G694" s="19"/>
      <c r="H694" s="19"/>
      <c r="I694" s="19"/>
      <c r="J694" s="19"/>
      <c r="K694" s="19"/>
      <c r="L694" s="68"/>
    </row>
    <row r="695" spans="1:12" x14ac:dyDescent="0.25">
      <c r="A695" s="22">
        <f>+'Pipeline Gas'!A693</f>
        <v>0</v>
      </c>
      <c r="B695" s="19"/>
      <c r="C695" s="19"/>
      <c r="D695" s="19"/>
      <c r="E695" s="19"/>
      <c r="F695" s="68"/>
      <c r="G695" s="19"/>
      <c r="H695" s="19"/>
      <c r="I695" s="19"/>
      <c r="J695" s="19"/>
      <c r="K695" s="19"/>
      <c r="L695" s="68"/>
    </row>
    <row r="696" spans="1:12" x14ac:dyDescent="0.25">
      <c r="A696" s="22">
        <f>+'Pipeline Gas'!A694</f>
        <v>0</v>
      </c>
      <c r="B696" s="19"/>
      <c r="C696" s="19"/>
      <c r="D696" s="19"/>
      <c r="E696" s="19"/>
      <c r="F696" s="68"/>
      <c r="G696" s="19"/>
      <c r="H696" s="19"/>
      <c r="I696" s="19"/>
      <c r="J696" s="19"/>
      <c r="K696" s="19"/>
      <c r="L696" s="68"/>
    </row>
    <row r="697" spans="1:12" x14ac:dyDescent="0.25">
      <c r="A697" s="22">
        <f>+'Pipeline Gas'!A695</f>
        <v>0</v>
      </c>
      <c r="B697" s="19"/>
      <c r="C697" s="19"/>
      <c r="D697" s="19"/>
      <c r="E697" s="19"/>
      <c r="F697" s="68"/>
      <c r="G697" s="19"/>
      <c r="H697" s="19"/>
      <c r="I697" s="19"/>
      <c r="J697" s="19"/>
      <c r="K697" s="19"/>
      <c r="L697" s="68"/>
    </row>
    <row r="698" spans="1:12" x14ac:dyDescent="0.25">
      <c r="A698" s="22">
        <f>+'Pipeline Gas'!A696</f>
        <v>0</v>
      </c>
      <c r="B698" s="19"/>
      <c r="C698" s="19"/>
      <c r="D698" s="19"/>
      <c r="E698" s="19"/>
      <c r="F698" s="68"/>
      <c r="G698" s="19"/>
      <c r="H698" s="19"/>
      <c r="I698" s="19"/>
      <c r="J698" s="19"/>
      <c r="K698" s="19"/>
      <c r="L698" s="68"/>
    </row>
    <row r="699" spans="1:12" x14ac:dyDescent="0.25">
      <c r="A699" s="22">
        <f>+'Pipeline Gas'!A697</f>
        <v>0</v>
      </c>
      <c r="B699" s="19"/>
      <c r="C699" s="19"/>
      <c r="D699" s="19"/>
      <c r="E699" s="19"/>
      <c r="F699" s="68"/>
      <c r="G699" s="19"/>
      <c r="H699" s="19"/>
      <c r="I699" s="19"/>
      <c r="J699" s="19"/>
      <c r="K699" s="19"/>
      <c r="L699" s="68"/>
    </row>
    <row r="700" spans="1:12" x14ac:dyDescent="0.25">
      <c r="A700" s="22">
        <f>+'Pipeline Gas'!A698</f>
        <v>0</v>
      </c>
      <c r="B700" s="19"/>
      <c r="C700" s="19"/>
      <c r="D700" s="19"/>
      <c r="E700" s="19"/>
      <c r="F700" s="68"/>
      <c r="G700" s="19"/>
      <c r="H700" s="19"/>
      <c r="I700" s="19"/>
      <c r="J700" s="19"/>
      <c r="K700" s="19"/>
      <c r="L700" s="68"/>
    </row>
    <row r="701" spans="1:12" x14ac:dyDescent="0.25">
      <c r="A701" s="22">
        <f>+'Pipeline Gas'!A699</f>
        <v>0</v>
      </c>
      <c r="B701" s="19"/>
      <c r="C701" s="19"/>
      <c r="D701" s="19"/>
      <c r="E701" s="19"/>
      <c r="F701" s="68"/>
      <c r="G701" s="19"/>
      <c r="H701" s="19"/>
      <c r="I701" s="19"/>
      <c r="J701" s="19"/>
      <c r="K701" s="19"/>
      <c r="L701" s="68"/>
    </row>
    <row r="702" spans="1:12" x14ac:dyDescent="0.25">
      <c r="A702" s="22">
        <f>+'Pipeline Gas'!A700</f>
        <v>0</v>
      </c>
      <c r="B702" s="19"/>
      <c r="C702" s="19"/>
      <c r="D702" s="19"/>
      <c r="E702" s="19"/>
      <c r="F702" s="68"/>
      <c r="G702" s="19"/>
      <c r="H702" s="19"/>
      <c r="I702" s="19"/>
      <c r="J702" s="19"/>
      <c r="K702" s="19"/>
      <c r="L702" s="68"/>
    </row>
    <row r="703" spans="1:12" x14ac:dyDescent="0.25">
      <c r="A703" s="22">
        <f>+'Pipeline Gas'!A701</f>
        <v>0</v>
      </c>
      <c r="B703" s="19"/>
      <c r="C703" s="19"/>
      <c r="D703" s="19"/>
      <c r="E703" s="19"/>
      <c r="F703" s="68"/>
      <c r="G703" s="19"/>
      <c r="H703" s="19"/>
      <c r="I703" s="19"/>
      <c r="J703" s="19"/>
      <c r="K703" s="19"/>
      <c r="L703" s="68"/>
    </row>
    <row r="704" spans="1:12" x14ac:dyDescent="0.25">
      <c r="A704" s="22">
        <f>+'Pipeline Gas'!A702</f>
        <v>0</v>
      </c>
      <c r="B704" s="19"/>
      <c r="C704" s="19"/>
      <c r="D704" s="19"/>
      <c r="E704" s="19"/>
      <c r="F704" s="68"/>
      <c r="G704" s="19"/>
      <c r="H704" s="19"/>
      <c r="I704" s="19"/>
      <c r="J704" s="19"/>
      <c r="K704" s="19"/>
      <c r="L704" s="68"/>
    </row>
    <row r="705" spans="1:12" x14ac:dyDescent="0.25">
      <c r="A705" s="22">
        <f>+'Pipeline Gas'!A703</f>
        <v>0</v>
      </c>
      <c r="B705" s="19"/>
      <c r="C705" s="19"/>
      <c r="D705" s="19"/>
      <c r="E705" s="19"/>
      <c r="F705" s="68"/>
      <c r="G705" s="19"/>
      <c r="H705" s="19"/>
      <c r="I705" s="19"/>
      <c r="J705" s="19"/>
      <c r="K705" s="19"/>
      <c r="L705" s="68"/>
    </row>
    <row r="706" spans="1:12" x14ac:dyDescent="0.25">
      <c r="A706" s="22">
        <f>+'Pipeline Gas'!A704</f>
        <v>0</v>
      </c>
      <c r="B706" s="19"/>
      <c r="C706" s="19"/>
      <c r="D706" s="19"/>
      <c r="E706" s="19"/>
      <c r="F706" s="68"/>
      <c r="G706" s="19"/>
      <c r="H706" s="19"/>
      <c r="I706" s="19"/>
      <c r="J706" s="19"/>
      <c r="K706" s="19"/>
      <c r="L706" s="68"/>
    </row>
    <row r="707" spans="1:12" x14ac:dyDescent="0.25">
      <c r="A707" s="22">
        <f>+'Pipeline Gas'!A705</f>
        <v>0</v>
      </c>
      <c r="B707" s="19"/>
      <c r="C707" s="19"/>
      <c r="D707" s="19"/>
      <c r="E707" s="19"/>
      <c r="F707" s="68"/>
      <c r="G707" s="19"/>
      <c r="H707" s="19"/>
      <c r="I707" s="19"/>
      <c r="J707" s="19"/>
      <c r="K707" s="19"/>
      <c r="L707" s="68"/>
    </row>
    <row r="708" spans="1:12" x14ac:dyDescent="0.25">
      <c r="A708" s="22">
        <f>+'Pipeline Gas'!A706</f>
        <v>0</v>
      </c>
      <c r="B708" s="19"/>
      <c r="C708" s="19"/>
      <c r="D708" s="19"/>
      <c r="E708" s="19"/>
      <c r="F708" s="68"/>
      <c r="G708" s="19"/>
      <c r="H708" s="19"/>
      <c r="I708" s="19"/>
      <c r="J708" s="19"/>
      <c r="K708" s="19"/>
      <c r="L708" s="68"/>
    </row>
    <row r="709" spans="1:12" x14ac:dyDescent="0.25">
      <c r="A709" s="22">
        <f>+'Pipeline Gas'!A707</f>
        <v>0</v>
      </c>
      <c r="B709" s="19"/>
      <c r="C709" s="19"/>
      <c r="D709" s="19"/>
      <c r="E709" s="19"/>
      <c r="F709" s="68"/>
      <c r="G709" s="19"/>
      <c r="H709" s="19"/>
      <c r="I709" s="19"/>
      <c r="J709" s="19"/>
      <c r="K709" s="19"/>
      <c r="L709" s="68"/>
    </row>
    <row r="710" spans="1:12" x14ac:dyDescent="0.25">
      <c r="A710" s="22">
        <f>+'Pipeline Gas'!A708</f>
        <v>0</v>
      </c>
      <c r="B710" s="19"/>
      <c r="C710" s="19"/>
      <c r="D710" s="19"/>
      <c r="E710" s="19"/>
      <c r="F710" s="68"/>
      <c r="G710" s="19"/>
      <c r="H710" s="19"/>
      <c r="I710" s="19"/>
      <c r="J710" s="19"/>
      <c r="K710" s="19"/>
      <c r="L710" s="68"/>
    </row>
    <row r="711" spans="1:12" x14ac:dyDescent="0.25">
      <c r="A711" s="22">
        <f>+'Pipeline Gas'!A709</f>
        <v>0</v>
      </c>
      <c r="B711" s="19"/>
      <c r="C711" s="19"/>
      <c r="D711" s="19"/>
      <c r="E711" s="19"/>
      <c r="F711" s="68"/>
      <c r="G711" s="19"/>
      <c r="H711" s="19"/>
      <c r="I711" s="19"/>
      <c r="J711" s="19"/>
      <c r="K711" s="19"/>
      <c r="L711" s="68"/>
    </row>
    <row r="712" spans="1:12" x14ac:dyDescent="0.25">
      <c r="A712" s="22">
        <f>+'Pipeline Gas'!A710</f>
        <v>0</v>
      </c>
      <c r="B712" s="19"/>
      <c r="C712" s="19"/>
      <c r="D712" s="19"/>
      <c r="E712" s="19"/>
      <c r="F712" s="68"/>
      <c r="G712" s="19"/>
      <c r="H712" s="19"/>
      <c r="I712" s="19"/>
      <c r="J712" s="19"/>
      <c r="K712" s="19"/>
      <c r="L712" s="68"/>
    </row>
    <row r="713" spans="1:12" x14ac:dyDescent="0.25">
      <c r="A713" s="22">
        <f>+'Pipeline Gas'!A711</f>
        <v>0</v>
      </c>
      <c r="B713" s="19"/>
      <c r="C713" s="19"/>
      <c r="D713" s="19"/>
      <c r="E713" s="19"/>
      <c r="F713" s="68"/>
      <c r="G713" s="19"/>
      <c r="H713" s="19"/>
      <c r="I713" s="19"/>
      <c r="J713" s="19"/>
      <c r="K713" s="19"/>
      <c r="L713" s="68"/>
    </row>
    <row r="714" spans="1:12" x14ac:dyDescent="0.25">
      <c r="A714" s="22">
        <f>+'Pipeline Gas'!A712</f>
        <v>0</v>
      </c>
      <c r="B714" s="19"/>
      <c r="C714" s="19"/>
      <c r="D714" s="19"/>
      <c r="E714" s="19"/>
      <c r="F714" s="68"/>
      <c r="G714" s="19"/>
      <c r="H714" s="19"/>
      <c r="I714" s="19"/>
      <c r="J714" s="19"/>
      <c r="K714" s="19"/>
      <c r="L714" s="68"/>
    </row>
    <row r="715" spans="1:12" x14ac:dyDescent="0.25">
      <c r="A715" s="22">
        <f>+'Pipeline Gas'!A713</f>
        <v>0</v>
      </c>
      <c r="B715" s="19"/>
      <c r="C715" s="19"/>
      <c r="D715" s="19"/>
      <c r="E715" s="19"/>
      <c r="F715" s="68"/>
      <c r="G715" s="19"/>
      <c r="H715" s="19"/>
      <c r="I715" s="19"/>
      <c r="J715" s="19"/>
      <c r="K715" s="19"/>
      <c r="L715" s="68"/>
    </row>
    <row r="716" spans="1:12" x14ac:dyDescent="0.25">
      <c r="A716" s="22">
        <f>+'Pipeline Gas'!A714</f>
        <v>0</v>
      </c>
      <c r="B716" s="19"/>
      <c r="C716" s="19"/>
      <c r="D716" s="19"/>
      <c r="E716" s="19"/>
      <c r="F716" s="68"/>
      <c r="G716" s="19"/>
      <c r="H716" s="19"/>
      <c r="I716" s="19"/>
      <c r="J716" s="19"/>
      <c r="K716" s="19"/>
      <c r="L716" s="68"/>
    </row>
    <row r="717" spans="1:12" x14ac:dyDescent="0.25">
      <c r="A717" s="22">
        <f>+'Pipeline Gas'!A715</f>
        <v>0</v>
      </c>
      <c r="B717" s="19"/>
      <c r="C717" s="19"/>
      <c r="D717" s="19"/>
      <c r="E717" s="19"/>
      <c r="F717" s="68"/>
      <c r="G717" s="19"/>
      <c r="H717" s="19"/>
      <c r="I717" s="19"/>
      <c r="J717" s="19"/>
      <c r="K717" s="19"/>
      <c r="L717" s="68"/>
    </row>
    <row r="718" spans="1:12" x14ac:dyDescent="0.25">
      <c r="A718" s="22">
        <f>+'Pipeline Gas'!A716</f>
        <v>0</v>
      </c>
      <c r="B718" s="19"/>
      <c r="C718" s="19"/>
      <c r="D718" s="19"/>
      <c r="E718" s="19"/>
      <c r="F718" s="68"/>
      <c r="G718" s="19"/>
      <c r="H718" s="19"/>
      <c r="I718" s="19"/>
      <c r="J718" s="19"/>
      <c r="K718" s="19"/>
      <c r="L718" s="68"/>
    </row>
    <row r="719" spans="1:12" x14ac:dyDescent="0.25">
      <c r="A719" s="22">
        <f>+'Pipeline Gas'!A717</f>
        <v>0</v>
      </c>
      <c r="B719" s="19"/>
      <c r="C719" s="19"/>
      <c r="D719" s="19"/>
      <c r="E719" s="19"/>
      <c r="F719" s="68"/>
      <c r="G719" s="19"/>
      <c r="H719" s="19"/>
      <c r="I719" s="19"/>
      <c r="J719" s="19"/>
      <c r="K719" s="19"/>
      <c r="L719" s="68"/>
    </row>
    <row r="720" spans="1:12" x14ac:dyDescent="0.25">
      <c r="A720" s="22">
        <f>+'Pipeline Gas'!A718</f>
        <v>0</v>
      </c>
      <c r="B720" s="19"/>
      <c r="C720" s="19"/>
      <c r="D720" s="19"/>
      <c r="E720" s="19"/>
      <c r="F720" s="68"/>
      <c r="G720" s="19"/>
      <c r="H720" s="19"/>
      <c r="I720" s="19"/>
      <c r="J720" s="19"/>
      <c r="K720" s="19"/>
      <c r="L720" s="68"/>
    </row>
    <row r="721" spans="1:12" x14ac:dyDescent="0.25">
      <c r="A721" s="22">
        <f>+'Pipeline Gas'!A719</f>
        <v>0</v>
      </c>
      <c r="B721" s="19"/>
      <c r="C721" s="19"/>
      <c r="D721" s="19"/>
      <c r="E721" s="19"/>
      <c r="F721" s="68"/>
      <c r="G721" s="19"/>
      <c r="H721" s="19"/>
      <c r="I721" s="19"/>
      <c r="J721" s="19"/>
      <c r="K721" s="19"/>
      <c r="L721" s="68"/>
    </row>
    <row r="722" spans="1:12" x14ac:dyDescent="0.25">
      <c r="A722" s="22">
        <f>+'Pipeline Gas'!A720</f>
        <v>0</v>
      </c>
      <c r="B722" s="19"/>
      <c r="C722" s="19"/>
      <c r="D722" s="19"/>
      <c r="E722" s="19"/>
      <c r="F722" s="68"/>
      <c r="G722" s="19"/>
      <c r="H722" s="19"/>
      <c r="I722" s="19"/>
      <c r="J722" s="19"/>
      <c r="K722" s="19"/>
      <c r="L722" s="68"/>
    </row>
    <row r="723" spans="1:12" x14ac:dyDescent="0.25">
      <c r="A723" s="22">
        <f>+'Pipeline Gas'!A721</f>
        <v>0</v>
      </c>
      <c r="B723" s="19"/>
      <c r="C723" s="19"/>
      <c r="D723" s="19"/>
      <c r="E723" s="19"/>
      <c r="F723" s="68"/>
      <c r="G723" s="19"/>
      <c r="H723" s="19"/>
      <c r="I723" s="19"/>
      <c r="J723" s="19"/>
      <c r="K723" s="19"/>
      <c r="L723" s="68"/>
    </row>
    <row r="724" spans="1:12" x14ac:dyDescent="0.25">
      <c r="A724" s="22">
        <f>+'Pipeline Gas'!A722</f>
        <v>0</v>
      </c>
      <c r="B724" s="19"/>
      <c r="C724" s="19"/>
      <c r="D724" s="19"/>
      <c r="E724" s="19"/>
      <c r="F724" s="68"/>
      <c r="G724" s="19"/>
      <c r="H724" s="19"/>
      <c r="I724" s="19"/>
      <c r="J724" s="19"/>
      <c r="K724" s="19"/>
      <c r="L724" s="68"/>
    </row>
    <row r="725" spans="1:12" x14ac:dyDescent="0.25">
      <c r="A725" s="22">
        <f>+'Pipeline Gas'!A723</f>
        <v>0</v>
      </c>
      <c r="B725" s="19"/>
      <c r="C725" s="19"/>
      <c r="D725" s="19"/>
      <c r="E725" s="19"/>
      <c r="F725" s="68"/>
      <c r="G725" s="19"/>
      <c r="H725" s="19"/>
      <c r="I725" s="19"/>
      <c r="J725" s="19"/>
      <c r="K725" s="19"/>
      <c r="L725" s="68"/>
    </row>
    <row r="726" spans="1:12" x14ac:dyDescent="0.25">
      <c r="A726" s="22">
        <f>+'Pipeline Gas'!A724</f>
        <v>0</v>
      </c>
      <c r="B726" s="19"/>
      <c r="C726" s="19"/>
      <c r="D726" s="19"/>
      <c r="E726" s="19"/>
      <c r="F726" s="68"/>
      <c r="G726" s="19"/>
      <c r="H726" s="19"/>
      <c r="I726" s="19"/>
      <c r="J726" s="19"/>
      <c r="K726" s="19"/>
      <c r="L726" s="68"/>
    </row>
    <row r="727" spans="1:12" x14ac:dyDescent="0.25">
      <c r="A727" s="22">
        <f>+'Pipeline Gas'!A725</f>
        <v>0</v>
      </c>
      <c r="B727" s="19"/>
      <c r="C727" s="19"/>
      <c r="D727" s="19"/>
      <c r="E727" s="19"/>
      <c r="F727" s="68"/>
      <c r="G727" s="19"/>
      <c r="H727" s="19"/>
      <c r="I727" s="19"/>
      <c r="J727" s="19"/>
      <c r="K727" s="19"/>
      <c r="L727" s="68"/>
    </row>
    <row r="728" spans="1:12" x14ac:dyDescent="0.25">
      <c r="A728" s="22">
        <f>+'Pipeline Gas'!A726</f>
        <v>0</v>
      </c>
      <c r="B728" s="19"/>
      <c r="C728" s="19"/>
      <c r="D728" s="19"/>
      <c r="E728" s="19"/>
      <c r="F728" s="68"/>
      <c r="G728" s="19"/>
      <c r="H728" s="19"/>
      <c r="I728" s="19"/>
      <c r="J728" s="19"/>
      <c r="K728" s="19"/>
      <c r="L728" s="68"/>
    </row>
    <row r="729" spans="1:12" x14ac:dyDescent="0.25">
      <c r="A729" s="22">
        <f>+'Pipeline Gas'!A727</f>
        <v>0</v>
      </c>
      <c r="B729" s="19"/>
      <c r="C729" s="19"/>
      <c r="D729" s="19"/>
      <c r="E729" s="19"/>
      <c r="F729" s="68"/>
      <c r="G729" s="19"/>
      <c r="H729" s="19"/>
      <c r="I729" s="19"/>
      <c r="J729" s="19"/>
      <c r="K729" s="19"/>
      <c r="L729" s="68"/>
    </row>
    <row r="730" spans="1:12" x14ac:dyDescent="0.25">
      <c r="A730" s="22">
        <f>+'Pipeline Gas'!A728</f>
        <v>0</v>
      </c>
      <c r="B730" s="19"/>
      <c r="C730" s="19"/>
      <c r="D730" s="19"/>
      <c r="E730" s="19"/>
      <c r="F730" s="68"/>
      <c r="G730" s="19"/>
      <c r="H730" s="19"/>
      <c r="I730" s="19"/>
      <c r="J730" s="19"/>
      <c r="K730" s="19"/>
      <c r="L730" s="68"/>
    </row>
    <row r="731" spans="1:12" x14ac:dyDescent="0.25">
      <c r="A731" s="22">
        <f>+'Pipeline Gas'!A729</f>
        <v>0</v>
      </c>
      <c r="B731" s="19"/>
      <c r="C731" s="19"/>
      <c r="D731" s="19"/>
      <c r="E731" s="19"/>
      <c r="F731" s="68"/>
      <c r="G731" s="19"/>
      <c r="H731" s="19"/>
      <c r="I731" s="19"/>
      <c r="J731" s="19"/>
      <c r="K731" s="19"/>
      <c r="L731" s="68"/>
    </row>
    <row r="732" spans="1:12" x14ac:dyDescent="0.25">
      <c r="A732" s="22">
        <f>+'Pipeline Gas'!A730</f>
        <v>0</v>
      </c>
      <c r="B732" s="19"/>
      <c r="C732" s="19"/>
      <c r="D732" s="19"/>
      <c r="E732" s="19"/>
      <c r="F732" s="68"/>
      <c r="G732" s="19"/>
      <c r="H732" s="19"/>
      <c r="I732" s="19"/>
      <c r="J732" s="19"/>
      <c r="K732" s="19"/>
      <c r="L732" s="68"/>
    </row>
    <row r="733" spans="1:12" x14ac:dyDescent="0.25">
      <c r="A733" s="22" t="str">
        <f>IF('Pipeline Gas'!A731&gt;1900,'Pipeline Gas'!A731,"")</f>
        <v/>
      </c>
      <c r="B733" s="19"/>
      <c r="C733" s="19"/>
      <c r="D733" s="19"/>
      <c r="E733" s="19"/>
      <c r="F733" s="68"/>
      <c r="G733" s="19"/>
      <c r="H733" s="19"/>
      <c r="I733" s="19"/>
      <c r="J733" s="19"/>
      <c r="K733" s="19"/>
      <c r="L733" s="68"/>
    </row>
    <row r="734" spans="1:12" x14ac:dyDescent="0.25">
      <c r="B734" s="19"/>
      <c r="C734" s="19"/>
      <c r="D734" s="19"/>
      <c r="E734" s="19"/>
      <c r="F734" s="68"/>
      <c r="G734" s="19"/>
      <c r="H734" s="19"/>
      <c r="I734" s="19"/>
      <c r="J734" s="19"/>
      <c r="K734" s="19"/>
      <c r="L734" s="68"/>
    </row>
    <row r="735" spans="1:12" x14ac:dyDescent="0.25">
      <c r="B735" s="19"/>
      <c r="C735" s="19"/>
      <c r="D735" s="19"/>
      <c r="E735" s="19"/>
      <c r="F735" s="68"/>
      <c r="G735" s="19"/>
      <c r="H735" s="19"/>
      <c r="I735" s="19"/>
      <c r="J735" s="19"/>
      <c r="K735" s="19"/>
      <c r="L735" s="68"/>
    </row>
    <row r="736" spans="1:12" x14ac:dyDescent="0.25">
      <c r="B736" s="19"/>
      <c r="C736" s="19"/>
      <c r="D736" s="19"/>
      <c r="E736" s="19"/>
      <c r="F736" s="68"/>
      <c r="G736" s="19"/>
      <c r="H736" s="19"/>
      <c r="I736" s="19"/>
      <c r="J736" s="19"/>
      <c r="K736" s="19"/>
      <c r="L736" s="68"/>
    </row>
    <row r="737" spans="2:12" x14ac:dyDescent="0.25">
      <c r="B737" s="19"/>
      <c r="C737" s="19"/>
      <c r="D737" s="19"/>
      <c r="E737" s="19"/>
      <c r="F737" s="68"/>
      <c r="G737" s="19"/>
      <c r="H737" s="19"/>
      <c r="I737" s="19"/>
      <c r="J737" s="19"/>
      <c r="K737" s="19"/>
      <c r="L737" s="68"/>
    </row>
    <row r="738" spans="2:12" x14ac:dyDescent="0.25">
      <c r="B738" s="19"/>
      <c r="C738" s="19"/>
      <c r="D738" s="19"/>
      <c r="E738" s="19"/>
      <c r="F738" s="68"/>
      <c r="G738" s="19"/>
      <c r="H738" s="19"/>
      <c r="I738" s="19"/>
      <c r="J738" s="19"/>
      <c r="K738" s="19"/>
      <c r="L738" s="68"/>
    </row>
    <row r="739" spans="2:12" x14ac:dyDescent="0.25">
      <c r="B739" s="19"/>
      <c r="C739" s="19"/>
      <c r="D739" s="19"/>
      <c r="E739" s="19"/>
      <c r="F739" s="68"/>
      <c r="G739" s="19"/>
      <c r="H739" s="19"/>
      <c r="I739" s="19"/>
      <c r="J739" s="19"/>
      <c r="K739" s="19"/>
      <c r="L739" s="68"/>
    </row>
    <row r="740" spans="2:12" x14ac:dyDescent="0.25">
      <c r="B740" s="19"/>
      <c r="C740" s="19"/>
      <c r="D740" s="19"/>
      <c r="E740" s="19"/>
      <c r="F740" s="68"/>
      <c r="G740" s="19"/>
      <c r="H740" s="19"/>
      <c r="I740" s="19"/>
      <c r="J740" s="19"/>
      <c r="K740" s="19"/>
      <c r="L740" s="68"/>
    </row>
    <row r="741" spans="2:12" x14ac:dyDescent="0.25">
      <c r="B741" s="19"/>
      <c r="C741" s="19"/>
      <c r="D741" s="19"/>
      <c r="E741" s="19"/>
      <c r="F741" s="68"/>
      <c r="G741" s="19"/>
      <c r="H741" s="19"/>
      <c r="I741" s="19"/>
      <c r="J741" s="19"/>
      <c r="K741" s="19"/>
      <c r="L741" s="68"/>
    </row>
    <row r="742" spans="2:12" x14ac:dyDescent="0.25">
      <c r="B742" s="19"/>
      <c r="C742" s="19"/>
      <c r="D742" s="19"/>
      <c r="E742" s="19"/>
      <c r="F742" s="68"/>
      <c r="G742" s="19"/>
      <c r="H742" s="19"/>
      <c r="I742" s="19"/>
      <c r="J742" s="19"/>
      <c r="K742" s="19"/>
      <c r="L742" s="68"/>
    </row>
    <row r="743" spans="2:12" x14ac:dyDescent="0.25">
      <c r="B743" s="19"/>
      <c r="C743" s="19"/>
      <c r="D743" s="19"/>
      <c r="E743" s="19"/>
      <c r="F743" s="68"/>
      <c r="G743" s="19"/>
      <c r="H743" s="19"/>
      <c r="I743" s="19"/>
      <c r="J743" s="19"/>
      <c r="K743" s="19"/>
      <c r="L743" s="68"/>
    </row>
    <row r="744" spans="2:12" x14ac:dyDescent="0.25">
      <c r="B744" s="19"/>
      <c r="C744" s="19"/>
      <c r="D744" s="19"/>
      <c r="E744" s="19"/>
      <c r="F744" s="68"/>
      <c r="G744" s="19"/>
      <c r="H744" s="19"/>
      <c r="I744" s="19"/>
      <c r="J744" s="19"/>
      <c r="K744" s="19"/>
      <c r="L744" s="68"/>
    </row>
    <row r="745" spans="2:12" x14ac:dyDescent="0.25">
      <c r="B745" s="19"/>
      <c r="C745" s="19"/>
      <c r="D745" s="19"/>
      <c r="E745" s="19"/>
      <c r="F745" s="68"/>
      <c r="G745" s="19"/>
      <c r="H745" s="19"/>
      <c r="I745" s="19"/>
      <c r="J745" s="19"/>
      <c r="K745" s="19"/>
      <c r="L745" s="68"/>
    </row>
    <row r="746" spans="2:12" x14ac:dyDescent="0.25">
      <c r="B746" s="19"/>
      <c r="C746" s="19"/>
      <c r="D746" s="19"/>
      <c r="E746" s="19"/>
      <c r="F746" s="68"/>
      <c r="G746" s="19"/>
      <c r="H746" s="19"/>
      <c r="I746" s="19"/>
      <c r="J746" s="19"/>
      <c r="K746" s="19"/>
      <c r="L746" s="68"/>
    </row>
    <row r="747" spans="2:12" x14ac:dyDescent="0.25">
      <c r="B747" s="19"/>
      <c r="C747" s="19"/>
      <c r="D747" s="19"/>
      <c r="E747" s="19"/>
      <c r="F747" s="68"/>
      <c r="G747" s="19"/>
      <c r="H747" s="19"/>
      <c r="I747" s="19"/>
      <c r="J747" s="19"/>
      <c r="K747" s="19"/>
      <c r="L747" s="68"/>
    </row>
    <row r="748" spans="2:12" x14ac:dyDescent="0.25">
      <c r="B748" s="19"/>
      <c r="C748" s="19"/>
      <c r="D748" s="19"/>
      <c r="E748" s="19"/>
      <c r="F748" s="68"/>
      <c r="G748" s="19"/>
      <c r="H748" s="19"/>
      <c r="I748" s="19"/>
      <c r="J748" s="19"/>
      <c r="K748" s="19"/>
      <c r="L748" s="68"/>
    </row>
    <row r="749" spans="2:12" x14ac:dyDescent="0.25">
      <c r="B749" s="19"/>
      <c r="C749" s="19"/>
      <c r="D749" s="19"/>
      <c r="E749" s="19"/>
      <c r="F749" s="68"/>
      <c r="G749" s="19"/>
      <c r="H749" s="19"/>
      <c r="I749" s="19"/>
      <c r="J749" s="19"/>
      <c r="K749" s="19"/>
      <c r="L749" s="68"/>
    </row>
    <row r="750" spans="2:12" x14ac:dyDescent="0.25">
      <c r="B750" s="19"/>
      <c r="C750" s="19"/>
      <c r="D750" s="19"/>
      <c r="E750" s="19"/>
      <c r="F750" s="68"/>
      <c r="G750" s="19"/>
      <c r="H750" s="19"/>
      <c r="I750" s="19"/>
      <c r="J750" s="19"/>
      <c r="K750" s="19"/>
      <c r="L750" s="68"/>
    </row>
    <row r="751" spans="2:12" x14ac:dyDescent="0.25">
      <c r="B751" s="19"/>
      <c r="C751" s="19"/>
      <c r="D751" s="19"/>
      <c r="E751" s="19"/>
      <c r="F751" s="68"/>
      <c r="G751" s="19"/>
      <c r="H751" s="19"/>
      <c r="I751" s="19"/>
      <c r="J751" s="19"/>
      <c r="K751" s="19"/>
      <c r="L751" s="68"/>
    </row>
    <row r="752" spans="2:12" x14ac:dyDescent="0.25">
      <c r="B752" s="19"/>
      <c r="C752" s="19"/>
      <c r="D752" s="19"/>
      <c r="E752" s="19"/>
      <c r="F752" s="68"/>
      <c r="G752" s="19"/>
      <c r="H752" s="19"/>
      <c r="I752" s="19"/>
      <c r="J752" s="19"/>
      <c r="K752" s="19"/>
      <c r="L752" s="68"/>
    </row>
    <row r="753" spans="2:12" x14ac:dyDescent="0.25">
      <c r="B753" s="19"/>
      <c r="C753" s="19"/>
      <c r="D753" s="19"/>
      <c r="E753" s="19"/>
      <c r="F753" s="68"/>
      <c r="G753" s="19"/>
      <c r="H753" s="19"/>
      <c r="I753" s="19"/>
      <c r="J753" s="19"/>
      <c r="K753" s="19"/>
      <c r="L753" s="68"/>
    </row>
    <row r="754" spans="2:12" x14ac:dyDescent="0.25">
      <c r="B754" s="19"/>
      <c r="C754" s="19"/>
      <c r="D754" s="19"/>
      <c r="E754" s="19"/>
      <c r="F754" s="68"/>
      <c r="G754" s="19"/>
      <c r="H754" s="19"/>
      <c r="I754" s="19"/>
      <c r="J754" s="19"/>
      <c r="K754" s="19"/>
      <c r="L754" s="68"/>
    </row>
    <row r="755" spans="2:12" x14ac:dyDescent="0.25">
      <c r="B755" s="19"/>
      <c r="C755" s="19"/>
      <c r="D755" s="19"/>
      <c r="E755" s="19"/>
      <c r="F755" s="68"/>
      <c r="G755" s="19"/>
      <c r="H755" s="19"/>
      <c r="I755" s="19"/>
      <c r="J755" s="19"/>
      <c r="K755" s="19"/>
      <c r="L755" s="68"/>
    </row>
    <row r="756" spans="2:12" x14ac:dyDescent="0.25">
      <c r="B756" s="19"/>
      <c r="C756" s="19"/>
      <c r="D756" s="19"/>
      <c r="E756" s="19"/>
      <c r="F756" s="68"/>
      <c r="G756" s="19"/>
      <c r="H756" s="19"/>
      <c r="I756" s="19"/>
      <c r="J756" s="19"/>
      <c r="K756" s="19"/>
      <c r="L756" s="68"/>
    </row>
    <row r="757" spans="2:12" x14ac:dyDescent="0.25">
      <c r="B757" s="19"/>
      <c r="C757" s="19"/>
      <c r="D757" s="19"/>
      <c r="E757" s="19"/>
      <c r="F757" s="68"/>
      <c r="G757" s="19"/>
      <c r="H757" s="19"/>
      <c r="I757" s="19"/>
      <c r="J757" s="19"/>
      <c r="K757" s="19"/>
      <c r="L757" s="68"/>
    </row>
    <row r="758" spans="2:12" x14ac:dyDescent="0.25">
      <c r="B758" s="19"/>
      <c r="C758" s="19"/>
      <c r="D758" s="19"/>
      <c r="E758" s="19"/>
      <c r="F758" s="68"/>
      <c r="G758" s="19"/>
      <c r="H758" s="19"/>
      <c r="I758" s="19"/>
      <c r="J758" s="19"/>
      <c r="K758" s="19"/>
      <c r="L758" s="68"/>
    </row>
    <row r="759" spans="2:12" x14ac:dyDescent="0.25">
      <c r="B759" s="19"/>
      <c r="C759" s="19"/>
      <c r="D759" s="19"/>
      <c r="E759" s="19"/>
      <c r="F759" s="68"/>
      <c r="G759" s="19"/>
      <c r="H759" s="19"/>
      <c r="I759" s="19"/>
      <c r="J759" s="19"/>
      <c r="K759" s="19"/>
      <c r="L759" s="68"/>
    </row>
    <row r="760" spans="2:12" x14ac:dyDescent="0.25">
      <c r="B760" s="19"/>
      <c r="C760" s="19"/>
      <c r="D760" s="19"/>
      <c r="E760" s="19"/>
      <c r="F760" s="68"/>
      <c r="G760" s="19"/>
      <c r="H760" s="19"/>
      <c r="I760" s="19"/>
      <c r="J760" s="19"/>
      <c r="K760" s="19"/>
      <c r="L760" s="68"/>
    </row>
    <row r="761" spans="2:12" x14ac:dyDescent="0.25">
      <c r="B761" s="19"/>
      <c r="C761" s="19"/>
      <c r="D761" s="19"/>
      <c r="E761" s="19"/>
      <c r="F761" s="68"/>
      <c r="G761" s="19"/>
      <c r="H761" s="19"/>
      <c r="I761" s="19"/>
      <c r="J761" s="19"/>
      <c r="K761" s="19"/>
      <c r="L761" s="68"/>
    </row>
    <row r="762" spans="2:12" x14ac:dyDescent="0.25">
      <c r="B762" s="19"/>
      <c r="C762" s="19"/>
      <c r="D762" s="19"/>
      <c r="E762" s="19"/>
      <c r="F762" s="68"/>
      <c r="G762" s="19"/>
      <c r="H762" s="19"/>
      <c r="I762" s="19"/>
      <c r="J762" s="19"/>
      <c r="K762" s="19"/>
      <c r="L762" s="68"/>
    </row>
    <row r="763" spans="2:12" x14ac:dyDescent="0.25">
      <c r="B763" s="19"/>
      <c r="C763" s="19"/>
      <c r="D763" s="19"/>
      <c r="E763" s="19"/>
      <c r="F763" s="68"/>
      <c r="G763" s="19"/>
      <c r="H763" s="19"/>
      <c r="I763" s="19"/>
      <c r="J763" s="19"/>
      <c r="K763" s="19"/>
      <c r="L763" s="68"/>
    </row>
    <row r="764" spans="2:12" x14ac:dyDescent="0.25">
      <c r="B764" s="19"/>
      <c r="C764" s="19"/>
      <c r="D764" s="19"/>
      <c r="E764" s="19"/>
      <c r="F764" s="68"/>
      <c r="G764" s="19"/>
      <c r="H764" s="19"/>
      <c r="I764" s="19"/>
      <c r="J764" s="19"/>
      <c r="K764" s="19"/>
      <c r="L764" s="68"/>
    </row>
    <row r="765" spans="2:12" x14ac:dyDescent="0.25">
      <c r="B765" s="19"/>
      <c r="C765" s="19"/>
      <c r="D765" s="19"/>
      <c r="E765" s="19"/>
      <c r="F765" s="68"/>
      <c r="G765" s="19"/>
      <c r="H765" s="19"/>
      <c r="I765" s="19"/>
      <c r="J765" s="19"/>
      <c r="K765" s="19"/>
      <c r="L765" s="68"/>
    </row>
    <row r="766" spans="2:12" x14ac:dyDescent="0.25">
      <c r="B766" s="19"/>
      <c r="C766" s="19"/>
      <c r="D766" s="19"/>
      <c r="E766" s="19"/>
      <c r="F766" s="68"/>
      <c r="G766" s="19"/>
      <c r="H766" s="19"/>
      <c r="I766" s="19"/>
      <c r="J766" s="19"/>
      <c r="K766" s="19"/>
      <c r="L766" s="68"/>
    </row>
    <row r="767" spans="2:12" x14ac:dyDescent="0.25">
      <c r="B767" s="19"/>
      <c r="C767" s="19"/>
      <c r="D767" s="19"/>
      <c r="E767" s="19"/>
      <c r="F767" s="68"/>
      <c r="G767" s="19"/>
      <c r="H767" s="19"/>
      <c r="I767" s="19"/>
      <c r="J767" s="19"/>
      <c r="K767" s="19"/>
      <c r="L767" s="68"/>
    </row>
    <row r="768" spans="2:12" x14ac:dyDescent="0.25">
      <c r="B768" s="19"/>
      <c r="C768" s="19"/>
      <c r="D768" s="19"/>
      <c r="E768" s="19"/>
      <c r="F768" s="68"/>
      <c r="G768" s="19"/>
      <c r="H768" s="19"/>
      <c r="I768" s="19"/>
      <c r="J768" s="19"/>
      <c r="K768" s="19"/>
      <c r="L768" s="68"/>
    </row>
    <row r="769" spans="2:12" x14ac:dyDescent="0.25">
      <c r="B769" s="19"/>
      <c r="C769" s="19"/>
      <c r="D769" s="19"/>
      <c r="E769" s="19"/>
      <c r="F769" s="68"/>
      <c r="G769" s="19"/>
      <c r="H769" s="19"/>
      <c r="I769" s="19"/>
      <c r="J769" s="19"/>
      <c r="K769" s="19"/>
      <c r="L769" s="68"/>
    </row>
    <row r="770" spans="2:12" x14ac:dyDescent="0.25">
      <c r="B770" s="19"/>
      <c r="C770" s="19"/>
      <c r="D770" s="19"/>
      <c r="E770" s="19"/>
      <c r="F770" s="68"/>
      <c r="G770" s="19"/>
      <c r="H770" s="19"/>
      <c r="I770" s="19"/>
      <c r="J770" s="19"/>
      <c r="K770" s="19"/>
      <c r="L770" s="68"/>
    </row>
    <row r="771" spans="2:12" x14ac:dyDescent="0.25">
      <c r="B771" s="19"/>
      <c r="C771" s="19"/>
      <c r="D771" s="19"/>
      <c r="E771" s="19"/>
      <c r="F771" s="68"/>
      <c r="G771" s="19"/>
      <c r="H771" s="19"/>
      <c r="I771" s="19"/>
      <c r="J771" s="19"/>
      <c r="K771" s="19"/>
      <c r="L771" s="68"/>
    </row>
    <row r="772" spans="2:12" x14ac:dyDescent="0.25">
      <c r="B772" s="19"/>
      <c r="C772" s="19"/>
      <c r="D772" s="19"/>
      <c r="E772" s="19"/>
      <c r="F772" s="68"/>
      <c r="G772" s="19"/>
      <c r="H772" s="19"/>
      <c r="I772" s="19"/>
      <c r="J772" s="19"/>
      <c r="K772" s="19"/>
      <c r="L772" s="68"/>
    </row>
    <row r="773" spans="2:12" x14ac:dyDescent="0.25">
      <c r="B773" s="19"/>
      <c r="C773" s="19"/>
      <c r="D773" s="19"/>
      <c r="E773" s="19"/>
      <c r="F773" s="68"/>
      <c r="G773" s="19"/>
      <c r="H773" s="19"/>
      <c r="I773" s="19"/>
      <c r="J773" s="19"/>
      <c r="K773" s="19"/>
      <c r="L773" s="68"/>
    </row>
    <row r="774" spans="2:12" x14ac:dyDescent="0.25">
      <c r="B774" s="19"/>
      <c r="C774" s="19"/>
      <c r="D774" s="19"/>
      <c r="E774" s="19"/>
      <c r="F774" s="68"/>
      <c r="G774" s="19"/>
      <c r="H774" s="19"/>
      <c r="I774" s="19"/>
      <c r="J774" s="19"/>
      <c r="K774" s="19"/>
      <c r="L774" s="68"/>
    </row>
    <row r="775" spans="2:12" x14ac:dyDescent="0.25">
      <c r="B775" s="19"/>
      <c r="C775" s="19"/>
      <c r="D775" s="19"/>
      <c r="E775" s="19"/>
      <c r="F775" s="68"/>
      <c r="G775" s="19"/>
      <c r="H775" s="19"/>
      <c r="I775" s="19"/>
      <c r="J775" s="19"/>
      <c r="K775" s="19"/>
      <c r="L775" s="68"/>
    </row>
    <row r="776" spans="2:12" x14ac:dyDescent="0.25">
      <c r="B776" s="19"/>
      <c r="C776" s="19"/>
      <c r="D776" s="19"/>
      <c r="E776" s="19"/>
      <c r="F776" s="68"/>
      <c r="G776" s="19"/>
      <c r="H776" s="19"/>
      <c r="I776" s="19"/>
      <c r="J776" s="19"/>
      <c r="K776" s="19"/>
      <c r="L776" s="68"/>
    </row>
    <row r="777" spans="2:12" x14ac:dyDescent="0.25">
      <c r="B777" s="19"/>
      <c r="C777" s="19"/>
      <c r="D777" s="19"/>
      <c r="E777" s="19"/>
      <c r="F777" s="68"/>
      <c r="G777" s="19"/>
      <c r="H777" s="19"/>
      <c r="I777" s="19"/>
      <c r="J777" s="19"/>
      <c r="K777" s="19"/>
      <c r="L777" s="68"/>
    </row>
    <row r="778" spans="2:12" x14ac:dyDescent="0.25">
      <c r="B778" s="19"/>
      <c r="C778" s="19"/>
      <c r="D778" s="19"/>
      <c r="E778" s="19"/>
      <c r="F778" s="68"/>
      <c r="G778" s="19"/>
      <c r="H778" s="19"/>
      <c r="I778" s="19"/>
      <c r="J778" s="19"/>
      <c r="K778" s="19"/>
      <c r="L778" s="68"/>
    </row>
    <row r="779" spans="2:12" x14ac:dyDescent="0.25">
      <c r="B779" s="19"/>
      <c r="C779" s="19"/>
      <c r="D779" s="19"/>
      <c r="E779" s="19"/>
      <c r="F779" s="68"/>
      <c r="G779" s="19"/>
      <c r="H779" s="19"/>
      <c r="I779" s="19"/>
      <c r="J779" s="19"/>
      <c r="K779" s="19"/>
      <c r="L779" s="68"/>
    </row>
    <row r="780" spans="2:12" x14ac:dyDescent="0.25">
      <c r="B780" s="19"/>
      <c r="C780" s="19"/>
      <c r="D780" s="19"/>
      <c r="E780" s="19"/>
      <c r="F780" s="68"/>
      <c r="G780" s="19"/>
      <c r="H780" s="19"/>
      <c r="I780" s="19"/>
      <c r="J780" s="19"/>
      <c r="K780" s="19"/>
      <c r="L780" s="68"/>
    </row>
    <row r="781" spans="2:12" x14ac:dyDescent="0.25">
      <c r="B781" s="19"/>
      <c r="C781" s="19"/>
      <c r="D781" s="19"/>
      <c r="E781" s="19"/>
      <c r="F781" s="68"/>
      <c r="G781" s="19"/>
      <c r="H781" s="19"/>
      <c r="I781" s="19"/>
      <c r="J781" s="19"/>
      <c r="K781" s="19"/>
      <c r="L781" s="68"/>
    </row>
    <row r="782" spans="2:12" x14ac:dyDescent="0.25">
      <c r="B782" s="19"/>
      <c r="C782" s="19"/>
      <c r="D782" s="19"/>
      <c r="E782" s="19"/>
      <c r="F782" s="68"/>
      <c r="G782" s="19"/>
      <c r="H782" s="19"/>
      <c r="I782" s="19"/>
      <c r="J782" s="19"/>
      <c r="K782" s="19"/>
      <c r="L782" s="68"/>
    </row>
    <row r="783" spans="2:12" x14ac:dyDescent="0.25">
      <c r="B783" s="19"/>
      <c r="C783" s="19"/>
      <c r="D783" s="19"/>
      <c r="E783" s="19"/>
      <c r="F783" s="68"/>
      <c r="G783" s="19"/>
      <c r="H783" s="19"/>
      <c r="I783" s="19"/>
      <c r="J783" s="19"/>
      <c r="K783" s="19"/>
      <c r="L783" s="68"/>
    </row>
    <row r="784" spans="2:12" x14ac:dyDescent="0.25">
      <c r="B784" s="19"/>
      <c r="C784" s="19"/>
      <c r="D784" s="19"/>
      <c r="E784" s="19"/>
      <c r="F784" s="68"/>
      <c r="G784" s="19"/>
      <c r="H784" s="19"/>
      <c r="I784" s="19"/>
      <c r="J784" s="19"/>
      <c r="K784" s="19"/>
      <c r="L784" s="68"/>
    </row>
    <row r="785" spans="2:12" x14ac:dyDescent="0.25">
      <c r="B785" s="19"/>
      <c r="C785" s="19"/>
      <c r="D785" s="19"/>
      <c r="E785" s="19"/>
      <c r="F785" s="68"/>
      <c r="G785" s="19"/>
      <c r="H785" s="19"/>
      <c r="I785" s="19"/>
      <c r="J785" s="19"/>
      <c r="K785" s="19"/>
      <c r="L785" s="68"/>
    </row>
    <row r="786" spans="2:12" x14ac:dyDescent="0.25">
      <c r="B786" s="19"/>
      <c r="C786" s="19"/>
      <c r="D786" s="19"/>
      <c r="E786" s="19"/>
      <c r="F786" s="68"/>
      <c r="G786" s="19"/>
      <c r="H786" s="19"/>
      <c r="I786" s="19"/>
      <c r="J786" s="19"/>
      <c r="K786" s="19"/>
      <c r="L786" s="68"/>
    </row>
    <row r="787" spans="2:12" x14ac:dyDescent="0.25">
      <c r="B787" s="19"/>
      <c r="C787" s="19"/>
      <c r="D787" s="19"/>
      <c r="E787" s="19"/>
      <c r="F787" s="68"/>
      <c r="G787" s="19"/>
      <c r="H787" s="19"/>
      <c r="I787" s="19"/>
      <c r="J787" s="19"/>
      <c r="K787" s="19"/>
      <c r="L787" s="68"/>
    </row>
    <row r="788" spans="2:12" x14ac:dyDescent="0.25">
      <c r="B788" s="19"/>
      <c r="C788" s="19"/>
      <c r="D788" s="19"/>
      <c r="E788" s="19"/>
      <c r="F788" s="68"/>
      <c r="G788" s="19"/>
      <c r="H788" s="19"/>
      <c r="I788" s="19"/>
      <c r="J788" s="19"/>
      <c r="K788" s="19"/>
      <c r="L788" s="68"/>
    </row>
    <row r="789" spans="2:12" x14ac:dyDescent="0.25">
      <c r="B789" s="19"/>
      <c r="C789" s="19"/>
      <c r="D789" s="19"/>
      <c r="E789" s="19"/>
      <c r="F789" s="68"/>
      <c r="G789" s="19"/>
      <c r="H789" s="19"/>
      <c r="I789" s="19"/>
      <c r="J789" s="19"/>
      <c r="K789" s="19"/>
      <c r="L789" s="68"/>
    </row>
    <row r="790" spans="2:12" x14ac:dyDescent="0.25">
      <c r="B790" s="19"/>
      <c r="C790" s="19"/>
      <c r="D790" s="19"/>
      <c r="E790" s="19"/>
      <c r="F790" s="68"/>
      <c r="G790" s="19"/>
      <c r="H790" s="19"/>
      <c r="I790" s="19"/>
      <c r="J790" s="19"/>
      <c r="K790" s="19"/>
      <c r="L790" s="68"/>
    </row>
    <row r="791" spans="2:12" x14ac:dyDescent="0.25">
      <c r="B791" s="19"/>
      <c r="C791" s="19"/>
      <c r="D791" s="19"/>
      <c r="E791" s="19"/>
      <c r="F791" s="68"/>
      <c r="G791" s="19"/>
      <c r="H791" s="19"/>
      <c r="I791" s="19"/>
      <c r="J791" s="19"/>
      <c r="K791" s="19"/>
      <c r="L791" s="68"/>
    </row>
    <row r="792" spans="2:12" x14ac:dyDescent="0.25">
      <c r="B792" s="19"/>
      <c r="C792" s="19"/>
      <c r="D792" s="19"/>
      <c r="E792" s="19"/>
      <c r="F792" s="68"/>
      <c r="G792" s="19"/>
      <c r="H792" s="19"/>
      <c r="I792" s="19"/>
      <c r="J792" s="19"/>
      <c r="K792" s="19"/>
      <c r="L792" s="68"/>
    </row>
    <row r="793" spans="2:12" x14ac:dyDescent="0.25">
      <c r="B793" s="19"/>
      <c r="C793" s="19"/>
      <c r="D793" s="19"/>
      <c r="E793" s="19"/>
      <c r="F793" s="68"/>
      <c r="G793" s="19"/>
      <c r="H793" s="19"/>
      <c r="I793" s="19"/>
      <c r="J793" s="19"/>
      <c r="K793" s="19"/>
      <c r="L793" s="68"/>
    </row>
    <row r="794" spans="2:12" x14ac:dyDescent="0.25">
      <c r="B794" s="19"/>
      <c r="C794" s="19"/>
      <c r="D794" s="19"/>
      <c r="E794" s="19"/>
      <c r="F794" s="68"/>
      <c r="G794" s="19"/>
      <c r="H794" s="19"/>
      <c r="I794" s="19"/>
      <c r="J794" s="19"/>
      <c r="K794" s="19"/>
      <c r="L794" s="68"/>
    </row>
    <row r="795" spans="2:12" x14ac:dyDescent="0.25">
      <c r="B795" s="19"/>
      <c r="C795" s="19"/>
      <c r="D795" s="19"/>
      <c r="E795" s="19"/>
      <c r="F795" s="68"/>
      <c r="G795" s="19"/>
      <c r="H795" s="19"/>
      <c r="I795" s="19"/>
      <c r="J795" s="19"/>
      <c r="K795" s="19"/>
      <c r="L795" s="68"/>
    </row>
    <row r="796" spans="2:12" x14ac:dyDescent="0.25">
      <c r="B796" s="19"/>
      <c r="C796" s="19"/>
      <c r="D796" s="19"/>
      <c r="E796" s="19"/>
      <c r="F796" s="68"/>
      <c r="G796" s="19"/>
      <c r="H796" s="19"/>
      <c r="I796" s="19"/>
      <c r="J796" s="19"/>
      <c r="K796" s="19"/>
      <c r="L796" s="68"/>
    </row>
    <row r="797" spans="2:12" x14ac:dyDescent="0.25">
      <c r="B797" s="19"/>
      <c r="C797" s="19"/>
      <c r="D797" s="19"/>
      <c r="E797" s="19"/>
      <c r="F797" s="68"/>
      <c r="G797" s="19"/>
      <c r="H797" s="19"/>
      <c r="I797" s="19"/>
      <c r="J797" s="19"/>
      <c r="K797" s="19"/>
      <c r="L797" s="68"/>
    </row>
    <row r="798" spans="2:12" x14ac:dyDescent="0.25">
      <c r="B798" s="19"/>
      <c r="C798" s="19"/>
      <c r="D798" s="19"/>
      <c r="E798" s="19"/>
      <c r="F798" s="68"/>
      <c r="G798" s="19"/>
      <c r="H798" s="19"/>
      <c r="I798" s="19"/>
      <c r="J798" s="19"/>
      <c r="K798" s="19"/>
      <c r="L798" s="68"/>
    </row>
    <row r="799" spans="2:12" x14ac:dyDescent="0.25">
      <c r="B799" s="19"/>
      <c r="C799" s="19"/>
      <c r="D799" s="19"/>
      <c r="E799" s="19"/>
      <c r="F799" s="68"/>
      <c r="G799" s="19"/>
      <c r="H799" s="19"/>
      <c r="I799" s="19"/>
      <c r="J799" s="19"/>
      <c r="K799" s="19"/>
      <c r="L799" s="68"/>
    </row>
    <row r="800" spans="2:12" x14ac:dyDescent="0.25">
      <c r="B800" s="19"/>
      <c r="C800" s="19"/>
      <c r="D800" s="19"/>
      <c r="E800" s="19"/>
      <c r="F800" s="68"/>
      <c r="G800" s="19"/>
      <c r="H800" s="19"/>
      <c r="I800" s="19"/>
      <c r="J800" s="19"/>
      <c r="K800" s="19"/>
      <c r="L800" s="68"/>
    </row>
    <row r="801" spans="2:12" x14ac:dyDescent="0.25">
      <c r="B801" s="19"/>
      <c r="C801" s="19"/>
      <c r="D801" s="19"/>
      <c r="E801" s="19"/>
      <c r="F801" s="68"/>
      <c r="G801" s="19"/>
      <c r="H801" s="19"/>
      <c r="I801" s="19"/>
      <c r="J801" s="19"/>
      <c r="K801" s="19"/>
      <c r="L801" s="68"/>
    </row>
    <row r="802" spans="2:12" x14ac:dyDescent="0.25">
      <c r="B802" s="19"/>
      <c r="C802" s="19"/>
      <c r="D802" s="19"/>
      <c r="E802" s="19"/>
      <c r="F802" s="68"/>
      <c r="G802" s="19"/>
      <c r="H802" s="19"/>
      <c r="I802" s="19"/>
      <c r="J802" s="19"/>
      <c r="K802" s="19"/>
      <c r="L802" s="68"/>
    </row>
    <row r="803" spans="2:12" x14ac:dyDescent="0.25">
      <c r="B803" s="19"/>
      <c r="C803" s="19"/>
      <c r="D803" s="19"/>
      <c r="E803" s="19"/>
      <c r="F803" s="68"/>
      <c r="G803" s="19"/>
      <c r="H803" s="19"/>
      <c r="I803" s="19"/>
      <c r="J803" s="19"/>
      <c r="K803" s="19"/>
      <c r="L803" s="68"/>
    </row>
    <row r="804" spans="2:12" x14ac:dyDescent="0.25">
      <c r="B804" s="19"/>
      <c r="C804" s="19"/>
      <c r="D804" s="19"/>
      <c r="E804" s="19"/>
      <c r="F804" s="68"/>
      <c r="G804" s="19"/>
      <c r="H804" s="19"/>
      <c r="I804" s="19"/>
      <c r="J804" s="19"/>
      <c r="K804" s="19"/>
      <c r="L804" s="68"/>
    </row>
    <row r="805" spans="2:12" x14ac:dyDescent="0.25">
      <c r="B805" s="19"/>
      <c r="C805" s="19"/>
      <c r="D805" s="19"/>
      <c r="E805" s="19"/>
      <c r="F805" s="68"/>
      <c r="G805" s="19"/>
      <c r="H805" s="19"/>
      <c r="I805" s="19"/>
      <c r="J805" s="19"/>
      <c r="K805" s="19"/>
      <c r="L805" s="68"/>
    </row>
    <row r="806" spans="2:12" x14ac:dyDescent="0.25">
      <c r="B806" s="19"/>
      <c r="C806" s="19"/>
      <c r="D806" s="19"/>
      <c r="E806" s="19"/>
      <c r="F806" s="68"/>
      <c r="G806" s="19"/>
      <c r="H806" s="19"/>
      <c r="I806" s="19"/>
      <c r="J806" s="19"/>
      <c r="K806" s="19"/>
      <c r="L806" s="68"/>
    </row>
    <row r="807" spans="2:12" x14ac:dyDescent="0.25">
      <c r="B807" s="19"/>
      <c r="C807" s="19"/>
      <c r="D807" s="19"/>
      <c r="E807" s="19"/>
      <c r="F807" s="68"/>
      <c r="G807" s="19"/>
      <c r="H807" s="19"/>
      <c r="I807" s="19"/>
      <c r="J807" s="19"/>
      <c r="K807" s="19"/>
      <c r="L807" s="68"/>
    </row>
    <row r="808" spans="2:12" x14ac:dyDescent="0.25">
      <c r="B808" s="19"/>
      <c r="C808" s="19"/>
      <c r="D808" s="19"/>
      <c r="E808" s="19"/>
      <c r="F808" s="68"/>
      <c r="G808" s="19"/>
      <c r="H808" s="19"/>
      <c r="I808" s="19"/>
      <c r="J808" s="19"/>
      <c r="K808" s="19"/>
      <c r="L808" s="68"/>
    </row>
    <row r="809" spans="2:12" x14ac:dyDescent="0.25">
      <c r="B809" s="19"/>
      <c r="C809" s="19"/>
      <c r="D809" s="19"/>
      <c r="E809" s="19"/>
      <c r="F809" s="68"/>
      <c r="G809" s="19"/>
      <c r="H809" s="19"/>
      <c r="I809" s="19"/>
      <c r="J809" s="19"/>
      <c r="K809" s="19"/>
      <c r="L809" s="68"/>
    </row>
    <row r="810" spans="2:12" x14ac:dyDescent="0.25">
      <c r="B810" s="19"/>
      <c r="C810" s="19"/>
      <c r="D810" s="19"/>
      <c r="E810" s="19"/>
      <c r="F810" s="68"/>
      <c r="G810" s="19"/>
      <c r="H810" s="19"/>
      <c r="I810" s="19"/>
      <c r="J810" s="19"/>
      <c r="K810" s="19"/>
      <c r="L810" s="68"/>
    </row>
    <row r="811" spans="2:12" x14ac:dyDescent="0.25">
      <c r="B811" s="19"/>
      <c r="C811" s="19"/>
      <c r="D811" s="19"/>
      <c r="E811" s="19"/>
      <c r="F811" s="68"/>
      <c r="G811" s="19"/>
      <c r="H811" s="19"/>
      <c r="I811" s="19"/>
      <c r="J811" s="19"/>
      <c r="K811" s="19"/>
      <c r="L811" s="68"/>
    </row>
    <row r="812" spans="2:12" x14ac:dyDescent="0.25">
      <c r="B812" s="19"/>
      <c r="C812" s="19"/>
      <c r="D812" s="19"/>
      <c r="E812" s="19"/>
      <c r="F812" s="68"/>
      <c r="G812" s="19"/>
      <c r="H812" s="19"/>
      <c r="I812" s="19"/>
      <c r="J812" s="19"/>
      <c r="K812" s="19"/>
      <c r="L812" s="68"/>
    </row>
    <row r="813" spans="2:12" x14ac:dyDescent="0.25">
      <c r="B813" s="19"/>
      <c r="C813" s="19"/>
      <c r="D813" s="19"/>
      <c r="E813" s="19"/>
      <c r="F813" s="68"/>
      <c r="G813" s="19"/>
      <c r="H813" s="19"/>
      <c r="I813" s="19"/>
      <c r="J813" s="19"/>
      <c r="K813" s="19"/>
      <c r="L813" s="68"/>
    </row>
    <row r="814" spans="2:12" x14ac:dyDescent="0.25">
      <c r="B814" s="19"/>
      <c r="C814" s="19"/>
      <c r="D814" s="19"/>
      <c r="E814" s="19"/>
      <c r="F814" s="68"/>
      <c r="G814" s="19"/>
      <c r="H814" s="19"/>
      <c r="I814" s="19"/>
      <c r="J814" s="19"/>
      <c r="K814" s="19"/>
      <c r="L814" s="68"/>
    </row>
    <row r="815" spans="2:12" x14ac:dyDescent="0.25">
      <c r="B815" s="19"/>
      <c r="C815" s="19"/>
      <c r="D815" s="19"/>
      <c r="E815" s="19"/>
      <c r="F815" s="68"/>
      <c r="G815" s="19"/>
      <c r="H815" s="19"/>
      <c r="I815" s="19"/>
      <c r="J815" s="19"/>
      <c r="K815" s="19"/>
      <c r="L815" s="68"/>
    </row>
    <row r="816" spans="2:12" x14ac:dyDescent="0.25">
      <c r="B816" s="19"/>
      <c r="C816" s="19"/>
      <c r="D816" s="19"/>
      <c r="E816" s="19"/>
      <c r="F816" s="68"/>
      <c r="G816" s="19"/>
      <c r="H816" s="19"/>
      <c r="I816" s="19"/>
      <c r="J816" s="19"/>
      <c r="K816" s="19"/>
      <c r="L816" s="68"/>
    </row>
    <row r="817" spans="2:12" x14ac:dyDescent="0.25">
      <c r="B817" s="19"/>
      <c r="C817" s="19"/>
      <c r="D817" s="19"/>
      <c r="E817" s="19"/>
      <c r="F817" s="68"/>
      <c r="G817" s="19"/>
      <c r="H817" s="19"/>
      <c r="I817" s="19"/>
      <c r="J817" s="19"/>
      <c r="K817" s="19"/>
      <c r="L817" s="68"/>
    </row>
    <row r="818" spans="2:12" x14ac:dyDescent="0.25">
      <c r="B818" s="19"/>
      <c r="C818" s="19"/>
      <c r="D818" s="19"/>
      <c r="E818" s="19"/>
      <c r="F818" s="68"/>
      <c r="G818" s="19"/>
      <c r="H818" s="19"/>
      <c r="I818" s="19"/>
      <c r="J818" s="19"/>
      <c r="K818" s="19"/>
      <c r="L818" s="68"/>
    </row>
    <row r="819" spans="2:12" x14ac:dyDescent="0.25">
      <c r="B819" s="19"/>
      <c r="C819" s="19"/>
      <c r="D819" s="19"/>
      <c r="E819" s="19"/>
      <c r="F819" s="68"/>
      <c r="G819" s="19"/>
      <c r="H819" s="19"/>
      <c r="I819" s="19"/>
      <c r="J819" s="19"/>
      <c r="K819" s="19"/>
      <c r="L819" s="68"/>
    </row>
    <row r="820" spans="2:12" x14ac:dyDescent="0.25">
      <c r="B820" s="19"/>
      <c r="C820" s="19"/>
      <c r="D820" s="19"/>
      <c r="E820" s="19"/>
      <c r="F820" s="68"/>
      <c r="G820" s="19"/>
      <c r="H820" s="19"/>
      <c r="I820" s="19"/>
      <c r="J820" s="19"/>
      <c r="K820" s="19"/>
      <c r="L820" s="68"/>
    </row>
    <row r="821" spans="2:12" x14ac:dyDescent="0.25">
      <c r="B821" s="19"/>
      <c r="C821" s="19"/>
      <c r="D821" s="19"/>
      <c r="E821" s="19"/>
      <c r="F821" s="68"/>
      <c r="G821" s="19"/>
      <c r="H821" s="19"/>
      <c r="I821" s="19"/>
      <c r="J821" s="19"/>
      <c r="K821" s="19"/>
      <c r="L821" s="68"/>
    </row>
    <row r="822" spans="2:12" x14ac:dyDescent="0.25">
      <c r="B822" s="19"/>
      <c r="C822" s="19"/>
      <c r="D822" s="19"/>
      <c r="E822" s="19"/>
      <c r="F822" s="68"/>
      <c r="G822" s="19"/>
      <c r="H822" s="19"/>
      <c r="I822" s="19"/>
      <c r="J822" s="19"/>
      <c r="K822" s="19"/>
      <c r="L822" s="68"/>
    </row>
    <row r="823" spans="2:12" x14ac:dyDescent="0.25">
      <c r="B823" s="19"/>
      <c r="C823" s="19"/>
      <c r="D823" s="19"/>
      <c r="E823" s="19"/>
      <c r="F823" s="68"/>
      <c r="G823" s="19"/>
      <c r="H823" s="19"/>
      <c r="I823" s="19"/>
      <c r="J823" s="19"/>
      <c r="K823" s="19"/>
      <c r="L823" s="68"/>
    </row>
    <row r="824" spans="2:12" x14ac:dyDescent="0.25">
      <c r="B824" s="19"/>
      <c r="C824" s="19"/>
      <c r="D824" s="19"/>
      <c r="E824" s="19"/>
      <c r="F824" s="68"/>
      <c r="G824" s="19"/>
      <c r="H824" s="19"/>
      <c r="I824" s="19"/>
      <c r="J824" s="19"/>
      <c r="K824" s="19"/>
      <c r="L824" s="68"/>
    </row>
    <row r="825" spans="2:12" x14ac:dyDescent="0.25">
      <c r="B825" s="19"/>
      <c r="C825" s="19"/>
      <c r="D825" s="19"/>
      <c r="E825" s="19"/>
      <c r="F825" s="68"/>
      <c r="G825" s="19"/>
      <c r="H825" s="19"/>
      <c r="I825" s="19"/>
      <c r="J825" s="19"/>
      <c r="K825" s="19"/>
      <c r="L825" s="68"/>
    </row>
    <row r="826" spans="2:12" x14ac:dyDescent="0.25">
      <c r="B826" s="19"/>
      <c r="C826" s="19"/>
      <c r="D826" s="19"/>
      <c r="E826" s="19"/>
      <c r="F826" s="68"/>
      <c r="G826" s="19"/>
      <c r="H826" s="19"/>
      <c r="I826" s="19"/>
      <c r="J826" s="19"/>
      <c r="K826" s="19"/>
      <c r="L826" s="68"/>
    </row>
    <row r="827" spans="2:12" x14ac:dyDescent="0.25">
      <c r="B827" s="19"/>
      <c r="C827" s="19"/>
      <c r="D827" s="19"/>
      <c r="E827" s="19"/>
      <c r="F827" s="68"/>
      <c r="G827" s="19"/>
      <c r="H827" s="19"/>
      <c r="I827" s="19"/>
      <c r="J827" s="19"/>
      <c r="K827" s="19"/>
      <c r="L827" s="68"/>
    </row>
    <row r="828" spans="2:12" x14ac:dyDescent="0.25">
      <c r="B828" s="19"/>
      <c r="C828" s="19"/>
      <c r="D828" s="19"/>
      <c r="E828" s="19"/>
      <c r="F828" s="68"/>
      <c r="G828" s="19"/>
      <c r="H828" s="19"/>
      <c r="I828" s="19"/>
      <c r="J828" s="19"/>
      <c r="K828" s="19"/>
      <c r="L828" s="68"/>
    </row>
    <row r="829" spans="2:12" x14ac:dyDescent="0.25">
      <c r="B829" s="19"/>
      <c r="C829" s="19"/>
      <c r="D829" s="19"/>
      <c r="E829" s="19"/>
      <c r="F829" s="68"/>
      <c r="G829" s="19"/>
      <c r="H829" s="19"/>
      <c r="I829" s="19"/>
      <c r="J829" s="19"/>
      <c r="K829" s="19"/>
      <c r="L829" s="68"/>
    </row>
    <row r="830" spans="2:12" x14ac:dyDescent="0.25">
      <c r="B830" s="19"/>
      <c r="C830" s="19"/>
      <c r="D830" s="19"/>
      <c r="E830" s="19"/>
      <c r="F830" s="68"/>
      <c r="G830" s="19"/>
      <c r="H830" s="19"/>
      <c r="I830" s="19"/>
      <c r="J830" s="19"/>
      <c r="K830" s="19"/>
      <c r="L830" s="68"/>
    </row>
    <row r="831" spans="2:12" x14ac:dyDescent="0.25">
      <c r="B831" s="19"/>
      <c r="C831" s="19"/>
      <c r="D831" s="19"/>
      <c r="E831" s="19"/>
      <c r="F831" s="68"/>
      <c r="G831" s="19"/>
      <c r="H831" s="19"/>
      <c r="I831" s="19"/>
      <c r="J831" s="19"/>
      <c r="K831" s="19"/>
      <c r="L831" s="68"/>
    </row>
    <row r="832" spans="2:12" x14ac:dyDescent="0.25">
      <c r="B832" s="19"/>
      <c r="C832" s="19"/>
      <c r="D832" s="19"/>
      <c r="E832" s="19"/>
      <c r="F832" s="68"/>
      <c r="G832" s="19"/>
      <c r="H832" s="19"/>
      <c r="I832" s="19"/>
      <c r="J832" s="19"/>
      <c r="K832" s="19"/>
      <c r="L832" s="68"/>
    </row>
    <row r="833" spans="2:12" x14ac:dyDescent="0.25">
      <c r="B833" s="19"/>
      <c r="C833" s="19"/>
      <c r="D833" s="19"/>
      <c r="E833" s="19"/>
      <c r="F833" s="68"/>
      <c r="G833" s="19"/>
      <c r="H833" s="19"/>
      <c r="I833" s="19"/>
      <c r="J833" s="19"/>
      <c r="K833" s="19"/>
      <c r="L833" s="68"/>
    </row>
    <row r="834" spans="2:12" x14ac:dyDescent="0.25">
      <c r="B834" s="19"/>
      <c r="C834" s="19"/>
      <c r="D834" s="19"/>
      <c r="E834" s="19"/>
      <c r="F834" s="68"/>
      <c r="G834" s="19"/>
      <c r="H834" s="19"/>
      <c r="I834" s="19"/>
      <c r="J834" s="19"/>
      <c r="K834" s="19"/>
      <c r="L834" s="68"/>
    </row>
    <row r="835" spans="2:12" x14ac:dyDescent="0.25">
      <c r="B835" s="19"/>
      <c r="C835" s="19"/>
      <c r="D835" s="19"/>
      <c r="E835" s="19"/>
      <c r="F835" s="68"/>
      <c r="G835" s="19"/>
      <c r="H835" s="19"/>
      <c r="I835" s="19"/>
      <c r="J835" s="19"/>
      <c r="K835" s="19"/>
      <c r="L835" s="68"/>
    </row>
    <row r="836" spans="2:12" x14ac:dyDescent="0.25">
      <c r="B836" s="19"/>
      <c r="C836" s="19"/>
      <c r="D836" s="19"/>
      <c r="E836" s="19"/>
      <c r="F836" s="68"/>
      <c r="G836" s="19"/>
      <c r="H836" s="19"/>
      <c r="I836" s="19"/>
      <c r="J836" s="19"/>
      <c r="K836" s="19"/>
      <c r="L836" s="68"/>
    </row>
    <row r="837" spans="2:12" x14ac:dyDescent="0.25">
      <c r="B837" s="19"/>
      <c r="C837" s="19"/>
      <c r="D837" s="19"/>
      <c r="E837" s="19"/>
      <c r="F837" s="68"/>
      <c r="G837" s="19"/>
      <c r="H837" s="19"/>
      <c r="I837" s="19"/>
      <c r="J837" s="19"/>
      <c r="K837" s="19"/>
      <c r="L837" s="68"/>
    </row>
    <row r="838" spans="2:12" x14ac:dyDescent="0.25">
      <c r="B838" s="19"/>
      <c r="C838" s="19"/>
      <c r="D838" s="19"/>
      <c r="E838" s="19"/>
      <c r="F838" s="68"/>
      <c r="G838" s="19"/>
      <c r="H838" s="19"/>
      <c r="I838" s="19"/>
      <c r="J838" s="19"/>
      <c r="K838" s="19"/>
      <c r="L838" s="68"/>
    </row>
    <row r="839" spans="2:12" x14ac:dyDescent="0.25">
      <c r="B839" s="19"/>
      <c r="C839" s="19"/>
      <c r="D839" s="19"/>
      <c r="E839" s="19"/>
      <c r="F839" s="68"/>
      <c r="G839" s="19"/>
      <c r="H839" s="19"/>
      <c r="I839" s="19"/>
      <c r="J839" s="19"/>
      <c r="K839" s="19"/>
      <c r="L839" s="68"/>
    </row>
    <row r="840" spans="2:12" x14ac:dyDescent="0.25">
      <c r="B840" s="19"/>
      <c r="C840" s="19"/>
      <c r="D840" s="19"/>
      <c r="E840" s="19"/>
      <c r="F840" s="68"/>
      <c r="G840" s="19"/>
      <c r="H840" s="19"/>
      <c r="I840" s="19"/>
      <c r="J840" s="19"/>
      <c r="K840" s="19"/>
      <c r="L840" s="68"/>
    </row>
    <row r="841" spans="2:12" x14ac:dyDescent="0.25">
      <c r="B841" s="19"/>
      <c r="C841" s="19"/>
      <c r="D841" s="19"/>
      <c r="E841" s="19"/>
      <c r="F841" s="68"/>
      <c r="G841" s="19"/>
      <c r="H841" s="19"/>
      <c r="I841" s="19"/>
      <c r="J841" s="19"/>
      <c r="K841" s="19"/>
      <c r="L841" s="68"/>
    </row>
    <row r="842" spans="2:12" x14ac:dyDescent="0.25">
      <c r="B842" s="19"/>
      <c r="C842" s="19"/>
      <c r="D842" s="19"/>
      <c r="E842" s="19"/>
      <c r="F842" s="68"/>
      <c r="G842" s="19"/>
      <c r="H842" s="19"/>
      <c r="I842" s="19"/>
      <c r="J842" s="19"/>
      <c r="K842" s="19"/>
      <c r="L842" s="68"/>
    </row>
    <row r="843" spans="2:12" x14ac:dyDescent="0.25">
      <c r="B843" s="19"/>
      <c r="C843" s="19"/>
      <c r="D843" s="19"/>
      <c r="E843" s="19"/>
      <c r="F843" s="68"/>
      <c r="G843" s="19"/>
      <c r="H843" s="19"/>
      <c r="I843" s="19"/>
      <c r="J843" s="19"/>
      <c r="K843" s="19"/>
      <c r="L843" s="68"/>
    </row>
    <row r="844" spans="2:12" x14ac:dyDescent="0.25">
      <c r="B844" s="19"/>
      <c r="C844" s="19"/>
      <c r="D844" s="19"/>
      <c r="E844" s="19"/>
      <c r="F844" s="68"/>
      <c r="G844" s="19"/>
      <c r="H844" s="19"/>
      <c r="I844" s="19"/>
      <c r="J844" s="19"/>
      <c r="K844" s="19"/>
      <c r="L844" s="68"/>
    </row>
    <row r="845" spans="2:12" x14ac:dyDescent="0.25">
      <c r="B845" s="19"/>
      <c r="C845" s="19"/>
      <c r="D845" s="19"/>
      <c r="E845" s="19"/>
      <c r="F845" s="68"/>
      <c r="G845" s="19"/>
      <c r="H845" s="19"/>
      <c r="I845" s="19"/>
      <c r="J845" s="19"/>
      <c r="K845" s="19"/>
      <c r="L845" s="68"/>
    </row>
    <row r="846" spans="2:12" x14ac:dyDescent="0.25">
      <c r="B846" s="19"/>
      <c r="C846" s="19"/>
      <c r="D846" s="19"/>
      <c r="E846" s="19"/>
      <c r="F846" s="68"/>
      <c r="G846" s="19"/>
      <c r="H846" s="19"/>
      <c r="I846" s="19"/>
      <c r="J846" s="19"/>
      <c r="K846" s="19"/>
      <c r="L846" s="68"/>
    </row>
    <row r="847" spans="2:12" x14ac:dyDescent="0.25">
      <c r="B847" s="19"/>
      <c r="C847" s="19"/>
      <c r="D847" s="19"/>
      <c r="E847" s="19"/>
      <c r="F847" s="68"/>
      <c r="G847" s="19"/>
      <c r="H847" s="19"/>
      <c r="I847" s="19"/>
      <c r="J847" s="19"/>
      <c r="K847" s="19"/>
      <c r="L847" s="68"/>
    </row>
    <row r="848" spans="2:12" x14ac:dyDescent="0.25">
      <c r="B848" s="19"/>
      <c r="C848" s="19"/>
      <c r="D848" s="19"/>
      <c r="E848" s="19"/>
      <c r="F848" s="68"/>
      <c r="G848" s="19"/>
      <c r="H848" s="19"/>
      <c r="I848" s="19"/>
      <c r="J848" s="19"/>
      <c r="K848" s="19"/>
      <c r="L848" s="68"/>
    </row>
    <row r="849" spans="2:12" x14ac:dyDescent="0.25">
      <c r="B849" s="19"/>
      <c r="C849" s="19"/>
      <c r="D849" s="19"/>
      <c r="E849" s="19"/>
      <c r="F849" s="68"/>
      <c r="G849" s="19"/>
      <c r="H849" s="19"/>
      <c r="I849" s="19"/>
      <c r="J849" s="19"/>
      <c r="K849" s="19"/>
      <c r="L849" s="68"/>
    </row>
    <row r="850" spans="2:12" x14ac:dyDescent="0.25">
      <c r="B850" s="19"/>
      <c r="C850" s="19"/>
      <c r="D850" s="19"/>
      <c r="E850" s="19"/>
      <c r="F850" s="68"/>
      <c r="G850" s="19"/>
      <c r="H850" s="19"/>
      <c r="I850" s="19"/>
      <c r="J850" s="19"/>
      <c r="K850" s="19"/>
      <c r="L850" s="68"/>
    </row>
    <row r="851" spans="2:12" x14ac:dyDescent="0.25">
      <c r="B851" s="19"/>
      <c r="C851" s="19"/>
      <c r="D851" s="19"/>
      <c r="E851" s="19"/>
      <c r="F851" s="68"/>
      <c r="G851" s="19"/>
      <c r="H851" s="19"/>
      <c r="I851" s="19"/>
      <c r="J851" s="19"/>
      <c r="K851" s="19"/>
      <c r="L851" s="68"/>
    </row>
    <row r="852" spans="2:12" x14ac:dyDescent="0.25">
      <c r="B852" s="19"/>
      <c r="C852" s="19"/>
      <c r="D852" s="19"/>
      <c r="E852" s="19"/>
      <c r="F852" s="68"/>
      <c r="G852" s="19"/>
      <c r="H852" s="19"/>
      <c r="I852" s="19"/>
      <c r="J852" s="19"/>
      <c r="K852" s="19"/>
      <c r="L852" s="68"/>
    </row>
    <row r="853" spans="2:12" x14ac:dyDescent="0.25">
      <c r="B853" s="19"/>
      <c r="C853" s="19"/>
      <c r="D853" s="19"/>
      <c r="E853" s="19"/>
      <c r="F853" s="68"/>
      <c r="G853" s="19"/>
      <c r="H853" s="19"/>
      <c r="I853" s="19"/>
      <c r="J853" s="19"/>
      <c r="K853" s="19"/>
      <c r="L853" s="68"/>
    </row>
    <row r="854" spans="2:12" x14ac:dyDescent="0.25">
      <c r="B854" s="19"/>
      <c r="C854" s="19"/>
      <c r="D854" s="19"/>
      <c r="E854" s="19"/>
      <c r="F854" s="68"/>
      <c r="G854" s="19"/>
      <c r="H854" s="19"/>
      <c r="I854" s="19"/>
      <c r="J854" s="19"/>
      <c r="K854" s="19"/>
      <c r="L854" s="68"/>
    </row>
    <row r="855" spans="2:12" x14ac:dyDescent="0.25">
      <c r="B855" s="19"/>
      <c r="C855" s="19"/>
      <c r="D855" s="19"/>
      <c r="E855" s="19"/>
      <c r="F855" s="68"/>
      <c r="G855" s="19"/>
      <c r="H855" s="19"/>
      <c r="I855" s="19"/>
      <c r="J855" s="19"/>
      <c r="K855" s="19"/>
      <c r="L855" s="68"/>
    </row>
    <row r="856" spans="2:12" x14ac:dyDescent="0.25">
      <c r="B856" s="19"/>
      <c r="C856" s="19"/>
      <c r="D856" s="19"/>
      <c r="E856" s="19"/>
      <c r="F856" s="68"/>
      <c r="G856" s="19"/>
      <c r="H856" s="19"/>
      <c r="I856" s="19"/>
      <c r="J856" s="19"/>
      <c r="K856" s="19"/>
      <c r="L856" s="68"/>
    </row>
    <row r="857" spans="2:12" x14ac:dyDescent="0.25">
      <c r="B857" s="19"/>
      <c r="C857" s="19"/>
      <c r="D857" s="19"/>
      <c r="E857" s="19"/>
      <c r="F857" s="68"/>
      <c r="G857" s="19"/>
      <c r="H857" s="19"/>
      <c r="I857" s="19"/>
      <c r="J857" s="19"/>
      <c r="K857" s="19"/>
      <c r="L857" s="68"/>
    </row>
    <row r="858" spans="2:12" x14ac:dyDescent="0.25">
      <c r="B858" s="19"/>
      <c r="C858" s="19"/>
      <c r="D858" s="19"/>
      <c r="E858" s="19"/>
      <c r="F858" s="68"/>
      <c r="G858" s="19"/>
      <c r="H858" s="19"/>
      <c r="I858" s="19"/>
      <c r="J858" s="19"/>
      <c r="K858" s="19"/>
      <c r="L858" s="68"/>
    </row>
    <row r="859" spans="2:12" x14ac:dyDescent="0.25">
      <c r="B859" s="19"/>
      <c r="C859" s="19"/>
      <c r="D859" s="19"/>
      <c r="E859" s="19"/>
      <c r="F859" s="68"/>
      <c r="G859" s="19"/>
      <c r="H859" s="19"/>
      <c r="I859" s="19"/>
      <c r="J859" s="19"/>
      <c r="K859" s="19"/>
      <c r="L859" s="68"/>
    </row>
    <row r="860" spans="2:12" x14ac:dyDescent="0.25">
      <c r="B860" s="19"/>
      <c r="C860" s="19"/>
      <c r="D860" s="19"/>
      <c r="E860" s="19"/>
      <c r="F860" s="68"/>
      <c r="G860" s="19"/>
      <c r="H860" s="19"/>
      <c r="I860" s="19"/>
      <c r="J860" s="19"/>
      <c r="K860" s="19"/>
      <c r="L860" s="68"/>
    </row>
    <row r="861" spans="2:12" x14ac:dyDescent="0.25">
      <c r="B861" s="19"/>
      <c r="C861" s="19"/>
      <c r="D861" s="19"/>
      <c r="E861" s="19"/>
      <c r="F861" s="68"/>
      <c r="G861" s="19"/>
      <c r="H861" s="19"/>
      <c r="I861" s="19"/>
      <c r="J861" s="19"/>
      <c r="K861" s="19"/>
      <c r="L861" s="68"/>
    </row>
    <row r="862" spans="2:12" x14ac:dyDescent="0.25">
      <c r="B862" s="19"/>
      <c r="C862" s="19"/>
      <c r="D862" s="19"/>
      <c r="E862" s="19"/>
      <c r="F862" s="68"/>
      <c r="G862" s="19"/>
      <c r="H862" s="19"/>
      <c r="I862" s="19"/>
      <c r="J862" s="19"/>
      <c r="K862" s="19"/>
      <c r="L862" s="68"/>
    </row>
    <row r="863" spans="2:12" x14ac:dyDescent="0.25">
      <c r="B863" s="19"/>
      <c r="C863" s="19"/>
      <c r="D863" s="19"/>
      <c r="E863" s="19"/>
      <c r="F863" s="68"/>
      <c r="G863" s="19"/>
      <c r="H863" s="19"/>
      <c r="I863" s="19"/>
      <c r="J863" s="19"/>
      <c r="K863" s="19"/>
      <c r="L863" s="68"/>
    </row>
    <row r="864" spans="2:12" x14ac:dyDescent="0.25">
      <c r="B864" s="19"/>
      <c r="C864" s="19"/>
      <c r="D864" s="19"/>
      <c r="E864" s="19"/>
      <c r="F864" s="68"/>
      <c r="G864" s="19"/>
      <c r="H864" s="19"/>
      <c r="I864" s="19"/>
      <c r="J864" s="19"/>
      <c r="K864" s="19"/>
      <c r="L864" s="68"/>
    </row>
    <row r="865" spans="2:12" x14ac:dyDescent="0.25">
      <c r="B865" s="19"/>
      <c r="C865" s="19"/>
      <c r="D865" s="19"/>
      <c r="E865" s="19"/>
      <c r="F865" s="68"/>
      <c r="G865" s="19"/>
      <c r="H865" s="19"/>
      <c r="I865" s="19"/>
      <c r="J865" s="19"/>
      <c r="K865" s="19"/>
      <c r="L865" s="68"/>
    </row>
    <row r="866" spans="2:12" x14ac:dyDescent="0.25">
      <c r="B866" s="19"/>
      <c r="C866" s="19"/>
      <c r="D866" s="19"/>
      <c r="E866" s="19"/>
      <c r="F866" s="68"/>
      <c r="G866" s="19"/>
      <c r="H866" s="19"/>
      <c r="I866" s="19"/>
      <c r="J866" s="19"/>
      <c r="K866" s="19"/>
      <c r="L866" s="68"/>
    </row>
    <row r="867" spans="2:12" x14ac:dyDescent="0.25">
      <c r="B867" s="19"/>
      <c r="C867" s="19"/>
      <c r="D867" s="19"/>
      <c r="E867" s="19"/>
      <c r="F867" s="68"/>
      <c r="G867" s="19"/>
      <c r="H867" s="19"/>
      <c r="I867" s="19"/>
      <c r="J867" s="19"/>
      <c r="K867" s="19"/>
      <c r="L867" s="68"/>
    </row>
    <row r="868" spans="2:12" x14ac:dyDescent="0.25">
      <c r="B868" s="19"/>
      <c r="C868" s="19"/>
      <c r="D868" s="19"/>
      <c r="E868" s="19"/>
      <c r="F868" s="68"/>
      <c r="G868" s="19"/>
      <c r="H868" s="19"/>
      <c r="I868" s="19"/>
      <c r="J868" s="19"/>
      <c r="K868" s="19"/>
      <c r="L868" s="68"/>
    </row>
    <row r="869" spans="2:12" x14ac:dyDescent="0.25">
      <c r="B869" s="19"/>
      <c r="C869" s="19"/>
      <c r="D869" s="19"/>
      <c r="E869" s="19"/>
      <c r="F869" s="68"/>
      <c r="G869" s="19"/>
      <c r="H869" s="19"/>
      <c r="I869" s="19"/>
      <c r="J869" s="19"/>
      <c r="K869" s="19"/>
      <c r="L869" s="68"/>
    </row>
    <row r="870" spans="2:12" x14ac:dyDescent="0.25">
      <c r="B870" s="19"/>
      <c r="C870" s="19"/>
      <c r="D870" s="19"/>
      <c r="E870" s="19"/>
      <c r="F870" s="68"/>
      <c r="G870" s="19"/>
      <c r="H870" s="19"/>
      <c r="I870" s="19"/>
      <c r="J870" s="19"/>
      <c r="K870" s="19"/>
      <c r="L870" s="68"/>
    </row>
    <row r="871" spans="2:12" x14ac:dyDescent="0.25">
      <c r="B871" s="19"/>
      <c r="C871" s="19"/>
      <c r="D871" s="19"/>
      <c r="E871" s="19"/>
      <c r="F871" s="68"/>
      <c r="G871" s="19"/>
      <c r="H871" s="19"/>
      <c r="I871" s="19"/>
      <c r="J871" s="19"/>
      <c r="K871" s="19"/>
      <c r="L871" s="68"/>
    </row>
    <row r="872" spans="2:12" x14ac:dyDescent="0.25">
      <c r="B872" s="19"/>
      <c r="C872" s="19"/>
      <c r="D872" s="19"/>
      <c r="E872" s="19"/>
      <c r="F872" s="68"/>
      <c r="G872" s="19"/>
      <c r="H872" s="19"/>
      <c r="I872" s="19"/>
      <c r="J872" s="19"/>
      <c r="K872" s="19"/>
      <c r="L872" s="68"/>
    </row>
    <row r="873" spans="2:12" x14ac:dyDescent="0.25">
      <c r="B873" s="19"/>
      <c r="C873" s="19"/>
      <c r="D873" s="19"/>
      <c r="E873" s="19"/>
      <c r="F873" s="68"/>
      <c r="G873" s="19"/>
      <c r="H873" s="19"/>
      <c r="I873" s="19"/>
      <c r="J873" s="19"/>
      <c r="K873" s="19"/>
      <c r="L873" s="68"/>
    </row>
    <row r="874" spans="2:12" x14ac:dyDescent="0.25">
      <c r="B874" s="19"/>
      <c r="C874" s="19"/>
      <c r="D874" s="19"/>
      <c r="E874" s="19"/>
      <c r="F874" s="68"/>
      <c r="G874" s="19"/>
      <c r="H874" s="19"/>
      <c r="I874" s="19"/>
      <c r="J874" s="19"/>
      <c r="K874" s="19"/>
      <c r="L874" s="68"/>
    </row>
    <row r="875" spans="2:12" x14ac:dyDescent="0.25">
      <c r="B875" s="19"/>
      <c r="C875" s="19"/>
      <c r="D875" s="19"/>
      <c r="E875" s="19"/>
      <c r="F875" s="68"/>
      <c r="G875" s="19"/>
      <c r="H875" s="19"/>
      <c r="I875" s="19"/>
      <c r="J875" s="19"/>
      <c r="K875" s="19"/>
      <c r="L875" s="68"/>
    </row>
    <row r="876" spans="2:12" x14ac:dyDescent="0.25">
      <c r="B876" s="19"/>
      <c r="C876" s="19"/>
      <c r="D876" s="19"/>
      <c r="E876" s="19"/>
      <c r="F876" s="68"/>
      <c r="G876" s="19"/>
      <c r="H876" s="19"/>
      <c r="I876" s="19"/>
      <c r="J876" s="19"/>
      <c r="K876" s="19"/>
      <c r="L876" s="68"/>
    </row>
    <row r="877" spans="2:12" x14ac:dyDescent="0.25">
      <c r="B877" s="19"/>
      <c r="C877" s="19"/>
      <c r="D877" s="19"/>
      <c r="E877" s="19"/>
      <c r="F877" s="68"/>
      <c r="G877" s="19"/>
      <c r="H877" s="19"/>
      <c r="I877" s="19"/>
      <c r="J877" s="19"/>
      <c r="K877" s="19"/>
      <c r="L877" s="68"/>
    </row>
    <row r="878" spans="2:12" x14ac:dyDescent="0.25">
      <c r="B878" s="19"/>
      <c r="C878" s="19"/>
      <c r="D878" s="19"/>
      <c r="E878" s="19"/>
      <c r="F878" s="68"/>
      <c r="G878" s="19"/>
      <c r="H878" s="19"/>
      <c r="I878" s="19"/>
      <c r="J878" s="19"/>
      <c r="K878" s="19"/>
      <c r="L878" s="68"/>
    </row>
    <row r="879" spans="2:12" x14ac:dyDescent="0.25">
      <c r="B879" s="19"/>
      <c r="C879" s="19"/>
      <c r="D879" s="19"/>
      <c r="E879" s="19"/>
      <c r="F879" s="68"/>
      <c r="G879" s="19"/>
      <c r="H879" s="19"/>
      <c r="I879" s="19"/>
      <c r="J879" s="19"/>
      <c r="K879" s="19"/>
      <c r="L879" s="68"/>
    </row>
    <row r="880" spans="2:12" x14ac:dyDescent="0.25">
      <c r="B880" s="19"/>
      <c r="C880" s="19"/>
      <c r="D880" s="19"/>
      <c r="E880" s="19"/>
      <c r="F880" s="68"/>
      <c r="G880" s="19"/>
      <c r="H880" s="19"/>
      <c r="I880" s="19"/>
      <c r="J880" s="19"/>
      <c r="K880" s="19"/>
      <c r="L880" s="68"/>
    </row>
    <row r="881" spans="2:12" x14ac:dyDescent="0.25">
      <c r="B881" s="19"/>
      <c r="C881" s="19"/>
      <c r="D881" s="19"/>
      <c r="E881" s="19"/>
      <c r="F881" s="68"/>
      <c r="G881" s="19"/>
      <c r="H881" s="19"/>
      <c r="I881" s="19"/>
      <c r="J881" s="19"/>
      <c r="K881" s="19"/>
      <c r="L881" s="68"/>
    </row>
    <row r="882" spans="2:12" x14ac:dyDescent="0.25">
      <c r="B882" s="19"/>
      <c r="C882" s="19"/>
      <c r="D882" s="19"/>
      <c r="E882" s="19"/>
      <c r="F882" s="68"/>
      <c r="G882" s="19"/>
      <c r="H882" s="19"/>
      <c r="I882" s="19"/>
      <c r="J882" s="19"/>
      <c r="K882" s="19"/>
      <c r="L882" s="68"/>
    </row>
    <row r="883" spans="2:12" x14ac:dyDescent="0.25">
      <c r="B883" s="19"/>
      <c r="C883" s="19"/>
      <c r="D883" s="19"/>
      <c r="E883" s="19"/>
      <c r="F883" s="68"/>
      <c r="G883" s="19"/>
      <c r="H883" s="19"/>
      <c r="I883" s="19"/>
      <c r="J883" s="19"/>
      <c r="K883" s="19"/>
      <c r="L883" s="68"/>
    </row>
    <row r="884" spans="2:12" x14ac:dyDescent="0.25">
      <c r="B884" s="19"/>
      <c r="C884" s="19"/>
      <c r="D884" s="19"/>
      <c r="E884" s="19"/>
      <c r="F884" s="68"/>
      <c r="G884" s="19"/>
      <c r="H884" s="19"/>
      <c r="I884" s="19"/>
      <c r="J884" s="19"/>
      <c r="K884" s="19"/>
      <c r="L884" s="68"/>
    </row>
    <row r="885" spans="2:12" x14ac:dyDescent="0.25">
      <c r="B885" s="19"/>
      <c r="C885" s="19"/>
      <c r="D885" s="19"/>
      <c r="E885" s="19"/>
      <c r="F885" s="68"/>
      <c r="G885" s="19"/>
      <c r="H885" s="19"/>
      <c r="I885" s="19"/>
      <c r="J885" s="19"/>
      <c r="K885" s="19"/>
      <c r="L885" s="68"/>
    </row>
    <row r="886" spans="2:12" x14ac:dyDescent="0.25">
      <c r="B886" s="19"/>
      <c r="C886" s="19"/>
      <c r="D886" s="19"/>
      <c r="E886" s="19"/>
      <c r="F886" s="68"/>
      <c r="G886" s="19"/>
      <c r="H886" s="19"/>
      <c r="I886" s="19"/>
      <c r="J886" s="19"/>
      <c r="K886" s="19"/>
      <c r="L886" s="68"/>
    </row>
    <row r="887" spans="2:12" x14ac:dyDescent="0.25">
      <c r="B887" s="19"/>
      <c r="C887" s="19"/>
      <c r="D887" s="19"/>
      <c r="E887" s="19"/>
      <c r="F887" s="68"/>
      <c r="G887" s="19"/>
      <c r="H887" s="19"/>
      <c r="I887" s="19"/>
      <c r="J887" s="19"/>
      <c r="K887" s="19"/>
      <c r="L887" s="68"/>
    </row>
    <row r="888" spans="2:12" x14ac:dyDescent="0.25">
      <c r="B888" s="19"/>
      <c r="C888" s="19"/>
      <c r="D888" s="19"/>
      <c r="E888" s="19"/>
      <c r="F888" s="68"/>
      <c r="G888" s="19"/>
      <c r="H888" s="19"/>
      <c r="I888" s="19"/>
      <c r="J888" s="19"/>
      <c r="K888" s="19"/>
      <c r="L888" s="68"/>
    </row>
    <row r="889" spans="2:12" x14ac:dyDescent="0.25">
      <c r="B889" s="19"/>
      <c r="C889" s="19"/>
      <c r="D889" s="19"/>
      <c r="E889" s="19"/>
      <c r="F889" s="68"/>
      <c r="G889" s="19"/>
      <c r="H889" s="19"/>
      <c r="I889" s="19"/>
      <c r="J889" s="19"/>
      <c r="K889" s="19"/>
      <c r="L889" s="68"/>
    </row>
    <row r="890" spans="2:12" x14ac:dyDescent="0.25">
      <c r="B890" s="19"/>
      <c r="C890" s="19"/>
      <c r="D890" s="19"/>
      <c r="E890" s="19"/>
      <c r="F890" s="68"/>
      <c r="G890" s="19"/>
      <c r="H890" s="19"/>
      <c r="I890" s="19"/>
      <c r="J890" s="19"/>
      <c r="K890" s="19"/>
      <c r="L890" s="68"/>
    </row>
    <row r="891" spans="2:12" x14ac:dyDescent="0.25">
      <c r="B891" s="19"/>
      <c r="C891" s="19"/>
      <c r="D891" s="19"/>
      <c r="E891" s="19"/>
      <c r="F891" s="68"/>
      <c r="G891" s="19"/>
      <c r="H891" s="19"/>
      <c r="I891" s="19"/>
      <c r="J891" s="19"/>
      <c r="K891" s="19"/>
      <c r="L891" s="68"/>
    </row>
    <row r="892" spans="2:12" x14ac:dyDescent="0.25">
      <c r="B892" s="19"/>
      <c r="C892" s="19"/>
      <c r="D892" s="19"/>
      <c r="E892" s="19"/>
      <c r="F892" s="68"/>
      <c r="G892" s="19"/>
      <c r="H892" s="19"/>
      <c r="I892" s="19"/>
      <c r="J892" s="19"/>
      <c r="K892" s="19"/>
      <c r="L892" s="68"/>
    </row>
    <row r="893" spans="2:12" x14ac:dyDescent="0.25">
      <c r="B893" s="19"/>
      <c r="C893" s="19"/>
      <c r="D893" s="19"/>
      <c r="E893" s="19"/>
      <c r="F893" s="68"/>
      <c r="G893" s="19"/>
      <c r="H893" s="19"/>
      <c r="I893" s="19"/>
      <c r="J893" s="19"/>
      <c r="K893" s="19"/>
      <c r="L893" s="68"/>
    </row>
    <row r="894" spans="2:12" x14ac:dyDescent="0.25">
      <c r="B894" s="19"/>
      <c r="C894" s="19"/>
      <c r="D894" s="19"/>
      <c r="E894" s="19"/>
      <c r="F894" s="68"/>
      <c r="G894" s="19"/>
      <c r="H894" s="19"/>
      <c r="I894" s="19"/>
      <c r="J894" s="19"/>
      <c r="K894" s="19"/>
      <c r="L894" s="68"/>
    </row>
    <row r="895" spans="2:12" x14ac:dyDescent="0.25">
      <c r="B895" s="19"/>
      <c r="C895" s="19"/>
      <c r="D895" s="19"/>
      <c r="E895" s="19"/>
      <c r="F895" s="68"/>
      <c r="G895" s="19"/>
      <c r="H895" s="19"/>
      <c r="I895" s="19"/>
      <c r="J895" s="19"/>
      <c r="K895" s="19"/>
      <c r="L895" s="68"/>
    </row>
    <row r="896" spans="2:12" x14ac:dyDescent="0.25">
      <c r="B896" s="19"/>
      <c r="C896" s="19"/>
      <c r="D896" s="19"/>
      <c r="E896" s="19"/>
      <c r="F896" s="68"/>
      <c r="G896" s="19"/>
      <c r="H896" s="19"/>
      <c r="I896" s="19"/>
      <c r="J896" s="19"/>
      <c r="K896" s="19"/>
      <c r="L896" s="68"/>
    </row>
    <row r="897" spans="2:12" x14ac:dyDescent="0.25">
      <c r="B897" s="19"/>
      <c r="C897" s="19"/>
      <c r="D897" s="19"/>
      <c r="E897" s="19"/>
      <c r="F897" s="68"/>
      <c r="G897" s="19"/>
      <c r="H897" s="19"/>
      <c r="I897" s="19"/>
      <c r="J897" s="19"/>
      <c r="K897" s="19"/>
      <c r="L897" s="68"/>
    </row>
    <row r="898" spans="2:12" x14ac:dyDescent="0.25">
      <c r="B898" s="19"/>
      <c r="C898" s="19"/>
      <c r="D898" s="19"/>
      <c r="E898" s="19"/>
      <c r="F898" s="68"/>
      <c r="G898" s="19"/>
      <c r="H898" s="19"/>
      <c r="I898" s="19"/>
      <c r="J898" s="19"/>
      <c r="K898" s="19"/>
      <c r="L898" s="68"/>
    </row>
    <row r="899" spans="2:12" x14ac:dyDescent="0.25">
      <c r="B899" s="19"/>
      <c r="C899" s="19"/>
      <c r="D899" s="19"/>
      <c r="E899" s="19"/>
      <c r="F899" s="68"/>
      <c r="G899" s="19"/>
      <c r="H899" s="19"/>
      <c r="I899" s="19"/>
      <c r="J899" s="19"/>
      <c r="K899" s="19"/>
      <c r="L899" s="68"/>
    </row>
    <row r="900" spans="2:12" x14ac:dyDescent="0.25">
      <c r="B900" s="19"/>
      <c r="C900" s="19"/>
      <c r="D900" s="19"/>
      <c r="E900" s="19"/>
      <c r="F900" s="68"/>
      <c r="G900" s="19"/>
      <c r="H900" s="19"/>
      <c r="I900" s="19"/>
      <c r="J900" s="19"/>
      <c r="K900" s="19"/>
      <c r="L900" s="68"/>
    </row>
    <row r="901" spans="2:12" x14ac:dyDescent="0.25">
      <c r="B901" s="19"/>
      <c r="C901" s="19"/>
      <c r="D901" s="19"/>
      <c r="E901" s="19"/>
      <c r="F901" s="68"/>
      <c r="G901" s="19"/>
      <c r="H901" s="19"/>
      <c r="I901" s="19"/>
      <c r="J901" s="19"/>
      <c r="K901" s="19"/>
      <c r="L901" s="68"/>
    </row>
    <row r="902" spans="2:12" x14ac:dyDescent="0.25">
      <c r="B902" s="19"/>
      <c r="C902" s="19"/>
      <c r="D902" s="19"/>
      <c r="E902" s="19"/>
      <c r="F902" s="68"/>
      <c r="G902" s="19"/>
      <c r="H902" s="19"/>
      <c r="I902" s="19"/>
      <c r="J902" s="19"/>
      <c r="K902" s="19"/>
      <c r="L902" s="68"/>
    </row>
    <row r="903" spans="2:12" x14ac:dyDescent="0.25">
      <c r="B903" s="19"/>
      <c r="C903" s="19"/>
      <c r="D903" s="19"/>
      <c r="E903" s="19"/>
      <c r="F903" s="68"/>
      <c r="G903" s="19"/>
      <c r="H903" s="19"/>
      <c r="I903" s="19"/>
      <c r="J903" s="19"/>
      <c r="K903" s="19"/>
      <c r="L903" s="68"/>
    </row>
    <row r="904" spans="2:12" x14ac:dyDescent="0.25">
      <c r="B904" s="19"/>
      <c r="C904" s="19"/>
      <c r="D904" s="19"/>
      <c r="E904" s="19"/>
      <c r="F904" s="68"/>
      <c r="G904" s="19"/>
      <c r="H904" s="19"/>
      <c r="I904" s="19"/>
      <c r="J904" s="19"/>
      <c r="K904" s="19"/>
      <c r="L904" s="68"/>
    </row>
    <row r="905" spans="2:12" x14ac:dyDescent="0.25">
      <c r="B905" s="19"/>
      <c r="C905" s="19"/>
      <c r="D905" s="19"/>
      <c r="E905" s="19"/>
      <c r="F905" s="68"/>
      <c r="G905" s="19"/>
      <c r="H905" s="19"/>
      <c r="I905" s="19"/>
      <c r="J905" s="19"/>
      <c r="K905" s="19"/>
      <c r="L905" s="68"/>
    </row>
    <row r="906" spans="2:12" x14ac:dyDescent="0.25">
      <c r="B906" s="19"/>
      <c r="C906" s="19"/>
      <c r="D906" s="19"/>
      <c r="E906" s="19"/>
      <c r="F906" s="68"/>
      <c r="G906" s="19"/>
      <c r="H906" s="19"/>
      <c r="I906" s="19"/>
      <c r="J906" s="19"/>
      <c r="K906" s="19"/>
      <c r="L906" s="68"/>
    </row>
    <row r="907" spans="2:12" x14ac:dyDescent="0.25">
      <c r="B907" s="19"/>
      <c r="C907" s="19"/>
      <c r="D907" s="19"/>
      <c r="E907" s="19"/>
      <c r="F907" s="68"/>
      <c r="G907" s="19"/>
      <c r="H907" s="19"/>
      <c r="I907" s="19"/>
      <c r="J907" s="19"/>
      <c r="K907" s="19"/>
      <c r="L907" s="68"/>
    </row>
    <row r="908" spans="2:12" x14ac:dyDescent="0.25">
      <c r="B908" s="19"/>
      <c r="C908" s="19"/>
      <c r="D908" s="19"/>
      <c r="E908" s="19"/>
      <c r="F908" s="68"/>
      <c r="G908" s="19"/>
      <c r="H908" s="19"/>
      <c r="I908" s="19"/>
      <c r="J908" s="19"/>
      <c r="K908" s="19"/>
      <c r="L908" s="68"/>
    </row>
    <row r="909" spans="2:12" x14ac:dyDescent="0.25">
      <c r="B909" s="19"/>
      <c r="C909" s="19"/>
      <c r="D909" s="19"/>
      <c r="E909" s="19"/>
      <c r="F909" s="68"/>
      <c r="G909" s="19"/>
      <c r="H909" s="19"/>
      <c r="I909" s="19"/>
      <c r="J909" s="19"/>
      <c r="K909" s="19"/>
      <c r="L909" s="68"/>
    </row>
    <row r="910" spans="2:12" x14ac:dyDescent="0.25">
      <c r="B910" s="19"/>
      <c r="C910" s="19"/>
      <c r="D910" s="19"/>
      <c r="E910" s="19"/>
      <c r="F910" s="68"/>
      <c r="G910" s="19"/>
      <c r="H910" s="19"/>
      <c r="I910" s="19"/>
      <c r="J910" s="19"/>
      <c r="K910" s="19"/>
      <c r="L910" s="68"/>
    </row>
    <row r="911" spans="2:12" x14ac:dyDescent="0.25">
      <c r="B911" s="19"/>
      <c r="C911" s="19"/>
      <c r="D911" s="19"/>
      <c r="E911" s="19"/>
      <c r="F911" s="68"/>
      <c r="G911" s="19"/>
      <c r="H911" s="19"/>
      <c r="I911" s="19"/>
      <c r="J911" s="19"/>
      <c r="K911" s="19"/>
      <c r="L911" s="68"/>
    </row>
    <row r="912" spans="2:12" x14ac:dyDescent="0.25">
      <c r="B912" s="19"/>
      <c r="C912" s="19"/>
      <c r="D912" s="19"/>
      <c r="E912" s="19"/>
      <c r="F912" s="68"/>
      <c r="G912" s="19"/>
      <c r="H912" s="19"/>
      <c r="I912" s="19"/>
      <c r="J912" s="19"/>
      <c r="K912" s="19"/>
      <c r="L912" s="68"/>
    </row>
    <row r="913" spans="2:12" x14ac:dyDescent="0.25">
      <c r="B913" s="19"/>
      <c r="C913" s="19"/>
      <c r="D913" s="19"/>
      <c r="E913" s="19"/>
      <c r="F913" s="68"/>
      <c r="G913" s="19"/>
      <c r="H913" s="19"/>
      <c r="I913" s="19"/>
      <c r="J913" s="19"/>
      <c r="K913" s="19"/>
      <c r="L913" s="68"/>
    </row>
    <row r="914" spans="2:12" x14ac:dyDescent="0.25">
      <c r="B914" s="19"/>
      <c r="C914" s="19"/>
      <c r="D914" s="19"/>
      <c r="E914" s="19"/>
      <c r="F914" s="68"/>
      <c r="G914" s="19"/>
      <c r="H914" s="19"/>
      <c r="I914" s="19"/>
      <c r="J914" s="19"/>
      <c r="K914" s="19"/>
      <c r="L914" s="68"/>
    </row>
    <row r="915" spans="2:12" x14ac:dyDescent="0.25">
      <c r="B915" s="19"/>
      <c r="C915" s="19"/>
      <c r="D915" s="19"/>
      <c r="E915" s="19"/>
      <c r="F915" s="68"/>
      <c r="G915" s="19"/>
      <c r="H915" s="19"/>
      <c r="I915" s="19"/>
      <c r="J915" s="19"/>
      <c r="K915" s="19"/>
      <c r="L915" s="68"/>
    </row>
    <row r="916" spans="2:12" x14ac:dyDescent="0.25">
      <c r="B916" s="19"/>
      <c r="C916" s="19"/>
      <c r="D916" s="19"/>
      <c r="E916" s="19"/>
      <c r="F916" s="68"/>
      <c r="G916" s="19"/>
      <c r="H916" s="19"/>
      <c r="I916" s="19"/>
      <c r="J916" s="19"/>
      <c r="K916" s="19"/>
      <c r="L916" s="68"/>
    </row>
    <row r="917" spans="2:12" x14ac:dyDescent="0.25">
      <c r="B917" s="19"/>
      <c r="C917" s="19"/>
      <c r="D917" s="19"/>
      <c r="E917" s="19"/>
      <c r="F917" s="68"/>
      <c r="G917" s="19"/>
      <c r="H917" s="19"/>
      <c r="I917" s="19"/>
      <c r="J917" s="19"/>
      <c r="K917" s="19"/>
      <c r="L917" s="68"/>
    </row>
    <row r="918" spans="2:12" x14ac:dyDescent="0.25">
      <c r="B918" s="19"/>
      <c r="C918" s="19"/>
      <c r="D918" s="19"/>
      <c r="E918" s="19"/>
      <c r="F918" s="68"/>
      <c r="G918" s="19"/>
      <c r="H918" s="19"/>
      <c r="I918" s="19"/>
      <c r="J918" s="19"/>
      <c r="K918" s="19"/>
      <c r="L918" s="68"/>
    </row>
    <row r="919" spans="2:12" x14ac:dyDescent="0.25">
      <c r="B919" s="19"/>
      <c r="C919" s="19"/>
      <c r="D919" s="19"/>
      <c r="E919" s="19"/>
      <c r="F919" s="68"/>
      <c r="G919" s="19"/>
      <c r="H919" s="19"/>
      <c r="I919" s="19"/>
      <c r="J919" s="19"/>
      <c r="K919" s="19"/>
      <c r="L919" s="68"/>
    </row>
    <row r="920" spans="2:12" x14ac:dyDescent="0.25">
      <c r="B920" s="19"/>
      <c r="C920" s="19"/>
      <c r="D920" s="19"/>
      <c r="E920" s="19"/>
      <c r="F920" s="68"/>
      <c r="G920" s="19"/>
      <c r="H920" s="19"/>
      <c r="I920" s="19"/>
      <c r="J920" s="19"/>
      <c r="K920" s="19"/>
      <c r="L920" s="68"/>
    </row>
    <row r="921" spans="2:12" x14ac:dyDescent="0.25">
      <c r="B921" s="19"/>
      <c r="C921" s="19"/>
      <c r="D921" s="19"/>
      <c r="E921" s="19"/>
      <c r="F921" s="68"/>
      <c r="G921" s="19"/>
      <c r="H921" s="19"/>
      <c r="I921" s="19"/>
      <c r="J921" s="19"/>
      <c r="K921" s="19"/>
      <c r="L921" s="68"/>
    </row>
    <row r="922" spans="2:12" x14ac:dyDescent="0.25">
      <c r="B922" s="19"/>
      <c r="C922" s="19"/>
      <c r="D922" s="19"/>
      <c r="E922" s="19"/>
      <c r="F922" s="68"/>
      <c r="G922" s="19"/>
      <c r="H922" s="19"/>
      <c r="I922" s="19"/>
      <c r="J922" s="19"/>
      <c r="K922" s="19"/>
      <c r="L922" s="68"/>
    </row>
    <row r="923" spans="2:12" x14ac:dyDescent="0.25">
      <c r="B923" s="19"/>
      <c r="C923" s="19"/>
      <c r="D923" s="19"/>
      <c r="E923" s="19"/>
      <c r="F923" s="68"/>
      <c r="G923" s="19"/>
      <c r="H923" s="19"/>
      <c r="I923" s="19"/>
      <c r="J923" s="19"/>
      <c r="K923" s="19"/>
      <c r="L923" s="68"/>
    </row>
    <row r="924" spans="2:12" x14ac:dyDescent="0.25">
      <c r="B924" s="19"/>
      <c r="C924" s="19"/>
      <c r="D924" s="19"/>
      <c r="E924" s="19"/>
      <c r="F924" s="68"/>
      <c r="G924" s="19"/>
      <c r="H924" s="19"/>
      <c r="I924" s="19"/>
      <c r="J924" s="19"/>
      <c r="K924" s="19"/>
      <c r="L924" s="68"/>
    </row>
    <row r="925" spans="2:12" x14ac:dyDescent="0.25">
      <c r="B925" s="19"/>
      <c r="C925" s="19"/>
      <c r="D925" s="19"/>
      <c r="E925" s="19"/>
      <c r="F925" s="68"/>
      <c r="G925" s="19"/>
      <c r="H925" s="19"/>
      <c r="I925" s="19"/>
      <c r="J925" s="19"/>
      <c r="K925" s="19"/>
      <c r="L925" s="68"/>
    </row>
    <row r="926" spans="2:12" x14ac:dyDescent="0.25">
      <c r="B926" s="19"/>
      <c r="C926" s="19"/>
      <c r="D926" s="19"/>
      <c r="E926" s="19"/>
      <c r="F926" s="68"/>
      <c r="G926" s="19"/>
      <c r="H926" s="19"/>
      <c r="I926" s="19"/>
      <c r="J926" s="19"/>
      <c r="K926" s="19"/>
      <c r="L926" s="68"/>
    </row>
    <row r="927" spans="2:12" x14ac:dyDescent="0.25">
      <c r="B927" s="19"/>
      <c r="C927" s="19"/>
      <c r="D927" s="19"/>
      <c r="E927" s="19"/>
      <c r="F927" s="68"/>
      <c r="G927" s="19"/>
      <c r="H927" s="19"/>
      <c r="I927" s="19"/>
      <c r="J927" s="19"/>
      <c r="K927" s="19"/>
      <c r="L927" s="68"/>
    </row>
    <row r="928" spans="2:12" x14ac:dyDescent="0.25">
      <c r="B928" s="19"/>
      <c r="C928" s="19"/>
      <c r="D928" s="19"/>
      <c r="E928" s="19"/>
      <c r="F928" s="68"/>
      <c r="G928" s="19"/>
      <c r="H928" s="19"/>
      <c r="I928" s="19"/>
      <c r="J928" s="19"/>
      <c r="K928" s="19"/>
      <c r="L928" s="68"/>
    </row>
    <row r="929" spans="2:12" x14ac:dyDescent="0.25">
      <c r="B929" s="19"/>
      <c r="C929" s="19"/>
      <c r="D929" s="19"/>
      <c r="E929" s="19"/>
      <c r="F929" s="68"/>
      <c r="G929" s="19"/>
      <c r="H929" s="19"/>
      <c r="I929" s="19"/>
      <c r="J929" s="19"/>
      <c r="K929" s="19"/>
      <c r="L929" s="68"/>
    </row>
    <row r="930" spans="2:12" x14ac:dyDescent="0.25">
      <c r="B930" s="19"/>
      <c r="C930" s="19"/>
      <c r="D930" s="19"/>
      <c r="E930" s="19"/>
      <c r="F930" s="68"/>
      <c r="G930" s="19"/>
      <c r="H930" s="19"/>
      <c r="I930" s="19"/>
      <c r="J930" s="19"/>
      <c r="K930" s="19"/>
      <c r="L930" s="68"/>
    </row>
    <row r="931" spans="2:12" x14ac:dyDescent="0.25">
      <c r="B931" s="19"/>
      <c r="C931" s="19"/>
      <c r="D931" s="19"/>
      <c r="E931" s="19"/>
      <c r="F931" s="68"/>
      <c r="G931" s="19"/>
      <c r="H931" s="19"/>
      <c r="I931" s="19"/>
      <c r="J931" s="19"/>
      <c r="K931" s="19"/>
      <c r="L931" s="68"/>
    </row>
    <row r="932" spans="2:12" x14ac:dyDescent="0.25">
      <c r="B932" s="19"/>
      <c r="C932" s="19"/>
      <c r="D932" s="19"/>
      <c r="E932" s="19"/>
      <c r="F932" s="68"/>
      <c r="G932" s="19"/>
      <c r="H932" s="19"/>
      <c r="I932" s="19"/>
      <c r="J932" s="19"/>
      <c r="K932" s="19"/>
      <c r="L932" s="68"/>
    </row>
    <row r="933" spans="2:12" x14ac:dyDescent="0.25">
      <c r="B933" s="19"/>
      <c r="C933" s="19"/>
      <c r="D933" s="19"/>
      <c r="E933" s="19"/>
      <c r="F933" s="68"/>
      <c r="G933" s="19"/>
      <c r="H933" s="19"/>
      <c r="I933" s="19"/>
      <c r="J933" s="19"/>
      <c r="K933" s="19"/>
      <c r="L933" s="68"/>
    </row>
    <row r="934" spans="2:12" x14ac:dyDescent="0.25">
      <c r="B934" s="19"/>
      <c r="C934" s="19"/>
      <c r="D934" s="19"/>
      <c r="E934" s="19"/>
      <c r="F934" s="68"/>
      <c r="G934" s="19"/>
      <c r="H934" s="19"/>
      <c r="I934" s="19"/>
      <c r="J934" s="19"/>
      <c r="K934" s="19"/>
      <c r="L934" s="68"/>
    </row>
    <row r="935" spans="2:12" x14ac:dyDescent="0.25">
      <c r="B935" s="19"/>
      <c r="C935" s="19"/>
      <c r="D935" s="19"/>
      <c r="E935" s="19"/>
      <c r="F935" s="68"/>
      <c r="G935" s="19"/>
      <c r="H935" s="19"/>
      <c r="I935" s="19"/>
      <c r="J935" s="19"/>
      <c r="K935" s="19"/>
      <c r="L935" s="68"/>
    </row>
    <row r="936" spans="2:12" x14ac:dyDescent="0.25">
      <c r="B936" s="19"/>
      <c r="C936" s="19"/>
      <c r="D936" s="19"/>
      <c r="E936" s="19"/>
      <c r="F936" s="68"/>
      <c r="G936" s="19"/>
      <c r="H936" s="19"/>
      <c r="I936" s="19"/>
      <c r="J936" s="19"/>
      <c r="K936" s="19"/>
      <c r="L936" s="68"/>
    </row>
    <row r="937" spans="2:12" x14ac:dyDescent="0.25">
      <c r="B937" s="19"/>
      <c r="C937" s="19"/>
      <c r="D937" s="19"/>
      <c r="E937" s="19"/>
      <c r="F937" s="68"/>
      <c r="G937" s="19"/>
      <c r="H937" s="19"/>
      <c r="I937" s="19"/>
      <c r="J937" s="19"/>
      <c r="K937" s="19"/>
      <c r="L937" s="68"/>
    </row>
    <row r="938" spans="2:12" x14ac:dyDescent="0.25">
      <c r="B938" s="19"/>
      <c r="C938" s="19"/>
      <c r="D938" s="19"/>
      <c r="E938" s="19"/>
      <c r="F938" s="68"/>
      <c r="G938" s="19"/>
      <c r="H938" s="19"/>
      <c r="I938" s="19"/>
      <c r="J938" s="19"/>
      <c r="K938" s="19"/>
      <c r="L938" s="68"/>
    </row>
    <row r="939" spans="2:12" x14ac:dyDescent="0.25">
      <c r="B939" s="19"/>
      <c r="C939" s="19"/>
      <c r="D939" s="19"/>
      <c r="E939" s="19"/>
      <c r="F939" s="68"/>
      <c r="G939" s="19"/>
      <c r="H939" s="19"/>
      <c r="I939" s="19"/>
      <c r="J939" s="19"/>
      <c r="K939" s="19"/>
      <c r="L939" s="68"/>
    </row>
    <row r="940" spans="2:12" x14ac:dyDescent="0.25">
      <c r="B940" s="19"/>
      <c r="C940" s="19"/>
      <c r="D940" s="19"/>
      <c r="E940" s="19"/>
      <c r="F940" s="68"/>
      <c r="G940" s="19"/>
      <c r="H940" s="19"/>
      <c r="I940" s="19"/>
      <c r="J940" s="19"/>
      <c r="K940" s="19"/>
      <c r="L940" s="68"/>
    </row>
    <row r="941" spans="2:12" x14ac:dyDescent="0.25">
      <c r="B941" s="19"/>
      <c r="C941" s="19"/>
      <c r="D941" s="19"/>
      <c r="E941" s="19"/>
      <c r="F941" s="68"/>
      <c r="G941" s="19"/>
      <c r="H941" s="19"/>
      <c r="I941" s="19"/>
      <c r="J941" s="19"/>
      <c r="K941" s="19"/>
      <c r="L941" s="68"/>
    </row>
    <row r="942" spans="2:12" x14ac:dyDescent="0.25">
      <c r="B942" s="19"/>
      <c r="C942" s="19"/>
      <c r="D942" s="19"/>
      <c r="E942" s="19"/>
      <c r="F942" s="68"/>
      <c r="G942" s="19"/>
      <c r="H942" s="19"/>
      <c r="I942" s="19"/>
      <c r="J942" s="19"/>
      <c r="K942" s="19"/>
      <c r="L942" s="68"/>
    </row>
    <row r="943" spans="2:12" x14ac:dyDescent="0.25">
      <c r="B943" s="19"/>
      <c r="C943" s="19"/>
      <c r="D943" s="19"/>
      <c r="E943" s="19"/>
      <c r="F943" s="68"/>
      <c r="G943" s="19"/>
      <c r="H943" s="19"/>
      <c r="I943" s="19"/>
      <c r="J943" s="19"/>
      <c r="K943" s="19"/>
      <c r="L943" s="68"/>
    </row>
    <row r="944" spans="2:12" x14ac:dyDescent="0.25">
      <c r="B944" s="19"/>
      <c r="C944" s="19"/>
      <c r="D944" s="19"/>
      <c r="E944" s="19"/>
      <c r="F944" s="68"/>
      <c r="G944" s="19"/>
      <c r="H944" s="19"/>
      <c r="I944" s="19"/>
      <c r="J944" s="19"/>
      <c r="K944" s="19"/>
      <c r="L944" s="68"/>
    </row>
    <row r="945" spans="2:12" x14ac:dyDescent="0.25">
      <c r="B945" s="19"/>
      <c r="C945" s="19"/>
      <c r="D945" s="19"/>
      <c r="E945" s="19"/>
      <c r="F945" s="68"/>
      <c r="G945" s="19"/>
      <c r="H945" s="19"/>
      <c r="I945" s="19"/>
      <c r="J945" s="19"/>
      <c r="K945" s="19"/>
      <c r="L945" s="68"/>
    </row>
    <row r="946" spans="2:12" x14ac:dyDescent="0.25">
      <c r="B946" s="19"/>
      <c r="C946" s="19"/>
      <c r="D946" s="19"/>
      <c r="E946" s="19"/>
      <c r="F946" s="68"/>
      <c r="G946" s="19"/>
      <c r="H946" s="19"/>
      <c r="I946" s="19"/>
      <c r="J946" s="19"/>
      <c r="K946" s="19"/>
      <c r="L946" s="68"/>
    </row>
    <row r="947" spans="2:12" x14ac:dyDescent="0.25">
      <c r="B947" s="19"/>
      <c r="C947" s="19"/>
      <c r="D947" s="19"/>
      <c r="E947" s="19"/>
      <c r="F947" s="68"/>
      <c r="G947" s="19"/>
      <c r="H947" s="19"/>
      <c r="I947" s="19"/>
      <c r="J947" s="19"/>
      <c r="K947" s="19"/>
      <c r="L947" s="68"/>
    </row>
    <row r="948" spans="2:12" x14ac:dyDescent="0.25">
      <c r="B948" s="19"/>
      <c r="C948" s="19"/>
      <c r="D948" s="19"/>
      <c r="E948" s="19"/>
      <c r="F948" s="68"/>
      <c r="G948" s="19"/>
      <c r="H948" s="19"/>
      <c r="I948" s="19"/>
      <c r="J948" s="19"/>
      <c r="K948" s="19"/>
      <c r="L948" s="68"/>
    </row>
    <row r="949" spans="2:12" x14ac:dyDescent="0.25">
      <c r="B949" s="19"/>
      <c r="C949" s="19"/>
      <c r="D949" s="19"/>
      <c r="E949" s="19"/>
      <c r="F949" s="68"/>
      <c r="G949" s="19"/>
      <c r="H949" s="19"/>
      <c r="I949" s="19"/>
      <c r="J949" s="19"/>
      <c r="K949" s="19"/>
      <c r="L949" s="68"/>
    </row>
    <row r="950" spans="2:12" x14ac:dyDescent="0.25">
      <c r="B950" s="19"/>
      <c r="C950" s="19"/>
      <c r="D950" s="19"/>
      <c r="E950" s="19"/>
      <c r="F950" s="68"/>
      <c r="G950" s="19"/>
      <c r="H950" s="19"/>
      <c r="I950" s="19"/>
      <c r="J950" s="19"/>
      <c r="K950" s="19"/>
      <c r="L950" s="68"/>
    </row>
    <row r="951" spans="2:12" x14ac:dyDescent="0.25">
      <c r="B951" s="19"/>
      <c r="C951" s="19"/>
      <c r="D951" s="19"/>
      <c r="E951" s="19"/>
      <c r="F951" s="68"/>
      <c r="G951" s="19"/>
      <c r="H951" s="19"/>
      <c r="I951" s="19"/>
      <c r="J951" s="19"/>
      <c r="K951" s="19"/>
      <c r="L951" s="68"/>
    </row>
    <row r="952" spans="2:12" x14ac:dyDescent="0.25">
      <c r="B952" s="19"/>
      <c r="C952" s="19"/>
      <c r="D952" s="19"/>
      <c r="E952" s="19"/>
      <c r="F952" s="68"/>
      <c r="G952" s="19"/>
      <c r="H952" s="19"/>
      <c r="I952" s="19"/>
      <c r="J952" s="19"/>
      <c r="K952" s="19"/>
      <c r="L952" s="68"/>
    </row>
    <row r="953" spans="2:12" x14ac:dyDescent="0.25">
      <c r="B953" s="19"/>
      <c r="C953" s="19"/>
      <c r="D953" s="19"/>
      <c r="E953" s="19"/>
      <c r="F953" s="68"/>
      <c r="G953" s="19"/>
      <c r="H953" s="19"/>
      <c r="I953" s="19"/>
      <c r="J953" s="19"/>
      <c r="K953" s="19"/>
      <c r="L953" s="68"/>
    </row>
    <row r="954" spans="2:12" x14ac:dyDescent="0.25">
      <c r="B954" s="19"/>
      <c r="C954" s="19"/>
      <c r="D954" s="19"/>
      <c r="E954" s="19"/>
      <c r="F954" s="68"/>
      <c r="G954" s="19"/>
      <c r="H954" s="19"/>
      <c r="I954" s="19"/>
      <c r="J954" s="19"/>
      <c r="K954" s="19"/>
      <c r="L954" s="68"/>
    </row>
    <row r="955" spans="2:12" x14ac:dyDescent="0.25">
      <c r="B955" s="19"/>
      <c r="C955" s="19"/>
      <c r="D955" s="19"/>
      <c r="E955" s="19"/>
      <c r="F955" s="68"/>
      <c r="G955" s="19"/>
      <c r="H955" s="19"/>
      <c r="I955" s="19"/>
      <c r="J955" s="19"/>
      <c r="K955" s="19"/>
      <c r="L955" s="68"/>
    </row>
    <row r="956" spans="2:12" x14ac:dyDescent="0.25">
      <c r="B956" s="19"/>
      <c r="C956" s="19"/>
      <c r="D956" s="19"/>
      <c r="E956" s="19"/>
      <c r="F956" s="68"/>
      <c r="G956" s="19"/>
      <c r="H956" s="19"/>
      <c r="I956" s="19"/>
      <c r="J956" s="19"/>
      <c r="K956" s="19"/>
      <c r="L956" s="68"/>
    </row>
    <row r="957" spans="2:12" x14ac:dyDescent="0.25">
      <c r="B957" s="19"/>
      <c r="C957" s="19"/>
      <c r="D957" s="19"/>
      <c r="E957" s="19"/>
      <c r="F957" s="68"/>
      <c r="G957" s="19"/>
      <c r="H957" s="19"/>
      <c r="I957" s="19"/>
      <c r="J957" s="19"/>
      <c r="K957" s="19"/>
      <c r="L957" s="68"/>
    </row>
    <row r="958" spans="2:12" x14ac:dyDescent="0.25">
      <c r="B958" s="19"/>
      <c r="C958" s="19"/>
      <c r="D958" s="19"/>
      <c r="E958" s="19"/>
      <c r="F958" s="68"/>
      <c r="G958" s="19"/>
      <c r="H958" s="19"/>
      <c r="I958" s="19"/>
      <c r="J958" s="19"/>
      <c r="K958" s="19"/>
      <c r="L958" s="68"/>
    </row>
    <row r="959" spans="2:12" x14ac:dyDescent="0.25">
      <c r="B959" s="19"/>
      <c r="C959" s="19"/>
      <c r="D959" s="19"/>
      <c r="E959" s="19"/>
      <c r="F959" s="68"/>
      <c r="G959" s="19"/>
      <c r="H959" s="19"/>
      <c r="I959" s="19"/>
      <c r="J959" s="19"/>
      <c r="K959" s="19"/>
      <c r="L959" s="68"/>
    </row>
    <row r="960" spans="2:12" x14ac:dyDescent="0.25">
      <c r="B960" s="19"/>
      <c r="C960" s="19"/>
      <c r="D960" s="19"/>
      <c r="E960" s="19"/>
      <c r="F960" s="68"/>
      <c r="G960" s="19"/>
      <c r="H960" s="19"/>
      <c r="I960" s="19"/>
      <c r="J960" s="19"/>
      <c r="K960" s="19"/>
      <c r="L960" s="68"/>
    </row>
    <row r="961" spans="2:12" x14ac:dyDescent="0.25">
      <c r="B961" s="19"/>
      <c r="C961" s="19"/>
      <c r="D961" s="19"/>
      <c r="E961" s="19"/>
      <c r="F961" s="68"/>
      <c r="G961" s="19"/>
      <c r="H961" s="19"/>
      <c r="I961" s="19"/>
      <c r="J961" s="19"/>
      <c r="K961" s="19"/>
      <c r="L961" s="68"/>
    </row>
    <row r="962" spans="2:12" x14ac:dyDescent="0.25">
      <c r="B962" s="19"/>
      <c r="C962" s="19"/>
      <c r="D962" s="19"/>
      <c r="E962" s="19"/>
      <c r="F962" s="68"/>
      <c r="G962" s="19"/>
      <c r="H962" s="19"/>
      <c r="I962" s="19"/>
      <c r="J962" s="19"/>
      <c r="K962" s="19"/>
      <c r="L962" s="68"/>
    </row>
    <row r="963" spans="2:12" x14ac:dyDescent="0.25">
      <c r="B963" s="19"/>
      <c r="C963" s="19"/>
      <c r="D963" s="19"/>
      <c r="E963" s="19"/>
      <c r="F963" s="68"/>
      <c r="G963" s="19"/>
      <c r="H963" s="19"/>
      <c r="I963" s="19"/>
      <c r="J963" s="19"/>
      <c r="K963" s="19"/>
      <c r="L963" s="68"/>
    </row>
    <row r="964" spans="2:12" x14ac:dyDescent="0.25">
      <c r="B964" s="19"/>
      <c r="C964" s="19"/>
      <c r="D964" s="19"/>
      <c r="E964" s="19"/>
      <c r="F964" s="68"/>
      <c r="G964" s="19"/>
      <c r="H964" s="19"/>
      <c r="I964" s="19"/>
      <c r="J964" s="19"/>
      <c r="K964" s="19"/>
      <c r="L964" s="68"/>
    </row>
    <row r="965" spans="2:12" x14ac:dyDescent="0.25">
      <c r="B965" s="19"/>
      <c r="C965" s="19"/>
      <c r="D965" s="19"/>
      <c r="E965" s="19"/>
      <c r="F965" s="68"/>
      <c r="G965" s="19"/>
      <c r="H965" s="19"/>
      <c r="I965" s="19"/>
      <c r="J965" s="19"/>
      <c r="K965" s="19"/>
      <c r="L965" s="68"/>
    </row>
    <row r="966" spans="2:12" x14ac:dyDescent="0.25">
      <c r="B966" s="19"/>
      <c r="C966" s="19"/>
      <c r="D966" s="19"/>
      <c r="E966" s="19"/>
      <c r="F966" s="68"/>
      <c r="G966" s="19"/>
      <c r="H966" s="19"/>
      <c r="I966" s="19"/>
      <c r="J966" s="19"/>
      <c r="K966" s="19"/>
      <c r="L966" s="68"/>
    </row>
    <row r="967" spans="2:12" x14ac:dyDescent="0.25">
      <c r="B967" s="19"/>
      <c r="C967" s="19"/>
      <c r="D967" s="19"/>
      <c r="E967" s="19"/>
      <c r="F967" s="68"/>
      <c r="G967" s="19"/>
      <c r="H967" s="19"/>
      <c r="I967" s="19"/>
      <c r="J967" s="19"/>
      <c r="K967" s="19"/>
      <c r="L967" s="68"/>
    </row>
    <row r="968" spans="2:12" x14ac:dyDescent="0.25">
      <c r="B968" s="19"/>
      <c r="C968" s="19"/>
      <c r="D968" s="19"/>
      <c r="E968" s="19"/>
      <c r="F968" s="68"/>
      <c r="G968" s="19"/>
      <c r="H968" s="19"/>
      <c r="I968" s="19"/>
      <c r="J968" s="19"/>
      <c r="K968" s="19"/>
      <c r="L968" s="68"/>
    </row>
    <row r="969" spans="2:12" x14ac:dyDescent="0.25">
      <c r="B969" s="19"/>
      <c r="C969" s="19"/>
      <c r="D969" s="19"/>
      <c r="E969" s="19"/>
      <c r="F969" s="68"/>
      <c r="G969" s="19"/>
      <c r="H969" s="19"/>
      <c r="I969" s="19"/>
      <c r="J969" s="19"/>
      <c r="K969" s="19"/>
      <c r="L969" s="68"/>
    </row>
    <row r="970" spans="2:12" x14ac:dyDescent="0.25">
      <c r="B970" s="19"/>
      <c r="C970" s="19"/>
      <c r="D970" s="19"/>
      <c r="E970" s="19"/>
      <c r="F970" s="68"/>
      <c r="G970" s="19"/>
      <c r="H970" s="19"/>
      <c r="I970" s="19"/>
      <c r="J970" s="19"/>
      <c r="K970" s="19"/>
      <c r="L970" s="68"/>
    </row>
    <row r="971" spans="2:12" x14ac:dyDescent="0.25">
      <c r="B971" s="19"/>
      <c r="C971" s="19"/>
      <c r="D971" s="19"/>
      <c r="E971" s="19"/>
      <c r="F971" s="68"/>
      <c r="G971" s="19"/>
      <c r="H971" s="19"/>
      <c r="I971" s="19"/>
      <c r="J971" s="19"/>
      <c r="K971" s="19"/>
      <c r="L971" s="68"/>
    </row>
    <row r="972" spans="2:12" x14ac:dyDescent="0.25">
      <c r="B972" s="19"/>
      <c r="C972" s="19"/>
      <c r="D972" s="19"/>
      <c r="E972" s="19"/>
      <c r="F972" s="68"/>
      <c r="G972" s="19"/>
      <c r="H972" s="19"/>
      <c r="I972" s="19"/>
      <c r="J972" s="19"/>
      <c r="K972" s="19"/>
      <c r="L972" s="68"/>
    </row>
    <row r="973" spans="2:12" x14ac:dyDescent="0.25">
      <c r="B973" s="19"/>
      <c r="C973" s="19"/>
      <c r="D973" s="19"/>
      <c r="E973" s="19"/>
      <c r="F973" s="68"/>
      <c r="G973" s="19"/>
      <c r="H973" s="19"/>
      <c r="I973" s="19"/>
      <c r="J973" s="19"/>
      <c r="K973" s="19"/>
      <c r="L973" s="68"/>
    </row>
    <row r="974" spans="2:12" x14ac:dyDescent="0.25">
      <c r="B974" s="19"/>
      <c r="C974" s="19"/>
      <c r="D974" s="19"/>
      <c r="E974" s="19"/>
      <c r="F974" s="68"/>
      <c r="G974" s="19"/>
      <c r="H974" s="19"/>
      <c r="I974" s="19"/>
      <c r="J974" s="19"/>
      <c r="K974" s="19"/>
      <c r="L974" s="68"/>
    </row>
    <row r="975" spans="2:12" x14ac:dyDescent="0.25">
      <c r="B975" s="19"/>
      <c r="C975" s="19"/>
      <c r="D975" s="19"/>
      <c r="E975" s="19"/>
      <c r="F975" s="68"/>
      <c r="G975" s="19"/>
      <c r="H975" s="19"/>
      <c r="I975" s="19"/>
      <c r="J975" s="19"/>
      <c r="K975" s="19"/>
      <c r="L975" s="68"/>
    </row>
    <row r="976" spans="2:12" x14ac:dyDescent="0.25">
      <c r="B976" s="19"/>
      <c r="C976" s="19"/>
      <c r="D976" s="19"/>
      <c r="E976" s="19"/>
      <c r="F976" s="68"/>
      <c r="G976" s="19"/>
      <c r="H976" s="19"/>
      <c r="I976" s="19"/>
      <c r="J976" s="19"/>
      <c r="K976" s="19"/>
      <c r="L976" s="68"/>
    </row>
    <row r="977" spans="2:12" x14ac:dyDescent="0.25">
      <c r="B977" s="19"/>
      <c r="C977" s="19"/>
      <c r="D977" s="19"/>
      <c r="E977" s="19"/>
      <c r="F977" s="68"/>
      <c r="G977" s="19"/>
      <c r="H977" s="19"/>
      <c r="I977" s="19"/>
      <c r="J977" s="19"/>
      <c r="K977" s="19"/>
      <c r="L977" s="68"/>
    </row>
    <row r="978" spans="2:12" x14ac:dyDescent="0.25">
      <c r="B978" s="19"/>
      <c r="C978" s="19"/>
      <c r="D978" s="19"/>
      <c r="E978" s="19"/>
      <c r="F978" s="68"/>
      <c r="G978" s="19"/>
      <c r="H978" s="19"/>
      <c r="I978" s="19"/>
      <c r="J978" s="19"/>
      <c r="K978" s="19"/>
      <c r="L978" s="68"/>
    </row>
    <row r="979" spans="2:12" x14ac:dyDescent="0.25">
      <c r="B979" s="19"/>
      <c r="C979" s="19"/>
      <c r="D979" s="19"/>
      <c r="E979" s="19"/>
      <c r="F979" s="68"/>
      <c r="G979" s="19"/>
      <c r="H979" s="19"/>
      <c r="I979" s="19"/>
      <c r="J979" s="19"/>
      <c r="K979" s="19"/>
      <c r="L979" s="68"/>
    </row>
    <row r="980" spans="2:12" x14ac:dyDescent="0.25">
      <c r="B980" s="19"/>
      <c r="C980" s="19"/>
      <c r="D980" s="19"/>
      <c r="E980" s="19"/>
      <c r="F980" s="68"/>
      <c r="G980" s="19"/>
      <c r="H980" s="19"/>
      <c r="I980" s="19"/>
      <c r="J980" s="19"/>
      <c r="K980" s="19"/>
      <c r="L980" s="68"/>
    </row>
    <row r="981" spans="2:12" x14ac:dyDescent="0.25">
      <c r="B981" s="19"/>
      <c r="C981" s="19"/>
      <c r="D981" s="19"/>
      <c r="E981" s="19"/>
      <c r="F981" s="68"/>
      <c r="G981" s="19"/>
      <c r="H981" s="19"/>
      <c r="I981" s="19"/>
      <c r="J981" s="19"/>
      <c r="K981" s="19"/>
      <c r="L981" s="68"/>
    </row>
    <row r="982" spans="2:12" x14ac:dyDescent="0.25">
      <c r="B982" s="19"/>
      <c r="C982" s="19"/>
      <c r="D982" s="19"/>
      <c r="E982" s="19"/>
      <c r="F982" s="68"/>
      <c r="G982" s="19"/>
      <c r="H982" s="19"/>
      <c r="I982" s="19"/>
      <c r="J982" s="19"/>
      <c r="K982" s="19"/>
      <c r="L982" s="68"/>
    </row>
    <row r="983" spans="2:12" x14ac:dyDescent="0.25">
      <c r="B983" s="19"/>
      <c r="C983" s="19"/>
      <c r="D983" s="19"/>
      <c r="E983" s="19"/>
      <c r="F983" s="68"/>
      <c r="G983" s="19"/>
      <c r="H983" s="19"/>
      <c r="I983" s="19"/>
      <c r="J983" s="19"/>
      <c r="K983" s="19"/>
      <c r="L983" s="68"/>
    </row>
    <row r="984" spans="2:12" x14ac:dyDescent="0.25">
      <c r="B984" s="19"/>
      <c r="C984" s="19"/>
      <c r="D984" s="19"/>
      <c r="E984" s="19"/>
      <c r="F984" s="68"/>
      <c r="G984" s="19"/>
      <c r="H984" s="19"/>
      <c r="I984" s="19"/>
      <c r="J984" s="19"/>
      <c r="K984" s="19"/>
      <c r="L984" s="68"/>
    </row>
    <row r="985" spans="2:12" x14ac:dyDescent="0.25">
      <c r="B985" s="19"/>
      <c r="C985" s="19"/>
      <c r="D985" s="19"/>
      <c r="E985" s="19"/>
      <c r="F985" s="68"/>
      <c r="G985" s="19"/>
      <c r="H985" s="19"/>
      <c r="I985" s="19"/>
      <c r="J985" s="19"/>
      <c r="K985" s="19"/>
      <c r="L985" s="68"/>
    </row>
    <row r="986" spans="2:12" x14ac:dyDescent="0.25">
      <c r="B986" s="19"/>
      <c r="C986" s="19"/>
      <c r="D986" s="19"/>
      <c r="E986" s="19"/>
      <c r="F986" s="68"/>
      <c r="G986" s="19"/>
      <c r="H986" s="19"/>
      <c r="I986" s="19"/>
      <c r="J986" s="19"/>
      <c r="K986" s="19"/>
      <c r="L986" s="68"/>
    </row>
    <row r="987" spans="2:12" x14ac:dyDescent="0.25">
      <c r="B987" s="19"/>
      <c r="C987" s="19"/>
      <c r="D987" s="19"/>
      <c r="E987" s="19"/>
      <c r="F987" s="68"/>
      <c r="G987" s="19"/>
      <c r="H987" s="19"/>
      <c r="I987" s="19"/>
      <c r="J987" s="19"/>
      <c r="K987" s="19"/>
      <c r="L987" s="68"/>
    </row>
    <row r="988" spans="2:12" x14ac:dyDescent="0.25">
      <c r="B988" s="19"/>
      <c r="C988" s="19"/>
      <c r="D988" s="19"/>
      <c r="E988" s="19"/>
      <c r="F988" s="68"/>
      <c r="G988" s="19"/>
      <c r="H988" s="19"/>
      <c r="I988" s="19"/>
      <c r="J988" s="19"/>
      <c r="K988" s="19"/>
      <c r="L988" s="68"/>
    </row>
    <row r="989" spans="2:12" x14ac:dyDescent="0.25">
      <c r="B989" s="19"/>
      <c r="C989" s="19"/>
      <c r="D989" s="19"/>
      <c r="E989" s="19"/>
      <c r="F989" s="68"/>
      <c r="G989" s="19"/>
      <c r="H989" s="19"/>
      <c r="I989" s="19"/>
      <c r="J989" s="19"/>
      <c r="K989" s="19"/>
      <c r="L989" s="68"/>
    </row>
    <row r="990" spans="2:12" x14ac:dyDescent="0.25">
      <c r="B990" s="19"/>
      <c r="C990" s="19"/>
      <c r="D990" s="19"/>
      <c r="E990" s="19"/>
      <c r="F990" s="68"/>
      <c r="G990" s="19"/>
      <c r="H990" s="19"/>
      <c r="I990" s="19"/>
      <c r="J990" s="19"/>
      <c r="K990" s="19"/>
      <c r="L990" s="68"/>
    </row>
    <row r="991" spans="2:12" x14ac:dyDescent="0.25">
      <c r="B991" s="19"/>
      <c r="C991" s="19"/>
      <c r="D991" s="19"/>
      <c r="E991" s="19"/>
      <c r="F991" s="68"/>
      <c r="G991" s="19"/>
      <c r="H991" s="19"/>
      <c r="I991" s="19"/>
      <c r="J991" s="19"/>
      <c r="K991" s="19"/>
      <c r="L991" s="68"/>
    </row>
    <row r="992" spans="2:12" x14ac:dyDescent="0.25">
      <c r="B992" s="19"/>
      <c r="C992" s="19"/>
      <c r="D992" s="19"/>
      <c r="E992" s="19"/>
      <c r="F992" s="68"/>
      <c r="G992" s="19"/>
      <c r="H992" s="19"/>
      <c r="I992" s="19"/>
      <c r="J992" s="19"/>
      <c r="K992" s="19"/>
      <c r="L992" s="68"/>
    </row>
    <row r="993" spans="2:12" x14ac:dyDescent="0.25">
      <c r="B993" s="19"/>
      <c r="C993" s="19"/>
      <c r="D993" s="19"/>
      <c r="E993" s="19"/>
      <c r="F993" s="68"/>
      <c r="G993" s="19"/>
      <c r="H993" s="19"/>
      <c r="I993" s="19"/>
      <c r="J993" s="19"/>
      <c r="K993" s="19"/>
      <c r="L993" s="68"/>
    </row>
    <row r="994" spans="2:12" x14ac:dyDescent="0.25">
      <c r="B994" s="19"/>
      <c r="C994" s="19"/>
      <c r="D994" s="19"/>
      <c r="E994" s="19"/>
      <c r="F994" s="68"/>
      <c r="G994" s="19"/>
      <c r="H994" s="19"/>
      <c r="I994" s="19"/>
      <c r="J994" s="19"/>
      <c r="K994" s="19"/>
      <c r="L994" s="68"/>
    </row>
    <row r="995" spans="2:12" x14ac:dyDescent="0.25">
      <c r="B995" s="19"/>
      <c r="C995" s="19"/>
      <c r="D995" s="19"/>
      <c r="E995" s="19"/>
      <c r="F995" s="68"/>
      <c r="G995" s="19"/>
      <c r="H995" s="19"/>
      <c r="I995" s="19"/>
      <c r="J995" s="19"/>
      <c r="K995" s="19"/>
      <c r="L995" s="68"/>
    </row>
    <row r="996" spans="2:12" x14ac:dyDescent="0.25">
      <c r="B996" s="19"/>
      <c r="C996" s="19"/>
      <c r="D996" s="19"/>
      <c r="E996" s="19"/>
      <c r="F996" s="68"/>
      <c r="G996" s="19"/>
      <c r="H996" s="19"/>
      <c r="I996" s="19"/>
      <c r="J996" s="19"/>
      <c r="K996" s="19"/>
      <c r="L996" s="68"/>
    </row>
    <row r="997" spans="2:12" x14ac:dyDescent="0.25">
      <c r="B997" s="19"/>
      <c r="C997" s="19"/>
      <c r="D997" s="19"/>
      <c r="E997" s="19"/>
      <c r="F997" s="68"/>
      <c r="G997" s="19"/>
      <c r="H997" s="19"/>
      <c r="I997" s="19"/>
      <c r="J997" s="19"/>
      <c r="K997" s="19"/>
      <c r="L997" s="68"/>
    </row>
    <row r="998" spans="2:12" x14ac:dyDescent="0.25">
      <c r="B998" s="19"/>
      <c r="C998" s="19"/>
      <c r="D998" s="19"/>
      <c r="E998" s="19"/>
      <c r="F998" s="68"/>
      <c r="G998" s="19"/>
      <c r="H998" s="19"/>
      <c r="I998" s="19"/>
      <c r="J998" s="19"/>
      <c r="K998" s="19"/>
      <c r="L998" s="68"/>
    </row>
    <row r="999" spans="2:12" x14ac:dyDescent="0.25">
      <c r="B999" s="19"/>
      <c r="C999" s="19"/>
      <c r="D999" s="19"/>
      <c r="E999" s="19"/>
      <c r="F999" s="68"/>
      <c r="G999" s="19"/>
      <c r="H999" s="19"/>
      <c r="I999" s="19"/>
      <c r="J999" s="19"/>
      <c r="K999" s="19"/>
      <c r="L999" s="68"/>
    </row>
    <row r="1000" spans="2:12" x14ac:dyDescent="0.25">
      <c r="B1000" s="19"/>
      <c r="C1000" s="19"/>
      <c r="D1000" s="19"/>
      <c r="E1000" s="19"/>
      <c r="F1000" s="68"/>
      <c r="G1000" s="19"/>
      <c r="H1000" s="19"/>
      <c r="I1000" s="19"/>
      <c r="J1000" s="19"/>
      <c r="K1000" s="19"/>
      <c r="L1000" s="68"/>
    </row>
    <row r="1001" spans="2:12" x14ac:dyDescent="0.25">
      <c r="B1001" s="19"/>
      <c r="C1001" s="19"/>
      <c r="D1001" s="19"/>
      <c r="E1001" s="19"/>
      <c r="F1001" s="68"/>
      <c r="G1001" s="19"/>
      <c r="H1001" s="19"/>
      <c r="I1001" s="19"/>
      <c r="J1001" s="19"/>
      <c r="K1001" s="19"/>
      <c r="L1001" s="68"/>
    </row>
    <row r="1002" spans="2:12" x14ac:dyDescent="0.25">
      <c r="B1002" s="19"/>
      <c r="C1002" s="19"/>
      <c r="D1002" s="19"/>
      <c r="E1002" s="19"/>
      <c r="F1002" s="68"/>
      <c r="G1002" s="19"/>
      <c r="H1002" s="19"/>
      <c r="I1002" s="19"/>
      <c r="J1002" s="19"/>
      <c r="K1002" s="19"/>
      <c r="L1002" s="68"/>
    </row>
    <row r="1003" spans="2:12" x14ac:dyDescent="0.25">
      <c r="B1003" s="19"/>
      <c r="C1003" s="19"/>
      <c r="D1003" s="19"/>
      <c r="E1003" s="19"/>
      <c r="F1003" s="68"/>
      <c r="G1003" s="19"/>
      <c r="H1003" s="19"/>
      <c r="I1003" s="19"/>
      <c r="J1003" s="19"/>
      <c r="K1003" s="19"/>
      <c r="L1003" s="68"/>
    </row>
    <row r="1004" spans="2:12" x14ac:dyDescent="0.25">
      <c r="B1004" s="19"/>
      <c r="C1004" s="19"/>
      <c r="D1004" s="19"/>
      <c r="E1004" s="19"/>
      <c r="F1004" s="68"/>
      <c r="G1004" s="19"/>
      <c r="H1004" s="19"/>
      <c r="I1004" s="19"/>
      <c r="J1004" s="19"/>
      <c r="K1004" s="19"/>
      <c r="L1004" s="68"/>
    </row>
    <row r="1005" spans="2:12" x14ac:dyDescent="0.25">
      <c r="B1005" s="19"/>
      <c r="C1005" s="19"/>
      <c r="D1005" s="19"/>
      <c r="E1005" s="19"/>
      <c r="F1005" s="68"/>
      <c r="G1005" s="19"/>
      <c r="H1005" s="19"/>
      <c r="I1005" s="19"/>
      <c r="J1005" s="19"/>
      <c r="K1005" s="19"/>
      <c r="L1005" s="68"/>
    </row>
    <row r="1006" spans="2:12" x14ac:dyDescent="0.25">
      <c r="B1006" s="19"/>
      <c r="C1006" s="19"/>
      <c r="D1006" s="19"/>
      <c r="E1006" s="19"/>
      <c r="F1006" s="68"/>
      <c r="G1006" s="19"/>
      <c r="H1006" s="19"/>
      <c r="I1006" s="19"/>
      <c r="J1006" s="19"/>
      <c r="K1006" s="19"/>
      <c r="L1006" s="68"/>
    </row>
    <row r="1007" spans="2:12" x14ac:dyDescent="0.25">
      <c r="B1007" s="19"/>
      <c r="C1007" s="19"/>
      <c r="D1007" s="19"/>
      <c r="E1007" s="19"/>
      <c r="F1007" s="68"/>
      <c r="G1007" s="19"/>
      <c r="H1007" s="19"/>
      <c r="I1007" s="19"/>
      <c r="J1007" s="19"/>
      <c r="K1007" s="19"/>
      <c r="L1007" s="68"/>
    </row>
    <row r="1008" spans="2:12" x14ac:dyDescent="0.25">
      <c r="B1008" s="19"/>
      <c r="C1008" s="19"/>
      <c r="D1008" s="19"/>
      <c r="E1008" s="19"/>
      <c r="F1008" s="68"/>
      <c r="G1008" s="19"/>
      <c r="H1008" s="19"/>
      <c r="I1008" s="19"/>
      <c r="J1008" s="19"/>
      <c r="K1008" s="19"/>
      <c r="L1008" s="68"/>
    </row>
    <row r="1009" spans="2:12" x14ac:dyDescent="0.25">
      <c r="B1009" s="19"/>
      <c r="C1009" s="19"/>
      <c r="D1009" s="19"/>
      <c r="E1009" s="19"/>
      <c r="F1009" s="68"/>
      <c r="G1009" s="19"/>
      <c r="H1009" s="19"/>
      <c r="I1009" s="19"/>
      <c r="J1009" s="19"/>
      <c r="K1009" s="19"/>
      <c r="L1009" s="68"/>
    </row>
    <row r="1010" spans="2:12" x14ac:dyDescent="0.25">
      <c r="B1010" s="19"/>
      <c r="C1010" s="19"/>
      <c r="D1010" s="19"/>
      <c r="E1010" s="19"/>
      <c r="F1010" s="68"/>
      <c r="G1010" s="19"/>
      <c r="H1010" s="19"/>
      <c r="I1010" s="19"/>
      <c r="J1010" s="19"/>
      <c r="K1010" s="19"/>
      <c r="L1010" s="68"/>
    </row>
    <row r="1011" spans="2:12" x14ac:dyDescent="0.25">
      <c r="B1011" s="19"/>
      <c r="C1011" s="19"/>
      <c r="D1011" s="19"/>
      <c r="E1011" s="19"/>
      <c r="F1011" s="68"/>
      <c r="G1011" s="19"/>
      <c r="H1011" s="19"/>
      <c r="I1011" s="19"/>
      <c r="J1011" s="19"/>
      <c r="K1011" s="19"/>
      <c r="L1011" s="68"/>
    </row>
    <row r="1012" spans="2:12" x14ac:dyDescent="0.25">
      <c r="B1012" s="19"/>
      <c r="C1012" s="19"/>
      <c r="D1012" s="19"/>
      <c r="E1012" s="19"/>
      <c r="F1012" s="68"/>
      <c r="G1012" s="19"/>
      <c r="H1012" s="19"/>
      <c r="I1012" s="19"/>
      <c r="J1012" s="19"/>
      <c r="K1012" s="19"/>
      <c r="L1012" s="68"/>
    </row>
    <row r="1013" spans="2:12" x14ac:dyDescent="0.25">
      <c r="B1013" s="19"/>
      <c r="C1013" s="19"/>
      <c r="D1013" s="19"/>
      <c r="E1013" s="19"/>
      <c r="F1013" s="68"/>
      <c r="G1013" s="19"/>
      <c r="H1013" s="19"/>
      <c r="I1013" s="19"/>
      <c r="J1013" s="19"/>
      <c r="K1013" s="19"/>
      <c r="L1013" s="68"/>
    </row>
    <row r="1014" spans="2:12" x14ac:dyDescent="0.25">
      <c r="B1014" s="19"/>
      <c r="C1014" s="19"/>
      <c r="D1014" s="19"/>
      <c r="E1014" s="19"/>
      <c r="F1014" s="68"/>
      <c r="G1014" s="19"/>
      <c r="H1014" s="19"/>
      <c r="I1014" s="19"/>
      <c r="J1014" s="19"/>
      <c r="K1014" s="19"/>
      <c r="L1014" s="68"/>
    </row>
    <row r="1015" spans="2:12" x14ac:dyDescent="0.25">
      <c r="B1015" s="19"/>
      <c r="C1015" s="19"/>
      <c r="D1015" s="19"/>
      <c r="E1015" s="19"/>
      <c r="F1015" s="68"/>
      <c r="G1015" s="19"/>
      <c r="H1015" s="19"/>
      <c r="I1015" s="19"/>
      <c r="J1015" s="19"/>
      <c r="K1015" s="19"/>
      <c r="L1015" s="68"/>
    </row>
    <row r="1016" spans="2:12" x14ac:dyDescent="0.25">
      <c r="B1016" s="19"/>
      <c r="C1016" s="19"/>
      <c r="D1016" s="19"/>
      <c r="E1016" s="19"/>
      <c r="F1016" s="68"/>
      <c r="G1016" s="19"/>
      <c r="H1016" s="19"/>
      <c r="I1016" s="19"/>
      <c r="J1016" s="19"/>
      <c r="K1016" s="19"/>
      <c r="L1016" s="68"/>
    </row>
    <row r="1017" spans="2:12" x14ac:dyDescent="0.25">
      <c r="B1017" s="19"/>
      <c r="C1017" s="19"/>
      <c r="D1017" s="19"/>
      <c r="E1017" s="19"/>
      <c r="F1017" s="68"/>
      <c r="G1017" s="19"/>
      <c r="H1017" s="19"/>
      <c r="I1017" s="19"/>
      <c r="J1017" s="19"/>
      <c r="K1017" s="19"/>
      <c r="L1017" s="68"/>
    </row>
    <row r="1018" spans="2:12" x14ac:dyDescent="0.25">
      <c r="B1018" s="19"/>
      <c r="C1018" s="19"/>
      <c r="D1018" s="19"/>
      <c r="E1018" s="19"/>
      <c r="F1018" s="68"/>
      <c r="G1018" s="19"/>
      <c r="H1018" s="19"/>
      <c r="I1018" s="19"/>
      <c r="J1018" s="19"/>
      <c r="K1018" s="19"/>
      <c r="L1018" s="68"/>
    </row>
    <row r="1019" spans="2:12" x14ac:dyDescent="0.25">
      <c r="B1019" s="19"/>
      <c r="C1019" s="19"/>
      <c r="D1019" s="19"/>
      <c r="E1019" s="19"/>
      <c r="F1019" s="68"/>
      <c r="G1019" s="19"/>
      <c r="H1019" s="19"/>
      <c r="I1019" s="19"/>
      <c r="J1019" s="19"/>
      <c r="K1019" s="19"/>
      <c r="L1019" s="68"/>
    </row>
    <row r="1020" spans="2:12" x14ac:dyDescent="0.25">
      <c r="B1020" s="19"/>
      <c r="C1020" s="19"/>
      <c r="D1020" s="19"/>
      <c r="E1020" s="19"/>
      <c r="F1020" s="68"/>
      <c r="G1020" s="19"/>
      <c r="H1020" s="19"/>
      <c r="I1020" s="19"/>
      <c r="J1020" s="19"/>
      <c r="K1020" s="19"/>
      <c r="L1020" s="68"/>
    </row>
    <row r="1021" spans="2:12" x14ac:dyDescent="0.25">
      <c r="B1021" s="19"/>
      <c r="C1021" s="19"/>
      <c r="D1021" s="19"/>
      <c r="E1021" s="19"/>
      <c r="F1021" s="68"/>
      <c r="G1021" s="19"/>
      <c r="H1021" s="19"/>
      <c r="I1021" s="19"/>
      <c r="J1021" s="19"/>
      <c r="K1021" s="19"/>
      <c r="L1021" s="68"/>
    </row>
    <row r="1022" spans="2:12" x14ac:dyDescent="0.25">
      <c r="B1022" s="19"/>
      <c r="C1022" s="19"/>
      <c r="D1022" s="19"/>
      <c r="E1022" s="19"/>
      <c r="F1022" s="68"/>
      <c r="G1022" s="19"/>
      <c r="H1022" s="19"/>
      <c r="I1022" s="19"/>
      <c r="J1022" s="19"/>
      <c r="K1022" s="19"/>
      <c r="L1022" s="68"/>
    </row>
    <row r="1023" spans="2:12" x14ac:dyDescent="0.25">
      <c r="B1023" s="19"/>
      <c r="C1023" s="19"/>
      <c r="D1023" s="19"/>
      <c r="E1023" s="19"/>
      <c r="F1023" s="68"/>
      <c r="G1023" s="19"/>
      <c r="H1023" s="19"/>
      <c r="I1023" s="19"/>
      <c r="J1023" s="19"/>
      <c r="K1023" s="19"/>
      <c r="L1023" s="68"/>
    </row>
    <row r="1024" spans="2:12" x14ac:dyDescent="0.25">
      <c r="B1024" s="19"/>
      <c r="C1024" s="19"/>
      <c r="D1024" s="19"/>
      <c r="E1024" s="19"/>
      <c r="F1024" s="68"/>
      <c r="G1024" s="19"/>
      <c r="H1024" s="19"/>
      <c r="I1024" s="19"/>
      <c r="J1024" s="19"/>
      <c r="K1024" s="19"/>
      <c r="L1024" s="68"/>
    </row>
    <row r="1025" spans="2:12" x14ac:dyDescent="0.25">
      <c r="B1025" s="19"/>
      <c r="C1025" s="19"/>
      <c r="D1025" s="19"/>
      <c r="E1025" s="19"/>
      <c r="F1025" s="68"/>
      <c r="G1025" s="19"/>
      <c r="H1025" s="19"/>
      <c r="I1025" s="19"/>
      <c r="J1025" s="19"/>
      <c r="K1025" s="19"/>
      <c r="L1025" s="68"/>
    </row>
    <row r="1026" spans="2:12" x14ac:dyDescent="0.25">
      <c r="B1026" s="19"/>
      <c r="C1026" s="19"/>
      <c r="D1026" s="19"/>
      <c r="E1026" s="19"/>
      <c r="F1026" s="68"/>
      <c r="G1026" s="19"/>
      <c r="H1026" s="19"/>
      <c r="I1026" s="19"/>
      <c r="J1026" s="19"/>
      <c r="K1026" s="19"/>
      <c r="L1026" s="68"/>
    </row>
    <row r="1027" spans="2:12" x14ac:dyDescent="0.25">
      <c r="B1027" s="19"/>
      <c r="C1027" s="19"/>
      <c r="D1027" s="19"/>
      <c r="E1027" s="19"/>
      <c r="F1027" s="68"/>
      <c r="G1027" s="19"/>
      <c r="H1027" s="19"/>
      <c r="I1027" s="19"/>
      <c r="J1027" s="19"/>
      <c r="K1027" s="19"/>
      <c r="L1027" s="68"/>
    </row>
    <row r="1028" spans="2:12" x14ac:dyDescent="0.25">
      <c r="B1028" s="19"/>
      <c r="C1028" s="19"/>
      <c r="D1028" s="19"/>
      <c r="E1028" s="19"/>
      <c r="F1028" s="68"/>
      <c r="G1028" s="19"/>
      <c r="H1028" s="19"/>
      <c r="I1028" s="19"/>
      <c r="J1028" s="19"/>
      <c r="K1028" s="19"/>
      <c r="L1028" s="68"/>
    </row>
    <row r="1029" spans="2:12" x14ac:dyDescent="0.25">
      <c r="B1029" s="19"/>
      <c r="C1029" s="19"/>
      <c r="D1029" s="19"/>
      <c r="E1029" s="19"/>
      <c r="F1029" s="68"/>
      <c r="G1029" s="19"/>
      <c r="H1029" s="19"/>
      <c r="I1029" s="19"/>
      <c r="J1029" s="19"/>
      <c r="K1029" s="19"/>
      <c r="L1029" s="68"/>
    </row>
    <row r="1030" spans="2:12" x14ac:dyDescent="0.25">
      <c r="B1030" s="19"/>
      <c r="C1030" s="19"/>
      <c r="D1030" s="19"/>
      <c r="E1030" s="19"/>
      <c r="F1030" s="68"/>
      <c r="G1030" s="19"/>
      <c r="H1030" s="19"/>
      <c r="I1030" s="19"/>
      <c r="J1030" s="19"/>
      <c r="K1030" s="19"/>
      <c r="L1030" s="68"/>
    </row>
    <row r="1031" spans="2:12" x14ac:dyDescent="0.25">
      <c r="B1031" s="19"/>
      <c r="C1031" s="19"/>
      <c r="D1031" s="19"/>
      <c r="E1031" s="19"/>
      <c r="F1031" s="68"/>
      <c r="G1031" s="19"/>
      <c r="H1031" s="19"/>
      <c r="I1031" s="19"/>
      <c r="J1031" s="19"/>
      <c r="K1031" s="19"/>
      <c r="L1031" s="68"/>
    </row>
    <row r="1032" spans="2:12" x14ac:dyDescent="0.25">
      <c r="B1032" s="19"/>
      <c r="C1032" s="19"/>
      <c r="D1032" s="19"/>
      <c r="E1032" s="19"/>
      <c r="F1032" s="68"/>
      <c r="G1032" s="19"/>
      <c r="H1032" s="19"/>
      <c r="I1032" s="19"/>
      <c r="J1032" s="19"/>
      <c r="K1032" s="19"/>
      <c r="L1032" s="68"/>
    </row>
    <row r="1033" spans="2:12" x14ac:dyDescent="0.25">
      <c r="B1033" s="19"/>
      <c r="C1033" s="19"/>
      <c r="D1033" s="19"/>
      <c r="E1033" s="19"/>
      <c r="F1033" s="68"/>
      <c r="G1033" s="19"/>
      <c r="H1033" s="19"/>
      <c r="I1033" s="19"/>
      <c r="J1033" s="19"/>
      <c r="K1033" s="19"/>
      <c r="L1033" s="68"/>
    </row>
    <row r="1034" spans="2:12" x14ac:dyDescent="0.25">
      <c r="B1034" s="19"/>
      <c r="C1034" s="19"/>
      <c r="D1034" s="19"/>
      <c r="E1034" s="19"/>
      <c r="F1034" s="68"/>
      <c r="G1034" s="19"/>
      <c r="H1034" s="19"/>
      <c r="I1034" s="19"/>
      <c r="J1034" s="19"/>
      <c r="K1034" s="19"/>
      <c r="L1034" s="68"/>
    </row>
    <row r="1035" spans="2:12" x14ac:dyDescent="0.25">
      <c r="B1035" s="19"/>
      <c r="C1035" s="19"/>
      <c r="D1035" s="19"/>
      <c r="E1035" s="19"/>
      <c r="F1035" s="68"/>
      <c r="G1035" s="19"/>
      <c r="H1035" s="19"/>
      <c r="I1035" s="19"/>
      <c r="J1035" s="19"/>
      <c r="K1035" s="19"/>
      <c r="L1035" s="68"/>
    </row>
    <row r="1036" spans="2:12" x14ac:dyDescent="0.25">
      <c r="B1036" s="19"/>
      <c r="C1036" s="19"/>
      <c r="D1036" s="19"/>
      <c r="E1036" s="19"/>
      <c r="F1036" s="68"/>
      <c r="G1036" s="19"/>
      <c r="H1036" s="19"/>
      <c r="I1036" s="19"/>
      <c r="J1036" s="19"/>
      <c r="K1036" s="19"/>
      <c r="L1036" s="68"/>
    </row>
    <row r="1037" spans="2:12" x14ac:dyDescent="0.25">
      <c r="B1037" s="19"/>
      <c r="C1037" s="19"/>
      <c r="D1037" s="19"/>
      <c r="E1037" s="19"/>
      <c r="F1037" s="68"/>
      <c r="G1037" s="19"/>
      <c r="H1037" s="19"/>
      <c r="I1037" s="19"/>
      <c r="J1037" s="19"/>
      <c r="K1037" s="19"/>
      <c r="L1037" s="68"/>
    </row>
    <row r="1038" spans="2:12" x14ac:dyDescent="0.25">
      <c r="B1038" s="19"/>
      <c r="C1038" s="19"/>
      <c r="D1038" s="19"/>
      <c r="E1038" s="19"/>
      <c r="F1038" s="68"/>
      <c r="G1038" s="19"/>
      <c r="H1038" s="19"/>
      <c r="I1038" s="19"/>
      <c r="J1038" s="19"/>
      <c r="K1038" s="19"/>
      <c r="L1038" s="68"/>
    </row>
    <row r="1039" spans="2:12" x14ac:dyDescent="0.25">
      <c r="B1039" s="19"/>
      <c r="C1039" s="19"/>
      <c r="D1039" s="19"/>
      <c r="E1039" s="19"/>
      <c r="F1039" s="68"/>
      <c r="G1039" s="19"/>
      <c r="H1039" s="19"/>
      <c r="I1039" s="19"/>
      <c r="J1039" s="19"/>
      <c r="K1039" s="19"/>
      <c r="L1039" s="68"/>
    </row>
    <row r="1040" spans="2:12" x14ac:dyDescent="0.25">
      <c r="B1040" s="19"/>
      <c r="C1040" s="19"/>
      <c r="D1040" s="19"/>
      <c r="E1040" s="19"/>
      <c r="F1040" s="68"/>
      <c r="G1040" s="19"/>
      <c r="H1040" s="19"/>
      <c r="I1040" s="19"/>
      <c r="J1040" s="19"/>
      <c r="K1040" s="19"/>
      <c r="L1040" s="68"/>
    </row>
    <row r="1041" spans="2:12" x14ac:dyDescent="0.25">
      <c r="B1041" s="19"/>
      <c r="C1041" s="19"/>
      <c r="D1041" s="19"/>
      <c r="E1041" s="19"/>
      <c r="F1041" s="68"/>
      <c r="G1041" s="19"/>
      <c r="H1041" s="19"/>
      <c r="I1041" s="19"/>
      <c r="J1041" s="19"/>
      <c r="K1041" s="19"/>
      <c r="L1041" s="68"/>
    </row>
    <row r="1042" spans="2:12" x14ac:dyDescent="0.25">
      <c r="B1042" s="19"/>
      <c r="C1042" s="19"/>
      <c r="D1042" s="19"/>
      <c r="E1042" s="19"/>
      <c r="F1042" s="68"/>
      <c r="G1042" s="19"/>
      <c r="H1042" s="19"/>
      <c r="I1042" s="19"/>
      <c r="J1042" s="19"/>
      <c r="K1042" s="19"/>
      <c r="L1042" s="68"/>
    </row>
    <row r="1043" spans="2:12" x14ac:dyDescent="0.25">
      <c r="B1043" s="19"/>
      <c r="C1043" s="19"/>
      <c r="D1043" s="19"/>
      <c r="E1043" s="19"/>
      <c r="F1043" s="68"/>
      <c r="G1043" s="19"/>
      <c r="H1043" s="19"/>
      <c r="I1043" s="19"/>
      <c r="J1043" s="19"/>
      <c r="K1043" s="19"/>
      <c r="L1043" s="68"/>
    </row>
    <row r="1044" spans="2:12" x14ac:dyDescent="0.25">
      <c r="B1044" s="19"/>
      <c r="C1044" s="19"/>
      <c r="D1044" s="19"/>
      <c r="E1044" s="19"/>
      <c r="F1044" s="68"/>
      <c r="G1044" s="19"/>
      <c r="H1044" s="19"/>
      <c r="I1044" s="19"/>
      <c r="J1044" s="19"/>
      <c r="K1044" s="19"/>
      <c r="L1044" s="68"/>
    </row>
    <row r="1045" spans="2:12" x14ac:dyDescent="0.25">
      <c r="B1045" s="19"/>
      <c r="C1045" s="19"/>
      <c r="D1045" s="19"/>
      <c r="E1045" s="19"/>
      <c r="F1045" s="68"/>
      <c r="G1045" s="19"/>
      <c r="H1045" s="19"/>
      <c r="I1045" s="19"/>
      <c r="J1045" s="19"/>
      <c r="K1045" s="19"/>
      <c r="L1045" s="68"/>
    </row>
    <row r="1046" spans="2:12" x14ac:dyDescent="0.25">
      <c r="B1046" s="19"/>
      <c r="C1046" s="19"/>
      <c r="D1046" s="19"/>
      <c r="E1046" s="19"/>
      <c r="F1046" s="68"/>
      <c r="G1046" s="19"/>
      <c r="H1046" s="19"/>
      <c r="I1046" s="19"/>
      <c r="J1046" s="19"/>
      <c r="K1046" s="19"/>
      <c r="L1046" s="68"/>
    </row>
    <row r="1047" spans="2:12" x14ac:dyDescent="0.25">
      <c r="B1047" s="19"/>
      <c r="C1047" s="19"/>
      <c r="D1047" s="19"/>
      <c r="E1047" s="19"/>
      <c r="F1047" s="68"/>
      <c r="G1047" s="19"/>
      <c r="H1047" s="19"/>
      <c r="I1047" s="19"/>
      <c r="J1047" s="19"/>
      <c r="K1047" s="19"/>
      <c r="L1047" s="68"/>
    </row>
    <row r="1048" spans="2:12" x14ac:dyDescent="0.25">
      <c r="B1048" s="19"/>
      <c r="C1048" s="19"/>
      <c r="D1048" s="19"/>
      <c r="E1048" s="19"/>
      <c r="F1048" s="68"/>
      <c r="G1048" s="19"/>
      <c r="H1048" s="19"/>
      <c r="I1048" s="19"/>
      <c r="J1048" s="19"/>
      <c r="K1048" s="19"/>
      <c r="L1048" s="68"/>
    </row>
    <row r="1049" spans="2:12" x14ac:dyDescent="0.25">
      <c r="B1049" s="19"/>
      <c r="C1049" s="19"/>
      <c r="D1049" s="19"/>
      <c r="E1049" s="19"/>
      <c r="F1049" s="68"/>
      <c r="G1049" s="19"/>
      <c r="H1049" s="19"/>
      <c r="I1049" s="19"/>
      <c r="J1049" s="19"/>
      <c r="K1049" s="19"/>
      <c r="L1049" s="68"/>
    </row>
    <row r="1050" spans="2:12" x14ac:dyDescent="0.25">
      <c r="B1050" s="19"/>
      <c r="C1050" s="19"/>
      <c r="D1050" s="19"/>
      <c r="E1050" s="19"/>
      <c r="F1050" s="68"/>
      <c r="G1050" s="19"/>
      <c r="H1050" s="19"/>
      <c r="I1050" s="19"/>
      <c r="J1050" s="19"/>
      <c r="K1050" s="19"/>
      <c r="L1050" s="68"/>
    </row>
    <row r="1051" spans="2:12" x14ac:dyDescent="0.25">
      <c r="B1051" s="19"/>
      <c r="C1051" s="19"/>
      <c r="D1051" s="19"/>
      <c r="E1051" s="19"/>
      <c r="F1051" s="68"/>
      <c r="G1051" s="19"/>
      <c r="H1051" s="19"/>
      <c r="I1051" s="19"/>
      <c r="J1051" s="19"/>
      <c r="K1051" s="19"/>
      <c r="L1051" s="68"/>
    </row>
    <row r="1052" spans="2:12" x14ac:dyDescent="0.25">
      <c r="B1052" s="19"/>
      <c r="C1052" s="19"/>
      <c r="D1052" s="19"/>
      <c r="E1052" s="19"/>
      <c r="F1052" s="68"/>
      <c r="G1052" s="19"/>
      <c r="H1052" s="19"/>
      <c r="I1052" s="19"/>
      <c r="J1052" s="19"/>
      <c r="K1052" s="19"/>
      <c r="L1052" s="68"/>
    </row>
    <row r="1053" spans="2:12" x14ac:dyDescent="0.25">
      <c r="B1053" s="19"/>
      <c r="C1053" s="19"/>
      <c r="D1053" s="19"/>
      <c r="E1053" s="19"/>
      <c r="F1053" s="68"/>
      <c r="G1053" s="19"/>
      <c r="H1053" s="19"/>
      <c r="I1053" s="19"/>
      <c r="J1053" s="19"/>
      <c r="K1053" s="19"/>
      <c r="L1053" s="68"/>
    </row>
    <row r="1054" spans="2:12" x14ac:dyDescent="0.25">
      <c r="B1054" s="19"/>
      <c r="C1054" s="19"/>
      <c r="D1054" s="19"/>
      <c r="E1054" s="19"/>
      <c r="F1054" s="68"/>
      <c r="G1054" s="19"/>
      <c r="H1054" s="19"/>
      <c r="I1054" s="19"/>
      <c r="J1054" s="19"/>
      <c r="K1054" s="19"/>
      <c r="L1054" s="68"/>
    </row>
    <row r="1055" spans="2:12" x14ac:dyDescent="0.25">
      <c r="B1055" s="19"/>
      <c r="C1055" s="19"/>
      <c r="D1055" s="19"/>
      <c r="E1055" s="19"/>
      <c r="F1055" s="68"/>
      <c r="G1055" s="19"/>
      <c r="H1055" s="19"/>
      <c r="I1055" s="19"/>
      <c r="J1055" s="19"/>
      <c r="K1055" s="19"/>
      <c r="L1055" s="68"/>
    </row>
    <row r="1056" spans="2:12" x14ac:dyDescent="0.25">
      <c r="B1056" s="19"/>
      <c r="C1056" s="19"/>
      <c r="D1056" s="19"/>
      <c r="E1056" s="19"/>
      <c r="F1056" s="68"/>
      <c r="G1056" s="19"/>
      <c r="H1056" s="19"/>
      <c r="I1056" s="19"/>
      <c r="J1056" s="19"/>
      <c r="K1056" s="19"/>
      <c r="L1056" s="68"/>
    </row>
    <row r="1057" spans="2:12" x14ac:dyDescent="0.25">
      <c r="B1057" s="19"/>
      <c r="C1057" s="19"/>
      <c r="D1057" s="19"/>
      <c r="E1057" s="19"/>
      <c r="F1057" s="68"/>
      <c r="G1057" s="19"/>
      <c r="H1057" s="19"/>
      <c r="I1057" s="19"/>
      <c r="J1057" s="19"/>
      <c r="K1057" s="19"/>
      <c r="L1057" s="68"/>
    </row>
    <row r="1058" spans="2:12" x14ac:dyDescent="0.25">
      <c r="B1058" s="19"/>
      <c r="C1058" s="19"/>
      <c r="D1058" s="19"/>
      <c r="E1058" s="19"/>
      <c r="F1058" s="68"/>
      <c r="G1058" s="19"/>
      <c r="H1058" s="19"/>
      <c r="I1058" s="19"/>
      <c r="J1058" s="19"/>
      <c r="K1058" s="19"/>
      <c r="L1058" s="68"/>
    </row>
    <row r="1059" spans="2:12" x14ac:dyDescent="0.25">
      <c r="B1059" s="19"/>
      <c r="C1059" s="19"/>
      <c r="D1059" s="19"/>
      <c r="E1059" s="19"/>
      <c r="F1059" s="68"/>
      <c r="G1059" s="19"/>
      <c r="H1059" s="19"/>
      <c r="I1059" s="19"/>
      <c r="J1059" s="19"/>
      <c r="K1059" s="19"/>
      <c r="L1059" s="68"/>
    </row>
    <row r="1060" spans="2:12" x14ac:dyDescent="0.25">
      <c r="B1060" s="19"/>
      <c r="C1060" s="19"/>
      <c r="D1060" s="19"/>
      <c r="E1060" s="19"/>
      <c r="F1060" s="68"/>
      <c r="G1060" s="19"/>
      <c r="H1060" s="19"/>
      <c r="I1060" s="19"/>
      <c r="J1060" s="19"/>
      <c r="K1060" s="19"/>
      <c r="L1060" s="68"/>
    </row>
    <row r="1061" spans="2:12" x14ac:dyDescent="0.25">
      <c r="B1061" s="19"/>
      <c r="C1061" s="19"/>
      <c r="D1061" s="19"/>
      <c r="E1061" s="19"/>
      <c r="F1061" s="68"/>
      <c r="G1061" s="19"/>
      <c r="H1061" s="19"/>
      <c r="I1061" s="19"/>
      <c r="J1061" s="19"/>
      <c r="K1061" s="19"/>
      <c r="L1061" s="68"/>
    </row>
    <row r="1062" spans="2:12" x14ac:dyDescent="0.25">
      <c r="B1062" s="19"/>
      <c r="C1062" s="19"/>
      <c r="D1062" s="19"/>
      <c r="E1062" s="19"/>
      <c r="F1062" s="68"/>
      <c r="G1062" s="19"/>
      <c r="H1062" s="19"/>
      <c r="I1062" s="19"/>
      <c r="J1062" s="19"/>
      <c r="K1062" s="19"/>
      <c r="L1062" s="68"/>
    </row>
    <row r="1063" spans="2:12" x14ac:dyDescent="0.25">
      <c r="B1063" s="19"/>
      <c r="C1063" s="19"/>
      <c r="D1063" s="19"/>
      <c r="E1063" s="19"/>
      <c r="F1063" s="68"/>
      <c r="G1063" s="19"/>
      <c r="H1063" s="19"/>
      <c r="I1063" s="19"/>
      <c r="J1063" s="19"/>
      <c r="K1063" s="19"/>
      <c r="L1063" s="68"/>
    </row>
    <row r="1064" spans="2:12" x14ac:dyDescent="0.25">
      <c r="B1064" s="19"/>
      <c r="C1064" s="19"/>
      <c r="D1064" s="19"/>
      <c r="E1064" s="19"/>
      <c r="F1064" s="68"/>
      <c r="G1064" s="19"/>
      <c r="H1064" s="19"/>
      <c r="I1064" s="19"/>
      <c r="J1064" s="19"/>
      <c r="K1064" s="19"/>
      <c r="L1064" s="68"/>
    </row>
    <row r="1065" spans="2:12" x14ac:dyDescent="0.25">
      <c r="B1065" s="19"/>
      <c r="C1065" s="19"/>
      <c r="D1065" s="19"/>
      <c r="E1065" s="19"/>
      <c r="F1065" s="68"/>
      <c r="G1065" s="19"/>
      <c r="H1065" s="19"/>
      <c r="I1065" s="19"/>
      <c r="J1065" s="19"/>
      <c r="K1065" s="19"/>
      <c r="L1065" s="68"/>
    </row>
    <row r="1066" spans="2:12" x14ac:dyDescent="0.25">
      <c r="B1066" s="19"/>
      <c r="C1066" s="19"/>
      <c r="D1066" s="19"/>
      <c r="E1066" s="19"/>
      <c r="F1066" s="68"/>
      <c r="G1066" s="19"/>
      <c r="H1066" s="19"/>
      <c r="I1066" s="19"/>
      <c r="J1066" s="19"/>
      <c r="K1066" s="19"/>
      <c r="L1066" s="68"/>
    </row>
    <row r="1067" spans="2:12" x14ac:dyDescent="0.25">
      <c r="B1067" s="19"/>
      <c r="C1067" s="19"/>
      <c r="D1067" s="19"/>
      <c r="E1067" s="19"/>
      <c r="F1067" s="68"/>
      <c r="G1067" s="19"/>
      <c r="H1067" s="19"/>
      <c r="I1067" s="19"/>
      <c r="J1067" s="19"/>
      <c r="K1067" s="19"/>
      <c r="L1067" s="68"/>
    </row>
    <row r="1068" spans="2:12" x14ac:dyDescent="0.25">
      <c r="B1068" s="19"/>
      <c r="C1068" s="19"/>
      <c r="D1068" s="19"/>
      <c r="E1068" s="19"/>
      <c r="F1068" s="68"/>
      <c r="G1068" s="19"/>
      <c r="H1068" s="19"/>
      <c r="I1068" s="19"/>
      <c r="J1068" s="19"/>
      <c r="K1068" s="19"/>
      <c r="L1068" s="68"/>
    </row>
    <row r="1069" spans="2:12" x14ac:dyDescent="0.25">
      <c r="B1069" s="19"/>
      <c r="C1069" s="19"/>
      <c r="D1069" s="19"/>
      <c r="E1069" s="19"/>
      <c r="F1069" s="68"/>
      <c r="G1069" s="19"/>
      <c r="H1069" s="19"/>
      <c r="I1069" s="19"/>
      <c r="J1069" s="19"/>
      <c r="K1069" s="19"/>
      <c r="L1069" s="68"/>
    </row>
    <row r="1070" spans="2:12" x14ac:dyDescent="0.25">
      <c r="B1070" s="19"/>
      <c r="C1070" s="19"/>
      <c r="D1070" s="19"/>
      <c r="E1070" s="19"/>
      <c r="F1070" s="68"/>
      <c r="G1070" s="19"/>
      <c r="H1070" s="19"/>
      <c r="I1070" s="19"/>
      <c r="J1070" s="19"/>
      <c r="K1070" s="19"/>
      <c r="L1070" s="68"/>
    </row>
    <row r="1071" spans="2:12" x14ac:dyDescent="0.25">
      <c r="B1071" s="19"/>
      <c r="C1071" s="19"/>
      <c r="D1071" s="19"/>
      <c r="E1071" s="19"/>
      <c r="F1071" s="68"/>
      <c r="G1071" s="19"/>
      <c r="H1071" s="19"/>
      <c r="I1071" s="19"/>
      <c r="J1071" s="19"/>
      <c r="K1071" s="19"/>
      <c r="L1071" s="68"/>
    </row>
    <row r="1072" spans="2:12" x14ac:dyDescent="0.25">
      <c r="B1072" s="19"/>
      <c r="C1072" s="19"/>
      <c r="D1072" s="19"/>
      <c r="E1072" s="19"/>
      <c r="F1072" s="68"/>
      <c r="G1072" s="19"/>
      <c r="H1072" s="19"/>
      <c r="I1072" s="19"/>
      <c r="J1072" s="19"/>
      <c r="K1072" s="19"/>
      <c r="L1072" s="68"/>
    </row>
    <row r="1073" spans="2:12" x14ac:dyDescent="0.25">
      <c r="B1073" s="19"/>
      <c r="C1073" s="19"/>
      <c r="D1073" s="19"/>
      <c r="E1073" s="19"/>
      <c r="F1073" s="68"/>
      <c r="G1073" s="19"/>
      <c r="H1073" s="19"/>
      <c r="I1073" s="19"/>
      <c r="J1073" s="19"/>
      <c r="K1073" s="19"/>
      <c r="L1073" s="68"/>
    </row>
    <row r="1074" spans="2:12" x14ac:dyDescent="0.25">
      <c r="B1074" s="19"/>
      <c r="C1074" s="19"/>
      <c r="D1074" s="19"/>
      <c r="E1074" s="19"/>
      <c r="F1074" s="68"/>
      <c r="G1074" s="19"/>
      <c r="H1074" s="19"/>
      <c r="I1074" s="19"/>
      <c r="J1074" s="19"/>
      <c r="K1074" s="19"/>
      <c r="L1074" s="68"/>
    </row>
    <row r="1075" spans="2:12" x14ac:dyDescent="0.25">
      <c r="B1075" s="19"/>
      <c r="C1075" s="19"/>
      <c r="D1075" s="19"/>
      <c r="E1075" s="19"/>
      <c r="F1075" s="68"/>
      <c r="G1075" s="19"/>
      <c r="H1075" s="19"/>
      <c r="I1075" s="19"/>
      <c r="J1075" s="19"/>
      <c r="K1075" s="19"/>
      <c r="L1075" s="68"/>
    </row>
    <row r="1076" spans="2:12" x14ac:dyDescent="0.25">
      <c r="B1076" s="19"/>
      <c r="C1076" s="19"/>
      <c r="D1076" s="19"/>
      <c r="E1076" s="19"/>
      <c r="F1076" s="68"/>
      <c r="G1076" s="19"/>
      <c r="H1076" s="19"/>
      <c r="I1076" s="19"/>
      <c r="J1076" s="19"/>
      <c r="K1076" s="19"/>
      <c r="L1076" s="68"/>
    </row>
    <row r="1077" spans="2:12" x14ac:dyDescent="0.25">
      <c r="B1077" s="19"/>
      <c r="C1077" s="19"/>
      <c r="D1077" s="19"/>
      <c r="E1077" s="19"/>
      <c r="F1077" s="68"/>
      <c r="G1077" s="19"/>
      <c r="H1077" s="19"/>
      <c r="I1077" s="19"/>
      <c r="J1077" s="19"/>
      <c r="K1077" s="19"/>
      <c r="L1077" s="68"/>
    </row>
    <row r="1078" spans="2:12" x14ac:dyDescent="0.25">
      <c r="B1078" s="19"/>
      <c r="C1078" s="19"/>
      <c r="D1078" s="19"/>
      <c r="E1078" s="19"/>
      <c r="F1078" s="68"/>
      <c r="G1078" s="19"/>
      <c r="H1078" s="19"/>
      <c r="I1078" s="19"/>
      <c r="J1078" s="19"/>
      <c r="K1078" s="19"/>
      <c r="L1078" s="68"/>
    </row>
    <row r="1079" spans="2:12" x14ac:dyDescent="0.25">
      <c r="B1079" s="19"/>
      <c r="C1079" s="19"/>
      <c r="D1079" s="19"/>
      <c r="E1079" s="19"/>
      <c r="F1079" s="68"/>
      <c r="G1079" s="19"/>
      <c r="H1079" s="19"/>
      <c r="I1079" s="19"/>
      <c r="J1079" s="19"/>
      <c r="K1079" s="19"/>
      <c r="L1079" s="68"/>
    </row>
    <row r="1080" spans="2:12" x14ac:dyDescent="0.25">
      <c r="B1080" s="19"/>
      <c r="C1080" s="19"/>
      <c r="D1080" s="19"/>
      <c r="E1080" s="19"/>
      <c r="F1080" s="68"/>
      <c r="G1080" s="19"/>
      <c r="H1080" s="19"/>
      <c r="I1080" s="19"/>
      <c r="J1080" s="19"/>
      <c r="K1080" s="19"/>
      <c r="L1080" s="68"/>
    </row>
    <row r="1081" spans="2:12" x14ac:dyDescent="0.25">
      <c r="B1081" s="19"/>
      <c r="C1081" s="19"/>
      <c r="D1081" s="19"/>
      <c r="E1081" s="19"/>
      <c r="F1081" s="68"/>
      <c r="G1081" s="19"/>
      <c r="H1081" s="19"/>
      <c r="I1081" s="19"/>
      <c r="J1081" s="19"/>
      <c r="K1081" s="19"/>
      <c r="L1081" s="68"/>
    </row>
    <row r="1082" spans="2:12" x14ac:dyDescent="0.25">
      <c r="B1082" s="19"/>
      <c r="C1082" s="19"/>
      <c r="D1082" s="19"/>
      <c r="E1082" s="19"/>
      <c r="F1082" s="68"/>
      <c r="G1082" s="19"/>
      <c r="H1082" s="19"/>
      <c r="I1082" s="19"/>
      <c r="J1082" s="19"/>
      <c r="K1082" s="19"/>
      <c r="L1082" s="68"/>
    </row>
    <row r="1083" spans="2:12" x14ac:dyDescent="0.25">
      <c r="B1083" s="19"/>
      <c r="C1083" s="19"/>
      <c r="D1083" s="19"/>
      <c r="E1083" s="19"/>
      <c r="F1083" s="68"/>
      <c r="G1083" s="19"/>
      <c r="H1083" s="19"/>
      <c r="I1083" s="19"/>
      <c r="J1083" s="19"/>
      <c r="K1083" s="19"/>
      <c r="L1083" s="68"/>
    </row>
    <row r="1084" spans="2:12" x14ac:dyDescent="0.25">
      <c r="B1084" s="19"/>
      <c r="C1084" s="19"/>
      <c r="D1084" s="19"/>
      <c r="E1084" s="19"/>
      <c r="F1084" s="68"/>
      <c r="G1084" s="19"/>
      <c r="H1084" s="19"/>
      <c r="I1084" s="19"/>
      <c r="J1084" s="19"/>
      <c r="K1084" s="19"/>
      <c r="L1084" s="68"/>
    </row>
    <row r="1085" spans="2:12" x14ac:dyDescent="0.25">
      <c r="B1085" s="19"/>
      <c r="C1085" s="19"/>
      <c r="D1085" s="19"/>
      <c r="E1085" s="19"/>
      <c r="F1085" s="68"/>
      <c r="G1085" s="19"/>
      <c r="H1085" s="19"/>
      <c r="I1085" s="19"/>
      <c r="J1085" s="19"/>
      <c r="K1085" s="19"/>
      <c r="L1085" s="68"/>
    </row>
    <row r="1086" spans="2:12" x14ac:dyDescent="0.25">
      <c r="B1086" s="19"/>
      <c r="C1086" s="19"/>
      <c r="D1086" s="19"/>
      <c r="E1086" s="19"/>
      <c r="F1086" s="68"/>
      <c r="G1086" s="19"/>
      <c r="H1086" s="19"/>
      <c r="I1086" s="19"/>
      <c r="J1086" s="19"/>
      <c r="K1086" s="19"/>
      <c r="L1086" s="68"/>
    </row>
    <row r="1087" spans="2:12" x14ac:dyDescent="0.25">
      <c r="B1087" s="19"/>
      <c r="C1087" s="19"/>
      <c r="D1087" s="19"/>
      <c r="E1087" s="19"/>
      <c r="F1087" s="68"/>
      <c r="G1087" s="19"/>
      <c r="H1087" s="19"/>
      <c r="I1087" s="19"/>
      <c r="J1087" s="19"/>
      <c r="K1087" s="19"/>
      <c r="L1087" s="68"/>
    </row>
    <row r="1088" spans="2:12" x14ac:dyDescent="0.25">
      <c r="B1088" s="19"/>
      <c r="C1088" s="19"/>
      <c r="D1088" s="19"/>
      <c r="E1088" s="19"/>
      <c r="F1088" s="68"/>
      <c r="G1088" s="19"/>
      <c r="H1088" s="19"/>
      <c r="I1088" s="19"/>
      <c r="J1088" s="19"/>
      <c r="K1088" s="19"/>
      <c r="L1088" s="68"/>
    </row>
    <row r="1089" spans="2:12" x14ac:dyDescent="0.25">
      <c r="B1089" s="19"/>
      <c r="C1089" s="19"/>
      <c r="D1089" s="19"/>
      <c r="E1089" s="19"/>
      <c r="F1089" s="68"/>
      <c r="G1089" s="19"/>
      <c r="H1089" s="19"/>
      <c r="I1089" s="19"/>
      <c r="J1089" s="19"/>
      <c r="K1089" s="19"/>
      <c r="L1089" s="68"/>
    </row>
    <row r="1090" spans="2:12" x14ac:dyDescent="0.25">
      <c r="B1090" s="19"/>
      <c r="C1090" s="19"/>
      <c r="D1090" s="19"/>
      <c r="E1090" s="19"/>
      <c r="F1090" s="68"/>
      <c r="G1090" s="19"/>
      <c r="H1090" s="19"/>
      <c r="I1090" s="19"/>
      <c r="J1090" s="19"/>
      <c r="K1090" s="19"/>
      <c r="L1090" s="68"/>
    </row>
    <row r="1091" spans="2:12" x14ac:dyDescent="0.25">
      <c r="B1091" s="19"/>
      <c r="C1091" s="19"/>
      <c r="D1091" s="19"/>
      <c r="E1091" s="19"/>
      <c r="F1091" s="68"/>
      <c r="G1091" s="19"/>
      <c r="H1091" s="19"/>
      <c r="I1091" s="19"/>
      <c r="J1091" s="19"/>
      <c r="K1091" s="19"/>
      <c r="L1091" s="68"/>
    </row>
    <row r="1092" spans="2:12" x14ac:dyDescent="0.25">
      <c r="B1092" s="19"/>
      <c r="C1092" s="19"/>
      <c r="D1092" s="19"/>
      <c r="E1092" s="19"/>
      <c r="F1092" s="68"/>
      <c r="G1092" s="19"/>
      <c r="H1092" s="19"/>
      <c r="I1092" s="19"/>
      <c r="J1092" s="19"/>
      <c r="K1092" s="19"/>
      <c r="L1092" s="68"/>
    </row>
    <row r="1093" spans="2:12" x14ac:dyDescent="0.25">
      <c r="B1093" s="19"/>
      <c r="C1093" s="19"/>
      <c r="D1093" s="19"/>
      <c r="E1093" s="19"/>
      <c r="F1093" s="68"/>
      <c r="G1093" s="19"/>
      <c r="H1093" s="19"/>
      <c r="I1093" s="19"/>
      <c r="J1093" s="19"/>
      <c r="K1093" s="19"/>
      <c r="L1093" s="68"/>
    </row>
    <row r="1094" spans="2:12" x14ac:dyDescent="0.25">
      <c r="B1094" s="19"/>
      <c r="C1094" s="19"/>
      <c r="D1094" s="19"/>
      <c r="E1094" s="19"/>
      <c r="F1094" s="68"/>
      <c r="G1094" s="19"/>
      <c r="H1094" s="19"/>
      <c r="I1094" s="19"/>
      <c r="J1094" s="19"/>
      <c r="K1094" s="19"/>
      <c r="L1094" s="68"/>
    </row>
    <row r="1095" spans="2:12" x14ac:dyDescent="0.25">
      <c r="B1095" s="19"/>
      <c r="C1095" s="19"/>
      <c r="D1095" s="19"/>
      <c r="E1095" s="19"/>
      <c r="F1095" s="68"/>
      <c r="G1095" s="19"/>
      <c r="H1095" s="19"/>
      <c r="I1095" s="19"/>
      <c r="J1095" s="19"/>
      <c r="K1095" s="19"/>
      <c r="L1095" s="68"/>
    </row>
    <row r="1096" spans="2:12" x14ac:dyDescent="0.25">
      <c r="B1096" s="19"/>
      <c r="C1096" s="19"/>
      <c r="D1096" s="19"/>
      <c r="E1096" s="19"/>
      <c r="F1096" s="68"/>
      <c r="G1096" s="19"/>
      <c r="H1096" s="19"/>
      <c r="I1096" s="19"/>
      <c r="J1096" s="19"/>
      <c r="K1096" s="19"/>
      <c r="L1096" s="68"/>
    </row>
    <row r="1097" spans="2:12" x14ac:dyDescent="0.25">
      <c r="B1097" s="19"/>
      <c r="C1097" s="19"/>
      <c r="D1097" s="19"/>
      <c r="E1097" s="19"/>
      <c r="F1097" s="68"/>
      <c r="G1097" s="19"/>
      <c r="H1097" s="19"/>
      <c r="I1097" s="19"/>
      <c r="J1097" s="19"/>
      <c r="K1097" s="19"/>
      <c r="L1097" s="68"/>
    </row>
    <row r="1098" spans="2:12" x14ac:dyDescent="0.25">
      <c r="B1098" s="19"/>
      <c r="C1098" s="19"/>
      <c r="D1098" s="19"/>
      <c r="E1098" s="19"/>
      <c r="F1098" s="68"/>
      <c r="G1098" s="19"/>
      <c r="H1098" s="19"/>
      <c r="I1098" s="19"/>
      <c r="J1098" s="19"/>
      <c r="K1098" s="19"/>
      <c r="L1098" s="68"/>
    </row>
    <row r="1099" spans="2:12" x14ac:dyDescent="0.25">
      <c r="B1099" s="19"/>
      <c r="C1099" s="19"/>
      <c r="D1099" s="19"/>
      <c r="E1099" s="19"/>
      <c r="F1099" s="68"/>
      <c r="G1099" s="19"/>
      <c r="H1099" s="19"/>
      <c r="I1099" s="19"/>
      <c r="J1099" s="19"/>
      <c r="K1099" s="19"/>
      <c r="L1099" s="68"/>
    </row>
    <row r="1100" spans="2:12" x14ac:dyDescent="0.25">
      <c r="B1100" s="19"/>
      <c r="C1100" s="19"/>
      <c r="D1100" s="19"/>
      <c r="E1100" s="19"/>
      <c r="F1100" s="68"/>
      <c r="G1100" s="19"/>
      <c r="H1100" s="19"/>
      <c r="I1100" s="19"/>
      <c r="J1100" s="19"/>
      <c r="K1100" s="19"/>
      <c r="L1100" s="68"/>
    </row>
    <row r="1101" spans="2:12" x14ac:dyDescent="0.25">
      <c r="B1101" s="19"/>
      <c r="C1101" s="19"/>
      <c r="D1101" s="19"/>
      <c r="E1101" s="19"/>
      <c r="F1101" s="68"/>
      <c r="G1101" s="19"/>
      <c r="H1101" s="19"/>
      <c r="I1101" s="19"/>
      <c r="J1101" s="19"/>
      <c r="K1101" s="19"/>
      <c r="L1101" s="68"/>
    </row>
    <row r="1102" spans="2:12" x14ac:dyDescent="0.25">
      <c r="B1102" s="19"/>
      <c r="C1102" s="19"/>
      <c r="D1102" s="19"/>
      <c r="E1102" s="19"/>
      <c r="F1102" s="68"/>
      <c r="G1102" s="19"/>
      <c r="H1102" s="19"/>
      <c r="I1102" s="19"/>
      <c r="J1102" s="19"/>
      <c r="K1102" s="19"/>
      <c r="L1102" s="68"/>
    </row>
    <row r="1103" spans="2:12" x14ac:dyDescent="0.25">
      <c r="B1103" s="19"/>
      <c r="C1103" s="19"/>
      <c r="D1103" s="19"/>
      <c r="E1103" s="19"/>
      <c r="F1103" s="68"/>
      <c r="G1103" s="19"/>
      <c r="H1103" s="19"/>
      <c r="I1103" s="19"/>
      <c r="J1103" s="19"/>
      <c r="K1103" s="19"/>
      <c r="L1103" s="68"/>
    </row>
    <row r="1104" spans="2:12" x14ac:dyDescent="0.25">
      <c r="B1104" s="19"/>
      <c r="C1104" s="19"/>
      <c r="D1104" s="19"/>
      <c r="E1104" s="19"/>
      <c r="F1104" s="68"/>
      <c r="G1104" s="19"/>
      <c r="H1104" s="19"/>
      <c r="I1104" s="19"/>
      <c r="J1104" s="19"/>
      <c r="K1104" s="19"/>
      <c r="L1104" s="68"/>
    </row>
    <row r="1105" spans="2:12" x14ac:dyDescent="0.25">
      <c r="B1105" s="19"/>
      <c r="C1105" s="19"/>
      <c r="D1105" s="19"/>
      <c r="E1105" s="19"/>
      <c r="F1105" s="68"/>
      <c r="G1105" s="19"/>
      <c r="H1105" s="19"/>
      <c r="I1105" s="19"/>
      <c r="J1105" s="19"/>
      <c r="K1105" s="19"/>
      <c r="L1105" s="68"/>
    </row>
    <row r="1106" spans="2:12" x14ac:dyDescent="0.25">
      <c r="B1106" s="19"/>
      <c r="C1106" s="19"/>
      <c r="D1106" s="19"/>
      <c r="E1106" s="19"/>
      <c r="F1106" s="68"/>
      <c r="G1106" s="19"/>
      <c r="H1106" s="19"/>
      <c r="I1106" s="19"/>
      <c r="J1106" s="19"/>
      <c r="K1106" s="19"/>
      <c r="L1106" s="68"/>
    </row>
    <row r="1107" spans="2:12" x14ac:dyDescent="0.25">
      <c r="B1107" s="19"/>
      <c r="C1107" s="19"/>
      <c r="D1107" s="19"/>
      <c r="E1107" s="19"/>
      <c r="F1107" s="68"/>
      <c r="G1107" s="19"/>
      <c r="H1107" s="19"/>
      <c r="I1107" s="19"/>
      <c r="J1107" s="19"/>
      <c r="K1107" s="19"/>
      <c r="L1107" s="68"/>
    </row>
    <row r="1108" spans="2:12" x14ac:dyDescent="0.25">
      <c r="B1108" s="19"/>
      <c r="C1108" s="19"/>
      <c r="D1108" s="19"/>
      <c r="E1108" s="19"/>
      <c r="F1108" s="68"/>
      <c r="G1108" s="19"/>
      <c r="H1108" s="19"/>
      <c r="I1108" s="19"/>
      <c r="J1108" s="19"/>
      <c r="K1108" s="19"/>
      <c r="L1108" s="68"/>
    </row>
    <row r="1109" spans="2:12" x14ac:dyDescent="0.25">
      <c r="B1109" s="19"/>
      <c r="C1109" s="19"/>
      <c r="D1109" s="19"/>
      <c r="E1109" s="19"/>
      <c r="F1109" s="68"/>
      <c r="G1109" s="19"/>
      <c r="H1109" s="19"/>
      <c r="I1109" s="19"/>
      <c r="J1109" s="19"/>
      <c r="K1109" s="19"/>
      <c r="L1109" s="68"/>
    </row>
    <row r="1110" spans="2:12" x14ac:dyDescent="0.25">
      <c r="B1110" s="19"/>
      <c r="C1110" s="19"/>
      <c r="D1110" s="19"/>
      <c r="E1110" s="19"/>
      <c r="F1110" s="68"/>
      <c r="G1110" s="19"/>
      <c r="H1110" s="19"/>
      <c r="I1110" s="19"/>
      <c r="J1110" s="19"/>
      <c r="K1110" s="19"/>
      <c r="L1110" s="68"/>
    </row>
    <row r="1111" spans="2:12" x14ac:dyDescent="0.25">
      <c r="B1111" s="19"/>
      <c r="C1111" s="19"/>
      <c r="D1111" s="19"/>
      <c r="E1111" s="19"/>
      <c r="F1111" s="68"/>
      <c r="G1111" s="19"/>
      <c r="H1111" s="19"/>
      <c r="I1111" s="19"/>
      <c r="J1111" s="19"/>
      <c r="K1111" s="19"/>
      <c r="L1111" s="68"/>
    </row>
    <row r="1112" spans="2:12" x14ac:dyDescent="0.25">
      <c r="B1112" s="19"/>
      <c r="C1112" s="19"/>
      <c r="D1112" s="19"/>
      <c r="E1112" s="19"/>
      <c r="F1112" s="68"/>
      <c r="G1112" s="19"/>
      <c r="H1112" s="19"/>
      <c r="I1112" s="19"/>
      <c r="J1112" s="19"/>
      <c r="K1112" s="19"/>
      <c r="L1112" s="68"/>
    </row>
    <row r="1113" spans="2:12" x14ac:dyDescent="0.25">
      <c r="B1113" s="19"/>
      <c r="C1113" s="19"/>
      <c r="D1113" s="19"/>
      <c r="E1113" s="19"/>
      <c r="F1113" s="68"/>
      <c r="G1113" s="19"/>
      <c r="H1113" s="19"/>
      <c r="I1113" s="19"/>
      <c r="J1113" s="19"/>
      <c r="K1113" s="19"/>
      <c r="L1113" s="68"/>
    </row>
    <row r="1114" spans="2:12" x14ac:dyDescent="0.25">
      <c r="B1114" s="19"/>
      <c r="C1114" s="19"/>
      <c r="D1114" s="19"/>
      <c r="E1114" s="19"/>
      <c r="F1114" s="68"/>
      <c r="G1114" s="19"/>
      <c r="H1114" s="19"/>
      <c r="I1114" s="19"/>
      <c r="J1114" s="19"/>
      <c r="K1114" s="19"/>
      <c r="L1114" s="68"/>
    </row>
    <row r="1115" spans="2:12" x14ac:dyDescent="0.25">
      <c r="B1115" s="19"/>
      <c r="C1115" s="19"/>
      <c r="D1115" s="19"/>
      <c r="E1115" s="19"/>
      <c r="F1115" s="68"/>
      <c r="G1115" s="19"/>
      <c r="H1115" s="19"/>
      <c r="I1115" s="19"/>
      <c r="J1115" s="19"/>
      <c r="K1115" s="19"/>
      <c r="L1115" s="68"/>
    </row>
    <row r="1116" spans="2:12" x14ac:dyDescent="0.25">
      <c r="B1116" s="19"/>
      <c r="C1116" s="19"/>
      <c r="D1116" s="19"/>
      <c r="E1116" s="19"/>
      <c r="F1116" s="68"/>
      <c r="G1116" s="19"/>
      <c r="H1116" s="19"/>
      <c r="I1116" s="19"/>
      <c r="J1116" s="19"/>
      <c r="K1116" s="19"/>
      <c r="L1116" s="68"/>
    </row>
    <row r="1117" spans="2:12" x14ac:dyDescent="0.25">
      <c r="B1117" s="19"/>
      <c r="C1117" s="19"/>
      <c r="D1117" s="19"/>
      <c r="E1117" s="19"/>
      <c r="F1117" s="68"/>
      <c r="G1117" s="19"/>
      <c r="H1117" s="19"/>
      <c r="I1117" s="19"/>
      <c r="J1117" s="19"/>
      <c r="K1117" s="19"/>
      <c r="L1117" s="68"/>
    </row>
    <row r="1118" spans="2:12" x14ac:dyDescent="0.25">
      <c r="B1118" s="19"/>
      <c r="C1118" s="19"/>
      <c r="D1118" s="19"/>
      <c r="E1118" s="19"/>
      <c r="F1118" s="68"/>
      <c r="G1118" s="19"/>
      <c r="H1118" s="19"/>
      <c r="I1118" s="19"/>
      <c r="J1118" s="19"/>
      <c r="K1118" s="19"/>
      <c r="L1118" s="68"/>
    </row>
    <row r="1119" spans="2:12" x14ac:dyDescent="0.25">
      <c r="B1119" s="19"/>
      <c r="C1119" s="19"/>
      <c r="D1119" s="19"/>
      <c r="E1119" s="19"/>
      <c r="F1119" s="68"/>
      <c r="G1119" s="19"/>
      <c r="H1119" s="19"/>
      <c r="I1119" s="19"/>
      <c r="J1119" s="19"/>
      <c r="K1119" s="19"/>
      <c r="L1119" s="68"/>
    </row>
    <row r="1120" spans="2:12" x14ac:dyDescent="0.25">
      <c r="B1120" s="19"/>
      <c r="C1120" s="19"/>
      <c r="D1120" s="19"/>
      <c r="E1120" s="19"/>
      <c r="F1120" s="68"/>
      <c r="G1120" s="19"/>
      <c r="H1120" s="19"/>
      <c r="I1120" s="19"/>
      <c r="J1120" s="19"/>
      <c r="K1120" s="19"/>
      <c r="L1120" s="68"/>
    </row>
    <row r="1121" spans="2:12" x14ac:dyDescent="0.25">
      <c r="B1121" s="19"/>
      <c r="C1121" s="19"/>
      <c r="D1121" s="19"/>
      <c r="E1121" s="19"/>
      <c r="F1121" s="68"/>
      <c r="G1121" s="19"/>
      <c r="H1121" s="19"/>
      <c r="I1121" s="19"/>
      <c r="J1121" s="19"/>
      <c r="K1121" s="19"/>
      <c r="L1121" s="68"/>
    </row>
    <row r="1122" spans="2:12" x14ac:dyDescent="0.25">
      <c r="B1122" s="19"/>
      <c r="C1122" s="19"/>
      <c r="D1122" s="19"/>
      <c r="E1122" s="19"/>
      <c r="F1122" s="68"/>
      <c r="G1122" s="19"/>
      <c r="H1122" s="19"/>
      <c r="I1122" s="19"/>
      <c r="J1122" s="19"/>
      <c r="K1122" s="19"/>
      <c r="L1122" s="68"/>
    </row>
    <row r="1123" spans="2:12" x14ac:dyDescent="0.25">
      <c r="B1123" s="19"/>
      <c r="C1123" s="19"/>
      <c r="D1123" s="19"/>
      <c r="E1123" s="19"/>
      <c r="F1123" s="68"/>
      <c r="G1123" s="19"/>
      <c r="H1123" s="19"/>
      <c r="I1123" s="19"/>
      <c r="J1123" s="19"/>
      <c r="K1123" s="19"/>
      <c r="L1123" s="68"/>
    </row>
    <row r="1124" spans="2:12" x14ac:dyDescent="0.25">
      <c r="B1124" s="19"/>
      <c r="C1124" s="19"/>
      <c r="D1124" s="19"/>
      <c r="E1124" s="19"/>
      <c r="F1124" s="68"/>
      <c r="G1124" s="19"/>
      <c r="H1124" s="19"/>
      <c r="I1124" s="19"/>
      <c r="J1124" s="19"/>
      <c r="K1124" s="19"/>
      <c r="L1124" s="68"/>
    </row>
    <row r="1125" spans="2:12" x14ac:dyDescent="0.25">
      <c r="B1125" s="19"/>
      <c r="C1125" s="19"/>
      <c r="D1125" s="19"/>
      <c r="E1125" s="19"/>
      <c r="F1125" s="68"/>
      <c r="G1125" s="19"/>
      <c r="H1125" s="19"/>
      <c r="I1125" s="19"/>
      <c r="J1125" s="19"/>
      <c r="K1125" s="19"/>
      <c r="L1125" s="68"/>
    </row>
    <row r="1126" spans="2:12" x14ac:dyDescent="0.25">
      <c r="B1126" s="19"/>
      <c r="C1126" s="19"/>
      <c r="D1126" s="19"/>
      <c r="E1126" s="19"/>
      <c r="F1126" s="68"/>
      <c r="G1126" s="19"/>
      <c r="H1126" s="19"/>
      <c r="I1126" s="19"/>
      <c r="J1126" s="19"/>
      <c r="K1126" s="19"/>
      <c r="L1126" s="68"/>
    </row>
    <row r="1127" spans="2:12" x14ac:dyDescent="0.25">
      <c r="B1127" s="19"/>
      <c r="C1127" s="19"/>
      <c r="D1127" s="19"/>
      <c r="E1127" s="19"/>
      <c r="F1127" s="68"/>
      <c r="G1127" s="19"/>
      <c r="H1127" s="19"/>
      <c r="I1127" s="19"/>
      <c r="J1127" s="19"/>
      <c r="K1127" s="19"/>
      <c r="L1127" s="68"/>
    </row>
    <row r="1128" spans="2:12" x14ac:dyDescent="0.25">
      <c r="B1128" s="19"/>
      <c r="C1128" s="19"/>
      <c r="D1128" s="19"/>
      <c r="E1128" s="19"/>
      <c r="F1128" s="68"/>
      <c r="G1128" s="19"/>
      <c r="H1128" s="19"/>
      <c r="I1128" s="19"/>
      <c r="J1128" s="19"/>
      <c r="K1128" s="19"/>
      <c r="L1128" s="68"/>
    </row>
    <row r="1129" spans="2:12" x14ac:dyDescent="0.25">
      <c r="B1129" s="19"/>
      <c r="C1129" s="19"/>
      <c r="D1129" s="19"/>
      <c r="E1129" s="19"/>
      <c r="F1129" s="68"/>
      <c r="G1129" s="19"/>
      <c r="H1129" s="19"/>
      <c r="I1129" s="19"/>
      <c r="J1129" s="19"/>
      <c r="K1129" s="19"/>
      <c r="L1129" s="68"/>
    </row>
    <row r="1130" spans="2:12" x14ac:dyDescent="0.25">
      <c r="B1130" s="19"/>
      <c r="C1130" s="19"/>
      <c r="D1130" s="19"/>
      <c r="E1130" s="19"/>
      <c r="F1130" s="68"/>
      <c r="G1130" s="19"/>
      <c r="H1130" s="19"/>
      <c r="I1130" s="19"/>
      <c r="J1130" s="19"/>
      <c r="K1130" s="19"/>
      <c r="L1130" s="68"/>
    </row>
    <row r="1131" spans="2:12" x14ac:dyDescent="0.25">
      <c r="B1131" s="19"/>
      <c r="C1131" s="19"/>
      <c r="D1131" s="19"/>
      <c r="E1131" s="19"/>
      <c r="F1131" s="68"/>
      <c r="G1131" s="19"/>
      <c r="H1131" s="19"/>
      <c r="I1131" s="19"/>
      <c r="J1131" s="19"/>
      <c r="K1131" s="19"/>
      <c r="L1131" s="68"/>
    </row>
    <row r="1132" spans="2:12" x14ac:dyDescent="0.25">
      <c r="B1132" s="19"/>
      <c r="C1132" s="19"/>
      <c r="D1132" s="19"/>
      <c r="E1132" s="19"/>
      <c r="F1132" s="68"/>
      <c r="G1132" s="19"/>
      <c r="H1132" s="19"/>
      <c r="I1132" s="19"/>
      <c r="J1132" s="19"/>
      <c r="K1132" s="19"/>
      <c r="L1132" s="68"/>
    </row>
    <row r="1133" spans="2:12" x14ac:dyDescent="0.25">
      <c r="B1133" s="19"/>
      <c r="C1133" s="19"/>
      <c r="D1133" s="19"/>
      <c r="E1133" s="19"/>
      <c r="F1133" s="68"/>
      <c r="G1133" s="19"/>
      <c r="H1133" s="19"/>
      <c r="I1133" s="19"/>
      <c r="J1133" s="19"/>
      <c r="K1133" s="19"/>
      <c r="L1133" s="68"/>
    </row>
    <row r="1134" spans="2:12" x14ac:dyDescent="0.25">
      <c r="B1134" s="19"/>
      <c r="C1134" s="19"/>
      <c r="D1134" s="19"/>
      <c r="E1134" s="19"/>
      <c r="F1134" s="68"/>
      <c r="G1134" s="19"/>
      <c r="H1134" s="19"/>
      <c r="I1134" s="19"/>
      <c r="J1134" s="19"/>
      <c r="K1134" s="19"/>
      <c r="L1134" s="68"/>
    </row>
    <row r="1135" spans="2:12" x14ac:dyDescent="0.25">
      <c r="B1135" s="19"/>
      <c r="C1135" s="19"/>
      <c r="D1135" s="19"/>
      <c r="E1135" s="19"/>
      <c r="F1135" s="68"/>
      <c r="G1135" s="19"/>
      <c r="H1135" s="19"/>
      <c r="I1135" s="19"/>
      <c r="J1135" s="19"/>
      <c r="K1135" s="19"/>
      <c r="L1135" s="68"/>
    </row>
    <row r="1136" spans="2:12" x14ac:dyDescent="0.25">
      <c r="B1136" s="19"/>
      <c r="C1136" s="19"/>
      <c r="D1136" s="19"/>
      <c r="E1136" s="19"/>
      <c r="F1136" s="68"/>
      <c r="G1136" s="19"/>
      <c r="H1136" s="19"/>
      <c r="I1136" s="19"/>
      <c r="J1136" s="19"/>
      <c r="K1136" s="19"/>
      <c r="L1136" s="68"/>
    </row>
    <row r="1137" spans="2:12" x14ac:dyDescent="0.25">
      <c r="B1137" s="19"/>
      <c r="C1137" s="19"/>
      <c r="D1137" s="19"/>
      <c r="E1137" s="19"/>
      <c r="F1137" s="68"/>
      <c r="G1137" s="19"/>
      <c r="H1137" s="19"/>
      <c r="I1137" s="19"/>
      <c r="J1137" s="19"/>
      <c r="K1137" s="19"/>
      <c r="L1137" s="68"/>
    </row>
    <row r="1138" spans="2:12" x14ac:dyDescent="0.25">
      <c r="B1138" s="19"/>
      <c r="C1138" s="19"/>
      <c r="D1138" s="19"/>
      <c r="E1138" s="19"/>
      <c r="F1138" s="68"/>
      <c r="G1138" s="19"/>
      <c r="H1138" s="19"/>
      <c r="I1138" s="19"/>
      <c r="J1138" s="19"/>
      <c r="K1138" s="19"/>
      <c r="L1138" s="68"/>
    </row>
    <row r="1139" spans="2:12" x14ac:dyDescent="0.25">
      <c r="B1139" s="19"/>
      <c r="C1139" s="19"/>
      <c r="D1139" s="19"/>
      <c r="E1139" s="19"/>
      <c r="F1139" s="68"/>
      <c r="G1139" s="19"/>
      <c r="H1139" s="19"/>
      <c r="I1139" s="19"/>
      <c r="J1139" s="19"/>
      <c r="K1139" s="19"/>
      <c r="L1139" s="68"/>
    </row>
    <row r="1140" spans="2:12" x14ac:dyDescent="0.25">
      <c r="B1140" s="19"/>
      <c r="C1140" s="19"/>
      <c r="D1140" s="19"/>
      <c r="E1140" s="19"/>
      <c r="F1140" s="68"/>
      <c r="G1140" s="19"/>
      <c r="H1140" s="19"/>
      <c r="I1140" s="19"/>
      <c r="J1140" s="19"/>
      <c r="K1140" s="19"/>
      <c r="L1140" s="68"/>
    </row>
    <row r="1141" spans="2:12" x14ac:dyDescent="0.25">
      <c r="B1141" s="19"/>
      <c r="C1141" s="19"/>
      <c r="D1141" s="19"/>
      <c r="E1141" s="19"/>
      <c r="F1141" s="68"/>
      <c r="G1141" s="19"/>
      <c r="H1141" s="19"/>
      <c r="I1141" s="19"/>
      <c r="J1141" s="19"/>
      <c r="K1141" s="19"/>
      <c r="L1141" s="68"/>
    </row>
    <row r="1142" spans="2:12" x14ac:dyDescent="0.25">
      <c r="B1142" s="19"/>
      <c r="C1142" s="19"/>
      <c r="D1142" s="19"/>
      <c r="E1142" s="19"/>
      <c r="F1142" s="68"/>
      <c r="G1142" s="19"/>
      <c r="H1142" s="19"/>
      <c r="I1142" s="19"/>
      <c r="J1142" s="19"/>
      <c r="K1142" s="19"/>
      <c r="L1142" s="68"/>
    </row>
    <row r="1143" spans="2:12" x14ac:dyDescent="0.25">
      <c r="B1143" s="19"/>
      <c r="C1143" s="19"/>
      <c r="D1143" s="19"/>
      <c r="E1143" s="19"/>
      <c r="F1143" s="68"/>
      <c r="G1143" s="19"/>
      <c r="H1143" s="19"/>
      <c r="I1143" s="19"/>
      <c r="J1143" s="19"/>
      <c r="K1143" s="19"/>
      <c r="L1143" s="68"/>
    </row>
    <row r="1144" spans="2:12" x14ac:dyDescent="0.25">
      <c r="B1144" s="19"/>
      <c r="C1144" s="19"/>
      <c r="D1144" s="19"/>
      <c r="E1144" s="19"/>
      <c r="F1144" s="68"/>
      <c r="G1144" s="19"/>
      <c r="H1144" s="19"/>
      <c r="I1144" s="19"/>
      <c r="J1144" s="19"/>
      <c r="K1144" s="19"/>
      <c r="L1144" s="68"/>
    </row>
    <row r="1145" spans="2:12" x14ac:dyDescent="0.25">
      <c r="B1145" s="19"/>
      <c r="C1145" s="19"/>
      <c r="D1145" s="19"/>
      <c r="E1145" s="19"/>
      <c r="F1145" s="68"/>
      <c r="G1145" s="19"/>
      <c r="H1145" s="19"/>
      <c r="I1145" s="19"/>
      <c r="J1145" s="19"/>
      <c r="K1145" s="19"/>
      <c r="L1145" s="68"/>
    </row>
    <row r="1146" spans="2:12" x14ac:dyDescent="0.25">
      <c r="B1146" s="19"/>
      <c r="C1146" s="19"/>
      <c r="D1146" s="19"/>
      <c r="E1146" s="19"/>
      <c r="F1146" s="68"/>
      <c r="G1146" s="19"/>
      <c r="H1146" s="19"/>
      <c r="I1146" s="19"/>
      <c r="J1146" s="19"/>
      <c r="K1146" s="19"/>
      <c r="L1146" s="68"/>
    </row>
    <row r="1147" spans="2:12" x14ac:dyDescent="0.25">
      <c r="B1147" s="19"/>
      <c r="C1147" s="19"/>
      <c r="D1147" s="19"/>
      <c r="E1147" s="19"/>
      <c r="F1147" s="68"/>
      <c r="G1147" s="19"/>
      <c r="H1147" s="19"/>
      <c r="I1147" s="19"/>
      <c r="J1147" s="19"/>
      <c r="K1147" s="19"/>
      <c r="L1147" s="68"/>
    </row>
    <row r="1148" spans="2:12" x14ac:dyDescent="0.25">
      <c r="B1148" s="19"/>
      <c r="C1148" s="19"/>
      <c r="D1148" s="19"/>
      <c r="E1148" s="19"/>
      <c r="F1148" s="68"/>
      <c r="G1148" s="19"/>
      <c r="H1148" s="19"/>
      <c r="I1148" s="19"/>
      <c r="J1148" s="19"/>
      <c r="K1148" s="19"/>
      <c r="L1148" s="68"/>
    </row>
    <row r="1149" spans="2:12" x14ac:dyDescent="0.25">
      <c r="B1149" s="19"/>
      <c r="C1149" s="19"/>
      <c r="D1149" s="19"/>
      <c r="E1149" s="19"/>
      <c r="F1149" s="68"/>
      <c r="G1149" s="19"/>
      <c r="H1149" s="19"/>
      <c r="I1149" s="19"/>
      <c r="J1149" s="19"/>
      <c r="K1149" s="19"/>
      <c r="L1149" s="68"/>
    </row>
    <row r="1150" spans="2:12" x14ac:dyDescent="0.25">
      <c r="B1150" s="19"/>
      <c r="C1150" s="19"/>
      <c r="D1150" s="19"/>
      <c r="E1150" s="19"/>
      <c r="F1150" s="68"/>
      <c r="G1150" s="19"/>
      <c r="H1150" s="19"/>
      <c r="I1150" s="19"/>
      <c r="J1150" s="19"/>
      <c r="K1150" s="19"/>
      <c r="L1150" s="68"/>
    </row>
    <row r="1151" spans="2:12" x14ac:dyDescent="0.25">
      <c r="B1151" s="19"/>
      <c r="C1151" s="19"/>
      <c r="D1151" s="19"/>
      <c r="E1151" s="19"/>
      <c r="F1151" s="68"/>
      <c r="G1151" s="19"/>
      <c r="H1151" s="19"/>
      <c r="I1151" s="19"/>
      <c r="J1151" s="19"/>
      <c r="K1151" s="19"/>
      <c r="L1151" s="68"/>
    </row>
    <row r="1152" spans="2:12" x14ac:dyDescent="0.25">
      <c r="B1152" s="19"/>
      <c r="C1152" s="19"/>
      <c r="D1152" s="19"/>
      <c r="E1152" s="19"/>
      <c r="F1152" s="68"/>
      <c r="G1152" s="19"/>
      <c r="H1152" s="19"/>
      <c r="I1152" s="19"/>
      <c r="J1152" s="19"/>
      <c r="K1152" s="19"/>
      <c r="L1152" s="68"/>
    </row>
    <row r="1153" spans="2:12" x14ac:dyDescent="0.25">
      <c r="B1153" s="19"/>
      <c r="C1153" s="19"/>
      <c r="D1153" s="19"/>
      <c r="E1153" s="19"/>
      <c r="F1153" s="68"/>
      <c r="G1153" s="19"/>
      <c r="H1153" s="19"/>
      <c r="I1153" s="19"/>
      <c r="J1153" s="19"/>
      <c r="K1153" s="19"/>
      <c r="L1153" s="68"/>
    </row>
    <row r="1154" spans="2:12" x14ac:dyDescent="0.25">
      <c r="B1154" s="19"/>
      <c r="C1154" s="19"/>
      <c r="D1154" s="19"/>
      <c r="E1154" s="19"/>
      <c r="F1154" s="68"/>
      <c r="G1154" s="19"/>
      <c r="H1154" s="19"/>
      <c r="I1154" s="19"/>
      <c r="J1154" s="19"/>
      <c r="K1154" s="19"/>
      <c r="L1154" s="68"/>
    </row>
    <row r="1155" spans="2:12" x14ac:dyDescent="0.25">
      <c r="B1155" s="19"/>
      <c r="C1155" s="19"/>
      <c r="D1155" s="19"/>
      <c r="E1155" s="19"/>
      <c r="F1155" s="68"/>
      <c r="G1155" s="19"/>
      <c r="H1155" s="19"/>
      <c r="I1155" s="19"/>
      <c r="J1155" s="19"/>
      <c r="K1155" s="19"/>
      <c r="L1155" s="68"/>
    </row>
    <row r="1156" spans="2:12" x14ac:dyDescent="0.25">
      <c r="B1156" s="19"/>
      <c r="C1156" s="19"/>
      <c r="D1156" s="19"/>
      <c r="E1156" s="19"/>
      <c r="F1156" s="68"/>
      <c r="G1156" s="19"/>
      <c r="H1156" s="19"/>
      <c r="I1156" s="19"/>
      <c r="J1156" s="19"/>
      <c r="K1156" s="19"/>
      <c r="L1156" s="68"/>
    </row>
    <row r="1157" spans="2:12" x14ac:dyDescent="0.25">
      <c r="B1157" s="19"/>
      <c r="C1157" s="19"/>
      <c r="D1157" s="19"/>
      <c r="E1157" s="19"/>
      <c r="F1157" s="68"/>
      <c r="G1157" s="19"/>
      <c r="H1157" s="19"/>
      <c r="I1157" s="19"/>
      <c r="J1157" s="19"/>
      <c r="K1157" s="19"/>
      <c r="L1157" s="68"/>
    </row>
    <row r="1158" spans="2:12" x14ac:dyDescent="0.25">
      <c r="B1158" s="19"/>
      <c r="C1158" s="19"/>
      <c r="D1158" s="19"/>
      <c r="E1158" s="19"/>
      <c r="F1158" s="68"/>
      <c r="G1158" s="19"/>
      <c r="H1158" s="19"/>
      <c r="I1158" s="19"/>
      <c r="J1158" s="19"/>
      <c r="K1158" s="19"/>
      <c r="L1158" s="68"/>
    </row>
    <row r="1159" spans="2:12" x14ac:dyDescent="0.25">
      <c r="B1159" s="19"/>
      <c r="C1159" s="19"/>
      <c r="D1159" s="19"/>
      <c r="E1159" s="19"/>
      <c r="F1159" s="68"/>
      <c r="G1159" s="19"/>
      <c r="H1159" s="19"/>
      <c r="I1159" s="19"/>
      <c r="J1159" s="19"/>
      <c r="K1159" s="19"/>
      <c r="L1159" s="68"/>
    </row>
    <row r="1160" spans="2:12" x14ac:dyDescent="0.25">
      <c r="B1160" s="19"/>
      <c r="C1160" s="19"/>
      <c r="D1160" s="19"/>
      <c r="E1160" s="19"/>
      <c r="F1160" s="68"/>
      <c r="G1160" s="19"/>
      <c r="H1160" s="19"/>
      <c r="I1160" s="19"/>
      <c r="J1160" s="19"/>
      <c r="K1160" s="19"/>
      <c r="L1160" s="68"/>
    </row>
    <row r="1161" spans="2:12" x14ac:dyDescent="0.25">
      <c r="B1161" s="19"/>
      <c r="C1161" s="19"/>
      <c r="D1161" s="19"/>
      <c r="E1161" s="19"/>
      <c r="F1161" s="68"/>
      <c r="G1161" s="19"/>
      <c r="H1161" s="19"/>
      <c r="I1161" s="19"/>
      <c r="J1161" s="19"/>
      <c r="K1161" s="19"/>
      <c r="L1161" s="68"/>
    </row>
    <row r="1162" spans="2:12" x14ac:dyDescent="0.25">
      <c r="B1162" s="19"/>
      <c r="C1162" s="19"/>
      <c r="D1162" s="19"/>
      <c r="E1162" s="19"/>
      <c r="F1162" s="68"/>
      <c r="G1162" s="19"/>
      <c r="H1162" s="19"/>
      <c r="I1162" s="19"/>
      <c r="J1162" s="19"/>
      <c r="K1162" s="19"/>
      <c r="L1162" s="68"/>
    </row>
    <row r="1163" spans="2:12" x14ac:dyDescent="0.25">
      <c r="B1163" s="19"/>
      <c r="C1163" s="19"/>
      <c r="D1163" s="19"/>
      <c r="E1163" s="19"/>
      <c r="F1163" s="68"/>
      <c r="G1163" s="19"/>
      <c r="H1163" s="19"/>
      <c r="I1163" s="19"/>
      <c r="J1163" s="19"/>
      <c r="K1163" s="19"/>
      <c r="L1163" s="68"/>
    </row>
    <row r="1164" spans="2:12" x14ac:dyDescent="0.25">
      <c r="B1164" s="19"/>
      <c r="C1164" s="19"/>
      <c r="D1164" s="19"/>
      <c r="E1164" s="19"/>
      <c r="F1164" s="68"/>
      <c r="G1164" s="19"/>
      <c r="H1164" s="19"/>
      <c r="I1164" s="19"/>
      <c r="J1164" s="19"/>
      <c r="K1164" s="19"/>
      <c r="L1164" s="68"/>
    </row>
    <row r="1165" spans="2:12" x14ac:dyDescent="0.25">
      <c r="B1165" s="19"/>
      <c r="C1165" s="19"/>
      <c r="D1165" s="19"/>
      <c r="E1165" s="19"/>
      <c r="F1165" s="68"/>
      <c r="G1165" s="19"/>
      <c r="H1165" s="19"/>
      <c r="I1165" s="19"/>
      <c r="J1165" s="19"/>
      <c r="K1165" s="19"/>
      <c r="L1165" s="68"/>
    </row>
    <row r="1166" spans="2:12" x14ac:dyDescent="0.25">
      <c r="B1166" s="19"/>
      <c r="C1166" s="19"/>
      <c r="D1166" s="19"/>
      <c r="E1166" s="19"/>
      <c r="F1166" s="68"/>
      <c r="G1166" s="19"/>
      <c r="H1166" s="19"/>
      <c r="I1166" s="19"/>
      <c r="J1166" s="19"/>
      <c r="K1166" s="19"/>
      <c r="L1166" s="68"/>
    </row>
    <row r="1167" spans="2:12" x14ac:dyDescent="0.25">
      <c r="B1167" s="19"/>
      <c r="C1167" s="19"/>
      <c r="D1167" s="19"/>
      <c r="E1167" s="19"/>
      <c r="F1167" s="68"/>
      <c r="G1167" s="19"/>
      <c r="H1167" s="19"/>
      <c r="I1167" s="19"/>
      <c r="J1167" s="19"/>
      <c r="K1167" s="19"/>
      <c r="L1167" s="68"/>
    </row>
    <row r="1168" spans="2:12" x14ac:dyDescent="0.25">
      <c r="B1168" s="19"/>
      <c r="C1168" s="19"/>
      <c r="D1168" s="19"/>
      <c r="E1168" s="19"/>
      <c r="F1168" s="68"/>
      <c r="G1168" s="19"/>
      <c r="H1168" s="19"/>
      <c r="I1168" s="19"/>
      <c r="J1168" s="19"/>
      <c r="K1168" s="19"/>
      <c r="L1168" s="68"/>
    </row>
    <row r="1169" spans="2:12" x14ac:dyDescent="0.25">
      <c r="B1169" s="19"/>
      <c r="C1169" s="19"/>
      <c r="D1169" s="19"/>
      <c r="E1169" s="19"/>
      <c r="F1169" s="68"/>
      <c r="G1169" s="19"/>
      <c r="H1169" s="19"/>
      <c r="I1169" s="19"/>
      <c r="J1169" s="19"/>
      <c r="K1169" s="19"/>
      <c r="L1169" s="68"/>
    </row>
    <row r="1170" spans="2:12" x14ac:dyDescent="0.25">
      <c r="B1170" s="19"/>
      <c r="C1170" s="19"/>
      <c r="D1170" s="19"/>
      <c r="E1170" s="19"/>
      <c r="F1170" s="68"/>
      <c r="G1170" s="19"/>
      <c r="H1170" s="19"/>
      <c r="I1170" s="19"/>
      <c r="J1170" s="19"/>
      <c r="K1170" s="19"/>
      <c r="L1170" s="68"/>
    </row>
    <row r="1171" spans="2:12" x14ac:dyDescent="0.25">
      <c r="B1171" s="19"/>
      <c r="C1171" s="19"/>
      <c r="D1171" s="19"/>
      <c r="E1171" s="19"/>
      <c r="F1171" s="68"/>
      <c r="G1171" s="19"/>
      <c r="H1171" s="19"/>
      <c r="I1171" s="19"/>
      <c r="J1171" s="19"/>
      <c r="K1171" s="19"/>
      <c r="L1171" s="68"/>
    </row>
    <row r="1172" spans="2:12" x14ac:dyDescent="0.25">
      <c r="B1172" s="19"/>
      <c r="C1172" s="19"/>
      <c r="D1172" s="19"/>
      <c r="E1172" s="19"/>
      <c r="F1172" s="68"/>
      <c r="G1172" s="19"/>
      <c r="H1172" s="19"/>
      <c r="I1172" s="19"/>
      <c r="J1172" s="19"/>
      <c r="K1172" s="19"/>
      <c r="L1172" s="68"/>
    </row>
    <row r="1173" spans="2:12" x14ac:dyDescent="0.25">
      <c r="B1173" s="19"/>
      <c r="C1173" s="19"/>
      <c r="D1173" s="19"/>
      <c r="E1173" s="19"/>
      <c r="F1173" s="68"/>
      <c r="G1173" s="19"/>
      <c r="H1173" s="19"/>
      <c r="I1173" s="19"/>
      <c r="J1173" s="19"/>
      <c r="K1173" s="19"/>
      <c r="L1173" s="68"/>
    </row>
    <row r="1174" spans="2:12" x14ac:dyDescent="0.25">
      <c r="B1174" s="19"/>
      <c r="C1174" s="19"/>
      <c r="D1174" s="19"/>
      <c r="E1174" s="19"/>
      <c r="F1174" s="68"/>
      <c r="G1174" s="19"/>
      <c r="H1174" s="19"/>
      <c r="I1174" s="19"/>
      <c r="J1174" s="19"/>
      <c r="K1174" s="19"/>
      <c r="L1174" s="68"/>
    </row>
    <row r="1175" spans="2:12" x14ac:dyDescent="0.25">
      <c r="B1175" s="19"/>
      <c r="C1175" s="19"/>
      <c r="D1175" s="19"/>
      <c r="E1175" s="19"/>
      <c r="F1175" s="68"/>
      <c r="G1175" s="19"/>
      <c r="H1175" s="19"/>
      <c r="I1175" s="19"/>
      <c r="J1175" s="19"/>
      <c r="K1175" s="19"/>
      <c r="L1175" s="68"/>
    </row>
    <row r="1176" spans="2:12" x14ac:dyDescent="0.25">
      <c r="B1176" s="19"/>
      <c r="C1176" s="19"/>
      <c r="D1176" s="19"/>
      <c r="E1176" s="19"/>
      <c r="F1176" s="68"/>
      <c r="G1176" s="19"/>
      <c r="H1176" s="19"/>
      <c r="I1176" s="19"/>
      <c r="J1176" s="19"/>
      <c r="K1176" s="19"/>
      <c r="L1176" s="68"/>
    </row>
    <row r="1177" spans="2:12" x14ac:dyDescent="0.25">
      <c r="B1177" s="19"/>
      <c r="C1177" s="19"/>
      <c r="D1177" s="19"/>
      <c r="E1177" s="19"/>
      <c r="F1177" s="68"/>
      <c r="G1177" s="19"/>
      <c r="H1177" s="19"/>
      <c r="I1177" s="19"/>
      <c r="J1177" s="19"/>
      <c r="K1177" s="19"/>
      <c r="L1177" s="68"/>
    </row>
    <row r="1178" spans="2:12" x14ac:dyDescent="0.25">
      <c r="B1178" s="19"/>
      <c r="C1178" s="19"/>
      <c r="D1178" s="19"/>
      <c r="E1178" s="19"/>
      <c r="F1178" s="68"/>
      <c r="G1178" s="19"/>
      <c r="H1178" s="19"/>
      <c r="I1178" s="19"/>
      <c r="J1178" s="19"/>
      <c r="K1178" s="19"/>
      <c r="L1178" s="68"/>
    </row>
    <row r="1179" spans="2:12" x14ac:dyDescent="0.25">
      <c r="B1179" s="19"/>
      <c r="C1179" s="19"/>
      <c r="D1179" s="19"/>
      <c r="E1179" s="19"/>
      <c r="F1179" s="68"/>
      <c r="G1179" s="19"/>
      <c r="H1179" s="19"/>
      <c r="I1179" s="19"/>
      <c r="J1179" s="19"/>
      <c r="K1179" s="19"/>
      <c r="L1179" s="68"/>
    </row>
    <row r="1180" spans="2:12" x14ac:dyDescent="0.25">
      <c r="B1180" s="19"/>
      <c r="C1180" s="19"/>
      <c r="D1180" s="19"/>
      <c r="E1180" s="19"/>
      <c r="F1180" s="68"/>
      <c r="G1180" s="19"/>
      <c r="H1180" s="19"/>
      <c r="I1180" s="19"/>
      <c r="J1180" s="19"/>
      <c r="K1180" s="19"/>
      <c r="L1180" s="68"/>
    </row>
    <row r="1181" spans="2:12" x14ac:dyDescent="0.25">
      <c r="B1181" s="19"/>
      <c r="C1181" s="19"/>
      <c r="D1181" s="19"/>
      <c r="E1181" s="19"/>
      <c r="F1181" s="68"/>
      <c r="G1181" s="19"/>
      <c r="H1181" s="19"/>
      <c r="I1181" s="19"/>
      <c r="J1181" s="19"/>
      <c r="K1181" s="19"/>
      <c r="L1181" s="68"/>
    </row>
    <row r="1182" spans="2:12" x14ac:dyDescent="0.25">
      <c r="B1182" s="19"/>
      <c r="C1182" s="19"/>
      <c r="D1182" s="19"/>
      <c r="E1182" s="19"/>
      <c r="F1182" s="68"/>
      <c r="G1182" s="19"/>
      <c r="H1182" s="19"/>
      <c r="I1182" s="19"/>
      <c r="J1182" s="19"/>
      <c r="K1182" s="19"/>
      <c r="L1182" s="68"/>
    </row>
    <row r="1183" spans="2:12" x14ac:dyDescent="0.25">
      <c r="B1183" s="19"/>
      <c r="C1183" s="19"/>
      <c r="D1183" s="19"/>
      <c r="E1183" s="19"/>
      <c r="F1183" s="68"/>
      <c r="G1183" s="19"/>
      <c r="H1183" s="19"/>
      <c r="I1183" s="19"/>
      <c r="J1183" s="19"/>
      <c r="K1183" s="19"/>
      <c r="L1183" s="68"/>
    </row>
    <row r="1184" spans="2:12" x14ac:dyDescent="0.25">
      <c r="B1184" s="19"/>
      <c r="C1184" s="19"/>
      <c r="D1184" s="19"/>
      <c r="E1184" s="19"/>
      <c r="F1184" s="68"/>
      <c r="G1184" s="19"/>
      <c r="H1184" s="19"/>
      <c r="I1184" s="19"/>
      <c r="J1184" s="19"/>
      <c r="K1184" s="19"/>
      <c r="L1184" s="68"/>
    </row>
    <row r="1185" spans="2:12" x14ac:dyDescent="0.25">
      <c r="B1185" s="19"/>
      <c r="C1185" s="19"/>
      <c r="D1185" s="19"/>
      <c r="E1185" s="19"/>
      <c r="F1185" s="68"/>
      <c r="G1185" s="19"/>
      <c r="H1185" s="19"/>
      <c r="I1185" s="19"/>
      <c r="J1185" s="19"/>
      <c r="K1185" s="19"/>
      <c r="L1185" s="68"/>
    </row>
    <row r="1186" spans="2:12" x14ac:dyDescent="0.25">
      <c r="B1186" s="19"/>
      <c r="C1186" s="19"/>
      <c r="D1186" s="19"/>
      <c r="E1186" s="19"/>
      <c r="F1186" s="68"/>
      <c r="G1186" s="19"/>
      <c r="H1186" s="19"/>
      <c r="I1186" s="19"/>
      <c r="J1186" s="19"/>
      <c r="K1186" s="19"/>
      <c r="L1186" s="68"/>
    </row>
    <row r="1187" spans="2:12" x14ac:dyDescent="0.25">
      <c r="B1187" s="19"/>
      <c r="C1187" s="19"/>
      <c r="D1187" s="19"/>
      <c r="E1187" s="19"/>
      <c r="F1187" s="68"/>
      <c r="G1187" s="19"/>
      <c r="H1187" s="19"/>
      <c r="I1187" s="19"/>
      <c r="J1187" s="19"/>
      <c r="K1187" s="19"/>
      <c r="L1187" s="68"/>
    </row>
    <row r="1188" spans="2:12" x14ac:dyDescent="0.25">
      <c r="B1188" s="19"/>
      <c r="C1188" s="19"/>
      <c r="D1188" s="19"/>
      <c r="E1188" s="19"/>
      <c r="F1188" s="68"/>
      <c r="G1188" s="19"/>
      <c r="H1188" s="19"/>
      <c r="I1188" s="19"/>
      <c r="J1188" s="19"/>
      <c r="K1188" s="19"/>
      <c r="L1188" s="68"/>
    </row>
    <row r="1189" spans="2:12" x14ac:dyDescent="0.25">
      <c r="B1189" s="19"/>
      <c r="C1189" s="19"/>
      <c r="D1189" s="19"/>
      <c r="E1189" s="19"/>
      <c r="F1189" s="68"/>
      <c r="G1189" s="19"/>
      <c r="H1189" s="19"/>
      <c r="I1189" s="19"/>
      <c r="J1189" s="19"/>
      <c r="K1189" s="19"/>
      <c r="L1189" s="68"/>
    </row>
    <row r="1190" spans="2:12" x14ac:dyDescent="0.25">
      <c r="B1190" s="19"/>
      <c r="C1190" s="19"/>
      <c r="D1190" s="19"/>
      <c r="E1190" s="19"/>
      <c r="F1190" s="68"/>
      <c r="G1190" s="19"/>
      <c r="H1190" s="19"/>
      <c r="I1190" s="19"/>
      <c r="J1190" s="19"/>
      <c r="K1190" s="19"/>
      <c r="L1190" s="68"/>
    </row>
    <row r="1191" spans="2:12" x14ac:dyDescent="0.25">
      <c r="B1191" s="19"/>
      <c r="C1191" s="19"/>
      <c r="D1191" s="19"/>
      <c r="E1191" s="19"/>
      <c r="F1191" s="68"/>
      <c r="G1191" s="19"/>
      <c r="H1191" s="19"/>
      <c r="I1191" s="19"/>
      <c r="J1191" s="19"/>
      <c r="K1191" s="19"/>
      <c r="L1191" s="68"/>
    </row>
    <row r="1192" spans="2:12" x14ac:dyDescent="0.25">
      <c r="B1192" s="19"/>
      <c r="C1192" s="19"/>
      <c r="D1192" s="19"/>
      <c r="E1192" s="19"/>
      <c r="F1192" s="68"/>
      <c r="G1192" s="19"/>
      <c r="H1192" s="19"/>
      <c r="I1192" s="19"/>
      <c r="J1192" s="19"/>
      <c r="K1192" s="19"/>
      <c r="L1192" s="68"/>
    </row>
    <row r="1193" spans="2:12" x14ac:dyDescent="0.25">
      <c r="B1193" s="19"/>
      <c r="C1193" s="19"/>
      <c r="D1193" s="19"/>
      <c r="E1193" s="19"/>
      <c r="F1193" s="68"/>
      <c r="G1193" s="19"/>
      <c r="H1193" s="19"/>
      <c r="I1193" s="19"/>
      <c r="J1193" s="19"/>
      <c r="K1193" s="19"/>
      <c r="L1193" s="68"/>
    </row>
    <row r="1194" spans="2:12" x14ac:dyDescent="0.25">
      <c r="B1194" s="19"/>
      <c r="C1194" s="19"/>
      <c r="D1194" s="19"/>
      <c r="E1194" s="19"/>
      <c r="F1194" s="68"/>
      <c r="G1194" s="19"/>
      <c r="H1194" s="19"/>
      <c r="I1194" s="19"/>
      <c r="J1194" s="19"/>
      <c r="K1194" s="19"/>
      <c r="L1194" s="68"/>
    </row>
    <row r="1195" spans="2:12" x14ac:dyDescent="0.25">
      <c r="B1195" s="19"/>
      <c r="C1195" s="19"/>
      <c r="D1195" s="19"/>
      <c r="E1195" s="19"/>
      <c r="F1195" s="68"/>
      <c r="G1195" s="19"/>
      <c r="H1195" s="19"/>
      <c r="I1195" s="19"/>
      <c r="J1195" s="19"/>
      <c r="K1195" s="19"/>
      <c r="L1195" s="68"/>
    </row>
    <row r="1196" spans="2:12" x14ac:dyDescent="0.25">
      <c r="B1196" s="19"/>
      <c r="C1196" s="19"/>
      <c r="D1196" s="19"/>
      <c r="E1196" s="19"/>
      <c r="F1196" s="68"/>
      <c r="G1196" s="19"/>
      <c r="H1196" s="19"/>
      <c r="I1196" s="19"/>
      <c r="J1196" s="19"/>
      <c r="K1196" s="19"/>
      <c r="L1196" s="68"/>
    </row>
    <row r="1197" spans="2:12" x14ac:dyDescent="0.25">
      <c r="B1197" s="19"/>
      <c r="C1197" s="19"/>
      <c r="D1197" s="19"/>
      <c r="E1197" s="19"/>
      <c r="F1197" s="68"/>
      <c r="G1197" s="19"/>
      <c r="H1197" s="19"/>
      <c r="I1197" s="19"/>
      <c r="J1197" s="19"/>
      <c r="K1197" s="19"/>
      <c r="L1197" s="68"/>
    </row>
    <row r="1198" spans="2:12" x14ac:dyDescent="0.25">
      <c r="B1198" s="19"/>
      <c r="C1198" s="19"/>
      <c r="D1198" s="19"/>
      <c r="E1198" s="19"/>
      <c r="F1198" s="68"/>
      <c r="G1198" s="19"/>
      <c r="H1198" s="19"/>
      <c r="I1198" s="19"/>
      <c r="J1198" s="19"/>
      <c r="K1198" s="19"/>
      <c r="L1198" s="68"/>
    </row>
    <row r="1199" spans="2:12" x14ac:dyDescent="0.25">
      <c r="B1199" s="19"/>
      <c r="C1199" s="19"/>
      <c r="D1199" s="19"/>
      <c r="E1199" s="19"/>
      <c r="F1199" s="68"/>
      <c r="G1199" s="19"/>
      <c r="H1199" s="19"/>
      <c r="I1199" s="19"/>
      <c r="J1199" s="19"/>
      <c r="K1199" s="19"/>
      <c r="L1199" s="68"/>
    </row>
    <row r="1200" spans="2:12" x14ac:dyDescent="0.25">
      <c r="B1200" s="19"/>
      <c r="C1200" s="19"/>
      <c r="D1200" s="19"/>
      <c r="E1200" s="19"/>
      <c r="F1200" s="68"/>
      <c r="G1200" s="19"/>
      <c r="H1200" s="19"/>
      <c r="I1200" s="19"/>
      <c r="J1200" s="19"/>
      <c r="K1200" s="19"/>
      <c r="L1200" s="68"/>
    </row>
    <row r="1201" spans="2:12" x14ac:dyDescent="0.25">
      <c r="B1201" s="19"/>
      <c r="C1201" s="19"/>
      <c r="D1201" s="19"/>
      <c r="E1201" s="19"/>
      <c r="F1201" s="68"/>
      <c r="G1201" s="19"/>
      <c r="H1201" s="19"/>
      <c r="I1201" s="19"/>
      <c r="J1201" s="19"/>
      <c r="K1201" s="19"/>
      <c r="L1201" s="68"/>
    </row>
    <row r="1202" spans="2:12" x14ac:dyDescent="0.25">
      <c r="B1202" s="19"/>
      <c r="C1202" s="19"/>
      <c r="D1202" s="19"/>
      <c r="E1202" s="19"/>
      <c r="F1202" s="68"/>
      <c r="G1202" s="19"/>
      <c r="H1202" s="19"/>
      <c r="I1202" s="19"/>
      <c r="J1202" s="19"/>
      <c r="K1202" s="19"/>
      <c r="L1202" s="68"/>
    </row>
    <row r="1203" spans="2:12" x14ac:dyDescent="0.25">
      <c r="B1203" s="19"/>
      <c r="C1203" s="19"/>
      <c r="D1203" s="19"/>
      <c r="E1203" s="19"/>
      <c r="F1203" s="68"/>
      <c r="G1203" s="19"/>
      <c r="H1203" s="19"/>
      <c r="I1203" s="19"/>
      <c r="J1203" s="19"/>
      <c r="K1203" s="19"/>
      <c r="L1203" s="68"/>
    </row>
    <row r="1204" spans="2:12" x14ac:dyDescent="0.25">
      <c r="B1204" s="19"/>
      <c r="C1204" s="19"/>
      <c r="D1204" s="19"/>
      <c r="E1204" s="19"/>
      <c r="F1204" s="68"/>
      <c r="G1204" s="19"/>
      <c r="H1204" s="19"/>
      <c r="I1204" s="19"/>
      <c r="J1204" s="19"/>
      <c r="K1204" s="19"/>
      <c r="L1204" s="68"/>
    </row>
    <row r="1205" spans="2:12" x14ac:dyDescent="0.25">
      <c r="B1205" s="19"/>
      <c r="C1205" s="19"/>
      <c r="D1205" s="19"/>
      <c r="E1205" s="19"/>
      <c r="F1205" s="68"/>
      <c r="G1205" s="19"/>
      <c r="H1205" s="19"/>
      <c r="I1205" s="19"/>
      <c r="J1205" s="19"/>
      <c r="K1205" s="19"/>
      <c r="L1205" s="68"/>
    </row>
    <row r="1206" spans="2:12" x14ac:dyDescent="0.25">
      <c r="B1206" s="19"/>
      <c r="C1206" s="19"/>
      <c r="D1206" s="19"/>
      <c r="E1206" s="19"/>
      <c r="F1206" s="68"/>
      <c r="G1206" s="19"/>
      <c r="H1206" s="19"/>
      <c r="I1206" s="19"/>
      <c r="J1206" s="19"/>
      <c r="K1206" s="19"/>
      <c r="L1206" s="68"/>
    </row>
    <row r="1207" spans="2:12" x14ac:dyDescent="0.25">
      <c r="B1207" s="19"/>
      <c r="C1207" s="19"/>
      <c r="D1207" s="19"/>
      <c r="E1207" s="19"/>
      <c r="F1207" s="68"/>
      <c r="G1207" s="19"/>
      <c r="H1207" s="19"/>
      <c r="I1207" s="19"/>
      <c r="J1207" s="19"/>
      <c r="K1207" s="19"/>
      <c r="L1207" s="68"/>
    </row>
    <row r="1208" spans="2:12" x14ac:dyDescent="0.25">
      <c r="B1208" s="19"/>
      <c r="C1208" s="19"/>
      <c r="D1208" s="19"/>
      <c r="E1208" s="19"/>
      <c r="F1208" s="68"/>
      <c r="G1208" s="19"/>
      <c r="H1208" s="19"/>
      <c r="I1208" s="19"/>
      <c r="J1208" s="19"/>
      <c r="K1208" s="19"/>
      <c r="L1208" s="68"/>
    </row>
    <row r="1209" spans="2:12" x14ac:dyDescent="0.25">
      <c r="B1209" s="19"/>
      <c r="C1209" s="19"/>
      <c r="D1209" s="19"/>
      <c r="E1209" s="19"/>
      <c r="F1209" s="68"/>
      <c r="G1209" s="19"/>
      <c r="H1209" s="19"/>
      <c r="I1209" s="19"/>
      <c r="J1209" s="19"/>
      <c r="K1209" s="19"/>
      <c r="L1209" s="68"/>
    </row>
    <row r="1210" spans="2:12" x14ac:dyDescent="0.25">
      <c r="B1210" s="19"/>
      <c r="C1210" s="19"/>
      <c r="D1210" s="19"/>
      <c r="E1210" s="19"/>
      <c r="F1210" s="68"/>
      <c r="G1210" s="19"/>
      <c r="H1210" s="19"/>
      <c r="I1210" s="19"/>
      <c r="J1210" s="19"/>
      <c r="K1210" s="19"/>
      <c r="L1210" s="68"/>
    </row>
    <row r="1211" spans="2:12" x14ac:dyDescent="0.25">
      <c r="B1211" s="19"/>
      <c r="C1211" s="19"/>
      <c r="D1211" s="19"/>
      <c r="E1211" s="19"/>
      <c r="F1211" s="68"/>
      <c r="G1211" s="19"/>
      <c r="H1211" s="19"/>
      <c r="I1211" s="19"/>
      <c r="J1211" s="19"/>
      <c r="K1211" s="19"/>
      <c r="L1211" s="68"/>
    </row>
    <row r="1212" spans="2:12" x14ac:dyDescent="0.25">
      <c r="B1212" s="19"/>
      <c r="C1212" s="19"/>
      <c r="D1212" s="19"/>
      <c r="E1212" s="19"/>
      <c r="F1212" s="68"/>
      <c r="G1212" s="19"/>
      <c r="H1212" s="19"/>
      <c r="I1212" s="19"/>
      <c r="J1212" s="19"/>
      <c r="K1212" s="19"/>
      <c r="L1212" s="68"/>
    </row>
    <row r="1213" spans="2:12" x14ac:dyDescent="0.25">
      <c r="B1213" s="19"/>
      <c r="C1213" s="19"/>
      <c r="D1213" s="19"/>
      <c r="E1213" s="19"/>
      <c r="F1213" s="68"/>
      <c r="G1213" s="19"/>
      <c r="H1213" s="19"/>
      <c r="I1213" s="19"/>
      <c r="J1213" s="19"/>
      <c r="K1213" s="19"/>
      <c r="L1213" s="68"/>
    </row>
    <row r="1214" spans="2:12" x14ac:dyDescent="0.25">
      <c r="B1214" s="19"/>
      <c r="C1214" s="19"/>
      <c r="D1214" s="19"/>
      <c r="E1214" s="19"/>
      <c r="F1214" s="68"/>
      <c r="G1214" s="19"/>
      <c r="H1214" s="19"/>
      <c r="I1214" s="19"/>
      <c r="J1214" s="19"/>
      <c r="K1214" s="19"/>
      <c r="L1214" s="68"/>
    </row>
    <row r="1215" spans="2:12" x14ac:dyDescent="0.25">
      <c r="B1215" s="19"/>
      <c r="C1215" s="19"/>
      <c r="D1215" s="19"/>
      <c r="E1215" s="19"/>
      <c r="F1215" s="68"/>
      <c r="G1215" s="19"/>
      <c r="H1215" s="19"/>
      <c r="I1215" s="19"/>
      <c r="J1215" s="19"/>
      <c r="K1215" s="19"/>
      <c r="L1215" s="68"/>
    </row>
    <row r="1216" spans="2:12" x14ac:dyDescent="0.25">
      <c r="B1216" s="19"/>
      <c r="C1216" s="19"/>
      <c r="D1216" s="19"/>
      <c r="E1216" s="19"/>
      <c r="F1216" s="68"/>
      <c r="G1216" s="19"/>
      <c r="H1216" s="19"/>
      <c r="I1216" s="19"/>
      <c r="J1216" s="19"/>
      <c r="K1216" s="19"/>
      <c r="L1216" s="68"/>
    </row>
    <row r="1217" spans="2:12" x14ac:dyDescent="0.25">
      <c r="B1217" s="19"/>
      <c r="C1217" s="19"/>
      <c r="D1217" s="19"/>
      <c r="E1217" s="19"/>
      <c r="F1217" s="68"/>
      <c r="G1217" s="19"/>
      <c r="H1217" s="19"/>
      <c r="I1217" s="19"/>
      <c r="J1217" s="19"/>
      <c r="K1217" s="19"/>
      <c r="L1217" s="68"/>
    </row>
    <row r="1218" spans="2:12" x14ac:dyDescent="0.25">
      <c r="B1218" s="19"/>
      <c r="C1218" s="19"/>
      <c r="D1218" s="19"/>
      <c r="E1218" s="19"/>
      <c r="F1218" s="68"/>
      <c r="G1218" s="19"/>
      <c r="H1218" s="19"/>
      <c r="I1218" s="19"/>
      <c r="J1218" s="19"/>
      <c r="K1218" s="19"/>
      <c r="L1218" s="68"/>
    </row>
    <row r="1219" spans="2:12" x14ac:dyDescent="0.25">
      <c r="B1219" s="19"/>
      <c r="C1219" s="19"/>
      <c r="D1219" s="19"/>
      <c r="E1219" s="19"/>
      <c r="F1219" s="68"/>
      <c r="G1219" s="19"/>
      <c r="H1219" s="19"/>
      <c r="I1219" s="19"/>
      <c r="J1219" s="19"/>
      <c r="K1219" s="19"/>
      <c r="L1219" s="68"/>
    </row>
    <row r="1220" spans="2:12" x14ac:dyDescent="0.25">
      <c r="B1220" s="19"/>
      <c r="C1220" s="19"/>
      <c r="D1220" s="19"/>
      <c r="E1220" s="19"/>
      <c r="F1220" s="68"/>
      <c r="G1220" s="19"/>
      <c r="H1220" s="19"/>
      <c r="I1220" s="19"/>
      <c r="J1220" s="19"/>
      <c r="K1220" s="19"/>
      <c r="L1220" s="68"/>
    </row>
    <row r="1221" spans="2:12" x14ac:dyDescent="0.25">
      <c r="B1221" s="19"/>
      <c r="C1221" s="19"/>
      <c r="D1221" s="19"/>
      <c r="E1221" s="19"/>
      <c r="F1221" s="68"/>
      <c r="G1221" s="19"/>
      <c r="H1221" s="19"/>
      <c r="I1221" s="19"/>
      <c r="J1221" s="19"/>
      <c r="K1221" s="19"/>
      <c r="L1221" s="68"/>
    </row>
    <row r="1222" spans="2:12" x14ac:dyDescent="0.25">
      <c r="B1222" s="19"/>
      <c r="C1222" s="19"/>
      <c r="D1222" s="19"/>
      <c r="E1222" s="19"/>
      <c r="F1222" s="68"/>
      <c r="G1222" s="19"/>
      <c r="H1222" s="19"/>
      <c r="I1222" s="19"/>
      <c r="J1222" s="19"/>
      <c r="K1222" s="19"/>
      <c r="L1222" s="68"/>
    </row>
    <row r="1223" spans="2:12" x14ac:dyDescent="0.25">
      <c r="B1223" s="19"/>
      <c r="C1223" s="19"/>
      <c r="D1223" s="19"/>
      <c r="E1223" s="19"/>
      <c r="F1223" s="68"/>
      <c r="G1223" s="19"/>
      <c r="H1223" s="19"/>
      <c r="I1223" s="19"/>
      <c r="J1223" s="19"/>
      <c r="K1223" s="19"/>
      <c r="L1223" s="68"/>
    </row>
    <row r="1224" spans="2:12" x14ac:dyDescent="0.25">
      <c r="B1224" s="19"/>
      <c r="C1224" s="19"/>
      <c r="D1224" s="19"/>
      <c r="E1224" s="19"/>
      <c r="F1224" s="68"/>
      <c r="G1224" s="19"/>
      <c r="H1224" s="19"/>
      <c r="I1224" s="19"/>
      <c r="J1224" s="19"/>
      <c r="K1224" s="19"/>
      <c r="L1224" s="68"/>
    </row>
    <row r="1225" spans="2:12" x14ac:dyDescent="0.25">
      <c r="B1225" s="19"/>
      <c r="C1225" s="19"/>
      <c r="D1225" s="19"/>
      <c r="E1225" s="19"/>
      <c r="F1225" s="68"/>
      <c r="G1225" s="19"/>
      <c r="H1225" s="19"/>
      <c r="I1225" s="19"/>
      <c r="J1225" s="19"/>
      <c r="K1225" s="19"/>
      <c r="L1225" s="68"/>
    </row>
    <row r="1226" spans="2:12" x14ac:dyDescent="0.25">
      <c r="B1226" s="19"/>
      <c r="C1226" s="19"/>
      <c r="D1226" s="19"/>
      <c r="E1226" s="19"/>
      <c r="F1226" s="68"/>
      <c r="G1226" s="19"/>
      <c r="H1226" s="19"/>
      <c r="I1226" s="19"/>
      <c r="J1226" s="19"/>
      <c r="K1226" s="19"/>
      <c r="L1226" s="68"/>
    </row>
    <row r="1227" spans="2:12" x14ac:dyDescent="0.25">
      <c r="B1227" s="19"/>
      <c r="C1227" s="19"/>
      <c r="D1227" s="19"/>
      <c r="E1227" s="19"/>
      <c r="F1227" s="68"/>
      <c r="G1227" s="19"/>
      <c r="H1227" s="19"/>
      <c r="I1227" s="19"/>
      <c r="J1227" s="19"/>
      <c r="K1227" s="19"/>
      <c r="L1227" s="68"/>
    </row>
    <row r="1228" spans="2:12" x14ac:dyDescent="0.25">
      <c r="B1228" s="19"/>
      <c r="C1228" s="19"/>
      <c r="D1228" s="19"/>
      <c r="E1228" s="19"/>
      <c r="F1228" s="68"/>
      <c r="G1228" s="19"/>
      <c r="H1228" s="19"/>
      <c r="I1228" s="19"/>
      <c r="J1228" s="19"/>
      <c r="K1228" s="19"/>
      <c r="L1228" s="68"/>
    </row>
    <row r="1229" spans="2:12" x14ac:dyDescent="0.25">
      <c r="B1229" s="19"/>
      <c r="C1229" s="19"/>
      <c r="D1229" s="19"/>
      <c r="E1229" s="19"/>
      <c r="F1229" s="68"/>
      <c r="G1229" s="19"/>
      <c r="H1229" s="19"/>
      <c r="I1229" s="19"/>
      <c r="J1229" s="19"/>
      <c r="K1229" s="19"/>
      <c r="L1229" s="68"/>
    </row>
    <row r="1230" spans="2:12" x14ac:dyDescent="0.25">
      <c r="B1230" s="19"/>
      <c r="C1230" s="19"/>
      <c r="D1230" s="19"/>
      <c r="E1230" s="19"/>
      <c r="F1230" s="68"/>
      <c r="G1230" s="19"/>
      <c r="H1230" s="19"/>
      <c r="I1230" s="19"/>
      <c r="J1230" s="19"/>
      <c r="K1230" s="19"/>
      <c r="L1230" s="68"/>
    </row>
    <row r="1231" spans="2:12" x14ac:dyDescent="0.25">
      <c r="B1231" s="19"/>
      <c r="C1231" s="19"/>
      <c r="D1231" s="19"/>
      <c r="E1231" s="19"/>
      <c r="F1231" s="68"/>
      <c r="G1231" s="19"/>
      <c r="H1231" s="19"/>
      <c r="I1231" s="19"/>
      <c r="J1231" s="19"/>
      <c r="K1231" s="19"/>
      <c r="L1231" s="68"/>
    </row>
    <row r="1232" spans="2:12" x14ac:dyDescent="0.25">
      <c r="B1232" s="19"/>
      <c r="C1232" s="19"/>
      <c r="D1232" s="19"/>
      <c r="E1232" s="19"/>
      <c r="F1232" s="68"/>
      <c r="G1232" s="19"/>
      <c r="H1232" s="19"/>
      <c r="I1232" s="19"/>
      <c r="J1232" s="19"/>
      <c r="K1232" s="19"/>
      <c r="L1232" s="68"/>
    </row>
    <row r="1233" spans="2:12" x14ac:dyDescent="0.25">
      <c r="B1233" s="19"/>
      <c r="C1233" s="19"/>
      <c r="D1233" s="19"/>
      <c r="E1233" s="19"/>
      <c r="F1233" s="68"/>
      <c r="G1233" s="19"/>
      <c r="H1233" s="19"/>
      <c r="I1233" s="19"/>
      <c r="J1233" s="19"/>
      <c r="K1233" s="19"/>
      <c r="L1233" s="68"/>
    </row>
    <row r="1234" spans="2:12" x14ac:dyDescent="0.25">
      <c r="B1234" s="19"/>
      <c r="C1234" s="19"/>
      <c r="D1234" s="19"/>
      <c r="E1234" s="19"/>
      <c r="F1234" s="68"/>
      <c r="G1234" s="19"/>
      <c r="H1234" s="19"/>
      <c r="I1234" s="19"/>
      <c r="J1234" s="19"/>
      <c r="K1234" s="19"/>
      <c r="L1234" s="68"/>
    </row>
    <row r="1235" spans="2:12" x14ac:dyDescent="0.25">
      <c r="B1235" s="19"/>
      <c r="C1235" s="19"/>
      <c r="D1235" s="19"/>
      <c r="E1235" s="19"/>
      <c r="F1235" s="68"/>
      <c r="G1235" s="19"/>
      <c r="H1235" s="19"/>
      <c r="I1235" s="19"/>
      <c r="J1235" s="19"/>
      <c r="K1235" s="19"/>
      <c r="L1235" s="68"/>
    </row>
    <row r="1236" spans="2:12" x14ac:dyDescent="0.25">
      <c r="B1236" s="19"/>
      <c r="C1236" s="19"/>
      <c r="D1236" s="19"/>
      <c r="E1236" s="19"/>
      <c r="F1236" s="68"/>
      <c r="G1236" s="19"/>
      <c r="H1236" s="19"/>
      <c r="I1236" s="19"/>
      <c r="J1236" s="19"/>
      <c r="K1236" s="19"/>
      <c r="L1236" s="68"/>
    </row>
    <row r="1237" spans="2:12" x14ac:dyDescent="0.25">
      <c r="B1237" s="19"/>
      <c r="C1237" s="19"/>
      <c r="D1237" s="19"/>
      <c r="E1237" s="19"/>
      <c r="F1237" s="68"/>
      <c r="G1237" s="19"/>
      <c r="H1237" s="19"/>
      <c r="I1237" s="19"/>
      <c r="J1237" s="19"/>
      <c r="K1237" s="19"/>
      <c r="L1237" s="68"/>
    </row>
    <row r="1238" spans="2:12" x14ac:dyDescent="0.25">
      <c r="B1238" s="19"/>
      <c r="C1238" s="19"/>
      <c r="D1238" s="19"/>
      <c r="E1238" s="19"/>
      <c r="F1238" s="68"/>
      <c r="G1238" s="19"/>
      <c r="H1238" s="19"/>
      <c r="I1238" s="19"/>
      <c r="J1238" s="19"/>
      <c r="K1238" s="19"/>
      <c r="L1238" s="68"/>
    </row>
    <row r="1239" spans="2:12" x14ac:dyDescent="0.25">
      <c r="B1239" s="19"/>
      <c r="C1239" s="19"/>
      <c r="D1239" s="19"/>
      <c r="E1239" s="19"/>
      <c r="F1239" s="68"/>
      <c r="G1239" s="19"/>
      <c r="H1239" s="19"/>
      <c r="I1239" s="19"/>
      <c r="J1239" s="19"/>
      <c r="K1239" s="19"/>
      <c r="L1239" s="68"/>
    </row>
    <row r="1240" spans="2:12" x14ac:dyDescent="0.25">
      <c r="B1240" s="19"/>
      <c r="C1240" s="19"/>
      <c r="D1240" s="19"/>
      <c r="E1240" s="19"/>
      <c r="F1240" s="68"/>
      <c r="G1240" s="19"/>
      <c r="H1240" s="19"/>
      <c r="I1240" s="19"/>
      <c r="J1240" s="19"/>
      <c r="K1240" s="19"/>
      <c r="L1240" s="68"/>
    </row>
    <row r="1241" spans="2:12" x14ac:dyDescent="0.25">
      <c r="B1241" s="19"/>
      <c r="C1241" s="19"/>
      <c r="D1241" s="19"/>
      <c r="E1241" s="19"/>
      <c r="F1241" s="68"/>
      <c r="G1241" s="19"/>
      <c r="H1241" s="19"/>
      <c r="I1241" s="19"/>
      <c r="J1241" s="19"/>
      <c r="K1241" s="19"/>
      <c r="L1241" s="68"/>
    </row>
    <row r="1242" spans="2:12" x14ac:dyDescent="0.25">
      <c r="B1242" s="19"/>
      <c r="C1242" s="19"/>
      <c r="D1242" s="19"/>
      <c r="E1242" s="19"/>
      <c r="F1242" s="68"/>
      <c r="G1242" s="19"/>
      <c r="H1242" s="19"/>
      <c r="I1242" s="19"/>
      <c r="J1242" s="19"/>
      <c r="K1242" s="19"/>
      <c r="L1242" s="68"/>
    </row>
    <row r="1243" spans="2:12" x14ac:dyDescent="0.25">
      <c r="B1243" s="19"/>
      <c r="C1243" s="19"/>
      <c r="D1243" s="19"/>
      <c r="E1243" s="19"/>
      <c r="F1243" s="68"/>
      <c r="G1243" s="19"/>
      <c r="H1243" s="19"/>
      <c r="I1243" s="19"/>
      <c r="J1243" s="19"/>
      <c r="K1243" s="19"/>
      <c r="L1243" s="68"/>
    </row>
    <row r="1244" spans="2:12" x14ac:dyDescent="0.25">
      <c r="B1244" s="19"/>
      <c r="C1244" s="19"/>
      <c r="D1244" s="19"/>
      <c r="E1244" s="19"/>
      <c r="F1244" s="68"/>
      <c r="G1244" s="19"/>
      <c r="H1244" s="19"/>
      <c r="I1244" s="19"/>
      <c r="J1244" s="19"/>
      <c r="K1244" s="19"/>
      <c r="L1244" s="68"/>
    </row>
    <row r="1245" spans="2:12" x14ac:dyDescent="0.25">
      <c r="B1245" s="19"/>
      <c r="C1245" s="19"/>
      <c r="D1245" s="19"/>
      <c r="E1245" s="19"/>
      <c r="F1245" s="68"/>
      <c r="G1245" s="19"/>
      <c r="H1245" s="19"/>
      <c r="I1245" s="19"/>
      <c r="J1245" s="19"/>
      <c r="K1245" s="19"/>
      <c r="L1245" s="68"/>
    </row>
    <row r="1246" spans="2:12" x14ac:dyDescent="0.25">
      <c r="B1246" s="19"/>
      <c r="C1246" s="19"/>
      <c r="D1246" s="19"/>
      <c r="E1246" s="19"/>
      <c r="F1246" s="68"/>
      <c r="G1246" s="19"/>
      <c r="H1246" s="19"/>
      <c r="I1246" s="19"/>
      <c r="J1246" s="19"/>
      <c r="K1246" s="19"/>
      <c r="L1246" s="68"/>
    </row>
    <row r="1247" spans="2:12" x14ac:dyDescent="0.25">
      <c r="B1247" s="19"/>
      <c r="C1247" s="19"/>
      <c r="D1247" s="19"/>
      <c r="E1247" s="19"/>
      <c r="F1247" s="68"/>
      <c r="G1247" s="19"/>
      <c r="H1247" s="19"/>
      <c r="I1247" s="19"/>
      <c r="J1247" s="19"/>
      <c r="K1247" s="19"/>
      <c r="L1247" s="68"/>
    </row>
    <row r="1248" spans="2:12" x14ac:dyDescent="0.25">
      <c r="B1248" s="19"/>
      <c r="C1248" s="19"/>
      <c r="D1248" s="19"/>
      <c r="E1248" s="19"/>
      <c r="F1248" s="68"/>
      <c r="G1248" s="19"/>
      <c r="H1248" s="19"/>
      <c r="I1248" s="19"/>
      <c r="J1248" s="19"/>
      <c r="K1248" s="19"/>
      <c r="L1248" s="68"/>
    </row>
    <row r="1249" spans="2:12" x14ac:dyDescent="0.25">
      <c r="B1249" s="19"/>
      <c r="C1249" s="19"/>
      <c r="D1249" s="19"/>
      <c r="E1249" s="19"/>
      <c r="F1249" s="68"/>
      <c r="G1249" s="19"/>
      <c r="H1249" s="19"/>
      <c r="I1249" s="19"/>
      <c r="J1249" s="19"/>
      <c r="K1249" s="19"/>
      <c r="L1249" s="68"/>
    </row>
    <row r="1250" spans="2:12" x14ac:dyDescent="0.25">
      <c r="B1250" s="19"/>
      <c r="C1250" s="19"/>
      <c r="D1250" s="19"/>
      <c r="E1250" s="19"/>
      <c r="F1250" s="68"/>
      <c r="G1250" s="19"/>
      <c r="H1250" s="19"/>
      <c r="I1250" s="19"/>
      <c r="J1250" s="19"/>
      <c r="K1250" s="19"/>
      <c r="L1250" s="68"/>
    </row>
    <row r="1251" spans="2:12" x14ac:dyDescent="0.25">
      <c r="B1251" s="19"/>
      <c r="C1251" s="19"/>
      <c r="D1251" s="19"/>
      <c r="E1251" s="19"/>
      <c r="F1251" s="68"/>
      <c r="G1251" s="19"/>
      <c r="H1251" s="19"/>
      <c r="I1251" s="19"/>
      <c r="J1251" s="19"/>
      <c r="K1251" s="19"/>
      <c r="L1251" s="68"/>
    </row>
    <row r="1252" spans="2:12" x14ac:dyDescent="0.25">
      <c r="B1252" s="19"/>
      <c r="C1252" s="19"/>
      <c r="D1252" s="19"/>
      <c r="E1252" s="19"/>
      <c r="F1252" s="68"/>
      <c r="G1252" s="19"/>
      <c r="H1252" s="19"/>
      <c r="I1252" s="19"/>
      <c r="J1252" s="19"/>
      <c r="K1252" s="19"/>
      <c r="L1252" s="68"/>
    </row>
    <row r="1253" spans="2:12" x14ac:dyDescent="0.25">
      <c r="B1253" s="19"/>
      <c r="C1253" s="19"/>
      <c r="D1253" s="19"/>
      <c r="E1253" s="19"/>
      <c r="F1253" s="68"/>
      <c r="G1253" s="19"/>
      <c r="H1253" s="19"/>
      <c r="I1253" s="19"/>
      <c r="J1253" s="19"/>
      <c r="K1253" s="19"/>
      <c r="L1253" s="68"/>
    </row>
    <row r="1254" spans="2:12" x14ac:dyDescent="0.25">
      <c r="B1254" s="19"/>
      <c r="C1254" s="19"/>
      <c r="D1254" s="19"/>
      <c r="E1254" s="19"/>
      <c r="F1254" s="68"/>
      <c r="G1254" s="19"/>
      <c r="H1254" s="19"/>
      <c r="I1254" s="19"/>
      <c r="J1254" s="19"/>
      <c r="K1254" s="19"/>
      <c r="L1254" s="68"/>
    </row>
    <row r="1255" spans="2:12" x14ac:dyDescent="0.25">
      <c r="B1255" s="19"/>
      <c r="C1255" s="19"/>
      <c r="D1255" s="19"/>
      <c r="E1255" s="19"/>
      <c r="F1255" s="68"/>
      <c r="G1255" s="19"/>
      <c r="H1255" s="19"/>
      <c r="I1255" s="19"/>
      <c r="J1255" s="19"/>
      <c r="K1255" s="19"/>
      <c r="L1255" s="68"/>
    </row>
    <row r="1256" spans="2:12" x14ac:dyDescent="0.25">
      <c r="B1256" s="19"/>
      <c r="C1256" s="19"/>
      <c r="D1256" s="19"/>
      <c r="E1256" s="19"/>
      <c r="F1256" s="68"/>
      <c r="G1256" s="19"/>
      <c r="H1256" s="19"/>
      <c r="I1256" s="19"/>
      <c r="J1256" s="19"/>
      <c r="K1256" s="19"/>
      <c r="L1256" s="68"/>
    </row>
    <row r="1257" spans="2:12" x14ac:dyDescent="0.25">
      <c r="B1257" s="19"/>
      <c r="C1257" s="19"/>
      <c r="D1257" s="19"/>
      <c r="E1257" s="19"/>
      <c r="F1257" s="68"/>
      <c r="G1257" s="19"/>
      <c r="H1257" s="19"/>
      <c r="I1257" s="19"/>
      <c r="J1257" s="19"/>
      <c r="K1257" s="19"/>
      <c r="L1257" s="68"/>
    </row>
    <row r="1258" spans="2:12" x14ac:dyDescent="0.25">
      <c r="B1258" s="19"/>
      <c r="C1258" s="19"/>
      <c r="D1258" s="19"/>
      <c r="E1258" s="19"/>
      <c r="F1258" s="68"/>
      <c r="G1258" s="19"/>
      <c r="H1258" s="19"/>
      <c r="I1258" s="19"/>
      <c r="J1258" s="19"/>
      <c r="K1258" s="19"/>
      <c r="L1258" s="68"/>
    </row>
    <row r="1259" spans="2:12" x14ac:dyDescent="0.25">
      <c r="B1259" s="19"/>
      <c r="C1259" s="19"/>
      <c r="D1259" s="19"/>
      <c r="E1259" s="19"/>
      <c r="F1259" s="68"/>
      <c r="G1259" s="19"/>
      <c r="H1259" s="19"/>
      <c r="I1259" s="19"/>
      <c r="J1259" s="19"/>
      <c r="K1259" s="19"/>
      <c r="L1259" s="68"/>
    </row>
    <row r="1260" spans="2:12" x14ac:dyDescent="0.25">
      <c r="B1260" s="19"/>
      <c r="C1260" s="19"/>
      <c r="D1260" s="19"/>
      <c r="E1260" s="19"/>
      <c r="F1260" s="68"/>
      <c r="G1260" s="19"/>
      <c r="H1260" s="19"/>
      <c r="I1260" s="19"/>
      <c r="J1260" s="19"/>
      <c r="K1260" s="19"/>
      <c r="L1260" s="68"/>
    </row>
    <row r="1261" spans="2:12" x14ac:dyDescent="0.25">
      <c r="B1261" s="19"/>
      <c r="C1261" s="19"/>
      <c r="D1261" s="19"/>
      <c r="E1261" s="19"/>
      <c r="F1261" s="68"/>
      <c r="G1261" s="19"/>
      <c r="H1261" s="19"/>
      <c r="I1261" s="19"/>
      <c r="J1261" s="19"/>
      <c r="K1261" s="19"/>
      <c r="L1261" s="68"/>
    </row>
  </sheetData>
  <phoneticPr fontId="39" type="noConversion"/>
  <pageMargins left="0.75" right="0.75" top="1" bottom="1" header="0.5" footer="0.5"/>
  <pageSetup scale="45" orientation="portrait" r:id="rId1"/>
  <headerFooter alignWithMargins="0"/>
  <rowBreaks count="2" manualBreakCount="2">
    <brk id="76" max="29" man="1"/>
    <brk id="213" max="16383" man="1"/>
  </rowBreaks>
  <colBreaks count="1" manualBreakCount="1">
    <brk id="12" max="1048575" man="1"/>
  </col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C941"/>
  <sheetViews>
    <sheetView zoomScale="90" zoomScaleNormal="90" workbookViewId="0">
      <pane xSplit="1" ySplit="1" topLeftCell="D333" activePane="bottomRight" state="frozen"/>
      <selection activeCell="O329" sqref="O329"/>
      <selection pane="topRight" activeCell="O329" sqref="O329"/>
      <selection pane="bottomLeft" activeCell="O329" sqref="O329"/>
      <selection pane="bottomRight" sqref="A1:AB366"/>
    </sheetView>
  </sheetViews>
  <sheetFormatPr defaultColWidth="9" defaultRowHeight="15.75" x14ac:dyDescent="0.25"/>
  <cols>
    <col min="1" max="1" width="10.125" style="11" bestFit="1" customWidth="1"/>
    <col min="2" max="2" width="17.375" style="11" customWidth="1"/>
    <col min="3" max="3" width="12.875" style="11" customWidth="1"/>
    <col min="4" max="4" width="16.75" style="11" customWidth="1"/>
    <col min="5" max="5" width="17.125" style="11" customWidth="1"/>
    <col min="6" max="6" width="15.5" style="11" customWidth="1"/>
    <col min="7" max="7" width="18.75" style="11" customWidth="1"/>
    <col min="8" max="8" width="14.125" style="11" customWidth="1"/>
    <col min="9" max="9" width="14.5" style="11" customWidth="1"/>
    <col min="10" max="10" width="16.625" style="11" customWidth="1"/>
    <col min="11" max="11" width="17" style="11" customWidth="1"/>
    <col min="12" max="12" width="15.5" style="11" customWidth="1"/>
    <col min="13" max="13" width="15.875" style="11" customWidth="1"/>
    <col min="14" max="14" width="11.75" style="11" customWidth="1"/>
    <col min="15" max="15" width="9.875" style="11" customWidth="1"/>
    <col min="16" max="16" width="16.25" style="11" customWidth="1"/>
    <col min="17" max="17" width="15.75" style="11" customWidth="1"/>
    <col min="18" max="18" width="16" style="11" customWidth="1"/>
    <col min="19" max="19" width="17.25" style="11" customWidth="1"/>
    <col min="20" max="20" width="17.5" style="11" customWidth="1"/>
    <col min="21" max="21" width="17.75" style="11" customWidth="1"/>
    <col min="22" max="23" width="18" style="11" customWidth="1"/>
    <col min="24" max="24" width="18.375" style="11" customWidth="1"/>
    <col min="25" max="25" width="12.25" style="11" customWidth="1"/>
    <col min="26" max="26" width="12" style="11" customWidth="1"/>
    <col min="27" max="27" width="17.625" style="11" customWidth="1"/>
    <col min="28" max="28" width="18.375" style="11" customWidth="1"/>
    <col min="29" max="29" width="9" style="103"/>
    <col min="30" max="16384" width="9" style="11"/>
  </cols>
  <sheetData>
    <row r="1" spans="1:29" s="18" customFormat="1" x14ac:dyDescent="0.25">
      <c r="A1" s="27" t="s">
        <v>58</v>
      </c>
      <c r="B1" s="27" t="s">
        <v>347</v>
      </c>
      <c r="C1" s="33" t="s">
        <v>348</v>
      </c>
      <c r="D1" s="27" t="s">
        <v>349</v>
      </c>
      <c r="E1" s="27" t="s">
        <v>350</v>
      </c>
      <c r="F1" s="27" t="s">
        <v>351</v>
      </c>
      <c r="G1" s="27" t="s">
        <v>352</v>
      </c>
      <c r="H1" s="27" t="s">
        <v>353</v>
      </c>
      <c r="I1" s="27" t="s">
        <v>354</v>
      </c>
      <c r="J1" s="33" t="s">
        <v>355</v>
      </c>
      <c r="K1" s="33" t="s">
        <v>356</v>
      </c>
      <c r="L1" s="33" t="s">
        <v>357</v>
      </c>
      <c r="M1" s="27" t="s">
        <v>358</v>
      </c>
      <c r="N1" s="27" t="s">
        <v>359</v>
      </c>
      <c r="O1" s="27" t="s">
        <v>360</v>
      </c>
      <c r="P1" s="27" t="s">
        <v>361</v>
      </c>
      <c r="Q1" s="27" t="s">
        <v>362</v>
      </c>
      <c r="R1" s="27" t="s">
        <v>363</v>
      </c>
      <c r="S1" s="27" t="s">
        <v>364</v>
      </c>
      <c r="T1" s="27" t="s">
        <v>365</v>
      </c>
      <c r="U1" s="27" t="s">
        <v>366</v>
      </c>
      <c r="V1" s="27" t="s">
        <v>367</v>
      </c>
      <c r="W1" s="27" t="s">
        <v>368</v>
      </c>
      <c r="X1" s="27" t="s">
        <v>369</v>
      </c>
      <c r="Y1" s="27" t="s">
        <v>370</v>
      </c>
      <c r="Z1" s="27" t="s">
        <v>371</v>
      </c>
      <c r="AA1" s="27" t="s">
        <v>372</v>
      </c>
      <c r="AB1" s="27" t="s">
        <v>373</v>
      </c>
      <c r="AC1" s="104"/>
    </row>
    <row r="2" spans="1:29" s="20" customFormat="1" x14ac:dyDescent="0.25">
      <c r="A2" s="31">
        <f>'M&amp;R Stations'!A2</f>
        <v>38961</v>
      </c>
      <c r="B2" s="216">
        <v>2600</v>
      </c>
      <c r="C2" s="216">
        <v>0</v>
      </c>
      <c r="D2" s="216">
        <v>13132</v>
      </c>
      <c r="E2" s="216">
        <v>0</v>
      </c>
      <c r="F2" s="216">
        <v>0</v>
      </c>
      <c r="G2" s="216">
        <v>0</v>
      </c>
      <c r="H2" s="216">
        <v>0</v>
      </c>
      <c r="I2" s="216">
        <v>0</v>
      </c>
      <c r="J2" s="216">
        <v>2399</v>
      </c>
      <c r="K2" s="216">
        <v>0</v>
      </c>
      <c r="L2" s="216">
        <v>0</v>
      </c>
      <c r="M2" s="216">
        <v>0</v>
      </c>
      <c r="N2" s="216">
        <v>0</v>
      </c>
      <c r="O2" s="216">
        <v>0</v>
      </c>
      <c r="P2" s="216">
        <v>148</v>
      </c>
      <c r="Q2" s="216">
        <v>1826</v>
      </c>
      <c r="R2" s="216">
        <v>0</v>
      </c>
      <c r="S2" s="216">
        <v>14904</v>
      </c>
      <c r="T2" s="216">
        <v>0</v>
      </c>
      <c r="U2" s="216">
        <v>14978</v>
      </c>
      <c r="V2" s="216">
        <v>13028</v>
      </c>
      <c r="W2" s="216">
        <v>7254</v>
      </c>
      <c r="X2" s="216">
        <v>6988</v>
      </c>
      <c r="Y2" s="216">
        <v>84293</v>
      </c>
      <c r="Z2" s="216">
        <v>0</v>
      </c>
      <c r="AA2" s="216">
        <v>17961</v>
      </c>
      <c r="AB2" s="216">
        <v>717</v>
      </c>
      <c r="AC2" s="105"/>
    </row>
    <row r="3" spans="1:29" s="20" customFormat="1" x14ac:dyDescent="0.25">
      <c r="A3" s="31">
        <f>'M&amp;R Stations'!A3</f>
        <v>38962</v>
      </c>
      <c r="B3" s="216">
        <v>2605</v>
      </c>
      <c r="C3" s="216">
        <v>0</v>
      </c>
      <c r="D3" s="216">
        <v>13158</v>
      </c>
      <c r="E3" s="216">
        <v>0</v>
      </c>
      <c r="F3" s="216">
        <v>0</v>
      </c>
      <c r="G3" s="216">
        <v>0</v>
      </c>
      <c r="H3" s="216">
        <v>0</v>
      </c>
      <c r="I3" s="216">
        <v>0</v>
      </c>
      <c r="J3" s="216">
        <v>2463</v>
      </c>
      <c r="K3" s="216">
        <v>0</v>
      </c>
      <c r="L3" s="216">
        <v>0</v>
      </c>
      <c r="M3" s="216">
        <v>0</v>
      </c>
      <c r="N3" s="216">
        <v>0</v>
      </c>
      <c r="O3" s="216">
        <v>0</v>
      </c>
      <c r="P3" s="216">
        <v>149</v>
      </c>
      <c r="Q3" s="216">
        <v>1831</v>
      </c>
      <c r="R3" s="216">
        <v>0</v>
      </c>
      <c r="S3" s="216">
        <v>14947</v>
      </c>
      <c r="T3" s="216">
        <v>0</v>
      </c>
      <c r="U3" s="216">
        <v>15021</v>
      </c>
      <c r="V3" s="216">
        <v>772</v>
      </c>
      <c r="W3" s="216">
        <v>7275</v>
      </c>
      <c r="X3" s="216">
        <v>7008</v>
      </c>
      <c r="Y3" s="216">
        <v>95241</v>
      </c>
      <c r="Z3" s="216">
        <v>0</v>
      </c>
      <c r="AA3" s="216">
        <v>18013</v>
      </c>
      <c r="AB3" s="216">
        <v>719</v>
      </c>
      <c r="AC3" s="105"/>
    </row>
    <row r="4" spans="1:29" s="20" customFormat="1" x14ac:dyDescent="0.25">
      <c r="A4" s="31">
        <f>'M&amp;R Stations'!A4</f>
        <v>38963</v>
      </c>
      <c r="B4" s="216">
        <v>2605</v>
      </c>
      <c r="C4" s="216">
        <v>0</v>
      </c>
      <c r="D4" s="216">
        <v>13158</v>
      </c>
      <c r="E4" s="216">
        <v>0</v>
      </c>
      <c r="F4" s="216">
        <v>0</v>
      </c>
      <c r="G4" s="216">
        <v>0</v>
      </c>
      <c r="H4" s="216">
        <v>0</v>
      </c>
      <c r="I4" s="216">
        <v>0</v>
      </c>
      <c r="J4" s="216">
        <v>2472</v>
      </c>
      <c r="K4" s="216">
        <v>0</v>
      </c>
      <c r="L4" s="216">
        <v>0</v>
      </c>
      <c r="M4" s="216">
        <v>0</v>
      </c>
      <c r="N4" s="216">
        <v>0</v>
      </c>
      <c r="O4" s="216">
        <v>0</v>
      </c>
      <c r="P4" s="216">
        <v>149</v>
      </c>
      <c r="Q4" s="216">
        <v>1831</v>
      </c>
      <c r="R4" s="216">
        <v>0</v>
      </c>
      <c r="S4" s="216">
        <v>14947</v>
      </c>
      <c r="T4" s="216">
        <v>0</v>
      </c>
      <c r="U4" s="216">
        <v>15021</v>
      </c>
      <c r="V4" s="216">
        <v>0</v>
      </c>
      <c r="W4" s="216">
        <v>7275</v>
      </c>
      <c r="X4" s="216">
        <v>6689</v>
      </c>
      <c r="Y4" s="216">
        <v>95241</v>
      </c>
      <c r="Z4" s="216">
        <v>0</v>
      </c>
      <c r="AA4" s="216">
        <v>18013</v>
      </c>
      <c r="AB4" s="216">
        <v>719</v>
      </c>
      <c r="AC4" s="105"/>
    </row>
    <row r="5" spans="1:29" s="20" customFormat="1" x14ac:dyDescent="0.25">
      <c r="A5" s="31">
        <f>'M&amp;R Stations'!A5</f>
        <v>38964</v>
      </c>
      <c r="B5" s="216">
        <v>2605</v>
      </c>
      <c r="C5" s="216">
        <v>0</v>
      </c>
      <c r="D5" s="216">
        <v>13158</v>
      </c>
      <c r="E5" s="216">
        <v>0</v>
      </c>
      <c r="F5" s="216">
        <v>0</v>
      </c>
      <c r="G5" s="216">
        <v>0</v>
      </c>
      <c r="H5" s="216">
        <v>0</v>
      </c>
      <c r="I5" s="216">
        <v>0</v>
      </c>
      <c r="J5" s="216">
        <v>2472</v>
      </c>
      <c r="K5" s="216">
        <v>0</v>
      </c>
      <c r="L5" s="216">
        <v>0</v>
      </c>
      <c r="M5" s="216">
        <v>0</v>
      </c>
      <c r="N5" s="216">
        <v>0</v>
      </c>
      <c r="O5" s="216">
        <v>0</v>
      </c>
      <c r="P5" s="216">
        <v>149</v>
      </c>
      <c r="Q5" s="216">
        <v>1827</v>
      </c>
      <c r="R5" s="216">
        <v>0</v>
      </c>
      <c r="S5" s="216">
        <v>14918</v>
      </c>
      <c r="T5" s="216">
        <v>0</v>
      </c>
      <c r="U5" s="216">
        <v>14992</v>
      </c>
      <c r="V5" s="216">
        <v>6056</v>
      </c>
      <c r="W5" s="216">
        <v>7261</v>
      </c>
      <c r="X5" s="216">
        <v>6994</v>
      </c>
      <c r="Y5" s="216">
        <v>95058</v>
      </c>
      <c r="Z5" s="216">
        <v>0</v>
      </c>
      <c r="AA5" s="216">
        <v>17978</v>
      </c>
      <c r="AB5" s="216">
        <v>718</v>
      </c>
      <c r="AC5" s="105"/>
    </row>
    <row r="6" spans="1:29" s="20" customFormat="1" x14ac:dyDescent="0.25">
      <c r="A6" s="31">
        <f>'M&amp;R Stations'!A6</f>
        <v>38965</v>
      </c>
      <c r="B6" s="216">
        <v>2605</v>
      </c>
      <c r="C6" s="216">
        <v>0</v>
      </c>
      <c r="D6" s="216">
        <v>13158</v>
      </c>
      <c r="E6" s="216">
        <v>0</v>
      </c>
      <c r="F6" s="216">
        <v>0</v>
      </c>
      <c r="G6" s="216">
        <v>0</v>
      </c>
      <c r="H6" s="216">
        <v>0</v>
      </c>
      <c r="I6" s="216">
        <v>0</v>
      </c>
      <c r="J6" s="216">
        <v>2413</v>
      </c>
      <c r="K6" s="216">
        <v>0</v>
      </c>
      <c r="L6" s="216">
        <v>0</v>
      </c>
      <c r="M6" s="216">
        <v>0</v>
      </c>
      <c r="N6" s="216">
        <v>0</v>
      </c>
      <c r="O6" s="216">
        <v>0</v>
      </c>
      <c r="P6" s="216">
        <v>148</v>
      </c>
      <c r="Q6" s="216">
        <v>1834</v>
      </c>
      <c r="R6" s="216">
        <v>0</v>
      </c>
      <c r="S6" s="216">
        <v>10211</v>
      </c>
      <c r="T6" s="216">
        <v>0</v>
      </c>
      <c r="U6" s="216">
        <v>15050</v>
      </c>
      <c r="V6" s="216">
        <v>14508</v>
      </c>
      <c r="W6" s="216">
        <v>7289</v>
      </c>
      <c r="X6" s="216">
        <v>7021</v>
      </c>
      <c r="Y6" s="216">
        <v>95425</v>
      </c>
      <c r="Z6" s="216">
        <v>0</v>
      </c>
      <c r="AA6" s="216">
        <v>18047</v>
      </c>
      <c r="AB6" s="216">
        <v>539</v>
      </c>
      <c r="AC6" s="105"/>
    </row>
    <row r="7" spans="1:29" s="20" customFormat="1" x14ac:dyDescent="0.25">
      <c r="A7" s="31">
        <f>'M&amp;R Stations'!A7</f>
        <v>38966</v>
      </c>
      <c r="B7" s="216">
        <v>2608</v>
      </c>
      <c r="C7" s="216">
        <v>0</v>
      </c>
      <c r="D7" s="216">
        <v>13171</v>
      </c>
      <c r="E7" s="216">
        <v>0</v>
      </c>
      <c r="F7" s="216">
        <v>0</v>
      </c>
      <c r="G7" s="216">
        <v>0</v>
      </c>
      <c r="H7" s="216">
        <v>0</v>
      </c>
      <c r="I7" s="216">
        <v>0</v>
      </c>
      <c r="J7" s="216">
        <v>2416</v>
      </c>
      <c r="K7" s="216">
        <v>0</v>
      </c>
      <c r="L7" s="216">
        <v>0</v>
      </c>
      <c r="M7" s="216">
        <v>0</v>
      </c>
      <c r="N7" s="216">
        <v>0</v>
      </c>
      <c r="O7" s="216">
        <v>0</v>
      </c>
      <c r="P7" s="216">
        <v>148</v>
      </c>
      <c r="Q7" s="216">
        <v>1834</v>
      </c>
      <c r="R7" s="216">
        <v>0</v>
      </c>
      <c r="S7" s="216">
        <v>14976</v>
      </c>
      <c r="T7" s="216">
        <v>0</v>
      </c>
      <c r="U7" s="216">
        <v>15050</v>
      </c>
      <c r="V7" s="216">
        <v>8493</v>
      </c>
      <c r="W7" s="216">
        <v>7289</v>
      </c>
      <c r="X7" s="216">
        <v>7021</v>
      </c>
      <c r="Y7" s="216">
        <v>109918</v>
      </c>
      <c r="Z7" s="216">
        <v>0</v>
      </c>
      <c r="AA7" s="216">
        <v>18047</v>
      </c>
      <c r="AB7" s="216">
        <v>720</v>
      </c>
      <c r="AC7" s="105"/>
    </row>
    <row r="8" spans="1:29" s="20" customFormat="1" x14ac:dyDescent="0.25">
      <c r="A8" s="31">
        <f>'M&amp;R Stations'!A8</f>
        <v>38967</v>
      </c>
      <c r="B8" s="216">
        <v>2608</v>
      </c>
      <c r="C8" s="216">
        <v>0</v>
      </c>
      <c r="D8" s="216">
        <v>13171</v>
      </c>
      <c r="E8" s="216">
        <v>0</v>
      </c>
      <c r="F8" s="216">
        <v>0</v>
      </c>
      <c r="G8" s="216">
        <v>0</v>
      </c>
      <c r="H8" s="216">
        <v>0</v>
      </c>
      <c r="I8" s="216">
        <v>0</v>
      </c>
      <c r="J8" s="216">
        <v>2669</v>
      </c>
      <c r="K8" s="216">
        <v>0</v>
      </c>
      <c r="L8" s="216">
        <v>0</v>
      </c>
      <c r="M8" s="216">
        <v>0</v>
      </c>
      <c r="N8" s="216">
        <v>0</v>
      </c>
      <c r="O8" s="216">
        <v>0</v>
      </c>
      <c r="P8" s="216">
        <v>150</v>
      </c>
      <c r="Q8" s="216">
        <v>1840</v>
      </c>
      <c r="R8" s="216">
        <v>0</v>
      </c>
      <c r="S8" s="216">
        <v>15019</v>
      </c>
      <c r="T8" s="216">
        <v>0</v>
      </c>
      <c r="U8" s="216">
        <v>15094</v>
      </c>
      <c r="V8" s="216">
        <v>1359</v>
      </c>
      <c r="W8" s="216">
        <v>7310</v>
      </c>
      <c r="X8" s="216">
        <v>7042</v>
      </c>
      <c r="Y8" s="216">
        <v>115082</v>
      </c>
      <c r="Z8" s="216">
        <v>0</v>
      </c>
      <c r="AA8" s="216">
        <v>18100</v>
      </c>
      <c r="AB8" s="216">
        <v>722</v>
      </c>
      <c r="AC8" s="105"/>
    </row>
    <row r="9" spans="1:29" s="20" customFormat="1" x14ac:dyDescent="0.25">
      <c r="A9" s="31">
        <f>'M&amp;R Stations'!A9</f>
        <v>38968</v>
      </c>
      <c r="B9" s="216">
        <v>2605</v>
      </c>
      <c r="C9" s="216">
        <v>0</v>
      </c>
      <c r="D9" s="216">
        <v>13158</v>
      </c>
      <c r="E9" s="216">
        <v>0</v>
      </c>
      <c r="F9" s="216">
        <v>0</v>
      </c>
      <c r="G9" s="216">
        <v>0</v>
      </c>
      <c r="H9" s="216">
        <v>0</v>
      </c>
      <c r="I9" s="216">
        <v>0</v>
      </c>
      <c r="J9" s="216">
        <v>2681</v>
      </c>
      <c r="K9" s="216">
        <v>0</v>
      </c>
      <c r="L9" s="216">
        <v>0</v>
      </c>
      <c r="M9" s="216">
        <v>0</v>
      </c>
      <c r="N9" s="216">
        <v>0</v>
      </c>
      <c r="O9" s="216">
        <v>0</v>
      </c>
      <c r="P9" s="216">
        <v>150</v>
      </c>
      <c r="Q9" s="216">
        <v>1831</v>
      </c>
      <c r="R9" s="216">
        <v>0</v>
      </c>
      <c r="S9" s="216">
        <v>14947</v>
      </c>
      <c r="T9" s="216">
        <v>0</v>
      </c>
      <c r="U9" s="216">
        <v>15021</v>
      </c>
      <c r="V9" s="216">
        <v>0</v>
      </c>
      <c r="W9" s="216">
        <v>7275</v>
      </c>
      <c r="X9" s="216">
        <v>4729</v>
      </c>
      <c r="Y9" s="216">
        <v>119349</v>
      </c>
      <c r="Z9" s="216">
        <v>0</v>
      </c>
      <c r="AA9" s="216">
        <v>18013</v>
      </c>
      <c r="AB9" s="216">
        <v>719</v>
      </c>
      <c r="AC9" s="105"/>
    </row>
    <row r="10" spans="1:29" s="20" customFormat="1" x14ac:dyDescent="0.25">
      <c r="A10" s="31">
        <f>'M&amp;R Stations'!A10</f>
        <v>38969</v>
      </c>
      <c r="B10" s="216">
        <v>2603</v>
      </c>
      <c r="C10" s="216">
        <v>0</v>
      </c>
      <c r="D10" s="216">
        <v>13145</v>
      </c>
      <c r="E10" s="216">
        <v>0</v>
      </c>
      <c r="F10" s="216">
        <v>0</v>
      </c>
      <c r="G10" s="216">
        <v>0</v>
      </c>
      <c r="H10" s="216">
        <v>0</v>
      </c>
      <c r="I10" s="216">
        <v>0</v>
      </c>
      <c r="J10" s="216">
        <v>2678</v>
      </c>
      <c r="K10" s="216">
        <v>0</v>
      </c>
      <c r="L10" s="216">
        <v>0</v>
      </c>
      <c r="M10" s="216">
        <v>0</v>
      </c>
      <c r="N10" s="216">
        <v>0</v>
      </c>
      <c r="O10" s="216">
        <v>0</v>
      </c>
      <c r="P10" s="216">
        <v>150</v>
      </c>
      <c r="Q10" s="216">
        <v>1836</v>
      </c>
      <c r="R10" s="216">
        <v>0</v>
      </c>
      <c r="S10" s="216">
        <v>14990</v>
      </c>
      <c r="T10" s="216">
        <v>0</v>
      </c>
      <c r="U10" s="216">
        <v>15065</v>
      </c>
      <c r="V10" s="216">
        <v>0</v>
      </c>
      <c r="W10" s="216">
        <v>7296</v>
      </c>
      <c r="X10" s="216">
        <v>3566</v>
      </c>
      <c r="Y10" s="216">
        <v>119695</v>
      </c>
      <c r="Z10" s="216">
        <v>0</v>
      </c>
      <c r="AA10" s="216">
        <v>18065</v>
      </c>
      <c r="AB10" s="216">
        <v>721</v>
      </c>
      <c r="AC10" s="105"/>
    </row>
    <row r="11" spans="1:29" s="20" customFormat="1" x14ac:dyDescent="0.25">
      <c r="A11" s="31">
        <f>'M&amp;R Stations'!A11</f>
        <v>38970</v>
      </c>
      <c r="B11" s="216">
        <v>2603</v>
      </c>
      <c r="C11" s="216">
        <v>0</v>
      </c>
      <c r="D11" s="216">
        <v>13145</v>
      </c>
      <c r="E11" s="216">
        <v>0</v>
      </c>
      <c r="F11" s="216">
        <v>0</v>
      </c>
      <c r="G11" s="216">
        <v>0</v>
      </c>
      <c r="H11" s="216">
        <v>0</v>
      </c>
      <c r="I11" s="216">
        <v>0</v>
      </c>
      <c r="J11" s="216">
        <v>2678</v>
      </c>
      <c r="K11" s="216">
        <v>0</v>
      </c>
      <c r="L11" s="216">
        <v>0</v>
      </c>
      <c r="M11" s="216">
        <v>0</v>
      </c>
      <c r="N11" s="216">
        <v>0</v>
      </c>
      <c r="O11" s="216">
        <v>0</v>
      </c>
      <c r="P11" s="216">
        <v>150</v>
      </c>
      <c r="Q11" s="216">
        <v>1840</v>
      </c>
      <c r="R11" s="216">
        <v>0</v>
      </c>
      <c r="S11" s="216">
        <v>15019</v>
      </c>
      <c r="T11" s="216">
        <v>0</v>
      </c>
      <c r="U11" s="216">
        <v>15094</v>
      </c>
      <c r="V11" s="216">
        <v>2328</v>
      </c>
      <c r="W11" s="216">
        <v>7310</v>
      </c>
      <c r="X11" s="216">
        <v>7042</v>
      </c>
      <c r="Y11" s="216">
        <v>119927</v>
      </c>
      <c r="Z11" s="216">
        <v>0</v>
      </c>
      <c r="AA11" s="216">
        <v>18100</v>
      </c>
      <c r="AB11" s="216">
        <v>722</v>
      </c>
      <c r="AC11" s="105"/>
    </row>
    <row r="12" spans="1:29" s="20" customFormat="1" x14ac:dyDescent="0.25">
      <c r="A12" s="31">
        <f>'M&amp;R Stations'!A12</f>
        <v>38971</v>
      </c>
      <c r="B12" s="216">
        <v>2605</v>
      </c>
      <c r="C12" s="216">
        <v>0</v>
      </c>
      <c r="D12" s="216">
        <v>13158</v>
      </c>
      <c r="E12" s="216">
        <v>0</v>
      </c>
      <c r="F12" s="216">
        <v>0</v>
      </c>
      <c r="G12" s="216">
        <v>0</v>
      </c>
      <c r="H12" s="216">
        <v>0</v>
      </c>
      <c r="I12" s="216">
        <v>0</v>
      </c>
      <c r="J12" s="216">
        <v>2681</v>
      </c>
      <c r="K12" s="216">
        <v>0</v>
      </c>
      <c r="L12" s="216">
        <v>0</v>
      </c>
      <c r="M12" s="216">
        <v>0</v>
      </c>
      <c r="N12" s="216">
        <v>0</v>
      </c>
      <c r="O12" s="216">
        <v>0</v>
      </c>
      <c r="P12" s="216">
        <v>150</v>
      </c>
      <c r="Q12" s="216">
        <v>1843</v>
      </c>
      <c r="R12" s="216">
        <v>0</v>
      </c>
      <c r="S12" s="216">
        <v>15048</v>
      </c>
      <c r="T12" s="216">
        <v>0</v>
      </c>
      <c r="U12" s="216">
        <v>15123</v>
      </c>
      <c r="V12" s="216">
        <v>0</v>
      </c>
      <c r="W12" s="216">
        <v>7324</v>
      </c>
      <c r="X12" s="216">
        <v>1497</v>
      </c>
      <c r="Y12" s="216">
        <v>120160</v>
      </c>
      <c r="Z12" s="216">
        <v>0</v>
      </c>
      <c r="AA12" s="216">
        <v>18135</v>
      </c>
      <c r="AB12" s="216">
        <v>724</v>
      </c>
      <c r="AC12" s="105"/>
    </row>
    <row r="13" spans="1:29" s="20" customFormat="1" x14ac:dyDescent="0.25">
      <c r="A13" s="31">
        <f>'M&amp;R Stations'!A13</f>
        <v>38972</v>
      </c>
      <c r="B13" s="216">
        <v>2605</v>
      </c>
      <c r="C13" s="216">
        <v>0</v>
      </c>
      <c r="D13" s="216">
        <v>13158</v>
      </c>
      <c r="E13" s="216">
        <v>0</v>
      </c>
      <c r="F13" s="216">
        <v>0</v>
      </c>
      <c r="G13" s="216">
        <v>0</v>
      </c>
      <c r="H13" s="216">
        <v>0</v>
      </c>
      <c r="I13" s="216">
        <v>0</v>
      </c>
      <c r="J13" s="216">
        <v>2681</v>
      </c>
      <c r="K13" s="216">
        <v>0</v>
      </c>
      <c r="L13" s="216">
        <v>0</v>
      </c>
      <c r="M13" s="216">
        <v>0</v>
      </c>
      <c r="N13" s="216">
        <v>0</v>
      </c>
      <c r="O13" s="216">
        <v>0</v>
      </c>
      <c r="P13" s="216">
        <v>150</v>
      </c>
      <c r="Q13" s="216">
        <v>1838</v>
      </c>
      <c r="R13" s="216">
        <v>0</v>
      </c>
      <c r="S13" s="216">
        <v>15005</v>
      </c>
      <c r="T13" s="216">
        <v>0</v>
      </c>
      <c r="U13" s="216">
        <v>15079</v>
      </c>
      <c r="V13" s="216">
        <v>2640</v>
      </c>
      <c r="W13" s="216">
        <v>7303</v>
      </c>
      <c r="X13" s="216">
        <v>7035</v>
      </c>
      <c r="Y13" s="216">
        <v>124652</v>
      </c>
      <c r="Z13" s="216">
        <v>0</v>
      </c>
      <c r="AA13" s="216">
        <v>18082</v>
      </c>
      <c r="AB13" s="216">
        <v>722</v>
      </c>
      <c r="AC13" s="105"/>
    </row>
    <row r="14" spans="1:29" s="20" customFormat="1" x14ac:dyDescent="0.25">
      <c r="A14" s="31">
        <f>'M&amp;R Stations'!A14</f>
        <v>38973</v>
      </c>
      <c r="B14" s="216">
        <v>2613</v>
      </c>
      <c r="C14" s="216">
        <v>0</v>
      </c>
      <c r="D14" s="216">
        <v>13196</v>
      </c>
      <c r="E14" s="216">
        <v>0</v>
      </c>
      <c r="F14" s="216">
        <v>0</v>
      </c>
      <c r="G14" s="216">
        <v>0</v>
      </c>
      <c r="H14" s="216">
        <v>0</v>
      </c>
      <c r="I14" s="216">
        <v>0</v>
      </c>
      <c r="J14" s="216">
        <v>2688</v>
      </c>
      <c r="K14" s="216">
        <v>0</v>
      </c>
      <c r="L14" s="216">
        <v>0</v>
      </c>
      <c r="M14" s="216">
        <v>0</v>
      </c>
      <c r="N14" s="216">
        <v>0</v>
      </c>
      <c r="O14" s="216">
        <v>0</v>
      </c>
      <c r="P14" s="216">
        <v>151</v>
      </c>
      <c r="Q14" s="216">
        <v>1840</v>
      </c>
      <c r="R14" s="216">
        <v>0</v>
      </c>
      <c r="S14" s="216">
        <v>15019</v>
      </c>
      <c r="T14" s="216">
        <v>0</v>
      </c>
      <c r="U14" s="216">
        <v>15094</v>
      </c>
      <c r="V14" s="216">
        <v>3027</v>
      </c>
      <c r="W14" s="216">
        <v>7310</v>
      </c>
      <c r="X14" s="216">
        <v>7042</v>
      </c>
      <c r="Y14" s="216">
        <v>124772</v>
      </c>
      <c r="Z14" s="216">
        <v>0</v>
      </c>
      <c r="AA14" s="216">
        <v>18100</v>
      </c>
      <c r="AB14" s="216">
        <v>722</v>
      </c>
      <c r="AC14" s="105"/>
    </row>
    <row r="15" spans="1:29" s="20" customFormat="1" x14ac:dyDescent="0.25">
      <c r="A15" s="31">
        <f>'M&amp;R Stations'!A15</f>
        <v>38974</v>
      </c>
      <c r="B15" s="216">
        <v>2608</v>
      </c>
      <c r="C15" s="216">
        <v>0</v>
      </c>
      <c r="D15" s="216">
        <v>13171</v>
      </c>
      <c r="E15" s="216">
        <v>0</v>
      </c>
      <c r="F15" s="216">
        <v>0</v>
      </c>
      <c r="G15" s="216">
        <v>0</v>
      </c>
      <c r="H15" s="216">
        <v>0</v>
      </c>
      <c r="I15" s="216">
        <v>0</v>
      </c>
      <c r="J15" s="216">
        <v>2683</v>
      </c>
      <c r="K15" s="216">
        <v>0</v>
      </c>
      <c r="L15" s="216">
        <v>0</v>
      </c>
      <c r="M15" s="216">
        <v>0</v>
      </c>
      <c r="N15" s="216">
        <v>0</v>
      </c>
      <c r="O15" s="216">
        <v>0</v>
      </c>
      <c r="P15" s="216">
        <v>151</v>
      </c>
      <c r="Q15" s="216">
        <v>1836</v>
      </c>
      <c r="R15" s="216">
        <v>0</v>
      </c>
      <c r="S15" s="216">
        <v>14990</v>
      </c>
      <c r="T15" s="216">
        <v>0</v>
      </c>
      <c r="U15" s="216">
        <v>15065</v>
      </c>
      <c r="V15" s="216">
        <v>1745</v>
      </c>
      <c r="W15" s="216">
        <v>7296</v>
      </c>
      <c r="X15" s="216">
        <v>7028</v>
      </c>
      <c r="Y15" s="216">
        <v>124531</v>
      </c>
      <c r="Z15" s="216">
        <v>0</v>
      </c>
      <c r="AA15" s="216">
        <v>18065</v>
      </c>
      <c r="AB15" s="216">
        <v>721</v>
      </c>
      <c r="AC15" s="105"/>
    </row>
    <row r="16" spans="1:29" s="20" customFormat="1" x14ac:dyDescent="0.25">
      <c r="A16" s="31">
        <f>'M&amp;R Stations'!A16</f>
        <v>38975</v>
      </c>
      <c r="B16" s="216">
        <v>2621</v>
      </c>
      <c r="C16" s="216">
        <v>0</v>
      </c>
      <c r="D16" s="216">
        <v>13235</v>
      </c>
      <c r="E16" s="216">
        <v>0</v>
      </c>
      <c r="F16" s="216">
        <v>0</v>
      </c>
      <c r="G16" s="216">
        <v>0</v>
      </c>
      <c r="H16" s="216">
        <v>0</v>
      </c>
      <c r="I16" s="216">
        <v>0</v>
      </c>
      <c r="J16" s="216">
        <v>2696</v>
      </c>
      <c r="K16" s="216">
        <v>0</v>
      </c>
      <c r="L16" s="216">
        <v>0</v>
      </c>
      <c r="M16" s="216">
        <v>0</v>
      </c>
      <c r="N16" s="216">
        <v>0</v>
      </c>
      <c r="O16" s="216">
        <v>0</v>
      </c>
      <c r="P16" s="216">
        <v>151</v>
      </c>
      <c r="Q16" s="216">
        <v>1836</v>
      </c>
      <c r="R16" s="216">
        <v>0</v>
      </c>
      <c r="S16" s="216">
        <v>14990</v>
      </c>
      <c r="T16" s="216">
        <v>0</v>
      </c>
      <c r="U16" s="216">
        <v>15065</v>
      </c>
      <c r="V16" s="216">
        <v>8309</v>
      </c>
      <c r="W16" s="216">
        <v>7296</v>
      </c>
      <c r="X16" s="216">
        <v>7028</v>
      </c>
      <c r="Y16" s="216">
        <v>119597</v>
      </c>
      <c r="Z16" s="216">
        <v>0</v>
      </c>
      <c r="AA16" s="216">
        <v>18065</v>
      </c>
      <c r="AB16" s="216">
        <v>721</v>
      </c>
      <c r="AC16" s="105"/>
    </row>
    <row r="17" spans="1:29" s="20" customFormat="1" x14ac:dyDescent="0.25">
      <c r="A17" s="31">
        <f>'M&amp;R Stations'!A17</f>
        <v>38976</v>
      </c>
      <c r="B17" s="216">
        <v>2621</v>
      </c>
      <c r="C17" s="216">
        <v>0</v>
      </c>
      <c r="D17" s="216">
        <v>13235</v>
      </c>
      <c r="E17" s="216">
        <v>0</v>
      </c>
      <c r="F17" s="216">
        <v>0</v>
      </c>
      <c r="G17" s="216">
        <v>0</v>
      </c>
      <c r="H17" s="216">
        <v>0</v>
      </c>
      <c r="I17" s="216">
        <v>0</v>
      </c>
      <c r="J17" s="216">
        <v>2696</v>
      </c>
      <c r="K17" s="216">
        <v>0</v>
      </c>
      <c r="L17" s="216">
        <v>0</v>
      </c>
      <c r="M17" s="216">
        <v>0</v>
      </c>
      <c r="N17" s="216">
        <v>0</v>
      </c>
      <c r="O17" s="216">
        <v>0</v>
      </c>
      <c r="P17" s="216">
        <v>151</v>
      </c>
      <c r="Q17" s="216">
        <v>1840</v>
      </c>
      <c r="R17" s="216">
        <v>0</v>
      </c>
      <c r="S17" s="216">
        <v>15019</v>
      </c>
      <c r="T17" s="216">
        <v>0</v>
      </c>
      <c r="U17" s="216">
        <v>15094</v>
      </c>
      <c r="V17" s="216">
        <v>6906</v>
      </c>
      <c r="W17" s="216">
        <v>7310</v>
      </c>
      <c r="X17" s="216">
        <v>7042</v>
      </c>
      <c r="Y17" s="216">
        <v>122153</v>
      </c>
      <c r="Z17" s="216">
        <v>0</v>
      </c>
      <c r="AA17" s="216">
        <v>18100</v>
      </c>
      <c r="AB17" s="216">
        <v>722</v>
      </c>
      <c r="AC17" s="105"/>
    </row>
    <row r="18" spans="1:29" s="20" customFormat="1" x14ac:dyDescent="0.25">
      <c r="A18" s="31">
        <f>'M&amp;R Stations'!A18</f>
        <v>38977</v>
      </c>
      <c r="B18" s="216">
        <v>2613</v>
      </c>
      <c r="C18" s="216">
        <v>0</v>
      </c>
      <c r="D18" s="216">
        <v>13196</v>
      </c>
      <c r="E18" s="216">
        <v>0</v>
      </c>
      <c r="F18" s="216">
        <v>0</v>
      </c>
      <c r="G18" s="216">
        <v>0</v>
      </c>
      <c r="H18" s="216">
        <v>0</v>
      </c>
      <c r="I18" s="216">
        <v>0</v>
      </c>
      <c r="J18" s="216">
        <v>2688</v>
      </c>
      <c r="K18" s="216">
        <v>0</v>
      </c>
      <c r="L18" s="216">
        <v>0</v>
      </c>
      <c r="M18" s="216">
        <v>0</v>
      </c>
      <c r="N18" s="216">
        <v>0</v>
      </c>
      <c r="O18" s="216">
        <v>0</v>
      </c>
      <c r="P18" s="216">
        <v>151</v>
      </c>
      <c r="Q18" s="216">
        <v>1838</v>
      </c>
      <c r="R18" s="216">
        <v>0</v>
      </c>
      <c r="S18" s="216">
        <v>15005</v>
      </c>
      <c r="T18" s="216">
        <v>0</v>
      </c>
      <c r="U18" s="216">
        <v>15079</v>
      </c>
      <c r="V18" s="216">
        <v>7180</v>
      </c>
      <c r="W18" s="216">
        <v>7303</v>
      </c>
      <c r="X18" s="216">
        <v>7035</v>
      </c>
      <c r="Y18" s="216">
        <v>122035</v>
      </c>
      <c r="Z18" s="216">
        <v>0</v>
      </c>
      <c r="AA18" s="216">
        <v>18082</v>
      </c>
      <c r="AB18" s="216">
        <v>722</v>
      </c>
      <c r="AC18" s="105"/>
    </row>
    <row r="19" spans="1:29" s="20" customFormat="1" x14ac:dyDescent="0.25">
      <c r="A19" s="31">
        <f>'M&amp;R Stations'!A19</f>
        <v>38978</v>
      </c>
      <c r="B19" s="216">
        <v>2613</v>
      </c>
      <c r="C19" s="216">
        <v>0</v>
      </c>
      <c r="D19" s="216">
        <v>13196</v>
      </c>
      <c r="E19" s="216">
        <v>0</v>
      </c>
      <c r="F19" s="216">
        <v>0</v>
      </c>
      <c r="G19" s="216">
        <v>0</v>
      </c>
      <c r="H19" s="216">
        <v>0</v>
      </c>
      <c r="I19" s="216">
        <v>0</v>
      </c>
      <c r="J19" s="216">
        <v>2688</v>
      </c>
      <c r="K19" s="216">
        <v>0</v>
      </c>
      <c r="L19" s="216">
        <v>0</v>
      </c>
      <c r="M19" s="216">
        <v>0</v>
      </c>
      <c r="N19" s="216">
        <v>0</v>
      </c>
      <c r="O19" s="216">
        <v>0</v>
      </c>
      <c r="P19" s="216">
        <v>151</v>
      </c>
      <c r="Q19" s="216">
        <v>1838</v>
      </c>
      <c r="R19" s="216">
        <v>0</v>
      </c>
      <c r="S19" s="216">
        <v>15005</v>
      </c>
      <c r="T19" s="216">
        <v>0</v>
      </c>
      <c r="U19" s="216">
        <v>15079</v>
      </c>
      <c r="V19" s="216">
        <v>10944</v>
      </c>
      <c r="W19" s="216">
        <v>7303</v>
      </c>
      <c r="X19" s="216">
        <v>0</v>
      </c>
      <c r="Y19" s="216">
        <v>122035</v>
      </c>
      <c r="Z19" s="216">
        <v>0</v>
      </c>
      <c r="AA19" s="216">
        <v>18082</v>
      </c>
      <c r="AB19" s="216">
        <v>722</v>
      </c>
      <c r="AC19" s="105"/>
    </row>
    <row r="20" spans="1:29" s="20" customFormat="1" x14ac:dyDescent="0.25">
      <c r="A20" s="31">
        <f>'M&amp;R Stations'!A20</f>
        <v>38979</v>
      </c>
      <c r="B20" s="216">
        <v>2618</v>
      </c>
      <c r="C20" s="216">
        <v>0</v>
      </c>
      <c r="D20" s="216">
        <v>13222</v>
      </c>
      <c r="E20" s="216">
        <v>0</v>
      </c>
      <c r="F20" s="216">
        <v>0</v>
      </c>
      <c r="G20" s="216">
        <v>0</v>
      </c>
      <c r="H20" s="216">
        <v>0</v>
      </c>
      <c r="I20" s="216">
        <v>0</v>
      </c>
      <c r="J20" s="216">
        <v>2694</v>
      </c>
      <c r="K20" s="216">
        <v>0</v>
      </c>
      <c r="L20" s="216">
        <v>0</v>
      </c>
      <c r="M20" s="216">
        <v>0</v>
      </c>
      <c r="N20" s="216">
        <v>0</v>
      </c>
      <c r="O20" s="216">
        <v>0</v>
      </c>
      <c r="P20" s="216">
        <v>151</v>
      </c>
      <c r="Q20" s="216">
        <v>1838</v>
      </c>
      <c r="R20" s="216">
        <v>0</v>
      </c>
      <c r="S20" s="216">
        <v>15005</v>
      </c>
      <c r="T20" s="216">
        <v>0</v>
      </c>
      <c r="U20" s="216">
        <v>15079</v>
      </c>
      <c r="V20" s="216">
        <v>10316</v>
      </c>
      <c r="W20" s="216">
        <v>7303</v>
      </c>
      <c r="X20" s="216">
        <v>0</v>
      </c>
      <c r="Y20" s="216">
        <v>122045</v>
      </c>
      <c r="Z20" s="216">
        <v>0</v>
      </c>
      <c r="AA20" s="216">
        <v>18082</v>
      </c>
      <c r="AB20" s="216">
        <v>722</v>
      </c>
      <c r="AC20" s="105"/>
    </row>
    <row r="21" spans="1:29" s="20" customFormat="1" x14ac:dyDescent="0.25">
      <c r="A21" s="31">
        <f>'M&amp;R Stations'!A21</f>
        <v>38980</v>
      </c>
      <c r="B21" s="216">
        <v>2615</v>
      </c>
      <c r="C21" s="216">
        <v>0</v>
      </c>
      <c r="D21" s="216">
        <v>13209</v>
      </c>
      <c r="E21" s="216">
        <v>0</v>
      </c>
      <c r="F21" s="216">
        <v>0</v>
      </c>
      <c r="G21" s="216">
        <v>0</v>
      </c>
      <c r="H21" s="216">
        <v>0</v>
      </c>
      <c r="I21" s="216">
        <v>0</v>
      </c>
      <c r="J21" s="216">
        <v>2691</v>
      </c>
      <c r="K21" s="216">
        <v>0</v>
      </c>
      <c r="L21" s="216">
        <v>0</v>
      </c>
      <c r="M21" s="216">
        <v>0</v>
      </c>
      <c r="N21" s="216">
        <v>0</v>
      </c>
      <c r="O21" s="216">
        <v>0</v>
      </c>
      <c r="P21" s="216">
        <v>151</v>
      </c>
      <c r="Q21" s="216">
        <v>1840</v>
      </c>
      <c r="R21" s="216">
        <v>0</v>
      </c>
      <c r="S21" s="216">
        <v>15019</v>
      </c>
      <c r="T21" s="216">
        <v>0</v>
      </c>
      <c r="U21" s="216">
        <v>15094</v>
      </c>
      <c r="V21" s="216">
        <v>10780</v>
      </c>
      <c r="W21" s="216">
        <v>7310</v>
      </c>
      <c r="X21" s="216">
        <v>0</v>
      </c>
      <c r="Y21" s="216">
        <v>125636</v>
      </c>
      <c r="Z21" s="216">
        <v>0</v>
      </c>
      <c r="AA21" s="216">
        <v>18100</v>
      </c>
      <c r="AB21" s="216">
        <v>722</v>
      </c>
      <c r="AC21" s="105"/>
    </row>
    <row r="22" spans="1:29" s="20" customFormat="1" x14ac:dyDescent="0.25">
      <c r="A22" s="31">
        <f>'M&amp;R Stations'!A22</f>
        <v>38981</v>
      </c>
      <c r="B22" s="216">
        <v>2613</v>
      </c>
      <c r="C22" s="216">
        <v>0</v>
      </c>
      <c r="D22" s="216">
        <v>13196</v>
      </c>
      <c r="E22" s="216">
        <v>0</v>
      </c>
      <c r="F22" s="216">
        <v>0</v>
      </c>
      <c r="G22" s="216">
        <v>0</v>
      </c>
      <c r="H22" s="216">
        <v>0</v>
      </c>
      <c r="I22" s="216">
        <v>0</v>
      </c>
      <c r="J22" s="216">
        <v>2688</v>
      </c>
      <c r="K22" s="216">
        <v>0</v>
      </c>
      <c r="L22" s="216">
        <v>0</v>
      </c>
      <c r="M22" s="216">
        <v>0</v>
      </c>
      <c r="N22" s="216">
        <v>0</v>
      </c>
      <c r="O22" s="216">
        <v>0</v>
      </c>
      <c r="P22" s="216">
        <v>151</v>
      </c>
      <c r="Q22" s="216">
        <v>1840</v>
      </c>
      <c r="R22" s="216">
        <v>0</v>
      </c>
      <c r="S22" s="216">
        <v>15019</v>
      </c>
      <c r="T22" s="216">
        <v>0</v>
      </c>
      <c r="U22" s="216">
        <v>15094</v>
      </c>
      <c r="V22" s="216">
        <v>14550</v>
      </c>
      <c r="W22" s="216">
        <v>7310</v>
      </c>
      <c r="X22" s="216">
        <v>413</v>
      </c>
      <c r="Y22" s="216">
        <v>125636</v>
      </c>
      <c r="Z22" s="216">
        <v>0</v>
      </c>
      <c r="AA22" s="216">
        <v>18100</v>
      </c>
      <c r="AB22" s="216">
        <v>722</v>
      </c>
      <c r="AC22" s="105"/>
    </row>
    <row r="23" spans="1:29" s="20" customFormat="1" x14ac:dyDescent="0.25">
      <c r="A23" s="31">
        <f>'M&amp;R Stations'!A23</f>
        <v>38982</v>
      </c>
      <c r="B23" s="216">
        <v>2608</v>
      </c>
      <c r="C23" s="216">
        <v>0</v>
      </c>
      <c r="D23" s="216">
        <v>13171</v>
      </c>
      <c r="E23" s="216">
        <v>0</v>
      </c>
      <c r="F23" s="216">
        <v>0</v>
      </c>
      <c r="G23" s="216">
        <v>0</v>
      </c>
      <c r="H23" s="216">
        <v>0</v>
      </c>
      <c r="I23" s="216">
        <v>0</v>
      </c>
      <c r="J23" s="216">
        <v>2683</v>
      </c>
      <c r="K23" s="216">
        <v>0</v>
      </c>
      <c r="L23" s="216">
        <v>0</v>
      </c>
      <c r="M23" s="216">
        <v>0</v>
      </c>
      <c r="N23" s="216">
        <v>0</v>
      </c>
      <c r="O23" s="216">
        <v>0</v>
      </c>
      <c r="P23" s="216">
        <v>151</v>
      </c>
      <c r="Q23" s="216">
        <v>1841</v>
      </c>
      <c r="R23" s="216">
        <v>0</v>
      </c>
      <c r="S23" s="216">
        <v>15034</v>
      </c>
      <c r="T23" s="216">
        <v>0</v>
      </c>
      <c r="U23" s="216">
        <v>15108</v>
      </c>
      <c r="V23" s="216">
        <v>14565</v>
      </c>
      <c r="W23" s="216">
        <v>7317</v>
      </c>
      <c r="X23" s="216">
        <v>2728</v>
      </c>
      <c r="Y23" s="216">
        <v>115488</v>
      </c>
      <c r="Z23" s="216">
        <v>0</v>
      </c>
      <c r="AA23" s="216">
        <v>18117</v>
      </c>
      <c r="AB23" s="216">
        <v>723</v>
      </c>
      <c r="AC23" s="105"/>
    </row>
    <row r="24" spans="1:29" s="20" customFormat="1" x14ac:dyDescent="0.25">
      <c r="A24" s="31">
        <f>'M&amp;R Stations'!A24</f>
        <v>38983</v>
      </c>
      <c r="B24" s="216">
        <v>2610</v>
      </c>
      <c r="C24" s="216">
        <v>0</v>
      </c>
      <c r="D24" s="216">
        <v>13183</v>
      </c>
      <c r="E24" s="216">
        <v>0</v>
      </c>
      <c r="F24" s="216">
        <v>0</v>
      </c>
      <c r="G24" s="216">
        <v>0</v>
      </c>
      <c r="H24" s="216">
        <v>0</v>
      </c>
      <c r="I24" s="216">
        <v>0</v>
      </c>
      <c r="J24" s="216">
        <v>2686</v>
      </c>
      <c r="K24" s="216">
        <v>0</v>
      </c>
      <c r="L24" s="216">
        <v>0</v>
      </c>
      <c r="M24" s="216">
        <v>0</v>
      </c>
      <c r="N24" s="216">
        <v>0</v>
      </c>
      <c r="O24" s="216">
        <v>0</v>
      </c>
      <c r="P24" s="216">
        <v>151</v>
      </c>
      <c r="Q24" s="216">
        <v>1841</v>
      </c>
      <c r="R24" s="216">
        <v>0</v>
      </c>
      <c r="S24" s="216">
        <v>15034</v>
      </c>
      <c r="T24" s="216">
        <v>0</v>
      </c>
      <c r="U24" s="216">
        <v>15108</v>
      </c>
      <c r="V24" s="216">
        <v>10805</v>
      </c>
      <c r="W24" s="216">
        <v>7317</v>
      </c>
      <c r="X24" s="216">
        <v>0</v>
      </c>
      <c r="Y24" s="216">
        <v>118398</v>
      </c>
      <c r="Z24" s="216">
        <v>0</v>
      </c>
      <c r="AA24" s="216">
        <v>18117</v>
      </c>
      <c r="AB24" s="216">
        <v>723</v>
      </c>
      <c r="AC24" s="105"/>
    </row>
    <row r="25" spans="1:29" s="20" customFormat="1" x14ac:dyDescent="0.25">
      <c r="A25" s="31">
        <f>'M&amp;R Stations'!A25</f>
        <v>38984</v>
      </c>
      <c r="B25" s="216">
        <v>2603</v>
      </c>
      <c r="C25" s="216">
        <v>0</v>
      </c>
      <c r="D25" s="216">
        <v>13145</v>
      </c>
      <c r="E25" s="216">
        <v>0</v>
      </c>
      <c r="F25" s="216">
        <v>0</v>
      </c>
      <c r="G25" s="216">
        <v>0</v>
      </c>
      <c r="H25" s="216">
        <v>0</v>
      </c>
      <c r="I25" s="216">
        <v>0</v>
      </c>
      <c r="J25" s="216">
        <v>2678</v>
      </c>
      <c r="K25" s="216">
        <v>0</v>
      </c>
      <c r="L25" s="216">
        <v>0</v>
      </c>
      <c r="M25" s="216">
        <v>0</v>
      </c>
      <c r="N25" s="216">
        <v>0</v>
      </c>
      <c r="O25" s="216">
        <v>0</v>
      </c>
      <c r="P25" s="216">
        <v>150</v>
      </c>
      <c r="Q25" s="216">
        <v>1836</v>
      </c>
      <c r="R25" s="216">
        <v>0</v>
      </c>
      <c r="S25" s="216">
        <v>14990</v>
      </c>
      <c r="T25" s="216">
        <v>0</v>
      </c>
      <c r="U25" s="216">
        <v>15065</v>
      </c>
      <c r="V25" s="216">
        <v>14522</v>
      </c>
      <c r="W25" s="216">
        <v>7296</v>
      </c>
      <c r="X25" s="216">
        <v>700</v>
      </c>
      <c r="Y25" s="216">
        <v>118054</v>
      </c>
      <c r="Z25" s="216">
        <v>0</v>
      </c>
      <c r="AA25" s="216">
        <v>18065</v>
      </c>
      <c r="AB25" s="216">
        <v>721</v>
      </c>
      <c r="AC25" s="105"/>
    </row>
    <row r="26" spans="1:29" s="20" customFormat="1" x14ac:dyDescent="0.25">
      <c r="A26" s="31">
        <f>'M&amp;R Stations'!A26</f>
        <v>38985</v>
      </c>
      <c r="B26" s="216">
        <v>2608</v>
      </c>
      <c r="C26" s="216">
        <v>0</v>
      </c>
      <c r="D26" s="216">
        <v>13171</v>
      </c>
      <c r="E26" s="216">
        <v>0</v>
      </c>
      <c r="F26" s="216">
        <v>0</v>
      </c>
      <c r="G26" s="216">
        <v>0</v>
      </c>
      <c r="H26" s="216">
        <v>0</v>
      </c>
      <c r="I26" s="216">
        <v>0</v>
      </c>
      <c r="J26" s="216">
        <v>2683</v>
      </c>
      <c r="K26" s="216">
        <v>0</v>
      </c>
      <c r="L26" s="216">
        <v>0</v>
      </c>
      <c r="M26" s="216">
        <v>0</v>
      </c>
      <c r="N26" s="216">
        <v>0</v>
      </c>
      <c r="O26" s="216">
        <v>0</v>
      </c>
      <c r="P26" s="216">
        <v>151</v>
      </c>
      <c r="Q26" s="216">
        <v>1838</v>
      </c>
      <c r="R26" s="216">
        <v>0</v>
      </c>
      <c r="S26" s="216">
        <v>15005</v>
      </c>
      <c r="T26" s="216">
        <v>0</v>
      </c>
      <c r="U26" s="216">
        <v>15079</v>
      </c>
      <c r="V26" s="216">
        <v>14536</v>
      </c>
      <c r="W26" s="216">
        <v>7303</v>
      </c>
      <c r="X26" s="216">
        <v>3187</v>
      </c>
      <c r="Y26" s="216">
        <v>118168</v>
      </c>
      <c r="Z26" s="216">
        <v>0</v>
      </c>
      <c r="AA26" s="216">
        <v>18082</v>
      </c>
      <c r="AB26" s="216">
        <v>722</v>
      </c>
      <c r="AC26" s="105"/>
    </row>
    <row r="27" spans="1:29" s="20" customFormat="1" x14ac:dyDescent="0.25">
      <c r="A27" s="31">
        <f>'M&amp;R Stations'!A27</f>
        <v>38986</v>
      </c>
      <c r="B27" s="216">
        <v>2613</v>
      </c>
      <c r="C27" s="216">
        <v>0</v>
      </c>
      <c r="D27" s="216">
        <v>13196</v>
      </c>
      <c r="E27" s="216">
        <v>0</v>
      </c>
      <c r="F27" s="216">
        <v>0</v>
      </c>
      <c r="G27" s="216">
        <v>0</v>
      </c>
      <c r="H27" s="216">
        <v>0</v>
      </c>
      <c r="I27" s="216">
        <v>0</v>
      </c>
      <c r="J27" s="216">
        <v>2678</v>
      </c>
      <c r="K27" s="216">
        <v>0</v>
      </c>
      <c r="L27" s="216">
        <v>0</v>
      </c>
      <c r="M27" s="216">
        <v>0</v>
      </c>
      <c r="N27" s="216">
        <v>0</v>
      </c>
      <c r="O27" s="216">
        <v>0</v>
      </c>
      <c r="P27" s="216">
        <v>151</v>
      </c>
      <c r="Q27" s="216">
        <v>1838</v>
      </c>
      <c r="R27" s="216">
        <v>0</v>
      </c>
      <c r="S27" s="216">
        <v>15005</v>
      </c>
      <c r="T27" s="216">
        <v>0</v>
      </c>
      <c r="U27" s="216">
        <v>15079</v>
      </c>
      <c r="V27" s="216">
        <v>14536</v>
      </c>
      <c r="W27" s="216">
        <v>7303</v>
      </c>
      <c r="X27" s="216">
        <v>4863</v>
      </c>
      <c r="Y27" s="216">
        <v>118168</v>
      </c>
      <c r="Z27" s="216">
        <v>0</v>
      </c>
      <c r="AA27" s="216">
        <v>18082</v>
      </c>
      <c r="AB27" s="216">
        <v>722</v>
      </c>
      <c r="AC27" s="105"/>
    </row>
    <row r="28" spans="1:29" s="20" customFormat="1" x14ac:dyDescent="0.25">
      <c r="A28" s="31">
        <f>'M&amp;R Stations'!A28</f>
        <v>38987</v>
      </c>
      <c r="B28" s="216">
        <v>2608</v>
      </c>
      <c r="C28" s="216">
        <v>0</v>
      </c>
      <c r="D28" s="216">
        <v>13171</v>
      </c>
      <c r="E28" s="216">
        <v>0</v>
      </c>
      <c r="F28" s="216">
        <v>0</v>
      </c>
      <c r="G28" s="216">
        <v>0</v>
      </c>
      <c r="H28" s="216">
        <v>0</v>
      </c>
      <c r="I28" s="216">
        <v>0</v>
      </c>
      <c r="J28" s="216">
        <v>2426</v>
      </c>
      <c r="K28" s="216">
        <v>0</v>
      </c>
      <c r="L28" s="216">
        <v>0</v>
      </c>
      <c r="M28" s="216">
        <v>0</v>
      </c>
      <c r="N28" s="216">
        <v>0</v>
      </c>
      <c r="O28" s="216">
        <v>0</v>
      </c>
      <c r="P28" s="216">
        <v>148</v>
      </c>
      <c r="Q28" s="216">
        <v>1838</v>
      </c>
      <c r="R28" s="216">
        <v>0</v>
      </c>
      <c r="S28" s="216">
        <v>15005</v>
      </c>
      <c r="T28" s="216">
        <v>0</v>
      </c>
      <c r="U28" s="216">
        <v>15079</v>
      </c>
      <c r="V28" s="216">
        <v>14536</v>
      </c>
      <c r="W28" s="216">
        <v>7303</v>
      </c>
      <c r="X28" s="216">
        <v>1799</v>
      </c>
      <c r="Y28" s="216">
        <v>118168</v>
      </c>
      <c r="Z28" s="216">
        <v>0</v>
      </c>
      <c r="AA28" s="216">
        <v>18082</v>
      </c>
      <c r="AB28" s="216">
        <v>722</v>
      </c>
      <c r="AC28" s="105"/>
    </row>
    <row r="29" spans="1:29" s="20" customFormat="1" x14ac:dyDescent="0.25">
      <c r="A29" s="31">
        <f>'M&amp;R Stations'!A29</f>
        <v>38988</v>
      </c>
      <c r="B29" s="216">
        <v>2608</v>
      </c>
      <c r="C29" s="216">
        <v>0</v>
      </c>
      <c r="D29" s="216">
        <v>13171</v>
      </c>
      <c r="E29" s="216">
        <v>0</v>
      </c>
      <c r="F29" s="216">
        <v>0</v>
      </c>
      <c r="G29" s="216">
        <v>0</v>
      </c>
      <c r="H29" s="216">
        <v>0</v>
      </c>
      <c r="I29" s="216">
        <v>0</v>
      </c>
      <c r="J29" s="216">
        <v>2386</v>
      </c>
      <c r="K29" s="216">
        <v>0</v>
      </c>
      <c r="L29" s="216">
        <v>0</v>
      </c>
      <c r="M29" s="216">
        <v>0</v>
      </c>
      <c r="N29" s="216">
        <v>0</v>
      </c>
      <c r="O29" s="216">
        <v>0</v>
      </c>
      <c r="P29" s="216">
        <v>148</v>
      </c>
      <c r="Q29" s="216">
        <v>1834</v>
      </c>
      <c r="R29" s="216">
        <v>0</v>
      </c>
      <c r="S29" s="216">
        <v>14976</v>
      </c>
      <c r="T29" s="216">
        <v>0</v>
      </c>
      <c r="U29" s="216">
        <v>15050</v>
      </c>
      <c r="V29" s="216">
        <v>14508</v>
      </c>
      <c r="W29" s="216">
        <v>7289</v>
      </c>
      <c r="X29" s="216">
        <v>2718</v>
      </c>
      <c r="Y29" s="216">
        <v>115042</v>
      </c>
      <c r="Z29" s="216">
        <v>0</v>
      </c>
      <c r="AA29" s="216">
        <v>18047</v>
      </c>
      <c r="AB29" s="216">
        <v>720</v>
      </c>
      <c r="AC29" s="105"/>
    </row>
    <row r="30" spans="1:29" s="20" customFormat="1" x14ac:dyDescent="0.25">
      <c r="A30" s="31">
        <f>'M&amp;R Stations'!A30</f>
        <v>38989</v>
      </c>
      <c r="B30" s="216">
        <v>2608</v>
      </c>
      <c r="C30" s="216">
        <v>0</v>
      </c>
      <c r="D30" s="216">
        <v>13171</v>
      </c>
      <c r="E30" s="216">
        <v>0</v>
      </c>
      <c r="F30" s="216">
        <v>0</v>
      </c>
      <c r="G30" s="216">
        <v>0</v>
      </c>
      <c r="H30" s="216">
        <v>0</v>
      </c>
      <c r="I30" s="216">
        <v>0</v>
      </c>
      <c r="J30" s="216">
        <v>2376</v>
      </c>
      <c r="K30" s="216">
        <v>0</v>
      </c>
      <c r="L30" s="216">
        <v>0</v>
      </c>
      <c r="M30" s="216">
        <v>0</v>
      </c>
      <c r="N30" s="216">
        <v>0</v>
      </c>
      <c r="O30" s="216">
        <v>0</v>
      </c>
      <c r="P30" s="216">
        <v>148</v>
      </c>
      <c r="Q30" s="216">
        <v>1838</v>
      </c>
      <c r="R30" s="216">
        <v>0</v>
      </c>
      <c r="S30" s="216">
        <v>13863</v>
      </c>
      <c r="T30" s="216">
        <v>0</v>
      </c>
      <c r="U30" s="216">
        <v>15079</v>
      </c>
      <c r="V30" s="216">
        <v>14536</v>
      </c>
      <c r="W30" s="216">
        <v>7303</v>
      </c>
      <c r="X30" s="216">
        <v>7035</v>
      </c>
      <c r="Y30" s="216">
        <v>120105</v>
      </c>
      <c r="Z30" s="216">
        <v>0</v>
      </c>
      <c r="AA30" s="216">
        <v>18082</v>
      </c>
      <c r="AB30" s="216">
        <v>678</v>
      </c>
      <c r="AC30" s="105"/>
    </row>
    <row r="31" spans="1:29" s="20" customFormat="1" x14ac:dyDescent="0.25">
      <c r="A31" s="31">
        <f>'M&amp;R Stations'!A31</f>
        <v>38990</v>
      </c>
      <c r="B31" s="216">
        <v>2608</v>
      </c>
      <c r="C31" s="216">
        <v>0</v>
      </c>
      <c r="D31" s="216">
        <v>13171</v>
      </c>
      <c r="E31" s="216">
        <v>0</v>
      </c>
      <c r="F31" s="216">
        <v>0</v>
      </c>
      <c r="G31" s="216">
        <v>0</v>
      </c>
      <c r="H31" s="216">
        <v>0</v>
      </c>
      <c r="I31" s="216">
        <v>0</v>
      </c>
      <c r="J31" s="216">
        <v>2405</v>
      </c>
      <c r="K31" s="216">
        <v>0</v>
      </c>
      <c r="L31" s="216">
        <v>0</v>
      </c>
      <c r="M31" s="216">
        <v>0</v>
      </c>
      <c r="N31" s="216">
        <v>0</v>
      </c>
      <c r="O31" s="216">
        <v>0</v>
      </c>
      <c r="P31" s="216">
        <v>148</v>
      </c>
      <c r="Q31" s="216">
        <v>1840</v>
      </c>
      <c r="R31" s="216">
        <v>0</v>
      </c>
      <c r="S31" s="216">
        <v>15019</v>
      </c>
      <c r="T31" s="216">
        <v>0</v>
      </c>
      <c r="U31" s="216">
        <v>15094</v>
      </c>
      <c r="V31" s="216">
        <v>14550</v>
      </c>
      <c r="W31" s="216">
        <v>7310</v>
      </c>
      <c r="X31" s="216">
        <v>4594</v>
      </c>
      <c r="Y31" s="216">
        <v>120221</v>
      </c>
      <c r="Z31" s="216">
        <v>0</v>
      </c>
      <c r="AA31" s="216">
        <v>18100</v>
      </c>
      <c r="AB31" s="216">
        <v>722</v>
      </c>
      <c r="AC31" s="105"/>
    </row>
    <row r="32" spans="1:29" s="20" customFormat="1" x14ac:dyDescent="0.25">
      <c r="A32" s="31">
        <f>'M&amp;R Stations'!A32</f>
        <v>38991</v>
      </c>
      <c r="B32" s="216">
        <v>2613</v>
      </c>
      <c r="C32" s="216">
        <v>0</v>
      </c>
      <c r="D32" s="216">
        <v>3282</v>
      </c>
      <c r="E32" s="216">
        <v>0</v>
      </c>
      <c r="F32" s="216">
        <v>0</v>
      </c>
      <c r="G32" s="216">
        <v>0</v>
      </c>
      <c r="H32" s="216">
        <v>0</v>
      </c>
      <c r="I32" s="216">
        <v>0</v>
      </c>
      <c r="J32" s="216">
        <v>12275</v>
      </c>
      <c r="K32" s="216">
        <v>0</v>
      </c>
      <c r="L32" s="216">
        <v>0</v>
      </c>
      <c r="M32" s="216">
        <v>0</v>
      </c>
      <c r="N32" s="216">
        <v>0</v>
      </c>
      <c r="O32" s="216">
        <v>0</v>
      </c>
      <c r="P32" s="216">
        <v>148</v>
      </c>
      <c r="Q32" s="216">
        <v>3833</v>
      </c>
      <c r="R32" s="216">
        <v>0</v>
      </c>
      <c r="S32" s="216">
        <v>18727</v>
      </c>
      <c r="T32" s="216">
        <v>0</v>
      </c>
      <c r="U32" s="216">
        <v>15138</v>
      </c>
      <c r="V32" s="216">
        <v>0</v>
      </c>
      <c r="W32" s="216">
        <v>7331</v>
      </c>
      <c r="X32" s="216">
        <v>0</v>
      </c>
      <c r="Y32" s="216">
        <v>131231</v>
      </c>
      <c r="Z32" s="216">
        <v>0</v>
      </c>
      <c r="AA32" s="216">
        <v>14462</v>
      </c>
      <c r="AB32" s="216">
        <v>881</v>
      </c>
      <c r="AC32" s="105"/>
    </row>
    <row r="33" spans="1:29" s="20" customFormat="1" x14ac:dyDescent="0.25">
      <c r="A33" s="31">
        <f>'M&amp;R Stations'!A33</f>
        <v>38992</v>
      </c>
      <c r="B33" s="216">
        <v>2614</v>
      </c>
      <c r="C33" s="216">
        <v>0</v>
      </c>
      <c r="D33" s="216">
        <v>3264</v>
      </c>
      <c r="E33" s="216">
        <v>0</v>
      </c>
      <c r="F33" s="216">
        <v>0</v>
      </c>
      <c r="G33" s="216">
        <v>0</v>
      </c>
      <c r="H33" s="216">
        <v>0</v>
      </c>
      <c r="I33" s="216">
        <v>0</v>
      </c>
      <c r="J33" s="216">
        <v>12279</v>
      </c>
      <c r="K33" s="216">
        <v>0</v>
      </c>
      <c r="L33" s="216">
        <v>0</v>
      </c>
      <c r="M33" s="216">
        <v>0</v>
      </c>
      <c r="N33" s="216">
        <v>0</v>
      </c>
      <c r="O33" s="216">
        <v>0</v>
      </c>
      <c r="P33" s="216">
        <v>148</v>
      </c>
      <c r="Q33" s="216">
        <v>3817</v>
      </c>
      <c r="R33" s="216">
        <v>0</v>
      </c>
      <c r="S33" s="216">
        <v>18650</v>
      </c>
      <c r="T33" s="216">
        <v>0</v>
      </c>
      <c r="U33" s="216">
        <v>15075</v>
      </c>
      <c r="V33" s="216">
        <v>0</v>
      </c>
      <c r="W33" s="216">
        <v>7301</v>
      </c>
      <c r="X33" s="216">
        <v>0</v>
      </c>
      <c r="Y33" s="216">
        <v>128850</v>
      </c>
      <c r="Z33" s="216">
        <v>0</v>
      </c>
      <c r="AA33" s="216">
        <v>14402</v>
      </c>
      <c r="AB33" s="216">
        <v>878</v>
      </c>
      <c r="AC33" s="105"/>
    </row>
    <row r="34" spans="1:29" s="20" customFormat="1" x14ac:dyDescent="0.25">
      <c r="A34" s="31">
        <f>'M&amp;R Stations'!A34</f>
        <v>38993</v>
      </c>
      <c r="B34" s="216">
        <v>2621</v>
      </c>
      <c r="C34" s="216">
        <v>0</v>
      </c>
      <c r="D34" s="216">
        <v>3293</v>
      </c>
      <c r="E34" s="216">
        <v>0</v>
      </c>
      <c r="F34" s="216">
        <v>0</v>
      </c>
      <c r="G34" s="216">
        <v>0</v>
      </c>
      <c r="H34" s="216">
        <v>0</v>
      </c>
      <c r="I34" s="216">
        <v>0</v>
      </c>
      <c r="J34" s="216">
        <v>12311</v>
      </c>
      <c r="K34" s="216">
        <v>0</v>
      </c>
      <c r="L34" s="216">
        <v>0</v>
      </c>
      <c r="M34" s="216">
        <v>0</v>
      </c>
      <c r="N34" s="216">
        <v>0</v>
      </c>
      <c r="O34" s="216">
        <v>0</v>
      </c>
      <c r="P34" s="216">
        <v>148</v>
      </c>
      <c r="Q34" s="216">
        <v>1833</v>
      </c>
      <c r="R34" s="216">
        <v>0</v>
      </c>
      <c r="S34" s="216">
        <v>13514</v>
      </c>
      <c r="T34" s="216">
        <v>0</v>
      </c>
      <c r="U34" s="216">
        <v>15035</v>
      </c>
      <c r="V34" s="216">
        <v>5773</v>
      </c>
      <c r="W34" s="216">
        <v>7282</v>
      </c>
      <c r="X34" s="216">
        <v>7014</v>
      </c>
      <c r="Y34" s="216">
        <v>101178</v>
      </c>
      <c r="Z34" s="216">
        <v>0</v>
      </c>
      <c r="AA34" s="216">
        <v>14364</v>
      </c>
      <c r="AB34" s="216">
        <v>664</v>
      </c>
      <c r="AC34" s="105"/>
    </row>
    <row r="35" spans="1:29" s="20" customFormat="1" x14ac:dyDescent="0.25">
      <c r="A35" s="31">
        <f>'M&amp;R Stations'!A35</f>
        <v>38994</v>
      </c>
      <c r="B35" s="216">
        <v>2610</v>
      </c>
      <c r="C35" s="216">
        <v>0</v>
      </c>
      <c r="D35" s="216">
        <v>3001</v>
      </c>
      <c r="E35" s="216">
        <v>0</v>
      </c>
      <c r="F35" s="216">
        <v>0</v>
      </c>
      <c r="G35" s="216">
        <v>0</v>
      </c>
      <c r="H35" s="216">
        <v>0</v>
      </c>
      <c r="I35" s="216">
        <v>0</v>
      </c>
      <c r="J35" s="216">
        <v>12263</v>
      </c>
      <c r="K35" s="216">
        <v>0</v>
      </c>
      <c r="L35" s="216">
        <v>0</v>
      </c>
      <c r="M35" s="216">
        <v>0</v>
      </c>
      <c r="N35" s="216">
        <v>0</v>
      </c>
      <c r="O35" s="216">
        <v>0</v>
      </c>
      <c r="P35" s="216">
        <v>145</v>
      </c>
      <c r="Q35" s="216">
        <v>1834</v>
      </c>
      <c r="R35" s="216">
        <v>0</v>
      </c>
      <c r="S35" s="216">
        <v>13527</v>
      </c>
      <c r="T35" s="216">
        <v>0</v>
      </c>
      <c r="U35" s="216">
        <v>15050</v>
      </c>
      <c r="V35" s="216">
        <v>8625</v>
      </c>
      <c r="W35" s="216">
        <v>7289</v>
      </c>
      <c r="X35" s="216">
        <v>7021</v>
      </c>
      <c r="Y35" s="216">
        <v>97607</v>
      </c>
      <c r="Z35" s="216">
        <v>0</v>
      </c>
      <c r="AA35" s="216">
        <v>14378</v>
      </c>
      <c r="AB35" s="216">
        <v>665</v>
      </c>
      <c r="AC35" s="105"/>
    </row>
    <row r="36" spans="1:29" s="20" customFormat="1" x14ac:dyDescent="0.25">
      <c r="A36" s="31">
        <f>'M&amp;R Stations'!A36</f>
        <v>38995</v>
      </c>
      <c r="B36" s="216">
        <v>2613</v>
      </c>
      <c r="C36" s="216">
        <v>0</v>
      </c>
      <c r="D36" s="216">
        <v>2816</v>
      </c>
      <c r="E36" s="216">
        <v>0</v>
      </c>
      <c r="F36" s="216">
        <v>0</v>
      </c>
      <c r="G36" s="216">
        <v>0</v>
      </c>
      <c r="H36" s="216">
        <v>0</v>
      </c>
      <c r="I36" s="216">
        <v>0</v>
      </c>
      <c r="J36" s="216">
        <v>12275</v>
      </c>
      <c r="K36" s="216">
        <v>0</v>
      </c>
      <c r="L36" s="216">
        <v>0</v>
      </c>
      <c r="M36" s="216">
        <v>0</v>
      </c>
      <c r="N36" s="216">
        <v>0</v>
      </c>
      <c r="O36" s="216">
        <v>0</v>
      </c>
      <c r="P36" s="216">
        <v>144</v>
      </c>
      <c r="Q36" s="216">
        <v>1841</v>
      </c>
      <c r="R36" s="216">
        <v>0</v>
      </c>
      <c r="S36" s="216">
        <v>13579</v>
      </c>
      <c r="T36" s="216">
        <v>0</v>
      </c>
      <c r="U36" s="216">
        <v>15108</v>
      </c>
      <c r="V36" s="216">
        <v>0</v>
      </c>
      <c r="W36" s="216">
        <v>7317</v>
      </c>
      <c r="X36" s="216">
        <v>4133</v>
      </c>
      <c r="Y36" s="216">
        <v>119258</v>
      </c>
      <c r="Z36" s="216">
        <v>0</v>
      </c>
      <c r="AA36" s="216">
        <v>14434</v>
      </c>
      <c r="AB36" s="216">
        <v>668</v>
      </c>
      <c r="AC36" s="105"/>
    </row>
    <row r="37" spans="1:29" s="20" customFormat="1" x14ac:dyDescent="0.25">
      <c r="A37" s="31">
        <f>'M&amp;R Stations'!A37</f>
        <v>38996</v>
      </c>
      <c r="B37" s="216">
        <v>2610</v>
      </c>
      <c r="C37" s="216">
        <v>0</v>
      </c>
      <c r="D37" s="216">
        <v>2278</v>
      </c>
      <c r="E37" s="216">
        <v>0</v>
      </c>
      <c r="F37" s="216">
        <v>0</v>
      </c>
      <c r="G37" s="216">
        <v>0</v>
      </c>
      <c r="H37" s="216">
        <v>0</v>
      </c>
      <c r="I37" s="216">
        <v>0</v>
      </c>
      <c r="J37" s="216">
        <v>12263</v>
      </c>
      <c r="K37" s="216">
        <v>0</v>
      </c>
      <c r="L37" s="216">
        <v>0</v>
      </c>
      <c r="M37" s="216">
        <v>0</v>
      </c>
      <c r="N37" s="216">
        <v>0</v>
      </c>
      <c r="O37" s="216">
        <v>0</v>
      </c>
      <c r="P37" s="216">
        <v>139</v>
      </c>
      <c r="Q37" s="216">
        <v>3508</v>
      </c>
      <c r="R37" s="216">
        <v>0</v>
      </c>
      <c r="S37" s="216">
        <v>13553</v>
      </c>
      <c r="T37" s="216">
        <v>0</v>
      </c>
      <c r="U37" s="216">
        <v>15079</v>
      </c>
      <c r="V37" s="216">
        <v>0</v>
      </c>
      <c r="W37" s="216">
        <v>7303</v>
      </c>
      <c r="X37" s="216">
        <v>0</v>
      </c>
      <c r="Y37" s="216">
        <v>131784</v>
      </c>
      <c r="Z37" s="216">
        <v>0</v>
      </c>
      <c r="AA37" s="216">
        <v>0</v>
      </c>
      <c r="AB37" s="216">
        <v>681</v>
      </c>
      <c r="AC37" s="105"/>
    </row>
    <row r="38" spans="1:29" s="20" customFormat="1" x14ac:dyDescent="0.25">
      <c r="A38" s="31">
        <f>'M&amp;R Stations'!A38</f>
        <v>38997</v>
      </c>
      <c r="B38" s="216">
        <v>2610</v>
      </c>
      <c r="C38" s="216">
        <v>0</v>
      </c>
      <c r="D38" s="216">
        <v>2476</v>
      </c>
      <c r="E38" s="216">
        <v>0</v>
      </c>
      <c r="F38" s="216">
        <v>0</v>
      </c>
      <c r="G38" s="216">
        <v>0</v>
      </c>
      <c r="H38" s="216">
        <v>0</v>
      </c>
      <c r="I38" s="216">
        <v>0</v>
      </c>
      <c r="J38" s="216">
        <v>12263</v>
      </c>
      <c r="K38" s="216">
        <v>0</v>
      </c>
      <c r="L38" s="216">
        <v>0</v>
      </c>
      <c r="M38" s="216">
        <v>0</v>
      </c>
      <c r="N38" s="216">
        <v>0</v>
      </c>
      <c r="O38" s="216">
        <v>0</v>
      </c>
      <c r="P38" s="216">
        <v>141</v>
      </c>
      <c r="Q38" s="216">
        <v>2676</v>
      </c>
      <c r="R38" s="216">
        <v>0</v>
      </c>
      <c r="S38" s="216">
        <v>13553</v>
      </c>
      <c r="T38" s="216">
        <v>0</v>
      </c>
      <c r="U38" s="216">
        <v>15079</v>
      </c>
      <c r="V38" s="216">
        <v>0</v>
      </c>
      <c r="W38" s="216">
        <v>7303</v>
      </c>
      <c r="X38" s="216">
        <v>0</v>
      </c>
      <c r="Y38" s="216">
        <v>131784</v>
      </c>
      <c r="Z38" s="216">
        <v>0</v>
      </c>
      <c r="AA38" s="216">
        <v>0</v>
      </c>
      <c r="AB38" s="216">
        <v>674</v>
      </c>
      <c r="AC38" s="105"/>
    </row>
    <row r="39" spans="1:29" s="20" customFormat="1" x14ac:dyDescent="0.25">
      <c r="A39" s="31">
        <f>'M&amp;R Stations'!A39</f>
        <v>38998</v>
      </c>
      <c r="B39" s="216">
        <v>2605</v>
      </c>
      <c r="C39" s="216">
        <v>0</v>
      </c>
      <c r="D39" s="216">
        <v>2767</v>
      </c>
      <c r="E39" s="216">
        <v>0</v>
      </c>
      <c r="F39" s="216">
        <v>0</v>
      </c>
      <c r="G39" s="216">
        <v>0</v>
      </c>
      <c r="H39" s="216">
        <v>0</v>
      </c>
      <c r="I39" s="216">
        <v>0</v>
      </c>
      <c r="J39" s="216">
        <v>12239</v>
      </c>
      <c r="K39" s="216">
        <v>0</v>
      </c>
      <c r="L39" s="216">
        <v>0</v>
      </c>
      <c r="M39" s="216">
        <v>0</v>
      </c>
      <c r="N39" s="216">
        <v>0</v>
      </c>
      <c r="O39" s="216">
        <v>0</v>
      </c>
      <c r="P39" s="216">
        <v>143</v>
      </c>
      <c r="Q39" s="216">
        <v>3810</v>
      </c>
      <c r="R39" s="216">
        <v>0</v>
      </c>
      <c r="S39" s="216">
        <v>13840</v>
      </c>
      <c r="T39" s="216">
        <v>0</v>
      </c>
      <c r="U39" s="216">
        <v>15050</v>
      </c>
      <c r="V39" s="216">
        <v>0</v>
      </c>
      <c r="W39" s="216">
        <v>7289</v>
      </c>
      <c r="X39" s="216">
        <v>0</v>
      </c>
      <c r="Y39" s="216">
        <v>131529</v>
      </c>
      <c r="Z39" s="216">
        <v>0</v>
      </c>
      <c r="AA39" s="216">
        <v>14378</v>
      </c>
      <c r="AB39" s="216">
        <v>694</v>
      </c>
      <c r="AC39" s="105"/>
    </row>
    <row r="40" spans="1:29" s="20" customFormat="1" x14ac:dyDescent="0.25">
      <c r="A40" s="31">
        <f>'M&amp;R Stations'!A40</f>
        <v>38999</v>
      </c>
      <c r="B40" s="216">
        <v>2603</v>
      </c>
      <c r="C40" s="216">
        <v>0</v>
      </c>
      <c r="D40" s="216">
        <v>2942</v>
      </c>
      <c r="E40" s="216">
        <v>0</v>
      </c>
      <c r="F40" s="216">
        <v>0</v>
      </c>
      <c r="G40" s="216">
        <v>0</v>
      </c>
      <c r="H40" s="216">
        <v>0</v>
      </c>
      <c r="I40" s="216">
        <v>0</v>
      </c>
      <c r="J40" s="216">
        <v>12228</v>
      </c>
      <c r="K40" s="216">
        <v>0</v>
      </c>
      <c r="L40" s="216">
        <v>0</v>
      </c>
      <c r="M40" s="216">
        <v>0</v>
      </c>
      <c r="N40" s="216">
        <v>0</v>
      </c>
      <c r="O40" s="216">
        <v>0</v>
      </c>
      <c r="P40" s="216">
        <v>145</v>
      </c>
      <c r="Q40" s="216">
        <v>3810</v>
      </c>
      <c r="R40" s="216">
        <v>0</v>
      </c>
      <c r="S40" s="216">
        <v>17143</v>
      </c>
      <c r="T40" s="216">
        <v>0</v>
      </c>
      <c r="U40" s="216">
        <v>15050</v>
      </c>
      <c r="V40" s="216">
        <v>0</v>
      </c>
      <c r="W40" s="216">
        <v>7229</v>
      </c>
      <c r="X40" s="216">
        <v>0</v>
      </c>
      <c r="Y40" s="216">
        <v>126660</v>
      </c>
      <c r="Z40" s="216">
        <v>0</v>
      </c>
      <c r="AA40" s="216">
        <v>14378</v>
      </c>
      <c r="AB40" s="216">
        <v>820</v>
      </c>
      <c r="AC40" s="105"/>
    </row>
    <row r="41" spans="1:29" s="20" customFormat="1" x14ac:dyDescent="0.25">
      <c r="A41" s="31">
        <f>'M&amp;R Stations'!A41</f>
        <v>39000</v>
      </c>
      <c r="B41" s="216">
        <v>2603</v>
      </c>
      <c r="C41" s="216">
        <v>0</v>
      </c>
      <c r="D41" s="216">
        <v>3040</v>
      </c>
      <c r="E41" s="216">
        <v>0</v>
      </c>
      <c r="F41" s="216">
        <v>0</v>
      </c>
      <c r="G41" s="216">
        <v>0</v>
      </c>
      <c r="H41" s="216">
        <v>0</v>
      </c>
      <c r="I41" s="216">
        <v>0</v>
      </c>
      <c r="J41" s="216">
        <v>12228</v>
      </c>
      <c r="K41" s="216">
        <v>0</v>
      </c>
      <c r="L41" s="216">
        <v>0</v>
      </c>
      <c r="M41" s="216">
        <v>0</v>
      </c>
      <c r="N41" s="216">
        <v>0</v>
      </c>
      <c r="O41" s="216">
        <v>0</v>
      </c>
      <c r="P41" s="216">
        <v>145</v>
      </c>
      <c r="Q41" s="216">
        <v>1836</v>
      </c>
      <c r="R41" s="216">
        <v>0</v>
      </c>
      <c r="S41" s="216">
        <v>13540</v>
      </c>
      <c r="T41" s="216">
        <v>0</v>
      </c>
      <c r="U41" s="216">
        <v>15065</v>
      </c>
      <c r="V41" s="216">
        <v>12692</v>
      </c>
      <c r="W41" s="216">
        <v>7296</v>
      </c>
      <c r="X41" s="216">
        <v>7028</v>
      </c>
      <c r="Y41" s="216">
        <v>93767</v>
      </c>
      <c r="Z41" s="216">
        <v>0</v>
      </c>
      <c r="AA41" s="216">
        <v>14392</v>
      </c>
      <c r="AB41" s="216">
        <v>666</v>
      </c>
      <c r="AC41" s="105"/>
    </row>
    <row r="42" spans="1:29" s="20" customFormat="1" x14ac:dyDescent="0.25">
      <c r="A42" s="31">
        <f>'M&amp;R Stations'!A42</f>
        <v>39001</v>
      </c>
      <c r="B42" s="216">
        <v>2613</v>
      </c>
      <c r="C42" s="216">
        <v>0</v>
      </c>
      <c r="D42" s="216">
        <v>2995</v>
      </c>
      <c r="E42" s="216">
        <v>0</v>
      </c>
      <c r="F42" s="216">
        <v>0</v>
      </c>
      <c r="G42" s="216">
        <v>0</v>
      </c>
      <c r="H42" s="216">
        <v>4751</v>
      </c>
      <c r="I42" s="216">
        <v>0</v>
      </c>
      <c r="J42" s="216">
        <v>12275</v>
      </c>
      <c r="K42" s="216">
        <v>0</v>
      </c>
      <c r="L42" s="216">
        <v>0</v>
      </c>
      <c r="M42" s="216">
        <v>0</v>
      </c>
      <c r="N42" s="216">
        <v>0</v>
      </c>
      <c r="O42" s="216">
        <v>0</v>
      </c>
      <c r="P42" s="216">
        <v>146</v>
      </c>
      <c r="Q42" s="216">
        <v>1834</v>
      </c>
      <c r="R42" s="216">
        <v>0</v>
      </c>
      <c r="S42" s="216">
        <v>9206</v>
      </c>
      <c r="T42" s="216">
        <v>0</v>
      </c>
      <c r="U42" s="216">
        <v>15050</v>
      </c>
      <c r="V42" s="216">
        <v>14508</v>
      </c>
      <c r="W42" s="216">
        <v>7289</v>
      </c>
      <c r="X42" s="216">
        <v>7021</v>
      </c>
      <c r="Y42" s="216">
        <v>93676</v>
      </c>
      <c r="Z42" s="216">
        <v>0</v>
      </c>
      <c r="AA42" s="216">
        <v>14378</v>
      </c>
      <c r="AB42" s="216">
        <v>500</v>
      </c>
      <c r="AC42" s="105"/>
    </row>
    <row r="43" spans="1:29" s="20" customFormat="1" x14ac:dyDescent="0.25">
      <c r="A43" s="31">
        <f>'M&amp;R Stations'!A43</f>
        <v>39002</v>
      </c>
      <c r="B43" s="216">
        <v>2610</v>
      </c>
      <c r="C43" s="216">
        <v>0</v>
      </c>
      <c r="D43" s="216">
        <v>2694</v>
      </c>
      <c r="E43" s="216">
        <v>0</v>
      </c>
      <c r="F43" s="216">
        <v>0</v>
      </c>
      <c r="G43" s="216">
        <v>0</v>
      </c>
      <c r="H43" s="216">
        <v>4747</v>
      </c>
      <c r="I43" s="216">
        <v>0</v>
      </c>
      <c r="J43" s="216">
        <v>12263</v>
      </c>
      <c r="K43" s="216">
        <v>0</v>
      </c>
      <c r="L43" s="216">
        <v>0</v>
      </c>
      <c r="M43" s="216">
        <v>0</v>
      </c>
      <c r="N43" s="216">
        <v>0</v>
      </c>
      <c r="O43" s="216">
        <v>0</v>
      </c>
      <c r="P43" s="216">
        <v>143</v>
      </c>
      <c r="Q43" s="216">
        <v>1836</v>
      </c>
      <c r="R43" s="216">
        <v>0</v>
      </c>
      <c r="S43" s="216">
        <v>13540</v>
      </c>
      <c r="T43" s="216">
        <v>0</v>
      </c>
      <c r="U43" s="216">
        <v>15065</v>
      </c>
      <c r="V43" s="216">
        <v>6969</v>
      </c>
      <c r="W43" s="216">
        <v>7296</v>
      </c>
      <c r="X43" s="216">
        <v>7028</v>
      </c>
      <c r="Y43" s="216">
        <v>114076</v>
      </c>
      <c r="Z43" s="216">
        <v>0</v>
      </c>
      <c r="AA43" s="216">
        <v>0</v>
      </c>
      <c r="AB43" s="216">
        <v>666</v>
      </c>
      <c r="AC43" s="105"/>
    </row>
    <row r="44" spans="1:29" s="20" customFormat="1" x14ac:dyDescent="0.25">
      <c r="A44" s="31">
        <f>'M&amp;R Stations'!A44</f>
        <v>39003</v>
      </c>
      <c r="B44" s="216">
        <v>2610</v>
      </c>
      <c r="C44" s="216">
        <v>0</v>
      </c>
      <c r="D44" s="216">
        <v>6465</v>
      </c>
      <c r="E44" s="216">
        <v>0</v>
      </c>
      <c r="F44" s="216">
        <v>0</v>
      </c>
      <c r="G44" s="216">
        <v>0</v>
      </c>
      <c r="H44" s="216">
        <v>506</v>
      </c>
      <c r="I44" s="216">
        <v>0</v>
      </c>
      <c r="J44" s="216">
        <v>12263</v>
      </c>
      <c r="K44" s="216">
        <v>0</v>
      </c>
      <c r="L44" s="216">
        <v>0</v>
      </c>
      <c r="M44" s="216">
        <v>0</v>
      </c>
      <c r="N44" s="216">
        <v>0</v>
      </c>
      <c r="O44" s="216">
        <v>0</v>
      </c>
      <c r="P44" s="216">
        <v>175</v>
      </c>
      <c r="Q44" s="216">
        <v>1840</v>
      </c>
      <c r="R44" s="216">
        <v>0</v>
      </c>
      <c r="S44" s="216">
        <v>6751</v>
      </c>
      <c r="T44" s="216">
        <v>0</v>
      </c>
      <c r="U44" s="216">
        <v>15094</v>
      </c>
      <c r="V44" s="216">
        <v>14550</v>
      </c>
      <c r="W44" s="216">
        <v>7310</v>
      </c>
      <c r="X44" s="216">
        <v>7042</v>
      </c>
      <c r="Y44" s="216">
        <v>131912</v>
      </c>
      <c r="Z44" s="216">
        <v>0</v>
      </c>
      <c r="AA44" s="216">
        <v>0</v>
      </c>
      <c r="AB44" s="216">
        <v>407</v>
      </c>
      <c r="AC44" s="105"/>
    </row>
    <row r="45" spans="1:29" s="20" customFormat="1" x14ac:dyDescent="0.25">
      <c r="A45" s="31">
        <f>'M&amp;R Stations'!A45</f>
        <v>39004</v>
      </c>
      <c r="B45" s="216">
        <v>2603</v>
      </c>
      <c r="C45" s="216">
        <v>0</v>
      </c>
      <c r="D45" s="216">
        <v>8234</v>
      </c>
      <c r="E45" s="216">
        <v>0</v>
      </c>
      <c r="F45" s="216">
        <v>0</v>
      </c>
      <c r="G45" s="216">
        <v>0</v>
      </c>
      <c r="H45" s="216">
        <v>0</v>
      </c>
      <c r="I45" s="216">
        <v>0</v>
      </c>
      <c r="J45" s="216">
        <v>12228</v>
      </c>
      <c r="K45" s="216">
        <v>0</v>
      </c>
      <c r="L45" s="216">
        <v>0</v>
      </c>
      <c r="M45" s="216">
        <v>0</v>
      </c>
      <c r="N45" s="216">
        <v>0</v>
      </c>
      <c r="O45" s="216">
        <v>0</v>
      </c>
      <c r="P45" s="216">
        <v>190</v>
      </c>
      <c r="Q45" s="216">
        <v>264</v>
      </c>
      <c r="R45" s="216">
        <v>0</v>
      </c>
      <c r="S45" s="216">
        <v>0</v>
      </c>
      <c r="T45" s="216">
        <v>0</v>
      </c>
      <c r="U45" s="216">
        <v>15079</v>
      </c>
      <c r="V45" s="216">
        <v>14536</v>
      </c>
      <c r="W45" s="216">
        <v>7303</v>
      </c>
      <c r="X45" s="216">
        <v>14536</v>
      </c>
      <c r="Y45" s="216">
        <v>131784</v>
      </c>
      <c r="Z45" s="216">
        <v>0</v>
      </c>
      <c r="AA45" s="216">
        <v>0</v>
      </c>
      <c r="AB45" s="216">
        <v>136</v>
      </c>
      <c r="AC45" s="105"/>
    </row>
    <row r="46" spans="1:29" s="20" customFormat="1" x14ac:dyDescent="0.25">
      <c r="A46" s="31">
        <f>'M&amp;R Stations'!A46</f>
        <v>39005</v>
      </c>
      <c r="B46" s="216">
        <v>2603</v>
      </c>
      <c r="C46" s="216">
        <v>0</v>
      </c>
      <c r="D46" s="216">
        <v>0</v>
      </c>
      <c r="E46" s="216">
        <v>0</v>
      </c>
      <c r="F46" s="216">
        <v>0</v>
      </c>
      <c r="G46" s="216">
        <v>0</v>
      </c>
      <c r="H46" s="216">
        <v>0</v>
      </c>
      <c r="I46" s="216">
        <v>0</v>
      </c>
      <c r="J46" s="216">
        <v>6841</v>
      </c>
      <c r="K46" s="216">
        <v>0</v>
      </c>
      <c r="L46" s="216">
        <v>0</v>
      </c>
      <c r="M46" s="216">
        <v>0</v>
      </c>
      <c r="N46" s="216">
        <v>0</v>
      </c>
      <c r="O46" s="216">
        <v>0</v>
      </c>
      <c r="P46" s="216">
        <v>72</v>
      </c>
      <c r="Q46" s="216">
        <v>1801</v>
      </c>
      <c r="R46" s="216">
        <v>0</v>
      </c>
      <c r="S46" s="216">
        <v>0</v>
      </c>
      <c r="T46" s="216">
        <v>0</v>
      </c>
      <c r="U46" s="216">
        <v>15079</v>
      </c>
      <c r="V46" s="216">
        <v>14536</v>
      </c>
      <c r="W46" s="216">
        <v>7303</v>
      </c>
      <c r="X46" s="216">
        <v>7035</v>
      </c>
      <c r="Y46" s="216">
        <v>131784</v>
      </c>
      <c r="Z46" s="216">
        <v>0</v>
      </c>
      <c r="AA46" s="216">
        <v>0</v>
      </c>
      <c r="AB46" s="216">
        <v>150</v>
      </c>
      <c r="AC46" s="105"/>
    </row>
    <row r="47" spans="1:29" s="20" customFormat="1" x14ac:dyDescent="0.25">
      <c r="A47" s="31">
        <f>'M&amp;R Stations'!A47</f>
        <v>39006</v>
      </c>
      <c r="B47" s="216">
        <v>2600</v>
      </c>
      <c r="C47" s="216">
        <v>0</v>
      </c>
      <c r="D47" s="216">
        <v>11317</v>
      </c>
      <c r="E47" s="216">
        <v>0</v>
      </c>
      <c r="F47" s="216">
        <v>0</v>
      </c>
      <c r="G47" s="216">
        <v>0</v>
      </c>
      <c r="H47" s="216">
        <v>0</v>
      </c>
      <c r="I47" s="216">
        <v>0</v>
      </c>
      <c r="J47" s="216">
        <v>12216</v>
      </c>
      <c r="K47" s="216">
        <v>0</v>
      </c>
      <c r="L47" s="216">
        <v>0</v>
      </c>
      <c r="M47" s="216">
        <v>0</v>
      </c>
      <c r="N47" s="216">
        <v>0</v>
      </c>
      <c r="O47" s="216">
        <v>0</v>
      </c>
      <c r="P47" s="216">
        <v>217</v>
      </c>
      <c r="Q47" s="216">
        <v>1838</v>
      </c>
      <c r="R47" s="216">
        <v>0</v>
      </c>
      <c r="S47" s="216">
        <v>6266</v>
      </c>
      <c r="T47" s="216">
        <v>0</v>
      </c>
      <c r="U47" s="216">
        <v>15079</v>
      </c>
      <c r="V47" s="216">
        <v>14536</v>
      </c>
      <c r="W47" s="216">
        <v>7303</v>
      </c>
      <c r="X47" s="216">
        <v>7035</v>
      </c>
      <c r="Y47" s="216">
        <v>131784</v>
      </c>
      <c r="Z47" s="216">
        <v>0</v>
      </c>
      <c r="AA47" s="216">
        <v>0</v>
      </c>
      <c r="AB47" s="216">
        <v>389</v>
      </c>
      <c r="AC47" s="105"/>
    </row>
    <row r="48" spans="1:29" s="20" customFormat="1" x14ac:dyDescent="0.25">
      <c r="A48" s="31">
        <f>'M&amp;R Stations'!A48</f>
        <v>39007</v>
      </c>
      <c r="B48" s="216">
        <v>2605</v>
      </c>
      <c r="C48" s="216">
        <v>0</v>
      </c>
      <c r="D48" s="216">
        <v>2608</v>
      </c>
      <c r="E48" s="216">
        <v>0</v>
      </c>
      <c r="F48" s="216">
        <v>0</v>
      </c>
      <c r="G48" s="216">
        <v>0</v>
      </c>
      <c r="H48" s="216">
        <v>0</v>
      </c>
      <c r="I48" s="216">
        <v>0</v>
      </c>
      <c r="J48" s="216">
        <v>12239</v>
      </c>
      <c r="K48" s="216">
        <v>0</v>
      </c>
      <c r="L48" s="216">
        <v>0</v>
      </c>
      <c r="M48" s="216">
        <v>0</v>
      </c>
      <c r="N48" s="216">
        <v>0</v>
      </c>
      <c r="O48" s="216">
        <v>0</v>
      </c>
      <c r="P48" s="216">
        <v>142</v>
      </c>
      <c r="Q48" s="216">
        <v>1838</v>
      </c>
      <c r="R48" s="216">
        <v>0</v>
      </c>
      <c r="S48" s="216">
        <v>3327</v>
      </c>
      <c r="T48" s="216">
        <v>0</v>
      </c>
      <c r="U48" s="216">
        <v>15079</v>
      </c>
      <c r="V48" s="216">
        <v>14536</v>
      </c>
      <c r="W48" s="216">
        <v>7303</v>
      </c>
      <c r="X48" s="216">
        <v>7035</v>
      </c>
      <c r="Y48" s="216">
        <v>109347</v>
      </c>
      <c r="Z48" s="216">
        <v>0</v>
      </c>
      <c r="AA48" s="216">
        <v>0</v>
      </c>
      <c r="AB48" s="216">
        <v>277</v>
      </c>
      <c r="AC48" s="105"/>
    </row>
    <row r="49" spans="1:29" s="20" customFormat="1" x14ac:dyDescent="0.25">
      <c r="A49" s="31">
        <f>'M&amp;R Stations'!A49</f>
        <v>39008</v>
      </c>
      <c r="B49" s="216">
        <v>988</v>
      </c>
      <c r="C49" s="216">
        <v>0</v>
      </c>
      <c r="D49" s="216">
        <v>4637</v>
      </c>
      <c r="E49" s="216">
        <v>0</v>
      </c>
      <c r="F49" s="216">
        <v>0</v>
      </c>
      <c r="G49" s="216">
        <v>0</v>
      </c>
      <c r="H49" s="216">
        <v>0</v>
      </c>
      <c r="I49" s="216">
        <v>0</v>
      </c>
      <c r="J49" s="216">
        <v>12216</v>
      </c>
      <c r="K49" s="216">
        <v>0</v>
      </c>
      <c r="L49" s="216">
        <v>0</v>
      </c>
      <c r="M49" s="216">
        <v>0</v>
      </c>
      <c r="N49" s="216">
        <v>0</v>
      </c>
      <c r="O49" s="216">
        <v>0</v>
      </c>
      <c r="P49" s="216">
        <v>151</v>
      </c>
      <c r="Q49" s="216">
        <v>1836</v>
      </c>
      <c r="R49" s="216">
        <v>0</v>
      </c>
      <c r="S49" s="216">
        <v>13540</v>
      </c>
      <c r="T49" s="216">
        <v>0</v>
      </c>
      <c r="U49" s="216">
        <v>15065</v>
      </c>
      <c r="V49" s="216">
        <v>11702</v>
      </c>
      <c r="W49" s="216">
        <v>7296</v>
      </c>
      <c r="X49" s="216">
        <v>7028</v>
      </c>
      <c r="Y49" s="216">
        <v>109241</v>
      </c>
      <c r="Z49" s="216">
        <v>0</v>
      </c>
      <c r="AA49" s="216">
        <v>9671</v>
      </c>
      <c r="AB49" s="216">
        <v>666</v>
      </c>
      <c r="AC49" s="105"/>
    </row>
    <row r="50" spans="1:29" s="20" customFormat="1" x14ac:dyDescent="0.25">
      <c r="A50" s="31">
        <f>'M&amp;R Stations'!A50</f>
        <v>39009</v>
      </c>
      <c r="B50" s="216">
        <v>0</v>
      </c>
      <c r="C50" s="216">
        <v>0</v>
      </c>
      <c r="D50" s="216">
        <v>5589</v>
      </c>
      <c r="E50" s="216">
        <v>0</v>
      </c>
      <c r="F50" s="216">
        <v>0</v>
      </c>
      <c r="G50" s="216">
        <v>0</v>
      </c>
      <c r="H50" s="216">
        <v>0</v>
      </c>
      <c r="I50" s="216">
        <v>0</v>
      </c>
      <c r="J50" s="216">
        <v>12192</v>
      </c>
      <c r="K50" s="216">
        <v>0</v>
      </c>
      <c r="L50" s="216">
        <v>0</v>
      </c>
      <c r="M50" s="216">
        <v>0</v>
      </c>
      <c r="N50" s="216">
        <v>0</v>
      </c>
      <c r="O50" s="216">
        <v>0</v>
      </c>
      <c r="P50" s="216">
        <v>154</v>
      </c>
      <c r="Q50" s="216">
        <v>1838</v>
      </c>
      <c r="R50" s="216">
        <v>0</v>
      </c>
      <c r="S50" s="216">
        <v>12754</v>
      </c>
      <c r="T50" s="216">
        <v>0</v>
      </c>
      <c r="U50" s="216">
        <v>15079</v>
      </c>
      <c r="V50" s="216">
        <v>14536</v>
      </c>
      <c r="W50" s="216">
        <v>7303</v>
      </c>
      <c r="X50" s="216">
        <v>7035</v>
      </c>
      <c r="Y50" s="216">
        <v>89985</v>
      </c>
      <c r="Z50" s="216">
        <v>0</v>
      </c>
      <c r="AA50" s="216">
        <v>0</v>
      </c>
      <c r="AB50" s="216">
        <v>636</v>
      </c>
      <c r="AC50" s="105"/>
    </row>
    <row r="51" spans="1:29" s="20" customFormat="1" x14ac:dyDescent="0.25">
      <c r="A51" s="31">
        <f>'M&amp;R Stations'!A51</f>
        <v>39010</v>
      </c>
      <c r="B51" s="216">
        <v>0</v>
      </c>
      <c r="C51" s="216">
        <v>0</v>
      </c>
      <c r="D51" s="216">
        <v>1079</v>
      </c>
      <c r="E51" s="216">
        <v>0</v>
      </c>
      <c r="F51" s="216">
        <v>0</v>
      </c>
      <c r="G51" s="216">
        <v>0</v>
      </c>
      <c r="H51" s="216">
        <v>0</v>
      </c>
      <c r="I51" s="216">
        <v>0</v>
      </c>
      <c r="J51" s="216">
        <v>12192</v>
      </c>
      <c r="K51" s="216">
        <v>0</v>
      </c>
      <c r="L51" s="216">
        <v>0</v>
      </c>
      <c r="M51" s="216">
        <v>0</v>
      </c>
      <c r="N51" s="216">
        <v>0</v>
      </c>
      <c r="O51" s="216">
        <v>0</v>
      </c>
      <c r="P51" s="216">
        <v>115</v>
      </c>
      <c r="Q51" s="216">
        <v>1271</v>
      </c>
      <c r="R51" s="216">
        <v>0</v>
      </c>
      <c r="S51" s="216">
        <v>0</v>
      </c>
      <c r="T51" s="216">
        <v>0</v>
      </c>
      <c r="U51" s="216">
        <v>15079</v>
      </c>
      <c r="V51" s="216">
        <v>14536</v>
      </c>
      <c r="W51" s="216">
        <v>7303</v>
      </c>
      <c r="X51" s="216">
        <v>7035</v>
      </c>
      <c r="Y51" s="216">
        <v>109347</v>
      </c>
      <c r="Z51" s="216">
        <v>0</v>
      </c>
      <c r="AA51" s="216">
        <v>0</v>
      </c>
      <c r="AB51" s="216">
        <v>145</v>
      </c>
      <c r="AC51" s="105"/>
    </row>
    <row r="52" spans="1:29" s="20" customFormat="1" x14ac:dyDescent="0.25">
      <c r="A52" s="31">
        <f>'M&amp;R Stations'!A52</f>
        <v>39011</v>
      </c>
      <c r="B52" s="216">
        <v>0</v>
      </c>
      <c r="C52" s="216">
        <v>0</v>
      </c>
      <c r="D52" s="216">
        <v>3505</v>
      </c>
      <c r="E52" s="216">
        <v>0</v>
      </c>
      <c r="F52" s="216">
        <v>0</v>
      </c>
      <c r="G52" s="216">
        <v>0</v>
      </c>
      <c r="H52" s="216">
        <v>4724</v>
      </c>
      <c r="I52" s="216">
        <v>0</v>
      </c>
      <c r="J52" s="216">
        <v>12204</v>
      </c>
      <c r="K52" s="216">
        <v>0</v>
      </c>
      <c r="L52" s="216">
        <v>0</v>
      </c>
      <c r="M52" s="216">
        <v>0</v>
      </c>
      <c r="N52" s="216">
        <v>0</v>
      </c>
      <c r="O52" s="216">
        <v>0</v>
      </c>
      <c r="P52" s="216">
        <v>136</v>
      </c>
      <c r="Q52" s="216">
        <v>1621</v>
      </c>
      <c r="R52" s="216">
        <v>0</v>
      </c>
      <c r="S52" s="216">
        <v>0</v>
      </c>
      <c r="T52" s="216">
        <v>0</v>
      </c>
      <c r="U52" s="216">
        <v>15065</v>
      </c>
      <c r="V52" s="216">
        <v>14522</v>
      </c>
      <c r="W52" s="216">
        <v>7296</v>
      </c>
      <c r="X52" s="216">
        <v>7028</v>
      </c>
      <c r="Y52" s="216">
        <v>131657</v>
      </c>
      <c r="Z52" s="216">
        <v>0</v>
      </c>
      <c r="AA52" s="216">
        <v>0</v>
      </c>
      <c r="AB52" s="216">
        <v>148</v>
      </c>
      <c r="AC52" s="105"/>
    </row>
    <row r="53" spans="1:29" s="20" customFormat="1" x14ac:dyDescent="0.25">
      <c r="A53" s="31">
        <f>'M&amp;R Stations'!A53</f>
        <v>39012</v>
      </c>
      <c r="B53" s="216">
        <v>0</v>
      </c>
      <c r="C53" s="216">
        <v>0</v>
      </c>
      <c r="D53" s="216">
        <v>4123</v>
      </c>
      <c r="E53" s="216">
        <v>0</v>
      </c>
      <c r="F53" s="216">
        <v>0</v>
      </c>
      <c r="G53" s="216">
        <v>0</v>
      </c>
      <c r="H53" s="216">
        <v>4724</v>
      </c>
      <c r="I53" s="216">
        <v>0</v>
      </c>
      <c r="J53" s="216">
        <v>12204</v>
      </c>
      <c r="K53" s="216">
        <v>0</v>
      </c>
      <c r="L53" s="216">
        <v>0</v>
      </c>
      <c r="M53" s="216">
        <v>0</v>
      </c>
      <c r="N53" s="216">
        <v>0</v>
      </c>
      <c r="O53" s="216">
        <v>0</v>
      </c>
      <c r="P53" s="216">
        <v>142</v>
      </c>
      <c r="Q53" s="216">
        <v>1833</v>
      </c>
      <c r="R53" s="216">
        <v>0</v>
      </c>
      <c r="S53" s="216">
        <v>2258</v>
      </c>
      <c r="T53" s="216">
        <v>0</v>
      </c>
      <c r="U53" s="216">
        <v>15035</v>
      </c>
      <c r="V53" s="216">
        <v>14494</v>
      </c>
      <c r="W53" s="216">
        <v>7282</v>
      </c>
      <c r="X53" s="216">
        <v>7014</v>
      </c>
      <c r="Y53" s="216">
        <v>131403</v>
      </c>
      <c r="Z53" s="216">
        <v>0</v>
      </c>
      <c r="AA53" s="216">
        <v>0</v>
      </c>
      <c r="AB53" s="216">
        <v>235</v>
      </c>
      <c r="AC53" s="105"/>
    </row>
    <row r="54" spans="1:29" s="20" customFormat="1" x14ac:dyDescent="0.25">
      <c r="A54" s="31">
        <f>'M&amp;R Stations'!A54</f>
        <v>39013</v>
      </c>
      <c r="B54" s="216">
        <v>0</v>
      </c>
      <c r="C54" s="216">
        <v>0</v>
      </c>
      <c r="D54" s="216">
        <v>0</v>
      </c>
      <c r="E54" s="216">
        <v>0</v>
      </c>
      <c r="F54" s="216">
        <v>0</v>
      </c>
      <c r="G54" s="216">
        <v>0</v>
      </c>
      <c r="H54" s="216">
        <v>4724</v>
      </c>
      <c r="I54" s="216">
        <v>0</v>
      </c>
      <c r="J54" s="216">
        <v>0</v>
      </c>
      <c r="K54" s="216">
        <v>1382</v>
      </c>
      <c r="L54" s="216">
        <v>0</v>
      </c>
      <c r="M54" s="216">
        <v>0</v>
      </c>
      <c r="N54" s="216">
        <v>0</v>
      </c>
      <c r="O54" s="216">
        <v>0</v>
      </c>
      <c r="P54" s="216">
        <v>0</v>
      </c>
      <c r="Q54" s="216">
        <v>0</v>
      </c>
      <c r="R54" s="216">
        <v>0</v>
      </c>
      <c r="S54" s="216">
        <v>0</v>
      </c>
      <c r="T54" s="216">
        <v>24921</v>
      </c>
      <c r="U54" s="216">
        <v>15050</v>
      </c>
      <c r="V54" s="216">
        <v>19167</v>
      </c>
      <c r="W54" s="216">
        <v>7289</v>
      </c>
      <c r="X54" s="216">
        <v>12050</v>
      </c>
      <c r="Y54" s="216">
        <v>131529</v>
      </c>
      <c r="Z54" s="216">
        <v>0</v>
      </c>
      <c r="AA54" s="216">
        <v>0</v>
      </c>
      <c r="AB54" s="216">
        <v>134</v>
      </c>
      <c r="AC54" s="105"/>
    </row>
    <row r="55" spans="1:29" s="20" customFormat="1" x14ac:dyDescent="0.25">
      <c r="A55" s="31">
        <f>'M&amp;R Stations'!A55</f>
        <v>39014</v>
      </c>
      <c r="B55" s="216">
        <v>0</v>
      </c>
      <c r="C55" s="216">
        <v>0</v>
      </c>
      <c r="D55" s="216">
        <v>0</v>
      </c>
      <c r="E55" s="216">
        <v>0</v>
      </c>
      <c r="F55" s="216">
        <v>0</v>
      </c>
      <c r="G55" s="216">
        <v>0</v>
      </c>
      <c r="H55" s="216">
        <v>0</v>
      </c>
      <c r="I55" s="216">
        <v>0</v>
      </c>
      <c r="J55" s="216">
        <v>0</v>
      </c>
      <c r="K55" s="216">
        <v>15400</v>
      </c>
      <c r="L55" s="216">
        <v>0</v>
      </c>
      <c r="M55" s="216">
        <v>0</v>
      </c>
      <c r="N55" s="216">
        <v>0</v>
      </c>
      <c r="O55" s="216">
        <v>0</v>
      </c>
      <c r="P55" s="216">
        <v>0</v>
      </c>
      <c r="Q55" s="216">
        <v>0</v>
      </c>
      <c r="R55" s="216">
        <v>0</v>
      </c>
      <c r="S55" s="216">
        <v>0</v>
      </c>
      <c r="T55" s="216">
        <v>28252</v>
      </c>
      <c r="U55" s="216">
        <v>15065</v>
      </c>
      <c r="V55" s="216">
        <v>13400</v>
      </c>
      <c r="W55" s="216">
        <v>7296</v>
      </c>
      <c r="X55" s="216">
        <v>7685</v>
      </c>
      <c r="Y55" s="216">
        <v>141819</v>
      </c>
      <c r="Z55" s="216">
        <v>0</v>
      </c>
      <c r="AA55" s="216">
        <v>0</v>
      </c>
      <c r="AB55" s="216">
        <v>134</v>
      </c>
      <c r="AC55" s="105"/>
    </row>
    <row r="56" spans="1:29" s="20" customFormat="1" x14ac:dyDescent="0.25">
      <c r="A56" s="31">
        <f>'M&amp;R Stations'!A56</f>
        <v>39015</v>
      </c>
      <c r="B56" s="216">
        <v>0</v>
      </c>
      <c r="C56" s="216">
        <v>0</v>
      </c>
      <c r="D56" s="216">
        <v>0</v>
      </c>
      <c r="E56" s="216">
        <v>0</v>
      </c>
      <c r="F56" s="216">
        <v>0</v>
      </c>
      <c r="G56" s="216">
        <v>0</v>
      </c>
      <c r="H56" s="216">
        <v>0</v>
      </c>
      <c r="I56" s="216">
        <v>0</v>
      </c>
      <c r="J56" s="216">
        <v>0</v>
      </c>
      <c r="K56" s="216">
        <v>19342</v>
      </c>
      <c r="L56" s="216">
        <v>0</v>
      </c>
      <c r="M56" s="216">
        <v>0</v>
      </c>
      <c r="N56" s="216">
        <v>0</v>
      </c>
      <c r="O56" s="216">
        <v>0</v>
      </c>
      <c r="P56" s="216">
        <v>0</v>
      </c>
      <c r="Q56" s="216">
        <v>0</v>
      </c>
      <c r="R56" s="216">
        <v>0</v>
      </c>
      <c r="S56" s="216">
        <v>0</v>
      </c>
      <c r="T56" s="216">
        <v>14531</v>
      </c>
      <c r="U56" s="216">
        <v>15065</v>
      </c>
      <c r="V56" s="216">
        <v>14057</v>
      </c>
      <c r="W56" s="216">
        <v>7296</v>
      </c>
      <c r="X56" s="216">
        <v>7028</v>
      </c>
      <c r="Y56" s="216">
        <v>141819</v>
      </c>
      <c r="Z56" s="216">
        <v>0</v>
      </c>
      <c r="AA56" s="216">
        <v>0</v>
      </c>
      <c r="AB56" s="216">
        <v>134</v>
      </c>
      <c r="AC56" s="105"/>
    </row>
    <row r="57" spans="1:29" s="20" customFormat="1" x14ac:dyDescent="0.25">
      <c r="A57" s="31">
        <f>'M&amp;R Stations'!A57</f>
        <v>39016</v>
      </c>
      <c r="B57" s="216">
        <v>0</v>
      </c>
      <c r="C57" s="216">
        <v>0</v>
      </c>
      <c r="D57" s="216">
        <v>0</v>
      </c>
      <c r="E57" s="216">
        <v>29691</v>
      </c>
      <c r="F57" s="216">
        <v>0</v>
      </c>
      <c r="G57" s="216">
        <v>0</v>
      </c>
      <c r="H57" s="216">
        <v>0</v>
      </c>
      <c r="I57" s="216">
        <v>0</v>
      </c>
      <c r="J57" s="216">
        <v>0</v>
      </c>
      <c r="K57" s="216">
        <v>0</v>
      </c>
      <c r="L57" s="216">
        <v>0</v>
      </c>
      <c r="M57" s="216">
        <v>0</v>
      </c>
      <c r="N57" s="216">
        <v>0</v>
      </c>
      <c r="O57" s="216">
        <v>0</v>
      </c>
      <c r="P57" s="216">
        <v>0</v>
      </c>
      <c r="Q57" s="216">
        <v>0</v>
      </c>
      <c r="R57" s="216">
        <v>0</v>
      </c>
      <c r="S57" s="216">
        <v>0</v>
      </c>
      <c r="T57" s="216">
        <v>5745</v>
      </c>
      <c r="U57" s="216">
        <v>15065</v>
      </c>
      <c r="V57" s="216">
        <v>14012</v>
      </c>
      <c r="W57" s="216">
        <v>7296</v>
      </c>
      <c r="X57" s="216">
        <v>7028</v>
      </c>
      <c r="Y57" s="216">
        <v>141865</v>
      </c>
      <c r="Z57" s="216">
        <v>0</v>
      </c>
      <c r="AA57" s="216">
        <v>0</v>
      </c>
      <c r="AB57" s="216">
        <v>134</v>
      </c>
      <c r="AC57" s="105"/>
    </row>
    <row r="58" spans="1:29" s="20" customFormat="1" x14ac:dyDescent="0.25">
      <c r="A58" s="31">
        <f>'M&amp;R Stations'!A58</f>
        <v>39017</v>
      </c>
      <c r="B58" s="216">
        <v>0</v>
      </c>
      <c r="C58" s="216">
        <v>0</v>
      </c>
      <c r="D58" s="216">
        <v>0</v>
      </c>
      <c r="E58" s="216">
        <v>0</v>
      </c>
      <c r="F58" s="216">
        <v>0</v>
      </c>
      <c r="G58" s="216">
        <v>0</v>
      </c>
      <c r="H58" s="216">
        <v>0</v>
      </c>
      <c r="I58" s="216">
        <v>0</v>
      </c>
      <c r="J58" s="216">
        <v>0</v>
      </c>
      <c r="K58" s="216">
        <v>4473</v>
      </c>
      <c r="L58" s="216">
        <v>0</v>
      </c>
      <c r="M58" s="216">
        <v>0</v>
      </c>
      <c r="N58" s="216">
        <v>0</v>
      </c>
      <c r="O58" s="216">
        <v>0</v>
      </c>
      <c r="P58" s="216">
        <v>0</v>
      </c>
      <c r="Q58" s="216">
        <v>1833</v>
      </c>
      <c r="R58" s="216">
        <v>0</v>
      </c>
      <c r="S58" s="216">
        <v>4574</v>
      </c>
      <c r="T58" s="216">
        <v>0</v>
      </c>
      <c r="U58" s="216">
        <v>15035</v>
      </c>
      <c r="V58" s="216">
        <v>13530</v>
      </c>
      <c r="W58" s="216">
        <v>7282</v>
      </c>
      <c r="X58" s="216">
        <v>7014</v>
      </c>
      <c r="Y58" s="216">
        <v>142045</v>
      </c>
      <c r="Z58" s="216">
        <v>0</v>
      </c>
      <c r="AA58" s="216">
        <v>0</v>
      </c>
      <c r="AB58" s="216">
        <v>324</v>
      </c>
      <c r="AC58" s="105"/>
    </row>
    <row r="59" spans="1:29" s="20" customFormat="1" x14ac:dyDescent="0.25">
      <c r="A59" s="31">
        <f>'M&amp;R Stations'!A59</f>
        <v>39018</v>
      </c>
      <c r="B59" s="216">
        <v>0</v>
      </c>
      <c r="C59" s="216">
        <v>0</v>
      </c>
      <c r="D59" s="216">
        <v>0</v>
      </c>
      <c r="E59" s="216">
        <v>0</v>
      </c>
      <c r="F59" s="216">
        <v>0</v>
      </c>
      <c r="G59" s="216">
        <v>0</v>
      </c>
      <c r="H59" s="216">
        <v>0</v>
      </c>
      <c r="I59" s="216">
        <v>0</v>
      </c>
      <c r="J59" s="216">
        <v>6885</v>
      </c>
      <c r="K59" s="216">
        <v>0</v>
      </c>
      <c r="L59" s="216">
        <v>0</v>
      </c>
      <c r="M59" s="216">
        <v>0</v>
      </c>
      <c r="N59" s="216">
        <v>0</v>
      </c>
      <c r="O59" s="216">
        <v>0</v>
      </c>
      <c r="P59" s="216">
        <v>60</v>
      </c>
      <c r="Q59" s="216">
        <v>1618</v>
      </c>
      <c r="R59" s="216">
        <v>0</v>
      </c>
      <c r="S59" s="216">
        <v>0</v>
      </c>
      <c r="T59" s="216">
        <v>0</v>
      </c>
      <c r="U59" s="216">
        <v>15035</v>
      </c>
      <c r="V59" s="216">
        <v>14520</v>
      </c>
      <c r="W59" s="216">
        <v>7282</v>
      </c>
      <c r="X59" s="216">
        <v>7014</v>
      </c>
      <c r="Y59" s="216">
        <v>141055</v>
      </c>
      <c r="Z59" s="216">
        <v>0</v>
      </c>
      <c r="AA59" s="216">
        <v>0</v>
      </c>
      <c r="AB59" s="216">
        <v>148</v>
      </c>
      <c r="AC59" s="105"/>
    </row>
    <row r="60" spans="1:29" s="20" customFormat="1" x14ac:dyDescent="0.25">
      <c r="A60" s="31">
        <f>'M&amp;R Stations'!A60</f>
        <v>39019</v>
      </c>
      <c r="B60" s="216">
        <v>0</v>
      </c>
      <c r="C60" s="216">
        <v>0</v>
      </c>
      <c r="D60" s="216">
        <v>0</v>
      </c>
      <c r="E60" s="216">
        <v>0</v>
      </c>
      <c r="F60" s="216">
        <v>0</v>
      </c>
      <c r="G60" s="216">
        <v>0</v>
      </c>
      <c r="H60" s="216">
        <v>0</v>
      </c>
      <c r="I60" s="216">
        <v>0</v>
      </c>
      <c r="J60" s="216">
        <v>0</v>
      </c>
      <c r="K60" s="216">
        <v>19565</v>
      </c>
      <c r="L60" s="216">
        <v>0</v>
      </c>
      <c r="M60" s="216">
        <v>0</v>
      </c>
      <c r="N60" s="216">
        <v>0</v>
      </c>
      <c r="O60" s="216">
        <v>0</v>
      </c>
      <c r="P60" s="216">
        <v>0</v>
      </c>
      <c r="Q60" s="216">
        <v>0</v>
      </c>
      <c r="R60" s="216">
        <v>0</v>
      </c>
      <c r="S60" s="216">
        <v>0</v>
      </c>
      <c r="T60" s="216">
        <v>4328</v>
      </c>
      <c r="U60" s="216">
        <v>15050</v>
      </c>
      <c r="V60" s="216">
        <v>14534</v>
      </c>
      <c r="W60" s="216">
        <v>7289</v>
      </c>
      <c r="X60" s="216">
        <v>7021</v>
      </c>
      <c r="Y60" s="216">
        <v>141191</v>
      </c>
      <c r="Z60" s="216">
        <v>0</v>
      </c>
      <c r="AA60" s="216">
        <v>0</v>
      </c>
      <c r="AB60" s="216">
        <v>134</v>
      </c>
      <c r="AC60" s="105"/>
    </row>
    <row r="61" spans="1:29" s="20" customFormat="1" x14ac:dyDescent="0.25">
      <c r="A61" s="31">
        <f>'M&amp;R Stations'!A61</f>
        <v>39020</v>
      </c>
      <c r="B61" s="216">
        <v>0</v>
      </c>
      <c r="C61" s="216">
        <v>0</v>
      </c>
      <c r="D61" s="216">
        <v>1529</v>
      </c>
      <c r="E61" s="216">
        <v>0</v>
      </c>
      <c r="F61" s="216">
        <v>0</v>
      </c>
      <c r="G61" s="216">
        <v>0</v>
      </c>
      <c r="H61" s="216">
        <v>0</v>
      </c>
      <c r="I61" s="216">
        <v>0</v>
      </c>
      <c r="J61" s="216">
        <v>12228</v>
      </c>
      <c r="K61" s="216">
        <v>0</v>
      </c>
      <c r="L61" s="216">
        <v>0</v>
      </c>
      <c r="M61" s="216">
        <v>0</v>
      </c>
      <c r="N61" s="216">
        <v>0</v>
      </c>
      <c r="O61" s="216">
        <v>0</v>
      </c>
      <c r="P61" s="216">
        <v>119</v>
      </c>
      <c r="Q61" s="216">
        <v>1834</v>
      </c>
      <c r="R61" s="216">
        <v>0</v>
      </c>
      <c r="S61" s="216">
        <v>7937</v>
      </c>
      <c r="T61" s="216">
        <v>0</v>
      </c>
      <c r="U61" s="216">
        <v>15050</v>
      </c>
      <c r="V61" s="216">
        <v>14508</v>
      </c>
      <c r="W61" s="216">
        <v>7021</v>
      </c>
      <c r="X61" s="216">
        <v>7289</v>
      </c>
      <c r="Y61" s="216">
        <v>141191</v>
      </c>
      <c r="Z61" s="216">
        <v>0</v>
      </c>
      <c r="AA61" s="216">
        <v>0</v>
      </c>
      <c r="AB61" s="216">
        <v>452</v>
      </c>
      <c r="AC61" s="105"/>
    </row>
    <row r="62" spans="1:29" s="20" customFormat="1" x14ac:dyDescent="0.25">
      <c r="A62" s="31">
        <f>'M&amp;R Stations'!A62</f>
        <v>39021</v>
      </c>
      <c r="B62" s="216">
        <v>0</v>
      </c>
      <c r="C62" s="216">
        <v>0</v>
      </c>
      <c r="D62" s="216">
        <v>8985</v>
      </c>
      <c r="E62" s="216">
        <v>0</v>
      </c>
      <c r="F62" s="216">
        <v>0</v>
      </c>
      <c r="G62" s="216">
        <v>0</v>
      </c>
      <c r="H62" s="216">
        <v>0</v>
      </c>
      <c r="I62" s="216">
        <v>0</v>
      </c>
      <c r="J62" s="216">
        <v>12228</v>
      </c>
      <c r="K62" s="216">
        <v>0</v>
      </c>
      <c r="L62" s="216">
        <v>0</v>
      </c>
      <c r="M62" s="216">
        <v>0</v>
      </c>
      <c r="N62" s="216">
        <v>0</v>
      </c>
      <c r="O62" s="216">
        <v>0</v>
      </c>
      <c r="P62" s="216">
        <v>184</v>
      </c>
      <c r="Q62" s="216">
        <v>1834</v>
      </c>
      <c r="R62" s="216">
        <v>0</v>
      </c>
      <c r="S62" s="216">
        <v>13527</v>
      </c>
      <c r="T62" s="216">
        <v>0</v>
      </c>
      <c r="U62" s="216">
        <v>15050</v>
      </c>
      <c r="V62" s="216">
        <v>5323</v>
      </c>
      <c r="W62" s="216">
        <v>7289</v>
      </c>
      <c r="X62" s="216">
        <v>7021</v>
      </c>
      <c r="Y62" s="216">
        <v>128459</v>
      </c>
      <c r="Z62" s="216">
        <v>0</v>
      </c>
      <c r="AA62" s="216">
        <v>0</v>
      </c>
      <c r="AB62" s="216">
        <v>665</v>
      </c>
      <c r="AC62" s="105"/>
    </row>
    <row r="63" spans="1:29" s="20" customFormat="1" x14ac:dyDescent="0.25">
      <c r="A63" s="31">
        <f>'M&amp;R Stations'!A63</f>
        <v>39022</v>
      </c>
      <c r="B63" s="216">
        <v>0</v>
      </c>
      <c r="C63" s="216">
        <v>0</v>
      </c>
      <c r="D63" s="216">
        <v>29334</v>
      </c>
      <c r="E63" s="216">
        <v>0</v>
      </c>
      <c r="F63" s="216">
        <v>0</v>
      </c>
      <c r="G63" s="216">
        <v>0</v>
      </c>
      <c r="H63" s="216">
        <v>0</v>
      </c>
      <c r="I63" s="216">
        <v>0</v>
      </c>
      <c r="J63" s="216">
        <v>12216</v>
      </c>
      <c r="K63" s="216">
        <v>0</v>
      </c>
      <c r="L63" s="216">
        <v>0</v>
      </c>
      <c r="M63" s="216">
        <v>0</v>
      </c>
      <c r="N63" s="216">
        <v>34783</v>
      </c>
      <c r="O63" s="216">
        <v>0</v>
      </c>
      <c r="P63" s="216">
        <v>360</v>
      </c>
      <c r="Q63" s="216">
        <v>1834</v>
      </c>
      <c r="R63" s="216">
        <v>0</v>
      </c>
      <c r="S63" s="216">
        <v>13527</v>
      </c>
      <c r="T63" s="216">
        <v>0</v>
      </c>
      <c r="U63" s="216">
        <v>15050</v>
      </c>
      <c r="V63" s="216">
        <v>0</v>
      </c>
      <c r="W63" s="216">
        <v>7289</v>
      </c>
      <c r="X63" s="216">
        <v>307</v>
      </c>
      <c r="Y63" s="216">
        <v>116591</v>
      </c>
      <c r="Z63" s="216">
        <v>0</v>
      </c>
      <c r="AA63" s="216">
        <v>18158</v>
      </c>
      <c r="AB63" s="216">
        <v>665</v>
      </c>
      <c r="AC63" s="105"/>
    </row>
    <row r="64" spans="1:29" s="20" customFormat="1" x14ac:dyDescent="0.25">
      <c r="A64" s="31">
        <f>'M&amp;R Stations'!A64</f>
        <v>39023</v>
      </c>
      <c r="B64" s="216">
        <v>0</v>
      </c>
      <c r="C64" s="216">
        <v>0</v>
      </c>
      <c r="D64" s="216">
        <v>831</v>
      </c>
      <c r="E64" s="216">
        <v>0</v>
      </c>
      <c r="F64" s="216">
        <v>0</v>
      </c>
      <c r="G64" s="216">
        <v>0</v>
      </c>
      <c r="H64" s="216">
        <v>0</v>
      </c>
      <c r="I64" s="216">
        <v>0</v>
      </c>
      <c r="J64" s="216">
        <v>12216</v>
      </c>
      <c r="K64" s="216">
        <v>0</v>
      </c>
      <c r="L64" s="216">
        <v>0</v>
      </c>
      <c r="M64" s="216">
        <v>0</v>
      </c>
      <c r="N64" s="216">
        <v>34783</v>
      </c>
      <c r="O64" s="216">
        <v>0</v>
      </c>
      <c r="P64" s="216">
        <v>113</v>
      </c>
      <c r="Q64" s="216">
        <v>1834</v>
      </c>
      <c r="R64" s="216">
        <v>0</v>
      </c>
      <c r="S64" s="216">
        <v>13125</v>
      </c>
      <c r="T64" s="216">
        <v>0</v>
      </c>
      <c r="U64" s="216">
        <v>15050</v>
      </c>
      <c r="V64" s="216">
        <v>14508</v>
      </c>
      <c r="W64" s="216">
        <v>7289</v>
      </c>
      <c r="X64" s="216">
        <v>7021</v>
      </c>
      <c r="Y64" s="216">
        <v>116591</v>
      </c>
      <c r="Z64" s="216">
        <v>0</v>
      </c>
      <c r="AA64" s="216">
        <v>0</v>
      </c>
      <c r="AB64" s="216">
        <v>650</v>
      </c>
      <c r="AC64" s="105"/>
    </row>
    <row r="65" spans="1:29" s="20" customFormat="1" x14ac:dyDescent="0.25">
      <c r="A65" s="31">
        <f>'M&amp;R Stations'!A65</f>
        <v>39024</v>
      </c>
      <c r="B65" s="216">
        <v>0</v>
      </c>
      <c r="C65" s="216">
        <v>0</v>
      </c>
      <c r="D65" s="216">
        <v>0</v>
      </c>
      <c r="E65" s="216">
        <v>0</v>
      </c>
      <c r="F65" s="216">
        <v>0</v>
      </c>
      <c r="G65" s="216">
        <v>0</v>
      </c>
      <c r="H65" s="216">
        <v>0</v>
      </c>
      <c r="I65" s="216">
        <v>0</v>
      </c>
      <c r="J65" s="216">
        <v>837</v>
      </c>
      <c r="K65" s="216">
        <v>0</v>
      </c>
      <c r="L65" s="216">
        <v>0</v>
      </c>
      <c r="M65" s="216">
        <v>0</v>
      </c>
      <c r="N65" s="216">
        <v>34951</v>
      </c>
      <c r="O65" s="216">
        <v>0</v>
      </c>
      <c r="P65" s="216">
        <v>7</v>
      </c>
      <c r="Q65" s="216">
        <v>0</v>
      </c>
      <c r="R65" s="216">
        <v>0</v>
      </c>
      <c r="S65" s="216">
        <v>0</v>
      </c>
      <c r="T65" s="216">
        <v>0</v>
      </c>
      <c r="U65" s="216">
        <v>15108</v>
      </c>
      <c r="V65" s="216">
        <v>27533</v>
      </c>
      <c r="W65" s="216">
        <v>7317</v>
      </c>
      <c r="X65" s="216">
        <v>14108</v>
      </c>
      <c r="Y65" s="216">
        <v>117044</v>
      </c>
      <c r="Z65" s="216">
        <v>0</v>
      </c>
      <c r="AA65" s="216">
        <v>0</v>
      </c>
      <c r="AB65" s="216">
        <v>134</v>
      </c>
      <c r="AC65" s="105"/>
    </row>
    <row r="66" spans="1:29" s="20" customFormat="1" x14ac:dyDescent="0.25">
      <c r="A66" s="31">
        <f>'M&amp;R Stations'!A66</f>
        <v>39025</v>
      </c>
      <c r="B66" s="216">
        <v>0</v>
      </c>
      <c r="C66" s="216">
        <v>0</v>
      </c>
      <c r="D66" s="216">
        <v>0</v>
      </c>
      <c r="E66" s="216">
        <v>0</v>
      </c>
      <c r="F66" s="216">
        <v>0</v>
      </c>
      <c r="G66" s="216">
        <v>0</v>
      </c>
      <c r="H66" s="216">
        <v>0</v>
      </c>
      <c r="I66" s="216">
        <v>0</v>
      </c>
      <c r="J66" s="216">
        <v>20</v>
      </c>
      <c r="K66" s="216">
        <v>0</v>
      </c>
      <c r="L66" s="216">
        <v>0</v>
      </c>
      <c r="M66" s="216">
        <v>0</v>
      </c>
      <c r="N66" s="216">
        <v>34783</v>
      </c>
      <c r="O66" s="216">
        <v>0</v>
      </c>
      <c r="P66" s="216">
        <v>0</v>
      </c>
      <c r="Q66" s="216">
        <v>0</v>
      </c>
      <c r="R66" s="216">
        <v>0</v>
      </c>
      <c r="S66" s="216">
        <v>0</v>
      </c>
      <c r="T66" s="216">
        <v>0</v>
      </c>
      <c r="U66" s="216">
        <v>15108</v>
      </c>
      <c r="V66" s="216">
        <v>14565</v>
      </c>
      <c r="W66" s="216">
        <v>7317</v>
      </c>
      <c r="X66" s="216">
        <v>10986</v>
      </c>
      <c r="Y66" s="216">
        <v>126629</v>
      </c>
      <c r="Z66" s="216">
        <v>0</v>
      </c>
      <c r="AA66" s="216">
        <v>0</v>
      </c>
      <c r="AB66" s="216">
        <v>134</v>
      </c>
      <c r="AC66" s="105"/>
    </row>
    <row r="67" spans="1:29" s="20" customFormat="1" x14ac:dyDescent="0.25">
      <c r="A67" s="31">
        <f>'M&amp;R Stations'!A67</f>
        <v>39026</v>
      </c>
      <c r="B67" s="216">
        <v>0</v>
      </c>
      <c r="C67" s="216">
        <v>0</v>
      </c>
      <c r="D67" s="216">
        <v>0</v>
      </c>
      <c r="E67" s="216">
        <v>0</v>
      </c>
      <c r="F67" s="216">
        <v>0</v>
      </c>
      <c r="G67" s="216">
        <v>0</v>
      </c>
      <c r="H67" s="216">
        <v>0</v>
      </c>
      <c r="I67" s="216">
        <v>0</v>
      </c>
      <c r="J67" s="216">
        <v>4642</v>
      </c>
      <c r="K67" s="216">
        <v>0</v>
      </c>
      <c r="L67" s="216">
        <v>0</v>
      </c>
      <c r="M67" s="216">
        <v>0</v>
      </c>
      <c r="N67" s="216">
        <v>34816</v>
      </c>
      <c r="O67" s="216">
        <v>0</v>
      </c>
      <c r="P67" s="216">
        <v>40</v>
      </c>
      <c r="Q67" s="216">
        <v>1840</v>
      </c>
      <c r="R67" s="216">
        <v>0</v>
      </c>
      <c r="S67" s="216">
        <v>724</v>
      </c>
      <c r="T67" s="216">
        <v>0</v>
      </c>
      <c r="U67" s="216">
        <v>15094</v>
      </c>
      <c r="V67" s="216">
        <v>14550</v>
      </c>
      <c r="W67" s="216">
        <v>7310</v>
      </c>
      <c r="X67" s="216">
        <v>7042</v>
      </c>
      <c r="Y67" s="216">
        <v>126282</v>
      </c>
      <c r="Z67" s="216">
        <v>0</v>
      </c>
      <c r="AA67" s="216">
        <v>0</v>
      </c>
      <c r="AB67" s="216">
        <v>178</v>
      </c>
      <c r="AC67" s="105"/>
    </row>
    <row r="68" spans="1:29" s="20" customFormat="1" x14ac:dyDescent="0.25">
      <c r="A68" s="31">
        <f>'M&amp;R Stations'!A68</f>
        <v>39027</v>
      </c>
      <c r="B68" s="216">
        <v>0</v>
      </c>
      <c r="C68" s="216">
        <v>0</v>
      </c>
      <c r="D68" s="216">
        <v>12740</v>
      </c>
      <c r="E68" s="216">
        <v>0</v>
      </c>
      <c r="F68" s="216">
        <v>0</v>
      </c>
      <c r="G68" s="216">
        <v>0</v>
      </c>
      <c r="H68" s="216">
        <v>0</v>
      </c>
      <c r="I68" s="216">
        <v>0</v>
      </c>
      <c r="J68" s="216">
        <v>12204</v>
      </c>
      <c r="K68" s="216">
        <v>0</v>
      </c>
      <c r="L68" s="216">
        <v>0</v>
      </c>
      <c r="M68" s="216">
        <v>0</v>
      </c>
      <c r="N68" s="216">
        <v>34749</v>
      </c>
      <c r="O68" s="216">
        <v>0</v>
      </c>
      <c r="P68" s="216">
        <v>216</v>
      </c>
      <c r="Q68" s="216">
        <v>165</v>
      </c>
      <c r="R68" s="216">
        <v>0</v>
      </c>
      <c r="S68" s="216">
        <v>13553</v>
      </c>
      <c r="T68" s="216">
        <v>0</v>
      </c>
      <c r="U68" s="216">
        <v>15079</v>
      </c>
      <c r="V68" s="216">
        <v>0</v>
      </c>
      <c r="W68" s="216">
        <v>7303</v>
      </c>
      <c r="X68" s="216">
        <v>4860</v>
      </c>
      <c r="Y68" s="216">
        <v>126498</v>
      </c>
      <c r="Z68" s="216">
        <v>0</v>
      </c>
      <c r="AA68" s="216">
        <v>0</v>
      </c>
      <c r="AB68" s="216">
        <v>652</v>
      </c>
      <c r="AC68" s="105"/>
    </row>
    <row r="69" spans="1:29" s="20" customFormat="1" x14ac:dyDescent="0.25">
      <c r="A69" s="31">
        <f>'M&amp;R Stations'!A69</f>
        <v>39028</v>
      </c>
      <c r="B69" s="216">
        <v>0</v>
      </c>
      <c r="C69" s="216">
        <v>0</v>
      </c>
      <c r="D69" s="216">
        <v>17616</v>
      </c>
      <c r="E69" s="216">
        <v>0</v>
      </c>
      <c r="F69" s="216">
        <v>0</v>
      </c>
      <c r="G69" s="216">
        <v>0</v>
      </c>
      <c r="H69" s="216">
        <v>0</v>
      </c>
      <c r="I69" s="216">
        <v>0</v>
      </c>
      <c r="J69" s="216">
        <v>12180</v>
      </c>
      <c r="K69" s="216">
        <v>0</v>
      </c>
      <c r="L69" s="216">
        <v>0</v>
      </c>
      <c r="M69" s="216">
        <v>0</v>
      </c>
      <c r="N69" s="216">
        <v>34682</v>
      </c>
      <c r="O69" s="216">
        <v>0</v>
      </c>
      <c r="P69" s="216">
        <v>258</v>
      </c>
      <c r="Q69" s="216">
        <v>0</v>
      </c>
      <c r="R69" s="216">
        <v>0</v>
      </c>
      <c r="S69" s="216">
        <v>18367</v>
      </c>
      <c r="T69" s="216">
        <v>0</v>
      </c>
      <c r="U69" s="216">
        <v>15035</v>
      </c>
      <c r="V69" s="216">
        <v>0</v>
      </c>
      <c r="W69" s="216">
        <v>7282</v>
      </c>
      <c r="X69" s="216">
        <v>0</v>
      </c>
      <c r="Y69" s="216">
        <v>116479</v>
      </c>
      <c r="Z69" s="216">
        <v>0</v>
      </c>
      <c r="AA69" s="216">
        <v>0</v>
      </c>
      <c r="AB69" s="216">
        <v>834</v>
      </c>
      <c r="AC69" s="105"/>
    </row>
    <row r="70" spans="1:29" s="20" customFormat="1" x14ac:dyDescent="0.25">
      <c r="A70" s="31">
        <f>'M&amp;R Stations'!A70</f>
        <v>39029</v>
      </c>
      <c r="B70" s="216">
        <v>0</v>
      </c>
      <c r="C70" s="216">
        <v>0</v>
      </c>
      <c r="D70" s="216">
        <v>13069</v>
      </c>
      <c r="E70" s="216">
        <v>0</v>
      </c>
      <c r="F70" s="216">
        <v>0</v>
      </c>
      <c r="G70" s="216">
        <v>0</v>
      </c>
      <c r="H70" s="216">
        <v>0</v>
      </c>
      <c r="I70" s="216">
        <v>0</v>
      </c>
      <c r="J70" s="216">
        <v>11629</v>
      </c>
      <c r="K70" s="216">
        <v>0</v>
      </c>
      <c r="L70" s="216">
        <v>0</v>
      </c>
      <c r="M70" s="216">
        <v>0</v>
      </c>
      <c r="N70" s="216">
        <v>34615</v>
      </c>
      <c r="O70" s="216">
        <v>0</v>
      </c>
      <c r="P70" s="216">
        <v>214</v>
      </c>
      <c r="Q70" s="216">
        <v>0</v>
      </c>
      <c r="R70" s="216">
        <v>0</v>
      </c>
      <c r="S70" s="216">
        <v>13553</v>
      </c>
      <c r="T70" s="216">
        <v>0</v>
      </c>
      <c r="U70" s="216">
        <v>15079</v>
      </c>
      <c r="V70" s="216">
        <v>0</v>
      </c>
      <c r="W70" s="216">
        <v>15772</v>
      </c>
      <c r="X70" s="216">
        <v>3332</v>
      </c>
      <c r="Y70" s="216">
        <v>99395</v>
      </c>
      <c r="Z70" s="216">
        <v>0</v>
      </c>
      <c r="AA70" s="216">
        <v>0</v>
      </c>
      <c r="AB70" s="216">
        <v>650</v>
      </c>
      <c r="AC70" s="105"/>
    </row>
    <row r="71" spans="1:29" s="20" customFormat="1" x14ac:dyDescent="0.25">
      <c r="A71" s="31">
        <f>'M&amp;R Stations'!A71</f>
        <v>39030</v>
      </c>
      <c r="B71" s="216">
        <v>0</v>
      </c>
      <c r="C71" s="216">
        <v>0</v>
      </c>
      <c r="D71" s="216">
        <v>0</v>
      </c>
      <c r="E71" s="216">
        <v>0</v>
      </c>
      <c r="F71" s="216">
        <v>17592</v>
      </c>
      <c r="G71" s="216">
        <v>0</v>
      </c>
      <c r="H71" s="216">
        <v>0</v>
      </c>
      <c r="I71" s="216">
        <v>0</v>
      </c>
      <c r="J71" s="216">
        <v>5791</v>
      </c>
      <c r="K71" s="216">
        <v>0</v>
      </c>
      <c r="L71" s="216">
        <v>0</v>
      </c>
      <c r="M71" s="216">
        <v>0</v>
      </c>
      <c r="N71" s="216">
        <v>34582</v>
      </c>
      <c r="O71" s="216">
        <v>0</v>
      </c>
      <c r="P71" s="216">
        <v>632</v>
      </c>
      <c r="Q71" s="216">
        <v>0</v>
      </c>
      <c r="R71" s="216">
        <v>0</v>
      </c>
      <c r="S71" s="216">
        <v>13553</v>
      </c>
      <c r="T71" s="216">
        <v>0</v>
      </c>
      <c r="U71" s="216">
        <v>15079</v>
      </c>
      <c r="V71" s="216">
        <v>0</v>
      </c>
      <c r="W71" s="216">
        <v>7303</v>
      </c>
      <c r="X71" s="216">
        <v>3552</v>
      </c>
      <c r="Y71" s="216">
        <v>79859</v>
      </c>
      <c r="Z71" s="216">
        <v>0</v>
      </c>
      <c r="AA71" s="216">
        <v>0</v>
      </c>
      <c r="AB71" s="216">
        <v>650</v>
      </c>
      <c r="AC71" s="105"/>
    </row>
    <row r="72" spans="1:29" s="20" customFormat="1" x14ac:dyDescent="0.25">
      <c r="A72" s="31">
        <f>'M&amp;R Stations'!A72</f>
        <v>39031</v>
      </c>
      <c r="B72" s="216">
        <v>0</v>
      </c>
      <c r="C72" s="216">
        <v>0</v>
      </c>
      <c r="D72" s="216">
        <v>0</v>
      </c>
      <c r="E72" s="216">
        <v>0</v>
      </c>
      <c r="F72" s="216">
        <v>14515</v>
      </c>
      <c r="G72" s="216">
        <v>0</v>
      </c>
      <c r="H72" s="216">
        <v>0</v>
      </c>
      <c r="I72" s="216">
        <v>0</v>
      </c>
      <c r="J72" s="216">
        <v>4674</v>
      </c>
      <c r="K72" s="216">
        <v>0</v>
      </c>
      <c r="L72" s="216">
        <v>0</v>
      </c>
      <c r="M72" s="216">
        <v>0</v>
      </c>
      <c r="N72" s="216">
        <v>34615</v>
      </c>
      <c r="O72" s="216">
        <v>0</v>
      </c>
      <c r="P72" s="216">
        <v>520</v>
      </c>
      <c r="Q72" s="216">
        <v>0</v>
      </c>
      <c r="R72" s="216">
        <v>0</v>
      </c>
      <c r="S72" s="216">
        <v>12535</v>
      </c>
      <c r="T72" s="216">
        <v>0</v>
      </c>
      <c r="U72" s="216">
        <v>15065</v>
      </c>
      <c r="V72" s="216">
        <v>0</v>
      </c>
      <c r="W72" s="216">
        <v>7296</v>
      </c>
      <c r="X72" s="216">
        <v>0</v>
      </c>
      <c r="Y72" s="216">
        <v>79781</v>
      </c>
      <c r="Z72" s="216">
        <v>0</v>
      </c>
      <c r="AA72" s="216">
        <v>0</v>
      </c>
      <c r="AB72" s="216">
        <v>612</v>
      </c>
      <c r="AC72" s="105"/>
    </row>
    <row r="73" spans="1:29" s="20" customFormat="1" x14ac:dyDescent="0.25">
      <c r="A73" s="31">
        <f>'M&amp;R Stations'!A73</f>
        <v>39032</v>
      </c>
      <c r="B73" s="216">
        <v>0</v>
      </c>
      <c r="C73" s="216">
        <v>0</v>
      </c>
      <c r="D73" s="216">
        <v>10659</v>
      </c>
      <c r="E73" s="216">
        <v>0</v>
      </c>
      <c r="F73" s="216">
        <v>14515</v>
      </c>
      <c r="G73" s="216">
        <v>0</v>
      </c>
      <c r="H73" s="216">
        <v>0</v>
      </c>
      <c r="I73" s="216">
        <v>0</v>
      </c>
      <c r="J73" s="216">
        <v>12157</v>
      </c>
      <c r="K73" s="216">
        <v>0</v>
      </c>
      <c r="L73" s="216">
        <v>0</v>
      </c>
      <c r="M73" s="216">
        <v>0</v>
      </c>
      <c r="N73" s="216">
        <v>34615</v>
      </c>
      <c r="O73" s="216">
        <v>0</v>
      </c>
      <c r="P73" s="216">
        <v>678</v>
      </c>
      <c r="Q73" s="216">
        <v>0</v>
      </c>
      <c r="R73" s="216">
        <v>0</v>
      </c>
      <c r="S73" s="216">
        <v>11618</v>
      </c>
      <c r="T73" s="216">
        <v>0</v>
      </c>
      <c r="U73" s="216">
        <v>15065</v>
      </c>
      <c r="V73" s="216">
        <v>0</v>
      </c>
      <c r="W73" s="216">
        <v>7296</v>
      </c>
      <c r="X73" s="216">
        <v>0</v>
      </c>
      <c r="Y73" s="216">
        <v>79781</v>
      </c>
      <c r="Z73" s="216">
        <v>0</v>
      </c>
      <c r="AA73" s="216">
        <v>0</v>
      </c>
      <c r="AB73" s="216">
        <v>577</v>
      </c>
      <c r="AC73" s="105"/>
    </row>
    <row r="74" spans="1:29" s="20" customFormat="1" x14ac:dyDescent="0.25">
      <c r="A74" s="31">
        <f>'M&amp;R Stations'!A74</f>
        <v>39033</v>
      </c>
      <c r="B74" s="216">
        <v>0</v>
      </c>
      <c r="C74" s="216">
        <v>0</v>
      </c>
      <c r="D74" s="216">
        <v>0</v>
      </c>
      <c r="E74" s="216">
        <v>0</v>
      </c>
      <c r="F74" s="216">
        <v>0</v>
      </c>
      <c r="G74" s="216">
        <v>0</v>
      </c>
      <c r="H74" s="216">
        <v>0</v>
      </c>
      <c r="I74" s="216">
        <v>0</v>
      </c>
      <c r="J74" s="216">
        <v>7351</v>
      </c>
      <c r="K74" s="216">
        <v>0</v>
      </c>
      <c r="L74" s="216">
        <v>0</v>
      </c>
      <c r="M74" s="216">
        <v>0</v>
      </c>
      <c r="N74" s="216">
        <v>34615</v>
      </c>
      <c r="O74" s="216">
        <v>0</v>
      </c>
      <c r="P74" s="216">
        <v>64</v>
      </c>
      <c r="Q74" s="216">
        <v>0</v>
      </c>
      <c r="R74" s="216">
        <v>0</v>
      </c>
      <c r="S74" s="216">
        <v>13057</v>
      </c>
      <c r="T74" s="216">
        <v>0</v>
      </c>
      <c r="U74" s="216">
        <v>15108</v>
      </c>
      <c r="V74" s="216">
        <v>0</v>
      </c>
      <c r="W74" s="216">
        <v>7317</v>
      </c>
      <c r="X74" s="216">
        <v>0</v>
      </c>
      <c r="Y74" s="216">
        <v>80014</v>
      </c>
      <c r="Z74" s="216">
        <v>0</v>
      </c>
      <c r="AA74" s="216">
        <v>0</v>
      </c>
      <c r="AB74" s="216">
        <v>632</v>
      </c>
      <c r="AC74" s="105"/>
    </row>
    <row r="75" spans="1:29" s="20" customFormat="1" x14ac:dyDescent="0.25">
      <c r="A75" s="31">
        <f>'M&amp;R Stations'!A75</f>
        <v>39034</v>
      </c>
      <c r="B75" s="216">
        <v>0</v>
      </c>
      <c r="C75" s="216">
        <v>0</v>
      </c>
      <c r="D75" s="216">
        <v>0</v>
      </c>
      <c r="E75" s="216">
        <v>0</v>
      </c>
      <c r="F75" s="216">
        <v>0</v>
      </c>
      <c r="G75" s="216">
        <v>0</v>
      </c>
      <c r="H75" s="216">
        <v>0</v>
      </c>
      <c r="I75" s="216">
        <v>0</v>
      </c>
      <c r="J75" s="216">
        <v>9872</v>
      </c>
      <c r="K75" s="216">
        <v>0</v>
      </c>
      <c r="L75" s="216">
        <v>0</v>
      </c>
      <c r="M75" s="216">
        <v>0</v>
      </c>
      <c r="N75" s="216">
        <v>34615</v>
      </c>
      <c r="O75" s="216">
        <v>0</v>
      </c>
      <c r="P75" s="216">
        <v>86</v>
      </c>
      <c r="Q75" s="216">
        <v>0</v>
      </c>
      <c r="R75" s="216">
        <v>0</v>
      </c>
      <c r="S75" s="216">
        <v>13170</v>
      </c>
      <c r="T75" s="216">
        <v>0</v>
      </c>
      <c r="U75" s="216">
        <v>15108</v>
      </c>
      <c r="V75" s="216">
        <v>0</v>
      </c>
      <c r="W75" s="216">
        <v>7317</v>
      </c>
      <c r="X75" s="216">
        <v>0</v>
      </c>
      <c r="Y75" s="216">
        <v>80014</v>
      </c>
      <c r="Z75" s="216">
        <v>0</v>
      </c>
      <c r="AA75" s="216">
        <v>0</v>
      </c>
      <c r="AB75" s="216">
        <v>636</v>
      </c>
      <c r="AC75" s="105"/>
    </row>
    <row r="76" spans="1:29" s="20" customFormat="1" x14ac:dyDescent="0.25">
      <c r="A76" s="31">
        <f>'M&amp;R Stations'!A76</f>
        <v>39035</v>
      </c>
      <c r="B76" s="216">
        <v>0</v>
      </c>
      <c r="C76" s="216">
        <v>0</v>
      </c>
      <c r="D76" s="216">
        <v>0</v>
      </c>
      <c r="E76" s="216">
        <v>0</v>
      </c>
      <c r="F76" s="216">
        <v>14515</v>
      </c>
      <c r="G76" s="216">
        <v>0</v>
      </c>
      <c r="H76" s="216">
        <v>0</v>
      </c>
      <c r="I76" s="216">
        <v>0</v>
      </c>
      <c r="J76" s="216">
        <v>4580</v>
      </c>
      <c r="K76" s="216">
        <v>0</v>
      </c>
      <c r="L76" s="216">
        <v>0</v>
      </c>
      <c r="M76" s="216">
        <v>0</v>
      </c>
      <c r="N76" s="216">
        <v>34615</v>
      </c>
      <c r="O76" s="216">
        <v>0</v>
      </c>
      <c r="P76" s="216">
        <v>519</v>
      </c>
      <c r="Q76" s="216">
        <v>0</v>
      </c>
      <c r="R76" s="216">
        <v>0</v>
      </c>
      <c r="S76" s="216">
        <v>7662</v>
      </c>
      <c r="T76" s="216">
        <v>0</v>
      </c>
      <c r="U76" s="216">
        <v>15108</v>
      </c>
      <c r="V76" s="216">
        <v>0</v>
      </c>
      <c r="W76" s="216">
        <v>7317</v>
      </c>
      <c r="X76" s="216">
        <v>0</v>
      </c>
      <c r="Y76" s="216">
        <v>80014</v>
      </c>
      <c r="Z76" s="216">
        <v>0</v>
      </c>
      <c r="AA76" s="216">
        <v>0</v>
      </c>
      <c r="AB76" s="216">
        <v>426</v>
      </c>
      <c r="AC76" s="105"/>
    </row>
    <row r="77" spans="1:29" s="20" customFormat="1" x14ac:dyDescent="0.25">
      <c r="A77" s="31">
        <f>'M&amp;R Stations'!A77</f>
        <v>39036</v>
      </c>
      <c r="B77" s="216">
        <v>0</v>
      </c>
      <c r="C77" s="216">
        <v>0</v>
      </c>
      <c r="D77" s="216">
        <v>988</v>
      </c>
      <c r="E77" s="216">
        <v>0</v>
      </c>
      <c r="F77" s="216">
        <v>14515</v>
      </c>
      <c r="G77" s="216">
        <v>0</v>
      </c>
      <c r="H77" s="216">
        <v>0</v>
      </c>
      <c r="I77" s="216">
        <v>0</v>
      </c>
      <c r="J77" s="216">
        <v>12157</v>
      </c>
      <c r="K77" s="216">
        <v>0</v>
      </c>
      <c r="L77" s="216">
        <v>0</v>
      </c>
      <c r="M77" s="216">
        <v>0</v>
      </c>
      <c r="N77" s="216">
        <v>34615</v>
      </c>
      <c r="O77" s="216">
        <v>0</v>
      </c>
      <c r="P77" s="216">
        <v>594</v>
      </c>
      <c r="Q77" s="216">
        <v>165</v>
      </c>
      <c r="R77" s="216">
        <v>0</v>
      </c>
      <c r="S77" s="216">
        <v>13589</v>
      </c>
      <c r="T77" s="216">
        <v>0</v>
      </c>
      <c r="U77" s="216">
        <v>15108</v>
      </c>
      <c r="V77" s="216">
        <v>0</v>
      </c>
      <c r="W77" s="216">
        <v>7317</v>
      </c>
      <c r="X77" s="216">
        <v>0</v>
      </c>
      <c r="Y77" s="216">
        <v>80014</v>
      </c>
      <c r="Z77" s="216">
        <v>0</v>
      </c>
      <c r="AA77" s="216">
        <v>0</v>
      </c>
      <c r="AB77" s="216">
        <v>654</v>
      </c>
      <c r="AC77" s="105"/>
    </row>
    <row r="78" spans="1:29" s="20" customFormat="1" x14ac:dyDescent="0.25">
      <c r="A78" s="31">
        <f>'M&amp;R Stations'!A78</f>
        <v>39037</v>
      </c>
      <c r="B78" s="216">
        <v>0</v>
      </c>
      <c r="C78" s="216">
        <v>0</v>
      </c>
      <c r="D78" s="216">
        <v>13019</v>
      </c>
      <c r="E78" s="216">
        <v>0</v>
      </c>
      <c r="F78" s="216">
        <v>14459</v>
      </c>
      <c r="G78" s="216">
        <v>0</v>
      </c>
      <c r="H78" s="216">
        <v>0</v>
      </c>
      <c r="I78" s="216">
        <v>0</v>
      </c>
      <c r="J78" s="216">
        <v>11866</v>
      </c>
      <c r="K78" s="216">
        <v>0</v>
      </c>
      <c r="L78" s="216">
        <v>0</v>
      </c>
      <c r="M78" s="216">
        <v>0</v>
      </c>
      <c r="N78" s="216">
        <v>34483</v>
      </c>
      <c r="O78" s="216">
        <v>0</v>
      </c>
      <c r="P78" s="216">
        <v>694</v>
      </c>
      <c r="Q78" s="216">
        <v>0</v>
      </c>
      <c r="R78" s="216">
        <v>0</v>
      </c>
      <c r="S78" s="216">
        <v>6620</v>
      </c>
      <c r="T78" s="216">
        <v>0</v>
      </c>
      <c r="U78" s="216">
        <v>15138</v>
      </c>
      <c r="V78" s="216">
        <v>0</v>
      </c>
      <c r="W78" s="216">
        <v>7331</v>
      </c>
      <c r="X78" s="216">
        <v>0</v>
      </c>
      <c r="Y78" s="216">
        <v>80169</v>
      </c>
      <c r="Z78" s="216">
        <v>0</v>
      </c>
      <c r="AA78" s="216">
        <v>0</v>
      </c>
      <c r="AB78" s="216">
        <v>387</v>
      </c>
      <c r="AC78" s="105"/>
    </row>
    <row r="79" spans="1:29" s="20" customFormat="1" x14ac:dyDescent="0.25">
      <c r="A79" s="31">
        <f>'M&amp;R Stations'!A79</f>
        <v>39038</v>
      </c>
      <c r="B79" s="216">
        <v>0</v>
      </c>
      <c r="C79" s="216">
        <v>0</v>
      </c>
      <c r="D79" s="216">
        <v>0</v>
      </c>
      <c r="E79" s="216">
        <v>0</v>
      </c>
      <c r="F79" s="216">
        <v>0</v>
      </c>
      <c r="G79" s="216">
        <v>0</v>
      </c>
      <c r="H79" s="216">
        <v>0</v>
      </c>
      <c r="I79" s="216">
        <v>0</v>
      </c>
      <c r="J79" s="216">
        <v>0</v>
      </c>
      <c r="K79" s="216">
        <v>588</v>
      </c>
      <c r="L79" s="216">
        <v>0</v>
      </c>
      <c r="M79" s="216">
        <v>0</v>
      </c>
      <c r="N79" s="216">
        <v>34582</v>
      </c>
      <c r="O79" s="216">
        <v>0</v>
      </c>
      <c r="P79" s="216">
        <v>0</v>
      </c>
      <c r="Q79" s="216">
        <v>0</v>
      </c>
      <c r="R79" s="216">
        <v>0</v>
      </c>
      <c r="S79" s="216">
        <v>0</v>
      </c>
      <c r="T79" s="216">
        <v>0</v>
      </c>
      <c r="U79" s="216">
        <v>15138</v>
      </c>
      <c r="V79" s="216">
        <v>3428</v>
      </c>
      <c r="W79" s="216">
        <v>7331</v>
      </c>
      <c r="X79" s="216">
        <v>7062</v>
      </c>
      <c r="Y79" s="216">
        <v>80169</v>
      </c>
      <c r="Z79" s="216">
        <v>0</v>
      </c>
      <c r="AA79" s="216">
        <v>0</v>
      </c>
      <c r="AB79" s="216">
        <v>134</v>
      </c>
      <c r="AC79" s="105"/>
    </row>
    <row r="80" spans="1:29" s="20" customFormat="1" x14ac:dyDescent="0.25">
      <c r="A80" s="31">
        <f>'M&amp;R Stations'!A80</f>
        <v>39039</v>
      </c>
      <c r="B80" s="216">
        <v>0</v>
      </c>
      <c r="C80" s="216">
        <v>0</v>
      </c>
      <c r="D80" s="216">
        <v>0</v>
      </c>
      <c r="E80" s="216">
        <v>3641</v>
      </c>
      <c r="F80" s="216">
        <v>0</v>
      </c>
      <c r="G80" s="216">
        <v>0</v>
      </c>
      <c r="H80" s="216">
        <v>0</v>
      </c>
      <c r="I80" s="216">
        <v>0</v>
      </c>
      <c r="J80" s="216">
        <v>0</v>
      </c>
      <c r="K80" s="216">
        <v>20103</v>
      </c>
      <c r="L80" s="216">
        <v>0</v>
      </c>
      <c r="M80" s="216">
        <v>0</v>
      </c>
      <c r="N80" s="216">
        <v>34716</v>
      </c>
      <c r="O80" s="216">
        <v>0</v>
      </c>
      <c r="P80" s="216">
        <v>0</v>
      </c>
      <c r="Q80" s="216">
        <v>0</v>
      </c>
      <c r="R80" s="216">
        <v>0</v>
      </c>
      <c r="S80" s="216">
        <v>0</v>
      </c>
      <c r="T80" s="216">
        <v>16178</v>
      </c>
      <c r="U80" s="216">
        <v>15138</v>
      </c>
      <c r="V80" s="216">
        <v>14593</v>
      </c>
      <c r="W80" s="216">
        <v>7331</v>
      </c>
      <c r="X80" s="216">
        <v>7062</v>
      </c>
      <c r="Y80" s="216">
        <v>80169</v>
      </c>
      <c r="Z80" s="216">
        <v>0</v>
      </c>
      <c r="AA80" s="216">
        <v>0</v>
      </c>
      <c r="AB80" s="216">
        <v>134</v>
      </c>
      <c r="AC80" s="105"/>
    </row>
    <row r="81" spans="1:29" s="20" customFormat="1" x14ac:dyDescent="0.25">
      <c r="A81" s="31">
        <f>'M&amp;R Stations'!A81</f>
        <v>39040</v>
      </c>
      <c r="B81" s="216">
        <v>0</v>
      </c>
      <c r="C81" s="216">
        <v>0</v>
      </c>
      <c r="D81" s="216">
        <v>0</v>
      </c>
      <c r="E81" s="216">
        <v>0</v>
      </c>
      <c r="F81" s="216">
        <v>0</v>
      </c>
      <c r="G81" s="216">
        <v>24791</v>
      </c>
      <c r="H81" s="216">
        <v>0</v>
      </c>
      <c r="I81" s="216">
        <v>0</v>
      </c>
      <c r="J81" s="216">
        <v>0</v>
      </c>
      <c r="K81" s="216">
        <v>18358</v>
      </c>
      <c r="L81" s="216">
        <v>0</v>
      </c>
      <c r="M81" s="216">
        <v>0</v>
      </c>
      <c r="N81" s="216">
        <v>34716</v>
      </c>
      <c r="O81" s="216">
        <v>0</v>
      </c>
      <c r="P81" s="216">
        <v>0</v>
      </c>
      <c r="Q81" s="216">
        <v>0</v>
      </c>
      <c r="R81" s="216">
        <v>36</v>
      </c>
      <c r="S81" s="216">
        <v>0</v>
      </c>
      <c r="T81" s="216">
        <v>19417</v>
      </c>
      <c r="U81" s="216">
        <v>15123</v>
      </c>
      <c r="V81" s="216">
        <v>14579</v>
      </c>
      <c r="W81" s="216">
        <v>7324</v>
      </c>
      <c r="X81" s="216">
        <v>7055</v>
      </c>
      <c r="Y81" s="216">
        <v>80091</v>
      </c>
      <c r="Z81" s="216">
        <v>0</v>
      </c>
      <c r="AA81" s="216">
        <v>0</v>
      </c>
      <c r="AB81" s="216">
        <v>134</v>
      </c>
      <c r="AC81" s="105"/>
    </row>
    <row r="82" spans="1:29" s="20" customFormat="1" x14ac:dyDescent="0.25">
      <c r="A82" s="31">
        <f>'M&amp;R Stations'!A82</f>
        <v>39041</v>
      </c>
      <c r="B82" s="216">
        <v>0</v>
      </c>
      <c r="C82" s="216">
        <v>0</v>
      </c>
      <c r="D82" s="216">
        <v>0</v>
      </c>
      <c r="E82" s="216">
        <v>18315</v>
      </c>
      <c r="F82" s="216">
        <v>0</v>
      </c>
      <c r="G82" s="216">
        <v>32301</v>
      </c>
      <c r="H82" s="216">
        <v>0</v>
      </c>
      <c r="I82" s="216">
        <v>0</v>
      </c>
      <c r="J82" s="216">
        <v>0</v>
      </c>
      <c r="K82" s="216">
        <v>20103</v>
      </c>
      <c r="L82" s="216">
        <v>0</v>
      </c>
      <c r="M82" s="216">
        <v>0</v>
      </c>
      <c r="N82" s="216">
        <v>34716</v>
      </c>
      <c r="O82" s="216">
        <v>0</v>
      </c>
      <c r="P82" s="216">
        <v>0</v>
      </c>
      <c r="Q82" s="216">
        <v>0</v>
      </c>
      <c r="R82" s="216">
        <v>4850</v>
      </c>
      <c r="S82" s="216">
        <v>0</v>
      </c>
      <c r="T82" s="216">
        <v>19399</v>
      </c>
      <c r="U82" s="216">
        <v>15108</v>
      </c>
      <c r="V82" s="216">
        <v>32023</v>
      </c>
      <c r="W82" s="216">
        <v>7317</v>
      </c>
      <c r="X82" s="216">
        <v>8077</v>
      </c>
      <c r="Y82" s="216">
        <v>80014</v>
      </c>
      <c r="Z82" s="216">
        <v>0</v>
      </c>
      <c r="AA82" s="216">
        <v>0</v>
      </c>
      <c r="AB82" s="216">
        <v>134</v>
      </c>
      <c r="AC82" s="105"/>
    </row>
    <row r="83" spans="1:29" s="20" customFormat="1" x14ac:dyDescent="0.25">
      <c r="A83" s="31">
        <f>'M&amp;R Stations'!A83</f>
        <v>39042</v>
      </c>
      <c r="B83" s="216">
        <v>0</v>
      </c>
      <c r="C83" s="216">
        <v>0</v>
      </c>
      <c r="D83" s="216">
        <v>0</v>
      </c>
      <c r="E83" s="216">
        <v>18891</v>
      </c>
      <c r="F83" s="216">
        <v>0</v>
      </c>
      <c r="G83" s="216">
        <v>32270</v>
      </c>
      <c r="H83" s="216">
        <v>0</v>
      </c>
      <c r="I83" s="216">
        <v>0</v>
      </c>
      <c r="J83" s="216">
        <v>0</v>
      </c>
      <c r="K83" s="216">
        <v>20084</v>
      </c>
      <c r="L83" s="216">
        <v>0</v>
      </c>
      <c r="M83" s="216">
        <v>0</v>
      </c>
      <c r="N83" s="216">
        <v>34682</v>
      </c>
      <c r="O83" s="216">
        <v>0</v>
      </c>
      <c r="P83" s="216">
        <v>0</v>
      </c>
      <c r="Q83" s="216">
        <v>0</v>
      </c>
      <c r="R83" s="216">
        <v>4850</v>
      </c>
      <c r="S83" s="216">
        <v>0</v>
      </c>
      <c r="T83" s="216">
        <v>19399</v>
      </c>
      <c r="U83" s="216">
        <v>15108</v>
      </c>
      <c r="V83" s="216">
        <v>24808</v>
      </c>
      <c r="W83" s="216">
        <v>7317</v>
      </c>
      <c r="X83" s="216">
        <v>7048</v>
      </c>
      <c r="Y83" s="216">
        <v>80014</v>
      </c>
      <c r="Z83" s="216">
        <v>0</v>
      </c>
      <c r="AA83" s="216">
        <v>0</v>
      </c>
      <c r="AB83" s="216">
        <v>134</v>
      </c>
      <c r="AC83" s="105"/>
    </row>
    <row r="84" spans="1:29" s="20" customFormat="1" x14ac:dyDescent="0.25">
      <c r="A84" s="31">
        <f>'M&amp;R Stations'!A84</f>
        <v>39043</v>
      </c>
      <c r="B84" s="216">
        <v>0</v>
      </c>
      <c r="C84" s="216">
        <v>0</v>
      </c>
      <c r="D84" s="216">
        <v>0</v>
      </c>
      <c r="E84" s="216">
        <v>17571</v>
      </c>
      <c r="F84" s="216">
        <v>0</v>
      </c>
      <c r="G84" s="216">
        <v>0</v>
      </c>
      <c r="H84" s="216">
        <v>0</v>
      </c>
      <c r="I84" s="216">
        <v>0</v>
      </c>
      <c r="J84" s="216">
        <v>0</v>
      </c>
      <c r="K84" s="216">
        <v>20084</v>
      </c>
      <c r="L84" s="216">
        <v>0</v>
      </c>
      <c r="M84" s="216">
        <v>0</v>
      </c>
      <c r="N84" s="216">
        <v>34682</v>
      </c>
      <c r="O84" s="216">
        <v>0</v>
      </c>
      <c r="P84" s="216">
        <v>0</v>
      </c>
      <c r="Q84" s="216">
        <v>0</v>
      </c>
      <c r="R84" s="216">
        <v>4845</v>
      </c>
      <c r="S84" s="216">
        <v>0</v>
      </c>
      <c r="T84" s="216">
        <v>19380</v>
      </c>
      <c r="U84" s="216">
        <v>15094</v>
      </c>
      <c r="V84" s="216">
        <v>32391</v>
      </c>
      <c r="W84" s="216">
        <v>7310</v>
      </c>
      <c r="X84" s="216">
        <v>14441</v>
      </c>
      <c r="Y84" s="216">
        <v>109006</v>
      </c>
      <c r="Z84" s="216">
        <v>0</v>
      </c>
      <c r="AA84" s="216">
        <v>0</v>
      </c>
      <c r="AB84" s="216">
        <v>134</v>
      </c>
      <c r="AC84" s="105"/>
    </row>
    <row r="85" spans="1:29" s="20" customFormat="1" x14ac:dyDescent="0.25">
      <c r="A85" s="31">
        <f>'M&amp;R Stations'!A85</f>
        <v>39044</v>
      </c>
      <c r="B85" s="216">
        <v>0</v>
      </c>
      <c r="C85" s="216">
        <v>0</v>
      </c>
      <c r="D85" s="216">
        <v>519</v>
      </c>
      <c r="E85" s="216">
        <v>0</v>
      </c>
      <c r="F85" s="216">
        <v>0</v>
      </c>
      <c r="G85" s="216">
        <v>0</v>
      </c>
      <c r="H85" s="216">
        <v>0</v>
      </c>
      <c r="I85" s="216">
        <v>0</v>
      </c>
      <c r="J85" s="216">
        <v>0</v>
      </c>
      <c r="K85" s="216">
        <v>0</v>
      </c>
      <c r="L85" s="216">
        <v>0</v>
      </c>
      <c r="M85" s="216">
        <v>0</v>
      </c>
      <c r="N85" s="216">
        <v>34682</v>
      </c>
      <c r="O85" s="216">
        <v>0</v>
      </c>
      <c r="P85" s="216">
        <v>4</v>
      </c>
      <c r="Q85" s="216">
        <v>0</v>
      </c>
      <c r="R85" s="216">
        <v>4845</v>
      </c>
      <c r="S85" s="216">
        <v>0</v>
      </c>
      <c r="T85" s="216">
        <v>6813</v>
      </c>
      <c r="U85" s="216">
        <v>15094</v>
      </c>
      <c r="V85" s="216">
        <v>24240</v>
      </c>
      <c r="W85" s="216">
        <v>7310</v>
      </c>
      <c r="X85" s="216">
        <v>17001</v>
      </c>
      <c r="Y85" s="216">
        <v>121775</v>
      </c>
      <c r="Z85" s="216">
        <v>0</v>
      </c>
      <c r="AA85" s="216">
        <v>0</v>
      </c>
      <c r="AB85" s="216">
        <v>134</v>
      </c>
      <c r="AC85" s="105"/>
    </row>
    <row r="86" spans="1:29" s="20" customFormat="1" x14ac:dyDescent="0.25">
      <c r="A86" s="31">
        <f>'M&amp;R Stations'!A86</f>
        <v>39045</v>
      </c>
      <c r="B86" s="216">
        <v>0</v>
      </c>
      <c r="C86" s="216">
        <v>0</v>
      </c>
      <c r="D86" s="216">
        <v>0</v>
      </c>
      <c r="E86" s="216">
        <v>0</v>
      </c>
      <c r="F86" s="216">
        <v>0</v>
      </c>
      <c r="G86" s="216">
        <v>0</v>
      </c>
      <c r="H86" s="216">
        <v>0</v>
      </c>
      <c r="I86" s="216">
        <v>0</v>
      </c>
      <c r="J86" s="216">
        <v>0</v>
      </c>
      <c r="K86" s="216">
        <v>156</v>
      </c>
      <c r="L86" s="216">
        <v>0</v>
      </c>
      <c r="M86" s="216">
        <v>0</v>
      </c>
      <c r="N86" s="216">
        <v>34716</v>
      </c>
      <c r="O86" s="216">
        <v>0</v>
      </c>
      <c r="P86" s="216">
        <v>0</v>
      </c>
      <c r="Q86" s="216">
        <v>0</v>
      </c>
      <c r="R86" s="216">
        <v>0</v>
      </c>
      <c r="S86" s="216">
        <v>0</v>
      </c>
      <c r="T86" s="216">
        <v>0</v>
      </c>
      <c r="U86" s="216">
        <v>15094</v>
      </c>
      <c r="V86" s="216">
        <v>0</v>
      </c>
      <c r="W86" s="216">
        <v>7310</v>
      </c>
      <c r="X86" s="216">
        <v>4541</v>
      </c>
      <c r="Y86" s="216">
        <v>121775</v>
      </c>
      <c r="Z86" s="216">
        <v>0</v>
      </c>
      <c r="AA86" s="216">
        <v>0</v>
      </c>
      <c r="AB86" s="216">
        <v>134</v>
      </c>
      <c r="AC86" s="105"/>
    </row>
    <row r="87" spans="1:29" s="20" customFormat="1" x14ac:dyDescent="0.25">
      <c r="A87" s="31">
        <f>'M&amp;R Stations'!A87</f>
        <v>39046</v>
      </c>
      <c r="B87" s="216">
        <v>0</v>
      </c>
      <c r="C87" s="216">
        <v>0</v>
      </c>
      <c r="D87" s="216">
        <v>0</v>
      </c>
      <c r="E87" s="216">
        <v>0</v>
      </c>
      <c r="F87" s="216">
        <v>0</v>
      </c>
      <c r="G87" s="216">
        <v>0</v>
      </c>
      <c r="H87" s="216">
        <v>0</v>
      </c>
      <c r="I87" s="216">
        <v>0</v>
      </c>
      <c r="J87" s="216">
        <v>0</v>
      </c>
      <c r="K87" s="216">
        <v>268</v>
      </c>
      <c r="L87" s="216">
        <v>0</v>
      </c>
      <c r="M87" s="216">
        <v>0</v>
      </c>
      <c r="N87" s="216">
        <v>34783</v>
      </c>
      <c r="O87" s="216">
        <v>0</v>
      </c>
      <c r="P87" s="216">
        <v>0</v>
      </c>
      <c r="Q87" s="216">
        <v>0</v>
      </c>
      <c r="R87" s="216">
        <v>0</v>
      </c>
      <c r="S87" s="216">
        <v>0</v>
      </c>
      <c r="T87" s="216">
        <v>0</v>
      </c>
      <c r="U87" s="216">
        <v>15094</v>
      </c>
      <c r="V87" s="216">
        <v>0</v>
      </c>
      <c r="W87" s="216">
        <v>7310</v>
      </c>
      <c r="X87" s="216">
        <v>6458</v>
      </c>
      <c r="Y87" s="216">
        <v>121775</v>
      </c>
      <c r="Z87" s="216">
        <v>0</v>
      </c>
      <c r="AA87" s="216">
        <v>0</v>
      </c>
      <c r="AB87" s="216">
        <v>134</v>
      </c>
      <c r="AC87" s="105"/>
    </row>
    <row r="88" spans="1:29" s="20" customFormat="1" x14ac:dyDescent="0.25">
      <c r="A88" s="31">
        <f>'M&amp;R Stations'!A88</f>
        <v>39047</v>
      </c>
      <c r="B88" s="216">
        <v>0</v>
      </c>
      <c r="C88" s="216">
        <v>0</v>
      </c>
      <c r="D88" s="216">
        <v>4508</v>
      </c>
      <c r="E88" s="216">
        <v>0</v>
      </c>
      <c r="F88" s="216">
        <v>0</v>
      </c>
      <c r="G88" s="216">
        <v>0</v>
      </c>
      <c r="H88" s="216">
        <v>0</v>
      </c>
      <c r="I88" s="216">
        <v>0</v>
      </c>
      <c r="J88" s="216">
        <v>0</v>
      </c>
      <c r="K88" s="216">
        <v>0</v>
      </c>
      <c r="L88" s="216">
        <v>0</v>
      </c>
      <c r="M88" s="216">
        <v>0</v>
      </c>
      <c r="N88" s="216">
        <v>34783</v>
      </c>
      <c r="O88" s="216">
        <v>0</v>
      </c>
      <c r="P88" s="216">
        <v>39</v>
      </c>
      <c r="Q88" s="216">
        <v>0</v>
      </c>
      <c r="R88" s="216">
        <v>0</v>
      </c>
      <c r="S88" s="216">
        <v>0</v>
      </c>
      <c r="T88" s="216">
        <v>0</v>
      </c>
      <c r="U88" s="216">
        <v>15108</v>
      </c>
      <c r="V88" s="216">
        <v>0</v>
      </c>
      <c r="W88" s="216">
        <v>7317</v>
      </c>
      <c r="X88" s="216">
        <v>121</v>
      </c>
      <c r="Y88" s="216">
        <v>121893</v>
      </c>
      <c r="Z88" s="216">
        <v>0</v>
      </c>
      <c r="AA88" s="216">
        <v>0</v>
      </c>
      <c r="AB88" s="216">
        <v>134</v>
      </c>
      <c r="AC88" s="105"/>
    </row>
    <row r="89" spans="1:29" s="20" customFormat="1" x14ac:dyDescent="0.25">
      <c r="A89" s="31">
        <f>'M&amp;R Stations'!A89</f>
        <v>39048</v>
      </c>
      <c r="B89" s="216">
        <v>0</v>
      </c>
      <c r="C89" s="216">
        <v>0</v>
      </c>
      <c r="D89" s="216">
        <v>13120</v>
      </c>
      <c r="E89" s="216">
        <v>0</v>
      </c>
      <c r="F89" s="216">
        <v>0</v>
      </c>
      <c r="G89" s="216">
        <v>0</v>
      </c>
      <c r="H89" s="216">
        <v>0</v>
      </c>
      <c r="I89" s="216">
        <v>0</v>
      </c>
      <c r="J89" s="216">
        <v>3203</v>
      </c>
      <c r="K89" s="216">
        <v>0</v>
      </c>
      <c r="L89" s="216">
        <v>0</v>
      </c>
      <c r="M89" s="216">
        <v>0</v>
      </c>
      <c r="N89" s="216">
        <v>34749</v>
      </c>
      <c r="O89" s="216">
        <v>0</v>
      </c>
      <c r="P89" s="216">
        <v>142</v>
      </c>
      <c r="Q89" s="216">
        <v>0</v>
      </c>
      <c r="R89" s="216">
        <v>0</v>
      </c>
      <c r="S89" s="216">
        <v>72</v>
      </c>
      <c r="T89" s="216">
        <v>0</v>
      </c>
      <c r="U89" s="216">
        <v>15138</v>
      </c>
      <c r="V89" s="216">
        <v>0</v>
      </c>
      <c r="W89" s="216">
        <v>7331</v>
      </c>
      <c r="X89" s="216">
        <v>0</v>
      </c>
      <c r="Y89" s="216">
        <v>122130</v>
      </c>
      <c r="Z89" s="216">
        <v>0</v>
      </c>
      <c r="AA89" s="216">
        <v>0</v>
      </c>
      <c r="AB89" s="216">
        <v>137</v>
      </c>
      <c r="AC89" s="105"/>
    </row>
    <row r="90" spans="1:29" s="20" customFormat="1" x14ac:dyDescent="0.25">
      <c r="A90" s="31">
        <f>'M&amp;R Stations'!A90</f>
        <v>39049</v>
      </c>
      <c r="B90" s="216">
        <v>0</v>
      </c>
      <c r="C90" s="216">
        <v>0</v>
      </c>
      <c r="D90" s="216">
        <v>0</v>
      </c>
      <c r="E90" s="216">
        <v>0</v>
      </c>
      <c r="F90" s="216">
        <v>0</v>
      </c>
      <c r="G90" s="216">
        <v>0</v>
      </c>
      <c r="H90" s="216">
        <v>0</v>
      </c>
      <c r="I90" s="216">
        <v>0</v>
      </c>
      <c r="J90" s="216">
        <v>1941</v>
      </c>
      <c r="K90" s="216">
        <v>0</v>
      </c>
      <c r="L90" s="216">
        <v>0</v>
      </c>
      <c r="M90" s="216">
        <v>0</v>
      </c>
      <c r="N90" s="216">
        <v>34783</v>
      </c>
      <c r="O90" s="216">
        <v>0</v>
      </c>
      <c r="P90" s="216">
        <v>17</v>
      </c>
      <c r="Q90" s="216">
        <v>0</v>
      </c>
      <c r="R90" s="216">
        <v>0</v>
      </c>
      <c r="S90" s="216">
        <v>0</v>
      </c>
      <c r="T90" s="216">
        <v>0</v>
      </c>
      <c r="U90" s="216">
        <v>15152</v>
      </c>
      <c r="V90" s="216">
        <v>0</v>
      </c>
      <c r="W90" s="216">
        <v>7339</v>
      </c>
      <c r="X90" s="216">
        <v>6</v>
      </c>
      <c r="Y90" s="216">
        <v>94844</v>
      </c>
      <c r="Z90" s="216">
        <v>0</v>
      </c>
      <c r="AA90" s="216">
        <v>0</v>
      </c>
      <c r="AB90" s="216">
        <v>135</v>
      </c>
      <c r="AC90" s="105"/>
    </row>
    <row r="91" spans="1:29" s="20" customFormat="1" x14ac:dyDescent="0.25">
      <c r="A91" s="31">
        <f>'M&amp;R Stations'!A91</f>
        <v>39050</v>
      </c>
      <c r="B91" s="216">
        <v>0</v>
      </c>
      <c r="C91" s="216">
        <v>0</v>
      </c>
      <c r="D91" s="216">
        <v>0</v>
      </c>
      <c r="E91" s="216">
        <v>0</v>
      </c>
      <c r="F91" s="216">
        <v>0</v>
      </c>
      <c r="G91" s="216">
        <v>0</v>
      </c>
      <c r="H91" s="216">
        <v>0</v>
      </c>
      <c r="I91" s="216">
        <v>0</v>
      </c>
      <c r="J91" s="216">
        <v>9449</v>
      </c>
      <c r="K91" s="216">
        <v>0</v>
      </c>
      <c r="L91" s="216">
        <v>0</v>
      </c>
      <c r="M91" s="216">
        <v>0</v>
      </c>
      <c r="N91" s="216">
        <v>34783</v>
      </c>
      <c r="O91" s="216">
        <v>0</v>
      </c>
      <c r="P91" s="216">
        <v>82</v>
      </c>
      <c r="Q91" s="216">
        <v>0</v>
      </c>
      <c r="R91" s="216">
        <v>0</v>
      </c>
      <c r="S91" s="216">
        <v>4940</v>
      </c>
      <c r="T91" s="216">
        <v>0</v>
      </c>
      <c r="U91" s="216">
        <v>15138</v>
      </c>
      <c r="V91" s="216">
        <v>0</v>
      </c>
      <c r="W91" s="216">
        <v>7331</v>
      </c>
      <c r="X91" s="216">
        <v>0</v>
      </c>
      <c r="Y91" s="216">
        <v>80169</v>
      </c>
      <c r="Z91" s="216">
        <v>0</v>
      </c>
      <c r="AA91" s="216">
        <v>0</v>
      </c>
      <c r="AB91" s="216">
        <v>323</v>
      </c>
      <c r="AC91" s="105"/>
    </row>
    <row r="92" spans="1:29" s="20" customFormat="1" x14ac:dyDescent="0.25">
      <c r="A92" s="31">
        <f>'M&amp;R Stations'!A92</f>
        <v>39051</v>
      </c>
      <c r="B92" s="216">
        <v>0</v>
      </c>
      <c r="C92" s="216">
        <v>0</v>
      </c>
      <c r="D92" s="216">
        <v>12006</v>
      </c>
      <c r="E92" s="216">
        <v>0</v>
      </c>
      <c r="F92" s="216">
        <v>0</v>
      </c>
      <c r="G92" s="216">
        <v>0</v>
      </c>
      <c r="H92" s="216">
        <v>15154</v>
      </c>
      <c r="I92" s="216">
        <v>0</v>
      </c>
      <c r="J92" s="216">
        <v>12239</v>
      </c>
      <c r="K92" s="216">
        <v>0</v>
      </c>
      <c r="L92" s="216">
        <v>0</v>
      </c>
      <c r="M92" s="216">
        <v>0</v>
      </c>
      <c r="N92" s="216">
        <v>34850</v>
      </c>
      <c r="O92" s="216">
        <v>0</v>
      </c>
      <c r="P92" s="216">
        <v>210</v>
      </c>
      <c r="Q92" s="216">
        <v>0</v>
      </c>
      <c r="R92" s="216">
        <v>0</v>
      </c>
      <c r="S92" s="216">
        <v>6484</v>
      </c>
      <c r="T92" s="216">
        <v>0</v>
      </c>
      <c r="U92" s="216">
        <v>15138</v>
      </c>
      <c r="V92" s="216">
        <v>0</v>
      </c>
      <c r="W92" s="216">
        <v>7331</v>
      </c>
      <c r="X92" s="216">
        <v>0</v>
      </c>
      <c r="Y92" s="216">
        <v>80169</v>
      </c>
      <c r="Z92" s="216">
        <v>0</v>
      </c>
      <c r="AA92" s="216">
        <v>0</v>
      </c>
      <c r="AB92" s="216">
        <v>382</v>
      </c>
      <c r="AC92" s="105"/>
    </row>
    <row r="93" spans="1:29" s="20" customFormat="1" x14ac:dyDescent="0.25">
      <c r="A93" s="31">
        <f>'M&amp;R Stations'!A93</f>
        <v>39052</v>
      </c>
      <c r="B93" s="216">
        <v>0</v>
      </c>
      <c r="C93" s="216">
        <v>4838</v>
      </c>
      <c r="D93" s="216">
        <v>0</v>
      </c>
      <c r="E93" s="216">
        <v>0</v>
      </c>
      <c r="F93" s="216">
        <v>0</v>
      </c>
      <c r="G93" s="216">
        <v>0</v>
      </c>
      <c r="H93" s="216">
        <v>0</v>
      </c>
      <c r="I93" s="216">
        <v>0</v>
      </c>
      <c r="J93" s="216">
        <v>10357</v>
      </c>
      <c r="K93" s="216">
        <v>0</v>
      </c>
      <c r="L93" s="216">
        <v>0</v>
      </c>
      <c r="M93" s="216">
        <v>0</v>
      </c>
      <c r="N93" s="216">
        <v>34850</v>
      </c>
      <c r="O93" s="216">
        <v>0</v>
      </c>
      <c r="P93" s="216">
        <v>90</v>
      </c>
      <c r="Q93" s="216">
        <v>0</v>
      </c>
      <c r="R93" s="216">
        <v>0</v>
      </c>
      <c r="S93" s="216">
        <v>0</v>
      </c>
      <c r="T93" s="216">
        <v>0</v>
      </c>
      <c r="U93" s="216">
        <v>15152</v>
      </c>
      <c r="V93" s="216">
        <v>0</v>
      </c>
      <c r="W93" s="216">
        <v>7339</v>
      </c>
      <c r="X93" s="216">
        <v>636</v>
      </c>
      <c r="Y93" s="216">
        <v>75383</v>
      </c>
      <c r="Z93" s="216">
        <v>0</v>
      </c>
      <c r="AA93" s="216">
        <v>0</v>
      </c>
      <c r="AB93" s="216">
        <v>135</v>
      </c>
      <c r="AC93" s="105"/>
    </row>
    <row r="94" spans="1:29" s="20" customFormat="1" x14ac:dyDescent="0.25">
      <c r="A94" s="31">
        <f>'M&amp;R Stations'!A94</f>
        <v>39053</v>
      </c>
      <c r="B94" s="216">
        <v>0</v>
      </c>
      <c r="C94" s="216">
        <v>4835</v>
      </c>
      <c r="D94" s="216">
        <v>0</v>
      </c>
      <c r="E94" s="216">
        <v>0</v>
      </c>
      <c r="F94" s="216">
        <v>0</v>
      </c>
      <c r="G94" s="216">
        <v>0</v>
      </c>
      <c r="H94" s="216">
        <v>0</v>
      </c>
      <c r="I94" s="216">
        <v>0</v>
      </c>
      <c r="J94" s="216">
        <v>0</v>
      </c>
      <c r="K94" s="216">
        <v>950</v>
      </c>
      <c r="L94" s="216">
        <v>0</v>
      </c>
      <c r="M94" s="216">
        <v>0</v>
      </c>
      <c r="N94" s="216">
        <v>34823</v>
      </c>
      <c r="O94" s="216">
        <v>0</v>
      </c>
      <c r="P94" s="216">
        <v>0</v>
      </c>
      <c r="Q94" s="216">
        <v>0</v>
      </c>
      <c r="R94" s="216">
        <v>4853</v>
      </c>
      <c r="S94" s="216">
        <v>0</v>
      </c>
      <c r="T94" s="216">
        <v>13927</v>
      </c>
      <c r="U94" s="216">
        <v>15118</v>
      </c>
      <c r="V94" s="216">
        <v>14574</v>
      </c>
      <c r="W94" s="216">
        <v>7322</v>
      </c>
      <c r="X94" s="216">
        <v>7053</v>
      </c>
      <c r="Y94" s="216">
        <v>114037</v>
      </c>
      <c r="Z94" s="216">
        <v>0</v>
      </c>
      <c r="AA94" s="216">
        <v>0</v>
      </c>
      <c r="AB94" s="216">
        <v>134</v>
      </c>
      <c r="AC94" s="105"/>
    </row>
    <row r="95" spans="1:29" s="20" customFormat="1" x14ac:dyDescent="0.25">
      <c r="A95" s="31">
        <f>'M&amp;R Stations'!A95</f>
        <v>39054</v>
      </c>
      <c r="B95" s="216">
        <v>0</v>
      </c>
      <c r="C95" s="216">
        <v>4852</v>
      </c>
      <c r="D95" s="216">
        <v>0</v>
      </c>
      <c r="E95" s="216">
        <v>0</v>
      </c>
      <c r="F95" s="216">
        <v>0</v>
      </c>
      <c r="G95" s="216">
        <v>32520</v>
      </c>
      <c r="H95" s="216">
        <v>0</v>
      </c>
      <c r="I95" s="216">
        <v>0</v>
      </c>
      <c r="J95" s="216">
        <v>728</v>
      </c>
      <c r="K95" s="216">
        <v>0</v>
      </c>
      <c r="L95" s="216">
        <v>0</v>
      </c>
      <c r="M95" s="216">
        <v>0</v>
      </c>
      <c r="N95" s="216">
        <v>34951</v>
      </c>
      <c r="O95" s="216">
        <v>0</v>
      </c>
      <c r="P95" s="216">
        <v>6</v>
      </c>
      <c r="Q95" s="216">
        <v>0</v>
      </c>
      <c r="R95" s="216">
        <v>0</v>
      </c>
      <c r="S95" s="216">
        <v>0</v>
      </c>
      <c r="T95" s="216">
        <v>0</v>
      </c>
      <c r="U95" s="216">
        <v>15138</v>
      </c>
      <c r="V95" s="216">
        <v>12144</v>
      </c>
      <c r="W95" s="216">
        <v>7331</v>
      </c>
      <c r="X95" s="216">
        <v>7062</v>
      </c>
      <c r="Y95" s="216">
        <v>114183</v>
      </c>
      <c r="Z95" s="216">
        <v>0</v>
      </c>
      <c r="AA95" s="216">
        <v>0</v>
      </c>
      <c r="AB95" s="216">
        <v>134</v>
      </c>
      <c r="AC95" s="105"/>
    </row>
    <row r="96" spans="1:29" s="20" customFormat="1" x14ac:dyDescent="0.25">
      <c r="A96" s="31">
        <f>'M&amp;R Stations'!A96</f>
        <v>39055</v>
      </c>
      <c r="B96" s="216">
        <v>0</v>
      </c>
      <c r="C96" s="216">
        <v>4900</v>
      </c>
      <c r="D96" s="216">
        <v>0</v>
      </c>
      <c r="E96" s="216">
        <v>0</v>
      </c>
      <c r="F96" s="216">
        <v>0</v>
      </c>
      <c r="G96" s="216">
        <v>32839</v>
      </c>
      <c r="H96" s="216">
        <v>0</v>
      </c>
      <c r="I96" s="216">
        <v>0</v>
      </c>
      <c r="J96" s="216">
        <v>0</v>
      </c>
      <c r="K96" s="216">
        <v>665</v>
      </c>
      <c r="L96" s="216">
        <v>0</v>
      </c>
      <c r="M96" s="216">
        <v>0</v>
      </c>
      <c r="N96" s="216">
        <v>35294</v>
      </c>
      <c r="O96" s="216">
        <v>0</v>
      </c>
      <c r="P96" s="216">
        <v>0</v>
      </c>
      <c r="Q96" s="216">
        <v>0</v>
      </c>
      <c r="R96" s="216">
        <v>4850</v>
      </c>
      <c r="S96" s="216">
        <v>0</v>
      </c>
      <c r="T96" s="216">
        <v>29098</v>
      </c>
      <c r="U96" s="216">
        <v>15108</v>
      </c>
      <c r="V96" s="216">
        <v>27548</v>
      </c>
      <c r="W96" s="216">
        <v>7317</v>
      </c>
      <c r="X96" s="216">
        <v>18293</v>
      </c>
      <c r="Y96" s="216">
        <v>113961</v>
      </c>
      <c r="Z96" s="216">
        <v>0</v>
      </c>
      <c r="AA96" s="216">
        <v>0</v>
      </c>
      <c r="AB96" s="216">
        <v>134</v>
      </c>
      <c r="AC96" s="105"/>
    </row>
    <row r="97" spans="1:29" s="20" customFormat="1" x14ac:dyDescent="0.25">
      <c r="A97" s="31">
        <f>'M&amp;R Stations'!A97</f>
        <v>39056</v>
      </c>
      <c r="B97" s="216">
        <v>0</v>
      </c>
      <c r="C97" s="216">
        <v>4834</v>
      </c>
      <c r="D97" s="216">
        <v>0</v>
      </c>
      <c r="E97" s="216">
        <v>0</v>
      </c>
      <c r="F97" s="216">
        <v>0</v>
      </c>
      <c r="G97" s="216">
        <v>32395</v>
      </c>
      <c r="H97" s="216">
        <v>0</v>
      </c>
      <c r="I97" s="216">
        <v>0</v>
      </c>
      <c r="J97" s="216">
        <v>0</v>
      </c>
      <c r="K97" s="216">
        <v>9896</v>
      </c>
      <c r="L97" s="216">
        <v>0</v>
      </c>
      <c r="M97" s="216">
        <v>0</v>
      </c>
      <c r="N97" s="216">
        <v>34816</v>
      </c>
      <c r="O97" s="216">
        <v>0</v>
      </c>
      <c r="P97" s="216">
        <v>0</v>
      </c>
      <c r="Q97" s="216">
        <v>0</v>
      </c>
      <c r="R97" s="216">
        <v>4840</v>
      </c>
      <c r="S97" s="216">
        <v>0</v>
      </c>
      <c r="T97" s="216">
        <v>29042</v>
      </c>
      <c r="U97" s="216">
        <v>15079</v>
      </c>
      <c r="V97" s="216">
        <v>31197</v>
      </c>
      <c r="W97" s="216">
        <v>7303</v>
      </c>
      <c r="X97" s="216">
        <v>18258</v>
      </c>
      <c r="Y97" s="216">
        <v>113742</v>
      </c>
      <c r="Z97" s="216">
        <v>0</v>
      </c>
      <c r="AA97" s="216">
        <v>0</v>
      </c>
      <c r="AB97" s="216">
        <v>134</v>
      </c>
      <c r="AC97" s="105"/>
    </row>
    <row r="98" spans="1:29" s="20" customFormat="1" x14ac:dyDescent="0.25">
      <c r="A98" s="31">
        <f>'M&amp;R Stations'!A98</f>
        <v>39057</v>
      </c>
      <c r="B98" s="216">
        <v>0</v>
      </c>
      <c r="C98" s="216">
        <v>4852</v>
      </c>
      <c r="D98" s="216">
        <v>0</v>
      </c>
      <c r="E98" s="216">
        <v>0</v>
      </c>
      <c r="F98" s="216">
        <v>0</v>
      </c>
      <c r="G98" s="216">
        <v>24959</v>
      </c>
      <c r="H98" s="216">
        <v>0</v>
      </c>
      <c r="I98" s="216">
        <v>0</v>
      </c>
      <c r="J98" s="216">
        <v>0</v>
      </c>
      <c r="K98" s="216">
        <v>387</v>
      </c>
      <c r="L98" s="216">
        <v>0</v>
      </c>
      <c r="M98" s="216">
        <v>0</v>
      </c>
      <c r="N98" s="216">
        <v>34951</v>
      </c>
      <c r="O98" s="216">
        <v>0</v>
      </c>
      <c r="P98" s="216">
        <v>0</v>
      </c>
      <c r="Q98" s="216">
        <v>0</v>
      </c>
      <c r="R98" s="216">
        <v>0</v>
      </c>
      <c r="S98" s="216">
        <v>0</v>
      </c>
      <c r="T98" s="216">
        <v>24937</v>
      </c>
      <c r="U98" s="216">
        <v>15079</v>
      </c>
      <c r="V98" s="216">
        <v>14536</v>
      </c>
      <c r="W98" s="216">
        <v>7303</v>
      </c>
      <c r="X98" s="216">
        <v>7035</v>
      </c>
      <c r="Y98" s="216">
        <v>98191</v>
      </c>
      <c r="Z98" s="216">
        <v>0</v>
      </c>
      <c r="AA98" s="216">
        <v>0</v>
      </c>
      <c r="AB98" s="216">
        <v>134</v>
      </c>
      <c r="AC98" s="105"/>
    </row>
    <row r="99" spans="1:29" s="20" customFormat="1" x14ac:dyDescent="0.25">
      <c r="A99" s="31">
        <f>'M&amp;R Stations'!A99</f>
        <v>39058</v>
      </c>
      <c r="B99" s="216">
        <v>0</v>
      </c>
      <c r="C99" s="216">
        <v>4852</v>
      </c>
      <c r="D99" s="216">
        <v>0</v>
      </c>
      <c r="E99" s="216">
        <v>0</v>
      </c>
      <c r="F99" s="216">
        <v>0</v>
      </c>
      <c r="G99" s="216">
        <v>32520</v>
      </c>
      <c r="H99" s="216">
        <v>0</v>
      </c>
      <c r="I99" s="216">
        <v>0</v>
      </c>
      <c r="J99" s="216">
        <v>1323</v>
      </c>
      <c r="K99" s="216">
        <v>0</v>
      </c>
      <c r="L99" s="216">
        <v>0</v>
      </c>
      <c r="M99" s="216">
        <v>0</v>
      </c>
      <c r="N99" s="216">
        <v>34951</v>
      </c>
      <c r="O99" s="216">
        <v>0</v>
      </c>
      <c r="P99" s="216">
        <v>11</v>
      </c>
      <c r="Q99" s="216">
        <v>0</v>
      </c>
      <c r="R99" s="216">
        <v>0</v>
      </c>
      <c r="S99" s="216">
        <v>0</v>
      </c>
      <c r="T99" s="216">
        <v>29098</v>
      </c>
      <c r="U99" s="216">
        <v>15108</v>
      </c>
      <c r="V99" s="216">
        <v>24159</v>
      </c>
      <c r="W99" s="216">
        <v>7317</v>
      </c>
      <c r="X99" s="216">
        <v>30121</v>
      </c>
      <c r="Y99" s="216">
        <v>98442</v>
      </c>
      <c r="Z99" s="216">
        <v>0</v>
      </c>
      <c r="AA99" s="216">
        <v>0</v>
      </c>
      <c r="AB99" s="216">
        <v>134</v>
      </c>
      <c r="AC99" s="105"/>
    </row>
    <row r="100" spans="1:29" s="20" customFormat="1" x14ac:dyDescent="0.25">
      <c r="A100" s="31">
        <f>'M&amp;R Stations'!A100</f>
        <v>39059</v>
      </c>
      <c r="B100" s="216">
        <v>0</v>
      </c>
      <c r="C100" s="216">
        <v>4852</v>
      </c>
      <c r="D100" s="216">
        <v>0</v>
      </c>
      <c r="E100" s="216">
        <v>18276</v>
      </c>
      <c r="F100" s="216">
        <v>0</v>
      </c>
      <c r="G100" s="216">
        <v>32520</v>
      </c>
      <c r="H100" s="216">
        <v>0</v>
      </c>
      <c r="I100" s="216">
        <v>0</v>
      </c>
      <c r="J100" s="216">
        <v>0</v>
      </c>
      <c r="K100" s="216">
        <v>20240</v>
      </c>
      <c r="L100" s="216">
        <v>0</v>
      </c>
      <c r="M100" s="216">
        <v>0</v>
      </c>
      <c r="N100" s="216">
        <v>34951</v>
      </c>
      <c r="O100" s="216">
        <v>0</v>
      </c>
      <c r="P100" s="216">
        <v>0</v>
      </c>
      <c r="Q100" s="216">
        <v>0</v>
      </c>
      <c r="R100" s="216">
        <v>4836</v>
      </c>
      <c r="S100" s="216">
        <v>0</v>
      </c>
      <c r="T100" s="216">
        <v>56015</v>
      </c>
      <c r="U100" s="216">
        <v>15065</v>
      </c>
      <c r="V100" s="216">
        <v>36282</v>
      </c>
      <c r="W100" s="216">
        <v>7296</v>
      </c>
      <c r="X100" s="216">
        <v>40625</v>
      </c>
      <c r="Y100" s="216">
        <v>87565</v>
      </c>
      <c r="Z100" s="216">
        <v>0</v>
      </c>
      <c r="AA100" s="216">
        <v>0</v>
      </c>
      <c r="AB100" s="216">
        <v>134</v>
      </c>
      <c r="AC100" s="105"/>
    </row>
    <row r="101" spans="1:29" s="20" customFormat="1" x14ac:dyDescent="0.25">
      <c r="A101" s="31">
        <f>'M&amp;R Stations'!A101</f>
        <v>39060</v>
      </c>
      <c r="B101" s="216">
        <v>0</v>
      </c>
      <c r="C101" s="216">
        <v>4792</v>
      </c>
      <c r="D101" s="216">
        <v>0</v>
      </c>
      <c r="E101" s="216">
        <v>0</v>
      </c>
      <c r="F101" s="216">
        <v>0</v>
      </c>
      <c r="G101" s="216">
        <v>32115</v>
      </c>
      <c r="H101" s="216">
        <v>0</v>
      </c>
      <c r="I101" s="216">
        <v>0</v>
      </c>
      <c r="J101" s="216">
        <v>0</v>
      </c>
      <c r="K101" s="216">
        <v>16790</v>
      </c>
      <c r="L101" s="216">
        <v>0</v>
      </c>
      <c r="M101" s="216">
        <v>0</v>
      </c>
      <c r="N101" s="216">
        <v>34516</v>
      </c>
      <c r="O101" s="216">
        <v>0</v>
      </c>
      <c r="P101" s="216">
        <v>0</v>
      </c>
      <c r="Q101" s="216">
        <v>0</v>
      </c>
      <c r="R101" s="216">
        <v>3066</v>
      </c>
      <c r="S101" s="216">
        <v>0</v>
      </c>
      <c r="T101" s="216">
        <v>29014</v>
      </c>
      <c r="U101" s="216">
        <v>15065</v>
      </c>
      <c r="V101" s="216">
        <v>36282</v>
      </c>
      <c r="W101" s="216">
        <v>7296</v>
      </c>
      <c r="X101" s="216">
        <v>30033</v>
      </c>
      <c r="Y101" s="216">
        <v>95814</v>
      </c>
      <c r="Z101" s="216">
        <v>0</v>
      </c>
      <c r="AA101" s="216">
        <v>0</v>
      </c>
      <c r="AB101" s="216">
        <v>134</v>
      </c>
      <c r="AC101" s="105"/>
    </row>
    <row r="102" spans="1:29" s="20" customFormat="1" x14ac:dyDescent="0.25">
      <c r="A102" s="31">
        <f>'M&amp;R Stations'!A102</f>
        <v>39061</v>
      </c>
      <c r="B102" s="216">
        <v>0</v>
      </c>
      <c r="C102" s="216">
        <v>4810</v>
      </c>
      <c r="D102" s="216">
        <v>0</v>
      </c>
      <c r="E102" s="216">
        <v>0</v>
      </c>
      <c r="F102" s="216">
        <v>0</v>
      </c>
      <c r="G102" s="216">
        <v>11731</v>
      </c>
      <c r="H102" s="216">
        <v>0</v>
      </c>
      <c r="I102" s="216">
        <v>0</v>
      </c>
      <c r="J102" s="216">
        <v>0</v>
      </c>
      <c r="K102" s="216">
        <v>974</v>
      </c>
      <c r="L102" s="216">
        <v>0</v>
      </c>
      <c r="M102" s="216">
        <v>0</v>
      </c>
      <c r="N102" s="216">
        <v>34649</v>
      </c>
      <c r="O102" s="216">
        <v>0</v>
      </c>
      <c r="P102" s="216">
        <v>0</v>
      </c>
      <c r="Q102" s="216">
        <v>0</v>
      </c>
      <c r="R102" s="216">
        <v>0</v>
      </c>
      <c r="S102" s="216">
        <v>0</v>
      </c>
      <c r="T102" s="216">
        <v>12305</v>
      </c>
      <c r="U102" s="216">
        <v>15094</v>
      </c>
      <c r="V102" s="216">
        <v>14550</v>
      </c>
      <c r="W102" s="216">
        <v>7310</v>
      </c>
      <c r="X102" s="216">
        <v>7042</v>
      </c>
      <c r="Y102" s="216">
        <v>98347</v>
      </c>
      <c r="Z102" s="216">
        <v>0</v>
      </c>
      <c r="AA102" s="216">
        <v>0</v>
      </c>
      <c r="AB102" s="216">
        <v>134</v>
      </c>
      <c r="AC102" s="105"/>
    </row>
    <row r="103" spans="1:29" s="20" customFormat="1" x14ac:dyDescent="0.25">
      <c r="A103" s="31">
        <f>'M&amp;R Stations'!A103</f>
        <v>39062</v>
      </c>
      <c r="B103" s="216">
        <v>0</v>
      </c>
      <c r="C103" s="216">
        <v>4801</v>
      </c>
      <c r="D103" s="216">
        <v>3421</v>
      </c>
      <c r="E103" s="216">
        <v>0</v>
      </c>
      <c r="F103" s="216">
        <v>0</v>
      </c>
      <c r="G103" s="216">
        <v>11708</v>
      </c>
      <c r="H103" s="216">
        <v>0</v>
      </c>
      <c r="I103" s="216">
        <v>0</v>
      </c>
      <c r="J103" s="216">
        <v>12145</v>
      </c>
      <c r="K103" s="216">
        <v>0</v>
      </c>
      <c r="L103" s="216">
        <v>0</v>
      </c>
      <c r="M103" s="216">
        <v>0</v>
      </c>
      <c r="N103" s="216">
        <v>34582</v>
      </c>
      <c r="O103" s="216">
        <v>0</v>
      </c>
      <c r="P103" s="216">
        <v>135</v>
      </c>
      <c r="Q103" s="216">
        <v>0</v>
      </c>
      <c r="R103" s="216">
        <v>0</v>
      </c>
      <c r="S103" s="216">
        <v>418</v>
      </c>
      <c r="T103" s="216">
        <v>0</v>
      </c>
      <c r="U103" s="216">
        <v>15094</v>
      </c>
      <c r="V103" s="216">
        <v>0</v>
      </c>
      <c r="W103" s="216">
        <v>7310</v>
      </c>
      <c r="X103" s="216">
        <v>0</v>
      </c>
      <c r="Y103" s="216">
        <v>98347</v>
      </c>
      <c r="Z103" s="216">
        <v>0</v>
      </c>
      <c r="AA103" s="216">
        <v>0</v>
      </c>
      <c r="AB103" s="216">
        <v>150</v>
      </c>
      <c r="AC103" s="105"/>
    </row>
    <row r="104" spans="1:29" s="20" customFormat="1" x14ac:dyDescent="0.25">
      <c r="A104" s="31">
        <f>'M&amp;R Stations'!A104</f>
        <v>39063</v>
      </c>
      <c r="B104" s="216">
        <v>0</v>
      </c>
      <c r="C104" s="216">
        <v>4792</v>
      </c>
      <c r="D104" s="216">
        <v>0</v>
      </c>
      <c r="E104" s="216">
        <v>0</v>
      </c>
      <c r="F104" s="216">
        <v>0</v>
      </c>
      <c r="G104" s="216">
        <v>0</v>
      </c>
      <c r="H104" s="216">
        <v>0</v>
      </c>
      <c r="I104" s="216">
        <v>0</v>
      </c>
      <c r="J104" s="216">
        <v>0</v>
      </c>
      <c r="K104" s="216">
        <v>260</v>
      </c>
      <c r="L104" s="216">
        <v>0</v>
      </c>
      <c r="M104" s="216">
        <v>0</v>
      </c>
      <c r="N104" s="216">
        <v>34516</v>
      </c>
      <c r="O104" s="216">
        <v>0</v>
      </c>
      <c r="P104" s="216">
        <v>0</v>
      </c>
      <c r="Q104" s="216">
        <v>0</v>
      </c>
      <c r="R104" s="216">
        <v>0</v>
      </c>
      <c r="S104" s="216">
        <v>0</v>
      </c>
      <c r="T104" s="216">
        <v>19276</v>
      </c>
      <c r="U104" s="216">
        <v>15079</v>
      </c>
      <c r="V104" s="216">
        <v>14536</v>
      </c>
      <c r="W104" s="216">
        <v>7303</v>
      </c>
      <c r="X104" s="216">
        <v>7035</v>
      </c>
      <c r="Y104" s="216">
        <v>87650</v>
      </c>
      <c r="Z104" s="216">
        <v>0</v>
      </c>
      <c r="AA104" s="216">
        <v>0</v>
      </c>
      <c r="AB104" s="216">
        <v>134</v>
      </c>
      <c r="AC104" s="105"/>
    </row>
    <row r="105" spans="1:29" s="20" customFormat="1" x14ac:dyDescent="0.25">
      <c r="A105" s="31">
        <f>'M&amp;R Stations'!A105</f>
        <v>39064</v>
      </c>
      <c r="B105" s="216">
        <v>0</v>
      </c>
      <c r="C105" s="216">
        <v>4792</v>
      </c>
      <c r="D105" s="216">
        <v>0</v>
      </c>
      <c r="E105" s="216">
        <v>0</v>
      </c>
      <c r="F105" s="216">
        <v>0</v>
      </c>
      <c r="G105" s="216">
        <v>0</v>
      </c>
      <c r="H105" s="216">
        <v>0</v>
      </c>
      <c r="I105" s="216">
        <v>0</v>
      </c>
      <c r="J105" s="216">
        <v>0</v>
      </c>
      <c r="K105" s="216">
        <v>17716</v>
      </c>
      <c r="L105" s="216">
        <v>0</v>
      </c>
      <c r="M105" s="216">
        <v>0</v>
      </c>
      <c r="N105" s="216">
        <v>34516</v>
      </c>
      <c r="O105" s="216">
        <v>0</v>
      </c>
      <c r="P105" s="216">
        <v>0</v>
      </c>
      <c r="Q105" s="216">
        <v>0</v>
      </c>
      <c r="R105" s="216">
        <v>0</v>
      </c>
      <c r="S105" s="216">
        <v>0</v>
      </c>
      <c r="T105" s="216">
        <v>0</v>
      </c>
      <c r="U105" s="216">
        <v>15094</v>
      </c>
      <c r="V105" s="216">
        <v>1937</v>
      </c>
      <c r="W105" s="216">
        <v>7310</v>
      </c>
      <c r="X105" s="216">
        <v>7042</v>
      </c>
      <c r="Y105" s="216">
        <v>75091</v>
      </c>
      <c r="Z105" s="216">
        <v>0</v>
      </c>
      <c r="AA105" s="216">
        <v>0</v>
      </c>
      <c r="AB105" s="216">
        <v>134</v>
      </c>
      <c r="AC105" s="105"/>
    </row>
    <row r="106" spans="1:29" s="20" customFormat="1" x14ac:dyDescent="0.25">
      <c r="A106" s="31">
        <f>'M&amp;R Stations'!A106</f>
        <v>39065</v>
      </c>
      <c r="B106" s="216">
        <v>0</v>
      </c>
      <c r="C106" s="216">
        <v>4797</v>
      </c>
      <c r="D106" s="216">
        <v>0</v>
      </c>
      <c r="E106" s="216">
        <v>0</v>
      </c>
      <c r="F106" s="216">
        <v>0</v>
      </c>
      <c r="G106" s="216">
        <v>0</v>
      </c>
      <c r="H106" s="216">
        <v>0</v>
      </c>
      <c r="I106" s="216">
        <v>0</v>
      </c>
      <c r="J106" s="216">
        <v>0</v>
      </c>
      <c r="K106" s="216">
        <v>17083</v>
      </c>
      <c r="L106" s="216">
        <v>0</v>
      </c>
      <c r="M106" s="216">
        <v>0</v>
      </c>
      <c r="N106" s="216">
        <v>34549</v>
      </c>
      <c r="O106" s="216">
        <v>0</v>
      </c>
      <c r="P106" s="216">
        <v>0</v>
      </c>
      <c r="Q106" s="216">
        <v>0</v>
      </c>
      <c r="R106" s="216">
        <v>0</v>
      </c>
      <c r="S106" s="216">
        <v>0</v>
      </c>
      <c r="T106" s="216">
        <v>0</v>
      </c>
      <c r="U106" s="216">
        <v>15079</v>
      </c>
      <c r="V106" s="216">
        <v>12076</v>
      </c>
      <c r="W106" s="216">
        <v>7303</v>
      </c>
      <c r="X106" s="216">
        <v>7035</v>
      </c>
      <c r="Y106" s="216">
        <v>75018</v>
      </c>
      <c r="Z106" s="216">
        <v>0</v>
      </c>
      <c r="AA106" s="216">
        <v>0</v>
      </c>
      <c r="AB106" s="216">
        <v>134</v>
      </c>
      <c r="AC106" s="105"/>
    </row>
    <row r="107" spans="1:29" s="20" customFormat="1" x14ac:dyDescent="0.25">
      <c r="A107" s="31">
        <f>'M&amp;R Stations'!A107</f>
        <v>39066</v>
      </c>
      <c r="B107" s="216">
        <v>0</v>
      </c>
      <c r="C107" s="216">
        <v>0</v>
      </c>
      <c r="D107" s="216">
        <v>0</v>
      </c>
      <c r="E107" s="216">
        <v>351</v>
      </c>
      <c r="F107" s="216">
        <v>0</v>
      </c>
      <c r="G107" s="216">
        <v>0</v>
      </c>
      <c r="H107" s="216">
        <v>0</v>
      </c>
      <c r="I107" s="216">
        <v>0</v>
      </c>
      <c r="J107" s="216">
        <v>0</v>
      </c>
      <c r="K107" s="216">
        <v>17115</v>
      </c>
      <c r="L107" s="216">
        <v>0</v>
      </c>
      <c r="M107" s="216">
        <v>0</v>
      </c>
      <c r="N107" s="216">
        <v>34615</v>
      </c>
      <c r="O107" s="216">
        <v>0</v>
      </c>
      <c r="P107" s="216">
        <v>0</v>
      </c>
      <c r="Q107" s="216">
        <v>0</v>
      </c>
      <c r="R107" s="216">
        <v>4840</v>
      </c>
      <c r="S107" s="216">
        <v>0</v>
      </c>
      <c r="T107" s="216">
        <v>7778</v>
      </c>
      <c r="U107" s="216">
        <v>15079</v>
      </c>
      <c r="V107" s="216">
        <v>14536</v>
      </c>
      <c r="W107" s="216">
        <v>7303</v>
      </c>
      <c r="X107" s="216">
        <v>7035</v>
      </c>
      <c r="Y107" s="216">
        <v>75018</v>
      </c>
      <c r="Z107" s="216">
        <v>0</v>
      </c>
      <c r="AA107" s="216">
        <v>0</v>
      </c>
      <c r="AB107" s="216">
        <v>134</v>
      </c>
      <c r="AC107" s="105"/>
    </row>
    <row r="108" spans="1:29" s="20" customFormat="1" x14ac:dyDescent="0.25">
      <c r="A108" s="31">
        <f>'M&amp;R Stations'!A108</f>
        <v>39067</v>
      </c>
      <c r="B108" s="216">
        <v>0</v>
      </c>
      <c r="C108" s="216">
        <v>0</v>
      </c>
      <c r="D108" s="216">
        <v>0</v>
      </c>
      <c r="E108" s="216">
        <v>308</v>
      </c>
      <c r="F108" s="216">
        <v>0</v>
      </c>
      <c r="G108" s="216">
        <v>12975</v>
      </c>
      <c r="H108" s="216">
        <v>0</v>
      </c>
      <c r="I108" s="216">
        <v>0</v>
      </c>
      <c r="J108" s="216">
        <v>0</v>
      </c>
      <c r="K108" s="216">
        <v>17083</v>
      </c>
      <c r="L108" s="216">
        <v>0</v>
      </c>
      <c r="M108" s="216">
        <v>0</v>
      </c>
      <c r="N108" s="216">
        <v>34549</v>
      </c>
      <c r="O108" s="216">
        <v>0</v>
      </c>
      <c r="P108" s="216">
        <v>0</v>
      </c>
      <c r="Q108" s="216">
        <v>0</v>
      </c>
      <c r="R108" s="216">
        <v>4831</v>
      </c>
      <c r="S108" s="216">
        <v>0</v>
      </c>
      <c r="T108" s="216">
        <v>15875</v>
      </c>
      <c r="U108" s="216">
        <v>15050</v>
      </c>
      <c r="V108" s="216">
        <v>14508</v>
      </c>
      <c r="W108" s="216">
        <v>7289</v>
      </c>
      <c r="X108" s="216">
        <v>7021</v>
      </c>
      <c r="Y108" s="216">
        <v>74873</v>
      </c>
      <c r="Z108" s="216">
        <v>0</v>
      </c>
      <c r="AA108" s="216">
        <v>0</v>
      </c>
      <c r="AB108" s="216">
        <v>134</v>
      </c>
      <c r="AC108" s="105"/>
    </row>
    <row r="109" spans="1:29" s="20" customFormat="1" x14ac:dyDescent="0.25">
      <c r="A109" s="31">
        <f>'M&amp;R Stations'!A109</f>
        <v>39068</v>
      </c>
      <c r="B109" s="216">
        <v>0</v>
      </c>
      <c r="C109" s="216">
        <v>0</v>
      </c>
      <c r="D109" s="216">
        <v>0</v>
      </c>
      <c r="E109" s="216">
        <v>0</v>
      </c>
      <c r="F109" s="216">
        <v>0</v>
      </c>
      <c r="G109" s="216">
        <v>0</v>
      </c>
      <c r="H109" s="216">
        <v>0</v>
      </c>
      <c r="I109" s="216">
        <v>0</v>
      </c>
      <c r="J109" s="216">
        <v>0</v>
      </c>
      <c r="K109" s="216">
        <v>16458</v>
      </c>
      <c r="L109" s="216">
        <v>0</v>
      </c>
      <c r="M109" s="216">
        <v>0</v>
      </c>
      <c r="N109" s="216">
        <v>34549</v>
      </c>
      <c r="O109" s="216">
        <v>0</v>
      </c>
      <c r="P109" s="216">
        <v>0</v>
      </c>
      <c r="Q109" s="216">
        <v>0</v>
      </c>
      <c r="R109" s="216">
        <v>3914</v>
      </c>
      <c r="S109" s="216">
        <v>0</v>
      </c>
      <c r="T109" s="216">
        <v>0</v>
      </c>
      <c r="U109" s="216">
        <v>15065</v>
      </c>
      <c r="V109" s="216">
        <v>14522</v>
      </c>
      <c r="W109" s="216">
        <v>7296</v>
      </c>
      <c r="X109" s="216">
        <v>7028</v>
      </c>
      <c r="Y109" s="216">
        <v>74946</v>
      </c>
      <c r="Z109" s="216">
        <v>0</v>
      </c>
      <c r="AA109" s="216">
        <v>0</v>
      </c>
      <c r="AB109" s="216">
        <v>134</v>
      </c>
      <c r="AC109" s="105"/>
    </row>
    <row r="110" spans="1:29" s="20" customFormat="1" x14ac:dyDescent="0.25">
      <c r="A110" s="31">
        <f>'M&amp;R Stations'!A110</f>
        <v>39069</v>
      </c>
      <c r="B110" s="216">
        <v>0</v>
      </c>
      <c r="C110" s="216">
        <v>0</v>
      </c>
      <c r="D110" s="216">
        <v>0</v>
      </c>
      <c r="E110" s="216">
        <v>0</v>
      </c>
      <c r="F110" s="216">
        <v>0</v>
      </c>
      <c r="G110" s="216">
        <v>0</v>
      </c>
      <c r="H110" s="216">
        <v>0</v>
      </c>
      <c r="I110" s="216">
        <v>0</v>
      </c>
      <c r="J110" s="216">
        <v>0</v>
      </c>
      <c r="K110" s="216">
        <v>10948</v>
      </c>
      <c r="L110" s="216">
        <v>0</v>
      </c>
      <c r="M110" s="216">
        <v>0</v>
      </c>
      <c r="N110" s="216">
        <v>34549</v>
      </c>
      <c r="O110" s="216">
        <v>0</v>
      </c>
      <c r="P110" s="216">
        <v>0</v>
      </c>
      <c r="Q110" s="216">
        <v>0</v>
      </c>
      <c r="R110" s="216">
        <v>0</v>
      </c>
      <c r="S110" s="216">
        <v>0</v>
      </c>
      <c r="T110" s="216">
        <v>0</v>
      </c>
      <c r="U110" s="216">
        <v>15094</v>
      </c>
      <c r="V110" s="216">
        <v>14404</v>
      </c>
      <c r="W110" s="216">
        <v>7310</v>
      </c>
      <c r="X110" s="216">
        <v>7042</v>
      </c>
      <c r="Y110" s="216">
        <v>75091</v>
      </c>
      <c r="Z110" s="216">
        <v>0</v>
      </c>
      <c r="AA110" s="216">
        <v>0</v>
      </c>
      <c r="AB110" s="216">
        <v>134</v>
      </c>
      <c r="AC110" s="105"/>
    </row>
    <row r="111" spans="1:29" s="20" customFormat="1" x14ac:dyDescent="0.25">
      <c r="A111" s="31">
        <f>'M&amp;R Stations'!A111</f>
        <v>39070</v>
      </c>
      <c r="B111" s="216">
        <v>0</v>
      </c>
      <c r="C111" s="216">
        <v>4806</v>
      </c>
      <c r="D111" s="216">
        <v>0</v>
      </c>
      <c r="E111" s="216">
        <v>26946</v>
      </c>
      <c r="F111" s="216">
        <v>0</v>
      </c>
      <c r="G111" s="216">
        <v>24719</v>
      </c>
      <c r="H111" s="216">
        <v>0</v>
      </c>
      <c r="I111" s="216">
        <v>0</v>
      </c>
      <c r="J111" s="216">
        <v>0</v>
      </c>
      <c r="K111" s="216">
        <v>17596</v>
      </c>
      <c r="L111" s="216">
        <v>0</v>
      </c>
      <c r="M111" s="216">
        <v>0</v>
      </c>
      <c r="N111" s="216">
        <v>34615</v>
      </c>
      <c r="O111" s="216">
        <v>0</v>
      </c>
      <c r="P111" s="216">
        <v>0</v>
      </c>
      <c r="Q111" s="216">
        <v>0</v>
      </c>
      <c r="R111" s="216">
        <v>4845</v>
      </c>
      <c r="S111" s="216">
        <v>0</v>
      </c>
      <c r="T111" s="216">
        <v>20897</v>
      </c>
      <c r="U111" s="216">
        <v>15094</v>
      </c>
      <c r="V111" s="216">
        <v>14550</v>
      </c>
      <c r="W111" s="216">
        <v>7310</v>
      </c>
      <c r="X111" s="216">
        <v>7042</v>
      </c>
      <c r="Y111" s="216">
        <v>75091</v>
      </c>
      <c r="Z111" s="216">
        <v>0</v>
      </c>
      <c r="AA111" s="216">
        <v>0</v>
      </c>
      <c r="AB111" s="216">
        <v>134</v>
      </c>
      <c r="AC111" s="105"/>
    </row>
    <row r="112" spans="1:29" s="20" customFormat="1" x14ac:dyDescent="0.25">
      <c r="A112" s="31">
        <f>'M&amp;R Stations'!A112</f>
        <v>39071</v>
      </c>
      <c r="B112" s="216">
        <v>0</v>
      </c>
      <c r="C112" s="216">
        <v>4806</v>
      </c>
      <c r="D112" s="216">
        <v>0</v>
      </c>
      <c r="E112" s="216">
        <v>26652</v>
      </c>
      <c r="F112" s="216">
        <v>0</v>
      </c>
      <c r="G112" s="216">
        <v>32208</v>
      </c>
      <c r="H112" s="216">
        <v>0</v>
      </c>
      <c r="I112" s="216">
        <v>0</v>
      </c>
      <c r="J112" s="216">
        <v>0</v>
      </c>
      <c r="K112" s="216">
        <v>17596</v>
      </c>
      <c r="L112" s="216">
        <v>0</v>
      </c>
      <c r="M112" s="216">
        <v>0</v>
      </c>
      <c r="N112" s="216">
        <v>34615</v>
      </c>
      <c r="O112" s="216">
        <v>0</v>
      </c>
      <c r="P112" s="216">
        <v>0</v>
      </c>
      <c r="Q112" s="216">
        <v>0</v>
      </c>
      <c r="R112" s="216">
        <v>4845</v>
      </c>
      <c r="S112" s="216">
        <v>0</v>
      </c>
      <c r="T112" s="216">
        <v>17618</v>
      </c>
      <c r="U112" s="216">
        <v>15094</v>
      </c>
      <c r="V112" s="216">
        <v>14550</v>
      </c>
      <c r="W112" s="216">
        <v>7310</v>
      </c>
      <c r="X112" s="216">
        <v>7042</v>
      </c>
      <c r="Y112" s="216">
        <v>75091</v>
      </c>
      <c r="Z112" s="216">
        <v>0</v>
      </c>
      <c r="AA112" s="216">
        <v>0</v>
      </c>
      <c r="AB112" s="216">
        <v>134</v>
      </c>
      <c r="AC112" s="105"/>
    </row>
    <row r="113" spans="1:29" s="20" customFormat="1" x14ac:dyDescent="0.25">
      <c r="A113" s="31">
        <f>'M&amp;R Stations'!A113</f>
        <v>39072</v>
      </c>
      <c r="B113" s="216">
        <v>0</v>
      </c>
      <c r="C113" s="216">
        <v>4815</v>
      </c>
      <c r="D113" s="216">
        <v>0</v>
      </c>
      <c r="E113" s="216">
        <v>22287</v>
      </c>
      <c r="F113" s="216">
        <v>0</v>
      </c>
      <c r="G113" s="216">
        <v>24767</v>
      </c>
      <c r="H113" s="216">
        <v>0</v>
      </c>
      <c r="I113" s="216">
        <v>0</v>
      </c>
      <c r="J113" s="216">
        <v>0</v>
      </c>
      <c r="K113" s="216">
        <v>18497</v>
      </c>
      <c r="L113" s="216">
        <v>0</v>
      </c>
      <c r="M113" s="216">
        <v>0</v>
      </c>
      <c r="N113" s="216">
        <v>34682</v>
      </c>
      <c r="O113" s="216">
        <v>0</v>
      </c>
      <c r="P113" s="216">
        <v>0</v>
      </c>
      <c r="Q113" s="216">
        <v>0</v>
      </c>
      <c r="R113" s="216">
        <v>0</v>
      </c>
      <c r="S113" s="216">
        <v>0</v>
      </c>
      <c r="T113" s="216">
        <v>0</v>
      </c>
      <c r="U113" s="216">
        <v>15094</v>
      </c>
      <c r="V113" s="216">
        <v>13972</v>
      </c>
      <c r="W113" s="216">
        <v>7310</v>
      </c>
      <c r="X113" s="216">
        <v>7042</v>
      </c>
      <c r="Y113" s="216">
        <v>75091</v>
      </c>
      <c r="Z113" s="216">
        <v>0</v>
      </c>
      <c r="AA113" s="216">
        <v>0</v>
      </c>
      <c r="AB113" s="216">
        <v>134</v>
      </c>
      <c r="AC113" s="105"/>
    </row>
    <row r="114" spans="1:29" s="20" customFormat="1" x14ac:dyDescent="0.25">
      <c r="A114" s="31">
        <f>'M&amp;R Stations'!A114</f>
        <v>39073</v>
      </c>
      <c r="B114" s="216">
        <v>0</v>
      </c>
      <c r="C114" s="216">
        <v>4820</v>
      </c>
      <c r="D114" s="216">
        <v>0</v>
      </c>
      <c r="E114" s="216">
        <v>647</v>
      </c>
      <c r="F114" s="216">
        <v>0</v>
      </c>
      <c r="G114" s="216">
        <v>0</v>
      </c>
      <c r="H114" s="216">
        <v>0</v>
      </c>
      <c r="I114" s="216">
        <v>0</v>
      </c>
      <c r="J114" s="216">
        <v>0</v>
      </c>
      <c r="K114" s="216">
        <v>18515</v>
      </c>
      <c r="L114" s="216">
        <v>0</v>
      </c>
      <c r="M114" s="216">
        <v>0</v>
      </c>
      <c r="N114" s="216">
        <v>34716</v>
      </c>
      <c r="O114" s="216">
        <v>0</v>
      </c>
      <c r="P114" s="216">
        <v>0</v>
      </c>
      <c r="Q114" s="216">
        <v>0</v>
      </c>
      <c r="R114" s="216">
        <v>0</v>
      </c>
      <c r="S114" s="216">
        <v>0</v>
      </c>
      <c r="T114" s="216">
        <v>0</v>
      </c>
      <c r="U114" s="216">
        <v>15094</v>
      </c>
      <c r="V114" s="216">
        <v>10821</v>
      </c>
      <c r="W114" s="216">
        <v>7310</v>
      </c>
      <c r="X114" s="216">
        <v>7042</v>
      </c>
      <c r="Y114" s="216">
        <v>75091</v>
      </c>
      <c r="Z114" s="216">
        <v>0</v>
      </c>
      <c r="AA114" s="216">
        <v>0</v>
      </c>
      <c r="AB114" s="216">
        <v>134</v>
      </c>
      <c r="AC114" s="105"/>
    </row>
    <row r="115" spans="1:29" s="20" customFormat="1" x14ac:dyDescent="0.25">
      <c r="A115" s="31">
        <f>'M&amp;R Stations'!A115</f>
        <v>39074</v>
      </c>
      <c r="B115" s="216">
        <v>0</v>
      </c>
      <c r="C115" s="216">
        <v>4810</v>
      </c>
      <c r="D115" s="216">
        <v>0</v>
      </c>
      <c r="E115" s="216">
        <v>0</v>
      </c>
      <c r="F115" s="216">
        <v>0</v>
      </c>
      <c r="G115" s="216">
        <v>0</v>
      </c>
      <c r="H115" s="216">
        <v>0</v>
      </c>
      <c r="I115" s="216">
        <v>0</v>
      </c>
      <c r="J115" s="216">
        <v>0</v>
      </c>
      <c r="K115" s="216">
        <v>2628</v>
      </c>
      <c r="L115" s="216">
        <v>0</v>
      </c>
      <c r="M115" s="216">
        <v>0</v>
      </c>
      <c r="N115" s="216">
        <v>34649</v>
      </c>
      <c r="O115" s="216">
        <v>0</v>
      </c>
      <c r="P115" s="216">
        <v>0</v>
      </c>
      <c r="Q115" s="216">
        <v>0</v>
      </c>
      <c r="R115" s="216">
        <v>0</v>
      </c>
      <c r="S115" s="216">
        <v>0</v>
      </c>
      <c r="T115" s="216">
        <v>0</v>
      </c>
      <c r="U115" s="216">
        <v>15094</v>
      </c>
      <c r="V115" s="216">
        <v>12124</v>
      </c>
      <c r="W115" s="216">
        <v>7310</v>
      </c>
      <c r="X115" s="216">
        <v>7042</v>
      </c>
      <c r="Y115" s="216">
        <v>75091</v>
      </c>
      <c r="Z115" s="216">
        <v>0</v>
      </c>
      <c r="AA115" s="216">
        <v>0</v>
      </c>
      <c r="AB115" s="216">
        <v>134</v>
      </c>
      <c r="AC115" s="105"/>
    </row>
    <row r="116" spans="1:29" s="20" customFormat="1" x14ac:dyDescent="0.25">
      <c r="A116" s="31">
        <f>'M&amp;R Stations'!A116</f>
        <v>39075</v>
      </c>
      <c r="B116" s="216">
        <v>0</v>
      </c>
      <c r="C116" s="216">
        <v>4797</v>
      </c>
      <c r="D116" s="216">
        <v>0</v>
      </c>
      <c r="E116" s="216">
        <v>22506</v>
      </c>
      <c r="F116" s="216">
        <v>0</v>
      </c>
      <c r="G116" s="216">
        <v>0</v>
      </c>
      <c r="H116" s="216">
        <v>0</v>
      </c>
      <c r="I116" s="216">
        <v>0</v>
      </c>
      <c r="J116" s="216">
        <v>0</v>
      </c>
      <c r="K116" s="216">
        <v>18426</v>
      </c>
      <c r="L116" s="216">
        <v>0</v>
      </c>
      <c r="M116" s="216">
        <v>0</v>
      </c>
      <c r="N116" s="216">
        <v>34549</v>
      </c>
      <c r="O116" s="216">
        <v>0</v>
      </c>
      <c r="P116" s="216">
        <v>0</v>
      </c>
      <c r="Q116" s="216">
        <v>0</v>
      </c>
      <c r="R116" s="216">
        <v>0</v>
      </c>
      <c r="S116" s="216">
        <v>0</v>
      </c>
      <c r="T116" s="216">
        <v>0</v>
      </c>
      <c r="U116" s="216">
        <v>15094</v>
      </c>
      <c r="V116" s="216">
        <v>14496</v>
      </c>
      <c r="W116" s="216">
        <v>7310</v>
      </c>
      <c r="X116" s="216">
        <v>7042</v>
      </c>
      <c r="Y116" s="216">
        <v>75091</v>
      </c>
      <c r="Z116" s="216">
        <v>0</v>
      </c>
      <c r="AA116" s="216">
        <v>0</v>
      </c>
      <c r="AB116" s="216">
        <v>134</v>
      </c>
      <c r="AC116" s="105"/>
    </row>
    <row r="117" spans="1:29" s="20" customFormat="1" x14ac:dyDescent="0.25">
      <c r="A117" s="31">
        <f>'M&amp;R Stations'!A117</f>
        <v>39076</v>
      </c>
      <c r="B117" s="216">
        <v>0</v>
      </c>
      <c r="C117" s="216">
        <v>4797</v>
      </c>
      <c r="D117" s="216">
        <v>0</v>
      </c>
      <c r="E117" s="216">
        <v>17378</v>
      </c>
      <c r="F117" s="216">
        <v>0</v>
      </c>
      <c r="G117" s="216">
        <v>0</v>
      </c>
      <c r="H117" s="216">
        <v>0</v>
      </c>
      <c r="I117" s="216">
        <v>0</v>
      </c>
      <c r="J117" s="216">
        <v>0</v>
      </c>
      <c r="K117" s="216">
        <v>18426</v>
      </c>
      <c r="L117" s="216">
        <v>0</v>
      </c>
      <c r="M117" s="216">
        <v>0</v>
      </c>
      <c r="N117" s="216">
        <v>34549</v>
      </c>
      <c r="O117" s="216">
        <v>0</v>
      </c>
      <c r="P117" s="216">
        <v>0</v>
      </c>
      <c r="Q117" s="216">
        <v>0</v>
      </c>
      <c r="R117" s="216">
        <v>1788</v>
      </c>
      <c r="S117" s="216">
        <v>0</v>
      </c>
      <c r="T117" s="216">
        <v>0</v>
      </c>
      <c r="U117" s="216">
        <v>15094</v>
      </c>
      <c r="V117" s="216">
        <v>14550</v>
      </c>
      <c r="W117" s="216">
        <v>7310</v>
      </c>
      <c r="X117" s="216">
        <v>7042</v>
      </c>
      <c r="Y117" s="216">
        <v>75091</v>
      </c>
      <c r="Z117" s="216">
        <v>0</v>
      </c>
      <c r="AA117" s="216">
        <v>0</v>
      </c>
      <c r="AB117" s="216">
        <v>134</v>
      </c>
      <c r="AC117" s="105"/>
    </row>
    <row r="118" spans="1:29" s="20" customFormat="1" x14ac:dyDescent="0.25">
      <c r="A118" s="31">
        <f>'M&amp;R Stations'!A118</f>
        <v>39077</v>
      </c>
      <c r="B118" s="216">
        <v>0</v>
      </c>
      <c r="C118" s="216">
        <v>4797</v>
      </c>
      <c r="D118" s="216">
        <v>0</v>
      </c>
      <c r="E118" s="216">
        <v>0</v>
      </c>
      <c r="F118" s="216">
        <v>0</v>
      </c>
      <c r="G118" s="216">
        <v>24672</v>
      </c>
      <c r="H118" s="216">
        <v>0</v>
      </c>
      <c r="I118" s="216">
        <v>0</v>
      </c>
      <c r="J118" s="216">
        <v>0</v>
      </c>
      <c r="K118" s="216">
        <v>14084</v>
      </c>
      <c r="L118" s="216">
        <v>0</v>
      </c>
      <c r="M118" s="216">
        <v>0</v>
      </c>
      <c r="N118" s="216">
        <v>34549</v>
      </c>
      <c r="O118" s="216">
        <v>0</v>
      </c>
      <c r="P118" s="216">
        <v>0</v>
      </c>
      <c r="Q118" s="216">
        <v>0</v>
      </c>
      <c r="R118" s="216">
        <v>0</v>
      </c>
      <c r="S118" s="216">
        <v>0</v>
      </c>
      <c r="T118" s="216">
        <v>0</v>
      </c>
      <c r="U118" s="216">
        <v>15123</v>
      </c>
      <c r="V118" s="216">
        <v>14579</v>
      </c>
      <c r="W118" s="216">
        <v>7324</v>
      </c>
      <c r="X118" s="216">
        <v>7055</v>
      </c>
      <c r="Y118" s="216">
        <v>75237</v>
      </c>
      <c r="Z118" s="216">
        <v>0</v>
      </c>
      <c r="AA118" s="216">
        <v>0</v>
      </c>
      <c r="AB118" s="216">
        <v>134</v>
      </c>
      <c r="AC118" s="105"/>
    </row>
    <row r="119" spans="1:29" s="20" customFormat="1" x14ac:dyDescent="0.25">
      <c r="A119" s="31">
        <f>'M&amp;R Stations'!A119</f>
        <v>39078</v>
      </c>
      <c r="B119" s="216">
        <v>0</v>
      </c>
      <c r="C119" s="216">
        <v>4787</v>
      </c>
      <c r="D119" s="216">
        <v>0</v>
      </c>
      <c r="E119" s="216">
        <v>35311</v>
      </c>
      <c r="F119" s="216">
        <v>0</v>
      </c>
      <c r="G119" s="216">
        <v>24625</v>
      </c>
      <c r="H119" s="216">
        <v>0</v>
      </c>
      <c r="I119" s="216">
        <v>0</v>
      </c>
      <c r="J119" s="216">
        <v>0</v>
      </c>
      <c r="K119" s="216">
        <v>19968</v>
      </c>
      <c r="L119" s="216">
        <v>0</v>
      </c>
      <c r="M119" s="216">
        <v>0</v>
      </c>
      <c r="N119" s="216">
        <v>34483</v>
      </c>
      <c r="O119" s="216">
        <v>0</v>
      </c>
      <c r="P119" s="216">
        <v>0</v>
      </c>
      <c r="Q119" s="216">
        <v>0</v>
      </c>
      <c r="R119" s="216">
        <v>4864</v>
      </c>
      <c r="S119" s="216">
        <v>0</v>
      </c>
      <c r="T119" s="216">
        <v>27134</v>
      </c>
      <c r="U119" s="216">
        <v>15152</v>
      </c>
      <c r="V119" s="216">
        <v>14607</v>
      </c>
      <c r="W119" s="216">
        <v>7339</v>
      </c>
      <c r="X119" s="216">
        <v>7069</v>
      </c>
      <c r="Y119" s="216">
        <v>75383</v>
      </c>
      <c r="Z119" s="216">
        <v>0</v>
      </c>
      <c r="AA119" s="216">
        <v>0</v>
      </c>
      <c r="AB119" s="216">
        <v>135</v>
      </c>
      <c r="AC119" s="105"/>
    </row>
    <row r="120" spans="1:29" s="20" customFormat="1" x14ac:dyDescent="0.25">
      <c r="A120" s="31">
        <f>'M&amp;R Stations'!A120</f>
        <v>39079</v>
      </c>
      <c r="B120" s="216">
        <v>0</v>
      </c>
      <c r="C120" s="216">
        <v>4792</v>
      </c>
      <c r="D120" s="216">
        <v>0</v>
      </c>
      <c r="E120" s="216">
        <v>25935</v>
      </c>
      <c r="F120" s="216">
        <v>0</v>
      </c>
      <c r="G120" s="216">
        <v>24648</v>
      </c>
      <c r="H120" s="216">
        <v>0</v>
      </c>
      <c r="I120" s="216">
        <v>0</v>
      </c>
      <c r="J120" s="216">
        <v>0</v>
      </c>
      <c r="K120" s="216">
        <v>19988</v>
      </c>
      <c r="L120" s="216">
        <v>0</v>
      </c>
      <c r="M120" s="216">
        <v>0</v>
      </c>
      <c r="N120" s="216">
        <v>34516</v>
      </c>
      <c r="O120" s="216">
        <v>0</v>
      </c>
      <c r="P120" s="216">
        <v>0</v>
      </c>
      <c r="Q120" s="216">
        <v>0</v>
      </c>
      <c r="R120" s="216">
        <v>119</v>
      </c>
      <c r="S120" s="216">
        <v>0</v>
      </c>
      <c r="T120" s="216">
        <v>0</v>
      </c>
      <c r="U120" s="216">
        <v>15152</v>
      </c>
      <c r="V120" s="216">
        <v>14607</v>
      </c>
      <c r="W120" s="216">
        <v>7339</v>
      </c>
      <c r="X120" s="216">
        <v>7069</v>
      </c>
      <c r="Y120" s="216">
        <v>75383</v>
      </c>
      <c r="Z120" s="216">
        <v>0</v>
      </c>
      <c r="AA120" s="216">
        <v>0</v>
      </c>
      <c r="AB120" s="216">
        <v>135</v>
      </c>
      <c r="AC120" s="105"/>
    </row>
    <row r="121" spans="1:29" s="20" customFormat="1" x14ac:dyDescent="0.25">
      <c r="A121" s="31">
        <f>'M&amp;R Stations'!A121</f>
        <v>39080</v>
      </c>
      <c r="B121" s="216">
        <v>0</v>
      </c>
      <c r="C121" s="216">
        <v>4806</v>
      </c>
      <c r="D121" s="216">
        <v>0</v>
      </c>
      <c r="E121" s="216">
        <v>34841</v>
      </c>
      <c r="F121" s="216">
        <v>0</v>
      </c>
      <c r="G121" s="216">
        <v>0</v>
      </c>
      <c r="H121" s="216">
        <v>0</v>
      </c>
      <c r="I121" s="216">
        <v>0</v>
      </c>
      <c r="J121" s="216">
        <v>0</v>
      </c>
      <c r="K121" s="216">
        <v>20045</v>
      </c>
      <c r="L121" s="216">
        <v>0</v>
      </c>
      <c r="M121" s="216">
        <v>0</v>
      </c>
      <c r="N121" s="216">
        <v>34615</v>
      </c>
      <c r="O121" s="216">
        <v>0</v>
      </c>
      <c r="P121" s="216">
        <v>0</v>
      </c>
      <c r="Q121" s="216">
        <v>0</v>
      </c>
      <c r="R121" s="216">
        <v>0</v>
      </c>
      <c r="S121" s="216">
        <v>0</v>
      </c>
      <c r="T121" s="216">
        <v>0</v>
      </c>
      <c r="U121" s="216">
        <v>15152</v>
      </c>
      <c r="V121" s="216">
        <v>13827</v>
      </c>
      <c r="W121" s="216">
        <v>7339</v>
      </c>
      <c r="X121" s="216">
        <v>7069</v>
      </c>
      <c r="Y121" s="216">
        <v>76168</v>
      </c>
      <c r="Z121" s="216">
        <v>0</v>
      </c>
      <c r="AA121" s="216">
        <v>0</v>
      </c>
      <c r="AB121" s="216">
        <v>135</v>
      </c>
      <c r="AC121" s="105"/>
    </row>
    <row r="122" spans="1:29" s="20" customFormat="1" x14ac:dyDescent="0.25">
      <c r="A122" s="31">
        <f>'M&amp;R Stations'!A122</f>
        <v>39081</v>
      </c>
      <c r="B122" s="216">
        <v>0</v>
      </c>
      <c r="C122" s="216">
        <v>4806</v>
      </c>
      <c r="D122" s="216">
        <v>0</v>
      </c>
      <c r="E122" s="216">
        <v>28077</v>
      </c>
      <c r="F122" s="216">
        <v>0</v>
      </c>
      <c r="G122" s="216">
        <v>13000</v>
      </c>
      <c r="H122" s="216">
        <v>0</v>
      </c>
      <c r="I122" s="216">
        <v>0</v>
      </c>
      <c r="J122" s="216">
        <v>0</v>
      </c>
      <c r="K122" s="216">
        <v>20045</v>
      </c>
      <c r="L122" s="216">
        <v>0</v>
      </c>
      <c r="M122" s="216">
        <v>0</v>
      </c>
      <c r="N122" s="216">
        <v>34615</v>
      </c>
      <c r="O122" s="216">
        <v>0</v>
      </c>
      <c r="P122" s="216">
        <v>0</v>
      </c>
      <c r="Q122" s="216">
        <v>0</v>
      </c>
      <c r="R122" s="216">
        <v>0</v>
      </c>
      <c r="S122" s="216">
        <v>0</v>
      </c>
      <c r="T122" s="216">
        <v>0</v>
      </c>
      <c r="U122" s="216">
        <v>15123</v>
      </c>
      <c r="V122" s="216">
        <v>14528</v>
      </c>
      <c r="W122" s="216">
        <v>7324</v>
      </c>
      <c r="X122" s="216">
        <v>7055</v>
      </c>
      <c r="Y122" s="216">
        <v>76020</v>
      </c>
      <c r="Z122" s="216">
        <v>0</v>
      </c>
      <c r="AA122" s="216">
        <v>0</v>
      </c>
      <c r="AB122" s="216">
        <v>134</v>
      </c>
      <c r="AC122" s="105"/>
    </row>
    <row r="123" spans="1:29" s="20" customFormat="1" x14ac:dyDescent="0.25">
      <c r="A123" s="31">
        <f>'M&amp;R Stations'!A123</f>
        <v>39082</v>
      </c>
      <c r="B123" s="216">
        <v>0</v>
      </c>
      <c r="C123" s="216">
        <v>4806</v>
      </c>
      <c r="D123" s="216">
        <v>0</v>
      </c>
      <c r="E123" s="216">
        <v>14768</v>
      </c>
      <c r="F123" s="216">
        <v>0</v>
      </c>
      <c r="G123" s="216">
        <v>13000</v>
      </c>
      <c r="H123" s="216">
        <v>0</v>
      </c>
      <c r="I123" s="216">
        <v>0</v>
      </c>
      <c r="J123" s="216">
        <v>0</v>
      </c>
      <c r="K123" s="216">
        <v>20045</v>
      </c>
      <c r="L123" s="216">
        <v>0</v>
      </c>
      <c r="M123" s="216">
        <v>0</v>
      </c>
      <c r="N123" s="216">
        <v>34615</v>
      </c>
      <c r="O123" s="216">
        <v>0</v>
      </c>
      <c r="P123" s="216">
        <v>0</v>
      </c>
      <c r="Q123" s="216">
        <v>0</v>
      </c>
      <c r="R123" s="216">
        <v>0</v>
      </c>
      <c r="S123" s="216">
        <v>0</v>
      </c>
      <c r="T123" s="216">
        <v>0</v>
      </c>
      <c r="U123" s="216">
        <v>15123</v>
      </c>
      <c r="V123" s="216">
        <v>14364</v>
      </c>
      <c r="W123" s="216">
        <v>7324</v>
      </c>
      <c r="X123" s="216">
        <v>7055</v>
      </c>
      <c r="Y123" s="216">
        <v>76020</v>
      </c>
      <c r="Z123" s="216">
        <v>0</v>
      </c>
      <c r="AA123" s="216">
        <v>0</v>
      </c>
      <c r="AB123" s="216">
        <v>134</v>
      </c>
      <c r="AC123" s="105"/>
    </row>
    <row r="124" spans="1:29" s="20" customFormat="1" x14ac:dyDescent="0.25">
      <c r="A124" s="31">
        <f>'M&amp;R Stations'!A124</f>
        <v>39083</v>
      </c>
      <c r="B124" s="216">
        <v>0</v>
      </c>
      <c r="C124" s="216">
        <v>4806</v>
      </c>
      <c r="D124" s="216">
        <v>0</v>
      </c>
      <c r="E124" s="216">
        <v>0</v>
      </c>
      <c r="F124" s="216">
        <v>0</v>
      </c>
      <c r="G124" s="216">
        <v>28197</v>
      </c>
      <c r="H124" s="216">
        <v>0</v>
      </c>
      <c r="I124" s="216">
        <v>0</v>
      </c>
      <c r="J124" s="216">
        <v>0</v>
      </c>
      <c r="K124" s="216">
        <v>577</v>
      </c>
      <c r="L124" s="216">
        <v>0</v>
      </c>
      <c r="M124" s="216">
        <v>0</v>
      </c>
      <c r="N124" s="216">
        <v>34615</v>
      </c>
      <c r="O124" s="216">
        <v>0</v>
      </c>
      <c r="P124" s="216">
        <v>0</v>
      </c>
      <c r="Q124" s="216">
        <v>0</v>
      </c>
      <c r="R124" s="216">
        <v>0</v>
      </c>
      <c r="S124" s="216">
        <v>0</v>
      </c>
      <c r="T124" s="216">
        <v>0</v>
      </c>
      <c r="U124" s="216">
        <v>15123</v>
      </c>
      <c r="V124" s="216">
        <v>0</v>
      </c>
      <c r="W124" s="216">
        <v>7324</v>
      </c>
      <c r="X124" s="216">
        <v>3935</v>
      </c>
      <c r="Y124" s="216">
        <v>90193</v>
      </c>
      <c r="Z124" s="216">
        <v>0</v>
      </c>
      <c r="AA124" s="216">
        <v>0</v>
      </c>
      <c r="AB124" s="216">
        <v>134</v>
      </c>
      <c r="AC124" s="105"/>
    </row>
    <row r="125" spans="1:29" s="20" customFormat="1" x14ac:dyDescent="0.25">
      <c r="A125" s="31">
        <f>'M&amp;R Stations'!A125</f>
        <v>39084</v>
      </c>
      <c r="B125" s="216">
        <v>0</v>
      </c>
      <c r="C125" s="216">
        <v>4806</v>
      </c>
      <c r="D125" s="216">
        <v>0</v>
      </c>
      <c r="E125" s="216">
        <v>0</v>
      </c>
      <c r="F125" s="216">
        <v>0</v>
      </c>
      <c r="G125" s="216">
        <v>28197</v>
      </c>
      <c r="H125" s="216">
        <v>0</v>
      </c>
      <c r="I125" s="216">
        <v>0</v>
      </c>
      <c r="J125" s="216">
        <v>0</v>
      </c>
      <c r="K125" s="216">
        <v>736</v>
      </c>
      <c r="L125" s="216">
        <v>0</v>
      </c>
      <c r="M125" s="216">
        <v>0</v>
      </c>
      <c r="N125" s="216">
        <v>34615</v>
      </c>
      <c r="O125" s="216">
        <v>0</v>
      </c>
      <c r="P125" s="216">
        <v>0</v>
      </c>
      <c r="Q125" s="216">
        <v>0</v>
      </c>
      <c r="R125" s="216">
        <v>4854</v>
      </c>
      <c r="S125" s="216">
        <v>0</v>
      </c>
      <c r="T125" s="216">
        <v>29126</v>
      </c>
      <c r="U125" s="216">
        <v>15123</v>
      </c>
      <c r="V125" s="216">
        <v>29544</v>
      </c>
      <c r="W125" s="216">
        <v>7324</v>
      </c>
      <c r="X125" s="216">
        <v>8966</v>
      </c>
      <c r="Y125" s="216">
        <v>90193</v>
      </c>
      <c r="Z125" s="216">
        <v>0</v>
      </c>
      <c r="AA125" s="216">
        <v>0</v>
      </c>
      <c r="AB125" s="216">
        <v>134</v>
      </c>
      <c r="AC125" s="105"/>
    </row>
    <row r="126" spans="1:29" s="20" customFormat="1" x14ac:dyDescent="0.25">
      <c r="A126" s="31">
        <f>'M&amp;R Stations'!A126</f>
        <v>39085</v>
      </c>
      <c r="B126" s="216">
        <v>0</v>
      </c>
      <c r="C126" s="216">
        <v>4797</v>
      </c>
      <c r="D126" s="216">
        <v>0</v>
      </c>
      <c r="E126" s="216">
        <v>633</v>
      </c>
      <c r="F126" s="216">
        <v>0</v>
      </c>
      <c r="G126" s="216">
        <v>28143</v>
      </c>
      <c r="H126" s="216">
        <v>0</v>
      </c>
      <c r="I126" s="216">
        <v>0</v>
      </c>
      <c r="J126" s="216">
        <v>0</v>
      </c>
      <c r="K126" s="216">
        <v>20007</v>
      </c>
      <c r="L126" s="216">
        <v>0</v>
      </c>
      <c r="M126" s="216">
        <v>0</v>
      </c>
      <c r="N126" s="216">
        <v>34549</v>
      </c>
      <c r="O126" s="216">
        <v>0</v>
      </c>
      <c r="P126" s="216">
        <v>0</v>
      </c>
      <c r="Q126" s="216">
        <v>0</v>
      </c>
      <c r="R126" s="216">
        <v>4854</v>
      </c>
      <c r="S126" s="216">
        <v>0</v>
      </c>
      <c r="T126" s="216">
        <v>24718</v>
      </c>
      <c r="U126" s="216">
        <v>15123</v>
      </c>
      <c r="V126" s="216">
        <v>14579</v>
      </c>
      <c r="W126" s="216">
        <v>7324</v>
      </c>
      <c r="X126" s="216">
        <v>7056</v>
      </c>
      <c r="Y126" s="216">
        <v>65921</v>
      </c>
      <c r="Z126" s="216">
        <v>0</v>
      </c>
      <c r="AA126" s="216">
        <v>0</v>
      </c>
      <c r="AB126" s="216">
        <v>134</v>
      </c>
      <c r="AC126" s="105"/>
    </row>
    <row r="127" spans="1:29" s="20" customFormat="1" x14ac:dyDescent="0.25">
      <c r="A127" s="31">
        <f>'M&amp;R Stations'!A127</f>
        <v>39086</v>
      </c>
      <c r="B127" s="216">
        <v>0</v>
      </c>
      <c r="C127" s="216">
        <v>4792</v>
      </c>
      <c r="D127" s="216">
        <v>0</v>
      </c>
      <c r="E127" s="216">
        <v>0</v>
      </c>
      <c r="F127" s="216">
        <v>0</v>
      </c>
      <c r="G127" s="216">
        <v>24648</v>
      </c>
      <c r="H127" s="216">
        <v>0</v>
      </c>
      <c r="I127" s="216">
        <v>0</v>
      </c>
      <c r="J127" s="216">
        <v>0</v>
      </c>
      <c r="K127" s="216">
        <v>733</v>
      </c>
      <c r="L127" s="216">
        <v>0</v>
      </c>
      <c r="M127" s="216">
        <v>0</v>
      </c>
      <c r="N127" s="216">
        <v>34516</v>
      </c>
      <c r="O127" s="216">
        <v>0</v>
      </c>
      <c r="P127" s="216">
        <v>0</v>
      </c>
      <c r="Q127" s="216">
        <v>0</v>
      </c>
      <c r="R127" s="216">
        <v>0</v>
      </c>
      <c r="S127" s="216">
        <v>0</v>
      </c>
      <c r="T127" s="216">
        <v>0</v>
      </c>
      <c r="U127" s="216">
        <v>15079</v>
      </c>
      <c r="V127" s="216">
        <v>1993</v>
      </c>
      <c r="W127" s="216">
        <v>7303</v>
      </c>
      <c r="X127" s="216">
        <v>7036</v>
      </c>
      <c r="Y127" s="216">
        <v>65730</v>
      </c>
      <c r="Z127" s="216">
        <v>0</v>
      </c>
      <c r="AA127" s="216">
        <v>0</v>
      </c>
      <c r="AB127" s="216">
        <v>134</v>
      </c>
      <c r="AC127" s="105"/>
    </row>
    <row r="128" spans="1:29" s="20" customFormat="1" x14ac:dyDescent="0.25">
      <c r="A128" s="31">
        <f>'M&amp;R Stations'!A128</f>
        <v>39087</v>
      </c>
      <c r="B128" s="216">
        <v>0</v>
      </c>
      <c r="C128" s="216">
        <v>0</v>
      </c>
      <c r="D128" s="216">
        <v>4027</v>
      </c>
      <c r="E128" s="216">
        <v>0</v>
      </c>
      <c r="F128" s="216">
        <v>0</v>
      </c>
      <c r="G128" s="216">
        <v>0</v>
      </c>
      <c r="H128" s="216">
        <v>0</v>
      </c>
      <c r="I128" s="216">
        <v>0</v>
      </c>
      <c r="J128" s="216">
        <v>12138</v>
      </c>
      <c r="K128" s="216">
        <v>0</v>
      </c>
      <c r="L128" s="216">
        <v>0</v>
      </c>
      <c r="M128" s="216">
        <v>0</v>
      </c>
      <c r="N128" s="216">
        <v>34516</v>
      </c>
      <c r="O128" s="216">
        <v>0</v>
      </c>
      <c r="P128" s="216">
        <v>140</v>
      </c>
      <c r="Q128" s="216">
        <v>0</v>
      </c>
      <c r="R128" s="216">
        <v>0</v>
      </c>
      <c r="S128" s="216">
        <v>7947</v>
      </c>
      <c r="T128" s="216">
        <v>0</v>
      </c>
      <c r="U128" s="216">
        <v>14978</v>
      </c>
      <c r="V128" s="216">
        <v>0</v>
      </c>
      <c r="W128" s="216">
        <v>7254</v>
      </c>
      <c r="X128" s="216">
        <v>0</v>
      </c>
      <c r="Y128" s="216">
        <v>65288</v>
      </c>
      <c r="Z128" s="216">
        <v>0</v>
      </c>
      <c r="AA128" s="216">
        <v>0</v>
      </c>
      <c r="AB128" s="216">
        <v>436</v>
      </c>
      <c r="AC128" s="105"/>
    </row>
    <row r="129" spans="1:29" s="20" customFormat="1" x14ac:dyDescent="0.25">
      <c r="A129" s="31">
        <f>'M&amp;R Stations'!A129</f>
        <v>39088</v>
      </c>
      <c r="B129" s="216">
        <v>0</v>
      </c>
      <c r="C129" s="216">
        <v>0</v>
      </c>
      <c r="D129" s="216">
        <v>0</v>
      </c>
      <c r="E129" s="216">
        <v>0</v>
      </c>
      <c r="F129" s="216">
        <v>7261</v>
      </c>
      <c r="G129" s="216">
        <v>0</v>
      </c>
      <c r="H129" s="216">
        <v>0</v>
      </c>
      <c r="I129" s="216">
        <v>0</v>
      </c>
      <c r="J129" s="216">
        <v>1888</v>
      </c>
      <c r="K129" s="216">
        <v>0</v>
      </c>
      <c r="L129" s="216">
        <v>0</v>
      </c>
      <c r="M129" s="216">
        <v>0</v>
      </c>
      <c r="N129" s="216">
        <v>34516</v>
      </c>
      <c r="O129" s="216">
        <v>0</v>
      </c>
      <c r="P129" s="216">
        <v>256</v>
      </c>
      <c r="Q129" s="216">
        <v>0</v>
      </c>
      <c r="R129" s="216">
        <v>0</v>
      </c>
      <c r="S129" s="216">
        <v>11601</v>
      </c>
      <c r="T129" s="216">
        <v>0</v>
      </c>
      <c r="U129" s="216">
        <v>15108</v>
      </c>
      <c r="V129" s="216">
        <v>0</v>
      </c>
      <c r="W129" s="216">
        <v>7317</v>
      </c>
      <c r="X129" s="216">
        <v>0</v>
      </c>
      <c r="Y129" s="216">
        <v>65857</v>
      </c>
      <c r="Z129" s="216">
        <v>0</v>
      </c>
      <c r="AA129" s="216">
        <v>0</v>
      </c>
      <c r="AB129" s="216">
        <v>576</v>
      </c>
      <c r="AC129" s="105"/>
    </row>
    <row r="130" spans="1:29" s="20" customFormat="1" x14ac:dyDescent="0.25">
      <c r="A130" s="31">
        <f>'M&amp;R Stations'!A130</f>
        <v>39089</v>
      </c>
      <c r="B130" s="216">
        <v>0</v>
      </c>
      <c r="C130" s="216">
        <v>4797</v>
      </c>
      <c r="D130" s="216">
        <v>0</v>
      </c>
      <c r="E130" s="216">
        <v>0</v>
      </c>
      <c r="F130" s="216">
        <v>0</v>
      </c>
      <c r="G130" s="216">
        <v>0</v>
      </c>
      <c r="H130" s="216">
        <v>0</v>
      </c>
      <c r="I130" s="216">
        <v>0</v>
      </c>
      <c r="J130" s="216">
        <v>0</v>
      </c>
      <c r="K130" s="216">
        <v>16890</v>
      </c>
      <c r="L130" s="216">
        <v>0</v>
      </c>
      <c r="M130" s="216">
        <v>0</v>
      </c>
      <c r="N130" s="216">
        <v>34549</v>
      </c>
      <c r="O130" s="216">
        <v>0</v>
      </c>
      <c r="P130" s="216">
        <v>0</v>
      </c>
      <c r="Q130" s="216">
        <v>0</v>
      </c>
      <c r="R130" s="216">
        <v>0</v>
      </c>
      <c r="S130" s="216">
        <v>0</v>
      </c>
      <c r="T130" s="216">
        <v>0</v>
      </c>
      <c r="U130" s="216">
        <v>15123</v>
      </c>
      <c r="V130" s="216">
        <v>13680</v>
      </c>
      <c r="W130" s="216">
        <v>7324</v>
      </c>
      <c r="X130" s="216">
        <v>7056</v>
      </c>
      <c r="Y130" s="216">
        <v>65921</v>
      </c>
      <c r="Z130" s="216">
        <v>0</v>
      </c>
      <c r="AA130" s="216">
        <v>0</v>
      </c>
      <c r="AB130" s="216">
        <v>134</v>
      </c>
      <c r="AC130" s="105"/>
    </row>
    <row r="131" spans="1:29" s="20" customFormat="1" x14ac:dyDescent="0.25">
      <c r="A131" s="31">
        <f>'M&amp;R Stations'!A131</f>
        <v>39090</v>
      </c>
      <c r="B131" s="216">
        <v>0</v>
      </c>
      <c r="C131" s="216">
        <v>4792</v>
      </c>
      <c r="D131" s="216">
        <v>0</v>
      </c>
      <c r="E131" s="216">
        <v>531</v>
      </c>
      <c r="F131" s="216">
        <v>0</v>
      </c>
      <c r="G131" s="216">
        <v>28116</v>
      </c>
      <c r="H131" s="216">
        <v>0</v>
      </c>
      <c r="I131" s="216">
        <v>0</v>
      </c>
      <c r="J131" s="216">
        <v>0</v>
      </c>
      <c r="K131" s="216">
        <v>19988</v>
      </c>
      <c r="L131" s="216">
        <v>0</v>
      </c>
      <c r="M131" s="216">
        <v>0</v>
      </c>
      <c r="N131" s="216">
        <v>34516</v>
      </c>
      <c r="O131" s="216">
        <v>0</v>
      </c>
      <c r="P131" s="216">
        <v>0</v>
      </c>
      <c r="Q131" s="216">
        <v>0</v>
      </c>
      <c r="R131" s="216">
        <v>4859</v>
      </c>
      <c r="S131" s="216">
        <v>0</v>
      </c>
      <c r="T131" s="216">
        <v>29155</v>
      </c>
      <c r="U131" s="216">
        <v>15138</v>
      </c>
      <c r="V131" s="216">
        <v>21888</v>
      </c>
      <c r="W131" s="216">
        <v>7331</v>
      </c>
      <c r="X131" s="216">
        <v>8975</v>
      </c>
      <c r="Y131" s="216">
        <v>65985</v>
      </c>
      <c r="Z131" s="216">
        <v>0</v>
      </c>
      <c r="AA131" s="216">
        <v>0</v>
      </c>
      <c r="AB131" s="216">
        <v>134</v>
      </c>
      <c r="AC131" s="105"/>
    </row>
    <row r="132" spans="1:29" s="20" customFormat="1" x14ac:dyDescent="0.25">
      <c r="A132" s="31">
        <f>'M&amp;R Stations'!A132</f>
        <v>39091</v>
      </c>
      <c r="B132" s="216">
        <v>0</v>
      </c>
      <c r="C132" s="216">
        <v>4824</v>
      </c>
      <c r="D132" s="216">
        <v>0</v>
      </c>
      <c r="E132" s="216">
        <v>24455</v>
      </c>
      <c r="F132" s="216">
        <v>0</v>
      </c>
      <c r="G132" s="216">
        <v>32332</v>
      </c>
      <c r="H132" s="216">
        <v>0</v>
      </c>
      <c r="I132" s="216">
        <v>0</v>
      </c>
      <c r="J132" s="216">
        <v>0</v>
      </c>
      <c r="K132" s="216">
        <v>20123</v>
      </c>
      <c r="L132" s="216">
        <v>0</v>
      </c>
      <c r="M132" s="216">
        <v>0</v>
      </c>
      <c r="N132" s="216">
        <v>34749</v>
      </c>
      <c r="O132" s="216">
        <v>0</v>
      </c>
      <c r="P132" s="216">
        <v>0</v>
      </c>
      <c r="Q132" s="216">
        <v>0</v>
      </c>
      <c r="R132" s="216">
        <v>4812</v>
      </c>
      <c r="S132" s="216">
        <v>0</v>
      </c>
      <c r="T132" s="216">
        <v>28874</v>
      </c>
      <c r="U132" s="216">
        <v>14992</v>
      </c>
      <c r="V132" s="216">
        <v>33702</v>
      </c>
      <c r="W132" s="216">
        <v>7261</v>
      </c>
      <c r="X132" s="216">
        <v>15321</v>
      </c>
      <c r="Y132" s="216">
        <v>65350</v>
      </c>
      <c r="Z132" s="216">
        <v>0</v>
      </c>
      <c r="AA132" s="216">
        <v>0</v>
      </c>
      <c r="AB132" s="216">
        <v>133</v>
      </c>
      <c r="AC132" s="105"/>
    </row>
    <row r="133" spans="1:29" s="20" customFormat="1" x14ac:dyDescent="0.25">
      <c r="A133" s="31">
        <f>'M&amp;R Stations'!A133</f>
        <v>39092</v>
      </c>
      <c r="B133" s="216">
        <v>0</v>
      </c>
      <c r="C133" s="216">
        <v>4815</v>
      </c>
      <c r="D133" s="216">
        <v>0</v>
      </c>
      <c r="E133" s="216">
        <v>26027</v>
      </c>
      <c r="F133" s="216">
        <v>0</v>
      </c>
      <c r="G133" s="216">
        <v>32270</v>
      </c>
      <c r="H133" s="216">
        <v>0</v>
      </c>
      <c r="I133" s="216">
        <v>0</v>
      </c>
      <c r="J133" s="216">
        <v>0</v>
      </c>
      <c r="K133" s="216">
        <v>20084</v>
      </c>
      <c r="L133" s="216">
        <v>0</v>
      </c>
      <c r="M133" s="216">
        <v>0</v>
      </c>
      <c r="N133" s="216">
        <v>34682</v>
      </c>
      <c r="O133" s="216">
        <v>0</v>
      </c>
      <c r="P133" s="216">
        <v>0</v>
      </c>
      <c r="Q133" s="216">
        <v>0</v>
      </c>
      <c r="R133" s="216">
        <v>4864</v>
      </c>
      <c r="S133" s="216">
        <v>0</v>
      </c>
      <c r="T133" s="216">
        <v>52420</v>
      </c>
      <c r="U133" s="216">
        <v>15152</v>
      </c>
      <c r="V133" s="216">
        <v>34062</v>
      </c>
      <c r="W133" s="216">
        <v>7339</v>
      </c>
      <c r="X133" s="216">
        <v>64856</v>
      </c>
      <c r="Y133" s="216">
        <v>66050</v>
      </c>
      <c r="Z133" s="216">
        <v>0</v>
      </c>
      <c r="AA133" s="216">
        <v>0</v>
      </c>
      <c r="AB133" s="216">
        <v>135</v>
      </c>
      <c r="AC133" s="105"/>
    </row>
    <row r="134" spans="1:29" s="20" customFormat="1" x14ac:dyDescent="0.25">
      <c r="A134" s="31">
        <f>'M&amp;R Stations'!A134</f>
        <v>39093</v>
      </c>
      <c r="B134" s="216">
        <v>0</v>
      </c>
      <c r="C134" s="216">
        <v>4820</v>
      </c>
      <c r="D134" s="216">
        <v>0</v>
      </c>
      <c r="E134" s="216">
        <v>24643</v>
      </c>
      <c r="F134" s="216">
        <v>0</v>
      </c>
      <c r="G134" s="216">
        <v>32301</v>
      </c>
      <c r="H134" s="216">
        <v>0</v>
      </c>
      <c r="I134" s="216">
        <v>0</v>
      </c>
      <c r="J134" s="216">
        <v>0</v>
      </c>
      <c r="K134" s="216">
        <v>20103</v>
      </c>
      <c r="L134" s="216">
        <v>0</v>
      </c>
      <c r="M134" s="216">
        <v>0</v>
      </c>
      <c r="N134" s="216">
        <v>34716</v>
      </c>
      <c r="O134" s="216">
        <v>0</v>
      </c>
      <c r="P134" s="216">
        <v>0</v>
      </c>
      <c r="Q134" s="216">
        <v>0</v>
      </c>
      <c r="R134" s="216">
        <v>4845</v>
      </c>
      <c r="S134" s="216">
        <v>0</v>
      </c>
      <c r="T134" s="216">
        <v>33915</v>
      </c>
      <c r="U134" s="216">
        <v>15094</v>
      </c>
      <c r="V134" s="216">
        <v>33930</v>
      </c>
      <c r="W134" s="216">
        <v>7310</v>
      </c>
      <c r="X134" s="216">
        <v>37148</v>
      </c>
      <c r="Y134" s="216">
        <v>65794</v>
      </c>
      <c r="Z134" s="216">
        <v>0</v>
      </c>
      <c r="AA134" s="216">
        <v>0</v>
      </c>
      <c r="AB134" s="216">
        <v>134</v>
      </c>
      <c r="AC134" s="105"/>
    </row>
    <row r="135" spans="1:29" s="20" customFormat="1" x14ac:dyDescent="0.25">
      <c r="A135" s="31">
        <f>'M&amp;R Stations'!A135</f>
        <v>39094</v>
      </c>
      <c r="B135" s="216">
        <v>0</v>
      </c>
      <c r="C135" s="216">
        <v>4815</v>
      </c>
      <c r="D135" s="216">
        <v>0</v>
      </c>
      <c r="E135" s="216">
        <v>857</v>
      </c>
      <c r="F135" s="216">
        <v>0</v>
      </c>
      <c r="G135" s="216">
        <v>32270</v>
      </c>
      <c r="H135" s="216">
        <v>0</v>
      </c>
      <c r="I135" s="216">
        <v>0</v>
      </c>
      <c r="J135" s="216">
        <v>0</v>
      </c>
      <c r="K135" s="216">
        <v>20084</v>
      </c>
      <c r="L135" s="216">
        <v>0</v>
      </c>
      <c r="M135" s="216">
        <v>0</v>
      </c>
      <c r="N135" s="216">
        <v>34682</v>
      </c>
      <c r="O135" s="216">
        <v>0</v>
      </c>
      <c r="P135" s="216">
        <v>0</v>
      </c>
      <c r="Q135" s="216">
        <v>0</v>
      </c>
      <c r="R135" s="216">
        <v>4836</v>
      </c>
      <c r="S135" s="216">
        <v>0</v>
      </c>
      <c r="T135" s="216">
        <v>11854</v>
      </c>
      <c r="U135" s="216">
        <v>15065</v>
      </c>
      <c r="V135" s="216">
        <v>14522</v>
      </c>
      <c r="W135" s="216">
        <v>7296</v>
      </c>
      <c r="X135" s="216">
        <v>7029</v>
      </c>
      <c r="Y135" s="216">
        <v>65666</v>
      </c>
      <c r="Z135" s="216">
        <v>0</v>
      </c>
      <c r="AA135" s="216">
        <v>0</v>
      </c>
      <c r="AB135" s="216">
        <v>134</v>
      </c>
      <c r="AC135" s="105"/>
    </row>
    <row r="136" spans="1:29" s="20" customFormat="1" x14ac:dyDescent="0.25">
      <c r="A136" s="31">
        <f>'M&amp;R Stations'!A136</f>
        <v>39095</v>
      </c>
      <c r="B136" s="216">
        <v>0</v>
      </c>
      <c r="C136" s="216">
        <v>4797</v>
      </c>
      <c r="D136" s="216">
        <v>0</v>
      </c>
      <c r="E136" s="216">
        <v>0</v>
      </c>
      <c r="F136" s="216">
        <v>0</v>
      </c>
      <c r="G136" s="216">
        <v>0</v>
      </c>
      <c r="H136" s="216">
        <v>0</v>
      </c>
      <c r="I136" s="216">
        <v>0</v>
      </c>
      <c r="J136" s="216">
        <v>0</v>
      </c>
      <c r="K136" s="216">
        <v>302</v>
      </c>
      <c r="L136" s="216">
        <v>0</v>
      </c>
      <c r="M136" s="216">
        <v>0</v>
      </c>
      <c r="N136" s="216">
        <v>34549</v>
      </c>
      <c r="O136" s="216">
        <v>0</v>
      </c>
      <c r="P136" s="216">
        <v>0</v>
      </c>
      <c r="Q136" s="216">
        <v>0</v>
      </c>
      <c r="R136" s="216">
        <v>0</v>
      </c>
      <c r="S136" s="216">
        <v>0</v>
      </c>
      <c r="T136" s="216">
        <v>0</v>
      </c>
      <c r="U136" s="216">
        <v>15050</v>
      </c>
      <c r="V136" s="216">
        <v>12093</v>
      </c>
      <c r="W136" s="216">
        <v>7289</v>
      </c>
      <c r="X136" s="216">
        <v>7022</v>
      </c>
      <c r="Y136" s="216">
        <v>65603</v>
      </c>
      <c r="Z136" s="216">
        <v>0</v>
      </c>
      <c r="AA136" s="216">
        <v>0</v>
      </c>
      <c r="AB136" s="216">
        <v>134</v>
      </c>
      <c r="AC136" s="105"/>
    </row>
    <row r="137" spans="1:29" s="20" customFormat="1" x14ac:dyDescent="0.25">
      <c r="A137" s="31">
        <f>'M&amp;R Stations'!A137</f>
        <v>39096</v>
      </c>
      <c r="B137" s="216">
        <v>0</v>
      </c>
      <c r="C137" s="216">
        <v>4792</v>
      </c>
      <c r="D137" s="216">
        <v>0</v>
      </c>
      <c r="E137" s="216">
        <v>240</v>
      </c>
      <c r="F137" s="216">
        <v>0</v>
      </c>
      <c r="G137" s="216">
        <v>0</v>
      </c>
      <c r="H137" s="216">
        <v>0</v>
      </c>
      <c r="I137" s="216">
        <v>0</v>
      </c>
      <c r="J137" s="216">
        <v>0</v>
      </c>
      <c r="K137" s="216">
        <v>19988</v>
      </c>
      <c r="L137" s="216">
        <v>0</v>
      </c>
      <c r="M137" s="216">
        <v>0</v>
      </c>
      <c r="N137" s="216">
        <v>34516</v>
      </c>
      <c r="O137" s="216">
        <v>0</v>
      </c>
      <c r="P137" s="216">
        <v>0</v>
      </c>
      <c r="Q137" s="216">
        <v>0</v>
      </c>
      <c r="R137" s="216">
        <v>291</v>
      </c>
      <c r="S137" s="216">
        <v>0</v>
      </c>
      <c r="T137" s="216">
        <v>0</v>
      </c>
      <c r="U137" s="216">
        <v>15035</v>
      </c>
      <c r="V137" s="216">
        <v>14494</v>
      </c>
      <c r="W137" s="216">
        <v>7282</v>
      </c>
      <c r="X137" s="216">
        <v>7015</v>
      </c>
      <c r="Y137" s="216">
        <v>65540</v>
      </c>
      <c r="Z137" s="216">
        <v>0</v>
      </c>
      <c r="AA137" s="216">
        <v>0</v>
      </c>
      <c r="AB137" s="216">
        <v>133</v>
      </c>
      <c r="AC137" s="105"/>
    </row>
    <row r="138" spans="1:29" s="20" customFormat="1" x14ac:dyDescent="0.25">
      <c r="A138" s="31">
        <f>'M&amp;R Stations'!A138</f>
        <v>39097</v>
      </c>
      <c r="B138" s="216">
        <v>0</v>
      </c>
      <c r="C138" s="216">
        <v>4792</v>
      </c>
      <c r="D138" s="216">
        <v>0</v>
      </c>
      <c r="E138" s="216">
        <v>0</v>
      </c>
      <c r="F138" s="216">
        <v>0</v>
      </c>
      <c r="G138" s="216">
        <v>32115</v>
      </c>
      <c r="H138" s="216">
        <v>0</v>
      </c>
      <c r="I138" s="216">
        <v>0</v>
      </c>
      <c r="J138" s="216">
        <v>176</v>
      </c>
      <c r="K138" s="216">
        <v>0</v>
      </c>
      <c r="L138" s="216">
        <v>0</v>
      </c>
      <c r="M138" s="216">
        <v>0</v>
      </c>
      <c r="N138" s="216">
        <v>34516</v>
      </c>
      <c r="O138" s="216">
        <v>0</v>
      </c>
      <c r="P138" s="216">
        <v>0</v>
      </c>
      <c r="Q138" s="216">
        <v>0</v>
      </c>
      <c r="R138" s="216">
        <v>0</v>
      </c>
      <c r="S138" s="216">
        <v>2720</v>
      </c>
      <c r="T138" s="216">
        <v>0</v>
      </c>
      <c r="U138" s="216">
        <v>15050</v>
      </c>
      <c r="V138" s="216">
        <v>0</v>
      </c>
      <c r="W138" s="216">
        <v>7289</v>
      </c>
      <c r="X138" s="216">
        <v>0</v>
      </c>
      <c r="Y138" s="216">
        <v>65603</v>
      </c>
      <c r="Z138" s="216">
        <v>0</v>
      </c>
      <c r="AA138" s="216">
        <v>0</v>
      </c>
      <c r="AB138" s="216">
        <v>237</v>
      </c>
      <c r="AC138" s="105"/>
    </row>
    <row r="139" spans="1:29" s="20" customFormat="1" x14ac:dyDescent="0.25">
      <c r="A139" s="31">
        <f>'M&amp;R Stations'!A139</f>
        <v>39098</v>
      </c>
      <c r="B139" s="216">
        <v>0</v>
      </c>
      <c r="C139" s="216">
        <v>4806</v>
      </c>
      <c r="D139" s="216">
        <v>0</v>
      </c>
      <c r="E139" s="216">
        <v>34455</v>
      </c>
      <c r="F139" s="216">
        <v>0</v>
      </c>
      <c r="G139" s="216">
        <v>32208</v>
      </c>
      <c r="H139" s="216">
        <v>0</v>
      </c>
      <c r="I139" s="216">
        <v>0</v>
      </c>
      <c r="J139" s="216">
        <v>0</v>
      </c>
      <c r="K139" s="216">
        <v>20045</v>
      </c>
      <c r="L139" s="216">
        <v>0</v>
      </c>
      <c r="M139" s="216">
        <v>0</v>
      </c>
      <c r="N139" s="216">
        <v>34615</v>
      </c>
      <c r="O139" s="216">
        <v>0</v>
      </c>
      <c r="P139" s="216">
        <v>0</v>
      </c>
      <c r="Q139" s="216">
        <v>0</v>
      </c>
      <c r="R139" s="216">
        <v>4845</v>
      </c>
      <c r="S139" s="216">
        <v>0</v>
      </c>
      <c r="T139" s="216">
        <v>38760</v>
      </c>
      <c r="U139" s="216">
        <v>15094</v>
      </c>
      <c r="V139" s="216">
        <v>33930</v>
      </c>
      <c r="W139" s="216">
        <v>7310</v>
      </c>
      <c r="X139" s="216">
        <v>39443</v>
      </c>
      <c r="Y139" s="216">
        <v>65794</v>
      </c>
      <c r="Z139" s="216">
        <v>0</v>
      </c>
      <c r="AA139" s="216">
        <v>0</v>
      </c>
      <c r="AB139" s="216">
        <v>134</v>
      </c>
      <c r="AC139" s="105"/>
    </row>
    <row r="140" spans="1:29" s="20" customFormat="1" x14ac:dyDescent="0.25">
      <c r="A140" s="31">
        <f>'M&amp;R Stations'!A140</f>
        <v>39099</v>
      </c>
      <c r="B140" s="216">
        <v>0</v>
      </c>
      <c r="C140" s="216">
        <v>4801</v>
      </c>
      <c r="D140" s="216">
        <v>0</v>
      </c>
      <c r="E140" s="216">
        <v>36277</v>
      </c>
      <c r="F140" s="216">
        <v>0</v>
      </c>
      <c r="G140" s="216">
        <v>32177</v>
      </c>
      <c r="H140" s="216">
        <v>0</v>
      </c>
      <c r="I140" s="216">
        <v>0</v>
      </c>
      <c r="J140" s="216">
        <v>0</v>
      </c>
      <c r="K140" s="216">
        <v>20026</v>
      </c>
      <c r="L140" s="216">
        <v>0</v>
      </c>
      <c r="M140" s="216">
        <v>0</v>
      </c>
      <c r="N140" s="216">
        <v>34582</v>
      </c>
      <c r="O140" s="216">
        <v>0</v>
      </c>
      <c r="P140" s="216">
        <v>0</v>
      </c>
      <c r="Q140" s="216">
        <v>0</v>
      </c>
      <c r="R140" s="216">
        <v>4836</v>
      </c>
      <c r="S140" s="216">
        <v>0</v>
      </c>
      <c r="T140" s="216">
        <v>49992</v>
      </c>
      <c r="U140" s="216">
        <v>15065</v>
      </c>
      <c r="V140" s="216">
        <v>33366</v>
      </c>
      <c r="W140" s="216">
        <v>7296</v>
      </c>
      <c r="X140" s="216">
        <v>35466</v>
      </c>
      <c r="Y140" s="216">
        <v>94680</v>
      </c>
      <c r="Z140" s="216">
        <v>0</v>
      </c>
      <c r="AA140" s="216">
        <v>0</v>
      </c>
      <c r="AB140" s="216">
        <v>134</v>
      </c>
      <c r="AC140" s="105"/>
    </row>
    <row r="141" spans="1:29" s="20" customFormat="1" x14ac:dyDescent="0.25">
      <c r="A141" s="31">
        <f>'M&amp;R Stations'!A141</f>
        <v>39100</v>
      </c>
      <c r="B141" s="216">
        <v>0</v>
      </c>
      <c r="C141" s="216">
        <v>4801</v>
      </c>
      <c r="D141" s="216">
        <v>0</v>
      </c>
      <c r="E141" s="216">
        <v>34598</v>
      </c>
      <c r="F141" s="216">
        <v>0</v>
      </c>
      <c r="G141" s="216">
        <v>32177</v>
      </c>
      <c r="H141" s="216">
        <v>0</v>
      </c>
      <c r="I141" s="216">
        <v>0</v>
      </c>
      <c r="J141" s="216">
        <v>0</v>
      </c>
      <c r="K141" s="216">
        <v>20026</v>
      </c>
      <c r="L141" s="216">
        <v>0</v>
      </c>
      <c r="M141" s="216">
        <v>0</v>
      </c>
      <c r="N141" s="216">
        <v>34582</v>
      </c>
      <c r="O141" s="216">
        <v>0</v>
      </c>
      <c r="P141" s="216">
        <v>0</v>
      </c>
      <c r="Q141" s="216">
        <v>0</v>
      </c>
      <c r="R141" s="216">
        <v>4831</v>
      </c>
      <c r="S141" s="216">
        <v>0</v>
      </c>
      <c r="T141" s="216">
        <v>40580</v>
      </c>
      <c r="U141" s="216">
        <v>15050</v>
      </c>
      <c r="V141" s="216">
        <v>33832</v>
      </c>
      <c r="W141" s="216">
        <v>7289</v>
      </c>
      <c r="X141" s="216">
        <v>13066</v>
      </c>
      <c r="Y141" s="216">
        <v>94588</v>
      </c>
      <c r="Z141" s="216">
        <v>0</v>
      </c>
      <c r="AA141" s="216">
        <v>0</v>
      </c>
      <c r="AB141" s="216">
        <v>134</v>
      </c>
      <c r="AC141" s="105"/>
    </row>
    <row r="142" spans="1:29" s="20" customFormat="1" x14ac:dyDescent="0.25">
      <c r="A142" s="31">
        <f>'M&amp;R Stations'!A142</f>
        <v>39101</v>
      </c>
      <c r="B142" s="216">
        <v>0</v>
      </c>
      <c r="C142" s="216">
        <v>4792</v>
      </c>
      <c r="D142" s="216">
        <v>0</v>
      </c>
      <c r="E142" s="216">
        <v>35768</v>
      </c>
      <c r="F142" s="216">
        <v>0</v>
      </c>
      <c r="G142" s="216">
        <v>32115</v>
      </c>
      <c r="H142" s="216">
        <v>0</v>
      </c>
      <c r="I142" s="216">
        <v>0</v>
      </c>
      <c r="J142" s="216">
        <v>0</v>
      </c>
      <c r="K142" s="216">
        <v>19988</v>
      </c>
      <c r="L142" s="216">
        <v>0</v>
      </c>
      <c r="M142" s="216">
        <v>0</v>
      </c>
      <c r="N142" s="216">
        <v>34516</v>
      </c>
      <c r="O142" s="216">
        <v>0</v>
      </c>
      <c r="P142" s="216">
        <v>0</v>
      </c>
      <c r="Q142" s="216">
        <v>0</v>
      </c>
      <c r="R142" s="216">
        <v>4822</v>
      </c>
      <c r="S142" s="216">
        <v>0</v>
      </c>
      <c r="T142" s="216">
        <v>40501</v>
      </c>
      <c r="U142" s="216">
        <v>15021</v>
      </c>
      <c r="V142" s="216">
        <v>24388</v>
      </c>
      <c r="W142" s="216">
        <v>7275</v>
      </c>
      <c r="X142" s="216">
        <v>8905</v>
      </c>
      <c r="Y142" s="216">
        <v>94406</v>
      </c>
      <c r="Z142" s="216">
        <v>0</v>
      </c>
      <c r="AA142" s="216">
        <v>0</v>
      </c>
      <c r="AB142" s="216">
        <v>133</v>
      </c>
      <c r="AC142" s="105"/>
    </row>
    <row r="143" spans="1:29" s="20" customFormat="1" x14ac:dyDescent="0.25">
      <c r="A143" s="31">
        <f>'M&amp;R Stations'!A143</f>
        <v>39102</v>
      </c>
      <c r="B143" s="216">
        <v>0</v>
      </c>
      <c r="C143" s="216">
        <v>4797</v>
      </c>
      <c r="D143" s="216">
        <v>0</v>
      </c>
      <c r="E143" s="216">
        <v>39211</v>
      </c>
      <c r="F143" s="216">
        <v>0</v>
      </c>
      <c r="G143" s="216">
        <v>32146</v>
      </c>
      <c r="H143" s="216">
        <v>0</v>
      </c>
      <c r="I143" s="216">
        <v>0</v>
      </c>
      <c r="J143" s="216">
        <v>0</v>
      </c>
      <c r="K143" s="216">
        <v>20007</v>
      </c>
      <c r="L143" s="216">
        <v>0</v>
      </c>
      <c r="M143" s="216">
        <v>0</v>
      </c>
      <c r="N143" s="216">
        <v>34549</v>
      </c>
      <c r="O143" s="216">
        <v>0</v>
      </c>
      <c r="P143" s="216">
        <v>0</v>
      </c>
      <c r="Q143" s="216">
        <v>0</v>
      </c>
      <c r="R143" s="216">
        <v>4836</v>
      </c>
      <c r="S143" s="216">
        <v>0</v>
      </c>
      <c r="T143" s="216">
        <v>53556</v>
      </c>
      <c r="U143" s="216">
        <v>15065</v>
      </c>
      <c r="V143" s="216">
        <v>33865</v>
      </c>
      <c r="W143" s="216">
        <v>7296</v>
      </c>
      <c r="X143" s="216">
        <v>25795</v>
      </c>
      <c r="Y143" s="216">
        <v>104351</v>
      </c>
      <c r="Z143" s="216">
        <v>0</v>
      </c>
      <c r="AA143" s="216">
        <v>0</v>
      </c>
      <c r="AB143" s="216">
        <v>134</v>
      </c>
      <c r="AC143" s="105"/>
    </row>
    <row r="144" spans="1:29" s="20" customFormat="1" x14ac:dyDescent="0.25">
      <c r="A144" s="31">
        <f>'M&amp;R Stations'!A144</f>
        <v>39103</v>
      </c>
      <c r="B144" s="216">
        <v>0</v>
      </c>
      <c r="C144" s="216">
        <v>4815</v>
      </c>
      <c r="D144" s="216">
        <v>0</v>
      </c>
      <c r="E144" s="216">
        <v>36254</v>
      </c>
      <c r="F144" s="216">
        <v>0</v>
      </c>
      <c r="G144" s="216">
        <v>32270</v>
      </c>
      <c r="H144" s="216">
        <v>0</v>
      </c>
      <c r="I144" s="216">
        <v>0</v>
      </c>
      <c r="J144" s="216">
        <v>0</v>
      </c>
      <c r="K144" s="216">
        <v>20084</v>
      </c>
      <c r="L144" s="216">
        <v>0</v>
      </c>
      <c r="M144" s="216">
        <v>0</v>
      </c>
      <c r="N144" s="216">
        <v>34682</v>
      </c>
      <c r="O144" s="216">
        <v>0</v>
      </c>
      <c r="P144" s="216">
        <v>0</v>
      </c>
      <c r="Q144" s="216">
        <v>0</v>
      </c>
      <c r="R144" s="216">
        <v>4845</v>
      </c>
      <c r="S144" s="216">
        <v>0</v>
      </c>
      <c r="T144" s="216">
        <v>50241</v>
      </c>
      <c r="U144" s="216">
        <v>15094</v>
      </c>
      <c r="V144" s="216">
        <v>33930</v>
      </c>
      <c r="W144" s="216">
        <v>7310</v>
      </c>
      <c r="X144" s="216">
        <v>25845</v>
      </c>
      <c r="Y144" s="216">
        <v>104553</v>
      </c>
      <c r="Z144" s="216">
        <v>0</v>
      </c>
      <c r="AA144" s="216">
        <v>0</v>
      </c>
      <c r="AB144" s="216">
        <v>134</v>
      </c>
      <c r="AC144" s="105"/>
    </row>
    <row r="145" spans="1:29" s="20" customFormat="1" x14ac:dyDescent="0.25">
      <c r="A145" s="31">
        <f>'M&amp;R Stations'!A145</f>
        <v>39104</v>
      </c>
      <c r="B145" s="216">
        <v>0</v>
      </c>
      <c r="C145" s="216">
        <v>4792</v>
      </c>
      <c r="D145" s="216">
        <v>0</v>
      </c>
      <c r="E145" s="216">
        <v>30113</v>
      </c>
      <c r="F145" s="216">
        <v>0</v>
      </c>
      <c r="G145" s="216">
        <v>32115</v>
      </c>
      <c r="H145" s="216">
        <v>0</v>
      </c>
      <c r="I145" s="216">
        <v>0</v>
      </c>
      <c r="J145" s="216">
        <v>0</v>
      </c>
      <c r="K145" s="216">
        <v>19988</v>
      </c>
      <c r="L145" s="216">
        <v>0</v>
      </c>
      <c r="M145" s="216">
        <v>0</v>
      </c>
      <c r="N145" s="216">
        <v>34516</v>
      </c>
      <c r="O145" s="216">
        <v>0</v>
      </c>
      <c r="P145" s="216">
        <v>0</v>
      </c>
      <c r="Q145" s="216">
        <v>0</v>
      </c>
      <c r="R145" s="216">
        <v>4845</v>
      </c>
      <c r="S145" s="216">
        <v>0</v>
      </c>
      <c r="T145" s="216">
        <v>43605</v>
      </c>
      <c r="U145" s="216">
        <v>15094</v>
      </c>
      <c r="V145" s="216">
        <v>25085</v>
      </c>
      <c r="W145" s="216">
        <v>7310</v>
      </c>
      <c r="X145" s="216">
        <v>8949</v>
      </c>
      <c r="Y145" s="216">
        <v>104553</v>
      </c>
      <c r="Z145" s="216">
        <v>0</v>
      </c>
      <c r="AA145" s="216">
        <v>0</v>
      </c>
      <c r="AB145" s="216">
        <v>134</v>
      </c>
      <c r="AC145" s="105"/>
    </row>
    <row r="146" spans="1:29" s="20" customFormat="1" x14ac:dyDescent="0.25">
      <c r="A146" s="31">
        <f>'M&amp;R Stations'!A146</f>
        <v>39105</v>
      </c>
      <c r="B146" s="216">
        <v>0</v>
      </c>
      <c r="C146" s="216">
        <v>4801</v>
      </c>
      <c r="D146" s="216">
        <v>0</v>
      </c>
      <c r="E146" s="216">
        <v>23784</v>
      </c>
      <c r="F146" s="216">
        <v>0</v>
      </c>
      <c r="G146" s="216">
        <v>32177</v>
      </c>
      <c r="H146" s="216">
        <v>0</v>
      </c>
      <c r="I146" s="216">
        <v>0</v>
      </c>
      <c r="J146" s="216">
        <v>0</v>
      </c>
      <c r="K146" s="216">
        <v>20026</v>
      </c>
      <c r="L146" s="216">
        <v>0</v>
      </c>
      <c r="M146" s="216">
        <v>0</v>
      </c>
      <c r="N146" s="216">
        <v>34582</v>
      </c>
      <c r="O146" s="216">
        <v>0</v>
      </c>
      <c r="P146" s="216">
        <v>0</v>
      </c>
      <c r="Q146" s="216">
        <v>0</v>
      </c>
      <c r="R146" s="216">
        <v>4854</v>
      </c>
      <c r="S146" s="216">
        <v>0</v>
      </c>
      <c r="T146" s="216">
        <v>43689</v>
      </c>
      <c r="U146" s="216">
        <v>15123</v>
      </c>
      <c r="V146" s="216">
        <v>14622</v>
      </c>
      <c r="W146" s="216">
        <v>7324</v>
      </c>
      <c r="X146" s="216">
        <v>8966</v>
      </c>
      <c r="Y146" s="216">
        <v>104756</v>
      </c>
      <c r="Z146" s="216">
        <v>0</v>
      </c>
      <c r="AA146" s="216">
        <v>0</v>
      </c>
      <c r="AB146" s="216">
        <v>134</v>
      </c>
      <c r="AC146" s="105"/>
    </row>
    <row r="147" spans="1:29" s="20" customFormat="1" x14ac:dyDescent="0.25">
      <c r="A147" s="31">
        <f>'M&amp;R Stations'!A147</f>
        <v>39106</v>
      </c>
      <c r="B147" s="216">
        <v>0</v>
      </c>
      <c r="C147" s="216">
        <v>4797</v>
      </c>
      <c r="D147" s="216">
        <v>0</v>
      </c>
      <c r="E147" s="216">
        <v>14608</v>
      </c>
      <c r="F147" s="216">
        <v>0</v>
      </c>
      <c r="G147" s="216">
        <v>32146</v>
      </c>
      <c r="H147" s="216">
        <v>0</v>
      </c>
      <c r="I147" s="216">
        <v>0</v>
      </c>
      <c r="J147" s="216">
        <v>0</v>
      </c>
      <c r="K147" s="216">
        <v>20007</v>
      </c>
      <c r="L147" s="216">
        <v>0</v>
      </c>
      <c r="M147" s="216">
        <v>0</v>
      </c>
      <c r="N147" s="216">
        <v>34549</v>
      </c>
      <c r="O147" s="216">
        <v>0</v>
      </c>
      <c r="P147" s="216">
        <v>0</v>
      </c>
      <c r="Q147" s="216">
        <v>0</v>
      </c>
      <c r="R147" s="216">
        <v>4854</v>
      </c>
      <c r="S147" s="216">
        <v>0</v>
      </c>
      <c r="T147" s="216">
        <v>43689</v>
      </c>
      <c r="U147" s="216">
        <v>15123</v>
      </c>
      <c r="V147" s="216">
        <v>14579</v>
      </c>
      <c r="W147" s="216">
        <v>7324</v>
      </c>
      <c r="X147" s="216">
        <v>7710</v>
      </c>
      <c r="Y147" s="216">
        <v>104756</v>
      </c>
      <c r="Z147" s="216">
        <v>0</v>
      </c>
      <c r="AA147" s="216">
        <v>0</v>
      </c>
      <c r="AB147" s="216">
        <v>134</v>
      </c>
      <c r="AC147" s="105"/>
    </row>
    <row r="148" spans="1:29" s="20" customFormat="1" x14ac:dyDescent="0.25">
      <c r="A148" s="31">
        <f>'M&amp;R Stations'!A148</f>
        <v>39107</v>
      </c>
      <c r="B148" s="216">
        <v>0</v>
      </c>
      <c r="C148" s="216">
        <v>4797</v>
      </c>
      <c r="D148" s="216">
        <v>0</v>
      </c>
      <c r="E148" s="216">
        <v>35913</v>
      </c>
      <c r="F148" s="216">
        <v>0</v>
      </c>
      <c r="G148" s="216">
        <v>32146</v>
      </c>
      <c r="H148" s="216">
        <v>0</v>
      </c>
      <c r="I148" s="216">
        <v>0</v>
      </c>
      <c r="J148" s="216">
        <v>0</v>
      </c>
      <c r="K148" s="216">
        <v>20007</v>
      </c>
      <c r="L148" s="216">
        <v>0</v>
      </c>
      <c r="M148" s="216">
        <v>0</v>
      </c>
      <c r="N148" s="216">
        <v>34549</v>
      </c>
      <c r="O148" s="216">
        <v>0</v>
      </c>
      <c r="P148" s="216">
        <v>0</v>
      </c>
      <c r="Q148" s="216">
        <v>0</v>
      </c>
      <c r="R148" s="216">
        <v>4831</v>
      </c>
      <c r="S148" s="216">
        <v>0</v>
      </c>
      <c r="T148" s="216">
        <v>52648</v>
      </c>
      <c r="U148" s="216">
        <v>15050</v>
      </c>
      <c r="V148" s="216">
        <v>33832</v>
      </c>
      <c r="W148" s="216">
        <v>7289</v>
      </c>
      <c r="X148" s="216">
        <v>22700</v>
      </c>
      <c r="Y148" s="216">
        <v>107321</v>
      </c>
      <c r="Z148" s="216">
        <v>0</v>
      </c>
      <c r="AA148" s="216">
        <v>0</v>
      </c>
      <c r="AB148" s="216">
        <v>134</v>
      </c>
      <c r="AC148" s="105"/>
    </row>
    <row r="149" spans="1:29" s="20" customFormat="1" x14ac:dyDescent="0.25">
      <c r="A149" s="31">
        <f>'M&amp;R Stations'!A149</f>
        <v>39108</v>
      </c>
      <c r="B149" s="216">
        <v>0</v>
      </c>
      <c r="C149" s="216">
        <v>4797</v>
      </c>
      <c r="D149" s="216">
        <v>0</v>
      </c>
      <c r="E149" s="216">
        <v>35579</v>
      </c>
      <c r="F149" s="216">
        <v>0</v>
      </c>
      <c r="G149" s="216">
        <v>32146</v>
      </c>
      <c r="H149" s="216">
        <v>0</v>
      </c>
      <c r="I149" s="216">
        <v>0</v>
      </c>
      <c r="J149" s="216">
        <v>0</v>
      </c>
      <c r="K149" s="216">
        <v>20007</v>
      </c>
      <c r="L149" s="216">
        <v>0</v>
      </c>
      <c r="M149" s="216">
        <v>0</v>
      </c>
      <c r="N149" s="216">
        <v>34549</v>
      </c>
      <c r="O149" s="216">
        <v>0</v>
      </c>
      <c r="P149" s="216">
        <v>0</v>
      </c>
      <c r="Q149" s="216">
        <v>0</v>
      </c>
      <c r="R149" s="216">
        <v>4845</v>
      </c>
      <c r="S149" s="216">
        <v>0</v>
      </c>
      <c r="T149" s="216">
        <v>52440</v>
      </c>
      <c r="U149" s="216">
        <v>15094</v>
      </c>
      <c r="V149" s="216">
        <v>33930</v>
      </c>
      <c r="W149" s="216">
        <v>7310</v>
      </c>
      <c r="X149" s="216">
        <v>22766</v>
      </c>
      <c r="Y149" s="216">
        <v>107453</v>
      </c>
      <c r="Z149" s="216">
        <v>0</v>
      </c>
      <c r="AA149" s="216">
        <v>0</v>
      </c>
      <c r="AB149" s="216">
        <v>134</v>
      </c>
      <c r="AC149" s="105"/>
    </row>
    <row r="150" spans="1:29" s="20" customFormat="1" x14ac:dyDescent="0.25">
      <c r="A150" s="31">
        <f>'M&amp;R Stations'!A150</f>
        <v>39109</v>
      </c>
      <c r="B150" s="216">
        <v>0</v>
      </c>
      <c r="C150" s="216">
        <v>4801</v>
      </c>
      <c r="D150" s="216">
        <v>0</v>
      </c>
      <c r="E150" s="216">
        <v>34023</v>
      </c>
      <c r="F150" s="216">
        <v>0</v>
      </c>
      <c r="G150" s="216">
        <v>24695</v>
      </c>
      <c r="H150" s="216">
        <v>0</v>
      </c>
      <c r="I150" s="216">
        <v>0</v>
      </c>
      <c r="J150" s="216">
        <v>0</v>
      </c>
      <c r="K150" s="216">
        <v>20026</v>
      </c>
      <c r="L150" s="216">
        <v>0</v>
      </c>
      <c r="M150" s="216">
        <v>0</v>
      </c>
      <c r="N150" s="216">
        <v>34582</v>
      </c>
      <c r="O150" s="216">
        <v>0</v>
      </c>
      <c r="P150" s="216">
        <v>0</v>
      </c>
      <c r="Q150" s="216">
        <v>0</v>
      </c>
      <c r="R150" s="216">
        <v>4836</v>
      </c>
      <c r="S150" s="216">
        <v>0</v>
      </c>
      <c r="T150" s="216">
        <v>3120</v>
      </c>
      <c r="U150" s="216">
        <v>15065</v>
      </c>
      <c r="V150" s="216">
        <v>14522</v>
      </c>
      <c r="W150" s="216">
        <v>7296</v>
      </c>
      <c r="X150" s="216">
        <v>7029</v>
      </c>
      <c r="Y150" s="216">
        <v>107425</v>
      </c>
      <c r="Z150" s="216">
        <v>0</v>
      </c>
      <c r="AA150" s="216">
        <v>0</v>
      </c>
      <c r="AB150" s="216">
        <v>134</v>
      </c>
      <c r="AC150" s="105"/>
    </row>
    <row r="151" spans="1:29" s="20" customFormat="1" x14ac:dyDescent="0.25">
      <c r="A151" s="31">
        <f>'M&amp;R Stations'!A151</f>
        <v>39110</v>
      </c>
      <c r="B151" s="216">
        <v>0</v>
      </c>
      <c r="C151" s="216">
        <v>4801</v>
      </c>
      <c r="D151" s="216">
        <v>0</v>
      </c>
      <c r="E151" s="216">
        <v>34755</v>
      </c>
      <c r="F151" s="216">
        <v>0</v>
      </c>
      <c r="G151" s="216">
        <v>32177</v>
      </c>
      <c r="H151" s="216">
        <v>0</v>
      </c>
      <c r="I151" s="216">
        <v>0</v>
      </c>
      <c r="J151" s="216">
        <v>0</v>
      </c>
      <c r="K151" s="216">
        <v>20026</v>
      </c>
      <c r="L151" s="216">
        <v>0</v>
      </c>
      <c r="M151" s="216">
        <v>0</v>
      </c>
      <c r="N151" s="216">
        <v>34582</v>
      </c>
      <c r="O151" s="216">
        <v>0</v>
      </c>
      <c r="P151" s="216">
        <v>0</v>
      </c>
      <c r="Q151" s="216">
        <v>0</v>
      </c>
      <c r="R151" s="216">
        <v>4822</v>
      </c>
      <c r="S151" s="216">
        <v>0</v>
      </c>
      <c r="T151" s="216">
        <v>16446</v>
      </c>
      <c r="U151" s="216">
        <v>15021</v>
      </c>
      <c r="V151" s="216">
        <v>14480</v>
      </c>
      <c r="W151" s="216">
        <v>7275</v>
      </c>
      <c r="X151" s="216">
        <v>7009</v>
      </c>
      <c r="Y151" s="216">
        <v>107114</v>
      </c>
      <c r="Z151" s="216">
        <v>0</v>
      </c>
      <c r="AA151" s="216">
        <v>0</v>
      </c>
      <c r="AB151" s="216">
        <v>133</v>
      </c>
      <c r="AC151" s="105"/>
    </row>
    <row r="152" spans="1:29" s="20" customFormat="1" x14ac:dyDescent="0.25">
      <c r="A152" s="31">
        <f>'M&amp;R Stations'!A152</f>
        <v>39111</v>
      </c>
      <c r="B152" s="216">
        <v>0</v>
      </c>
      <c r="C152" s="216">
        <v>4801</v>
      </c>
      <c r="D152" s="216">
        <v>0</v>
      </c>
      <c r="E152" s="216">
        <v>39878</v>
      </c>
      <c r="F152" s="216">
        <v>0</v>
      </c>
      <c r="G152" s="216">
        <v>32177</v>
      </c>
      <c r="H152" s="216">
        <v>0</v>
      </c>
      <c r="I152" s="216">
        <v>0</v>
      </c>
      <c r="J152" s="216">
        <v>0</v>
      </c>
      <c r="K152" s="216">
        <v>20026</v>
      </c>
      <c r="L152" s="216">
        <v>0</v>
      </c>
      <c r="M152" s="216">
        <v>0</v>
      </c>
      <c r="N152" s="216">
        <v>34582</v>
      </c>
      <c r="O152" s="216">
        <v>0</v>
      </c>
      <c r="P152" s="216">
        <v>0</v>
      </c>
      <c r="Q152" s="216">
        <v>0</v>
      </c>
      <c r="R152" s="216">
        <v>4826</v>
      </c>
      <c r="S152" s="216">
        <v>0</v>
      </c>
      <c r="T152" s="216">
        <v>55017</v>
      </c>
      <c r="U152" s="216">
        <v>15035</v>
      </c>
      <c r="V152" s="216">
        <v>33799</v>
      </c>
      <c r="W152" s="216">
        <v>7282</v>
      </c>
      <c r="X152" s="216">
        <v>22678</v>
      </c>
      <c r="Y152" s="216">
        <v>107217</v>
      </c>
      <c r="Z152" s="216">
        <v>0</v>
      </c>
      <c r="AA152" s="216">
        <v>0</v>
      </c>
      <c r="AB152" s="216">
        <v>133</v>
      </c>
      <c r="AC152" s="105"/>
    </row>
    <row r="153" spans="1:29" s="20" customFormat="1" x14ac:dyDescent="0.25">
      <c r="A153" s="31">
        <f>'M&amp;R Stations'!A153</f>
        <v>39112</v>
      </c>
      <c r="B153" s="216">
        <v>0</v>
      </c>
      <c r="C153" s="216">
        <v>4801</v>
      </c>
      <c r="D153" s="216">
        <v>0</v>
      </c>
      <c r="E153" s="216">
        <v>35420</v>
      </c>
      <c r="F153" s="216">
        <v>0</v>
      </c>
      <c r="G153" s="216">
        <v>32177</v>
      </c>
      <c r="H153" s="216">
        <v>0</v>
      </c>
      <c r="I153" s="216">
        <v>0</v>
      </c>
      <c r="J153" s="216">
        <v>0</v>
      </c>
      <c r="K153" s="216">
        <v>20026</v>
      </c>
      <c r="L153" s="216">
        <v>0</v>
      </c>
      <c r="M153" s="216">
        <v>0</v>
      </c>
      <c r="N153" s="216">
        <v>34582</v>
      </c>
      <c r="O153" s="216">
        <v>0</v>
      </c>
      <c r="P153" s="216">
        <v>0</v>
      </c>
      <c r="Q153" s="216">
        <v>0</v>
      </c>
      <c r="R153" s="216">
        <v>4826</v>
      </c>
      <c r="S153" s="216">
        <v>0</v>
      </c>
      <c r="T153" s="216">
        <v>48263</v>
      </c>
      <c r="U153" s="216">
        <v>15035</v>
      </c>
      <c r="V153" s="216">
        <v>28991</v>
      </c>
      <c r="W153" s="216">
        <v>7282</v>
      </c>
      <c r="X153" s="216">
        <v>7015</v>
      </c>
      <c r="Y153" s="216">
        <v>106950</v>
      </c>
      <c r="Z153" s="216">
        <v>0</v>
      </c>
      <c r="AA153" s="216">
        <v>0</v>
      </c>
      <c r="AB153" s="216">
        <v>133</v>
      </c>
      <c r="AC153" s="105"/>
    </row>
    <row r="154" spans="1:29" s="20" customFormat="1" x14ac:dyDescent="0.25">
      <c r="A154" s="31">
        <f>'M&amp;R Stations'!A154</f>
        <v>39113</v>
      </c>
      <c r="B154" s="216">
        <v>0</v>
      </c>
      <c r="C154" s="216">
        <v>4806</v>
      </c>
      <c r="D154" s="216">
        <v>0</v>
      </c>
      <c r="E154" s="216">
        <v>35500</v>
      </c>
      <c r="F154" s="216">
        <v>0</v>
      </c>
      <c r="G154" s="216">
        <v>32208</v>
      </c>
      <c r="H154" s="216">
        <v>0</v>
      </c>
      <c r="I154" s="216">
        <v>0</v>
      </c>
      <c r="J154" s="216">
        <v>0</v>
      </c>
      <c r="K154" s="216">
        <v>20045</v>
      </c>
      <c r="L154" s="216">
        <v>0</v>
      </c>
      <c r="M154" s="216">
        <v>0</v>
      </c>
      <c r="N154" s="216">
        <v>34615</v>
      </c>
      <c r="O154" s="216">
        <v>0</v>
      </c>
      <c r="P154" s="216">
        <v>0</v>
      </c>
      <c r="Q154" s="216">
        <v>0</v>
      </c>
      <c r="R154" s="216">
        <v>4817</v>
      </c>
      <c r="S154" s="216">
        <v>0</v>
      </c>
      <c r="T154" s="216">
        <v>48592</v>
      </c>
      <c r="U154" s="216">
        <v>15006</v>
      </c>
      <c r="V154" s="216">
        <v>33734</v>
      </c>
      <c r="W154" s="216">
        <v>7268</v>
      </c>
      <c r="X154" s="216">
        <v>22634</v>
      </c>
      <c r="Y154" s="216">
        <v>106638</v>
      </c>
      <c r="Z154" s="216">
        <v>0</v>
      </c>
      <c r="AA154" s="216">
        <v>0</v>
      </c>
      <c r="AB154" s="216">
        <v>133</v>
      </c>
      <c r="AC154" s="105"/>
    </row>
    <row r="155" spans="1:29" s="20" customFormat="1" x14ac:dyDescent="0.25">
      <c r="A155" s="31">
        <f>'M&amp;R Stations'!A155</f>
        <v>39114</v>
      </c>
      <c r="B155" s="216">
        <v>0</v>
      </c>
      <c r="C155" s="216">
        <v>4797</v>
      </c>
      <c r="D155" s="216">
        <v>0</v>
      </c>
      <c r="E155" s="216">
        <v>16231</v>
      </c>
      <c r="F155" s="216">
        <v>0</v>
      </c>
      <c r="G155" s="216">
        <v>28143</v>
      </c>
      <c r="H155" s="216">
        <v>0</v>
      </c>
      <c r="I155" s="216">
        <v>0</v>
      </c>
      <c r="J155" s="216">
        <v>0</v>
      </c>
      <c r="K155" s="216">
        <v>20007</v>
      </c>
      <c r="L155" s="216">
        <v>0</v>
      </c>
      <c r="M155" s="216">
        <v>0</v>
      </c>
      <c r="N155" s="216">
        <v>34549</v>
      </c>
      <c r="O155" s="216">
        <v>0</v>
      </c>
      <c r="P155" s="216">
        <v>0</v>
      </c>
      <c r="Q155" s="216">
        <v>0</v>
      </c>
      <c r="R155" s="216">
        <v>4808</v>
      </c>
      <c r="S155" s="216">
        <v>0</v>
      </c>
      <c r="T155" s="216">
        <v>43269</v>
      </c>
      <c r="U155" s="216">
        <v>14978</v>
      </c>
      <c r="V155" s="216">
        <v>33302</v>
      </c>
      <c r="W155" s="216">
        <v>7254</v>
      </c>
      <c r="X155" s="216">
        <v>6988</v>
      </c>
      <c r="Y155" s="216">
        <v>114459</v>
      </c>
      <c r="Z155" s="216">
        <v>0</v>
      </c>
      <c r="AA155" s="216">
        <v>0</v>
      </c>
      <c r="AB155" s="216">
        <v>133</v>
      </c>
      <c r="AC155" s="105"/>
    </row>
    <row r="156" spans="1:29" s="20" customFormat="1" x14ac:dyDescent="0.25">
      <c r="A156" s="31">
        <f>'M&amp;R Stations'!A156</f>
        <v>39115</v>
      </c>
      <c r="B156" s="216">
        <v>0</v>
      </c>
      <c r="C156" s="216">
        <v>4797</v>
      </c>
      <c r="D156" s="216">
        <v>0</v>
      </c>
      <c r="E156" s="216">
        <v>0</v>
      </c>
      <c r="F156" s="216">
        <v>0</v>
      </c>
      <c r="G156" s="216">
        <v>28143</v>
      </c>
      <c r="H156" s="216">
        <v>0</v>
      </c>
      <c r="I156" s="216">
        <v>0</v>
      </c>
      <c r="J156" s="216">
        <v>0</v>
      </c>
      <c r="K156" s="216">
        <v>8343</v>
      </c>
      <c r="L156" s="216">
        <v>0</v>
      </c>
      <c r="M156" s="216">
        <v>0</v>
      </c>
      <c r="N156" s="216">
        <v>34549</v>
      </c>
      <c r="O156" s="216">
        <v>0</v>
      </c>
      <c r="P156" s="216">
        <v>0</v>
      </c>
      <c r="Q156" s="216">
        <v>0</v>
      </c>
      <c r="R156" s="216">
        <v>4822</v>
      </c>
      <c r="S156" s="216">
        <v>0</v>
      </c>
      <c r="T156" s="216">
        <v>43394</v>
      </c>
      <c r="U156" s="216">
        <v>15021</v>
      </c>
      <c r="V156" s="216">
        <v>33374</v>
      </c>
      <c r="W156" s="216">
        <v>7275</v>
      </c>
      <c r="X156" s="216">
        <v>7009</v>
      </c>
      <c r="Y156" s="216">
        <v>115546</v>
      </c>
      <c r="Z156" s="216">
        <v>0</v>
      </c>
      <c r="AA156" s="216">
        <v>0</v>
      </c>
      <c r="AB156" s="216">
        <v>133</v>
      </c>
      <c r="AC156" s="105"/>
    </row>
    <row r="157" spans="1:29" s="20" customFormat="1" x14ac:dyDescent="0.25">
      <c r="A157" s="31">
        <f>'M&amp;R Stations'!A157</f>
        <v>39116</v>
      </c>
      <c r="B157" s="216">
        <v>0</v>
      </c>
      <c r="C157" s="216">
        <v>4797</v>
      </c>
      <c r="D157" s="216">
        <v>0</v>
      </c>
      <c r="E157" s="216">
        <v>30660</v>
      </c>
      <c r="F157" s="216">
        <v>0</v>
      </c>
      <c r="G157" s="216">
        <v>32146</v>
      </c>
      <c r="H157" s="216">
        <v>0</v>
      </c>
      <c r="I157" s="216">
        <v>0</v>
      </c>
      <c r="J157" s="216">
        <v>0</v>
      </c>
      <c r="K157" s="216">
        <v>20007</v>
      </c>
      <c r="L157" s="216">
        <v>0</v>
      </c>
      <c r="M157" s="216">
        <v>0</v>
      </c>
      <c r="N157" s="216">
        <v>34549</v>
      </c>
      <c r="O157" s="216">
        <v>0</v>
      </c>
      <c r="P157" s="216">
        <v>0</v>
      </c>
      <c r="Q157" s="216">
        <v>0</v>
      </c>
      <c r="R157" s="216">
        <v>4808</v>
      </c>
      <c r="S157" s="216">
        <v>0</v>
      </c>
      <c r="T157" s="216">
        <v>48532</v>
      </c>
      <c r="U157" s="216">
        <v>14978</v>
      </c>
      <c r="V157" s="216">
        <v>46963</v>
      </c>
      <c r="W157" s="216">
        <v>7254</v>
      </c>
      <c r="X157" s="216">
        <v>19138</v>
      </c>
      <c r="Y157" s="216">
        <v>115619</v>
      </c>
      <c r="Z157" s="216">
        <v>0</v>
      </c>
      <c r="AA157" s="216">
        <v>0</v>
      </c>
      <c r="AB157" s="216">
        <v>133</v>
      </c>
      <c r="AC157" s="105"/>
    </row>
    <row r="158" spans="1:29" s="20" customFormat="1" x14ac:dyDescent="0.25">
      <c r="A158" s="31">
        <f>'M&amp;R Stations'!A158</f>
        <v>39117</v>
      </c>
      <c r="B158" s="216">
        <v>0</v>
      </c>
      <c r="C158" s="216">
        <v>4801</v>
      </c>
      <c r="D158" s="216">
        <v>0</v>
      </c>
      <c r="E158" s="216">
        <v>33959</v>
      </c>
      <c r="F158" s="216">
        <v>0</v>
      </c>
      <c r="G158" s="216">
        <v>32177</v>
      </c>
      <c r="H158" s="216">
        <v>0</v>
      </c>
      <c r="I158" s="216">
        <v>0</v>
      </c>
      <c r="J158" s="216">
        <v>0</v>
      </c>
      <c r="K158" s="216">
        <v>20026</v>
      </c>
      <c r="L158" s="216">
        <v>0</v>
      </c>
      <c r="M158" s="216">
        <v>0</v>
      </c>
      <c r="N158" s="216">
        <v>34582</v>
      </c>
      <c r="O158" s="216">
        <v>0</v>
      </c>
      <c r="P158" s="216">
        <v>0</v>
      </c>
      <c r="Q158" s="216">
        <v>0</v>
      </c>
      <c r="R158" s="216">
        <v>4822</v>
      </c>
      <c r="S158" s="216">
        <v>0</v>
      </c>
      <c r="T158" s="216">
        <v>53686</v>
      </c>
      <c r="U158" s="216">
        <v>15021</v>
      </c>
      <c r="V158" s="216">
        <v>47099</v>
      </c>
      <c r="W158" s="216">
        <v>7275</v>
      </c>
      <c r="X158" s="216">
        <v>19193</v>
      </c>
      <c r="Y158" s="216">
        <v>116366</v>
      </c>
      <c r="Z158" s="216">
        <v>0</v>
      </c>
      <c r="AA158" s="216">
        <v>0</v>
      </c>
      <c r="AB158" s="216">
        <v>133</v>
      </c>
      <c r="AC158" s="105"/>
    </row>
    <row r="159" spans="1:29" s="20" customFormat="1" x14ac:dyDescent="0.25">
      <c r="A159" s="31">
        <f>'M&amp;R Stations'!A159</f>
        <v>39118</v>
      </c>
      <c r="B159" s="216">
        <v>0</v>
      </c>
      <c r="C159" s="216">
        <v>4797</v>
      </c>
      <c r="D159" s="216">
        <v>0</v>
      </c>
      <c r="E159" s="216">
        <v>34205</v>
      </c>
      <c r="F159" s="216">
        <v>0</v>
      </c>
      <c r="G159" s="216">
        <v>32146</v>
      </c>
      <c r="H159" s="216">
        <v>0</v>
      </c>
      <c r="I159" s="216">
        <v>0</v>
      </c>
      <c r="J159" s="216">
        <v>0</v>
      </c>
      <c r="K159" s="216">
        <v>20007</v>
      </c>
      <c r="L159" s="216">
        <v>0</v>
      </c>
      <c r="M159" s="216">
        <v>0</v>
      </c>
      <c r="N159" s="216">
        <v>34549</v>
      </c>
      <c r="O159" s="216">
        <v>0</v>
      </c>
      <c r="P159" s="216">
        <v>0</v>
      </c>
      <c r="Q159" s="216">
        <v>0</v>
      </c>
      <c r="R159" s="216">
        <v>4836</v>
      </c>
      <c r="S159" s="216">
        <v>0</v>
      </c>
      <c r="T159" s="216">
        <v>50909</v>
      </c>
      <c r="U159" s="216">
        <v>15065</v>
      </c>
      <c r="V159" s="216">
        <v>47236</v>
      </c>
      <c r="W159" s="216">
        <v>7296</v>
      </c>
      <c r="X159" s="216">
        <v>19249</v>
      </c>
      <c r="Y159" s="216">
        <v>116704</v>
      </c>
      <c r="Z159" s="216">
        <v>0</v>
      </c>
      <c r="AA159" s="216">
        <v>0</v>
      </c>
      <c r="AB159" s="216">
        <v>134</v>
      </c>
      <c r="AC159" s="105"/>
    </row>
    <row r="160" spans="1:29" s="20" customFormat="1" x14ac:dyDescent="0.25">
      <c r="A160" s="31">
        <f>'M&amp;R Stations'!A160</f>
        <v>39119</v>
      </c>
      <c r="B160" s="216">
        <v>0</v>
      </c>
      <c r="C160" s="216">
        <v>4797</v>
      </c>
      <c r="D160" s="216">
        <v>0</v>
      </c>
      <c r="E160" s="216">
        <v>33292</v>
      </c>
      <c r="F160" s="216">
        <v>0</v>
      </c>
      <c r="G160" s="216">
        <v>32146</v>
      </c>
      <c r="H160" s="216">
        <v>0</v>
      </c>
      <c r="I160" s="216">
        <v>0</v>
      </c>
      <c r="J160" s="216">
        <v>0</v>
      </c>
      <c r="K160" s="216">
        <v>20007</v>
      </c>
      <c r="L160" s="216">
        <v>0</v>
      </c>
      <c r="M160" s="216">
        <v>0</v>
      </c>
      <c r="N160" s="216">
        <v>34549</v>
      </c>
      <c r="O160" s="216">
        <v>0</v>
      </c>
      <c r="P160" s="216">
        <v>0</v>
      </c>
      <c r="Q160" s="216">
        <v>0</v>
      </c>
      <c r="R160" s="216">
        <v>4836</v>
      </c>
      <c r="S160" s="216">
        <v>0</v>
      </c>
      <c r="T160" s="216">
        <v>49310</v>
      </c>
      <c r="U160" s="216">
        <v>15065</v>
      </c>
      <c r="V160" s="216">
        <v>47236</v>
      </c>
      <c r="W160" s="216">
        <v>7296</v>
      </c>
      <c r="X160" s="216">
        <v>19249</v>
      </c>
      <c r="Y160" s="216">
        <v>116704</v>
      </c>
      <c r="Z160" s="216">
        <v>0</v>
      </c>
      <c r="AA160" s="216">
        <v>0</v>
      </c>
      <c r="AB160" s="216">
        <v>134</v>
      </c>
      <c r="AC160" s="105"/>
    </row>
    <row r="161" spans="1:29" s="20" customFormat="1" x14ac:dyDescent="0.25">
      <c r="A161" s="31">
        <f>'M&amp;R Stations'!A161</f>
        <v>39120</v>
      </c>
      <c r="B161" s="216">
        <v>0</v>
      </c>
      <c r="C161" s="216">
        <v>4801</v>
      </c>
      <c r="D161" s="216">
        <v>0</v>
      </c>
      <c r="E161" s="216">
        <v>33992</v>
      </c>
      <c r="F161" s="216">
        <v>0</v>
      </c>
      <c r="G161" s="216">
        <v>32177</v>
      </c>
      <c r="H161" s="216">
        <v>0</v>
      </c>
      <c r="I161" s="216">
        <v>0</v>
      </c>
      <c r="J161" s="216">
        <v>0</v>
      </c>
      <c r="K161" s="216">
        <v>20026</v>
      </c>
      <c r="L161" s="216">
        <v>0</v>
      </c>
      <c r="M161" s="216">
        <v>0</v>
      </c>
      <c r="N161" s="216">
        <v>34582</v>
      </c>
      <c r="O161" s="216">
        <v>0</v>
      </c>
      <c r="P161" s="216">
        <v>0</v>
      </c>
      <c r="Q161" s="216">
        <v>0</v>
      </c>
      <c r="R161" s="216">
        <v>4808</v>
      </c>
      <c r="S161" s="216">
        <v>0</v>
      </c>
      <c r="T161" s="216">
        <v>51497</v>
      </c>
      <c r="U161" s="216">
        <v>14978</v>
      </c>
      <c r="V161" s="216">
        <v>46963</v>
      </c>
      <c r="W161" s="216">
        <v>7254</v>
      </c>
      <c r="X161" s="216">
        <v>17499</v>
      </c>
      <c r="Y161" s="216">
        <v>117428</v>
      </c>
      <c r="Z161" s="216">
        <v>0</v>
      </c>
      <c r="AA161" s="216">
        <v>0</v>
      </c>
      <c r="AB161" s="216">
        <v>133</v>
      </c>
      <c r="AC161" s="105"/>
    </row>
    <row r="162" spans="1:29" s="20" customFormat="1" x14ac:dyDescent="0.25">
      <c r="A162" s="31">
        <f>'M&amp;R Stations'!A162</f>
        <v>39121</v>
      </c>
      <c r="B162" s="216">
        <v>0</v>
      </c>
      <c r="C162" s="216">
        <v>4801</v>
      </c>
      <c r="D162" s="216">
        <v>0</v>
      </c>
      <c r="E162" s="216">
        <v>32878</v>
      </c>
      <c r="F162" s="216">
        <v>0</v>
      </c>
      <c r="G162" s="216">
        <v>28170</v>
      </c>
      <c r="H162" s="216">
        <v>0</v>
      </c>
      <c r="I162" s="216">
        <v>0</v>
      </c>
      <c r="J162" s="216">
        <v>0</v>
      </c>
      <c r="K162" s="216">
        <v>20026</v>
      </c>
      <c r="L162" s="216">
        <v>0</v>
      </c>
      <c r="M162" s="216">
        <v>0</v>
      </c>
      <c r="N162" s="216">
        <v>57466</v>
      </c>
      <c r="O162" s="216">
        <v>0</v>
      </c>
      <c r="P162" s="216">
        <v>0</v>
      </c>
      <c r="Q162" s="216">
        <v>0</v>
      </c>
      <c r="R162" s="216">
        <v>4826</v>
      </c>
      <c r="S162" s="216">
        <v>0</v>
      </c>
      <c r="T162" s="216">
        <v>51181</v>
      </c>
      <c r="U162" s="216">
        <v>15035</v>
      </c>
      <c r="V162" s="216">
        <v>47145</v>
      </c>
      <c r="W162" s="216">
        <v>7282</v>
      </c>
      <c r="X162" s="216">
        <v>19155</v>
      </c>
      <c r="Y162" s="216">
        <v>116535</v>
      </c>
      <c r="Z162" s="216">
        <v>0</v>
      </c>
      <c r="AA162" s="216">
        <v>0</v>
      </c>
      <c r="AB162" s="216">
        <v>133</v>
      </c>
      <c r="AC162" s="105"/>
    </row>
    <row r="163" spans="1:29" s="20" customFormat="1" x14ac:dyDescent="0.25">
      <c r="A163" s="31">
        <f>'M&amp;R Stations'!A163</f>
        <v>39122</v>
      </c>
      <c r="B163" s="216">
        <v>0</v>
      </c>
      <c r="C163" s="216">
        <v>4801</v>
      </c>
      <c r="D163" s="216">
        <v>0</v>
      </c>
      <c r="E163" s="216">
        <v>33331</v>
      </c>
      <c r="F163" s="216">
        <v>0</v>
      </c>
      <c r="G163" s="216">
        <v>28170</v>
      </c>
      <c r="H163" s="216">
        <v>0</v>
      </c>
      <c r="I163" s="216">
        <v>0</v>
      </c>
      <c r="J163" s="216">
        <v>0</v>
      </c>
      <c r="K163" s="216">
        <v>20026</v>
      </c>
      <c r="L163" s="216">
        <v>0</v>
      </c>
      <c r="M163" s="216">
        <v>0</v>
      </c>
      <c r="N163" s="216">
        <v>57466</v>
      </c>
      <c r="O163" s="216">
        <v>0</v>
      </c>
      <c r="P163" s="216">
        <v>0</v>
      </c>
      <c r="Q163" s="216">
        <v>0</v>
      </c>
      <c r="R163" s="216">
        <v>4817</v>
      </c>
      <c r="S163" s="216">
        <v>0</v>
      </c>
      <c r="T163" s="216">
        <v>50949</v>
      </c>
      <c r="U163" s="216">
        <v>15006</v>
      </c>
      <c r="V163" s="216">
        <v>47054</v>
      </c>
      <c r="W163" s="216">
        <v>7268</v>
      </c>
      <c r="X163" s="216">
        <v>19118</v>
      </c>
      <c r="Y163" s="216">
        <v>115745</v>
      </c>
      <c r="Z163" s="216">
        <v>0</v>
      </c>
      <c r="AA163" s="216">
        <v>0</v>
      </c>
      <c r="AB163" s="216">
        <v>133</v>
      </c>
      <c r="AC163" s="105"/>
    </row>
    <row r="164" spans="1:29" s="20" customFormat="1" x14ac:dyDescent="0.25">
      <c r="A164" s="31">
        <f>'M&amp;R Stations'!A164</f>
        <v>39123</v>
      </c>
      <c r="B164" s="216">
        <v>0</v>
      </c>
      <c r="C164" s="216">
        <v>4801</v>
      </c>
      <c r="D164" s="216">
        <v>0</v>
      </c>
      <c r="E164" s="216">
        <v>34830</v>
      </c>
      <c r="F164" s="216">
        <v>0</v>
      </c>
      <c r="G164" s="216">
        <v>28170</v>
      </c>
      <c r="H164" s="216">
        <v>0</v>
      </c>
      <c r="I164" s="216">
        <v>0</v>
      </c>
      <c r="J164" s="216">
        <v>0</v>
      </c>
      <c r="K164" s="216">
        <v>20026</v>
      </c>
      <c r="L164" s="216">
        <v>0</v>
      </c>
      <c r="M164" s="216">
        <v>0</v>
      </c>
      <c r="N164" s="216">
        <v>57466</v>
      </c>
      <c r="O164" s="216">
        <v>0</v>
      </c>
      <c r="P164" s="216">
        <v>0</v>
      </c>
      <c r="Q164" s="216">
        <v>0</v>
      </c>
      <c r="R164" s="216">
        <v>4817</v>
      </c>
      <c r="S164" s="216">
        <v>0</v>
      </c>
      <c r="T164" s="216">
        <v>54181</v>
      </c>
      <c r="U164" s="216">
        <v>15006</v>
      </c>
      <c r="V164" s="216">
        <v>47054</v>
      </c>
      <c r="W164" s="216">
        <v>7268</v>
      </c>
      <c r="X164" s="216">
        <v>19118</v>
      </c>
      <c r="Y164" s="216">
        <v>116310</v>
      </c>
      <c r="Z164" s="216">
        <v>0</v>
      </c>
      <c r="AA164" s="216">
        <v>0</v>
      </c>
      <c r="AB164" s="216">
        <v>133</v>
      </c>
      <c r="AC164" s="105"/>
    </row>
    <row r="165" spans="1:29" s="20" customFormat="1" x14ac:dyDescent="0.25">
      <c r="A165" s="31">
        <f>'M&amp;R Stations'!A165</f>
        <v>39124</v>
      </c>
      <c r="B165" s="216">
        <v>0</v>
      </c>
      <c r="C165" s="216">
        <v>4801</v>
      </c>
      <c r="D165" s="216">
        <v>0</v>
      </c>
      <c r="E165" s="216">
        <v>14075</v>
      </c>
      <c r="F165" s="216">
        <v>0</v>
      </c>
      <c r="G165" s="216">
        <v>28170</v>
      </c>
      <c r="H165" s="216">
        <v>0</v>
      </c>
      <c r="I165" s="216">
        <v>0</v>
      </c>
      <c r="J165" s="216">
        <v>0</v>
      </c>
      <c r="K165" s="216">
        <v>20026</v>
      </c>
      <c r="L165" s="216">
        <v>0</v>
      </c>
      <c r="M165" s="216">
        <v>0</v>
      </c>
      <c r="N165" s="216">
        <v>57466</v>
      </c>
      <c r="O165" s="216">
        <v>0</v>
      </c>
      <c r="P165" s="216">
        <v>0</v>
      </c>
      <c r="Q165" s="216">
        <v>0</v>
      </c>
      <c r="R165" s="216">
        <v>4826</v>
      </c>
      <c r="S165" s="216">
        <v>0</v>
      </c>
      <c r="T165" s="216">
        <v>42778</v>
      </c>
      <c r="U165" s="216">
        <v>15035</v>
      </c>
      <c r="V165" s="216">
        <v>47145</v>
      </c>
      <c r="W165" s="216">
        <v>7282</v>
      </c>
      <c r="X165" s="216">
        <v>19155</v>
      </c>
      <c r="Y165" s="216">
        <v>116535</v>
      </c>
      <c r="Z165" s="216">
        <v>0</v>
      </c>
      <c r="AA165" s="216">
        <v>0</v>
      </c>
      <c r="AB165" s="216">
        <v>133</v>
      </c>
      <c r="AC165" s="105"/>
    </row>
    <row r="166" spans="1:29" s="20" customFormat="1" x14ac:dyDescent="0.25">
      <c r="A166" s="31">
        <f>'M&amp;R Stations'!A166</f>
        <v>39125</v>
      </c>
      <c r="B166" s="216">
        <v>0</v>
      </c>
      <c r="C166" s="216">
        <v>4801</v>
      </c>
      <c r="D166" s="216">
        <v>0</v>
      </c>
      <c r="E166" s="216">
        <v>913</v>
      </c>
      <c r="F166" s="216">
        <v>0</v>
      </c>
      <c r="G166" s="216">
        <v>24695</v>
      </c>
      <c r="H166" s="216">
        <v>0</v>
      </c>
      <c r="I166" s="216">
        <v>0</v>
      </c>
      <c r="J166" s="216">
        <v>0</v>
      </c>
      <c r="K166" s="216">
        <v>10567</v>
      </c>
      <c r="L166" s="216">
        <v>0</v>
      </c>
      <c r="M166" s="216">
        <v>0</v>
      </c>
      <c r="N166" s="216">
        <v>57466</v>
      </c>
      <c r="O166" s="216">
        <v>0</v>
      </c>
      <c r="P166" s="216">
        <v>0</v>
      </c>
      <c r="Q166" s="216">
        <v>0</v>
      </c>
      <c r="R166" s="216">
        <v>4836</v>
      </c>
      <c r="S166" s="216">
        <v>0</v>
      </c>
      <c r="T166" s="216">
        <v>41923</v>
      </c>
      <c r="U166" s="216">
        <v>15065</v>
      </c>
      <c r="V166" s="216">
        <v>14522</v>
      </c>
      <c r="W166" s="216">
        <v>7296</v>
      </c>
      <c r="X166" s="216">
        <v>7029</v>
      </c>
      <c r="Y166" s="216">
        <v>116760</v>
      </c>
      <c r="Z166" s="216">
        <v>0</v>
      </c>
      <c r="AA166" s="216">
        <v>0</v>
      </c>
      <c r="AB166" s="216">
        <v>134</v>
      </c>
      <c r="AC166" s="105"/>
    </row>
    <row r="167" spans="1:29" s="20" customFormat="1" x14ac:dyDescent="0.25">
      <c r="A167" s="31">
        <f>'M&amp;R Stations'!A167</f>
        <v>39126</v>
      </c>
      <c r="B167" s="216">
        <v>0</v>
      </c>
      <c r="C167" s="216">
        <v>4801</v>
      </c>
      <c r="D167" s="216">
        <v>0</v>
      </c>
      <c r="E167" s="216">
        <v>29671</v>
      </c>
      <c r="F167" s="216">
        <v>0</v>
      </c>
      <c r="G167" s="216">
        <v>24695</v>
      </c>
      <c r="H167" s="216">
        <v>0</v>
      </c>
      <c r="I167" s="216">
        <v>0</v>
      </c>
      <c r="J167" s="216">
        <v>0</v>
      </c>
      <c r="K167" s="216">
        <v>20026</v>
      </c>
      <c r="L167" s="216">
        <v>0</v>
      </c>
      <c r="M167" s="216">
        <v>0</v>
      </c>
      <c r="N167" s="216">
        <v>57466</v>
      </c>
      <c r="O167" s="216">
        <v>0</v>
      </c>
      <c r="P167" s="216">
        <v>0</v>
      </c>
      <c r="Q167" s="216">
        <v>0</v>
      </c>
      <c r="R167" s="216">
        <v>4845</v>
      </c>
      <c r="S167" s="216">
        <v>0</v>
      </c>
      <c r="T167" s="216">
        <v>53042</v>
      </c>
      <c r="U167" s="216">
        <v>15094</v>
      </c>
      <c r="V167" s="216">
        <v>47328</v>
      </c>
      <c r="W167" s="216">
        <v>7310</v>
      </c>
      <c r="X167" s="216">
        <v>19230</v>
      </c>
      <c r="Y167" s="216">
        <v>116522</v>
      </c>
      <c r="Z167" s="216">
        <v>0</v>
      </c>
      <c r="AA167" s="216">
        <v>0</v>
      </c>
      <c r="AB167" s="216">
        <v>134</v>
      </c>
      <c r="AC167" s="105"/>
    </row>
    <row r="168" spans="1:29" s="20" customFormat="1" x14ac:dyDescent="0.25">
      <c r="A168" s="31">
        <f>'M&amp;R Stations'!A168</f>
        <v>39127</v>
      </c>
      <c r="B168" s="216">
        <v>0</v>
      </c>
      <c r="C168" s="216">
        <v>4806</v>
      </c>
      <c r="D168" s="216">
        <v>0</v>
      </c>
      <c r="E168" s="216">
        <v>29585</v>
      </c>
      <c r="F168" s="216">
        <v>0</v>
      </c>
      <c r="G168" s="216">
        <v>28197</v>
      </c>
      <c r="H168" s="216">
        <v>0</v>
      </c>
      <c r="I168" s="216">
        <v>0</v>
      </c>
      <c r="J168" s="216">
        <v>0</v>
      </c>
      <c r="K168" s="216">
        <v>20045</v>
      </c>
      <c r="L168" s="216">
        <v>0</v>
      </c>
      <c r="M168" s="216">
        <v>0</v>
      </c>
      <c r="N168" s="216">
        <v>57521</v>
      </c>
      <c r="O168" s="216">
        <v>0</v>
      </c>
      <c r="P168" s="216">
        <v>0</v>
      </c>
      <c r="Q168" s="216">
        <v>0</v>
      </c>
      <c r="R168" s="216">
        <v>4845</v>
      </c>
      <c r="S168" s="216">
        <v>0</v>
      </c>
      <c r="T168" s="216">
        <v>53866</v>
      </c>
      <c r="U168" s="216">
        <v>15094</v>
      </c>
      <c r="V168" s="216">
        <v>47328</v>
      </c>
      <c r="W168" s="216">
        <v>7310</v>
      </c>
      <c r="X168" s="216">
        <v>19286</v>
      </c>
      <c r="Y168" s="216">
        <v>116386</v>
      </c>
      <c r="Z168" s="216">
        <v>0</v>
      </c>
      <c r="AA168" s="216">
        <v>0</v>
      </c>
      <c r="AB168" s="216">
        <v>134</v>
      </c>
      <c r="AC168" s="105"/>
    </row>
    <row r="169" spans="1:29" s="20" customFormat="1" x14ac:dyDescent="0.25">
      <c r="A169" s="31">
        <f>'M&amp;R Stations'!A169</f>
        <v>39128</v>
      </c>
      <c r="B169" s="216">
        <v>0</v>
      </c>
      <c r="C169" s="216">
        <v>4806</v>
      </c>
      <c r="D169" s="216">
        <v>0</v>
      </c>
      <c r="E169" s="216">
        <v>33971</v>
      </c>
      <c r="F169" s="216">
        <v>0</v>
      </c>
      <c r="G169" s="216">
        <v>28197</v>
      </c>
      <c r="H169" s="216">
        <v>0</v>
      </c>
      <c r="I169" s="216">
        <v>0</v>
      </c>
      <c r="J169" s="216">
        <v>0</v>
      </c>
      <c r="K169" s="216">
        <v>20045</v>
      </c>
      <c r="L169" s="216">
        <v>0</v>
      </c>
      <c r="M169" s="216">
        <v>0</v>
      </c>
      <c r="N169" s="216">
        <v>57521</v>
      </c>
      <c r="O169" s="216">
        <v>0</v>
      </c>
      <c r="P169" s="216">
        <v>0</v>
      </c>
      <c r="Q169" s="216">
        <v>0</v>
      </c>
      <c r="R169" s="216">
        <v>4836</v>
      </c>
      <c r="S169" s="216">
        <v>0</v>
      </c>
      <c r="T169" s="216">
        <v>55514</v>
      </c>
      <c r="U169" s="216">
        <v>15065</v>
      </c>
      <c r="V169" s="216">
        <v>47236</v>
      </c>
      <c r="W169" s="216">
        <v>7296</v>
      </c>
      <c r="X169" s="216">
        <v>19249</v>
      </c>
      <c r="Y169" s="216">
        <v>116704</v>
      </c>
      <c r="Z169" s="216">
        <v>0</v>
      </c>
      <c r="AA169" s="216">
        <v>0</v>
      </c>
      <c r="AB169" s="216">
        <v>134</v>
      </c>
      <c r="AC169" s="105"/>
    </row>
    <row r="170" spans="1:29" s="20" customFormat="1" x14ac:dyDescent="0.25">
      <c r="A170" s="31">
        <f>'M&amp;R Stations'!A170</f>
        <v>39129</v>
      </c>
      <c r="B170" s="216">
        <v>0</v>
      </c>
      <c r="C170" s="216">
        <v>4806</v>
      </c>
      <c r="D170" s="216">
        <v>0</v>
      </c>
      <c r="E170" s="216">
        <v>33027</v>
      </c>
      <c r="F170" s="216">
        <v>0</v>
      </c>
      <c r="G170" s="216">
        <v>28197</v>
      </c>
      <c r="H170" s="216">
        <v>0</v>
      </c>
      <c r="I170" s="216">
        <v>0</v>
      </c>
      <c r="J170" s="216">
        <v>0</v>
      </c>
      <c r="K170" s="216">
        <v>20045</v>
      </c>
      <c r="L170" s="216">
        <v>0</v>
      </c>
      <c r="M170" s="216">
        <v>0</v>
      </c>
      <c r="N170" s="216">
        <v>57521</v>
      </c>
      <c r="O170" s="216">
        <v>0</v>
      </c>
      <c r="P170" s="216">
        <v>0</v>
      </c>
      <c r="Q170" s="216">
        <v>0</v>
      </c>
      <c r="R170" s="216">
        <v>4836</v>
      </c>
      <c r="S170" s="216">
        <v>0</v>
      </c>
      <c r="T170" s="216">
        <v>54094</v>
      </c>
      <c r="U170" s="216">
        <v>15065</v>
      </c>
      <c r="V170" s="216">
        <v>47236</v>
      </c>
      <c r="W170" s="216">
        <v>7296</v>
      </c>
      <c r="X170" s="216">
        <v>19249</v>
      </c>
      <c r="Y170" s="216">
        <v>115305</v>
      </c>
      <c r="Z170" s="216">
        <v>0</v>
      </c>
      <c r="AA170" s="216">
        <v>0</v>
      </c>
      <c r="AB170" s="216">
        <v>134</v>
      </c>
      <c r="AC170" s="105"/>
    </row>
    <row r="171" spans="1:29" s="20" customFormat="1" x14ac:dyDescent="0.25">
      <c r="A171" s="31">
        <f>'M&amp;R Stations'!A171</f>
        <v>39130</v>
      </c>
      <c r="B171" s="216">
        <v>0</v>
      </c>
      <c r="C171" s="216">
        <v>4806</v>
      </c>
      <c r="D171" s="216">
        <v>0</v>
      </c>
      <c r="E171" s="216">
        <v>150</v>
      </c>
      <c r="F171" s="216">
        <v>0</v>
      </c>
      <c r="G171" s="216">
        <v>28197</v>
      </c>
      <c r="H171" s="216">
        <v>0</v>
      </c>
      <c r="I171" s="216">
        <v>0</v>
      </c>
      <c r="J171" s="216">
        <v>0</v>
      </c>
      <c r="K171" s="216">
        <v>20045</v>
      </c>
      <c r="L171" s="216">
        <v>0</v>
      </c>
      <c r="M171" s="216">
        <v>0</v>
      </c>
      <c r="N171" s="216">
        <v>57521</v>
      </c>
      <c r="O171" s="216">
        <v>0</v>
      </c>
      <c r="P171" s="216">
        <v>0</v>
      </c>
      <c r="Q171" s="216">
        <v>0</v>
      </c>
      <c r="R171" s="216">
        <v>4615</v>
      </c>
      <c r="S171" s="216">
        <v>0</v>
      </c>
      <c r="T171" s="216">
        <v>48077</v>
      </c>
      <c r="U171" s="216">
        <v>14978</v>
      </c>
      <c r="V171" s="216">
        <v>34820</v>
      </c>
      <c r="W171" s="216">
        <v>7254</v>
      </c>
      <c r="X171" s="216">
        <v>6988</v>
      </c>
      <c r="Y171" s="216">
        <v>116031</v>
      </c>
      <c r="Z171" s="216">
        <v>0</v>
      </c>
      <c r="AA171" s="216">
        <v>0</v>
      </c>
      <c r="AB171" s="216">
        <v>133</v>
      </c>
      <c r="AC171" s="105"/>
    </row>
    <row r="172" spans="1:29" s="20" customFormat="1" x14ac:dyDescent="0.25">
      <c r="A172" s="31">
        <f>'M&amp;R Stations'!A172</f>
        <v>39131</v>
      </c>
      <c r="B172" s="216">
        <v>0</v>
      </c>
      <c r="C172" s="216">
        <v>4806</v>
      </c>
      <c r="D172" s="216">
        <v>0</v>
      </c>
      <c r="E172" s="216">
        <v>28846</v>
      </c>
      <c r="F172" s="216">
        <v>0</v>
      </c>
      <c r="G172" s="216">
        <v>28197</v>
      </c>
      <c r="H172" s="216">
        <v>0</v>
      </c>
      <c r="I172" s="216">
        <v>0</v>
      </c>
      <c r="J172" s="216">
        <v>0</v>
      </c>
      <c r="K172" s="216">
        <v>20045</v>
      </c>
      <c r="L172" s="216">
        <v>0</v>
      </c>
      <c r="M172" s="216">
        <v>0</v>
      </c>
      <c r="N172" s="216">
        <v>57521</v>
      </c>
      <c r="O172" s="216">
        <v>0</v>
      </c>
      <c r="P172" s="216">
        <v>0</v>
      </c>
      <c r="Q172" s="216">
        <v>0</v>
      </c>
      <c r="R172" s="216">
        <v>4624</v>
      </c>
      <c r="S172" s="216">
        <v>0</v>
      </c>
      <c r="T172" s="216">
        <v>54913</v>
      </c>
      <c r="U172" s="216">
        <v>15006</v>
      </c>
      <c r="V172" s="216">
        <v>47054</v>
      </c>
      <c r="W172" s="216">
        <v>7268</v>
      </c>
      <c r="X172" s="216">
        <v>19174</v>
      </c>
      <c r="Y172" s="216">
        <v>116254</v>
      </c>
      <c r="Z172" s="216">
        <v>0</v>
      </c>
      <c r="AA172" s="216">
        <v>0</v>
      </c>
      <c r="AB172" s="216">
        <v>133</v>
      </c>
      <c r="AC172" s="105"/>
    </row>
    <row r="173" spans="1:29" s="20" customFormat="1" x14ac:dyDescent="0.25">
      <c r="A173" s="31">
        <f>'M&amp;R Stations'!A173</f>
        <v>39132</v>
      </c>
      <c r="B173" s="216">
        <v>0</v>
      </c>
      <c r="C173" s="216">
        <v>4810</v>
      </c>
      <c r="D173" s="216">
        <v>0</v>
      </c>
      <c r="E173" s="216">
        <v>13899</v>
      </c>
      <c r="F173" s="216">
        <v>0</v>
      </c>
      <c r="G173" s="216">
        <v>28224</v>
      </c>
      <c r="H173" s="216">
        <v>0</v>
      </c>
      <c r="I173" s="216">
        <v>0</v>
      </c>
      <c r="J173" s="216">
        <v>0</v>
      </c>
      <c r="K173" s="216">
        <v>20064</v>
      </c>
      <c r="L173" s="216">
        <v>0</v>
      </c>
      <c r="M173" s="216">
        <v>0</v>
      </c>
      <c r="N173" s="216">
        <v>57577</v>
      </c>
      <c r="O173" s="216">
        <v>0</v>
      </c>
      <c r="P173" s="216">
        <v>0</v>
      </c>
      <c r="Q173" s="216">
        <v>0</v>
      </c>
      <c r="R173" s="216">
        <v>4620</v>
      </c>
      <c r="S173" s="216">
        <v>0</v>
      </c>
      <c r="T173" s="216">
        <v>48123</v>
      </c>
      <c r="U173" s="216">
        <v>14992</v>
      </c>
      <c r="V173" s="216">
        <v>47009</v>
      </c>
      <c r="W173" s="216">
        <v>7261</v>
      </c>
      <c r="X173" s="216">
        <v>18135</v>
      </c>
      <c r="Y173" s="216">
        <v>116142</v>
      </c>
      <c r="Z173" s="216">
        <v>0</v>
      </c>
      <c r="AA173" s="216">
        <v>0</v>
      </c>
      <c r="AB173" s="216">
        <v>133</v>
      </c>
      <c r="AC173" s="105"/>
    </row>
    <row r="174" spans="1:29" s="20" customFormat="1" x14ac:dyDescent="0.25">
      <c r="A174" s="31">
        <f>'M&amp;R Stations'!A174</f>
        <v>39133</v>
      </c>
      <c r="B174" s="216">
        <v>0</v>
      </c>
      <c r="C174" s="216">
        <v>4806</v>
      </c>
      <c r="D174" s="216">
        <v>0</v>
      </c>
      <c r="E174" s="216">
        <v>283</v>
      </c>
      <c r="F174" s="216">
        <v>0</v>
      </c>
      <c r="G174" s="216">
        <v>28197</v>
      </c>
      <c r="H174" s="216">
        <v>0</v>
      </c>
      <c r="I174" s="216">
        <v>0</v>
      </c>
      <c r="J174" s="216">
        <v>0</v>
      </c>
      <c r="K174" s="216">
        <v>20045</v>
      </c>
      <c r="L174" s="216">
        <v>0</v>
      </c>
      <c r="M174" s="216">
        <v>0</v>
      </c>
      <c r="N174" s="216">
        <v>57521</v>
      </c>
      <c r="O174" s="216">
        <v>0</v>
      </c>
      <c r="P174" s="216">
        <v>0</v>
      </c>
      <c r="Q174" s="216">
        <v>0</v>
      </c>
      <c r="R174" s="216">
        <v>0</v>
      </c>
      <c r="S174" s="216">
        <v>0</v>
      </c>
      <c r="T174" s="216">
        <v>0</v>
      </c>
      <c r="U174" s="216">
        <v>15021</v>
      </c>
      <c r="V174" s="216">
        <v>0</v>
      </c>
      <c r="W174" s="216">
        <v>7275</v>
      </c>
      <c r="X174" s="216">
        <v>2119</v>
      </c>
      <c r="Y174" s="216">
        <v>116366</v>
      </c>
      <c r="Z174" s="216">
        <v>0</v>
      </c>
      <c r="AA174" s="216">
        <v>0</v>
      </c>
      <c r="AB174" s="216">
        <v>133</v>
      </c>
      <c r="AC174" s="105"/>
    </row>
    <row r="175" spans="1:29" s="20" customFormat="1" x14ac:dyDescent="0.25">
      <c r="A175" s="31">
        <f>'M&amp;R Stations'!A175</f>
        <v>39134</v>
      </c>
      <c r="B175" s="216">
        <v>0</v>
      </c>
      <c r="C175" s="216">
        <v>4810</v>
      </c>
      <c r="D175" s="216">
        <v>0</v>
      </c>
      <c r="E175" s="216">
        <v>76</v>
      </c>
      <c r="F175" s="216">
        <v>0</v>
      </c>
      <c r="G175" s="216">
        <v>28224</v>
      </c>
      <c r="H175" s="216">
        <v>0</v>
      </c>
      <c r="I175" s="216">
        <v>0</v>
      </c>
      <c r="J175" s="216">
        <v>0</v>
      </c>
      <c r="K175" s="216">
        <v>20064</v>
      </c>
      <c r="L175" s="216">
        <v>0</v>
      </c>
      <c r="M175" s="216">
        <v>0</v>
      </c>
      <c r="N175" s="216">
        <v>34649</v>
      </c>
      <c r="O175" s="216">
        <v>0</v>
      </c>
      <c r="P175" s="216">
        <v>0</v>
      </c>
      <c r="Q175" s="216">
        <v>0</v>
      </c>
      <c r="R175" s="216">
        <v>4339</v>
      </c>
      <c r="S175" s="216">
        <v>0</v>
      </c>
      <c r="T175" s="216">
        <v>434</v>
      </c>
      <c r="U175" s="216">
        <v>15021</v>
      </c>
      <c r="V175" s="216">
        <v>14480</v>
      </c>
      <c r="W175" s="216">
        <v>7275</v>
      </c>
      <c r="X175" s="216">
        <v>7009</v>
      </c>
      <c r="Y175" s="216">
        <v>116366</v>
      </c>
      <c r="Z175" s="216">
        <v>0</v>
      </c>
      <c r="AA175" s="216">
        <v>0</v>
      </c>
      <c r="AB175" s="216">
        <v>133</v>
      </c>
      <c r="AC175" s="105"/>
    </row>
    <row r="176" spans="1:29" s="20" customFormat="1" x14ac:dyDescent="0.25">
      <c r="A176" s="31">
        <f>'M&amp;R Stations'!A176</f>
        <v>39135</v>
      </c>
      <c r="B176" s="216">
        <v>0</v>
      </c>
      <c r="C176" s="216">
        <v>4801</v>
      </c>
      <c r="D176" s="216">
        <v>0</v>
      </c>
      <c r="E176" s="216">
        <v>10111</v>
      </c>
      <c r="F176" s="216">
        <v>0</v>
      </c>
      <c r="G176" s="216">
        <v>28170</v>
      </c>
      <c r="H176" s="216">
        <v>0</v>
      </c>
      <c r="I176" s="216">
        <v>0</v>
      </c>
      <c r="J176" s="216">
        <v>0</v>
      </c>
      <c r="K176" s="216">
        <v>20026</v>
      </c>
      <c r="L176" s="216">
        <v>0</v>
      </c>
      <c r="M176" s="216">
        <v>0</v>
      </c>
      <c r="N176" s="216">
        <v>34582</v>
      </c>
      <c r="O176" s="216">
        <v>0</v>
      </c>
      <c r="P176" s="216">
        <v>0</v>
      </c>
      <c r="Q176" s="216">
        <v>0</v>
      </c>
      <c r="R176" s="216">
        <v>4335</v>
      </c>
      <c r="S176" s="216">
        <v>0</v>
      </c>
      <c r="T176" s="216">
        <v>48170</v>
      </c>
      <c r="U176" s="216">
        <v>15006</v>
      </c>
      <c r="V176" s="216">
        <v>14699</v>
      </c>
      <c r="W176" s="216">
        <v>7268</v>
      </c>
      <c r="X176" s="216">
        <v>7002</v>
      </c>
      <c r="Y176" s="216">
        <v>117648</v>
      </c>
      <c r="Z176" s="216">
        <v>0</v>
      </c>
      <c r="AA176" s="216">
        <v>0</v>
      </c>
      <c r="AB176" s="216">
        <v>133</v>
      </c>
      <c r="AC176" s="105"/>
    </row>
    <row r="177" spans="1:29" s="20" customFormat="1" x14ac:dyDescent="0.25">
      <c r="A177" s="31">
        <f>'M&amp;R Stations'!A177</f>
        <v>39136</v>
      </c>
      <c r="B177" s="216">
        <v>0</v>
      </c>
      <c r="C177" s="216">
        <v>4806</v>
      </c>
      <c r="D177" s="216">
        <v>0</v>
      </c>
      <c r="E177" s="216">
        <v>34441</v>
      </c>
      <c r="F177" s="216">
        <v>0</v>
      </c>
      <c r="G177" s="216">
        <v>28197</v>
      </c>
      <c r="H177" s="216">
        <v>0</v>
      </c>
      <c r="I177" s="216">
        <v>0</v>
      </c>
      <c r="J177" s="216">
        <v>0</v>
      </c>
      <c r="K177" s="216">
        <v>20045</v>
      </c>
      <c r="L177" s="216">
        <v>0</v>
      </c>
      <c r="M177" s="216">
        <v>0</v>
      </c>
      <c r="N177" s="216">
        <v>34615</v>
      </c>
      <c r="O177" s="216">
        <v>0</v>
      </c>
      <c r="P177" s="216">
        <v>0</v>
      </c>
      <c r="Q177" s="216">
        <v>0</v>
      </c>
      <c r="R177" s="216">
        <v>4335</v>
      </c>
      <c r="S177" s="216">
        <v>0</v>
      </c>
      <c r="T177" s="216">
        <v>55538</v>
      </c>
      <c r="U177" s="216">
        <v>15006</v>
      </c>
      <c r="V177" s="216">
        <v>43951</v>
      </c>
      <c r="W177" s="216">
        <v>7268</v>
      </c>
      <c r="X177" s="216">
        <v>22277</v>
      </c>
      <c r="Y177" s="216">
        <v>116254</v>
      </c>
      <c r="Z177" s="216">
        <v>0</v>
      </c>
      <c r="AA177" s="216">
        <v>0</v>
      </c>
      <c r="AB177" s="216">
        <v>133</v>
      </c>
      <c r="AC177" s="105"/>
    </row>
    <row r="178" spans="1:29" s="20" customFormat="1" x14ac:dyDescent="0.25">
      <c r="A178" s="31">
        <f>'M&amp;R Stations'!A178</f>
        <v>39137</v>
      </c>
      <c r="B178" s="216">
        <v>0</v>
      </c>
      <c r="C178" s="216">
        <v>4824</v>
      </c>
      <c r="D178" s="216">
        <v>0</v>
      </c>
      <c r="E178" s="216">
        <v>28888</v>
      </c>
      <c r="F178" s="216">
        <v>0</v>
      </c>
      <c r="G178" s="216">
        <v>28306</v>
      </c>
      <c r="H178" s="216">
        <v>0</v>
      </c>
      <c r="I178" s="216">
        <v>0</v>
      </c>
      <c r="J178" s="216">
        <v>0</v>
      </c>
      <c r="K178" s="216">
        <v>20123</v>
      </c>
      <c r="L178" s="216">
        <v>0</v>
      </c>
      <c r="M178" s="216">
        <v>0</v>
      </c>
      <c r="N178" s="216">
        <v>34749</v>
      </c>
      <c r="O178" s="216">
        <v>0</v>
      </c>
      <c r="P178" s="216">
        <v>0</v>
      </c>
      <c r="Q178" s="216">
        <v>0</v>
      </c>
      <c r="R178" s="216">
        <v>3906</v>
      </c>
      <c r="S178" s="216">
        <v>0</v>
      </c>
      <c r="T178" s="216">
        <v>43391</v>
      </c>
      <c r="U178" s="216">
        <v>15212</v>
      </c>
      <c r="V178" s="216">
        <v>34195</v>
      </c>
      <c r="W178" s="216">
        <v>7367</v>
      </c>
      <c r="X178" s="216">
        <v>13407</v>
      </c>
      <c r="Y178" s="216">
        <v>117844</v>
      </c>
      <c r="Z178" s="216">
        <v>0</v>
      </c>
      <c r="AA178" s="216">
        <v>0</v>
      </c>
      <c r="AB178" s="216">
        <v>135</v>
      </c>
      <c r="AC178" s="105"/>
    </row>
    <row r="179" spans="1:29" s="20" customFormat="1" x14ac:dyDescent="0.25">
      <c r="A179" s="31">
        <f>'M&amp;R Stations'!A179</f>
        <v>39138</v>
      </c>
      <c r="B179" s="216">
        <v>0</v>
      </c>
      <c r="C179" s="216">
        <v>4824</v>
      </c>
      <c r="D179" s="216">
        <v>0</v>
      </c>
      <c r="E179" s="216">
        <v>31623</v>
      </c>
      <c r="F179" s="216">
        <v>0</v>
      </c>
      <c r="G179" s="216">
        <v>24815</v>
      </c>
      <c r="H179" s="216">
        <v>0</v>
      </c>
      <c r="I179" s="216">
        <v>0</v>
      </c>
      <c r="J179" s="216">
        <v>0</v>
      </c>
      <c r="K179" s="216">
        <v>20123</v>
      </c>
      <c r="L179" s="216">
        <v>0</v>
      </c>
      <c r="M179" s="216">
        <v>0</v>
      </c>
      <c r="N179" s="216">
        <v>34749</v>
      </c>
      <c r="O179" s="216">
        <v>0</v>
      </c>
      <c r="P179" s="216">
        <v>0</v>
      </c>
      <c r="Q179" s="216">
        <v>0</v>
      </c>
      <c r="R179" s="216">
        <v>3906</v>
      </c>
      <c r="S179" s="216">
        <v>0</v>
      </c>
      <c r="T179" s="216">
        <v>54375</v>
      </c>
      <c r="U179" s="216">
        <v>15212</v>
      </c>
      <c r="V179" s="216">
        <v>34195</v>
      </c>
      <c r="W179" s="216">
        <v>7367</v>
      </c>
      <c r="X179" s="216">
        <v>13407</v>
      </c>
      <c r="Y179" s="216">
        <v>117844</v>
      </c>
      <c r="Z179" s="216">
        <v>0</v>
      </c>
      <c r="AA179" s="216">
        <v>0</v>
      </c>
      <c r="AB179" s="216">
        <v>135</v>
      </c>
      <c r="AC179" s="105"/>
    </row>
    <row r="180" spans="1:29" s="20" customFormat="1" x14ac:dyDescent="0.25">
      <c r="A180" s="31">
        <f>'M&amp;R Stations'!A180</f>
        <v>39139</v>
      </c>
      <c r="B180" s="216">
        <v>0</v>
      </c>
      <c r="C180" s="216">
        <v>4806</v>
      </c>
      <c r="D180" s="216">
        <v>0</v>
      </c>
      <c r="E180" s="216">
        <v>28696</v>
      </c>
      <c r="F180" s="216">
        <v>0</v>
      </c>
      <c r="G180" s="216">
        <v>24719</v>
      </c>
      <c r="H180" s="216">
        <v>0</v>
      </c>
      <c r="I180" s="216">
        <v>0</v>
      </c>
      <c r="J180" s="216">
        <v>0</v>
      </c>
      <c r="K180" s="216">
        <v>20045</v>
      </c>
      <c r="L180" s="216">
        <v>0</v>
      </c>
      <c r="M180" s="216">
        <v>0</v>
      </c>
      <c r="N180" s="216">
        <v>34615</v>
      </c>
      <c r="O180" s="216">
        <v>0</v>
      </c>
      <c r="P180" s="216">
        <v>0</v>
      </c>
      <c r="Q180" s="216">
        <v>0</v>
      </c>
      <c r="R180" s="216">
        <v>3876</v>
      </c>
      <c r="S180" s="216">
        <v>0</v>
      </c>
      <c r="T180" s="216">
        <v>33807</v>
      </c>
      <c r="U180" s="216">
        <v>15094</v>
      </c>
      <c r="V180" s="216">
        <v>33930</v>
      </c>
      <c r="W180" s="216">
        <v>7310</v>
      </c>
      <c r="X180" s="216">
        <v>7043</v>
      </c>
      <c r="Y180" s="216">
        <v>116930</v>
      </c>
      <c r="Z180" s="216">
        <v>0</v>
      </c>
      <c r="AA180" s="216">
        <v>0</v>
      </c>
      <c r="AB180" s="216">
        <v>134</v>
      </c>
      <c r="AC180" s="105"/>
    </row>
    <row r="181" spans="1:29" s="20" customFormat="1" x14ac:dyDescent="0.25">
      <c r="A181" s="31">
        <f>'M&amp;R Stations'!A181</f>
        <v>39140</v>
      </c>
      <c r="B181" s="216">
        <v>0</v>
      </c>
      <c r="C181" s="216">
        <v>4810</v>
      </c>
      <c r="D181" s="216">
        <v>0</v>
      </c>
      <c r="E181" s="216">
        <v>21606</v>
      </c>
      <c r="F181" s="216">
        <v>0</v>
      </c>
      <c r="G181" s="216">
        <v>24743</v>
      </c>
      <c r="H181" s="216">
        <v>0</v>
      </c>
      <c r="I181" s="216">
        <v>0</v>
      </c>
      <c r="J181" s="216">
        <v>0</v>
      </c>
      <c r="K181" s="216">
        <v>20064</v>
      </c>
      <c r="L181" s="216">
        <v>0</v>
      </c>
      <c r="M181" s="216">
        <v>0</v>
      </c>
      <c r="N181" s="216">
        <v>34649</v>
      </c>
      <c r="O181" s="216">
        <v>0</v>
      </c>
      <c r="P181" s="216">
        <v>0</v>
      </c>
      <c r="Q181" s="216">
        <v>0</v>
      </c>
      <c r="R181" s="216">
        <v>47</v>
      </c>
      <c r="S181" s="216">
        <v>0</v>
      </c>
      <c r="T181" s="216">
        <v>0</v>
      </c>
      <c r="U181" s="216">
        <v>15094</v>
      </c>
      <c r="V181" s="216">
        <v>14550</v>
      </c>
      <c r="W181" s="216">
        <v>7310</v>
      </c>
      <c r="X181" s="216">
        <v>7043</v>
      </c>
      <c r="Y181" s="216">
        <v>119142</v>
      </c>
      <c r="Z181" s="216">
        <v>0</v>
      </c>
      <c r="AA181" s="216">
        <v>0</v>
      </c>
      <c r="AB181" s="216">
        <v>134</v>
      </c>
      <c r="AC181" s="105"/>
    </row>
    <row r="182" spans="1:29" s="20" customFormat="1" x14ac:dyDescent="0.25">
      <c r="A182" s="31">
        <f>'M&amp;R Stations'!A182</f>
        <v>39141</v>
      </c>
      <c r="B182" s="216">
        <v>0</v>
      </c>
      <c r="C182" s="216">
        <v>4820</v>
      </c>
      <c r="D182" s="216">
        <v>0</v>
      </c>
      <c r="E182" s="216">
        <v>28937</v>
      </c>
      <c r="F182" s="216">
        <v>0</v>
      </c>
      <c r="G182" s="216">
        <v>24791</v>
      </c>
      <c r="H182" s="216">
        <v>0</v>
      </c>
      <c r="I182" s="216">
        <v>0</v>
      </c>
      <c r="J182" s="216">
        <v>0</v>
      </c>
      <c r="K182" s="216">
        <v>20103</v>
      </c>
      <c r="L182" s="216">
        <v>0</v>
      </c>
      <c r="M182" s="216">
        <v>0</v>
      </c>
      <c r="N182" s="216">
        <v>34716</v>
      </c>
      <c r="O182" s="216">
        <v>0</v>
      </c>
      <c r="P182" s="216">
        <v>0</v>
      </c>
      <c r="Q182" s="216">
        <v>0</v>
      </c>
      <c r="R182" s="216">
        <v>3872</v>
      </c>
      <c r="S182" s="216">
        <v>0</v>
      </c>
      <c r="T182" s="216">
        <v>8976</v>
      </c>
      <c r="U182" s="216">
        <v>15079</v>
      </c>
      <c r="V182" s="216">
        <v>14536</v>
      </c>
      <c r="W182" s="216">
        <v>7303</v>
      </c>
      <c r="X182" s="216">
        <v>7036</v>
      </c>
      <c r="Y182" s="216">
        <v>116817</v>
      </c>
      <c r="Z182" s="216">
        <v>0</v>
      </c>
      <c r="AA182" s="216">
        <v>0</v>
      </c>
      <c r="AB182" s="216">
        <v>134</v>
      </c>
      <c r="AC182" s="105"/>
    </row>
    <row r="183" spans="1:29" s="20" customFormat="1" x14ac:dyDescent="0.25">
      <c r="A183" s="31">
        <f>'M&amp;R Stations'!A183</f>
        <v>39142</v>
      </c>
      <c r="B183" s="216">
        <v>0</v>
      </c>
      <c r="C183" s="216">
        <v>4815</v>
      </c>
      <c r="D183" s="216">
        <v>0</v>
      </c>
      <c r="E183" s="216">
        <v>0</v>
      </c>
      <c r="F183" s="216">
        <v>0</v>
      </c>
      <c r="G183" s="216">
        <v>28251</v>
      </c>
      <c r="H183" s="216">
        <v>0</v>
      </c>
      <c r="I183" s="216">
        <v>0</v>
      </c>
      <c r="J183" s="216">
        <v>0</v>
      </c>
      <c r="K183" s="216">
        <v>365</v>
      </c>
      <c r="L183" s="216">
        <v>0</v>
      </c>
      <c r="M183" s="216">
        <v>0</v>
      </c>
      <c r="N183" s="216">
        <v>34682</v>
      </c>
      <c r="O183" s="216">
        <v>0</v>
      </c>
      <c r="P183" s="216">
        <v>0</v>
      </c>
      <c r="Q183" s="216">
        <v>0</v>
      </c>
      <c r="R183" s="216">
        <v>2907</v>
      </c>
      <c r="S183" s="216">
        <v>0</v>
      </c>
      <c r="T183" s="216">
        <v>0</v>
      </c>
      <c r="U183" s="216">
        <v>15094</v>
      </c>
      <c r="V183" s="216">
        <v>17658</v>
      </c>
      <c r="W183" s="216">
        <v>7310</v>
      </c>
      <c r="X183" s="216">
        <v>7043</v>
      </c>
      <c r="Y183" s="216">
        <v>104179</v>
      </c>
      <c r="Z183" s="216">
        <v>0</v>
      </c>
      <c r="AA183" s="216">
        <v>0</v>
      </c>
      <c r="AB183" s="216">
        <v>134</v>
      </c>
      <c r="AC183" s="105"/>
    </row>
    <row r="184" spans="1:29" s="20" customFormat="1" x14ac:dyDescent="0.25">
      <c r="A184" s="31">
        <f>'M&amp;R Stations'!A184</f>
        <v>39143</v>
      </c>
      <c r="B184" s="216">
        <v>0</v>
      </c>
      <c r="C184" s="216">
        <v>4810</v>
      </c>
      <c r="D184" s="216">
        <v>0</v>
      </c>
      <c r="E184" s="216">
        <v>0</v>
      </c>
      <c r="F184" s="216">
        <v>0</v>
      </c>
      <c r="G184" s="216">
        <v>28224</v>
      </c>
      <c r="H184" s="216">
        <v>0</v>
      </c>
      <c r="I184" s="216">
        <v>0</v>
      </c>
      <c r="J184" s="216">
        <v>1505</v>
      </c>
      <c r="K184" s="216">
        <v>0</v>
      </c>
      <c r="L184" s="216">
        <v>0</v>
      </c>
      <c r="M184" s="216">
        <v>0</v>
      </c>
      <c r="N184" s="216">
        <v>34649</v>
      </c>
      <c r="O184" s="216">
        <v>0</v>
      </c>
      <c r="P184" s="216">
        <v>13</v>
      </c>
      <c r="Q184" s="216">
        <v>0</v>
      </c>
      <c r="R184" s="216">
        <v>0</v>
      </c>
      <c r="S184" s="216">
        <v>6417</v>
      </c>
      <c r="T184" s="216">
        <v>0</v>
      </c>
      <c r="U184" s="216">
        <v>15079</v>
      </c>
      <c r="V184" s="216">
        <v>0</v>
      </c>
      <c r="W184" s="216">
        <v>7303</v>
      </c>
      <c r="X184" s="216">
        <v>0</v>
      </c>
      <c r="Y184" s="216">
        <v>104060</v>
      </c>
      <c r="Z184" s="216">
        <v>0</v>
      </c>
      <c r="AA184" s="216">
        <v>0</v>
      </c>
      <c r="AB184" s="216">
        <v>378</v>
      </c>
      <c r="AC184" s="105"/>
    </row>
    <row r="185" spans="1:29" s="20" customFormat="1" x14ac:dyDescent="0.25">
      <c r="A185" s="31">
        <f>'M&amp;R Stations'!A185</f>
        <v>39144</v>
      </c>
      <c r="B185" s="216">
        <v>0</v>
      </c>
      <c r="C185" s="216">
        <v>4382</v>
      </c>
      <c r="D185" s="216">
        <v>0</v>
      </c>
      <c r="E185" s="216">
        <v>0</v>
      </c>
      <c r="F185" s="216">
        <v>0</v>
      </c>
      <c r="G185" s="216">
        <v>28279</v>
      </c>
      <c r="H185" s="216">
        <v>0</v>
      </c>
      <c r="I185" s="216">
        <v>0</v>
      </c>
      <c r="J185" s="216">
        <v>156</v>
      </c>
      <c r="K185" s="216">
        <v>0</v>
      </c>
      <c r="L185" s="216">
        <v>0</v>
      </c>
      <c r="M185" s="216">
        <v>0</v>
      </c>
      <c r="N185" s="216">
        <v>34716</v>
      </c>
      <c r="O185" s="216">
        <v>0</v>
      </c>
      <c r="P185" s="216">
        <v>0</v>
      </c>
      <c r="Q185" s="216">
        <v>0</v>
      </c>
      <c r="R185" s="216">
        <v>0</v>
      </c>
      <c r="S185" s="216">
        <v>0</v>
      </c>
      <c r="T185" s="216">
        <v>0</v>
      </c>
      <c r="U185" s="216">
        <v>15079</v>
      </c>
      <c r="V185" s="216">
        <v>7510</v>
      </c>
      <c r="W185" s="216">
        <v>7303</v>
      </c>
      <c r="X185" s="216">
        <v>7036</v>
      </c>
      <c r="Y185" s="216">
        <v>114062</v>
      </c>
      <c r="Z185" s="216">
        <v>0</v>
      </c>
      <c r="AA185" s="216">
        <v>0</v>
      </c>
      <c r="AB185" s="216">
        <v>134</v>
      </c>
      <c r="AC185" s="105"/>
    </row>
    <row r="186" spans="1:29" s="20" customFormat="1" x14ac:dyDescent="0.25">
      <c r="A186" s="31">
        <f>'M&amp;R Stations'!A186</f>
        <v>39145</v>
      </c>
      <c r="B186" s="216">
        <v>0</v>
      </c>
      <c r="C186" s="216">
        <v>4382</v>
      </c>
      <c r="D186" s="216">
        <v>0</v>
      </c>
      <c r="E186" s="216">
        <v>11350</v>
      </c>
      <c r="F186" s="216">
        <v>0</v>
      </c>
      <c r="G186" s="216">
        <v>28279</v>
      </c>
      <c r="H186" s="216">
        <v>0</v>
      </c>
      <c r="I186" s="216">
        <v>0</v>
      </c>
      <c r="J186" s="216">
        <v>0</v>
      </c>
      <c r="K186" s="216">
        <v>20103</v>
      </c>
      <c r="L186" s="216">
        <v>0</v>
      </c>
      <c r="M186" s="216">
        <v>0</v>
      </c>
      <c r="N186" s="216">
        <v>34716</v>
      </c>
      <c r="O186" s="216">
        <v>0</v>
      </c>
      <c r="P186" s="216">
        <v>0</v>
      </c>
      <c r="Q186" s="216">
        <v>0</v>
      </c>
      <c r="R186" s="216">
        <v>2901</v>
      </c>
      <c r="S186" s="216">
        <v>0</v>
      </c>
      <c r="T186" s="216">
        <v>38685</v>
      </c>
      <c r="U186" s="216">
        <v>15065</v>
      </c>
      <c r="V186" s="216">
        <v>33865</v>
      </c>
      <c r="W186" s="216">
        <v>7296</v>
      </c>
      <c r="X186" s="216">
        <v>13797</v>
      </c>
      <c r="Y186" s="216">
        <v>113952</v>
      </c>
      <c r="Z186" s="216">
        <v>0</v>
      </c>
      <c r="AA186" s="216">
        <v>0</v>
      </c>
      <c r="AB186" s="216">
        <v>134</v>
      </c>
      <c r="AC186" s="105"/>
    </row>
    <row r="187" spans="1:29" s="20" customFormat="1" x14ac:dyDescent="0.25">
      <c r="A187" s="31">
        <f>'M&amp;R Stations'!A187</f>
        <v>39146</v>
      </c>
      <c r="B187" s="216">
        <v>0</v>
      </c>
      <c r="C187" s="216">
        <v>4369</v>
      </c>
      <c r="D187" s="216">
        <v>0</v>
      </c>
      <c r="E187" s="216">
        <v>37990</v>
      </c>
      <c r="F187" s="216">
        <v>0</v>
      </c>
      <c r="G187" s="216">
        <v>28197</v>
      </c>
      <c r="H187" s="216">
        <v>0</v>
      </c>
      <c r="I187" s="216">
        <v>0</v>
      </c>
      <c r="J187" s="216">
        <v>0</v>
      </c>
      <c r="K187" s="216">
        <v>20045</v>
      </c>
      <c r="L187" s="216">
        <v>0</v>
      </c>
      <c r="M187" s="216">
        <v>0</v>
      </c>
      <c r="N187" s="216">
        <v>34615</v>
      </c>
      <c r="O187" s="216">
        <v>0</v>
      </c>
      <c r="P187" s="216">
        <v>0</v>
      </c>
      <c r="Q187" s="216">
        <v>0</v>
      </c>
      <c r="R187" s="216">
        <v>2890</v>
      </c>
      <c r="S187" s="216">
        <v>0</v>
      </c>
      <c r="T187" s="216">
        <v>53946</v>
      </c>
      <c r="U187" s="216">
        <v>15006</v>
      </c>
      <c r="V187" s="216">
        <v>33734</v>
      </c>
      <c r="W187" s="216">
        <v>7268</v>
      </c>
      <c r="X187" s="216">
        <v>14033</v>
      </c>
      <c r="Y187" s="216">
        <v>113513</v>
      </c>
      <c r="Z187" s="216">
        <v>0</v>
      </c>
      <c r="AA187" s="216">
        <v>0</v>
      </c>
      <c r="AB187" s="216">
        <v>133</v>
      </c>
      <c r="AC187" s="105"/>
    </row>
    <row r="188" spans="1:29" s="20" customFormat="1" x14ac:dyDescent="0.25">
      <c r="A188" s="31">
        <f>'M&amp;R Stations'!A188</f>
        <v>39147</v>
      </c>
      <c r="B188" s="216">
        <v>0</v>
      </c>
      <c r="C188" s="216">
        <v>4365</v>
      </c>
      <c r="D188" s="216">
        <v>0</v>
      </c>
      <c r="E188" s="216">
        <v>41069</v>
      </c>
      <c r="F188" s="216">
        <v>0</v>
      </c>
      <c r="G188" s="216">
        <v>28170</v>
      </c>
      <c r="H188" s="216">
        <v>0</v>
      </c>
      <c r="I188" s="216">
        <v>0</v>
      </c>
      <c r="J188" s="216">
        <v>0</v>
      </c>
      <c r="K188" s="216">
        <v>20026</v>
      </c>
      <c r="L188" s="216">
        <v>0</v>
      </c>
      <c r="M188" s="216">
        <v>0</v>
      </c>
      <c r="N188" s="216">
        <v>34582</v>
      </c>
      <c r="O188" s="216">
        <v>0</v>
      </c>
      <c r="P188" s="216">
        <v>0</v>
      </c>
      <c r="Q188" s="216">
        <v>0</v>
      </c>
      <c r="R188" s="216">
        <v>2879</v>
      </c>
      <c r="S188" s="216">
        <v>0</v>
      </c>
      <c r="T188" s="216">
        <v>52849</v>
      </c>
      <c r="U188" s="216">
        <v>14949</v>
      </c>
      <c r="V188" s="216">
        <v>33605</v>
      </c>
      <c r="W188" s="216">
        <v>7240</v>
      </c>
      <c r="X188" s="216">
        <v>14000</v>
      </c>
      <c r="Y188" s="216">
        <v>113045</v>
      </c>
      <c r="Z188" s="216">
        <v>0</v>
      </c>
      <c r="AA188" s="216">
        <v>0</v>
      </c>
      <c r="AB188" s="216">
        <v>133</v>
      </c>
      <c r="AC188" s="105"/>
    </row>
    <row r="189" spans="1:29" s="20" customFormat="1" x14ac:dyDescent="0.25">
      <c r="A189" s="31">
        <f>'M&amp;R Stations'!A189</f>
        <v>39148</v>
      </c>
      <c r="B189" s="216">
        <v>0</v>
      </c>
      <c r="C189" s="216">
        <v>4373</v>
      </c>
      <c r="D189" s="216">
        <v>0</v>
      </c>
      <c r="E189" s="216">
        <v>38908</v>
      </c>
      <c r="F189" s="216">
        <v>0</v>
      </c>
      <c r="G189" s="216">
        <v>28224</v>
      </c>
      <c r="H189" s="216">
        <v>0</v>
      </c>
      <c r="I189" s="216">
        <v>0</v>
      </c>
      <c r="J189" s="216">
        <v>0</v>
      </c>
      <c r="K189" s="216">
        <v>20064</v>
      </c>
      <c r="L189" s="216">
        <v>0</v>
      </c>
      <c r="M189" s="216">
        <v>0</v>
      </c>
      <c r="N189" s="216">
        <v>34649</v>
      </c>
      <c r="O189" s="216">
        <v>0</v>
      </c>
      <c r="P189" s="216">
        <v>0</v>
      </c>
      <c r="Q189" s="216">
        <v>0</v>
      </c>
      <c r="R189" s="216">
        <v>2887</v>
      </c>
      <c r="S189" s="216">
        <v>0</v>
      </c>
      <c r="T189" s="216">
        <v>50369</v>
      </c>
      <c r="U189" s="216">
        <v>14992</v>
      </c>
      <c r="V189" s="216">
        <v>33702</v>
      </c>
      <c r="W189" s="216">
        <v>7261</v>
      </c>
      <c r="X189" s="216">
        <v>10845</v>
      </c>
      <c r="Y189" s="216">
        <v>116577</v>
      </c>
      <c r="Z189" s="216">
        <v>0</v>
      </c>
      <c r="AA189" s="216">
        <v>0</v>
      </c>
      <c r="AB189" s="216">
        <v>133</v>
      </c>
      <c r="AC189" s="105"/>
    </row>
    <row r="190" spans="1:29" s="20" customFormat="1" x14ac:dyDescent="0.25">
      <c r="A190" s="31">
        <f>'M&amp;R Stations'!A190</f>
        <v>39149</v>
      </c>
      <c r="B190" s="216">
        <v>0</v>
      </c>
      <c r="C190" s="216">
        <v>4369</v>
      </c>
      <c r="D190" s="216">
        <v>0</v>
      </c>
      <c r="E190" s="216">
        <v>38660</v>
      </c>
      <c r="F190" s="216">
        <v>0</v>
      </c>
      <c r="G190" s="216">
        <v>28197</v>
      </c>
      <c r="H190" s="216">
        <v>0</v>
      </c>
      <c r="I190" s="216">
        <v>0</v>
      </c>
      <c r="J190" s="216">
        <v>0</v>
      </c>
      <c r="K190" s="216">
        <v>20045</v>
      </c>
      <c r="L190" s="216">
        <v>0</v>
      </c>
      <c r="M190" s="216">
        <v>0</v>
      </c>
      <c r="N190" s="216">
        <v>34615</v>
      </c>
      <c r="O190" s="216">
        <v>0</v>
      </c>
      <c r="P190" s="216">
        <v>0</v>
      </c>
      <c r="Q190" s="216">
        <v>0</v>
      </c>
      <c r="R190" s="216">
        <v>2882</v>
      </c>
      <c r="S190" s="216">
        <v>0</v>
      </c>
      <c r="T190" s="216">
        <v>54166</v>
      </c>
      <c r="U190" s="216">
        <v>14963</v>
      </c>
      <c r="V190" s="216">
        <v>33637</v>
      </c>
      <c r="W190" s="216">
        <v>7247</v>
      </c>
      <c r="X190" s="216">
        <v>10824</v>
      </c>
      <c r="Y190" s="216">
        <v>116338</v>
      </c>
      <c r="Z190" s="216">
        <v>0</v>
      </c>
      <c r="AA190" s="216">
        <v>0</v>
      </c>
      <c r="AB190" s="216">
        <v>133</v>
      </c>
      <c r="AC190" s="105"/>
    </row>
    <row r="191" spans="1:29" s="20" customFormat="1" x14ac:dyDescent="0.25">
      <c r="A191" s="31">
        <f>'M&amp;R Stations'!A191</f>
        <v>39150</v>
      </c>
      <c r="B191" s="216">
        <v>0</v>
      </c>
      <c r="C191" s="216">
        <v>4373</v>
      </c>
      <c r="D191" s="216">
        <v>0</v>
      </c>
      <c r="E191" s="216">
        <v>0</v>
      </c>
      <c r="F191" s="216">
        <v>0</v>
      </c>
      <c r="G191" s="216">
        <v>28224</v>
      </c>
      <c r="H191" s="216">
        <v>0</v>
      </c>
      <c r="I191" s="216">
        <v>0</v>
      </c>
      <c r="J191" s="216">
        <v>0</v>
      </c>
      <c r="K191" s="216">
        <v>7270</v>
      </c>
      <c r="L191" s="216">
        <v>0</v>
      </c>
      <c r="M191" s="216">
        <v>0</v>
      </c>
      <c r="N191" s="216">
        <v>34649</v>
      </c>
      <c r="O191" s="216">
        <v>0</v>
      </c>
      <c r="P191" s="216">
        <v>0</v>
      </c>
      <c r="Q191" s="216">
        <v>0</v>
      </c>
      <c r="R191" s="216">
        <v>2896</v>
      </c>
      <c r="S191" s="216">
        <v>0</v>
      </c>
      <c r="T191" s="216">
        <v>43436</v>
      </c>
      <c r="U191" s="216">
        <v>15035</v>
      </c>
      <c r="V191" s="216">
        <v>33799</v>
      </c>
      <c r="W191" s="216">
        <v>7282</v>
      </c>
      <c r="X191" s="216">
        <v>10599</v>
      </c>
      <c r="Y191" s="216">
        <v>116915</v>
      </c>
      <c r="Z191" s="216">
        <v>0</v>
      </c>
      <c r="AA191" s="216">
        <v>0</v>
      </c>
      <c r="AB191" s="216">
        <v>133</v>
      </c>
      <c r="AC191" s="105"/>
    </row>
    <row r="192" spans="1:29" s="20" customFormat="1" x14ac:dyDescent="0.25">
      <c r="A192" s="31">
        <f>'M&amp;R Stations'!A192</f>
        <v>39151</v>
      </c>
      <c r="B192" s="216">
        <v>0</v>
      </c>
      <c r="C192" s="216">
        <v>4373</v>
      </c>
      <c r="D192" s="216">
        <v>0</v>
      </c>
      <c r="E192" s="216">
        <v>0</v>
      </c>
      <c r="F192" s="216">
        <v>0</v>
      </c>
      <c r="G192" s="216">
        <v>28224</v>
      </c>
      <c r="H192" s="216">
        <v>0</v>
      </c>
      <c r="I192" s="216">
        <v>0</v>
      </c>
      <c r="J192" s="216">
        <v>0</v>
      </c>
      <c r="K192" s="216">
        <v>159</v>
      </c>
      <c r="L192" s="216">
        <v>0</v>
      </c>
      <c r="M192" s="216">
        <v>0</v>
      </c>
      <c r="N192" s="216">
        <v>34649</v>
      </c>
      <c r="O192" s="216">
        <v>0</v>
      </c>
      <c r="P192" s="216">
        <v>0</v>
      </c>
      <c r="Q192" s="216">
        <v>0</v>
      </c>
      <c r="R192" s="216">
        <v>0</v>
      </c>
      <c r="S192" s="216">
        <v>9053</v>
      </c>
      <c r="T192" s="216">
        <v>0</v>
      </c>
      <c r="U192" s="216">
        <v>15006</v>
      </c>
      <c r="V192" s="216">
        <v>0</v>
      </c>
      <c r="W192" s="216">
        <v>7268</v>
      </c>
      <c r="X192" s="216">
        <v>0</v>
      </c>
      <c r="Y192" s="216">
        <v>103744</v>
      </c>
      <c r="Z192" s="216">
        <v>0</v>
      </c>
      <c r="AA192" s="216">
        <v>0</v>
      </c>
      <c r="AB192" s="216">
        <v>478</v>
      </c>
      <c r="AC192" s="105"/>
    </row>
    <row r="193" spans="1:29" s="20" customFormat="1" x14ac:dyDescent="0.25">
      <c r="A193" s="31">
        <f>'M&amp;R Stations'!A193</f>
        <v>39152</v>
      </c>
      <c r="B193" s="216">
        <v>0</v>
      </c>
      <c r="C193" s="216">
        <v>4373</v>
      </c>
      <c r="D193" s="216">
        <v>0</v>
      </c>
      <c r="E193" s="216">
        <v>0</v>
      </c>
      <c r="F193" s="216">
        <v>0</v>
      </c>
      <c r="G193" s="216">
        <v>28224</v>
      </c>
      <c r="H193" s="216">
        <v>0</v>
      </c>
      <c r="I193" s="216">
        <v>0</v>
      </c>
      <c r="J193" s="216">
        <v>0</v>
      </c>
      <c r="K193" s="216">
        <v>1691</v>
      </c>
      <c r="L193" s="216">
        <v>0</v>
      </c>
      <c r="M193" s="216">
        <v>0</v>
      </c>
      <c r="N193" s="216">
        <v>34649</v>
      </c>
      <c r="O193" s="216">
        <v>0</v>
      </c>
      <c r="P193" s="216">
        <v>0</v>
      </c>
      <c r="Q193" s="216">
        <v>0</v>
      </c>
      <c r="R193" s="216">
        <v>2896</v>
      </c>
      <c r="S193" s="216">
        <v>0</v>
      </c>
      <c r="T193" s="216">
        <v>0</v>
      </c>
      <c r="U193" s="216">
        <v>15035</v>
      </c>
      <c r="V193" s="216">
        <v>28804</v>
      </c>
      <c r="W193" s="216">
        <v>7282</v>
      </c>
      <c r="X193" s="216">
        <v>7015</v>
      </c>
      <c r="Y193" s="216">
        <v>103944</v>
      </c>
      <c r="Z193" s="216">
        <v>0</v>
      </c>
      <c r="AA193" s="216">
        <v>0</v>
      </c>
      <c r="AB193" s="216">
        <v>133</v>
      </c>
      <c r="AC193" s="105"/>
    </row>
    <row r="194" spans="1:29" s="20" customFormat="1" x14ac:dyDescent="0.25">
      <c r="A194" s="31">
        <f>'M&amp;R Stations'!A194</f>
        <v>39153</v>
      </c>
      <c r="B194" s="216">
        <v>0</v>
      </c>
      <c r="C194" s="216">
        <v>4390</v>
      </c>
      <c r="D194" s="216">
        <v>0</v>
      </c>
      <c r="E194" s="216">
        <v>0</v>
      </c>
      <c r="F194" s="216">
        <v>0</v>
      </c>
      <c r="G194" s="216">
        <v>28333</v>
      </c>
      <c r="H194" s="216">
        <v>0</v>
      </c>
      <c r="I194" s="216">
        <v>0</v>
      </c>
      <c r="J194" s="216">
        <v>870</v>
      </c>
      <c r="K194" s="216">
        <v>0</v>
      </c>
      <c r="L194" s="216">
        <v>0</v>
      </c>
      <c r="M194" s="216">
        <v>0</v>
      </c>
      <c r="N194" s="216">
        <v>34783</v>
      </c>
      <c r="O194" s="216">
        <v>0</v>
      </c>
      <c r="P194" s="216">
        <v>8</v>
      </c>
      <c r="Q194" s="216">
        <v>0</v>
      </c>
      <c r="R194" s="216">
        <v>0</v>
      </c>
      <c r="S194" s="216">
        <v>1253</v>
      </c>
      <c r="T194" s="216">
        <v>0</v>
      </c>
      <c r="U194" s="216">
        <v>15065</v>
      </c>
      <c r="V194" s="216">
        <v>0</v>
      </c>
      <c r="W194" s="216">
        <v>7296</v>
      </c>
      <c r="X194" s="216">
        <v>0</v>
      </c>
      <c r="Y194" s="216">
        <v>104145</v>
      </c>
      <c r="Z194" s="216">
        <v>0</v>
      </c>
      <c r="AA194" s="216">
        <v>0</v>
      </c>
      <c r="AB194" s="216">
        <v>182</v>
      </c>
      <c r="AC194" s="105"/>
    </row>
    <row r="195" spans="1:29" s="20" customFormat="1" x14ac:dyDescent="0.25">
      <c r="A195" s="31">
        <f>'M&amp;R Stations'!A195</f>
        <v>39154</v>
      </c>
      <c r="B195" s="216">
        <v>0</v>
      </c>
      <c r="C195" s="216">
        <v>0</v>
      </c>
      <c r="D195" s="216">
        <v>0</v>
      </c>
      <c r="E195" s="216">
        <v>0</v>
      </c>
      <c r="F195" s="216">
        <v>0</v>
      </c>
      <c r="G195" s="216">
        <v>0</v>
      </c>
      <c r="H195" s="216">
        <v>0</v>
      </c>
      <c r="I195" s="216">
        <v>0</v>
      </c>
      <c r="J195" s="216">
        <v>0</v>
      </c>
      <c r="K195" s="216">
        <v>1011</v>
      </c>
      <c r="L195" s="216">
        <v>0</v>
      </c>
      <c r="M195" s="216">
        <v>0</v>
      </c>
      <c r="N195" s="216">
        <v>34850</v>
      </c>
      <c r="O195" s="216">
        <v>0</v>
      </c>
      <c r="P195" s="216">
        <v>0</v>
      </c>
      <c r="Q195" s="216">
        <v>0</v>
      </c>
      <c r="R195" s="216">
        <v>0</v>
      </c>
      <c r="S195" s="216">
        <v>0</v>
      </c>
      <c r="T195" s="216">
        <v>0</v>
      </c>
      <c r="U195" s="216">
        <v>15065</v>
      </c>
      <c r="V195" s="216">
        <v>0</v>
      </c>
      <c r="W195" s="216">
        <v>7296</v>
      </c>
      <c r="X195" s="216">
        <v>602</v>
      </c>
      <c r="Y195" s="216">
        <v>74946</v>
      </c>
      <c r="Z195" s="216">
        <v>0</v>
      </c>
      <c r="AA195" s="216">
        <v>0</v>
      </c>
      <c r="AB195" s="216">
        <v>134</v>
      </c>
      <c r="AC195" s="105"/>
    </row>
    <row r="196" spans="1:29" s="20" customFormat="1" x14ac:dyDescent="0.25">
      <c r="A196" s="31">
        <f>'M&amp;R Stations'!A196</f>
        <v>39155</v>
      </c>
      <c r="B196" s="216">
        <v>0</v>
      </c>
      <c r="C196" s="216">
        <v>0</v>
      </c>
      <c r="D196" s="216">
        <v>13838</v>
      </c>
      <c r="E196" s="216">
        <v>0</v>
      </c>
      <c r="F196" s="216">
        <v>0</v>
      </c>
      <c r="G196" s="216">
        <v>0</v>
      </c>
      <c r="H196" s="216">
        <v>7604</v>
      </c>
      <c r="I196" s="216">
        <v>0</v>
      </c>
      <c r="J196" s="216">
        <v>12244</v>
      </c>
      <c r="K196" s="216">
        <v>0</v>
      </c>
      <c r="L196" s="216">
        <v>0</v>
      </c>
      <c r="M196" s="216">
        <v>0</v>
      </c>
      <c r="N196" s="216">
        <v>34816</v>
      </c>
      <c r="O196" s="216">
        <v>0</v>
      </c>
      <c r="P196" s="216">
        <v>226</v>
      </c>
      <c r="Q196" s="216">
        <v>0</v>
      </c>
      <c r="R196" s="216">
        <v>0</v>
      </c>
      <c r="S196" s="216">
        <v>9381</v>
      </c>
      <c r="T196" s="216">
        <v>0</v>
      </c>
      <c r="U196" s="216">
        <v>15035</v>
      </c>
      <c r="V196" s="216">
        <v>0</v>
      </c>
      <c r="W196" s="216">
        <v>7282</v>
      </c>
      <c r="X196" s="216">
        <v>0</v>
      </c>
      <c r="Y196" s="216">
        <v>74801</v>
      </c>
      <c r="Z196" s="216">
        <v>0</v>
      </c>
      <c r="AA196" s="216">
        <v>0</v>
      </c>
      <c r="AB196" s="216">
        <v>491</v>
      </c>
      <c r="AC196" s="105"/>
    </row>
    <row r="197" spans="1:29" s="20" customFormat="1" x14ac:dyDescent="0.25">
      <c r="A197" s="31">
        <f>'M&amp;R Stations'!A197</f>
        <v>39156</v>
      </c>
      <c r="B197" s="216">
        <v>0</v>
      </c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6">
        <v>0</v>
      </c>
      <c r="I197" s="216">
        <v>0</v>
      </c>
      <c r="J197" s="216">
        <v>0</v>
      </c>
      <c r="K197" s="216">
        <v>974</v>
      </c>
      <c r="L197" s="216">
        <v>0</v>
      </c>
      <c r="M197" s="216">
        <v>0</v>
      </c>
      <c r="N197" s="216">
        <v>34783</v>
      </c>
      <c r="O197" s="216">
        <v>0</v>
      </c>
      <c r="P197" s="216">
        <v>0</v>
      </c>
      <c r="Q197" s="216">
        <v>0</v>
      </c>
      <c r="R197" s="216">
        <v>2609</v>
      </c>
      <c r="S197" s="216">
        <v>0</v>
      </c>
      <c r="T197" s="216">
        <v>3043</v>
      </c>
      <c r="U197" s="216">
        <v>15050</v>
      </c>
      <c r="V197" s="216">
        <v>33832</v>
      </c>
      <c r="W197" s="216">
        <v>7289</v>
      </c>
      <c r="X197" s="216">
        <v>7022</v>
      </c>
      <c r="Y197" s="216">
        <v>74873</v>
      </c>
      <c r="Z197" s="216">
        <v>0</v>
      </c>
      <c r="AA197" s="216">
        <v>0</v>
      </c>
      <c r="AB197" s="216">
        <v>134</v>
      </c>
      <c r="AC197" s="105"/>
    </row>
    <row r="198" spans="1:29" s="20" customFormat="1" x14ac:dyDescent="0.25">
      <c r="A198" s="31">
        <f>'M&amp;R Stations'!A198</f>
        <v>39157</v>
      </c>
      <c r="B198" s="216">
        <v>0</v>
      </c>
      <c r="C198" s="216">
        <v>4390</v>
      </c>
      <c r="D198" s="216">
        <v>0</v>
      </c>
      <c r="E198" s="216">
        <v>33846</v>
      </c>
      <c r="F198" s="216">
        <v>0</v>
      </c>
      <c r="G198" s="216">
        <v>28333</v>
      </c>
      <c r="H198" s="216">
        <v>0</v>
      </c>
      <c r="I198" s="216">
        <v>7353</v>
      </c>
      <c r="J198" s="216">
        <v>0</v>
      </c>
      <c r="K198" s="216">
        <v>20142</v>
      </c>
      <c r="L198" s="216">
        <v>0</v>
      </c>
      <c r="M198" s="216">
        <v>0</v>
      </c>
      <c r="N198" s="216">
        <v>34783</v>
      </c>
      <c r="O198" s="216">
        <v>0</v>
      </c>
      <c r="P198" s="216">
        <v>0</v>
      </c>
      <c r="Q198" s="216">
        <v>0</v>
      </c>
      <c r="R198" s="216">
        <v>2611</v>
      </c>
      <c r="S198" s="216">
        <v>0</v>
      </c>
      <c r="T198" s="216">
        <v>48884</v>
      </c>
      <c r="U198" s="216">
        <v>15065</v>
      </c>
      <c r="V198" s="216">
        <v>33865</v>
      </c>
      <c r="W198" s="216">
        <v>7296</v>
      </c>
      <c r="X198" s="216">
        <v>43776</v>
      </c>
      <c r="Y198" s="216">
        <v>84262</v>
      </c>
      <c r="Z198" s="216">
        <v>0</v>
      </c>
      <c r="AA198" s="216">
        <v>0</v>
      </c>
      <c r="AB198" s="216">
        <v>134</v>
      </c>
      <c r="AC198" s="105"/>
    </row>
    <row r="199" spans="1:29" s="20" customFormat="1" x14ac:dyDescent="0.25">
      <c r="A199" s="31">
        <f>'M&amp;R Stations'!A199</f>
        <v>39158</v>
      </c>
      <c r="B199" s="216">
        <v>0</v>
      </c>
      <c r="C199" s="216">
        <v>4395</v>
      </c>
      <c r="D199" s="216">
        <v>0</v>
      </c>
      <c r="E199" s="216">
        <v>33974</v>
      </c>
      <c r="F199" s="216">
        <v>0</v>
      </c>
      <c r="G199" s="216">
        <v>28361</v>
      </c>
      <c r="H199" s="216">
        <v>0</v>
      </c>
      <c r="I199" s="216">
        <v>0</v>
      </c>
      <c r="J199" s="216">
        <v>0</v>
      </c>
      <c r="K199" s="216">
        <v>20162</v>
      </c>
      <c r="L199" s="216">
        <v>0</v>
      </c>
      <c r="M199" s="216">
        <v>0</v>
      </c>
      <c r="N199" s="216">
        <v>34816</v>
      </c>
      <c r="O199" s="216">
        <v>0</v>
      </c>
      <c r="P199" s="216">
        <v>0</v>
      </c>
      <c r="Q199" s="216">
        <v>0</v>
      </c>
      <c r="R199" s="216">
        <v>2218</v>
      </c>
      <c r="S199" s="216">
        <v>0</v>
      </c>
      <c r="T199" s="216">
        <v>44954</v>
      </c>
      <c r="U199" s="216">
        <v>15021</v>
      </c>
      <c r="V199" s="216">
        <v>33767</v>
      </c>
      <c r="W199" s="216">
        <v>7275</v>
      </c>
      <c r="X199" s="216">
        <v>24003</v>
      </c>
      <c r="Y199" s="216">
        <v>103665</v>
      </c>
      <c r="Z199" s="216">
        <v>0</v>
      </c>
      <c r="AA199" s="216">
        <v>0</v>
      </c>
      <c r="AB199" s="216">
        <v>133</v>
      </c>
      <c r="AC199" s="105"/>
    </row>
    <row r="200" spans="1:29" s="20" customFormat="1" x14ac:dyDescent="0.25">
      <c r="A200" s="31">
        <f>'M&amp;R Stations'!A200</f>
        <v>39159</v>
      </c>
      <c r="B200" s="216">
        <v>0</v>
      </c>
      <c r="C200" s="216">
        <v>4395</v>
      </c>
      <c r="D200" s="216">
        <v>0</v>
      </c>
      <c r="E200" s="216">
        <v>33338</v>
      </c>
      <c r="F200" s="216">
        <v>0</v>
      </c>
      <c r="G200" s="216">
        <v>28361</v>
      </c>
      <c r="H200" s="216">
        <v>0</v>
      </c>
      <c r="I200" s="216">
        <v>0</v>
      </c>
      <c r="J200" s="216">
        <v>0</v>
      </c>
      <c r="K200" s="216">
        <v>20162</v>
      </c>
      <c r="L200" s="216">
        <v>0</v>
      </c>
      <c r="M200" s="216">
        <v>0</v>
      </c>
      <c r="N200" s="216">
        <v>34816</v>
      </c>
      <c r="O200" s="216">
        <v>0</v>
      </c>
      <c r="P200" s="216">
        <v>0</v>
      </c>
      <c r="Q200" s="216">
        <v>0</v>
      </c>
      <c r="R200" s="216">
        <v>2216</v>
      </c>
      <c r="S200" s="216">
        <v>0</v>
      </c>
      <c r="T200" s="216">
        <v>43353</v>
      </c>
      <c r="U200" s="216">
        <v>15006</v>
      </c>
      <c r="V200" s="216">
        <v>33734</v>
      </c>
      <c r="W200" s="216">
        <v>7268</v>
      </c>
      <c r="X200" s="216">
        <v>14451</v>
      </c>
      <c r="Y200" s="216">
        <v>98176</v>
      </c>
      <c r="Z200" s="216">
        <v>0</v>
      </c>
      <c r="AA200" s="216">
        <v>0</v>
      </c>
      <c r="AB200" s="216">
        <v>133</v>
      </c>
      <c r="AC200" s="105"/>
    </row>
    <row r="201" spans="1:29" s="20" customFormat="1" x14ac:dyDescent="0.25">
      <c r="A201" s="31">
        <f>'M&amp;R Stations'!A201</f>
        <v>39160</v>
      </c>
      <c r="B201" s="216">
        <v>0</v>
      </c>
      <c r="C201" s="216">
        <v>4395</v>
      </c>
      <c r="D201" s="216">
        <v>0</v>
      </c>
      <c r="E201" s="216">
        <v>0</v>
      </c>
      <c r="F201" s="216">
        <v>0</v>
      </c>
      <c r="G201" s="216">
        <v>28361</v>
      </c>
      <c r="H201" s="216">
        <v>0</v>
      </c>
      <c r="I201" s="216">
        <v>0</v>
      </c>
      <c r="J201" s="216">
        <v>0</v>
      </c>
      <c r="K201" s="216">
        <v>17805</v>
      </c>
      <c r="L201" s="216">
        <v>0</v>
      </c>
      <c r="M201" s="216">
        <v>0</v>
      </c>
      <c r="N201" s="216">
        <v>34816</v>
      </c>
      <c r="O201" s="216">
        <v>0</v>
      </c>
      <c r="P201" s="216">
        <v>0</v>
      </c>
      <c r="Q201" s="216">
        <v>0</v>
      </c>
      <c r="R201" s="216">
        <v>2214</v>
      </c>
      <c r="S201" s="216">
        <v>0</v>
      </c>
      <c r="T201" s="216">
        <v>0</v>
      </c>
      <c r="U201" s="216">
        <v>14992</v>
      </c>
      <c r="V201" s="216">
        <v>33070</v>
      </c>
      <c r="W201" s="216">
        <v>7261</v>
      </c>
      <c r="X201" s="216">
        <v>6995</v>
      </c>
      <c r="Y201" s="216">
        <v>103466</v>
      </c>
      <c r="Z201" s="216">
        <v>0</v>
      </c>
      <c r="AA201" s="216">
        <v>0</v>
      </c>
      <c r="AB201" s="216">
        <v>133</v>
      </c>
      <c r="AC201" s="105"/>
    </row>
    <row r="202" spans="1:29" s="20" customFormat="1" x14ac:dyDescent="0.25">
      <c r="A202" s="31">
        <f>'M&amp;R Stations'!A202</f>
        <v>39161</v>
      </c>
      <c r="B202" s="216">
        <v>0</v>
      </c>
      <c r="C202" s="216">
        <v>4390</v>
      </c>
      <c r="D202" s="216">
        <v>0</v>
      </c>
      <c r="E202" s="216">
        <v>3366</v>
      </c>
      <c r="F202" s="216">
        <v>0</v>
      </c>
      <c r="G202" s="216">
        <v>28333</v>
      </c>
      <c r="H202" s="216">
        <v>0</v>
      </c>
      <c r="I202" s="216">
        <v>0</v>
      </c>
      <c r="J202" s="216">
        <v>0</v>
      </c>
      <c r="K202" s="216">
        <v>20142</v>
      </c>
      <c r="L202" s="216">
        <v>0</v>
      </c>
      <c r="M202" s="216">
        <v>0</v>
      </c>
      <c r="N202" s="216">
        <v>34783</v>
      </c>
      <c r="O202" s="216">
        <v>0</v>
      </c>
      <c r="P202" s="216">
        <v>0</v>
      </c>
      <c r="Q202" s="216">
        <v>0</v>
      </c>
      <c r="R202" s="216">
        <v>1927</v>
      </c>
      <c r="S202" s="216">
        <v>0</v>
      </c>
      <c r="T202" s="216">
        <v>846</v>
      </c>
      <c r="U202" s="216">
        <v>15006</v>
      </c>
      <c r="V202" s="216">
        <v>33734</v>
      </c>
      <c r="W202" s="216">
        <v>7268</v>
      </c>
      <c r="X202" s="216">
        <v>7002</v>
      </c>
      <c r="Y202" s="216">
        <v>103556</v>
      </c>
      <c r="Z202" s="216">
        <v>0</v>
      </c>
      <c r="AA202" s="216">
        <v>0</v>
      </c>
      <c r="AB202" s="216">
        <v>133</v>
      </c>
      <c r="AC202" s="105"/>
    </row>
    <row r="203" spans="1:29" s="20" customFormat="1" x14ac:dyDescent="0.25">
      <c r="A203" s="31">
        <f>'M&amp;R Stations'!A203</f>
        <v>39162</v>
      </c>
      <c r="B203" s="216">
        <v>0</v>
      </c>
      <c r="C203" s="216">
        <v>4390</v>
      </c>
      <c r="D203" s="216">
        <v>0</v>
      </c>
      <c r="E203" s="216">
        <v>3368</v>
      </c>
      <c r="F203" s="216">
        <v>0</v>
      </c>
      <c r="G203" s="216">
        <v>28333</v>
      </c>
      <c r="H203" s="216">
        <v>0</v>
      </c>
      <c r="I203" s="216">
        <v>0</v>
      </c>
      <c r="J203" s="216">
        <v>0</v>
      </c>
      <c r="K203" s="216">
        <v>20142</v>
      </c>
      <c r="L203" s="216">
        <v>0</v>
      </c>
      <c r="M203" s="216">
        <v>0</v>
      </c>
      <c r="N203" s="216">
        <v>34783</v>
      </c>
      <c r="O203" s="216">
        <v>0</v>
      </c>
      <c r="P203" s="216">
        <v>0</v>
      </c>
      <c r="Q203" s="216">
        <v>0</v>
      </c>
      <c r="R203" s="216">
        <v>1934</v>
      </c>
      <c r="S203" s="216">
        <v>0</v>
      </c>
      <c r="T203" s="216">
        <v>341</v>
      </c>
      <c r="U203" s="216">
        <v>15065</v>
      </c>
      <c r="V203" s="216">
        <v>33865</v>
      </c>
      <c r="W203" s="216">
        <v>7296</v>
      </c>
      <c r="X203" s="216">
        <v>7029</v>
      </c>
      <c r="Y203" s="216">
        <v>89991</v>
      </c>
      <c r="Z203" s="216">
        <v>0</v>
      </c>
      <c r="AA203" s="216">
        <v>0</v>
      </c>
      <c r="AB203" s="216">
        <v>134</v>
      </c>
      <c r="AC203" s="105"/>
    </row>
    <row r="204" spans="1:29" s="20" customFormat="1" x14ac:dyDescent="0.25">
      <c r="A204" s="31">
        <f>'M&amp;R Stations'!A204</f>
        <v>39163</v>
      </c>
      <c r="B204" s="216">
        <v>0</v>
      </c>
      <c r="C204" s="216">
        <v>0</v>
      </c>
      <c r="D204" s="216">
        <v>0</v>
      </c>
      <c r="E204" s="216">
        <v>0</v>
      </c>
      <c r="F204" s="216">
        <v>0</v>
      </c>
      <c r="G204" s="216">
        <v>0</v>
      </c>
      <c r="H204" s="216">
        <v>0</v>
      </c>
      <c r="I204" s="216">
        <v>0</v>
      </c>
      <c r="J204" s="216">
        <v>2222</v>
      </c>
      <c r="K204" s="216">
        <v>0</v>
      </c>
      <c r="L204" s="216">
        <v>0</v>
      </c>
      <c r="M204" s="216">
        <v>0</v>
      </c>
      <c r="N204" s="216">
        <v>34749</v>
      </c>
      <c r="O204" s="216">
        <v>0</v>
      </c>
      <c r="P204" s="216">
        <v>19</v>
      </c>
      <c r="Q204" s="216">
        <v>0</v>
      </c>
      <c r="R204" s="216">
        <v>0</v>
      </c>
      <c r="S204" s="216">
        <v>9559</v>
      </c>
      <c r="T204" s="216">
        <v>0</v>
      </c>
      <c r="U204" s="216">
        <v>15065</v>
      </c>
      <c r="V204" s="216">
        <v>0</v>
      </c>
      <c r="W204" s="216">
        <v>7296</v>
      </c>
      <c r="X204" s="216">
        <v>0</v>
      </c>
      <c r="Y204" s="216">
        <v>74946</v>
      </c>
      <c r="Z204" s="216">
        <v>0</v>
      </c>
      <c r="AA204" s="216">
        <v>0</v>
      </c>
      <c r="AB204" s="216">
        <v>498</v>
      </c>
      <c r="AC204" s="105"/>
    </row>
    <row r="205" spans="1:29" s="20" customFormat="1" x14ac:dyDescent="0.25">
      <c r="A205" s="31">
        <f>'M&amp;R Stations'!A205</f>
        <v>39164</v>
      </c>
      <c r="B205" s="216">
        <v>0</v>
      </c>
      <c r="C205" s="216">
        <v>0</v>
      </c>
      <c r="D205" s="216">
        <v>0</v>
      </c>
      <c r="E205" s="216">
        <v>0</v>
      </c>
      <c r="F205" s="216">
        <v>0</v>
      </c>
      <c r="G205" s="216">
        <v>0</v>
      </c>
      <c r="H205" s="216">
        <v>0</v>
      </c>
      <c r="I205" s="216">
        <v>0</v>
      </c>
      <c r="J205" s="216">
        <v>788</v>
      </c>
      <c r="K205" s="216">
        <v>0</v>
      </c>
      <c r="L205" s="216">
        <v>0</v>
      </c>
      <c r="M205" s="216">
        <v>0</v>
      </c>
      <c r="N205" s="216">
        <v>34749</v>
      </c>
      <c r="O205" s="216">
        <v>0</v>
      </c>
      <c r="P205" s="216">
        <v>7</v>
      </c>
      <c r="Q205" s="216">
        <v>0</v>
      </c>
      <c r="R205" s="216">
        <v>0</v>
      </c>
      <c r="S205" s="216">
        <v>9283</v>
      </c>
      <c r="T205" s="216">
        <v>0</v>
      </c>
      <c r="U205" s="216">
        <v>15079</v>
      </c>
      <c r="V205" s="216">
        <v>0</v>
      </c>
      <c r="W205" s="216">
        <v>7303</v>
      </c>
      <c r="X205" s="216">
        <v>0</v>
      </c>
      <c r="Y205" s="216">
        <v>75018</v>
      </c>
      <c r="Z205" s="216">
        <v>0</v>
      </c>
      <c r="AA205" s="216">
        <v>0</v>
      </c>
      <c r="AB205" s="216">
        <v>488</v>
      </c>
      <c r="AC205" s="105"/>
    </row>
    <row r="206" spans="1:29" s="20" customFormat="1" x14ac:dyDescent="0.25">
      <c r="A206" s="31">
        <f>'M&amp;R Stations'!A206</f>
        <v>39165</v>
      </c>
      <c r="B206" s="216">
        <v>0</v>
      </c>
      <c r="C206" s="216">
        <v>0</v>
      </c>
      <c r="D206" s="216">
        <v>0</v>
      </c>
      <c r="E206" s="216">
        <v>0</v>
      </c>
      <c r="F206" s="216">
        <v>0</v>
      </c>
      <c r="G206" s="216">
        <v>0</v>
      </c>
      <c r="H206" s="216">
        <v>0</v>
      </c>
      <c r="I206" s="216">
        <v>0</v>
      </c>
      <c r="J206" s="216">
        <v>0</v>
      </c>
      <c r="K206" s="216">
        <v>737</v>
      </c>
      <c r="L206" s="216">
        <v>0</v>
      </c>
      <c r="M206" s="216">
        <v>0</v>
      </c>
      <c r="N206" s="216">
        <v>34716</v>
      </c>
      <c r="O206" s="216">
        <v>0</v>
      </c>
      <c r="P206" s="216">
        <v>0</v>
      </c>
      <c r="Q206" s="216">
        <v>0</v>
      </c>
      <c r="R206" s="216">
        <v>522</v>
      </c>
      <c r="S206" s="216">
        <v>0</v>
      </c>
      <c r="T206" s="216">
        <v>0</v>
      </c>
      <c r="U206" s="216">
        <v>15021</v>
      </c>
      <c r="V206" s="216">
        <v>14480</v>
      </c>
      <c r="W206" s="216">
        <v>7275</v>
      </c>
      <c r="X206" s="216">
        <v>7009</v>
      </c>
      <c r="Y206" s="216">
        <v>74729</v>
      </c>
      <c r="Z206" s="216">
        <v>0</v>
      </c>
      <c r="AA206" s="216">
        <v>0</v>
      </c>
      <c r="AB206" s="216">
        <v>133</v>
      </c>
      <c r="AC206" s="105"/>
    </row>
    <row r="207" spans="1:29" s="20" customFormat="1" x14ac:dyDescent="0.25">
      <c r="A207" s="31">
        <f>'M&amp;R Stations'!A207</f>
        <v>39166</v>
      </c>
      <c r="B207" s="216">
        <v>0</v>
      </c>
      <c r="C207" s="216">
        <v>0</v>
      </c>
      <c r="D207" s="216">
        <v>0</v>
      </c>
      <c r="E207" s="216">
        <v>0</v>
      </c>
      <c r="F207" s="216">
        <v>0</v>
      </c>
      <c r="G207" s="216">
        <v>0</v>
      </c>
      <c r="H207" s="216">
        <v>0</v>
      </c>
      <c r="I207" s="216">
        <v>0</v>
      </c>
      <c r="J207" s="216">
        <v>0</v>
      </c>
      <c r="K207" s="216">
        <v>102</v>
      </c>
      <c r="L207" s="216">
        <v>0</v>
      </c>
      <c r="M207" s="216">
        <v>0</v>
      </c>
      <c r="N207" s="216">
        <v>34749</v>
      </c>
      <c r="O207" s="216">
        <v>0</v>
      </c>
      <c r="P207" s="216">
        <v>0</v>
      </c>
      <c r="Q207" s="216">
        <v>0</v>
      </c>
      <c r="R207" s="216">
        <v>1449</v>
      </c>
      <c r="S207" s="216">
        <v>0</v>
      </c>
      <c r="T207" s="216">
        <v>0</v>
      </c>
      <c r="U207" s="216">
        <v>15050</v>
      </c>
      <c r="V207" s="216">
        <v>33157</v>
      </c>
      <c r="W207" s="216">
        <v>7289</v>
      </c>
      <c r="X207" s="216">
        <v>7022</v>
      </c>
      <c r="Y207" s="216">
        <v>74873</v>
      </c>
      <c r="Z207" s="216">
        <v>0</v>
      </c>
      <c r="AA207" s="216">
        <v>0</v>
      </c>
      <c r="AB207" s="216">
        <v>134</v>
      </c>
      <c r="AC207" s="105"/>
    </row>
    <row r="208" spans="1:29" s="20" customFormat="1" x14ac:dyDescent="0.25">
      <c r="A208" s="31">
        <f>'M&amp;R Stations'!A208</f>
        <v>39167</v>
      </c>
      <c r="B208" s="216">
        <v>0</v>
      </c>
      <c r="C208" s="216">
        <v>0</v>
      </c>
      <c r="D208" s="216">
        <v>0</v>
      </c>
      <c r="E208" s="216">
        <v>0</v>
      </c>
      <c r="F208" s="216">
        <v>0</v>
      </c>
      <c r="G208" s="216">
        <v>0</v>
      </c>
      <c r="H208" s="216">
        <v>0</v>
      </c>
      <c r="I208" s="216">
        <v>0</v>
      </c>
      <c r="J208" s="216">
        <v>0</v>
      </c>
      <c r="K208" s="216">
        <v>52</v>
      </c>
      <c r="L208" s="216">
        <v>0</v>
      </c>
      <c r="M208" s="216">
        <v>0</v>
      </c>
      <c r="N208" s="216">
        <v>34716</v>
      </c>
      <c r="O208" s="216">
        <v>0</v>
      </c>
      <c r="P208" s="216">
        <v>0</v>
      </c>
      <c r="Q208" s="216">
        <v>0</v>
      </c>
      <c r="R208" s="216">
        <v>0</v>
      </c>
      <c r="S208" s="216">
        <v>0</v>
      </c>
      <c r="T208" s="216">
        <v>0</v>
      </c>
      <c r="U208" s="216">
        <v>15050</v>
      </c>
      <c r="V208" s="216">
        <v>9779</v>
      </c>
      <c r="W208" s="216">
        <v>7289</v>
      </c>
      <c r="X208" s="216">
        <v>7022</v>
      </c>
      <c r="Y208" s="216">
        <v>74873</v>
      </c>
      <c r="Z208" s="216">
        <v>0</v>
      </c>
      <c r="AA208" s="216">
        <v>0</v>
      </c>
      <c r="AB208" s="216">
        <v>134</v>
      </c>
      <c r="AC208" s="105"/>
    </row>
    <row r="209" spans="1:29" s="20" customFormat="1" x14ac:dyDescent="0.25">
      <c r="A209" s="31">
        <f>'M&amp;R Stations'!A209</f>
        <v>39168</v>
      </c>
      <c r="B209" s="216">
        <v>0</v>
      </c>
      <c r="C209" s="216">
        <v>0</v>
      </c>
      <c r="D209" s="216">
        <v>16177</v>
      </c>
      <c r="E209" s="216">
        <v>0</v>
      </c>
      <c r="F209" s="216">
        <v>7296</v>
      </c>
      <c r="G209" s="216">
        <v>0</v>
      </c>
      <c r="H209" s="216">
        <v>0</v>
      </c>
      <c r="I209" s="216">
        <v>0</v>
      </c>
      <c r="J209" s="216">
        <v>12197</v>
      </c>
      <c r="K209" s="216">
        <v>0</v>
      </c>
      <c r="L209" s="216">
        <v>0</v>
      </c>
      <c r="M209" s="216">
        <v>0</v>
      </c>
      <c r="N209" s="216">
        <v>34682</v>
      </c>
      <c r="O209" s="216">
        <v>0</v>
      </c>
      <c r="P209" s="216">
        <v>487</v>
      </c>
      <c r="Q209" s="216">
        <v>0</v>
      </c>
      <c r="R209" s="216">
        <v>0</v>
      </c>
      <c r="S209" s="216">
        <v>15080</v>
      </c>
      <c r="T209" s="216">
        <v>0</v>
      </c>
      <c r="U209" s="216">
        <v>15065</v>
      </c>
      <c r="V209" s="216">
        <v>0</v>
      </c>
      <c r="W209" s="216">
        <v>7296</v>
      </c>
      <c r="X209" s="216">
        <v>0</v>
      </c>
      <c r="Y209" s="216">
        <v>74946</v>
      </c>
      <c r="Z209" s="216">
        <v>0</v>
      </c>
      <c r="AA209" s="216">
        <v>0</v>
      </c>
      <c r="AB209" s="216">
        <v>709</v>
      </c>
      <c r="AC209" s="105"/>
    </row>
    <row r="210" spans="1:29" s="20" customFormat="1" x14ac:dyDescent="0.25">
      <c r="A210" s="31">
        <f>'M&amp;R Stations'!A210</f>
        <v>39169</v>
      </c>
      <c r="B210" s="216">
        <v>0</v>
      </c>
      <c r="C210" s="216">
        <v>0</v>
      </c>
      <c r="D210" s="216">
        <v>0</v>
      </c>
      <c r="E210" s="216">
        <v>0</v>
      </c>
      <c r="F210" s="216">
        <v>0</v>
      </c>
      <c r="G210" s="216">
        <v>0</v>
      </c>
      <c r="H210" s="216">
        <v>0</v>
      </c>
      <c r="I210" s="216">
        <v>0</v>
      </c>
      <c r="J210" s="216">
        <v>0</v>
      </c>
      <c r="K210" s="216">
        <v>370</v>
      </c>
      <c r="L210" s="216">
        <v>0</v>
      </c>
      <c r="M210" s="216">
        <v>0</v>
      </c>
      <c r="N210" s="216">
        <v>34749</v>
      </c>
      <c r="O210" s="216">
        <v>0</v>
      </c>
      <c r="P210" s="216">
        <v>0</v>
      </c>
      <c r="Q210" s="216">
        <v>0</v>
      </c>
      <c r="R210" s="216">
        <v>0</v>
      </c>
      <c r="S210" s="216">
        <v>4085</v>
      </c>
      <c r="T210" s="216">
        <v>0</v>
      </c>
      <c r="U210" s="216">
        <v>15065</v>
      </c>
      <c r="V210" s="216">
        <v>0</v>
      </c>
      <c r="W210" s="216">
        <v>7296</v>
      </c>
      <c r="X210" s="216">
        <v>0</v>
      </c>
      <c r="Y210" s="216">
        <v>74946</v>
      </c>
      <c r="Z210" s="216">
        <v>0</v>
      </c>
      <c r="AA210" s="216">
        <v>0</v>
      </c>
      <c r="AB210" s="216">
        <v>290</v>
      </c>
      <c r="AC210" s="105"/>
    </row>
    <row r="211" spans="1:29" s="20" customFormat="1" x14ac:dyDescent="0.25">
      <c r="A211" s="31">
        <f>'M&amp;R Stations'!A211</f>
        <v>39170</v>
      </c>
      <c r="B211" s="216">
        <v>0</v>
      </c>
      <c r="C211" s="216">
        <v>0</v>
      </c>
      <c r="D211" s="216">
        <v>0</v>
      </c>
      <c r="E211" s="216">
        <v>0</v>
      </c>
      <c r="F211" s="216">
        <v>0</v>
      </c>
      <c r="G211" s="216">
        <v>0</v>
      </c>
      <c r="H211" s="216">
        <v>0</v>
      </c>
      <c r="I211" s="216">
        <v>0</v>
      </c>
      <c r="J211" s="216">
        <v>0</v>
      </c>
      <c r="K211" s="216">
        <v>459</v>
      </c>
      <c r="L211" s="216">
        <v>0</v>
      </c>
      <c r="M211" s="216">
        <v>0</v>
      </c>
      <c r="N211" s="216">
        <v>34749</v>
      </c>
      <c r="O211" s="216">
        <v>0</v>
      </c>
      <c r="P211" s="216">
        <v>0</v>
      </c>
      <c r="Q211" s="216">
        <v>0</v>
      </c>
      <c r="R211" s="216">
        <v>967</v>
      </c>
      <c r="S211" s="216">
        <v>0</v>
      </c>
      <c r="T211" s="216">
        <v>0</v>
      </c>
      <c r="U211" s="216">
        <v>15065</v>
      </c>
      <c r="V211" s="216">
        <v>28065</v>
      </c>
      <c r="W211" s="216">
        <v>7296</v>
      </c>
      <c r="X211" s="216">
        <v>7029</v>
      </c>
      <c r="Y211" s="216">
        <v>74946</v>
      </c>
      <c r="Z211" s="216">
        <v>0</v>
      </c>
      <c r="AA211" s="216">
        <v>0</v>
      </c>
      <c r="AB211" s="216">
        <v>134</v>
      </c>
      <c r="AC211" s="105"/>
    </row>
    <row r="212" spans="1:29" s="20" customFormat="1" x14ac:dyDescent="0.25">
      <c r="A212" s="31">
        <f>'M&amp;R Stations'!A212</f>
        <v>39171</v>
      </c>
      <c r="B212" s="216">
        <v>0</v>
      </c>
      <c r="C212" s="216">
        <v>0</v>
      </c>
      <c r="D212" s="216">
        <v>0</v>
      </c>
      <c r="E212" s="216">
        <v>0</v>
      </c>
      <c r="F212" s="216">
        <v>0</v>
      </c>
      <c r="G212" s="216">
        <v>0</v>
      </c>
      <c r="H212" s="216">
        <v>0</v>
      </c>
      <c r="I212" s="216">
        <v>0</v>
      </c>
      <c r="J212" s="216">
        <v>70</v>
      </c>
      <c r="K212" s="216">
        <v>0</v>
      </c>
      <c r="L212" s="216">
        <v>0</v>
      </c>
      <c r="M212" s="216">
        <v>0</v>
      </c>
      <c r="N212" s="216">
        <v>34716</v>
      </c>
      <c r="O212" s="216">
        <v>0</v>
      </c>
      <c r="P212" s="216">
        <v>1</v>
      </c>
      <c r="Q212" s="216">
        <v>0</v>
      </c>
      <c r="R212" s="216">
        <v>0</v>
      </c>
      <c r="S212" s="216">
        <v>3476</v>
      </c>
      <c r="T212" s="216">
        <v>0</v>
      </c>
      <c r="U212" s="216">
        <v>15079</v>
      </c>
      <c r="V212" s="216">
        <v>0</v>
      </c>
      <c r="W212" s="216">
        <v>7303</v>
      </c>
      <c r="X212" s="216">
        <v>0</v>
      </c>
      <c r="Y212" s="216">
        <v>75018</v>
      </c>
      <c r="Z212" s="216">
        <v>0</v>
      </c>
      <c r="AA212" s="216">
        <v>0</v>
      </c>
      <c r="AB212" s="216">
        <v>266</v>
      </c>
      <c r="AC212" s="105"/>
    </row>
    <row r="213" spans="1:29" s="20" customFormat="1" x14ac:dyDescent="0.25">
      <c r="A213" s="31">
        <f>'M&amp;R Stations'!A213</f>
        <v>39172</v>
      </c>
      <c r="B213" s="216">
        <v>0</v>
      </c>
      <c r="C213" s="216">
        <v>0</v>
      </c>
      <c r="D213" s="216">
        <v>0</v>
      </c>
      <c r="E213" s="216">
        <v>0</v>
      </c>
      <c r="F213" s="216">
        <v>0</v>
      </c>
      <c r="G213" s="216">
        <v>0</v>
      </c>
      <c r="H213" s="216">
        <v>0</v>
      </c>
      <c r="I213" s="216">
        <v>0</v>
      </c>
      <c r="J213" s="216">
        <v>0</v>
      </c>
      <c r="K213" s="216">
        <v>281</v>
      </c>
      <c r="L213" s="216">
        <v>0</v>
      </c>
      <c r="M213" s="216">
        <v>0</v>
      </c>
      <c r="N213" s="216">
        <v>34716</v>
      </c>
      <c r="O213" s="216">
        <v>0</v>
      </c>
      <c r="P213" s="216">
        <v>0</v>
      </c>
      <c r="Q213" s="216">
        <v>0</v>
      </c>
      <c r="R213" s="216">
        <v>943</v>
      </c>
      <c r="S213" s="216">
        <v>0</v>
      </c>
      <c r="T213" s="216">
        <v>0</v>
      </c>
      <c r="U213" s="216">
        <v>15108</v>
      </c>
      <c r="V213" s="216">
        <v>16041</v>
      </c>
      <c r="W213" s="216">
        <v>7317</v>
      </c>
      <c r="X213" s="216">
        <v>7049</v>
      </c>
      <c r="Y213" s="216">
        <v>75164</v>
      </c>
      <c r="Z213" s="216">
        <v>0</v>
      </c>
      <c r="AA213" s="216">
        <v>0</v>
      </c>
      <c r="AB213" s="216">
        <v>134</v>
      </c>
      <c r="AC213" s="105"/>
    </row>
    <row r="214" spans="1:29" s="20" customFormat="1" x14ac:dyDescent="0.25">
      <c r="A214" s="31">
        <f>'M&amp;R Stations'!A214</f>
        <v>39173</v>
      </c>
      <c r="B214" s="216">
        <v>2600</v>
      </c>
      <c r="C214" s="216">
        <v>0</v>
      </c>
      <c r="D214" s="216">
        <v>0</v>
      </c>
      <c r="E214" s="216">
        <v>29175</v>
      </c>
      <c r="F214" s="216">
        <v>0</v>
      </c>
      <c r="G214" s="216">
        <v>0</v>
      </c>
      <c r="H214" s="216">
        <v>0</v>
      </c>
      <c r="I214" s="216">
        <v>0</v>
      </c>
      <c r="J214" s="216">
        <v>0</v>
      </c>
      <c r="K214" s="216">
        <v>20142</v>
      </c>
      <c r="L214" s="216">
        <v>0</v>
      </c>
      <c r="M214" s="216">
        <v>0</v>
      </c>
      <c r="N214" s="216">
        <v>0</v>
      </c>
      <c r="O214" s="216">
        <v>0</v>
      </c>
      <c r="P214" s="216">
        <v>13</v>
      </c>
      <c r="Q214" s="216">
        <v>0</v>
      </c>
      <c r="R214" s="216">
        <v>935</v>
      </c>
      <c r="S214" s="216">
        <v>0</v>
      </c>
      <c r="T214" s="216">
        <v>2177</v>
      </c>
      <c r="U214" s="216">
        <v>15346</v>
      </c>
      <c r="V214" s="216">
        <v>34160</v>
      </c>
      <c r="W214" s="216">
        <v>7317</v>
      </c>
      <c r="X214" s="216">
        <v>7036</v>
      </c>
      <c r="Y214" s="216">
        <v>80125</v>
      </c>
      <c r="Z214" s="216">
        <v>0</v>
      </c>
      <c r="AA214" s="216">
        <v>0</v>
      </c>
      <c r="AB214" s="216">
        <v>136</v>
      </c>
      <c r="AC214" s="105"/>
    </row>
    <row r="215" spans="1:29" s="20" customFormat="1" x14ac:dyDescent="0.25">
      <c r="A215" s="31">
        <f>'M&amp;R Stations'!A215</f>
        <v>39174</v>
      </c>
      <c r="B215" s="216">
        <v>2603</v>
      </c>
      <c r="C215" s="216">
        <v>0</v>
      </c>
      <c r="D215" s="216">
        <v>0</v>
      </c>
      <c r="E215" s="216">
        <v>0</v>
      </c>
      <c r="F215" s="216">
        <v>0</v>
      </c>
      <c r="G215" s="216">
        <v>0</v>
      </c>
      <c r="H215" s="216">
        <v>0</v>
      </c>
      <c r="I215" s="216">
        <v>0</v>
      </c>
      <c r="J215" s="216">
        <v>0</v>
      </c>
      <c r="K215" s="216">
        <v>414</v>
      </c>
      <c r="L215" s="216">
        <v>0</v>
      </c>
      <c r="M215" s="216">
        <v>0</v>
      </c>
      <c r="N215" s="216">
        <v>0</v>
      </c>
      <c r="O215" s="216">
        <v>0</v>
      </c>
      <c r="P215" s="216">
        <v>13</v>
      </c>
      <c r="Q215" s="216">
        <v>0</v>
      </c>
      <c r="R215" s="216">
        <v>940</v>
      </c>
      <c r="S215" s="216">
        <v>0</v>
      </c>
      <c r="T215" s="216">
        <v>0</v>
      </c>
      <c r="U215" s="216">
        <v>15301</v>
      </c>
      <c r="V215" s="216">
        <v>23324</v>
      </c>
      <c r="W215" s="216">
        <v>7296</v>
      </c>
      <c r="X215" s="216">
        <v>7015</v>
      </c>
      <c r="Y215" s="216">
        <v>79893</v>
      </c>
      <c r="Z215" s="216">
        <v>0</v>
      </c>
      <c r="AA215" s="216">
        <v>0</v>
      </c>
      <c r="AB215" s="216">
        <v>136</v>
      </c>
      <c r="AC215" s="105"/>
    </row>
    <row r="216" spans="1:29" s="20" customFormat="1" x14ac:dyDescent="0.25">
      <c r="A216" s="31">
        <f>'M&amp;R Stations'!A216</f>
        <v>39175</v>
      </c>
      <c r="B216" s="216">
        <v>2603</v>
      </c>
      <c r="C216" s="216">
        <v>0</v>
      </c>
      <c r="D216" s="216">
        <v>0</v>
      </c>
      <c r="E216" s="216">
        <v>0</v>
      </c>
      <c r="F216" s="216">
        <v>0</v>
      </c>
      <c r="G216" s="216">
        <v>0</v>
      </c>
      <c r="H216" s="216">
        <v>0</v>
      </c>
      <c r="I216" s="216">
        <v>0</v>
      </c>
      <c r="J216" s="216">
        <v>0</v>
      </c>
      <c r="K216" s="216">
        <v>17403</v>
      </c>
      <c r="L216" s="216">
        <v>0</v>
      </c>
      <c r="M216" s="216">
        <v>0</v>
      </c>
      <c r="N216" s="216">
        <v>0</v>
      </c>
      <c r="O216" s="216">
        <v>0</v>
      </c>
      <c r="P216" s="216">
        <v>13</v>
      </c>
      <c r="Q216" s="216">
        <v>0</v>
      </c>
      <c r="R216" s="216">
        <v>942</v>
      </c>
      <c r="S216" s="216">
        <v>0</v>
      </c>
      <c r="T216" s="216">
        <v>0</v>
      </c>
      <c r="U216" s="216">
        <v>15331</v>
      </c>
      <c r="V216" s="216">
        <v>34018</v>
      </c>
      <c r="W216" s="216">
        <v>7310</v>
      </c>
      <c r="X216" s="216">
        <v>7029</v>
      </c>
      <c r="Y216" s="216">
        <v>80047</v>
      </c>
      <c r="Z216" s="216">
        <v>0</v>
      </c>
      <c r="AA216" s="216">
        <v>0</v>
      </c>
      <c r="AB216" s="216">
        <v>136</v>
      </c>
      <c r="AC216" s="105"/>
    </row>
    <row r="217" spans="1:29" s="20" customFormat="1" x14ac:dyDescent="0.25">
      <c r="A217" s="31">
        <f>'M&amp;R Stations'!A217</f>
        <v>39176</v>
      </c>
      <c r="B217" s="216">
        <v>2598</v>
      </c>
      <c r="C217" s="216">
        <v>0</v>
      </c>
      <c r="D217" s="216">
        <v>0</v>
      </c>
      <c r="E217" s="216">
        <v>28692</v>
      </c>
      <c r="F217" s="216">
        <v>0</v>
      </c>
      <c r="G217" s="216">
        <v>0</v>
      </c>
      <c r="H217" s="216">
        <v>0</v>
      </c>
      <c r="I217" s="216">
        <v>0</v>
      </c>
      <c r="J217" s="216">
        <v>0</v>
      </c>
      <c r="K217" s="216">
        <v>20123</v>
      </c>
      <c r="L217" s="216">
        <v>0</v>
      </c>
      <c r="M217" s="216">
        <v>0</v>
      </c>
      <c r="N217" s="216">
        <v>0</v>
      </c>
      <c r="O217" s="216">
        <v>0</v>
      </c>
      <c r="P217" s="216">
        <v>13</v>
      </c>
      <c r="Q217" s="216">
        <v>0</v>
      </c>
      <c r="R217" s="216">
        <v>942</v>
      </c>
      <c r="S217" s="216">
        <v>0</v>
      </c>
      <c r="T217" s="216">
        <v>33915</v>
      </c>
      <c r="U217" s="216">
        <v>15331</v>
      </c>
      <c r="V217" s="216">
        <v>34127</v>
      </c>
      <c r="W217" s="216">
        <v>7310</v>
      </c>
      <c r="X217" s="216">
        <v>23130</v>
      </c>
      <c r="Y217" s="216">
        <v>79804</v>
      </c>
      <c r="Z217" s="216">
        <v>0</v>
      </c>
      <c r="AA217" s="216">
        <v>0</v>
      </c>
      <c r="AB217" s="216">
        <v>136</v>
      </c>
      <c r="AC217" s="105"/>
    </row>
    <row r="218" spans="1:29" s="20" customFormat="1" x14ac:dyDescent="0.25">
      <c r="A218" s="31">
        <f>'M&amp;R Stations'!A218</f>
        <v>39177</v>
      </c>
      <c r="B218" s="216">
        <v>2598</v>
      </c>
      <c r="C218" s="216">
        <v>0</v>
      </c>
      <c r="D218" s="216">
        <v>0</v>
      </c>
      <c r="E218" s="216">
        <v>28808</v>
      </c>
      <c r="F218" s="216">
        <v>0</v>
      </c>
      <c r="G218" s="216">
        <v>24815</v>
      </c>
      <c r="H218" s="216">
        <v>0</v>
      </c>
      <c r="I218" s="216">
        <v>0</v>
      </c>
      <c r="J218" s="216">
        <v>0</v>
      </c>
      <c r="K218" s="216">
        <v>20123</v>
      </c>
      <c r="L218" s="216">
        <v>0</v>
      </c>
      <c r="M218" s="216">
        <v>0</v>
      </c>
      <c r="N218" s="216">
        <v>0</v>
      </c>
      <c r="O218" s="216">
        <v>0</v>
      </c>
      <c r="P218" s="216">
        <v>13</v>
      </c>
      <c r="Q218" s="216">
        <v>0</v>
      </c>
      <c r="R218" s="216">
        <v>938</v>
      </c>
      <c r="S218" s="216">
        <v>0</v>
      </c>
      <c r="T218" s="216">
        <v>39182</v>
      </c>
      <c r="U218" s="216">
        <v>15272</v>
      </c>
      <c r="V218" s="216">
        <v>33995</v>
      </c>
      <c r="W218" s="216">
        <v>7282</v>
      </c>
      <c r="X218" s="216">
        <v>47575</v>
      </c>
      <c r="Y218" s="216">
        <v>79696</v>
      </c>
      <c r="Z218" s="216">
        <v>0</v>
      </c>
      <c r="AA218" s="216">
        <v>0</v>
      </c>
      <c r="AB218" s="216">
        <v>136</v>
      </c>
      <c r="AC218" s="105"/>
    </row>
    <row r="219" spans="1:29" s="20" customFormat="1" x14ac:dyDescent="0.25">
      <c r="A219" s="31">
        <f>'M&amp;R Stations'!A219</f>
        <v>39178</v>
      </c>
      <c r="B219" s="216">
        <v>2598</v>
      </c>
      <c r="C219" s="216">
        <v>0</v>
      </c>
      <c r="D219" s="216">
        <v>0</v>
      </c>
      <c r="E219" s="216">
        <v>28978</v>
      </c>
      <c r="F219" s="216">
        <v>0</v>
      </c>
      <c r="G219" s="216">
        <v>24815</v>
      </c>
      <c r="H219" s="216">
        <v>0</v>
      </c>
      <c r="I219" s="216">
        <v>0</v>
      </c>
      <c r="J219" s="216">
        <v>0</v>
      </c>
      <c r="K219" s="216">
        <v>20123</v>
      </c>
      <c r="L219" s="216">
        <v>0</v>
      </c>
      <c r="M219" s="216">
        <v>0</v>
      </c>
      <c r="N219" s="216">
        <v>0</v>
      </c>
      <c r="O219" s="216">
        <v>0</v>
      </c>
      <c r="P219" s="216">
        <v>13</v>
      </c>
      <c r="Q219" s="216">
        <v>0</v>
      </c>
      <c r="R219" s="216">
        <v>935</v>
      </c>
      <c r="S219" s="216">
        <v>0</v>
      </c>
      <c r="T219" s="216">
        <v>33654</v>
      </c>
      <c r="U219" s="216">
        <v>15213</v>
      </c>
      <c r="V219" s="216">
        <v>33864</v>
      </c>
      <c r="W219" s="216">
        <v>7254</v>
      </c>
      <c r="X219" s="216">
        <v>19841</v>
      </c>
      <c r="Y219" s="216">
        <v>90009</v>
      </c>
      <c r="Z219" s="216">
        <v>0</v>
      </c>
      <c r="AA219" s="216">
        <v>0</v>
      </c>
      <c r="AB219" s="216">
        <v>135</v>
      </c>
      <c r="AC219" s="105"/>
    </row>
    <row r="220" spans="1:29" s="20" customFormat="1" x14ac:dyDescent="0.25">
      <c r="A220" s="31">
        <f>'M&amp;R Stations'!A220</f>
        <v>39179</v>
      </c>
      <c r="B220" s="216">
        <v>2598</v>
      </c>
      <c r="C220" s="216">
        <v>0</v>
      </c>
      <c r="D220" s="216">
        <v>0</v>
      </c>
      <c r="E220" s="216">
        <v>31209</v>
      </c>
      <c r="F220" s="216">
        <v>0</v>
      </c>
      <c r="G220" s="216">
        <v>24815</v>
      </c>
      <c r="H220" s="216">
        <v>0</v>
      </c>
      <c r="I220" s="216">
        <v>0</v>
      </c>
      <c r="J220" s="216">
        <v>0</v>
      </c>
      <c r="K220" s="216">
        <v>20123</v>
      </c>
      <c r="L220" s="216">
        <v>0</v>
      </c>
      <c r="M220" s="216">
        <v>0</v>
      </c>
      <c r="N220" s="216">
        <v>0</v>
      </c>
      <c r="O220" s="216">
        <v>0</v>
      </c>
      <c r="P220" s="216">
        <v>13</v>
      </c>
      <c r="Q220" s="216">
        <v>0</v>
      </c>
      <c r="R220" s="216">
        <v>936</v>
      </c>
      <c r="S220" s="216">
        <v>0</v>
      </c>
      <c r="T220" s="216">
        <v>42765</v>
      </c>
      <c r="U220" s="216">
        <v>15228</v>
      </c>
      <c r="V220" s="216">
        <v>33897</v>
      </c>
      <c r="W220" s="216">
        <v>7261</v>
      </c>
      <c r="X220" s="216">
        <v>36851</v>
      </c>
      <c r="Y220" s="216">
        <v>90095</v>
      </c>
      <c r="Z220" s="216">
        <v>0</v>
      </c>
      <c r="AA220" s="216">
        <v>0</v>
      </c>
      <c r="AB220" s="216">
        <v>135</v>
      </c>
      <c r="AC220" s="105"/>
    </row>
    <row r="221" spans="1:29" s="20" customFormat="1" x14ac:dyDescent="0.25">
      <c r="A221" s="31">
        <f>'M&amp;R Stations'!A221</f>
        <v>39180</v>
      </c>
      <c r="B221" s="216">
        <v>2595</v>
      </c>
      <c r="C221" s="216">
        <v>0</v>
      </c>
      <c r="D221" s="216">
        <v>0</v>
      </c>
      <c r="E221" s="216">
        <v>28906</v>
      </c>
      <c r="F221" s="216">
        <v>0</v>
      </c>
      <c r="G221" s="216">
        <v>24791</v>
      </c>
      <c r="H221" s="216">
        <v>0</v>
      </c>
      <c r="I221" s="216">
        <v>0</v>
      </c>
      <c r="J221" s="216">
        <v>0</v>
      </c>
      <c r="K221" s="216">
        <v>20103</v>
      </c>
      <c r="L221" s="216">
        <v>0</v>
      </c>
      <c r="M221" s="216">
        <v>0</v>
      </c>
      <c r="N221" s="216">
        <v>0</v>
      </c>
      <c r="O221" s="216">
        <v>0</v>
      </c>
      <c r="P221" s="216">
        <v>13</v>
      </c>
      <c r="Q221" s="216">
        <v>0</v>
      </c>
      <c r="R221" s="216">
        <v>935</v>
      </c>
      <c r="S221" s="216">
        <v>0</v>
      </c>
      <c r="T221" s="216">
        <v>42387</v>
      </c>
      <c r="U221" s="216">
        <v>15213</v>
      </c>
      <c r="V221" s="216">
        <v>33864</v>
      </c>
      <c r="W221" s="216">
        <v>7254</v>
      </c>
      <c r="X221" s="216">
        <v>36815</v>
      </c>
      <c r="Y221" s="216">
        <v>90009</v>
      </c>
      <c r="Z221" s="216">
        <v>0</v>
      </c>
      <c r="AA221" s="216">
        <v>0</v>
      </c>
      <c r="AB221" s="216">
        <v>135</v>
      </c>
      <c r="AC221" s="105"/>
    </row>
    <row r="222" spans="1:29" s="20" customFormat="1" x14ac:dyDescent="0.25">
      <c r="A222" s="31">
        <f>'M&amp;R Stations'!A222</f>
        <v>39181</v>
      </c>
      <c r="B222" s="216">
        <v>2595</v>
      </c>
      <c r="C222" s="216">
        <v>0</v>
      </c>
      <c r="D222" s="216">
        <v>0</v>
      </c>
      <c r="E222" s="216">
        <v>29032</v>
      </c>
      <c r="F222" s="216">
        <v>0</v>
      </c>
      <c r="G222" s="216">
        <v>24791</v>
      </c>
      <c r="H222" s="216">
        <v>0</v>
      </c>
      <c r="I222" s="216">
        <v>0</v>
      </c>
      <c r="J222" s="216">
        <v>0</v>
      </c>
      <c r="K222" s="216">
        <v>20103</v>
      </c>
      <c r="L222" s="216">
        <v>0</v>
      </c>
      <c r="M222" s="216">
        <v>0</v>
      </c>
      <c r="N222" s="216">
        <v>0</v>
      </c>
      <c r="O222" s="216">
        <v>0</v>
      </c>
      <c r="P222" s="216">
        <v>13</v>
      </c>
      <c r="Q222" s="216">
        <v>0</v>
      </c>
      <c r="R222" s="216">
        <v>936</v>
      </c>
      <c r="S222" s="216">
        <v>0</v>
      </c>
      <c r="T222" s="216">
        <v>33686</v>
      </c>
      <c r="U222" s="216">
        <v>15228</v>
      </c>
      <c r="V222" s="216">
        <v>33897</v>
      </c>
      <c r="W222" s="216">
        <v>7261</v>
      </c>
      <c r="X222" s="216">
        <v>9515</v>
      </c>
      <c r="Y222" s="216">
        <v>90095</v>
      </c>
      <c r="Z222" s="216">
        <v>0</v>
      </c>
      <c r="AA222" s="216">
        <v>0</v>
      </c>
      <c r="AB222" s="216">
        <v>135</v>
      </c>
      <c r="AC222" s="105"/>
    </row>
    <row r="223" spans="1:29" s="20" customFormat="1" x14ac:dyDescent="0.25">
      <c r="A223" s="31">
        <f>'M&amp;R Stations'!A223</f>
        <v>39182</v>
      </c>
      <c r="B223" s="216">
        <v>2600</v>
      </c>
      <c r="C223" s="216">
        <v>0</v>
      </c>
      <c r="D223" s="216">
        <v>0</v>
      </c>
      <c r="E223" s="216">
        <v>28008</v>
      </c>
      <c r="F223" s="216">
        <v>0</v>
      </c>
      <c r="G223" s="216">
        <v>0</v>
      </c>
      <c r="H223" s="216">
        <v>0</v>
      </c>
      <c r="I223" s="216">
        <v>0</v>
      </c>
      <c r="J223" s="216">
        <v>0</v>
      </c>
      <c r="K223" s="216">
        <v>20142</v>
      </c>
      <c r="L223" s="216">
        <v>0</v>
      </c>
      <c r="M223" s="216">
        <v>0</v>
      </c>
      <c r="N223" s="216">
        <v>0</v>
      </c>
      <c r="O223" s="216">
        <v>0</v>
      </c>
      <c r="P223" s="216">
        <v>13</v>
      </c>
      <c r="Q223" s="216">
        <v>0</v>
      </c>
      <c r="R223" s="216">
        <v>934</v>
      </c>
      <c r="S223" s="216">
        <v>0</v>
      </c>
      <c r="T223" s="216">
        <v>28606</v>
      </c>
      <c r="U223" s="216">
        <v>15198</v>
      </c>
      <c r="V223" s="216">
        <v>33832</v>
      </c>
      <c r="W223" s="216">
        <v>7247</v>
      </c>
      <c r="X223" s="216">
        <v>6968</v>
      </c>
      <c r="Y223" s="216">
        <v>98568</v>
      </c>
      <c r="Z223" s="216">
        <v>0</v>
      </c>
      <c r="AA223" s="216">
        <v>0</v>
      </c>
      <c r="AB223" s="216">
        <v>135</v>
      </c>
      <c r="AC223" s="105"/>
    </row>
    <row r="224" spans="1:29" s="20" customFormat="1" x14ac:dyDescent="0.25">
      <c r="A224" s="31">
        <f>'M&amp;R Stations'!A224</f>
        <v>39183</v>
      </c>
      <c r="B224" s="216">
        <v>2603</v>
      </c>
      <c r="C224" s="216">
        <v>0</v>
      </c>
      <c r="D224" s="216">
        <v>0</v>
      </c>
      <c r="E224" s="216">
        <v>0</v>
      </c>
      <c r="F224" s="216">
        <v>0</v>
      </c>
      <c r="G224" s="216">
        <v>0</v>
      </c>
      <c r="H224" s="216">
        <v>0</v>
      </c>
      <c r="I224" s="216">
        <v>0</v>
      </c>
      <c r="J224" s="216">
        <v>0</v>
      </c>
      <c r="K224" s="216">
        <v>17016</v>
      </c>
      <c r="L224" s="216">
        <v>0</v>
      </c>
      <c r="M224" s="216">
        <v>0</v>
      </c>
      <c r="N224" s="216">
        <v>0</v>
      </c>
      <c r="O224" s="216">
        <v>0</v>
      </c>
      <c r="P224" s="216">
        <v>13</v>
      </c>
      <c r="Q224" s="216">
        <v>0</v>
      </c>
      <c r="R224" s="216">
        <v>934</v>
      </c>
      <c r="S224" s="216">
        <v>0</v>
      </c>
      <c r="T224" s="216">
        <v>26393</v>
      </c>
      <c r="U224" s="216">
        <v>15198</v>
      </c>
      <c r="V224" s="216">
        <v>33832</v>
      </c>
      <c r="W224" s="216">
        <v>7247</v>
      </c>
      <c r="X224" s="216">
        <v>6968</v>
      </c>
      <c r="Y224" s="216">
        <v>98568</v>
      </c>
      <c r="Z224" s="216">
        <v>0</v>
      </c>
      <c r="AA224" s="216">
        <v>0</v>
      </c>
      <c r="AB224" s="216">
        <v>135</v>
      </c>
      <c r="AC224" s="105"/>
    </row>
    <row r="225" spans="1:29" s="20" customFormat="1" x14ac:dyDescent="0.25">
      <c r="A225" s="31">
        <f>'M&amp;R Stations'!A225</f>
        <v>39184</v>
      </c>
      <c r="B225" s="216">
        <v>2603</v>
      </c>
      <c r="C225" s="216">
        <v>0</v>
      </c>
      <c r="D225" s="216">
        <v>0</v>
      </c>
      <c r="E225" s="216">
        <v>18496</v>
      </c>
      <c r="F225" s="216">
        <v>0</v>
      </c>
      <c r="G225" s="216">
        <v>0</v>
      </c>
      <c r="H225" s="216">
        <v>0</v>
      </c>
      <c r="I225" s="216">
        <v>0</v>
      </c>
      <c r="J225" s="216">
        <v>0</v>
      </c>
      <c r="K225" s="216">
        <v>20162</v>
      </c>
      <c r="L225" s="216">
        <v>0</v>
      </c>
      <c r="M225" s="216">
        <v>0</v>
      </c>
      <c r="N225" s="216">
        <v>0</v>
      </c>
      <c r="O225" s="216">
        <v>0</v>
      </c>
      <c r="P225" s="216">
        <v>13</v>
      </c>
      <c r="Q225" s="216">
        <v>0</v>
      </c>
      <c r="R225" s="216">
        <v>935</v>
      </c>
      <c r="S225" s="216">
        <v>0</v>
      </c>
      <c r="T225" s="216">
        <v>24038</v>
      </c>
      <c r="U225" s="216">
        <v>15213</v>
      </c>
      <c r="V225" s="216">
        <v>33864</v>
      </c>
      <c r="W225" s="216">
        <v>7254</v>
      </c>
      <c r="X225" s="216">
        <v>7002</v>
      </c>
      <c r="Y225" s="216">
        <v>98663</v>
      </c>
      <c r="Z225" s="216">
        <v>0</v>
      </c>
      <c r="AA225" s="216">
        <v>0</v>
      </c>
      <c r="AB225" s="216">
        <v>135</v>
      </c>
      <c r="AC225" s="105"/>
    </row>
    <row r="226" spans="1:29" s="20" customFormat="1" x14ac:dyDescent="0.25">
      <c r="A226" s="31">
        <f>'M&amp;R Stations'!A226</f>
        <v>39185</v>
      </c>
      <c r="B226" s="216">
        <v>2605</v>
      </c>
      <c r="C226" s="216">
        <v>0</v>
      </c>
      <c r="D226" s="216">
        <v>0</v>
      </c>
      <c r="E226" s="216">
        <v>8506</v>
      </c>
      <c r="F226" s="216">
        <v>0</v>
      </c>
      <c r="G226" s="216">
        <v>24887</v>
      </c>
      <c r="H226" s="216">
        <v>0</v>
      </c>
      <c r="I226" s="216">
        <v>0</v>
      </c>
      <c r="J226" s="216">
        <v>0</v>
      </c>
      <c r="K226" s="216">
        <v>20181</v>
      </c>
      <c r="L226" s="216">
        <v>0</v>
      </c>
      <c r="M226" s="216">
        <v>0</v>
      </c>
      <c r="N226" s="216">
        <v>0</v>
      </c>
      <c r="O226" s="216">
        <v>0</v>
      </c>
      <c r="P226" s="216">
        <v>13</v>
      </c>
      <c r="Q226" s="216">
        <v>0</v>
      </c>
      <c r="R226" s="216">
        <v>936</v>
      </c>
      <c r="S226" s="216">
        <v>0</v>
      </c>
      <c r="T226" s="216">
        <v>24085</v>
      </c>
      <c r="U226" s="216">
        <v>15242</v>
      </c>
      <c r="V226" s="216">
        <v>33930</v>
      </c>
      <c r="W226" s="216">
        <v>7268</v>
      </c>
      <c r="X226" s="216">
        <v>7104</v>
      </c>
      <c r="Y226" s="216">
        <v>102648</v>
      </c>
      <c r="Z226" s="216">
        <v>0</v>
      </c>
      <c r="AA226" s="216">
        <v>0</v>
      </c>
      <c r="AB226" s="216">
        <v>135</v>
      </c>
      <c r="AC226" s="105"/>
    </row>
    <row r="227" spans="1:29" s="20" customFormat="1" x14ac:dyDescent="0.25">
      <c r="A227" s="31">
        <f>'M&amp;R Stations'!A227</f>
        <v>39186</v>
      </c>
      <c r="B227" s="216">
        <v>2603</v>
      </c>
      <c r="C227" s="216">
        <v>0</v>
      </c>
      <c r="D227" s="216">
        <v>0</v>
      </c>
      <c r="E227" s="216">
        <v>0</v>
      </c>
      <c r="F227" s="216">
        <v>0</v>
      </c>
      <c r="G227" s="216">
        <v>24863</v>
      </c>
      <c r="H227" s="216">
        <v>0</v>
      </c>
      <c r="I227" s="216">
        <v>0</v>
      </c>
      <c r="J227" s="216">
        <v>0</v>
      </c>
      <c r="K227" s="216">
        <v>1381</v>
      </c>
      <c r="L227" s="216">
        <v>0</v>
      </c>
      <c r="M227" s="216">
        <v>0</v>
      </c>
      <c r="N227" s="216">
        <v>0</v>
      </c>
      <c r="O227" s="216">
        <v>0</v>
      </c>
      <c r="P227" s="216">
        <v>13</v>
      </c>
      <c r="Q227" s="216">
        <v>0</v>
      </c>
      <c r="R227" s="216">
        <v>936</v>
      </c>
      <c r="S227" s="216">
        <v>0</v>
      </c>
      <c r="T227" s="216">
        <v>0</v>
      </c>
      <c r="U227" s="216">
        <v>15228</v>
      </c>
      <c r="V227" s="216">
        <v>32666</v>
      </c>
      <c r="W227" s="216">
        <v>7261</v>
      </c>
      <c r="X227" s="216">
        <v>6983</v>
      </c>
      <c r="Y227" s="216">
        <v>102550</v>
      </c>
      <c r="Z227" s="216">
        <v>0</v>
      </c>
      <c r="AA227" s="216">
        <v>0</v>
      </c>
      <c r="AB227" s="216">
        <v>135</v>
      </c>
      <c r="AC227" s="105"/>
    </row>
    <row r="228" spans="1:29" s="20" customFormat="1" x14ac:dyDescent="0.25">
      <c r="A228" s="31">
        <f>'M&amp;R Stations'!A228</f>
        <v>39187</v>
      </c>
      <c r="B228" s="216">
        <v>2600</v>
      </c>
      <c r="C228" s="216">
        <v>0</v>
      </c>
      <c r="D228" s="216">
        <v>0</v>
      </c>
      <c r="E228" s="216">
        <v>27850</v>
      </c>
      <c r="F228" s="216">
        <v>0</v>
      </c>
      <c r="G228" s="216">
        <v>24839</v>
      </c>
      <c r="H228" s="216">
        <v>0</v>
      </c>
      <c r="I228" s="216">
        <v>0</v>
      </c>
      <c r="J228" s="216">
        <v>0</v>
      </c>
      <c r="K228" s="216">
        <v>20142</v>
      </c>
      <c r="L228" s="216">
        <v>0</v>
      </c>
      <c r="M228" s="216">
        <v>0</v>
      </c>
      <c r="N228" s="216">
        <v>0</v>
      </c>
      <c r="O228" s="216">
        <v>0</v>
      </c>
      <c r="P228" s="216">
        <v>13</v>
      </c>
      <c r="Q228" s="216">
        <v>0</v>
      </c>
      <c r="R228" s="216">
        <v>940</v>
      </c>
      <c r="S228" s="216">
        <v>0</v>
      </c>
      <c r="T228" s="216">
        <v>24178</v>
      </c>
      <c r="U228" s="216">
        <v>15301</v>
      </c>
      <c r="V228" s="216">
        <v>34061</v>
      </c>
      <c r="W228" s="216">
        <v>7296</v>
      </c>
      <c r="X228" s="216">
        <v>11831</v>
      </c>
      <c r="Y228" s="216">
        <v>103045</v>
      </c>
      <c r="Z228" s="216">
        <v>0</v>
      </c>
      <c r="AA228" s="216">
        <v>0</v>
      </c>
      <c r="AB228" s="216">
        <v>136</v>
      </c>
      <c r="AC228" s="105"/>
    </row>
    <row r="229" spans="1:29" s="20" customFormat="1" x14ac:dyDescent="0.25">
      <c r="A229" s="31">
        <f>'M&amp;R Stations'!A229</f>
        <v>39188</v>
      </c>
      <c r="B229" s="216">
        <v>2595</v>
      </c>
      <c r="C229" s="216">
        <v>0</v>
      </c>
      <c r="D229" s="216">
        <v>0</v>
      </c>
      <c r="E229" s="216">
        <v>32627</v>
      </c>
      <c r="F229" s="216">
        <v>0</v>
      </c>
      <c r="G229" s="216">
        <v>24791</v>
      </c>
      <c r="H229" s="216">
        <v>0</v>
      </c>
      <c r="I229" s="216">
        <v>0</v>
      </c>
      <c r="J229" s="216">
        <v>0</v>
      </c>
      <c r="K229" s="216">
        <v>16752</v>
      </c>
      <c r="L229" s="216">
        <v>0</v>
      </c>
      <c r="M229" s="216">
        <v>0</v>
      </c>
      <c r="N229" s="216">
        <v>0</v>
      </c>
      <c r="O229" s="216">
        <v>0</v>
      </c>
      <c r="P229" s="216">
        <v>13</v>
      </c>
      <c r="Q229" s="216">
        <v>0</v>
      </c>
      <c r="R229" s="216">
        <v>0</v>
      </c>
      <c r="S229" s="216">
        <v>0</v>
      </c>
      <c r="T229" s="216">
        <v>31530</v>
      </c>
      <c r="U229" s="216">
        <v>15155</v>
      </c>
      <c r="V229" s="216">
        <v>33735</v>
      </c>
      <c r="W229" s="216">
        <v>7226</v>
      </c>
      <c r="X229" s="216">
        <v>24280</v>
      </c>
      <c r="Y229" s="216">
        <v>102058</v>
      </c>
      <c r="Z229" s="216">
        <v>0</v>
      </c>
      <c r="AA229" s="216">
        <v>0</v>
      </c>
      <c r="AB229" s="216">
        <v>135</v>
      </c>
      <c r="AC229" s="105"/>
    </row>
    <row r="230" spans="1:29" s="20" customFormat="1" x14ac:dyDescent="0.25">
      <c r="A230" s="31">
        <f>'M&amp;R Stations'!A230</f>
        <v>39189</v>
      </c>
      <c r="B230" s="216">
        <v>2598</v>
      </c>
      <c r="C230" s="216">
        <v>0</v>
      </c>
      <c r="D230" s="216">
        <v>0</v>
      </c>
      <c r="E230" s="216">
        <v>27407</v>
      </c>
      <c r="F230" s="216">
        <v>0</v>
      </c>
      <c r="G230" s="216">
        <v>24815</v>
      </c>
      <c r="H230" s="216">
        <v>0</v>
      </c>
      <c r="I230" s="216">
        <v>0</v>
      </c>
      <c r="J230" s="216">
        <v>0</v>
      </c>
      <c r="K230" s="216">
        <v>16768</v>
      </c>
      <c r="L230" s="216">
        <v>0</v>
      </c>
      <c r="M230" s="216">
        <v>0</v>
      </c>
      <c r="N230" s="216">
        <v>0</v>
      </c>
      <c r="O230" s="216">
        <v>0</v>
      </c>
      <c r="P230" s="216">
        <v>13</v>
      </c>
      <c r="Q230" s="216">
        <v>0</v>
      </c>
      <c r="R230" s="216">
        <v>0</v>
      </c>
      <c r="S230" s="216">
        <v>0</v>
      </c>
      <c r="T230" s="216">
        <v>24178</v>
      </c>
      <c r="U230" s="216">
        <v>15301</v>
      </c>
      <c r="V230" s="216">
        <v>34061</v>
      </c>
      <c r="W230" s="216">
        <v>7296</v>
      </c>
      <c r="X230" s="216">
        <v>8512</v>
      </c>
      <c r="Y230" s="216">
        <v>103045</v>
      </c>
      <c r="Z230" s="216">
        <v>0</v>
      </c>
      <c r="AA230" s="216">
        <v>0</v>
      </c>
      <c r="AB230" s="216">
        <v>136</v>
      </c>
      <c r="AC230" s="105"/>
    </row>
    <row r="231" spans="1:29" s="20" customFormat="1" x14ac:dyDescent="0.25">
      <c r="A231" s="31">
        <f>'M&amp;R Stations'!A231</f>
        <v>39190</v>
      </c>
      <c r="B231" s="216">
        <v>0</v>
      </c>
      <c r="C231" s="216">
        <v>0</v>
      </c>
      <c r="D231" s="216">
        <v>0</v>
      </c>
      <c r="E231" s="216">
        <v>0</v>
      </c>
      <c r="F231" s="216">
        <v>0</v>
      </c>
      <c r="G231" s="216">
        <v>24767</v>
      </c>
      <c r="H231" s="216">
        <v>0</v>
      </c>
      <c r="I231" s="216">
        <v>0</v>
      </c>
      <c r="J231" s="216">
        <v>0</v>
      </c>
      <c r="K231" s="216">
        <v>923</v>
      </c>
      <c r="L231" s="216">
        <v>0</v>
      </c>
      <c r="M231" s="216">
        <v>0</v>
      </c>
      <c r="N231" s="216">
        <v>0</v>
      </c>
      <c r="O231" s="216">
        <v>0</v>
      </c>
      <c r="P231" s="216">
        <v>0</v>
      </c>
      <c r="Q231" s="216">
        <v>0</v>
      </c>
      <c r="R231" s="216">
        <v>0</v>
      </c>
      <c r="S231" s="216">
        <v>0</v>
      </c>
      <c r="T231" s="216">
        <v>0</v>
      </c>
      <c r="U231" s="216">
        <v>15361</v>
      </c>
      <c r="V231" s="216">
        <v>34193</v>
      </c>
      <c r="W231" s="216">
        <v>7324</v>
      </c>
      <c r="X231" s="216">
        <v>15274</v>
      </c>
      <c r="Y231" s="216">
        <v>103446</v>
      </c>
      <c r="Z231" s="216">
        <v>0</v>
      </c>
      <c r="AA231" s="216">
        <v>0</v>
      </c>
      <c r="AB231" s="216">
        <v>136</v>
      </c>
      <c r="AC231" s="105"/>
    </row>
    <row r="232" spans="1:29" s="20" customFormat="1" x14ac:dyDescent="0.25">
      <c r="A232" s="31">
        <f>'M&amp;R Stations'!A232</f>
        <v>39191</v>
      </c>
      <c r="B232" s="216">
        <v>0</v>
      </c>
      <c r="C232" s="216">
        <v>0</v>
      </c>
      <c r="D232" s="216">
        <v>0</v>
      </c>
      <c r="E232" s="216">
        <v>0</v>
      </c>
      <c r="F232" s="216">
        <v>0</v>
      </c>
      <c r="G232" s="216">
        <v>24839</v>
      </c>
      <c r="H232" s="216">
        <v>0</v>
      </c>
      <c r="I232" s="216">
        <v>0</v>
      </c>
      <c r="J232" s="216">
        <v>0</v>
      </c>
      <c r="K232" s="216">
        <v>189</v>
      </c>
      <c r="L232" s="216">
        <v>0</v>
      </c>
      <c r="M232" s="216">
        <v>0</v>
      </c>
      <c r="N232" s="216">
        <v>0</v>
      </c>
      <c r="O232" s="216">
        <v>0</v>
      </c>
      <c r="P232" s="216">
        <v>0</v>
      </c>
      <c r="Q232" s="216">
        <v>0</v>
      </c>
      <c r="R232" s="216">
        <v>0</v>
      </c>
      <c r="S232" s="216">
        <v>0</v>
      </c>
      <c r="T232" s="216">
        <v>0</v>
      </c>
      <c r="U232" s="216">
        <v>15287</v>
      </c>
      <c r="V232" s="216">
        <v>19052</v>
      </c>
      <c r="W232" s="216">
        <v>7289</v>
      </c>
      <c r="X232" s="216">
        <v>7009</v>
      </c>
      <c r="Y232" s="216">
        <v>102946</v>
      </c>
      <c r="Z232" s="216">
        <v>0</v>
      </c>
      <c r="AA232" s="216">
        <v>0</v>
      </c>
      <c r="AB232" s="216">
        <v>136</v>
      </c>
      <c r="AC232" s="105"/>
    </row>
    <row r="233" spans="1:29" s="20" customFormat="1" x14ac:dyDescent="0.25">
      <c r="A233" s="31">
        <f>'M&amp;R Stations'!A233</f>
        <v>39192</v>
      </c>
      <c r="B233" s="216">
        <v>0</v>
      </c>
      <c r="C233" s="216">
        <v>0</v>
      </c>
      <c r="D233" s="216">
        <v>0</v>
      </c>
      <c r="E233" s="216">
        <v>0</v>
      </c>
      <c r="F233" s="216">
        <v>0</v>
      </c>
      <c r="G233" s="216">
        <v>0</v>
      </c>
      <c r="H233" s="216">
        <v>0</v>
      </c>
      <c r="I233" s="216">
        <v>0</v>
      </c>
      <c r="J233" s="216">
        <v>1320</v>
      </c>
      <c r="K233" s="216">
        <v>0</v>
      </c>
      <c r="L233" s="216">
        <v>0</v>
      </c>
      <c r="M233" s="216">
        <v>0</v>
      </c>
      <c r="N233" s="216">
        <v>0</v>
      </c>
      <c r="O233" s="216">
        <v>0</v>
      </c>
      <c r="P233" s="216">
        <v>11</v>
      </c>
      <c r="Q233" s="216">
        <v>0</v>
      </c>
      <c r="R233" s="216">
        <v>0</v>
      </c>
      <c r="S233" s="216">
        <v>12296</v>
      </c>
      <c r="T233" s="216">
        <v>0</v>
      </c>
      <c r="U233" s="216">
        <v>15316</v>
      </c>
      <c r="V233" s="216">
        <v>0</v>
      </c>
      <c r="W233" s="216">
        <v>7303</v>
      </c>
      <c r="X233" s="216">
        <v>0</v>
      </c>
      <c r="Y233" s="216">
        <v>103145</v>
      </c>
      <c r="Z233" s="216">
        <v>0</v>
      </c>
      <c r="AA233" s="216">
        <v>0</v>
      </c>
      <c r="AB233" s="216">
        <v>602</v>
      </c>
      <c r="AC233" s="105"/>
    </row>
    <row r="234" spans="1:29" s="20" customFormat="1" x14ac:dyDescent="0.25">
      <c r="A234" s="31">
        <f>'M&amp;R Stations'!A234</f>
        <v>39193</v>
      </c>
      <c r="B234" s="216">
        <v>2603</v>
      </c>
      <c r="C234" s="216">
        <v>0</v>
      </c>
      <c r="D234" s="216">
        <v>10970</v>
      </c>
      <c r="E234" s="216">
        <v>0</v>
      </c>
      <c r="F234" s="216">
        <v>0</v>
      </c>
      <c r="G234" s="216">
        <v>0</v>
      </c>
      <c r="H234" s="216">
        <v>0</v>
      </c>
      <c r="I234" s="216">
        <v>0</v>
      </c>
      <c r="J234" s="216">
        <v>12244</v>
      </c>
      <c r="K234" s="216">
        <v>0</v>
      </c>
      <c r="L234" s="216">
        <v>0</v>
      </c>
      <c r="M234" s="216">
        <v>0</v>
      </c>
      <c r="N234" s="216">
        <v>0</v>
      </c>
      <c r="O234" s="216">
        <v>0</v>
      </c>
      <c r="P234" s="216">
        <v>214</v>
      </c>
      <c r="Q234" s="216">
        <v>1921</v>
      </c>
      <c r="R234" s="216">
        <v>0</v>
      </c>
      <c r="S234" s="216">
        <v>13566</v>
      </c>
      <c r="T234" s="216">
        <v>0</v>
      </c>
      <c r="U234" s="216">
        <v>15331</v>
      </c>
      <c r="V234" s="216">
        <v>6620</v>
      </c>
      <c r="W234" s="216">
        <v>7310</v>
      </c>
      <c r="X234" s="216">
        <v>7029</v>
      </c>
      <c r="Y234" s="216">
        <v>103245</v>
      </c>
      <c r="Z234" s="216">
        <v>0</v>
      </c>
      <c r="AA234" s="216">
        <v>0</v>
      </c>
      <c r="AB234" s="216">
        <v>667</v>
      </c>
      <c r="AC234" s="105"/>
    </row>
    <row r="235" spans="1:29" s="20" customFormat="1" x14ac:dyDescent="0.25">
      <c r="A235" s="31">
        <f>'M&amp;R Stations'!A235</f>
        <v>39194</v>
      </c>
      <c r="B235" s="216">
        <v>2598</v>
      </c>
      <c r="C235" s="216">
        <v>0</v>
      </c>
      <c r="D235" s="216">
        <v>12295</v>
      </c>
      <c r="E235" s="216">
        <v>0</v>
      </c>
      <c r="F235" s="216">
        <v>0</v>
      </c>
      <c r="G235" s="216">
        <v>0</v>
      </c>
      <c r="H235" s="216">
        <v>0</v>
      </c>
      <c r="I235" s="216">
        <v>0</v>
      </c>
      <c r="J235" s="216">
        <v>12220</v>
      </c>
      <c r="K235" s="216">
        <v>0</v>
      </c>
      <c r="L235" s="216">
        <v>0</v>
      </c>
      <c r="M235" s="216">
        <v>0</v>
      </c>
      <c r="N235" s="216">
        <v>0</v>
      </c>
      <c r="O235" s="216">
        <v>0</v>
      </c>
      <c r="P235" s="216">
        <v>226</v>
      </c>
      <c r="Q235" s="216">
        <v>1908</v>
      </c>
      <c r="R235" s="216">
        <v>0</v>
      </c>
      <c r="S235" s="216">
        <v>6645</v>
      </c>
      <c r="T235" s="216">
        <v>0</v>
      </c>
      <c r="U235" s="216">
        <v>15228</v>
      </c>
      <c r="V235" s="216">
        <v>0</v>
      </c>
      <c r="W235" s="216">
        <v>7261</v>
      </c>
      <c r="X235" s="216">
        <v>0</v>
      </c>
      <c r="Y235" s="216">
        <v>102550</v>
      </c>
      <c r="Z235" s="216">
        <v>0</v>
      </c>
      <c r="AA235" s="216">
        <v>0</v>
      </c>
      <c r="AB235" s="216">
        <v>404</v>
      </c>
      <c r="AC235" s="105"/>
    </row>
    <row r="236" spans="1:29" s="20" customFormat="1" x14ac:dyDescent="0.25">
      <c r="A236" s="31">
        <f>'M&amp;R Stations'!A236</f>
        <v>39195</v>
      </c>
      <c r="B236" s="216">
        <v>2598</v>
      </c>
      <c r="C236" s="216">
        <v>0</v>
      </c>
      <c r="D236" s="216">
        <v>12228</v>
      </c>
      <c r="E236" s="216">
        <v>0</v>
      </c>
      <c r="F236" s="216">
        <v>0</v>
      </c>
      <c r="G236" s="216">
        <v>0</v>
      </c>
      <c r="H236" s="216">
        <v>0</v>
      </c>
      <c r="I236" s="216">
        <v>0</v>
      </c>
      <c r="J236" s="216">
        <v>12220</v>
      </c>
      <c r="K236" s="216">
        <v>0</v>
      </c>
      <c r="L236" s="216">
        <v>0</v>
      </c>
      <c r="M236" s="216">
        <v>0</v>
      </c>
      <c r="N236" s="216">
        <v>0</v>
      </c>
      <c r="O236" s="216">
        <v>0</v>
      </c>
      <c r="P236" s="216">
        <v>225</v>
      </c>
      <c r="Q236" s="216">
        <v>1908</v>
      </c>
      <c r="R236" s="216">
        <v>0</v>
      </c>
      <c r="S236" s="216">
        <v>13475</v>
      </c>
      <c r="T236" s="216">
        <v>0</v>
      </c>
      <c r="U236" s="216">
        <v>15228</v>
      </c>
      <c r="V236" s="216">
        <v>0</v>
      </c>
      <c r="W236" s="216">
        <v>7261</v>
      </c>
      <c r="X236" s="216">
        <v>3763</v>
      </c>
      <c r="Y236" s="216">
        <v>102550</v>
      </c>
      <c r="Z236" s="216">
        <v>0</v>
      </c>
      <c r="AA236" s="216">
        <v>9217</v>
      </c>
      <c r="AB236" s="216">
        <v>663</v>
      </c>
      <c r="AC236" s="105"/>
    </row>
    <row r="237" spans="1:29" s="20" customFormat="1" x14ac:dyDescent="0.25">
      <c r="A237" s="31">
        <f>'M&amp;R Stations'!A237</f>
        <v>39196</v>
      </c>
      <c r="B237" s="216">
        <v>2598</v>
      </c>
      <c r="C237" s="216">
        <v>0</v>
      </c>
      <c r="D237" s="216">
        <v>12031</v>
      </c>
      <c r="E237" s="216">
        <v>0</v>
      </c>
      <c r="F237" s="216">
        <v>0</v>
      </c>
      <c r="G237" s="216">
        <v>0</v>
      </c>
      <c r="H237" s="216">
        <v>0</v>
      </c>
      <c r="I237" s="216">
        <v>0</v>
      </c>
      <c r="J237" s="216">
        <v>12220</v>
      </c>
      <c r="K237" s="216">
        <v>0</v>
      </c>
      <c r="L237" s="216">
        <v>0</v>
      </c>
      <c r="M237" s="216">
        <v>0</v>
      </c>
      <c r="N237" s="216">
        <v>0</v>
      </c>
      <c r="O237" s="216">
        <v>0</v>
      </c>
      <c r="P237" s="216">
        <v>223</v>
      </c>
      <c r="Q237" s="216">
        <v>1918</v>
      </c>
      <c r="R237" s="216">
        <v>0</v>
      </c>
      <c r="S237" s="216">
        <v>13540</v>
      </c>
      <c r="T237" s="216">
        <v>0</v>
      </c>
      <c r="U237" s="216">
        <v>15301</v>
      </c>
      <c r="V237" s="216">
        <v>1499</v>
      </c>
      <c r="W237" s="216">
        <v>7296</v>
      </c>
      <c r="X237" s="216">
        <v>7015</v>
      </c>
      <c r="Y237" s="216">
        <v>103045</v>
      </c>
      <c r="Z237" s="216">
        <v>0</v>
      </c>
      <c r="AA237" s="216">
        <v>9261</v>
      </c>
      <c r="AB237" s="216">
        <v>666</v>
      </c>
      <c r="AC237" s="105"/>
    </row>
    <row r="238" spans="1:29" s="20" customFormat="1" x14ac:dyDescent="0.25">
      <c r="A238" s="31">
        <f>'M&amp;R Stations'!A238</f>
        <v>39197</v>
      </c>
      <c r="B238" s="216">
        <v>2595</v>
      </c>
      <c r="C238" s="216">
        <v>0</v>
      </c>
      <c r="D238" s="216">
        <v>12214</v>
      </c>
      <c r="E238" s="216">
        <v>0</v>
      </c>
      <c r="F238" s="216">
        <v>0</v>
      </c>
      <c r="G238" s="216">
        <v>0</v>
      </c>
      <c r="H238" s="216">
        <v>0</v>
      </c>
      <c r="I238" s="216">
        <v>0</v>
      </c>
      <c r="J238" s="216">
        <v>12208</v>
      </c>
      <c r="K238" s="216">
        <v>0</v>
      </c>
      <c r="L238" s="216">
        <v>0</v>
      </c>
      <c r="M238" s="216">
        <v>0</v>
      </c>
      <c r="N238" s="216">
        <v>0</v>
      </c>
      <c r="O238" s="216">
        <v>0</v>
      </c>
      <c r="P238" s="216">
        <v>225</v>
      </c>
      <c r="Q238" s="216">
        <v>1918</v>
      </c>
      <c r="R238" s="216">
        <v>0</v>
      </c>
      <c r="S238" s="216">
        <v>13540</v>
      </c>
      <c r="T238" s="216">
        <v>0</v>
      </c>
      <c r="U238" s="216">
        <v>15301</v>
      </c>
      <c r="V238" s="216">
        <v>7696</v>
      </c>
      <c r="W238" s="216">
        <v>7296</v>
      </c>
      <c r="X238" s="216">
        <v>7015</v>
      </c>
      <c r="Y238" s="216">
        <v>112866</v>
      </c>
      <c r="Z238" s="216">
        <v>0</v>
      </c>
      <c r="AA238" s="216">
        <v>9261</v>
      </c>
      <c r="AB238" s="216">
        <v>666</v>
      </c>
      <c r="AC238" s="105"/>
    </row>
    <row r="239" spans="1:29" s="20" customFormat="1" x14ac:dyDescent="0.25">
      <c r="A239" s="31">
        <f>'M&amp;R Stations'!A239</f>
        <v>39198</v>
      </c>
      <c r="B239" s="216">
        <v>2593</v>
      </c>
      <c r="C239" s="216">
        <v>0</v>
      </c>
      <c r="D239" s="216">
        <v>9916</v>
      </c>
      <c r="E239" s="216">
        <v>0</v>
      </c>
      <c r="F239" s="216">
        <v>0</v>
      </c>
      <c r="G239" s="216">
        <v>0</v>
      </c>
      <c r="H239" s="216">
        <v>0</v>
      </c>
      <c r="I239" s="216">
        <v>0</v>
      </c>
      <c r="J239" s="216">
        <v>12197</v>
      </c>
      <c r="K239" s="216">
        <v>0</v>
      </c>
      <c r="L239" s="216">
        <v>0</v>
      </c>
      <c r="M239" s="216">
        <v>0</v>
      </c>
      <c r="N239" s="216">
        <v>0</v>
      </c>
      <c r="O239" s="216">
        <v>0</v>
      </c>
      <c r="P239" s="216">
        <v>205</v>
      </c>
      <c r="Q239" s="216">
        <v>1503</v>
      </c>
      <c r="R239" s="216">
        <v>0</v>
      </c>
      <c r="S239" s="216">
        <v>0</v>
      </c>
      <c r="T239" s="216">
        <v>0</v>
      </c>
      <c r="U239" s="216">
        <v>15301</v>
      </c>
      <c r="V239" s="216">
        <v>14719</v>
      </c>
      <c r="W239" s="216">
        <v>7296</v>
      </c>
      <c r="X239" s="216">
        <v>7015</v>
      </c>
      <c r="Y239" s="216">
        <v>112717</v>
      </c>
      <c r="Z239" s="216">
        <v>0</v>
      </c>
      <c r="AA239" s="216">
        <v>9261</v>
      </c>
      <c r="AB239" s="216">
        <v>149</v>
      </c>
      <c r="AC239" s="105"/>
    </row>
    <row r="240" spans="1:29" s="20" customFormat="1" x14ac:dyDescent="0.25">
      <c r="A240" s="31">
        <f>'M&amp;R Stations'!A240</f>
        <v>39199</v>
      </c>
      <c r="B240" s="216">
        <v>2588</v>
      </c>
      <c r="C240" s="216">
        <v>0</v>
      </c>
      <c r="D240" s="216">
        <v>11865</v>
      </c>
      <c r="E240" s="216">
        <v>0</v>
      </c>
      <c r="F240" s="216">
        <v>0</v>
      </c>
      <c r="G240" s="216">
        <v>0</v>
      </c>
      <c r="H240" s="216">
        <v>0</v>
      </c>
      <c r="I240" s="216">
        <v>0</v>
      </c>
      <c r="J240" s="216">
        <v>12173</v>
      </c>
      <c r="K240" s="216">
        <v>0</v>
      </c>
      <c r="L240" s="216">
        <v>0</v>
      </c>
      <c r="M240" s="216">
        <v>0</v>
      </c>
      <c r="N240" s="216">
        <v>0</v>
      </c>
      <c r="O240" s="216">
        <v>0</v>
      </c>
      <c r="P240" s="216">
        <v>221</v>
      </c>
      <c r="Q240" s="216">
        <v>1918</v>
      </c>
      <c r="R240" s="216">
        <v>0</v>
      </c>
      <c r="S240" s="216">
        <v>10142</v>
      </c>
      <c r="T240" s="216">
        <v>0</v>
      </c>
      <c r="U240" s="216">
        <v>15301</v>
      </c>
      <c r="V240" s="216">
        <v>14719</v>
      </c>
      <c r="W240" s="216">
        <v>7296</v>
      </c>
      <c r="X240" s="216">
        <v>7015</v>
      </c>
      <c r="Y240" s="216">
        <v>112717</v>
      </c>
      <c r="Z240" s="216">
        <v>0</v>
      </c>
      <c r="AA240" s="216">
        <v>9261</v>
      </c>
      <c r="AB240" s="216">
        <v>537</v>
      </c>
      <c r="AC240" s="105"/>
    </row>
    <row r="241" spans="1:29" s="20" customFormat="1" x14ac:dyDescent="0.25">
      <c r="A241" s="31">
        <f>'M&amp;R Stations'!A241</f>
        <v>39200</v>
      </c>
      <c r="B241" s="216">
        <v>2595</v>
      </c>
      <c r="C241" s="216">
        <v>0</v>
      </c>
      <c r="D241" s="216">
        <v>12093</v>
      </c>
      <c r="E241" s="216">
        <v>0</v>
      </c>
      <c r="F241" s="216">
        <v>0</v>
      </c>
      <c r="G241" s="216">
        <v>0</v>
      </c>
      <c r="H241" s="216">
        <v>0</v>
      </c>
      <c r="I241" s="216">
        <v>0</v>
      </c>
      <c r="J241" s="216">
        <v>12208</v>
      </c>
      <c r="K241" s="216">
        <v>0</v>
      </c>
      <c r="L241" s="216">
        <v>0</v>
      </c>
      <c r="M241" s="216">
        <v>0</v>
      </c>
      <c r="N241" s="216">
        <v>0</v>
      </c>
      <c r="O241" s="216">
        <v>0</v>
      </c>
      <c r="P241" s="216">
        <v>224</v>
      </c>
      <c r="Q241" s="216">
        <v>1916</v>
      </c>
      <c r="R241" s="216">
        <v>0</v>
      </c>
      <c r="S241" s="216">
        <v>13527</v>
      </c>
      <c r="T241" s="216">
        <v>0</v>
      </c>
      <c r="U241" s="216">
        <v>15287</v>
      </c>
      <c r="V241" s="216">
        <v>13445</v>
      </c>
      <c r="W241" s="216">
        <v>7289</v>
      </c>
      <c r="X241" s="216">
        <v>7009</v>
      </c>
      <c r="Y241" s="216">
        <v>107982</v>
      </c>
      <c r="Z241" s="216">
        <v>0</v>
      </c>
      <c r="AA241" s="216">
        <v>9252</v>
      </c>
      <c r="AB241" s="216">
        <v>665</v>
      </c>
      <c r="AC241" s="105"/>
    </row>
    <row r="242" spans="1:29" s="20" customFormat="1" x14ac:dyDescent="0.25">
      <c r="A242" s="31">
        <f>'M&amp;R Stations'!A242</f>
        <v>39201</v>
      </c>
      <c r="B242" s="216">
        <v>2593</v>
      </c>
      <c r="C242" s="216">
        <v>0</v>
      </c>
      <c r="D242" s="216">
        <v>12148</v>
      </c>
      <c r="E242" s="216">
        <v>0</v>
      </c>
      <c r="F242" s="216">
        <v>0</v>
      </c>
      <c r="G242" s="216">
        <v>0</v>
      </c>
      <c r="H242" s="216">
        <v>0</v>
      </c>
      <c r="I242" s="216">
        <v>0</v>
      </c>
      <c r="J242" s="216">
        <v>12197</v>
      </c>
      <c r="K242" s="216">
        <v>0</v>
      </c>
      <c r="L242" s="216">
        <v>0</v>
      </c>
      <c r="M242" s="216">
        <v>0</v>
      </c>
      <c r="N242" s="216">
        <v>0</v>
      </c>
      <c r="O242" s="216">
        <v>0</v>
      </c>
      <c r="P242" s="216">
        <v>224</v>
      </c>
      <c r="Q242" s="216">
        <v>1910</v>
      </c>
      <c r="R242" s="216">
        <v>0</v>
      </c>
      <c r="S242" s="216">
        <v>13441</v>
      </c>
      <c r="T242" s="216">
        <v>0</v>
      </c>
      <c r="U242" s="216">
        <v>15242</v>
      </c>
      <c r="V242" s="216">
        <v>12825</v>
      </c>
      <c r="W242" s="216">
        <v>7268</v>
      </c>
      <c r="X242" s="216">
        <v>6988</v>
      </c>
      <c r="Y242" s="216">
        <v>107670</v>
      </c>
      <c r="Z242" s="216">
        <v>0</v>
      </c>
      <c r="AA242" s="216">
        <v>9225</v>
      </c>
      <c r="AB242" s="216">
        <v>662</v>
      </c>
      <c r="AC242" s="105"/>
    </row>
    <row r="243" spans="1:29" s="20" customFormat="1" x14ac:dyDescent="0.25">
      <c r="A243" s="31">
        <f>'M&amp;R Stations'!A243</f>
        <v>39202</v>
      </c>
      <c r="B243" s="216">
        <v>2588</v>
      </c>
      <c r="C243" s="216">
        <v>0</v>
      </c>
      <c r="D243" s="216">
        <v>12230</v>
      </c>
      <c r="E243" s="216">
        <v>0</v>
      </c>
      <c r="F243" s="216">
        <v>0</v>
      </c>
      <c r="G243" s="216">
        <v>0</v>
      </c>
      <c r="H243" s="216">
        <v>0</v>
      </c>
      <c r="I243" s="216">
        <v>0</v>
      </c>
      <c r="J243" s="216">
        <v>12173</v>
      </c>
      <c r="K243" s="216">
        <v>0</v>
      </c>
      <c r="L243" s="216">
        <v>0</v>
      </c>
      <c r="M243" s="216">
        <v>0</v>
      </c>
      <c r="N243" s="216">
        <v>0</v>
      </c>
      <c r="O243" s="216">
        <v>0</v>
      </c>
      <c r="P243" s="216">
        <v>225</v>
      </c>
      <c r="Q243" s="216">
        <v>1910</v>
      </c>
      <c r="R243" s="216">
        <v>0</v>
      </c>
      <c r="S243" s="216">
        <v>13487</v>
      </c>
      <c r="T243" s="216">
        <v>0</v>
      </c>
      <c r="U243" s="216">
        <v>15242</v>
      </c>
      <c r="V243" s="216">
        <v>3044</v>
      </c>
      <c r="W243" s="216">
        <v>7268</v>
      </c>
      <c r="X243" s="216">
        <v>6988</v>
      </c>
      <c r="Y243" s="216">
        <v>107670</v>
      </c>
      <c r="Z243" s="216">
        <v>0</v>
      </c>
      <c r="AA243" s="216">
        <v>9225</v>
      </c>
      <c r="AB243" s="216">
        <v>664</v>
      </c>
      <c r="AC243" s="105"/>
    </row>
    <row r="244" spans="1:29" s="20" customFormat="1" x14ac:dyDescent="0.25">
      <c r="A244" s="31">
        <f>'M&amp;R Stations'!A244</f>
        <v>39203</v>
      </c>
      <c r="B244" s="216">
        <v>2585</v>
      </c>
      <c r="C244" s="216">
        <v>0</v>
      </c>
      <c r="D244" s="216">
        <v>13074</v>
      </c>
      <c r="E244" s="216">
        <v>0</v>
      </c>
      <c r="F244" s="216">
        <v>0</v>
      </c>
      <c r="G244" s="216">
        <v>0</v>
      </c>
      <c r="H244" s="216">
        <v>0</v>
      </c>
      <c r="I244" s="216">
        <v>0</v>
      </c>
      <c r="J244" s="216">
        <v>3723</v>
      </c>
      <c r="K244" s="216">
        <v>0</v>
      </c>
      <c r="L244" s="216">
        <v>0</v>
      </c>
      <c r="M244" s="216">
        <v>0</v>
      </c>
      <c r="N244" s="216">
        <v>0</v>
      </c>
      <c r="O244" s="216">
        <v>0</v>
      </c>
      <c r="P244" s="216">
        <v>159</v>
      </c>
      <c r="Q244" s="216">
        <v>1908</v>
      </c>
      <c r="R244" s="216">
        <v>0</v>
      </c>
      <c r="S244" s="216">
        <v>16963</v>
      </c>
      <c r="T244" s="216">
        <v>0</v>
      </c>
      <c r="U244" s="216">
        <v>15228</v>
      </c>
      <c r="V244" s="216">
        <v>13963</v>
      </c>
      <c r="W244" s="216">
        <v>7261</v>
      </c>
      <c r="X244" s="216">
        <v>6982</v>
      </c>
      <c r="Y244" s="216">
        <v>102078</v>
      </c>
      <c r="Z244" s="216">
        <v>0</v>
      </c>
      <c r="AA244" s="216">
        <v>0</v>
      </c>
      <c r="AB244" s="216">
        <v>795</v>
      </c>
      <c r="AC244" s="105"/>
    </row>
    <row r="245" spans="1:29" s="20" customFormat="1" x14ac:dyDescent="0.25">
      <c r="A245" s="31">
        <f>'M&amp;R Stations'!A245</f>
        <v>39204</v>
      </c>
      <c r="B245" s="216">
        <v>2575</v>
      </c>
      <c r="C245" s="216">
        <v>0</v>
      </c>
      <c r="D245" s="216">
        <v>13024</v>
      </c>
      <c r="E245" s="216">
        <v>0</v>
      </c>
      <c r="F245" s="216">
        <v>0</v>
      </c>
      <c r="G245" s="216">
        <v>0</v>
      </c>
      <c r="H245" s="216">
        <v>0</v>
      </c>
      <c r="I245" s="216">
        <v>0</v>
      </c>
      <c r="J245" s="216">
        <v>9518</v>
      </c>
      <c r="K245" s="216">
        <v>0</v>
      </c>
      <c r="L245" s="216">
        <v>0</v>
      </c>
      <c r="M245" s="216">
        <v>0</v>
      </c>
      <c r="N245" s="216">
        <v>0</v>
      </c>
      <c r="O245" s="216">
        <v>0</v>
      </c>
      <c r="P245" s="216">
        <v>208</v>
      </c>
      <c r="Q245" s="216">
        <v>1914</v>
      </c>
      <c r="R245" s="216">
        <v>0</v>
      </c>
      <c r="S245" s="216">
        <v>17012</v>
      </c>
      <c r="T245" s="216">
        <v>0</v>
      </c>
      <c r="U245" s="216">
        <v>15272</v>
      </c>
      <c r="V245" s="216">
        <v>13726</v>
      </c>
      <c r="W245" s="216">
        <v>7282</v>
      </c>
      <c r="X245" s="216">
        <v>7002</v>
      </c>
      <c r="Y245" s="216">
        <v>102374</v>
      </c>
      <c r="Z245" s="216">
        <v>0</v>
      </c>
      <c r="AA245" s="216">
        <v>0</v>
      </c>
      <c r="AB245" s="216">
        <v>798</v>
      </c>
      <c r="AC245" s="105"/>
    </row>
    <row r="246" spans="1:29" s="20" customFormat="1" x14ac:dyDescent="0.25">
      <c r="A246" s="31">
        <f>'M&amp;R Stations'!A246</f>
        <v>39205</v>
      </c>
      <c r="B246" s="216">
        <v>2580</v>
      </c>
      <c r="C246" s="216">
        <v>0</v>
      </c>
      <c r="D246" s="216">
        <v>13049</v>
      </c>
      <c r="E246" s="216">
        <v>0</v>
      </c>
      <c r="F246" s="216">
        <v>0</v>
      </c>
      <c r="G246" s="216">
        <v>0</v>
      </c>
      <c r="H246" s="216">
        <v>0</v>
      </c>
      <c r="I246" s="216">
        <v>0</v>
      </c>
      <c r="J246" s="216">
        <v>9537</v>
      </c>
      <c r="K246" s="216">
        <v>0</v>
      </c>
      <c r="L246" s="216">
        <v>0</v>
      </c>
      <c r="M246" s="216">
        <v>0</v>
      </c>
      <c r="N246" s="216">
        <v>0</v>
      </c>
      <c r="O246" s="216">
        <v>0</v>
      </c>
      <c r="P246" s="216">
        <v>209</v>
      </c>
      <c r="Q246" s="216">
        <v>1914</v>
      </c>
      <c r="R246" s="216">
        <v>0</v>
      </c>
      <c r="S246" s="216">
        <v>17012</v>
      </c>
      <c r="T246" s="216">
        <v>0</v>
      </c>
      <c r="U246" s="216">
        <v>15272</v>
      </c>
      <c r="V246" s="216">
        <v>13884</v>
      </c>
      <c r="W246" s="216">
        <v>7282</v>
      </c>
      <c r="X246" s="216">
        <v>7002</v>
      </c>
      <c r="Y246" s="216">
        <v>102374</v>
      </c>
      <c r="Z246" s="216">
        <v>0</v>
      </c>
      <c r="AA246" s="216">
        <v>0</v>
      </c>
      <c r="AB246" s="216">
        <v>798</v>
      </c>
      <c r="AC246" s="105"/>
    </row>
    <row r="247" spans="1:29" s="20" customFormat="1" x14ac:dyDescent="0.25">
      <c r="A247" s="31">
        <f>'M&amp;R Stations'!A247</f>
        <v>39206</v>
      </c>
      <c r="B247" s="216">
        <v>2580</v>
      </c>
      <c r="C247" s="216">
        <v>0</v>
      </c>
      <c r="D247" s="216">
        <v>13049</v>
      </c>
      <c r="E247" s="216">
        <v>0</v>
      </c>
      <c r="F247" s="216">
        <v>0</v>
      </c>
      <c r="G247" s="216">
        <v>0</v>
      </c>
      <c r="H247" s="216">
        <v>0</v>
      </c>
      <c r="I247" s="216">
        <v>0</v>
      </c>
      <c r="J247" s="216">
        <v>9609</v>
      </c>
      <c r="K247" s="216">
        <v>0</v>
      </c>
      <c r="L247" s="216">
        <v>0</v>
      </c>
      <c r="M247" s="216">
        <v>0</v>
      </c>
      <c r="N247" s="216">
        <v>0</v>
      </c>
      <c r="O247" s="216">
        <v>0</v>
      </c>
      <c r="P247" s="216">
        <v>209</v>
      </c>
      <c r="Q247" s="216">
        <v>1908</v>
      </c>
      <c r="R247" s="216">
        <v>0</v>
      </c>
      <c r="S247" s="216">
        <v>16963</v>
      </c>
      <c r="T247" s="216">
        <v>0</v>
      </c>
      <c r="U247" s="216">
        <v>15228</v>
      </c>
      <c r="V247" s="216">
        <v>9295</v>
      </c>
      <c r="W247" s="216">
        <v>7261</v>
      </c>
      <c r="X247" s="216">
        <v>6982</v>
      </c>
      <c r="Y247" s="216">
        <v>102078</v>
      </c>
      <c r="Z247" s="216">
        <v>0</v>
      </c>
      <c r="AA247" s="216">
        <v>0</v>
      </c>
      <c r="AB247" s="216">
        <v>795</v>
      </c>
      <c r="AC247" s="105"/>
    </row>
    <row r="248" spans="1:29" s="20" customFormat="1" x14ac:dyDescent="0.25">
      <c r="A248" s="31">
        <f>'M&amp;R Stations'!A248</f>
        <v>39207</v>
      </c>
      <c r="B248" s="216">
        <v>2580</v>
      </c>
      <c r="C248" s="216">
        <v>0</v>
      </c>
      <c r="D248" s="216">
        <v>13049</v>
      </c>
      <c r="E248" s="216">
        <v>0</v>
      </c>
      <c r="F248" s="216">
        <v>0</v>
      </c>
      <c r="G248" s="216">
        <v>0</v>
      </c>
      <c r="H248" s="216">
        <v>0</v>
      </c>
      <c r="I248" s="216">
        <v>0</v>
      </c>
      <c r="J248" s="216">
        <v>9537</v>
      </c>
      <c r="K248" s="216">
        <v>0</v>
      </c>
      <c r="L248" s="216">
        <v>0</v>
      </c>
      <c r="M248" s="216">
        <v>0</v>
      </c>
      <c r="N248" s="216">
        <v>0</v>
      </c>
      <c r="O248" s="216">
        <v>0</v>
      </c>
      <c r="P248" s="216">
        <v>209</v>
      </c>
      <c r="Q248" s="216">
        <v>1899</v>
      </c>
      <c r="R248" s="216">
        <v>0</v>
      </c>
      <c r="S248" s="216">
        <v>16882</v>
      </c>
      <c r="T248" s="216">
        <v>0</v>
      </c>
      <c r="U248" s="216">
        <v>15155</v>
      </c>
      <c r="V248" s="216">
        <v>1933</v>
      </c>
      <c r="W248" s="216">
        <v>7226</v>
      </c>
      <c r="X248" s="216">
        <v>6948</v>
      </c>
      <c r="Y248" s="216">
        <v>111168</v>
      </c>
      <c r="Z248" s="216">
        <v>0</v>
      </c>
      <c r="AA248" s="216">
        <v>0</v>
      </c>
      <c r="AB248" s="216">
        <v>791</v>
      </c>
      <c r="AC248" s="105"/>
    </row>
    <row r="249" spans="1:29" s="20" customFormat="1" x14ac:dyDescent="0.25">
      <c r="A249" s="31">
        <f>'M&amp;R Stations'!A249</f>
        <v>39208</v>
      </c>
      <c r="B249" s="216">
        <v>2573</v>
      </c>
      <c r="C249" s="216">
        <v>0</v>
      </c>
      <c r="D249" s="216">
        <v>13011</v>
      </c>
      <c r="E249" s="216">
        <v>0</v>
      </c>
      <c r="F249" s="216">
        <v>0</v>
      </c>
      <c r="G249" s="216">
        <v>0</v>
      </c>
      <c r="H249" s="216">
        <v>0</v>
      </c>
      <c r="I249" s="216">
        <v>0</v>
      </c>
      <c r="J249" s="216">
        <v>6113</v>
      </c>
      <c r="K249" s="216">
        <v>0</v>
      </c>
      <c r="L249" s="216">
        <v>0</v>
      </c>
      <c r="M249" s="216">
        <v>0</v>
      </c>
      <c r="N249" s="216">
        <v>0</v>
      </c>
      <c r="O249" s="216">
        <v>0</v>
      </c>
      <c r="P249" s="216">
        <v>179</v>
      </c>
      <c r="Q249" s="216">
        <v>1905</v>
      </c>
      <c r="R249" s="216">
        <v>0</v>
      </c>
      <c r="S249" s="216">
        <v>4114</v>
      </c>
      <c r="T249" s="216">
        <v>0</v>
      </c>
      <c r="U249" s="216">
        <v>15198</v>
      </c>
      <c r="V249" s="216">
        <v>14620</v>
      </c>
      <c r="W249" s="216">
        <v>7247</v>
      </c>
      <c r="X249" s="216">
        <v>6968</v>
      </c>
      <c r="Y249" s="216">
        <v>111488</v>
      </c>
      <c r="Z249" s="216">
        <v>0</v>
      </c>
      <c r="AA249" s="216">
        <v>0</v>
      </c>
      <c r="AB249" s="216">
        <v>308</v>
      </c>
      <c r="AC249" s="105"/>
    </row>
    <row r="250" spans="1:29" s="20" customFormat="1" x14ac:dyDescent="0.25">
      <c r="A250" s="31">
        <f>'M&amp;R Stations'!A250</f>
        <v>39209</v>
      </c>
      <c r="B250" s="216">
        <v>2605</v>
      </c>
      <c r="C250" s="216">
        <v>0</v>
      </c>
      <c r="D250" s="216">
        <v>13175</v>
      </c>
      <c r="E250" s="216">
        <v>0</v>
      </c>
      <c r="F250" s="216">
        <v>0</v>
      </c>
      <c r="G250" s="216">
        <v>0</v>
      </c>
      <c r="H250" s="216">
        <v>0</v>
      </c>
      <c r="I250" s="216">
        <v>0</v>
      </c>
      <c r="J250" s="216">
        <v>11904</v>
      </c>
      <c r="K250" s="216">
        <v>0</v>
      </c>
      <c r="L250" s="216">
        <v>0</v>
      </c>
      <c r="M250" s="216">
        <v>0</v>
      </c>
      <c r="N250" s="216">
        <v>0</v>
      </c>
      <c r="O250" s="216">
        <v>0</v>
      </c>
      <c r="P250" s="216">
        <v>231</v>
      </c>
      <c r="Q250" s="216">
        <v>0</v>
      </c>
      <c r="R250" s="216">
        <v>0</v>
      </c>
      <c r="S250" s="216">
        <v>0</v>
      </c>
      <c r="T250" s="216">
        <v>0</v>
      </c>
      <c r="U250" s="216">
        <v>15111</v>
      </c>
      <c r="V250" s="216">
        <v>3649</v>
      </c>
      <c r="W250" s="216">
        <v>7205</v>
      </c>
      <c r="X250" s="216">
        <v>6928</v>
      </c>
      <c r="Y250" s="216">
        <v>110849</v>
      </c>
      <c r="Z250" s="216">
        <v>0</v>
      </c>
      <c r="AA250" s="216">
        <v>0</v>
      </c>
      <c r="AB250" s="216">
        <v>134</v>
      </c>
      <c r="AC250" s="105"/>
    </row>
    <row r="251" spans="1:29" s="20" customFormat="1" x14ac:dyDescent="0.25">
      <c r="A251" s="31">
        <f>'M&amp;R Stations'!A251</f>
        <v>39210</v>
      </c>
      <c r="B251" s="216">
        <v>2605</v>
      </c>
      <c r="C251" s="216">
        <v>0</v>
      </c>
      <c r="D251" s="216">
        <v>13175</v>
      </c>
      <c r="E251" s="216">
        <v>0</v>
      </c>
      <c r="F251" s="216">
        <v>3995</v>
      </c>
      <c r="G251" s="216">
        <v>0</v>
      </c>
      <c r="H251" s="216">
        <v>0</v>
      </c>
      <c r="I251" s="216">
        <v>0</v>
      </c>
      <c r="J251" s="216">
        <v>7079</v>
      </c>
      <c r="K251" s="216">
        <v>0</v>
      </c>
      <c r="L251" s="216">
        <v>0</v>
      </c>
      <c r="M251" s="216">
        <v>0</v>
      </c>
      <c r="N251" s="216">
        <v>0</v>
      </c>
      <c r="O251" s="216">
        <v>0</v>
      </c>
      <c r="P251" s="216">
        <v>321</v>
      </c>
      <c r="Q251" s="216">
        <v>1892</v>
      </c>
      <c r="R251" s="216">
        <v>0</v>
      </c>
      <c r="S251" s="216">
        <v>1303</v>
      </c>
      <c r="T251" s="216">
        <v>0</v>
      </c>
      <c r="U251" s="216">
        <v>15097</v>
      </c>
      <c r="V251" s="216">
        <v>14522</v>
      </c>
      <c r="W251" s="216">
        <v>7198</v>
      </c>
      <c r="X251" s="216">
        <v>6922</v>
      </c>
      <c r="Y251" s="216">
        <v>101201</v>
      </c>
      <c r="Z251" s="216">
        <v>0</v>
      </c>
      <c r="AA251" s="216">
        <v>17137</v>
      </c>
      <c r="AB251" s="216">
        <v>200</v>
      </c>
      <c r="AC251" s="105"/>
    </row>
    <row r="252" spans="1:29" s="20" customFormat="1" x14ac:dyDescent="0.25">
      <c r="A252" s="31">
        <f>'M&amp;R Stations'!A252</f>
        <v>39211</v>
      </c>
      <c r="B252" s="216">
        <v>2573</v>
      </c>
      <c r="C252" s="216">
        <v>0</v>
      </c>
      <c r="D252" s="216">
        <v>13011</v>
      </c>
      <c r="E252" s="216">
        <v>0</v>
      </c>
      <c r="F252" s="216">
        <v>3945</v>
      </c>
      <c r="G252" s="216">
        <v>0</v>
      </c>
      <c r="H252" s="216">
        <v>0</v>
      </c>
      <c r="I252" s="216">
        <v>0</v>
      </c>
      <c r="J252" s="216">
        <v>6991</v>
      </c>
      <c r="K252" s="216">
        <v>0</v>
      </c>
      <c r="L252" s="216">
        <v>0</v>
      </c>
      <c r="M252" s="216">
        <v>0</v>
      </c>
      <c r="N252" s="216">
        <v>0</v>
      </c>
      <c r="O252" s="216">
        <v>0</v>
      </c>
      <c r="P252" s="216">
        <v>317</v>
      </c>
      <c r="Q252" s="216">
        <v>1896</v>
      </c>
      <c r="R252" s="216">
        <v>0</v>
      </c>
      <c r="S252" s="216">
        <v>8027</v>
      </c>
      <c r="T252" s="216">
        <v>0</v>
      </c>
      <c r="U252" s="216">
        <v>15126</v>
      </c>
      <c r="V252" s="216">
        <v>14550</v>
      </c>
      <c r="W252" s="216">
        <v>7212</v>
      </c>
      <c r="X252" s="216">
        <v>6935</v>
      </c>
      <c r="Y252" s="216">
        <v>101395</v>
      </c>
      <c r="Z252" s="216">
        <v>0</v>
      </c>
      <c r="AA252" s="216">
        <v>17170</v>
      </c>
      <c r="AB252" s="216">
        <v>455</v>
      </c>
      <c r="AC252" s="105"/>
    </row>
    <row r="253" spans="1:29" s="20" customFormat="1" x14ac:dyDescent="0.25">
      <c r="A253" s="31">
        <f>'M&amp;R Stations'!A253</f>
        <v>39212</v>
      </c>
      <c r="B253" s="216">
        <v>2561</v>
      </c>
      <c r="C253" s="216">
        <v>0</v>
      </c>
      <c r="D253" s="216">
        <v>12950</v>
      </c>
      <c r="E253" s="216">
        <v>0</v>
      </c>
      <c r="F253" s="216">
        <v>3926</v>
      </c>
      <c r="G253" s="216">
        <v>0</v>
      </c>
      <c r="H253" s="216">
        <v>0</v>
      </c>
      <c r="I253" s="216">
        <v>0</v>
      </c>
      <c r="J253" s="216">
        <v>6958</v>
      </c>
      <c r="K253" s="216">
        <v>0</v>
      </c>
      <c r="L253" s="216">
        <v>0</v>
      </c>
      <c r="M253" s="216">
        <v>0</v>
      </c>
      <c r="N253" s="216">
        <v>0</v>
      </c>
      <c r="O253" s="216">
        <v>0</v>
      </c>
      <c r="P253" s="216">
        <v>315</v>
      </c>
      <c r="Q253" s="216">
        <v>1896</v>
      </c>
      <c r="R253" s="216">
        <v>0</v>
      </c>
      <c r="S253" s="216">
        <v>11505</v>
      </c>
      <c r="T253" s="216">
        <v>0</v>
      </c>
      <c r="U253" s="216">
        <v>15126</v>
      </c>
      <c r="V253" s="216">
        <v>14550</v>
      </c>
      <c r="W253" s="216">
        <v>7212</v>
      </c>
      <c r="X253" s="216">
        <v>6935</v>
      </c>
      <c r="Y253" s="216">
        <v>101395</v>
      </c>
      <c r="Z253" s="216">
        <v>0</v>
      </c>
      <c r="AA253" s="216">
        <v>17170</v>
      </c>
      <c r="AB253" s="216">
        <v>587</v>
      </c>
      <c r="AC253" s="105"/>
    </row>
    <row r="254" spans="1:29" s="20" customFormat="1" x14ac:dyDescent="0.25">
      <c r="A254" s="31">
        <f>'M&amp;R Stations'!A254</f>
        <v>39213</v>
      </c>
      <c r="B254" s="216">
        <v>2561</v>
      </c>
      <c r="C254" s="216">
        <v>0</v>
      </c>
      <c r="D254" s="216">
        <v>12950</v>
      </c>
      <c r="E254" s="216">
        <v>0</v>
      </c>
      <c r="F254" s="216">
        <v>3926</v>
      </c>
      <c r="G254" s="216">
        <v>0</v>
      </c>
      <c r="H254" s="216">
        <v>0</v>
      </c>
      <c r="I254" s="216">
        <v>0</v>
      </c>
      <c r="J254" s="216">
        <v>6958</v>
      </c>
      <c r="K254" s="216">
        <v>0</v>
      </c>
      <c r="L254" s="216">
        <v>0</v>
      </c>
      <c r="M254" s="216">
        <v>0</v>
      </c>
      <c r="N254" s="216">
        <v>0</v>
      </c>
      <c r="O254" s="216">
        <v>0</v>
      </c>
      <c r="P254" s="216">
        <v>315</v>
      </c>
      <c r="Q254" s="216">
        <v>1896</v>
      </c>
      <c r="R254" s="216">
        <v>0</v>
      </c>
      <c r="S254" s="216">
        <v>13131</v>
      </c>
      <c r="T254" s="216">
        <v>0</v>
      </c>
      <c r="U254" s="216">
        <v>15126</v>
      </c>
      <c r="V254" s="216">
        <v>14550</v>
      </c>
      <c r="W254" s="216">
        <v>7212</v>
      </c>
      <c r="X254" s="216">
        <v>6935</v>
      </c>
      <c r="Y254" s="216">
        <v>101395</v>
      </c>
      <c r="Z254" s="216">
        <v>0</v>
      </c>
      <c r="AA254" s="216">
        <v>17170</v>
      </c>
      <c r="AB254" s="216">
        <v>649</v>
      </c>
      <c r="AC254" s="105"/>
    </row>
    <row r="255" spans="1:29" s="20" customFormat="1" x14ac:dyDescent="0.25">
      <c r="A255" s="31">
        <f>'M&amp;R Stations'!A255</f>
        <v>39214</v>
      </c>
      <c r="B255" s="216">
        <v>2578</v>
      </c>
      <c r="C255" s="216">
        <v>0</v>
      </c>
      <c r="D255" s="216">
        <v>13036</v>
      </c>
      <c r="E255" s="216">
        <v>0</v>
      </c>
      <c r="F255" s="216">
        <v>3953</v>
      </c>
      <c r="G255" s="216">
        <v>0</v>
      </c>
      <c r="H255" s="216">
        <v>0</v>
      </c>
      <c r="I255" s="216">
        <v>0</v>
      </c>
      <c r="J255" s="216">
        <v>7104</v>
      </c>
      <c r="K255" s="216">
        <v>0</v>
      </c>
      <c r="L255" s="216">
        <v>0</v>
      </c>
      <c r="M255" s="216">
        <v>0</v>
      </c>
      <c r="N255" s="216">
        <v>0</v>
      </c>
      <c r="O255" s="216">
        <v>0</v>
      </c>
      <c r="P255" s="216">
        <v>318</v>
      </c>
      <c r="Q255" s="216">
        <v>1907</v>
      </c>
      <c r="R255" s="216">
        <v>0</v>
      </c>
      <c r="S255" s="216">
        <v>6710</v>
      </c>
      <c r="T255" s="216">
        <v>0</v>
      </c>
      <c r="U255" s="216">
        <v>15213</v>
      </c>
      <c r="V255" s="216">
        <v>14634</v>
      </c>
      <c r="W255" s="216">
        <v>7254</v>
      </c>
      <c r="X255" s="216">
        <v>6975</v>
      </c>
      <c r="Y255" s="216">
        <v>101980</v>
      </c>
      <c r="Z255" s="216">
        <v>0</v>
      </c>
      <c r="AA255" s="216">
        <v>17269</v>
      </c>
      <c r="AB255" s="216">
        <v>406</v>
      </c>
      <c r="AC255" s="105"/>
    </row>
    <row r="256" spans="1:29" s="20" customFormat="1" x14ac:dyDescent="0.25">
      <c r="A256" s="31">
        <f>'M&amp;R Stations'!A256</f>
        <v>39215</v>
      </c>
      <c r="B256" s="216">
        <v>2566</v>
      </c>
      <c r="C256" s="216">
        <v>0</v>
      </c>
      <c r="D256" s="216">
        <v>12974</v>
      </c>
      <c r="E256" s="216">
        <v>0</v>
      </c>
      <c r="F256" s="216">
        <v>3934</v>
      </c>
      <c r="G256" s="216">
        <v>0</v>
      </c>
      <c r="H256" s="216">
        <v>0</v>
      </c>
      <c r="I256" s="216">
        <v>0</v>
      </c>
      <c r="J256" s="216">
        <v>6927</v>
      </c>
      <c r="K256" s="216">
        <v>0</v>
      </c>
      <c r="L256" s="216">
        <v>0</v>
      </c>
      <c r="M256" s="216">
        <v>0</v>
      </c>
      <c r="N256" s="216">
        <v>0</v>
      </c>
      <c r="O256" s="216">
        <v>0</v>
      </c>
      <c r="P256" s="216">
        <v>315</v>
      </c>
      <c r="Q256" s="216">
        <v>1896</v>
      </c>
      <c r="R256" s="216">
        <v>0</v>
      </c>
      <c r="S256" s="216">
        <v>10872</v>
      </c>
      <c r="T256" s="216">
        <v>0</v>
      </c>
      <c r="U256" s="216">
        <v>15126</v>
      </c>
      <c r="V256" s="216">
        <v>14550</v>
      </c>
      <c r="W256" s="216">
        <v>7212</v>
      </c>
      <c r="X256" s="216">
        <v>6935</v>
      </c>
      <c r="Y256" s="216">
        <v>101395</v>
      </c>
      <c r="Z256" s="216">
        <v>0</v>
      </c>
      <c r="AA256" s="216">
        <v>0</v>
      </c>
      <c r="AB256" s="216">
        <v>563</v>
      </c>
      <c r="AC256" s="105"/>
    </row>
    <row r="257" spans="1:29" s="20" customFormat="1" x14ac:dyDescent="0.25">
      <c r="A257" s="31">
        <f>'M&amp;R Stations'!A257</f>
        <v>39216</v>
      </c>
      <c r="B257" s="216">
        <v>2566</v>
      </c>
      <c r="C257" s="216">
        <v>0</v>
      </c>
      <c r="D257" s="216">
        <v>12974</v>
      </c>
      <c r="E257" s="216">
        <v>0</v>
      </c>
      <c r="F257" s="216">
        <v>3934</v>
      </c>
      <c r="G257" s="216">
        <v>0</v>
      </c>
      <c r="H257" s="216">
        <v>0</v>
      </c>
      <c r="I257" s="216">
        <v>0</v>
      </c>
      <c r="J257" s="216">
        <v>6824</v>
      </c>
      <c r="K257" s="216">
        <v>0</v>
      </c>
      <c r="L257" s="216">
        <v>0</v>
      </c>
      <c r="M257" s="216">
        <v>0</v>
      </c>
      <c r="N257" s="216">
        <v>0</v>
      </c>
      <c r="O257" s="216">
        <v>0</v>
      </c>
      <c r="P257" s="216">
        <v>315</v>
      </c>
      <c r="Q257" s="216">
        <v>1905</v>
      </c>
      <c r="R257" s="216">
        <v>0</v>
      </c>
      <c r="S257" s="216">
        <v>16659</v>
      </c>
      <c r="T257" s="216">
        <v>0</v>
      </c>
      <c r="U257" s="216">
        <v>15198</v>
      </c>
      <c r="V257" s="216">
        <v>14620</v>
      </c>
      <c r="W257" s="216">
        <v>7247</v>
      </c>
      <c r="X257" s="216">
        <v>6968</v>
      </c>
      <c r="Y257" s="216">
        <v>101882</v>
      </c>
      <c r="Z257" s="216">
        <v>0</v>
      </c>
      <c r="AA257" s="216">
        <v>0</v>
      </c>
      <c r="AB257" s="216">
        <v>783</v>
      </c>
      <c r="AC257" s="105"/>
    </row>
    <row r="258" spans="1:29" s="20" customFormat="1" x14ac:dyDescent="0.25">
      <c r="A258" s="31">
        <f>'M&amp;R Stations'!A258</f>
        <v>39217</v>
      </c>
      <c r="B258" s="216">
        <v>2556</v>
      </c>
      <c r="C258" s="216">
        <v>0</v>
      </c>
      <c r="D258" s="216">
        <v>12925</v>
      </c>
      <c r="E258" s="216">
        <v>0</v>
      </c>
      <c r="F258" s="216">
        <v>3919</v>
      </c>
      <c r="G258" s="216">
        <v>0</v>
      </c>
      <c r="H258" s="216">
        <v>0</v>
      </c>
      <c r="I258" s="216">
        <v>0</v>
      </c>
      <c r="J258" s="216">
        <v>6798</v>
      </c>
      <c r="K258" s="216">
        <v>0</v>
      </c>
      <c r="L258" s="216">
        <v>0</v>
      </c>
      <c r="M258" s="216">
        <v>0</v>
      </c>
      <c r="N258" s="216">
        <v>0</v>
      </c>
      <c r="O258" s="216">
        <v>0</v>
      </c>
      <c r="P258" s="216">
        <v>313</v>
      </c>
      <c r="Q258" s="216">
        <v>1916</v>
      </c>
      <c r="R258" s="216">
        <v>0</v>
      </c>
      <c r="S258" s="216">
        <v>9553</v>
      </c>
      <c r="T258" s="216">
        <v>0</v>
      </c>
      <c r="U258" s="216">
        <v>15287</v>
      </c>
      <c r="V258" s="216">
        <v>14704</v>
      </c>
      <c r="W258" s="216">
        <v>7289</v>
      </c>
      <c r="X258" s="216">
        <v>7009</v>
      </c>
      <c r="Y258" s="216">
        <v>102472</v>
      </c>
      <c r="Z258" s="216">
        <v>0</v>
      </c>
      <c r="AA258" s="216">
        <v>17353</v>
      </c>
      <c r="AB258" s="216">
        <v>515</v>
      </c>
      <c r="AC258" s="105"/>
    </row>
    <row r="259" spans="1:29" s="20" customFormat="1" x14ac:dyDescent="0.25">
      <c r="A259" s="31">
        <f>'M&amp;R Stations'!A259</f>
        <v>39218</v>
      </c>
      <c r="B259" s="216">
        <v>2541</v>
      </c>
      <c r="C259" s="216">
        <v>0</v>
      </c>
      <c r="D259" s="216">
        <v>12852</v>
      </c>
      <c r="E259" s="216">
        <v>0</v>
      </c>
      <c r="F259" s="216">
        <v>3897</v>
      </c>
      <c r="G259" s="216">
        <v>0</v>
      </c>
      <c r="H259" s="216">
        <v>0</v>
      </c>
      <c r="I259" s="216">
        <v>0</v>
      </c>
      <c r="J259" s="216">
        <v>6975</v>
      </c>
      <c r="K259" s="216">
        <v>0</v>
      </c>
      <c r="L259" s="216">
        <v>0</v>
      </c>
      <c r="M259" s="216">
        <v>0</v>
      </c>
      <c r="N259" s="216">
        <v>0</v>
      </c>
      <c r="O259" s="216">
        <v>0</v>
      </c>
      <c r="P259" s="216">
        <v>313</v>
      </c>
      <c r="Q259" s="216">
        <v>1899</v>
      </c>
      <c r="R259" s="216">
        <v>0</v>
      </c>
      <c r="S259" s="216">
        <v>9803</v>
      </c>
      <c r="T259" s="216">
        <v>0</v>
      </c>
      <c r="U259" s="216">
        <v>15155</v>
      </c>
      <c r="V259" s="216">
        <v>14578</v>
      </c>
      <c r="W259" s="216">
        <v>7226</v>
      </c>
      <c r="X259" s="216">
        <v>6948</v>
      </c>
      <c r="Y259" s="216">
        <v>101589</v>
      </c>
      <c r="Z259" s="216">
        <v>0</v>
      </c>
      <c r="AA259" s="216">
        <v>17203</v>
      </c>
      <c r="AB259" s="216">
        <v>523</v>
      </c>
      <c r="AC259" s="105"/>
    </row>
    <row r="260" spans="1:29" s="20" customFormat="1" x14ac:dyDescent="0.25">
      <c r="A260" s="31">
        <f>'M&amp;R Stations'!A260</f>
        <v>39219</v>
      </c>
      <c r="B260" s="216">
        <v>2539</v>
      </c>
      <c r="C260" s="216">
        <v>0</v>
      </c>
      <c r="D260" s="216">
        <v>12470</v>
      </c>
      <c r="E260" s="216">
        <v>0</v>
      </c>
      <c r="F260" s="216">
        <v>3893</v>
      </c>
      <c r="G260" s="216">
        <v>0</v>
      </c>
      <c r="H260" s="216">
        <v>0</v>
      </c>
      <c r="I260" s="216">
        <v>0</v>
      </c>
      <c r="J260" s="216">
        <v>7048</v>
      </c>
      <c r="K260" s="216">
        <v>0</v>
      </c>
      <c r="L260" s="216">
        <v>0</v>
      </c>
      <c r="M260" s="216">
        <v>0</v>
      </c>
      <c r="N260" s="216">
        <v>0</v>
      </c>
      <c r="O260" s="216">
        <v>0</v>
      </c>
      <c r="P260" s="216">
        <v>311</v>
      </c>
      <c r="Q260" s="216">
        <v>1919</v>
      </c>
      <c r="R260" s="216">
        <v>0</v>
      </c>
      <c r="S260" s="216">
        <v>13220</v>
      </c>
      <c r="T260" s="216">
        <v>0</v>
      </c>
      <c r="U260" s="216">
        <v>15316</v>
      </c>
      <c r="V260" s="216">
        <v>14733</v>
      </c>
      <c r="W260" s="216">
        <v>7303</v>
      </c>
      <c r="X260" s="216">
        <v>7022</v>
      </c>
      <c r="Y260" s="216">
        <v>111941</v>
      </c>
      <c r="Z260" s="216">
        <v>0</v>
      </c>
      <c r="AA260" s="216">
        <v>17386</v>
      </c>
      <c r="AB260" s="216">
        <v>654</v>
      </c>
      <c r="AC260" s="105"/>
    </row>
    <row r="261" spans="1:29" s="20" customFormat="1" x14ac:dyDescent="0.25">
      <c r="A261" s="31">
        <f>'M&amp;R Stations'!A261</f>
        <v>39220</v>
      </c>
      <c r="B261" s="216">
        <v>2544</v>
      </c>
      <c r="C261" s="216">
        <v>0</v>
      </c>
      <c r="D261" s="216">
        <v>12864</v>
      </c>
      <c r="E261" s="216">
        <v>0</v>
      </c>
      <c r="F261" s="216">
        <v>3900</v>
      </c>
      <c r="G261" s="216">
        <v>0</v>
      </c>
      <c r="H261" s="216">
        <v>0</v>
      </c>
      <c r="I261" s="216">
        <v>0</v>
      </c>
      <c r="J261" s="216">
        <v>6662</v>
      </c>
      <c r="K261" s="216">
        <v>0</v>
      </c>
      <c r="L261" s="216">
        <v>0</v>
      </c>
      <c r="M261" s="216">
        <v>0</v>
      </c>
      <c r="N261" s="216">
        <v>0</v>
      </c>
      <c r="O261" s="216">
        <v>0</v>
      </c>
      <c r="P261" s="216">
        <v>311</v>
      </c>
      <c r="Q261" s="216">
        <v>1910</v>
      </c>
      <c r="R261" s="216">
        <v>0</v>
      </c>
      <c r="S261" s="216">
        <v>16979</v>
      </c>
      <c r="T261" s="216">
        <v>0</v>
      </c>
      <c r="U261" s="216">
        <v>15242</v>
      </c>
      <c r="V261" s="216">
        <v>9366</v>
      </c>
      <c r="W261" s="216">
        <v>7268</v>
      </c>
      <c r="X261" s="216">
        <v>6988</v>
      </c>
      <c r="Y261" s="216">
        <v>120590</v>
      </c>
      <c r="Z261" s="216">
        <v>0</v>
      </c>
      <c r="AA261" s="216">
        <v>17303</v>
      </c>
      <c r="AB261" s="216">
        <v>796</v>
      </c>
      <c r="AC261" s="105"/>
    </row>
    <row r="262" spans="1:29" s="20" customFormat="1" x14ac:dyDescent="0.25">
      <c r="A262" s="31">
        <f>'M&amp;R Stations'!A262</f>
        <v>39221</v>
      </c>
      <c r="B262" s="216">
        <v>2517</v>
      </c>
      <c r="C262" s="216">
        <v>0</v>
      </c>
      <c r="D262" s="216">
        <v>12864</v>
      </c>
      <c r="E262" s="216">
        <v>0</v>
      </c>
      <c r="F262" s="216">
        <v>3900</v>
      </c>
      <c r="G262" s="216">
        <v>0</v>
      </c>
      <c r="H262" s="216">
        <v>0</v>
      </c>
      <c r="I262" s="216">
        <v>0</v>
      </c>
      <c r="J262" s="216">
        <v>6438</v>
      </c>
      <c r="K262" s="216">
        <v>0</v>
      </c>
      <c r="L262" s="216">
        <v>0</v>
      </c>
      <c r="M262" s="216">
        <v>0</v>
      </c>
      <c r="N262" s="216">
        <v>0</v>
      </c>
      <c r="O262" s="216">
        <v>0</v>
      </c>
      <c r="P262" s="216">
        <v>309</v>
      </c>
      <c r="Q262" s="216">
        <v>1910</v>
      </c>
      <c r="R262" s="216">
        <v>0</v>
      </c>
      <c r="S262" s="216">
        <v>16979</v>
      </c>
      <c r="T262" s="216">
        <v>0</v>
      </c>
      <c r="U262" s="216">
        <v>15242</v>
      </c>
      <c r="V262" s="216">
        <v>1841</v>
      </c>
      <c r="W262" s="216">
        <v>7268</v>
      </c>
      <c r="X262" s="216">
        <v>6988</v>
      </c>
      <c r="Y262" s="216">
        <v>120590</v>
      </c>
      <c r="Z262" s="216">
        <v>0</v>
      </c>
      <c r="AA262" s="216">
        <v>17303</v>
      </c>
      <c r="AB262" s="216">
        <v>796</v>
      </c>
      <c r="AC262" s="105"/>
    </row>
    <row r="263" spans="1:29" s="20" customFormat="1" x14ac:dyDescent="0.25">
      <c r="A263" s="31">
        <f>'M&amp;R Stations'!A263</f>
        <v>39222</v>
      </c>
      <c r="B263" s="216">
        <v>2517</v>
      </c>
      <c r="C263" s="216">
        <v>0</v>
      </c>
      <c r="D263" s="216">
        <v>12864</v>
      </c>
      <c r="E263" s="216">
        <v>0</v>
      </c>
      <c r="F263" s="216">
        <v>3900</v>
      </c>
      <c r="G263" s="216">
        <v>0</v>
      </c>
      <c r="H263" s="216">
        <v>0</v>
      </c>
      <c r="I263" s="216">
        <v>0</v>
      </c>
      <c r="J263" s="216">
        <v>6577</v>
      </c>
      <c r="K263" s="216">
        <v>0</v>
      </c>
      <c r="L263" s="216">
        <v>0</v>
      </c>
      <c r="M263" s="216">
        <v>0</v>
      </c>
      <c r="N263" s="216">
        <v>0</v>
      </c>
      <c r="O263" s="216">
        <v>0</v>
      </c>
      <c r="P263" s="216">
        <v>310</v>
      </c>
      <c r="Q263" s="216">
        <v>1910</v>
      </c>
      <c r="R263" s="216">
        <v>0</v>
      </c>
      <c r="S263" s="216">
        <v>16979</v>
      </c>
      <c r="T263" s="216">
        <v>0</v>
      </c>
      <c r="U263" s="216">
        <v>15242</v>
      </c>
      <c r="V263" s="216">
        <v>0</v>
      </c>
      <c r="W263" s="216">
        <v>7268</v>
      </c>
      <c r="X263" s="216">
        <v>4229</v>
      </c>
      <c r="Y263" s="216">
        <v>120590</v>
      </c>
      <c r="Z263" s="216">
        <v>0</v>
      </c>
      <c r="AA263" s="216">
        <v>17303</v>
      </c>
      <c r="AB263" s="216">
        <v>796</v>
      </c>
      <c r="AC263" s="105"/>
    </row>
    <row r="264" spans="1:29" s="20" customFormat="1" x14ac:dyDescent="0.25">
      <c r="A264" s="31">
        <f>'M&amp;R Stations'!A264</f>
        <v>39223</v>
      </c>
      <c r="B264" s="216">
        <v>2560</v>
      </c>
      <c r="C264" s="216">
        <v>0</v>
      </c>
      <c r="D264" s="216">
        <v>13086</v>
      </c>
      <c r="E264" s="216">
        <v>0</v>
      </c>
      <c r="F264" s="216">
        <v>3968</v>
      </c>
      <c r="G264" s="216">
        <v>0</v>
      </c>
      <c r="H264" s="216">
        <v>0</v>
      </c>
      <c r="I264" s="216">
        <v>0</v>
      </c>
      <c r="J264" s="216">
        <v>5850</v>
      </c>
      <c r="K264" s="216">
        <v>0</v>
      </c>
      <c r="L264" s="216">
        <v>0</v>
      </c>
      <c r="M264" s="216">
        <v>0</v>
      </c>
      <c r="N264" s="216">
        <v>0</v>
      </c>
      <c r="O264" s="216">
        <v>0</v>
      </c>
      <c r="P264" s="216">
        <v>308</v>
      </c>
      <c r="Q264" s="216">
        <v>1910</v>
      </c>
      <c r="R264" s="216">
        <v>0</v>
      </c>
      <c r="S264" s="216">
        <v>16979</v>
      </c>
      <c r="T264" s="216">
        <v>0</v>
      </c>
      <c r="U264" s="216">
        <v>15242</v>
      </c>
      <c r="V264" s="216">
        <v>0</v>
      </c>
      <c r="W264" s="216">
        <v>7268</v>
      </c>
      <c r="X264" s="216">
        <v>4086</v>
      </c>
      <c r="Y264" s="216">
        <v>120590</v>
      </c>
      <c r="Z264" s="216">
        <v>0</v>
      </c>
      <c r="AA264" s="216">
        <v>17303</v>
      </c>
      <c r="AB264" s="216">
        <v>796</v>
      </c>
      <c r="AC264" s="105"/>
    </row>
    <row r="265" spans="1:29" s="20" customFormat="1" x14ac:dyDescent="0.25">
      <c r="A265" s="31">
        <f>'M&amp;R Stations'!A265</f>
        <v>39224</v>
      </c>
      <c r="B265" s="216">
        <v>2517</v>
      </c>
      <c r="C265" s="216">
        <v>0</v>
      </c>
      <c r="D265" s="216">
        <v>12864</v>
      </c>
      <c r="E265" s="216">
        <v>0</v>
      </c>
      <c r="F265" s="216">
        <v>3900</v>
      </c>
      <c r="G265" s="216">
        <v>0</v>
      </c>
      <c r="H265" s="216">
        <v>0</v>
      </c>
      <c r="I265" s="216">
        <v>0</v>
      </c>
      <c r="J265" s="216">
        <v>6486</v>
      </c>
      <c r="K265" s="216">
        <v>0</v>
      </c>
      <c r="L265" s="216">
        <v>0</v>
      </c>
      <c r="M265" s="216">
        <v>0</v>
      </c>
      <c r="N265" s="216">
        <v>0</v>
      </c>
      <c r="O265" s="216">
        <v>0</v>
      </c>
      <c r="P265" s="216">
        <v>309</v>
      </c>
      <c r="Q265" s="216">
        <v>1908</v>
      </c>
      <c r="R265" s="216">
        <v>0</v>
      </c>
      <c r="S265" s="216">
        <v>16963</v>
      </c>
      <c r="T265" s="216">
        <v>0</v>
      </c>
      <c r="U265" s="216">
        <v>15228</v>
      </c>
      <c r="V265" s="216">
        <v>12956</v>
      </c>
      <c r="W265" s="216">
        <v>7261</v>
      </c>
      <c r="X265" s="216">
        <v>6982</v>
      </c>
      <c r="Y265" s="216">
        <v>102078</v>
      </c>
      <c r="Z265" s="216">
        <v>0</v>
      </c>
      <c r="AA265" s="216">
        <v>17286</v>
      </c>
      <c r="AB265" s="216">
        <v>795</v>
      </c>
      <c r="AC265" s="105"/>
    </row>
    <row r="266" spans="1:29" s="20" customFormat="1" x14ac:dyDescent="0.25">
      <c r="A266" s="31">
        <f>'M&amp;R Stations'!A266</f>
        <v>39225</v>
      </c>
      <c r="B266" s="216">
        <v>2541</v>
      </c>
      <c r="C266" s="216">
        <v>0</v>
      </c>
      <c r="D266" s="216">
        <v>12987</v>
      </c>
      <c r="E266" s="216">
        <v>0</v>
      </c>
      <c r="F266" s="216">
        <v>3938</v>
      </c>
      <c r="G266" s="216">
        <v>0</v>
      </c>
      <c r="H266" s="216">
        <v>0</v>
      </c>
      <c r="I266" s="216">
        <v>0</v>
      </c>
      <c r="J266" s="216">
        <v>6590</v>
      </c>
      <c r="K266" s="216">
        <v>0</v>
      </c>
      <c r="L266" s="216">
        <v>0</v>
      </c>
      <c r="M266" s="216">
        <v>0</v>
      </c>
      <c r="N266" s="216">
        <v>0</v>
      </c>
      <c r="O266" s="216">
        <v>0</v>
      </c>
      <c r="P266" s="216">
        <v>313</v>
      </c>
      <c r="Q266" s="216">
        <v>1908</v>
      </c>
      <c r="R266" s="216">
        <v>0</v>
      </c>
      <c r="S266" s="216">
        <v>16963</v>
      </c>
      <c r="T266" s="216">
        <v>0</v>
      </c>
      <c r="U266" s="216">
        <v>15228</v>
      </c>
      <c r="V266" s="216">
        <v>11950</v>
      </c>
      <c r="W266" s="216">
        <v>7261</v>
      </c>
      <c r="X266" s="216">
        <v>6982</v>
      </c>
      <c r="Y266" s="216">
        <v>102078</v>
      </c>
      <c r="Z266" s="216">
        <v>0</v>
      </c>
      <c r="AA266" s="216">
        <v>17286</v>
      </c>
      <c r="AB266" s="216">
        <v>795</v>
      </c>
      <c r="AC266" s="105"/>
    </row>
    <row r="267" spans="1:29" s="20" customFormat="1" x14ac:dyDescent="0.25">
      <c r="A267" s="31">
        <f>'M&amp;R Stations'!A267</f>
        <v>39226</v>
      </c>
      <c r="B267" s="216">
        <v>2543</v>
      </c>
      <c r="C267" s="216">
        <v>0</v>
      </c>
      <c r="D267" s="216">
        <v>12999</v>
      </c>
      <c r="E267" s="216">
        <v>0</v>
      </c>
      <c r="F267" s="216">
        <v>3941</v>
      </c>
      <c r="G267" s="216">
        <v>0</v>
      </c>
      <c r="H267" s="216">
        <v>0</v>
      </c>
      <c r="I267" s="216">
        <v>0</v>
      </c>
      <c r="J267" s="216">
        <v>6612</v>
      </c>
      <c r="K267" s="216">
        <v>0</v>
      </c>
      <c r="L267" s="216">
        <v>0</v>
      </c>
      <c r="M267" s="216">
        <v>0</v>
      </c>
      <c r="N267" s="216">
        <v>0</v>
      </c>
      <c r="O267" s="216">
        <v>0</v>
      </c>
      <c r="P267" s="216">
        <v>313</v>
      </c>
      <c r="Q267" s="216">
        <v>1912</v>
      </c>
      <c r="R267" s="216">
        <v>0</v>
      </c>
      <c r="S267" s="216">
        <v>16996</v>
      </c>
      <c r="T267" s="216">
        <v>0</v>
      </c>
      <c r="U267" s="216">
        <v>15257</v>
      </c>
      <c r="V267" s="216">
        <v>6205</v>
      </c>
      <c r="W267" s="216">
        <v>7275</v>
      </c>
      <c r="X267" s="216">
        <v>6995</v>
      </c>
      <c r="Y267" s="216">
        <v>101924</v>
      </c>
      <c r="Z267" s="216">
        <v>0</v>
      </c>
      <c r="AA267" s="216">
        <v>17319</v>
      </c>
      <c r="AB267" s="216">
        <v>797</v>
      </c>
      <c r="AC267" s="105"/>
    </row>
    <row r="268" spans="1:29" s="20" customFormat="1" x14ac:dyDescent="0.25">
      <c r="A268" s="31">
        <f>'M&amp;R Stations'!A268</f>
        <v>39227</v>
      </c>
      <c r="B268" s="216">
        <v>2553</v>
      </c>
      <c r="C268" s="216">
        <v>0</v>
      </c>
      <c r="D268" s="216">
        <v>13049</v>
      </c>
      <c r="E268" s="216">
        <v>0</v>
      </c>
      <c r="F268" s="216">
        <v>3956</v>
      </c>
      <c r="G268" s="216">
        <v>0</v>
      </c>
      <c r="H268" s="216">
        <v>0</v>
      </c>
      <c r="I268" s="216">
        <v>0</v>
      </c>
      <c r="J268" s="216">
        <v>6668</v>
      </c>
      <c r="K268" s="216">
        <v>0</v>
      </c>
      <c r="L268" s="216">
        <v>0</v>
      </c>
      <c r="M268" s="216">
        <v>0</v>
      </c>
      <c r="N268" s="216">
        <v>0</v>
      </c>
      <c r="O268" s="216">
        <v>0</v>
      </c>
      <c r="P268" s="216">
        <v>315</v>
      </c>
      <c r="Q268" s="216">
        <v>1914</v>
      </c>
      <c r="R268" s="216">
        <v>0</v>
      </c>
      <c r="S268" s="216">
        <v>17012</v>
      </c>
      <c r="T268" s="216">
        <v>0</v>
      </c>
      <c r="U268" s="216">
        <v>15272</v>
      </c>
      <c r="V268" s="216">
        <v>0</v>
      </c>
      <c r="W268" s="216">
        <v>7282</v>
      </c>
      <c r="X268" s="216">
        <v>6457</v>
      </c>
      <c r="Y268" s="216">
        <v>102022</v>
      </c>
      <c r="Z268" s="216">
        <v>0</v>
      </c>
      <c r="AA268" s="216">
        <v>17336</v>
      </c>
      <c r="AB268" s="216">
        <v>798</v>
      </c>
      <c r="AC268" s="105"/>
    </row>
    <row r="269" spans="1:29" s="20" customFormat="1" x14ac:dyDescent="0.25">
      <c r="A269" s="31">
        <f>'M&amp;R Stations'!A269</f>
        <v>39228</v>
      </c>
      <c r="B269" s="216">
        <v>2548</v>
      </c>
      <c r="C269" s="216">
        <v>0</v>
      </c>
      <c r="D269" s="216">
        <v>13024</v>
      </c>
      <c r="E269" s="216">
        <v>0</v>
      </c>
      <c r="F269" s="216">
        <v>3949</v>
      </c>
      <c r="G269" s="216">
        <v>0</v>
      </c>
      <c r="H269" s="216">
        <v>0</v>
      </c>
      <c r="I269" s="216">
        <v>0</v>
      </c>
      <c r="J269" s="216">
        <v>6645</v>
      </c>
      <c r="K269" s="216">
        <v>0</v>
      </c>
      <c r="L269" s="216">
        <v>0</v>
      </c>
      <c r="M269" s="216">
        <v>0</v>
      </c>
      <c r="N269" s="216">
        <v>0</v>
      </c>
      <c r="O269" s="216">
        <v>0</v>
      </c>
      <c r="P269" s="216">
        <v>314</v>
      </c>
      <c r="Q269" s="216">
        <v>1916</v>
      </c>
      <c r="R269" s="216">
        <v>0</v>
      </c>
      <c r="S269" s="216">
        <v>17029</v>
      </c>
      <c r="T269" s="216">
        <v>0</v>
      </c>
      <c r="U269" s="216">
        <v>15287</v>
      </c>
      <c r="V269" s="216">
        <v>0</v>
      </c>
      <c r="W269" s="216">
        <v>7289</v>
      </c>
      <c r="X269" s="216">
        <v>6731</v>
      </c>
      <c r="Y269" s="216">
        <v>99222</v>
      </c>
      <c r="Z269" s="216">
        <v>0</v>
      </c>
      <c r="AA269" s="216">
        <v>17353</v>
      </c>
      <c r="AB269" s="216">
        <v>798</v>
      </c>
      <c r="AC269" s="105"/>
    </row>
    <row r="270" spans="1:29" s="20" customFormat="1" x14ac:dyDescent="0.25">
      <c r="A270" s="31">
        <f>'M&amp;R Stations'!A270</f>
        <v>39229</v>
      </c>
      <c r="B270" s="216">
        <v>2548</v>
      </c>
      <c r="C270" s="216">
        <v>0</v>
      </c>
      <c r="D270" s="216">
        <v>13024</v>
      </c>
      <c r="E270" s="216">
        <v>0</v>
      </c>
      <c r="F270" s="216">
        <v>3949</v>
      </c>
      <c r="G270" s="216">
        <v>0</v>
      </c>
      <c r="H270" s="216">
        <v>0</v>
      </c>
      <c r="I270" s="216">
        <v>0</v>
      </c>
      <c r="J270" s="216">
        <v>6654</v>
      </c>
      <c r="K270" s="216">
        <v>0</v>
      </c>
      <c r="L270" s="216">
        <v>0</v>
      </c>
      <c r="M270" s="216">
        <v>0</v>
      </c>
      <c r="N270" s="216">
        <v>0</v>
      </c>
      <c r="O270" s="216">
        <v>0</v>
      </c>
      <c r="P270" s="216">
        <v>314</v>
      </c>
      <c r="Q270" s="216">
        <v>1887</v>
      </c>
      <c r="R270" s="216">
        <v>0</v>
      </c>
      <c r="S270" s="216">
        <v>16769</v>
      </c>
      <c r="T270" s="216">
        <v>0</v>
      </c>
      <c r="U270" s="216">
        <v>15054</v>
      </c>
      <c r="V270" s="216">
        <v>0</v>
      </c>
      <c r="W270" s="216">
        <v>7178</v>
      </c>
      <c r="X270" s="216">
        <v>6033</v>
      </c>
      <c r="Y270" s="216">
        <v>97712</v>
      </c>
      <c r="Z270" s="216">
        <v>0</v>
      </c>
      <c r="AA270" s="216">
        <v>17088</v>
      </c>
      <c r="AB270" s="216">
        <v>786</v>
      </c>
      <c r="AC270" s="105"/>
    </row>
    <row r="271" spans="1:29" s="20" customFormat="1" x14ac:dyDescent="0.25">
      <c r="A271" s="31">
        <f>'M&amp;R Stations'!A271</f>
        <v>39230</v>
      </c>
      <c r="B271" s="216">
        <v>2548</v>
      </c>
      <c r="C271" s="216">
        <v>0</v>
      </c>
      <c r="D271" s="216">
        <v>13024</v>
      </c>
      <c r="E271" s="216">
        <v>0</v>
      </c>
      <c r="F271" s="216">
        <v>3949</v>
      </c>
      <c r="G271" s="216">
        <v>0</v>
      </c>
      <c r="H271" s="216">
        <v>0</v>
      </c>
      <c r="I271" s="216">
        <v>0</v>
      </c>
      <c r="J271" s="216">
        <v>6623</v>
      </c>
      <c r="K271" s="216">
        <v>0</v>
      </c>
      <c r="L271" s="216">
        <v>0</v>
      </c>
      <c r="M271" s="216">
        <v>0</v>
      </c>
      <c r="N271" s="216">
        <v>0</v>
      </c>
      <c r="O271" s="216">
        <v>0</v>
      </c>
      <c r="P271" s="216">
        <v>314</v>
      </c>
      <c r="Q271" s="216">
        <v>1885</v>
      </c>
      <c r="R271" s="216">
        <v>0</v>
      </c>
      <c r="S271" s="216">
        <v>16753</v>
      </c>
      <c r="T271" s="216">
        <v>0</v>
      </c>
      <c r="U271" s="216">
        <v>15039</v>
      </c>
      <c r="V271" s="216">
        <v>7605</v>
      </c>
      <c r="W271" s="216">
        <v>7171</v>
      </c>
      <c r="X271" s="216">
        <v>6895</v>
      </c>
      <c r="Y271" s="216">
        <v>97619</v>
      </c>
      <c r="Z271" s="216">
        <v>0</v>
      </c>
      <c r="AA271" s="216">
        <v>17072</v>
      </c>
      <c r="AB271" s="216">
        <v>785</v>
      </c>
      <c r="AC271" s="105"/>
    </row>
    <row r="272" spans="1:29" s="20" customFormat="1" x14ac:dyDescent="0.25">
      <c r="A272" s="31">
        <f>'M&amp;R Stations'!A272</f>
        <v>39231</v>
      </c>
      <c r="B272" s="216">
        <v>2565</v>
      </c>
      <c r="C272" s="216">
        <v>0</v>
      </c>
      <c r="D272" s="216">
        <v>13112</v>
      </c>
      <c r="E272" s="216">
        <v>0</v>
      </c>
      <c r="F272" s="216">
        <v>3976</v>
      </c>
      <c r="G272" s="216">
        <v>0</v>
      </c>
      <c r="H272" s="216">
        <v>0</v>
      </c>
      <c r="I272" s="216">
        <v>0</v>
      </c>
      <c r="J272" s="216">
        <v>6706</v>
      </c>
      <c r="K272" s="216">
        <v>0</v>
      </c>
      <c r="L272" s="216">
        <v>0</v>
      </c>
      <c r="M272" s="216">
        <v>0</v>
      </c>
      <c r="N272" s="216">
        <v>0</v>
      </c>
      <c r="O272" s="216">
        <v>0</v>
      </c>
      <c r="P272" s="216">
        <v>316</v>
      </c>
      <c r="Q272" s="216">
        <v>1888</v>
      </c>
      <c r="R272" s="216">
        <v>0</v>
      </c>
      <c r="S272" s="216">
        <v>16785</v>
      </c>
      <c r="T272" s="216">
        <v>0</v>
      </c>
      <c r="U272" s="216">
        <v>15068</v>
      </c>
      <c r="V272" s="216">
        <v>8909</v>
      </c>
      <c r="W272" s="216">
        <v>7185</v>
      </c>
      <c r="X272" s="216">
        <v>6909</v>
      </c>
      <c r="Y272" s="216">
        <v>97805</v>
      </c>
      <c r="Z272" s="216">
        <v>0</v>
      </c>
      <c r="AA272" s="216">
        <v>17105</v>
      </c>
      <c r="AB272" s="216">
        <v>787</v>
      </c>
      <c r="AC272" s="105"/>
    </row>
    <row r="273" spans="1:29" s="20" customFormat="1" x14ac:dyDescent="0.25">
      <c r="A273" s="31">
        <f>'M&amp;R Stations'!A273</f>
        <v>39232</v>
      </c>
      <c r="B273" s="216">
        <v>2565</v>
      </c>
      <c r="C273" s="216">
        <v>0</v>
      </c>
      <c r="D273" s="216">
        <v>13112</v>
      </c>
      <c r="E273" s="216">
        <v>0</v>
      </c>
      <c r="F273" s="216">
        <v>3976</v>
      </c>
      <c r="G273" s="216">
        <v>0</v>
      </c>
      <c r="H273" s="216">
        <v>0</v>
      </c>
      <c r="I273" s="216">
        <v>0</v>
      </c>
      <c r="J273" s="216">
        <v>6735</v>
      </c>
      <c r="K273" s="216">
        <v>0</v>
      </c>
      <c r="L273" s="216">
        <v>0</v>
      </c>
      <c r="M273" s="216">
        <v>0</v>
      </c>
      <c r="N273" s="216">
        <v>0</v>
      </c>
      <c r="O273" s="216">
        <v>0</v>
      </c>
      <c r="P273" s="216">
        <v>316</v>
      </c>
      <c r="Q273" s="216">
        <v>1892</v>
      </c>
      <c r="R273" s="216">
        <v>0</v>
      </c>
      <c r="S273" s="216">
        <v>16817</v>
      </c>
      <c r="T273" s="216">
        <v>0</v>
      </c>
      <c r="U273" s="216">
        <v>15097</v>
      </c>
      <c r="V273" s="216">
        <v>7055</v>
      </c>
      <c r="W273" s="216">
        <v>7198</v>
      </c>
      <c r="X273" s="216">
        <v>6922</v>
      </c>
      <c r="Y273" s="216">
        <v>97991</v>
      </c>
      <c r="Z273" s="216">
        <v>0</v>
      </c>
      <c r="AA273" s="216">
        <v>17137</v>
      </c>
      <c r="AB273" s="216">
        <v>788</v>
      </c>
      <c r="AC273" s="105"/>
    </row>
    <row r="274" spans="1:29" s="20" customFormat="1" x14ac:dyDescent="0.25">
      <c r="A274" s="31">
        <f>'M&amp;R Stations'!A274</f>
        <v>39233</v>
      </c>
      <c r="B274" s="216">
        <v>2565</v>
      </c>
      <c r="C274" s="216">
        <v>0</v>
      </c>
      <c r="D274" s="216">
        <v>13112</v>
      </c>
      <c r="E274" s="216">
        <v>0</v>
      </c>
      <c r="F274" s="216">
        <v>3976</v>
      </c>
      <c r="G274" s="216">
        <v>0</v>
      </c>
      <c r="H274" s="216">
        <v>0</v>
      </c>
      <c r="I274" s="216">
        <v>0</v>
      </c>
      <c r="J274" s="216">
        <v>6735</v>
      </c>
      <c r="K274" s="216">
        <v>0</v>
      </c>
      <c r="L274" s="216">
        <v>0</v>
      </c>
      <c r="M274" s="216">
        <v>0</v>
      </c>
      <c r="N274" s="216">
        <v>0</v>
      </c>
      <c r="O274" s="216">
        <v>0</v>
      </c>
      <c r="P274" s="216">
        <v>316</v>
      </c>
      <c r="Q274" s="216">
        <v>1912</v>
      </c>
      <c r="R274" s="216">
        <v>0</v>
      </c>
      <c r="S274" s="216">
        <v>16996</v>
      </c>
      <c r="T274" s="216">
        <v>0</v>
      </c>
      <c r="U274" s="216">
        <v>15257</v>
      </c>
      <c r="V274" s="216">
        <v>7849</v>
      </c>
      <c r="W274" s="216">
        <v>7275</v>
      </c>
      <c r="X274" s="216">
        <v>6995</v>
      </c>
      <c r="Y274" s="216">
        <v>99031</v>
      </c>
      <c r="Z274" s="216">
        <v>0</v>
      </c>
      <c r="AA274" s="216">
        <v>17319</v>
      </c>
      <c r="AB274" s="216">
        <v>797</v>
      </c>
      <c r="AC274" s="105"/>
    </row>
    <row r="275" spans="1:29" s="20" customFormat="1" x14ac:dyDescent="0.25">
      <c r="A275" s="31">
        <f>'M&amp;R Stations'!A275</f>
        <v>39234</v>
      </c>
      <c r="B275" s="216">
        <v>2570</v>
      </c>
      <c r="C275" s="216">
        <v>0</v>
      </c>
      <c r="D275" s="216">
        <v>7715</v>
      </c>
      <c r="E275" s="216">
        <v>0</v>
      </c>
      <c r="F275" s="216">
        <v>0</v>
      </c>
      <c r="G275" s="216">
        <v>0</v>
      </c>
      <c r="H275" s="216">
        <v>0</v>
      </c>
      <c r="I275" s="216">
        <v>0</v>
      </c>
      <c r="J275" s="216">
        <v>12220</v>
      </c>
      <c r="K275" s="216">
        <v>0</v>
      </c>
      <c r="L275" s="216">
        <v>0</v>
      </c>
      <c r="M275" s="216">
        <v>0</v>
      </c>
      <c r="N275" s="216">
        <v>0</v>
      </c>
      <c r="O275" s="216">
        <v>0</v>
      </c>
      <c r="P275" s="216">
        <v>186</v>
      </c>
      <c r="Q275" s="216">
        <v>1914</v>
      </c>
      <c r="R275" s="216">
        <v>0</v>
      </c>
      <c r="S275" s="216">
        <v>17012</v>
      </c>
      <c r="T275" s="216">
        <v>0</v>
      </c>
      <c r="U275" s="216">
        <v>15295</v>
      </c>
      <c r="V275" s="216">
        <v>7022</v>
      </c>
      <c r="W275" s="216">
        <v>7282</v>
      </c>
      <c r="X275" s="216">
        <v>7002</v>
      </c>
      <c r="Y275" s="216">
        <v>93744</v>
      </c>
      <c r="Z275" s="216">
        <v>0</v>
      </c>
      <c r="AA275" s="216">
        <v>17336</v>
      </c>
      <c r="AB275" s="216">
        <v>798</v>
      </c>
      <c r="AC275" s="105"/>
    </row>
    <row r="276" spans="1:29" s="20" customFormat="1" x14ac:dyDescent="0.25">
      <c r="A276" s="31">
        <f>'M&amp;R Stations'!A276</f>
        <v>39235</v>
      </c>
      <c r="B276" s="216">
        <v>2575</v>
      </c>
      <c r="C276" s="216">
        <v>0</v>
      </c>
      <c r="D276" s="216">
        <v>7789</v>
      </c>
      <c r="E276" s="216">
        <v>0</v>
      </c>
      <c r="F276" s="216">
        <v>0</v>
      </c>
      <c r="G276" s="216">
        <v>0</v>
      </c>
      <c r="H276" s="216">
        <v>0</v>
      </c>
      <c r="I276" s="216">
        <v>0</v>
      </c>
      <c r="J276" s="216">
        <v>12244</v>
      </c>
      <c r="K276" s="216">
        <v>0</v>
      </c>
      <c r="L276" s="216">
        <v>0</v>
      </c>
      <c r="M276" s="216">
        <v>0</v>
      </c>
      <c r="N276" s="216">
        <v>0</v>
      </c>
      <c r="O276" s="216">
        <v>0</v>
      </c>
      <c r="P276" s="216">
        <v>187</v>
      </c>
      <c r="Q276" s="216">
        <v>1914</v>
      </c>
      <c r="R276" s="216">
        <v>0</v>
      </c>
      <c r="S276" s="216">
        <v>17012</v>
      </c>
      <c r="T276" s="216">
        <v>0</v>
      </c>
      <c r="U276" s="216">
        <v>15272</v>
      </c>
      <c r="V276" s="216">
        <v>1256</v>
      </c>
      <c r="W276" s="216">
        <v>7282</v>
      </c>
      <c r="X276" s="216">
        <v>7002</v>
      </c>
      <c r="Y276" s="216">
        <v>95675</v>
      </c>
      <c r="Z276" s="216">
        <v>0</v>
      </c>
      <c r="AA276" s="216">
        <v>17336</v>
      </c>
      <c r="AB276" s="216">
        <v>798</v>
      </c>
      <c r="AC276" s="105"/>
    </row>
    <row r="277" spans="1:29" s="20" customFormat="1" x14ac:dyDescent="0.25">
      <c r="A277" s="31">
        <f>'M&amp;R Stations'!A277</f>
        <v>39236</v>
      </c>
      <c r="B277" s="216">
        <v>2578</v>
      </c>
      <c r="C277" s="216">
        <v>0</v>
      </c>
      <c r="D277" s="216">
        <v>7757</v>
      </c>
      <c r="E277" s="216">
        <v>0</v>
      </c>
      <c r="F277" s="216">
        <v>0</v>
      </c>
      <c r="G277" s="216">
        <v>0</v>
      </c>
      <c r="H277" s="216">
        <v>0</v>
      </c>
      <c r="I277" s="216">
        <v>0</v>
      </c>
      <c r="J277" s="216">
        <v>12256</v>
      </c>
      <c r="K277" s="216">
        <v>0</v>
      </c>
      <c r="L277" s="216">
        <v>0</v>
      </c>
      <c r="M277" s="216">
        <v>0</v>
      </c>
      <c r="N277" s="216">
        <v>0</v>
      </c>
      <c r="O277" s="216">
        <v>0</v>
      </c>
      <c r="P277" s="216">
        <v>186</v>
      </c>
      <c r="Q277" s="216">
        <v>1914</v>
      </c>
      <c r="R277" s="216">
        <v>0</v>
      </c>
      <c r="S277" s="216">
        <v>17012</v>
      </c>
      <c r="T277" s="216">
        <v>0</v>
      </c>
      <c r="U277" s="216">
        <v>15272</v>
      </c>
      <c r="V277" s="216">
        <v>6817</v>
      </c>
      <c r="W277" s="216">
        <v>7282</v>
      </c>
      <c r="X277" s="216">
        <v>7002</v>
      </c>
      <c r="Y277" s="216">
        <v>95675</v>
      </c>
      <c r="Z277" s="216">
        <v>0</v>
      </c>
      <c r="AA277" s="216">
        <v>17336</v>
      </c>
      <c r="AB277" s="216">
        <v>798</v>
      </c>
      <c r="AC277" s="105"/>
    </row>
    <row r="278" spans="1:29" s="20" customFormat="1" x14ac:dyDescent="0.25">
      <c r="A278" s="31">
        <f>'M&amp;R Stations'!A278</f>
        <v>39237</v>
      </c>
      <c r="B278" s="216">
        <v>2580</v>
      </c>
      <c r="C278" s="216">
        <v>0</v>
      </c>
      <c r="D278" s="216">
        <v>7716</v>
      </c>
      <c r="E278" s="216">
        <v>0</v>
      </c>
      <c r="F278" s="216">
        <v>0</v>
      </c>
      <c r="G278" s="216">
        <v>0</v>
      </c>
      <c r="H278" s="216">
        <v>0</v>
      </c>
      <c r="I278" s="216">
        <v>0</v>
      </c>
      <c r="J278" s="216">
        <v>12268</v>
      </c>
      <c r="K278" s="216">
        <v>0</v>
      </c>
      <c r="L278" s="216">
        <v>0</v>
      </c>
      <c r="M278" s="216">
        <v>0</v>
      </c>
      <c r="N278" s="216">
        <v>0</v>
      </c>
      <c r="O278" s="216">
        <v>0</v>
      </c>
      <c r="P278" s="216">
        <v>186</v>
      </c>
      <c r="Q278" s="216">
        <v>1912</v>
      </c>
      <c r="R278" s="216">
        <v>0</v>
      </c>
      <c r="S278" s="216">
        <v>16996</v>
      </c>
      <c r="T278" s="216">
        <v>0</v>
      </c>
      <c r="U278" s="216">
        <v>15257</v>
      </c>
      <c r="V278" s="216">
        <v>6798</v>
      </c>
      <c r="W278" s="216">
        <v>7275</v>
      </c>
      <c r="X278" s="216">
        <v>6995</v>
      </c>
      <c r="Y278" s="216">
        <v>95582</v>
      </c>
      <c r="Z278" s="216">
        <v>0</v>
      </c>
      <c r="AA278" s="216">
        <v>17319</v>
      </c>
      <c r="AB278" s="216">
        <v>797</v>
      </c>
      <c r="AC278" s="105"/>
    </row>
    <row r="279" spans="1:29" s="20" customFormat="1" x14ac:dyDescent="0.25">
      <c r="A279" s="31">
        <f>'M&amp;R Stations'!A279</f>
        <v>39238</v>
      </c>
      <c r="B279" s="216">
        <v>2580</v>
      </c>
      <c r="C279" s="216">
        <v>0</v>
      </c>
      <c r="D279" s="216">
        <v>7735</v>
      </c>
      <c r="E279" s="216">
        <v>0</v>
      </c>
      <c r="F279" s="216">
        <v>0</v>
      </c>
      <c r="G279" s="216">
        <v>0</v>
      </c>
      <c r="H279" s="216">
        <v>0</v>
      </c>
      <c r="I279" s="216">
        <v>0</v>
      </c>
      <c r="J279" s="216">
        <v>12268</v>
      </c>
      <c r="K279" s="216">
        <v>0</v>
      </c>
      <c r="L279" s="216">
        <v>0</v>
      </c>
      <c r="M279" s="216">
        <v>0</v>
      </c>
      <c r="N279" s="216">
        <v>0</v>
      </c>
      <c r="O279" s="216">
        <v>0</v>
      </c>
      <c r="P279" s="216">
        <v>186</v>
      </c>
      <c r="Q279" s="216">
        <v>1910</v>
      </c>
      <c r="R279" s="216">
        <v>0</v>
      </c>
      <c r="S279" s="216">
        <v>16979</v>
      </c>
      <c r="T279" s="216">
        <v>0</v>
      </c>
      <c r="U279" s="216">
        <v>15242</v>
      </c>
      <c r="V279" s="216">
        <v>10391</v>
      </c>
      <c r="W279" s="216">
        <v>7268</v>
      </c>
      <c r="X279" s="216">
        <v>6988</v>
      </c>
      <c r="Y279" s="216">
        <v>95490</v>
      </c>
      <c r="Z279" s="216">
        <v>0</v>
      </c>
      <c r="AA279" s="216">
        <v>17303</v>
      </c>
      <c r="AB279" s="216">
        <v>796</v>
      </c>
      <c r="AC279" s="105"/>
    </row>
    <row r="280" spans="1:29" s="20" customFormat="1" x14ac:dyDescent="0.25">
      <c r="A280" s="31">
        <f>'M&amp;R Stations'!A280</f>
        <v>39239</v>
      </c>
      <c r="B280" s="216">
        <v>2575</v>
      </c>
      <c r="C280" s="216">
        <v>0</v>
      </c>
      <c r="D280" s="216">
        <v>7700</v>
      </c>
      <c r="E280" s="216">
        <v>0</v>
      </c>
      <c r="F280" s="216">
        <v>0</v>
      </c>
      <c r="G280" s="216">
        <v>0</v>
      </c>
      <c r="H280" s="216">
        <v>0</v>
      </c>
      <c r="I280" s="216">
        <v>0</v>
      </c>
      <c r="J280" s="216">
        <v>12244</v>
      </c>
      <c r="K280" s="216">
        <v>0</v>
      </c>
      <c r="L280" s="216">
        <v>0</v>
      </c>
      <c r="M280" s="216">
        <v>0</v>
      </c>
      <c r="N280" s="216">
        <v>0</v>
      </c>
      <c r="O280" s="216">
        <v>0</v>
      </c>
      <c r="P280" s="216">
        <v>186</v>
      </c>
      <c r="Q280" s="216">
        <v>1908</v>
      </c>
      <c r="R280" s="216">
        <v>0</v>
      </c>
      <c r="S280" s="216">
        <v>16963</v>
      </c>
      <c r="T280" s="216">
        <v>0</v>
      </c>
      <c r="U280" s="216">
        <v>15228</v>
      </c>
      <c r="V280" s="216">
        <v>9679</v>
      </c>
      <c r="W280" s="216">
        <v>7261</v>
      </c>
      <c r="X280" s="216">
        <v>6982</v>
      </c>
      <c r="Y280" s="216">
        <v>97323</v>
      </c>
      <c r="Z280" s="216">
        <v>0</v>
      </c>
      <c r="AA280" s="216">
        <v>17286</v>
      </c>
      <c r="AB280" s="216">
        <v>795</v>
      </c>
      <c r="AC280" s="105"/>
    </row>
    <row r="281" spans="1:29" s="20" customFormat="1" x14ac:dyDescent="0.25">
      <c r="A281" s="31">
        <f>'M&amp;R Stations'!A281</f>
        <v>39240</v>
      </c>
      <c r="B281" s="216">
        <v>2575</v>
      </c>
      <c r="C281" s="216">
        <v>0</v>
      </c>
      <c r="D281" s="216">
        <v>7720</v>
      </c>
      <c r="E281" s="216">
        <v>0</v>
      </c>
      <c r="F281" s="216">
        <v>0</v>
      </c>
      <c r="G281" s="216">
        <v>0</v>
      </c>
      <c r="H281" s="216">
        <v>0</v>
      </c>
      <c r="I281" s="216">
        <v>0</v>
      </c>
      <c r="J281" s="216">
        <v>12244</v>
      </c>
      <c r="K281" s="216">
        <v>0</v>
      </c>
      <c r="L281" s="216">
        <v>0</v>
      </c>
      <c r="M281" s="216">
        <v>0</v>
      </c>
      <c r="N281" s="216">
        <v>0</v>
      </c>
      <c r="O281" s="216">
        <v>0</v>
      </c>
      <c r="P281" s="216">
        <v>186</v>
      </c>
      <c r="Q281" s="216">
        <v>1908</v>
      </c>
      <c r="R281" s="216">
        <v>0</v>
      </c>
      <c r="S281" s="216">
        <v>16963</v>
      </c>
      <c r="T281" s="216">
        <v>0</v>
      </c>
      <c r="U281" s="216">
        <v>15228</v>
      </c>
      <c r="V281" s="216">
        <v>7446</v>
      </c>
      <c r="W281" s="216">
        <v>7261</v>
      </c>
      <c r="X281" s="216">
        <v>6982</v>
      </c>
      <c r="Y281" s="216">
        <v>97323</v>
      </c>
      <c r="Z281" s="216">
        <v>0</v>
      </c>
      <c r="AA281" s="216">
        <v>17286</v>
      </c>
      <c r="AB281" s="216">
        <v>795</v>
      </c>
      <c r="AC281" s="105"/>
    </row>
    <row r="282" spans="1:29" s="20" customFormat="1" x14ac:dyDescent="0.25">
      <c r="A282" s="31">
        <f>'M&amp;R Stations'!A282</f>
        <v>39241</v>
      </c>
      <c r="B282" s="216">
        <v>2568</v>
      </c>
      <c r="C282" s="216">
        <v>0</v>
      </c>
      <c r="D282" s="216">
        <v>7717</v>
      </c>
      <c r="E282" s="216">
        <v>0</v>
      </c>
      <c r="F282" s="216">
        <v>0</v>
      </c>
      <c r="G282" s="216">
        <v>0</v>
      </c>
      <c r="H282" s="216">
        <v>0</v>
      </c>
      <c r="I282" s="216">
        <v>0</v>
      </c>
      <c r="J282" s="216">
        <v>12208</v>
      </c>
      <c r="K282" s="216">
        <v>0</v>
      </c>
      <c r="L282" s="216">
        <v>0</v>
      </c>
      <c r="M282" s="216">
        <v>0</v>
      </c>
      <c r="N282" s="216">
        <v>0</v>
      </c>
      <c r="O282" s="216">
        <v>0</v>
      </c>
      <c r="P282" s="216">
        <v>186</v>
      </c>
      <c r="Q282" s="216">
        <v>1908</v>
      </c>
      <c r="R282" s="216">
        <v>0</v>
      </c>
      <c r="S282" s="216">
        <v>16963</v>
      </c>
      <c r="T282" s="216">
        <v>0</v>
      </c>
      <c r="U282" s="216">
        <v>15228</v>
      </c>
      <c r="V282" s="216">
        <v>1946</v>
      </c>
      <c r="W282" s="216">
        <v>7261</v>
      </c>
      <c r="X282" s="216">
        <v>6982</v>
      </c>
      <c r="Y282" s="216">
        <v>97323</v>
      </c>
      <c r="Z282" s="216">
        <v>0</v>
      </c>
      <c r="AA282" s="216">
        <v>17286</v>
      </c>
      <c r="AB282" s="216">
        <v>795</v>
      </c>
      <c r="AC282" s="105"/>
    </row>
    <row r="283" spans="1:29" s="20" customFormat="1" x14ac:dyDescent="0.25">
      <c r="A283" s="31">
        <f>'M&amp;R Stations'!A283</f>
        <v>39242</v>
      </c>
      <c r="B283" s="216">
        <v>2560</v>
      </c>
      <c r="C283" s="216">
        <v>0</v>
      </c>
      <c r="D283" s="216">
        <v>7743</v>
      </c>
      <c r="E283" s="216">
        <v>0</v>
      </c>
      <c r="F283" s="216">
        <v>0</v>
      </c>
      <c r="G283" s="216">
        <v>0</v>
      </c>
      <c r="H283" s="216">
        <v>0</v>
      </c>
      <c r="I283" s="216">
        <v>0</v>
      </c>
      <c r="J283" s="216">
        <v>12173</v>
      </c>
      <c r="K283" s="216">
        <v>0</v>
      </c>
      <c r="L283" s="216">
        <v>0</v>
      </c>
      <c r="M283" s="216">
        <v>0</v>
      </c>
      <c r="N283" s="216">
        <v>0</v>
      </c>
      <c r="O283" s="216">
        <v>0</v>
      </c>
      <c r="P283" s="216">
        <v>186</v>
      </c>
      <c r="Q283" s="216">
        <v>1910</v>
      </c>
      <c r="R283" s="216">
        <v>0</v>
      </c>
      <c r="S283" s="216">
        <v>16979</v>
      </c>
      <c r="T283" s="216">
        <v>0</v>
      </c>
      <c r="U283" s="216">
        <v>15242</v>
      </c>
      <c r="V283" s="216">
        <v>9078</v>
      </c>
      <c r="W283" s="216">
        <v>7268</v>
      </c>
      <c r="X283" s="216">
        <v>0</v>
      </c>
      <c r="Y283" s="216">
        <v>97417</v>
      </c>
      <c r="Z283" s="216">
        <v>0</v>
      </c>
      <c r="AA283" s="216">
        <v>17303</v>
      </c>
      <c r="AB283" s="216">
        <v>796</v>
      </c>
      <c r="AC283" s="105"/>
    </row>
    <row r="284" spans="1:29" s="20" customFormat="1" x14ac:dyDescent="0.25">
      <c r="A284" s="31">
        <f>'M&amp;R Stations'!A284</f>
        <v>39243</v>
      </c>
      <c r="B284" s="216">
        <v>2578</v>
      </c>
      <c r="C284" s="216">
        <v>0</v>
      </c>
      <c r="D284" s="216">
        <v>7737</v>
      </c>
      <c r="E284" s="216">
        <v>0</v>
      </c>
      <c r="F284" s="216">
        <v>0</v>
      </c>
      <c r="G284" s="216">
        <v>0</v>
      </c>
      <c r="H284" s="216">
        <v>0</v>
      </c>
      <c r="I284" s="216">
        <v>0</v>
      </c>
      <c r="J284" s="216">
        <v>12256</v>
      </c>
      <c r="K284" s="216">
        <v>0</v>
      </c>
      <c r="L284" s="216">
        <v>0</v>
      </c>
      <c r="M284" s="216">
        <v>0</v>
      </c>
      <c r="N284" s="216">
        <v>0</v>
      </c>
      <c r="O284" s="216">
        <v>0</v>
      </c>
      <c r="P284" s="216">
        <v>186</v>
      </c>
      <c r="Q284" s="216">
        <v>1899</v>
      </c>
      <c r="R284" s="216">
        <v>0</v>
      </c>
      <c r="S284" s="216">
        <v>16882</v>
      </c>
      <c r="T284" s="216">
        <v>0</v>
      </c>
      <c r="U284" s="216">
        <v>15155</v>
      </c>
      <c r="V284" s="216">
        <v>13663</v>
      </c>
      <c r="W284" s="216">
        <v>7226</v>
      </c>
      <c r="X284" s="216">
        <v>0</v>
      </c>
      <c r="Y284" s="216">
        <v>96857</v>
      </c>
      <c r="Z284" s="216">
        <v>0</v>
      </c>
      <c r="AA284" s="216">
        <v>17203</v>
      </c>
      <c r="AB284" s="216">
        <v>791</v>
      </c>
      <c r="AC284" s="105"/>
    </row>
    <row r="285" spans="1:29" s="20" customFormat="1" x14ac:dyDescent="0.25">
      <c r="A285" s="31">
        <f>'M&amp;R Stations'!A285</f>
        <v>39244</v>
      </c>
      <c r="B285" s="216">
        <v>2575</v>
      </c>
      <c r="C285" s="216">
        <v>0</v>
      </c>
      <c r="D285" s="216">
        <v>7720</v>
      </c>
      <c r="E285" s="216">
        <v>0</v>
      </c>
      <c r="F285" s="216">
        <v>0</v>
      </c>
      <c r="G285" s="216">
        <v>0</v>
      </c>
      <c r="H285" s="216">
        <v>0</v>
      </c>
      <c r="I285" s="216">
        <v>0</v>
      </c>
      <c r="J285" s="216">
        <v>12244</v>
      </c>
      <c r="K285" s="216">
        <v>0</v>
      </c>
      <c r="L285" s="216">
        <v>0</v>
      </c>
      <c r="M285" s="216">
        <v>0</v>
      </c>
      <c r="N285" s="216">
        <v>0</v>
      </c>
      <c r="O285" s="216">
        <v>0</v>
      </c>
      <c r="P285" s="216">
        <v>186</v>
      </c>
      <c r="Q285" s="216">
        <v>1897</v>
      </c>
      <c r="R285" s="216">
        <v>0</v>
      </c>
      <c r="S285" s="216">
        <v>16866</v>
      </c>
      <c r="T285" s="216">
        <v>0</v>
      </c>
      <c r="U285" s="216">
        <v>15140</v>
      </c>
      <c r="V285" s="216">
        <v>11547</v>
      </c>
      <c r="W285" s="216">
        <v>7219</v>
      </c>
      <c r="X285" s="216">
        <v>0</v>
      </c>
      <c r="Y285" s="216">
        <v>96765</v>
      </c>
      <c r="Z285" s="216">
        <v>0</v>
      </c>
      <c r="AA285" s="216">
        <v>17187</v>
      </c>
      <c r="AB285" s="216">
        <v>791</v>
      </c>
      <c r="AC285" s="105"/>
    </row>
    <row r="286" spans="1:29" s="20" customFormat="1" x14ac:dyDescent="0.25">
      <c r="A286" s="31">
        <f>'M&amp;R Stations'!A286</f>
        <v>39245</v>
      </c>
      <c r="B286" s="216">
        <v>2580</v>
      </c>
      <c r="C286" s="216">
        <v>0</v>
      </c>
      <c r="D286" s="216">
        <v>7716</v>
      </c>
      <c r="E286" s="216">
        <v>0</v>
      </c>
      <c r="F286" s="216">
        <v>0</v>
      </c>
      <c r="G286" s="216">
        <v>0</v>
      </c>
      <c r="H286" s="216">
        <v>0</v>
      </c>
      <c r="I286" s="216">
        <v>0</v>
      </c>
      <c r="J286" s="216">
        <v>12268</v>
      </c>
      <c r="K286" s="216">
        <v>0</v>
      </c>
      <c r="L286" s="216">
        <v>0</v>
      </c>
      <c r="M286" s="216">
        <v>0</v>
      </c>
      <c r="N286" s="216">
        <v>0</v>
      </c>
      <c r="O286" s="216">
        <v>0</v>
      </c>
      <c r="P286" s="216">
        <v>186</v>
      </c>
      <c r="Q286" s="216">
        <v>1903</v>
      </c>
      <c r="R286" s="216">
        <v>0</v>
      </c>
      <c r="S286" s="216">
        <v>16914</v>
      </c>
      <c r="T286" s="216">
        <v>0</v>
      </c>
      <c r="U286" s="216">
        <v>15184</v>
      </c>
      <c r="V286" s="216">
        <v>12068</v>
      </c>
      <c r="W286" s="216">
        <v>7240</v>
      </c>
      <c r="X286" s="216">
        <v>0</v>
      </c>
      <c r="Y286" s="216">
        <v>97043</v>
      </c>
      <c r="Z286" s="216">
        <v>0</v>
      </c>
      <c r="AA286" s="216">
        <v>17236</v>
      </c>
      <c r="AB286" s="216">
        <v>793</v>
      </c>
      <c r="AC286" s="105"/>
    </row>
    <row r="287" spans="1:29" s="20" customFormat="1" x14ac:dyDescent="0.25">
      <c r="A287" s="31">
        <f>'M&amp;R Stations'!A287</f>
        <v>39246</v>
      </c>
      <c r="B287" s="216">
        <v>2578</v>
      </c>
      <c r="C287" s="216">
        <v>0</v>
      </c>
      <c r="D287" s="216">
        <v>7698</v>
      </c>
      <c r="E287" s="216">
        <v>0</v>
      </c>
      <c r="F287" s="216">
        <v>0</v>
      </c>
      <c r="G287" s="216">
        <v>0</v>
      </c>
      <c r="H287" s="216">
        <v>0</v>
      </c>
      <c r="I287" s="216">
        <v>0</v>
      </c>
      <c r="J287" s="216">
        <v>12256</v>
      </c>
      <c r="K287" s="216">
        <v>0</v>
      </c>
      <c r="L287" s="216">
        <v>0</v>
      </c>
      <c r="M287" s="216">
        <v>0</v>
      </c>
      <c r="N287" s="216">
        <v>0</v>
      </c>
      <c r="O287" s="216">
        <v>0</v>
      </c>
      <c r="P287" s="216">
        <v>186</v>
      </c>
      <c r="Q287" s="216">
        <v>1901</v>
      </c>
      <c r="R287" s="216">
        <v>0</v>
      </c>
      <c r="S287" s="216">
        <v>16898</v>
      </c>
      <c r="T287" s="216">
        <v>0</v>
      </c>
      <c r="U287" s="216">
        <v>15169</v>
      </c>
      <c r="V287" s="216">
        <v>14592</v>
      </c>
      <c r="W287" s="216">
        <v>7233</v>
      </c>
      <c r="X287" s="216">
        <v>419</v>
      </c>
      <c r="Y287" s="216">
        <v>96950</v>
      </c>
      <c r="Z287" s="216">
        <v>0</v>
      </c>
      <c r="AA287" s="216">
        <v>17220</v>
      </c>
      <c r="AB287" s="216">
        <v>792</v>
      </c>
      <c r="AC287" s="105"/>
    </row>
    <row r="288" spans="1:29" s="20" customFormat="1" x14ac:dyDescent="0.25">
      <c r="A288" s="31">
        <f>'M&amp;R Stations'!A288</f>
        <v>39247</v>
      </c>
      <c r="B288" s="216">
        <v>2570</v>
      </c>
      <c r="C288" s="216">
        <v>0</v>
      </c>
      <c r="D288" s="216">
        <v>7636</v>
      </c>
      <c r="E288" s="216">
        <v>0</v>
      </c>
      <c r="F288" s="216">
        <v>0</v>
      </c>
      <c r="G288" s="216">
        <v>0</v>
      </c>
      <c r="H288" s="216">
        <v>0</v>
      </c>
      <c r="I288" s="216">
        <v>0</v>
      </c>
      <c r="J288" s="216">
        <v>12220</v>
      </c>
      <c r="K288" s="216">
        <v>0</v>
      </c>
      <c r="L288" s="216">
        <v>0</v>
      </c>
      <c r="M288" s="216">
        <v>0</v>
      </c>
      <c r="N288" s="216">
        <v>0</v>
      </c>
      <c r="O288" s="216">
        <v>0</v>
      </c>
      <c r="P288" s="216">
        <v>185</v>
      </c>
      <c r="Q288" s="216">
        <v>1918</v>
      </c>
      <c r="R288" s="216">
        <v>0</v>
      </c>
      <c r="S288" s="216">
        <v>17045</v>
      </c>
      <c r="T288" s="216">
        <v>0</v>
      </c>
      <c r="U288" s="216">
        <v>15301</v>
      </c>
      <c r="V288" s="216">
        <v>13866</v>
      </c>
      <c r="W288" s="216">
        <v>7296</v>
      </c>
      <c r="X288" s="216">
        <v>0</v>
      </c>
      <c r="Y288" s="216">
        <v>97794</v>
      </c>
      <c r="Z288" s="216">
        <v>0</v>
      </c>
      <c r="AA288" s="216">
        <v>17369</v>
      </c>
      <c r="AB288" s="216">
        <v>799</v>
      </c>
      <c r="AC288" s="105"/>
    </row>
    <row r="289" spans="1:29" s="20" customFormat="1" x14ac:dyDescent="0.25">
      <c r="A289" s="31">
        <f>'M&amp;R Stations'!A289</f>
        <v>39248</v>
      </c>
      <c r="B289" s="216">
        <v>2570</v>
      </c>
      <c r="C289" s="216">
        <v>0</v>
      </c>
      <c r="D289" s="216">
        <v>7695</v>
      </c>
      <c r="E289" s="216">
        <v>0</v>
      </c>
      <c r="F289" s="216">
        <v>0</v>
      </c>
      <c r="G289" s="216">
        <v>0</v>
      </c>
      <c r="H289" s="216">
        <v>0</v>
      </c>
      <c r="I289" s="216">
        <v>0</v>
      </c>
      <c r="J289" s="216">
        <v>12220</v>
      </c>
      <c r="K289" s="216">
        <v>0</v>
      </c>
      <c r="L289" s="216">
        <v>0</v>
      </c>
      <c r="M289" s="216">
        <v>0</v>
      </c>
      <c r="N289" s="216">
        <v>0</v>
      </c>
      <c r="O289" s="216">
        <v>0</v>
      </c>
      <c r="P289" s="216">
        <v>186</v>
      </c>
      <c r="Q289" s="216">
        <v>1910</v>
      </c>
      <c r="R289" s="216">
        <v>0</v>
      </c>
      <c r="S289" s="216">
        <v>16979</v>
      </c>
      <c r="T289" s="216">
        <v>0</v>
      </c>
      <c r="U289" s="216">
        <v>15242</v>
      </c>
      <c r="V289" s="216">
        <v>10916</v>
      </c>
      <c r="W289" s="216">
        <v>7268</v>
      </c>
      <c r="X289" s="216">
        <v>0</v>
      </c>
      <c r="Y289" s="216">
        <v>97417</v>
      </c>
      <c r="Z289" s="216">
        <v>0</v>
      </c>
      <c r="AA289" s="216">
        <v>17303</v>
      </c>
      <c r="AB289" s="216">
        <v>796</v>
      </c>
      <c r="AC289" s="105"/>
    </row>
    <row r="290" spans="1:29" s="20" customFormat="1" x14ac:dyDescent="0.25">
      <c r="A290" s="31">
        <f>'M&amp;R Stations'!A290</f>
        <v>39249</v>
      </c>
      <c r="B290" s="216">
        <v>2573</v>
      </c>
      <c r="C290" s="216">
        <v>0</v>
      </c>
      <c r="D290" s="216">
        <v>7762</v>
      </c>
      <c r="E290" s="216">
        <v>0</v>
      </c>
      <c r="F290" s="216">
        <v>0</v>
      </c>
      <c r="G290" s="216">
        <v>0</v>
      </c>
      <c r="H290" s="216">
        <v>0</v>
      </c>
      <c r="I290" s="216">
        <v>0</v>
      </c>
      <c r="J290" s="216">
        <v>12232</v>
      </c>
      <c r="K290" s="216">
        <v>0</v>
      </c>
      <c r="L290" s="216">
        <v>0</v>
      </c>
      <c r="M290" s="216">
        <v>0</v>
      </c>
      <c r="N290" s="216">
        <v>0</v>
      </c>
      <c r="O290" s="216">
        <v>0</v>
      </c>
      <c r="P290" s="216">
        <v>186</v>
      </c>
      <c r="Q290" s="216">
        <v>1910</v>
      </c>
      <c r="R290" s="216">
        <v>0</v>
      </c>
      <c r="S290" s="216">
        <v>16979</v>
      </c>
      <c r="T290" s="216">
        <v>0</v>
      </c>
      <c r="U290" s="216">
        <v>15242</v>
      </c>
      <c r="V290" s="216">
        <v>7828</v>
      </c>
      <c r="W290" s="216">
        <v>7268</v>
      </c>
      <c r="X290" s="216">
        <v>0</v>
      </c>
      <c r="Y290" s="216">
        <v>97972</v>
      </c>
      <c r="Z290" s="216">
        <v>0</v>
      </c>
      <c r="AA290" s="216">
        <v>17303</v>
      </c>
      <c r="AB290" s="216">
        <v>796</v>
      </c>
      <c r="AC290" s="105"/>
    </row>
    <row r="291" spans="1:29" s="20" customFormat="1" x14ac:dyDescent="0.25">
      <c r="A291" s="31">
        <f>'M&amp;R Stations'!A291</f>
        <v>39250</v>
      </c>
      <c r="B291" s="216">
        <v>2578</v>
      </c>
      <c r="C291" s="216">
        <v>0</v>
      </c>
      <c r="D291" s="216">
        <v>7787</v>
      </c>
      <c r="E291" s="216">
        <v>0</v>
      </c>
      <c r="F291" s="216">
        <v>0</v>
      </c>
      <c r="G291" s="216">
        <v>0</v>
      </c>
      <c r="H291" s="216">
        <v>0</v>
      </c>
      <c r="I291" s="216">
        <v>0</v>
      </c>
      <c r="J291" s="216">
        <v>12256</v>
      </c>
      <c r="K291" s="216">
        <v>0</v>
      </c>
      <c r="L291" s="216">
        <v>0</v>
      </c>
      <c r="M291" s="216">
        <v>0</v>
      </c>
      <c r="N291" s="216">
        <v>0</v>
      </c>
      <c r="O291" s="216">
        <v>0</v>
      </c>
      <c r="P291" s="216">
        <v>187</v>
      </c>
      <c r="Q291" s="216">
        <v>1912</v>
      </c>
      <c r="R291" s="216">
        <v>0</v>
      </c>
      <c r="S291" s="216">
        <v>16996</v>
      </c>
      <c r="T291" s="216">
        <v>0</v>
      </c>
      <c r="U291" s="216">
        <v>15257</v>
      </c>
      <c r="V291" s="216">
        <v>8826</v>
      </c>
      <c r="W291" s="216">
        <v>7275</v>
      </c>
      <c r="X291" s="216">
        <v>0</v>
      </c>
      <c r="Y291" s="216">
        <v>98067</v>
      </c>
      <c r="Z291" s="216">
        <v>0</v>
      </c>
      <c r="AA291" s="216">
        <v>17319</v>
      </c>
      <c r="AB291" s="216">
        <v>797</v>
      </c>
      <c r="AC291" s="105"/>
    </row>
    <row r="292" spans="1:29" s="20" customFormat="1" x14ac:dyDescent="0.25">
      <c r="A292" s="31">
        <f>'M&amp;R Stations'!A292</f>
        <v>39251</v>
      </c>
      <c r="B292" s="216">
        <v>2575</v>
      </c>
      <c r="C292" s="216">
        <v>0</v>
      </c>
      <c r="D292" s="216">
        <v>7750</v>
      </c>
      <c r="E292" s="216">
        <v>0</v>
      </c>
      <c r="F292" s="216">
        <v>0</v>
      </c>
      <c r="G292" s="216">
        <v>0</v>
      </c>
      <c r="H292" s="216">
        <v>0</v>
      </c>
      <c r="I292" s="216">
        <v>0</v>
      </c>
      <c r="J292" s="216">
        <v>12244</v>
      </c>
      <c r="K292" s="216">
        <v>0</v>
      </c>
      <c r="L292" s="216">
        <v>0</v>
      </c>
      <c r="M292" s="216">
        <v>0</v>
      </c>
      <c r="N292" s="216">
        <v>0</v>
      </c>
      <c r="O292" s="216">
        <v>0</v>
      </c>
      <c r="P292" s="216">
        <v>186</v>
      </c>
      <c r="Q292" s="216">
        <v>1897</v>
      </c>
      <c r="R292" s="216">
        <v>0</v>
      </c>
      <c r="S292" s="216">
        <v>16866</v>
      </c>
      <c r="T292" s="216">
        <v>0</v>
      </c>
      <c r="U292" s="216">
        <v>15140</v>
      </c>
      <c r="V292" s="216">
        <v>11617</v>
      </c>
      <c r="W292" s="216">
        <v>7219</v>
      </c>
      <c r="X292" s="216">
        <v>0</v>
      </c>
      <c r="Y292" s="216">
        <v>97316</v>
      </c>
      <c r="Z292" s="216">
        <v>0</v>
      </c>
      <c r="AA292" s="216">
        <v>17187</v>
      </c>
      <c r="AB292" s="216">
        <v>791</v>
      </c>
      <c r="AC292" s="105"/>
    </row>
    <row r="293" spans="1:29" s="20" customFormat="1" x14ac:dyDescent="0.25">
      <c r="A293" s="31">
        <f>'M&amp;R Stations'!A293</f>
        <v>39252</v>
      </c>
      <c r="B293" s="216">
        <v>2575</v>
      </c>
      <c r="C293" s="216">
        <v>0</v>
      </c>
      <c r="D293" s="216">
        <v>7760</v>
      </c>
      <c r="E293" s="216">
        <v>0</v>
      </c>
      <c r="F293" s="216">
        <v>0</v>
      </c>
      <c r="G293" s="216">
        <v>0</v>
      </c>
      <c r="H293" s="216">
        <v>0</v>
      </c>
      <c r="I293" s="216">
        <v>0</v>
      </c>
      <c r="J293" s="216">
        <v>12244</v>
      </c>
      <c r="K293" s="216">
        <v>0</v>
      </c>
      <c r="L293" s="216">
        <v>0</v>
      </c>
      <c r="M293" s="216">
        <v>0</v>
      </c>
      <c r="N293" s="216">
        <v>0</v>
      </c>
      <c r="O293" s="216">
        <v>0</v>
      </c>
      <c r="P293" s="216">
        <v>186</v>
      </c>
      <c r="Q293" s="216">
        <v>1905</v>
      </c>
      <c r="R293" s="216">
        <v>0</v>
      </c>
      <c r="S293" s="216">
        <v>16930</v>
      </c>
      <c r="T293" s="216">
        <v>0</v>
      </c>
      <c r="U293" s="216">
        <v>15198</v>
      </c>
      <c r="V293" s="216">
        <v>8177</v>
      </c>
      <c r="W293" s="216">
        <v>7247</v>
      </c>
      <c r="X293" s="216">
        <v>0</v>
      </c>
      <c r="Y293" s="216">
        <v>97690</v>
      </c>
      <c r="Z293" s="216">
        <v>0</v>
      </c>
      <c r="AA293" s="216">
        <v>17253</v>
      </c>
      <c r="AB293" s="216">
        <v>794</v>
      </c>
      <c r="AC293" s="105"/>
    </row>
    <row r="294" spans="1:29" s="20" customFormat="1" x14ac:dyDescent="0.25">
      <c r="A294" s="31">
        <f>'M&amp;R Stations'!A294</f>
        <v>39253</v>
      </c>
      <c r="B294" s="216">
        <v>2578</v>
      </c>
      <c r="C294" s="216">
        <v>0</v>
      </c>
      <c r="D294" s="216">
        <v>7757</v>
      </c>
      <c r="E294" s="216">
        <v>0</v>
      </c>
      <c r="F294" s="216">
        <v>0</v>
      </c>
      <c r="G294" s="216">
        <v>0</v>
      </c>
      <c r="H294" s="216">
        <v>0</v>
      </c>
      <c r="I294" s="216">
        <v>0</v>
      </c>
      <c r="J294" s="216">
        <v>12256</v>
      </c>
      <c r="K294" s="216">
        <v>0</v>
      </c>
      <c r="L294" s="216">
        <v>0</v>
      </c>
      <c r="M294" s="216">
        <v>0</v>
      </c>
      <c r="N294" s="216">
        <v>0</v>
      </c>
      <c r="O294" s="216">
        <v>0</v>
      </c>
      <c r="P294" s="216">
        <v>186</v>
      </c>
      <c r="Q294" s="216">
        <v>1903</v>
      </c>
      <c r="R294" s="216">
        <v>0</v>
      </c>
      <c r="S294" s="216">
        <v>16914</v>
      </c>
      <c r="T294" s="216">
        <v>0</v>
      </c>
      <c r="U294" s="216">
        <v>15184</v>
      </c>
      <c r="V294" s="216">
        <v>9184</v>
      </c>
      <c r="W294" s="216">
        <v>7240</v>
      </c>
      <c r="X294" s="216">
        <v>0</v>
      </c>
      <c r="Y294" s="216">
        <v>97596</v>
      </c>
      <c r="Z294" s="216">
        <v>0</v>
      </c>
      <c r="AA294" s="216">
        <v>17236</v>
      </c>
      <c r="AB294" s="216">
        <v>793</v>
      </c>
      <c r="AC294" s="105"/>
    </row>
    <row r="295" spans="1:29" s="20" customFormat="1" x14ac:dyDescent="0.25">
      <c r="A295" s="31">
        <f>'M&amp;R Stations'!A295</f>
        <v>39254</v>
      </c>
      <c r="B295" s="216">
        <v>2573</v>
      </c>
      <c r="C295" s="216">
        <v>0</v>
      </c>
      <c r="D295" s="216">
        <v>7732</v>
      </c>
      <c r="E295" s="216">
        <v>0</v>
      </c>
      <c r="F295" s="216">
        <v>0</v>
      </c>
      <c r="G295" s="216">
        <v>0</v>
      </c>
      <c r="H295" s="216">
        <v>0</v>
      </c>
      <c r="I295" s="216">
        <v>0</v>
      </c>
      <c r="J295" s="216">
        <v>12232</v>
      </c>
      <c r="K295" s="216">
        <v>0</v>
      </c>
      <c r="L295" s="216">
        <v>0</v>
      </c>
      <c r="M295" s="216">
        <v>0</v>
      </c>
      <c r="N295" s="216">
        <v>0</v>
      </c>
      <c r="O295" s="216">
        <v>0</v>
      </c>
      <c r="P295" s="216">
        <v>186</v>
      </c>
      <c r="Q295" s="216">
        <v>1901</v>
      </c>
      <c r="R295" s="216">
        <v>0</v>
      </c>
      <c r="S295" s="216">
        <v>16898</v>
      </c>
      <c r="T295" s="216">
        <v>0</v>
      </c>
      <c r="U295" s="216">
        <v>15169</v>
      </c>
      <c r="V295" s="216">
        <v>7632</v>
      </c>
      <c r="W295" s="216">
        <v>7233</v>
      </c>
      <c r="X295" s="216">
        <v>0</v>
      </c>
      <c r="Y295" s="216">
        <v>97502</v>
      </c>
      <c r="Z295" s="216">
        <v>0</v>
      </c>
      <c r="AA295" s="216">
        <v>17220</v>
      </c>
      <c r="AB295" s="216">
        <v>792</v>
      </c>
      <c r="AC295" s="105"/>
    </row>
    <row r="296" spans="1:29" s="20" customFormat="1" x14ac:dyDescent="0.25">
      <c r="A296" s="31">
        <f>'M&amp;R Stations'!A296</f>
        <v>39255</v>
      </c>
      <c r="B296" s="216">
        <v>2565</v>
      </c>
      <c r="C296" s="216">
        <v>0</v>
      </c>
      <c r="D296" s="216">
        <v>7699</v>
      </c>
      <c r="E296" s="216">
        <v>0</v>
      </c>
      <c r="F296" s="216">
        <v>0</v>
      </c>
      <c r="G296" s="216">
        <v>0</v>
      </c>
      <c r="H296" s="216">
        <v>0</v>
      </c>
      <c r="I296" s="216">
        <v>0</v>
      </c>
      <c r="J296" s="216">
        <v>12197</v>
      </c>
      <c r="K296" s="216">
        <v>0</v>
      </c>
      <c r="L296" s="216">
        <v>0</v>
      </c>
      <c r="M296" s="216">
        <v>0</v>
      </c>
      <c r="N296" s="216">
        <v>0</v>
      </c>
      <c r="O296" s="216">
        <v>0</v>
      </c>
      <c r="P296" s="216">
        <v>185</v>
      </c>
      <c r="Q296" s="216">
        <v>1903</v>
      </c>
      <c r="R296" s="216">
        <v>0</v>
      </c>
      <c r="S296" s="216">
        <v>16914</v>
      </c>
      <c r="T296" s="216">
        <v>0</v>
      </c>
      <c r="U296" s="216">
        <v>15184</v>
      </c>
      <c r="V296" s="216">
        <v>9263</v>
      </c>
      <c r="W296" s="216">
        <v>7240</v>
      </c>
      <c r="X296" s="216">
        <v>0</v>
      </c>
      <c r="Y296" s="216">
        <v>97596</v>
      </c>
      <c r="Z296" s="216">
        <v>0</v>
      </c>
      <c r="AA296" s="216">
        <v>17236</v>
      </c>
      <c r="AB296" s="216">
        <v>793</v>
      </c>
      <c r="AC296" s="105"/>
    </row>
    <row r="297" spans="1:29" s="20" customFormat="1" x14ac:dyDescent="0.25">
      <c r="A297" s="31">
        <f>'M&amp;R Stations'!A297</f>
        <v>39256</v>
      </c>
      <c r="B297" s="216">
        <v>2573</v>
      </c>
      <c r="C297" s="216">
        <v>0</v>
      </c>
      <c r="D297" s="216">
        <v>7752</v>
      </c>
      <c r="E297" s="216">
        <v>0</v>
      </c>
      <c r="F297" s="216">
        <v>0</v>
      </c>
      <c r="G297" s="216">
        <v>0</v>
      </c>
      <c r="H297" s="216">
        <v>0</v>
      </c>
      <c r="I297" s="216">
        <v>0</v>
      </c>
      <c r="J297" s="216">
        <v>12232</v>
      </c>
      <c r="K297" s="216">
        <v>0</v>
      </c>
      <c r="L297" s="216">
        <v>0</v>
      </c>
      <c r="M297" s="216">
        <v>0</v>
      </c>
      <c r="N297" s="216">
        <v>0</v>
      </c>
      <c r="O297" s="216">
        <v>0</v>
      </c>
      <c r="P297" s="216">
        <v>186</v>
      </c>
      <c r="Q297" s="216">
        <v>1910</v>
      </c>
      <c r="R297" s="216">
        <v>0</v>
      </c>
      <c r="S297" s="216">
        <v>16979</v>
      </c>
      <c r="T297" s="216">
        <v>0</v>
      </c>
      <c r="U297" s="216">
        <v>15242</v>
      </c>
      <c r="V297" s="216">
        <v>11092</v>
      </c>
      <c r="W297" s="216">
        <v>7268</v>
      </c>
      <c r="X297" s="216">
        <v>0</v>
      </c>
      <c r="Y297" s="216">
        <v>96045</v>
      </c>
      <c r="Z297" s="216">
        <v>0</v>
      </c>
      <c r="AA297" s="216">
        <v>17303</v>
      </c>
      <c r="AB297" s="216">
        <v>796</v>
      </c>
      <c r="AC297" s="105"/>
    </row>
    <row r="298" spans="1:29" s="20" customFormat="1" x14ac:dyDescent="0.25">
      <c r="A298" s="31">
        <f>'M&amp;R Stations'!A298</f>
        <v>39257</v>
      </c>
      <c r="B298" s="216">
        <v>2573</v>
      </c>
      <c r="C298" s="216">
        <v>0</v>
      </c>
      <c r="D298" s="216">
        <v>7771</v>
      </c>
      <c r="E298" s="216">
        <v>0</v>
      </c>
      <c r="F298" s="216">
        <v>0</v>
      </c>
      <c r="G298" s="216">
        <v>0</v>
      </c>
      <c r="H298" s="216">
        <v>0</v>
      </c>
      <c r="I298" s="216">
        <v>0</v>
      </c>
      <c r="J298" s="216">
        <v>12232</v>
      </c>
      <c r="K298" s="216">
        <v>0</v>
      </c>
      <c r="L298" s="216">
        <v>0</v>
      </c>
      <c r="M298" s="216">
        <v>0</v>
      </c>
      <c r="N298" s="216">
        <v>0</v>
      </c>
      <c r="O298" s="216">
        <v>0</v>
      </c>
      <c r="P298" s="216">
        <v>186</v>
      </c>
      <c r="Q298" s="216">
        <v>1910</v>
      </c>
      <c r="R298" s="216">
        <v>0</v>
      </c>
      <c r="S298" s="216">
        <v>16979</v>
      </c>
      <c r="T298" s="216">
        <v>0</v>
      </c>
      <c r="U298" s="216">
        <v>15242</v>
      </c>
      <c r="V298" s="216">
        <v>11681</v>
      </c>
      <c r="W298" s="216">
        <v>7268</v>
      </c>
      <c r="X298" s="216">
        <v>0</v>
      </c>
      <c r="Y298" s="216">
        <v>96045</v>
      </c>
      <c r="Z298" s="216">
        <v>0</v>
      </c>
      <c r="AA298" s="216">
        <v>17303</v>
      </c>
      <c r="AB298" s="216">
        <v>796</v>
      </c>
      <c r="AC298" s="105"/>
    </row>
    <row r="299" spans="1:29" s="20" customFormat="1" x14ac:dyDescent="0.25">
      <c r="A299" s="31">
        <f>'M&amp;R Stations'!A299</f>
        <v>39258</v>
      </c>
      <c r="B299" s="216">
        <v>2573</v>
      </c>
      <c r="C299" s="216">
        <v>0</v>
      </c>
      <c r="D299" s="216">
        <v>7750</v>
      </c>
      <c r="E299" s="216">
        <v>0</v>
      </c>
      <c r="F299" s="216">
        <v>0</v>
      </c>
      <c r="G299" s="216">
        <v>0</v>
      </c>
      <c r="H299" s="216">
        <v>0</v>
      </c>
      <c r="I299" s="216">
        <v>0</v>
      </c>
      <c r="J299" s="216">
        <v>12232</v>
      </c>
      <c r="K299" s="216">
        <v>0</v>
      </c>
      <c r="L299" s="216">
        <v>0</v>
      </c>
      <c r="M299" s="216">
        <v>0</v>
      </c>
      <c r="N299" s="216">
        <v>0</v>
      </c>
      <c r="O299" s="216">
        <v>0</v>
      </c>
      <c r="P299" s="216">
        <v>186</v>
      </c>
      <c r="Q299" s="216">
        <v>1918</v>
      </c>
      <c r="R299" s="216">
        <v>0</v>
      </c>
      <c r="S299" s="216">
        <v>17045</v>
      </c>
      <c r="T299" s="216">
        <v>0</v>
      </c>
      <c r="U299" s="216">
        <v>15301</v>
      </c>
      <c r="V299" s="216">
        <v>13904</v>
      </c>
      <c r="W299" s="216">
        <v>7296</v>
      </c>
      <c r="X299" s="216">
        <v>0</v>
      </c>
      <c r="Y299" s="216">
        <v>96417</v>
      </c>
      <c r="Z299" s="216">
        <v>0</v>
      </c>
      <c r="AA299" s="216">
        <v>17369</v>
      </c>
      <c r="AB299" s="216">
        <v>799</v>
      </c>
      <c r="AC299" s="105"/>
    </row>
    <row r="300" spans="1:29" s="20" customFormat="1" x14ac:dyDescent="0.25">
      <c r="A300" s="31">
        <f>'M&amp;R Stations'!A300</f>
        <v>39259</v>
      </c>
      <c r="B300" s="216">
        <v>2568</v>
      </c>
      <c r="C300" s="216">
        <v>0</v>
      </c>
      <c r="D300" s="216">
        <v>7727</v>
      </c>
      <c r="E300" s="216">
        <v>0</v>
      </c>
      <c r="F300" s="216">
        <v>0</v>
      </c>
      <c r="G300" s="216">
        <v>0</v>
      </c>
      <c r="H300" s="216">
        <v>0</v>
      </c>
      <c r="I300" s="216">
        <v>0</v>
      </c>
      <c r="J300" s="216">
        <v>12208</v>
      </c>
      <c r="K300" s="216">
        <v>0</v>
      </c>
      <c r="L300" s="216">
        <v>0</v>
      </c>
      <c r="M300" s="216">
        <v>0</v>
      </c>
      <c r="N300" s="216">
        <v>0</v>
      </c>
      <c r="O300" s="216">
        <v>0</v>
      </c>
      <c r="P300" s="216">
        <v>186</v>
      </c>
      <c r="Q300" s="216">
        <v>1919</v>
      </c>
      <c r="R300" s="216">
        <v>0</v>
      </c>
      <c r="S300" s="216">
        <v>17062</v>
      </c>
      <c r="T300" s="216">
        <v>0</v>
      </c>
      <c r="U300" s="216">
        <v>15316</v>
      </c>
      <c r="V300" s="216">
        <v>10838</v>
      </c>
      <c r="W300" s="216">
        <v>7303</v>
      </c>
      <c r="X300" s="216">
        <v>0</v>
      </c>
      <c r="Y300" s="216">
        <v>96510</v>
      </c>
      <c r="Z300" s="216">
        <v>0</v>
      </c>
      <c r="AA300" s="216">
        <v>17386</v>
      </c>
      <c r="AB300" s="216">
        <v>800</v>
      </c>
      <c r="AC300" s="105"/>
    </row>
    <row r="301" spans="1:29" s="20" customFormat="1" x14ac:dyDescent="0.25">
      <c r="A301" s="31">
        <f>'M&amp;R Stations'!A301</f>
        <v>39260</v>
      </c>
      <c r="B301" s="216">
        <v>2573</v>
      </c>
      <c r="C301" s="216">
        <v>0</v>
      </c>
      <c r="D301" s="216">
        <v>7755</v>
      </c>
      <c r="E301" s="216">
        <v>0</v>
      </c>
      <c r="F301" s="216">
        <v>0</v>
      </c>
      <c r="G301" s="216">
        <v>0</v>
      </c>
      <c r="H301" s="216">
        <v>0</v>
      </c>
      <c r="I301" s="216">
        <v>0</v>
      </c>
      <c r="J301" s="216">
        <v>12232</v>
      </c>
      <c r="K301" s="216">
        <v>0</v>
      </c>
      <c r="L301" s="216">
        <v>0</v>
      </c>
      <c r="M301" s="216">
        <v>0</v>
      </c>
      <c r="N301" s="216">
        <v>0</v>
      </c>
      <c r="O301" s="216">
        <v>0</v>
      </c>
      <c r="P301" s="216">
        <v>186</v>
      </c>
      <c r="Q301" s="216">
        <v>1914</v>
      </c>
      <c r="R301" s="216">
        <v>0</v>
      </c>
      <c r="S301" s="216">
        <v>17012</v>
      </c>
      <c r="T301" s="216">
        <v>0</v>
      </c>
      <c r="U301" s="216">
        <v>15272</v>
      </c>
      <c r="V301" s="216">
        <v>7572</v>
      </c>
      <c r="W301" s="216">
        <v>7282</v>
      </c>
      <c r="X301" s="216">
        <v>0</v>
      </c>
      <c r="Y301" s="216">
        <v>96231</v>
      </c>
      <c r="Z301" s="216">
        <v>0</v>
      </c>
      <c r="AA301" s="216">
        <v>17336</v>
      </c>
      <c r="AB301" s="216">
        <v>798</v>
      </c>
      <c r="AC301" s="105"/>
    </row>
    <row r="302" spans="1:29" s="20" customFormat="1" x14ac:dyDescent="0.25">
      <c r="A302" s="31">
        <f>'M&amp;R Stations'!A302</f>
        <v>39261</v>
      </c>
      <c r="B302" s="216">
        <v>2570</v>
      </c>
      <c r="C302" s="216">
        <v>0</v>
      </c>
      <c r="D302" s="216">
        <v>7747</v>
      </c>
      <c r="E302" s="216">
        <v>0</v>
      </c>
      <c r="F302" s="216">
        <v>0</v>
      </c>
      <c r="G302" s="216">
        <v>0</v>
      </c>
      <c r="H302" s="216">
        <v>0</v>
      </c>
      <c r="I302" s="216">
        <v>0</v>
      </c>
      <c r="J302" s="216">
        <v>12220</v>
      </c>
      <c r="K302" s="216">
        <v>0</v>
      </c>
      <c r="L302" s="216">
        <v>0</v>
      </c>
      <c r="M302" s="216">
        <v>0</v>
      </c>
      <c r="N302" s="216">
        <v>0</v>
      </c>
      <c r="O302" s="216">
        <v>0</v>
      </c>
      <c r="P302" s="216">
        <v>186</v>
      </c>
      <c r="Q302" s="216">
        <v>1914</v>
      </c>
      <c r="R302" s="216">
        <v>0</v>
      </c>
      <c r="S302" s="216">
        <v>17012</v>
      </c>
      <c r="T302" s="216">
        <v>0</v>
      </c>
      <c r="U302" s="216">
        <v>15272</v>
      </c>
      <c r="V302" s="216">
        <v>8206</v>
      </c>
      <c r="W302" s="216">
        <v>7282</v>
      </c>
      <c r="X302" s="216">
        <v>0</v>
      </c>
      <c r="Y302" s="216">
        <v>96231</v>
      </c>
      <c r="Z302" s="216">
        <v>0</v>
      </c>
      <c r="AA302" s="216">
        <v>17336</v>
      </c>
      <c r="AB302" s="216">
        <v>798</v>
      </c>
      <c r="AC302" s="105"/>
    </row>
    <row r="303" spans="1:29" s="20" customFormat="1" x14ac:dyDescent="0.25">
      <c r="A303" s="31">
        <f>'M&amp;R Stations'!A303</f>
        <v>39262</v>
      </c>
      <c r="B303" s="216">
        <v>2573</v>
      </c>
      <c r="C303" s="216">
        <v>0</v>
      </c>
      <c r="D303" s="216">
        <v>7706</v>
      </c>
      <c r="E303" s="216">
        <v>0</v>
      </c>
      <c r="F303" s="216">
        <v>0</v>
      </c>
      <c r="G303" s="216">
        <v>0</v>
      </c>
      <c r="H303" s="216">
        <v>0</v>
      </c>
      <c r="I303" s="216">
        <v>0</v>
      </c>
      <c r="J303" s="216">
        <v>12232</v>
      </c>
      <c r="K303" s="216">
        <v>0</v>
      </c>
      <c r="L303" s="216">
        <v>0</v>
      </c>
      <c r="M303" s="216">
        <v>0</v>
      </c>
      <c r="N303" s="216">
        <v>0</v>
      </c>
      <c r="O303" s="216">
        <v>0</v>
      </c>
      <c r="P303" s="216">
        <v>186</v>
      </c>
      <c r="Q303" s="216">
        <v>1910</v>
      </c>
      <c r="R303" s="216">
        <v>0</v>
      </c>
      <c r="S303" s="216">
        <v>16979</v>
      </c>
      <c r="T303" s="216">
        <v>0</v>
      </c>
      <c r="U303" s="216">
        <v>15265</v>
      </c>
      <c r="V303" s="216">
        <v>8401</v>
      </c>
      <c r="W303" s="216">
        <v>7268</v>
      </c>
      <c r="X303" s="216">
        <v>0</v>
      </c>
      <c r="Y303" s="216">
        <v>96045</v>
      </c>
      <c r="Z303" s="216">
        <v>0</v>
      </c>
      <c r="AA303" s="216">
        <v>17303</v>
      </c>
      <c r="AB303" s="216">
        <v>796</v>
      </c>
      <c r="AC303" s="105"/>
    </row>
    <row r="304" spans="1:29" s="20" customFormat="1" x14ac:dyDescent="0.25">
      <c r="A304" s="31">
        <f>'M&amp;R Stations'!A304</f>
        <v>39263</v>
      </c>
      <c r="B304" s="216">
        <v>2568</v>
      </c>
      <c r="C304" s="216">
        <v>0</v>
      </c>
      <c r="D304" s="216">
        <v>7760</v>
      </c>
      <c r="E304" s="216">
        <v>0</v>
      </c>
      <c r="F304" s="216">
        <v>0</v>
      </c>
      <c r="G304" s="216">
        <v>0</v>
      </c>
      <c r="H304" s="216">
        <v>0</v>
      </c>
      <c r="I304" s="216">
        <v>0</v>
      </c>
      <c r="J304" s="216">
        <v>12208</v>
      </c>
      <c r="K304" s="216">
        <v>0</v>
      </c>
      <c r="L304" s="216">
        <v>0</v>
      </c>
      <c r="M304" s="216">
        <v>0</v>
      </c>
      <c r="N304" s="216">
        <v>0</v>
      </c>
      <c r="O304" s="216">
        <v>0</v>
      </c>
      <c r="P304" s="216">
        <v>186</v>
      </c>
      <c r="Q304" s="216">
        <v>1910</v>
      </c>
      <c r="R304" s="216">
        <v>0</v>
      </c>
      <c r="S304" s="216">
        <v>16979</v>
      </c>
      <c r="T304" s="216">
        <v>0</v>
      </c>
      <c r="U304" s="216">
        <v>12435</v>
      </c>
      <c r="V304" s="216">
        <v>2796</v>
      </c>
      <c r="W304" s="216">
        <v>7268</v>
      </c>
      <c r="X304" s="216">
        <v>0</v>
      </c>
      <c r="Y304" s="216">
        <v>96045</v>
      </c>
      <c r="Z304" s="216">
        <v>0</v>
      </c>
      <c r="AA304" s="216">
        <v>17303</v>
      </c>
      <c r="AB304" s="216">
        <v>771</v>
      </c>
      <c r="AC304" s="105"/>
    </row>
    <row r="305" spans="1:29" s="20" customFormat="1" x14ac:dyDescent="0.25">
      <c r="A305" s="31">
        <f>'M&amp;R Stations'!A305</f>
        <v>39264</v>
      </c>
      <c r="B305" s="216">
        <v>2578</v>
      </c>
      <c r="C305" s="216">
        <v>0</v>
      </c>
      <c r="D305" s="216">
        <v>13230</v>
      </c>
      <c r="E305" s="216">
        <v>0</v>
      </c>
      <c r="F305" s="216">
        <v>0</v>
      </c>
      <c r="G305" s="216">
        <v>0</v>
      </c>
      <c r="H305" s="216">
        <v>0</v>
      </c>
      <c r="I305" s="216">
        <v>0</v>
      </c>
      <c r="J305" s="216">
        <v>6744</v>
      </c>
      <c r="K305" s="216">
        <v>0</v>
      </c>
      <c r="L305" s="216">
        <v>0</v>
      </c>
      <c r="M305" s="216">
        <v>0</v>
      </c>
      <c r="N305" s="216">
        <v>0</v>
      </c>
      <c r="O305" s="216">
        <v>0</v>
      </c>
      <c r="P305" s="216">
        <v>186</v>
      </c>
      <c r="Q305" s="216">
        <v>1908</v>
      </c>
      <c r="R305" s="216">
        <v>0</v>
      </c>
      <c r="S305" s="216">
        <v>16963</v>
      </c>
      <c r="T305" s="216">
        <v>0</v>
      </c>
      <c r="U305" s="216">
        <v>15228</v>
      </c>
      <c r="V305" s="216">
        <v>0</v>
      </c>
      <c r="W305" s="216">
        <v>7261</v>
      </c>
      <c r="X305" s="216">
        <v>3421</v>
      </c>
      <c r="Y305" s="216">
        <v>99803</v>
      </c>
      <c r="Z305" s="216">
        <v>0</v>
      </c>
      <c r="AA305" s="216">
        <v>17286</v>
      </c>
      <c r="AB305" s="216">
        <v>795</v>
      </c>
      <c r="AC305" s="105"/>
    </row>
    <row r="306" spans="1:29" s="20" customFormat="1" x14ac:dyDescent="0.25">
      <c r="A306" s="31">
        <f>'M&amp;R Stations'!A306</f>
        <v>39265</v>
      </c>
      <c r="B306" s="216">
        <v>2578</v>
      </c>
      <c r="C306" s="216">
        <v>0</v>
      </c>
      <c r="D306" s="216">
        <v>13225</v>
      </c>
      <c r="E306" s="216">
        <v>0</v>
      </c>
      <c r="F306" s="216">
        <v>0</v>
      </c>
      <c r="G306" s="216">
        <v>0</v>
      </c>
      <c r="H306" s="216">
        <v>0</v>
      </c>
      <c r="I306" s="216">
        <v>0</v>
      </c>
      <c r="J306" s="216">
        <v>6744</v>
      </c>
      <c r="K306" s="216">
        <v>0</v>
      </c>
      <c r="L306" s="216">
        <v>0</v>
      </c>
      <c r="M306" s="216">
        <v>0</v>
      </c>
      <c r="N306" s="216">
        <v>0</v>
      </c>
      <c r="O306" s="216">
        <v>0</v>
      </c>
      <c r="P306" s="216">
        <v>186</v>
      </c>
      <c r="Q306" s="216">
        <v>1907</v>
      </c>
      <c r="R306" s="216">
        <v>0</v>
      </c>
      <c r="S306" s="216">
        <v>18049</v>
      </c>
      <c r="T306" s="216">
        <v>0</v>
      </c>
      <c r="U306" s="216">
        <v>15213</v>
      </c>
      <c r="V306" s="216">
        <v>0</v>
      </c>
      <c r="W306" s="216">
        <v>7254</v>
      </c>
      <c r="X306" s="216">
        <v>0</v>
      </c>
      <c r="Y306" s="216">
        <v>99707</v>
      </c>
      <c r="Z306" s="216">
        <v>0</v>
      </c>
      <c r="AA306" s="216">
        <v>17269</v>
      </c>
      <c r="AB306" s="216">
        <v>836</v>
      </c>
      <c r="AC306" s="105"/>
    </row>
    <row r="307" spans="1:29" s="20" customFormat="1" x14ac:dyDescent="0.25">
      <c r="A307" s="31">
        <f>'M&amp;R Stations'!A307</f>
        <v>39266</v>
      </c>
      <c r="B307" s="216">
        <v>2578</v>
      </c>
      <c r="C307" s="216">
        <v>0</v>
      </c>
      <c r="D307" s="216">
        <v>13230</v>
      </c>
      <c r="E307" s="216">
        <v>0</v>
      </c>
      <c r="F307" s="216">
        <v>0</v>
      </c>
      <c r="G307" s="216">
        <v>0</v>
      </c>
      <c r="H307" s="216">
        <v>0</v>
      </c>
      <c r="I307" s="216">
        <v>0</v>
      </c>
      <c r="J307" s="216">
        <v>6779</v>
      </c>
      <c r="K307" s="216">
        <v>0</v>
      </c>
      <c r="L307" s="216">
        <v>0</v>
      </c>
      <c r="M307" s="216">
        <v>0</v>
      </c>
      <c r="N307" s="216">
        <v>0</v>
      </c>
      <c r="O307" s="216">
        <v>0</v>
      </c>
      <c r="P307" s="216">
        <v>186</v>
      </c>
      <c r="Q307" s="216">
        <v>1905</v>
      </c>
      <c r="R307" s="216">
        <v>0</v>
      </c>
      <c r="S307" s="216">
        <v>20633</v>
      </c>
      <c r="T307" s="216">
        <v>0</v>
      </c>
      <c r="U307" s="216">
        <v>15198</v>
      </c>
      <c r="V307" s="216">
        <v>0</v>
      </c>
      <c r="W307" s="216">
        <v>7247</v>
      </c>
      <c r="X307" s="216">
        <v>0</v>
      </c>
      <c r="Y307" s="216">
        <v>96729</v>
      </c>
      <c r="Z307" s="216">
        <v>0</v>
      </c>
      <c r="AA307" s="216">
        <v>17253</v>
      </c>
      <c r="AB307" s="216">
        <v>934</v>
      </c>
      <c r="AC307" s="105"/>
    </row>
    <row r="308" spans="1:29" s="20" customFormat="1" x14ac:dyDescent="0.25">
      <c r="A308" s="31">
        <f>'M&amp;R Stations'!A308</f>
        <v>39267</v>
      </c>
      <c r="B308" s="216">
        <v>2578</v>
      </c>
      <c r="C308" s="216">
        <v>0</v>
      </c>
      <c r="D308" s="216">
        <v>13220</v>
      </c>
      <c r="E308" s="216">
        <v>0</v>
      </c>
      <c r="F308" s="216">
        <v>0</v>
      </c>
      <c r="G308" s="216">
        <v>0</v>
      </c>
      <c r="H308" s="216">
        <v>0</v>
      </c>
      <c r="I308" s="216">
        <v>0</v>
      </c>
      <c r="J308" s="216">
        <v>6779</v>
      </c>
      <c r="K308" s="216">
        <v>0</v>
      </c>
      <c r="L308" s="216">
        <v>0</v>
      </c>
      <c r="M308" s="216">
        <v>0</v>
      </c>
      <c r="N308" s="216">
        <v>0</v>
      </c>
      <c r="O308" s="216">
        <v>0</v>
      </c>
      <c r="P308" s="216">
        <v>186</v>
      </c>
      <c r="Q308" s="216">
        <v>1910</v>
      </c>
      <c r="R308" s="216">
        <v>0</v>
      </c>
      <c r="S308" s="216">
        <v>18321</v>
      </c>
      <c r="T308" s="216">
        <v>0</v>
      </c>
      <c r="U308" s="216">
        <v>15242</v>
      </c>
      <c r="V308" s="216">
        <v>0</v>
      </c>
      <c r="W308" s="216">
        <v>7268</v>
      </c>
      <c r="X308" s="216">
        <v>0</v>
      </c>
      <c r="Y308" s="216">
        <v>97009</v>
      </c>
      <c r="Z308" s="216">
        <v>0</v>
      </c>
      <c r="AA308" s="216">
        <v>17303</v>
      </c>
      <c r="AB308" s="216">
        <v>847</v>
      </c>
      <c r="AC308" s="105"/>
    </row>
    <row r="309" spans="1:29" s="20" customFormat="1" x14ac:dyDescent="0.25">
      <c r="A309" s="31">
        <f>'M&amp;R Stations'!A309</f>
        <v>39268</v>
      </c>
      <c r="B309" s="216">
        <v>2578</v>
      </c>
      <c r="C309" s="216">
        <v>0</v>
      </c>
      <c r="D309" s="216">
        <v>13175</v>
      </c>
      <c r="E309" s="216">
        <v>0</v>
      </c>
      <c r="F309" s="216">
        <v>0</v>
      </c>
      <c r="G309" s="216">
        <v>0</v>
      </c>
      <c r="H309" s="216">
        <v>0</v>
      </c>
      <c r="I309" s="216">
        <v>0</v>
      </c>
      <c r="J309" s="216">
        <v>6794</v>
      </c>
      <c r="K309" s="216">
        <v>0</v>
      </c>
      <c r="L309" s="216">
        <v>0</v>
      </c>
      <c r="M309" s="216">
        <v>0</v>
      </c>
      <c r="N309" s="216">
        <v>0</v>
      </c>
      <c r="O309" s="216">
        <v>0</v>
      </c>
      <c r="P309" s="216">
        <v>186</v>
      </c>
      <c r="Q309" s="216">
        <v>1914</v>
      </c>
      <c r="R309" s="216">
        <v>0</v>
      </c>
      <c r="S309" s="216">
        <v>17012</v>
      </c>
      <c r="T309" s="216">
        <v>0</v>
      </c>
      <c r="U309" s="216">
        <v>15272</v>
      </c>
      <c r="V309" s="216">
        <v>0</v>
      </c>
      <c r="W309" s="216">
        <v>7282</v>
      </c>
      <c r="X309" s="216">
        <v>2431</v>
      </c>
      <c r="Y309" s="216">
        <v>97196</v>
      </c>
      <c r="Z309" s="216">
        <v>0</v>
      </c>
      <c r="AA309" s="216">
        <v>17336</v>
      </c>
      <c r="AB309" s="216">
        <v>798</v>
      </c>
      <c r="AC309" s="105"/>
    </row>
    <row r="310" spans="1:29" s="20" customFormat="1" x14ac:dyDescent="0.25">
      <c r="A310" s="31">
        <f>'M&amp;R Stations'!A310</f>
        <v>39269</v>
      </c>
      <c r="B310" s="216">
        <v>2575</v>
      </c>
      <c r="C310" s="216">
        <v>0</v>
      </c>
      <c r="D310" s="216">
        <v>13162</v>
      </c>
      <c r="E310" s="216">
        <v>0</v>
      </c>
      <c r="F310" s="216">
        <v>0</v>
      </c>
      <c r="G310" s="216">
        <v>0</v>
      </c>
      <c r="H310" s="216">
        <v>0</v>
      </c>
      <c r="I310" s="216">
        <v>0</v>
      </c>
      <c r="J310" s="216">
        <v>6836</v>
      </c>
      <c r="K310" s="216">
        <v>0</v>
      </c>
      <c r="L310" s="216">
        <v>0</v>
      </c>
      <c r="M310" s="216">
        <v>0</v>
      </c>
      <c r="N310" s="216">
        <v>0</v>
      </c>
      <c r="O310" s="216">
        <v>0</v>
      </c>
      <c r="P310" s="216">
        <v>186</v>
      </c>
      <c r="Q310" s="216">
        <v>1912</v>
      </c>
      <c r="R310" s="216">
        <v>0</v>
      </c>
      <c r="S310" s="216">
        <v>16996</v>
      </c>
      <c r="T310" s="216">
        <v>0</v>
      </c>
      <c r="U310" s="216">
        <v>15257</v>
      </c>
      <c r="V310" s="216">
        <v>0</v>
      </c>
      <c r="W310" s="216">
        <v>7275</v>
      </c>
      <c r="X310" s="216">
        <v>4337</v>
      </c>
      <c r="Y310" s="216">
        <v>92763</v>
      </c>
      <c r="Z310" s="216">
        <v>0</v>
      </c>
      <c r="AA310" s="216">
        <v>17319</v>
      </c>
      <c r="AB310" s="216">
        <v>797</v>
      </c>
      <c r="AC310" s="105"/>
    </row>
    <row r="311" spans="1:29" s="20" customFormat="1" x14ac:dyDescent="0.25">
      <c r="A311" s="31">
        <f>'M&amp;R Stations'!A311</f>
        <v>39270</v>
      </c>
      <c r="B311" s="216">
        <v>2580</v>
      </c>
      <c r="C311" s="216">
        <v>0</v>
      </c>
      <c r="D311" s="216">
        <v>13188</v>
      </c>
      <c r="E311" s="216">
        <v>0</v>
      </c>
      <c r="F311" s="216">
        <v>0</v>
      </c>
      <c r="G311" s="216">
        <v>0</v>
      </c>
      <c r="H311" s="216">
        <v>0</v>
      </c>
      <c r="I311" s="216">
        <v>0</v>
      </c>
      <c r="J311" s="216">
        <v>6880</v>
      </c>
      <c r="K311" s="216">
        <v>0</v>
      </c>
      <c r="L311" s="216">
        <v>0</v>
      </c>
      <c r="M311" s="216">
        <v>0</v>
      </c>
      <c r="N311" s="216">
        <v>0</v>
      </c>
      <c r="O311" s="216">
        <v>0</v>
      </c>
      <c r="P311" s="216">
        <v>187</v>
      </c>
      <c r="Q311" s="216">
        <v>1914</v>
      </c>
      <c r="R311" s="216">
        <v>0</v>
      </c>
      <c r="S311" s="216">
        <v>17012</v>
      </c>
      <c r="T311" s="216">
        <v>0</v>
      </c>
      <c r="U311" s="216">
        <v>15272</v>
      </c>
      <c r="V311" s="216">
        <v>0</v>
      </c>
      <c r="W311" s="216">
        <v>7282</v>
      </c>
      <c r="X311" s="216">
        <v>7282</v>
      </c>
      <c r="Y311" s="216">
        <v>92852</v>
      </c>
      <c r="Z311" s="216">
        <v>0</v>
      </c>
      <c r="AA311" s="216">
        <v>17336</v>
      </c>
      <c r="AB311" s="216">
        <v>798</v>
      </c>
      <c r="AC311" s="105"/>
    </row>
    <row r="312" spans="1:29" s="20" customFormat="1" x14ac:dyDescent="0.25">
      <c r="A312" s="31">
        <f>'M&amp;R Stations'!A312</f>
        <v>39271</v>
      </c>
      <c r="B312" s="216">
        <v>2565</v>
      </c>
      <c r="C312" s="216">
        <v>0</v>
      </c>
      <c r="D312" s="216">
        <v>13112</v>
      </c>
      <c r="E312" s="216">
        <v>0</v>
      </c>
      <c r="F312" s="216">
        <v>0</v>
      </c>
      <c r="G312" s="216">
        <v>0</v>
      </c>
      <c r="H312" s="216">
        <v>0</v>
      </c>
      <c r="I312" s="216">
        <v>0</v>
      </c>
      <c r="J312" s="216">
        <v>6840</v>
      </c>
      <c r="K312" s="216">
        <v>0</v>
      </c>
      <c r="L312" s="216">
        <v>0</v>
      </c>
      <c r="M312" s="216">
        <v>0</v>
      </c>
      <c r="N312" s="216">
        <v>0</v>
      </c>
      <c r="O312" s="216">
        <v>0</v>
      </c>
      <c r="P312" s="216">
        <v>186</v>
      </c>
      <c r="Q312" s="216">
        <v>1916</v>
      </c>
      <c r="R312" s="216">
        <v>0</v>
      </c>
      <c r="S312" s="216">
        <v>17029</v>
      </c>
      <c r="T312" s="216">
        <v>0</v>
      </c>
      <c r="U312" s="216">
        <v>15287</v>
      </c>
      <c r="V312" s="216">
        <v>0</v>
      </c>
      <c r="W312" s="216">
        <v>7289</v>
      </c>
      <c r="X312" s="216">
        <v>6720</v>
      </c>
      <c r="Y312" s="216">
        <v>92942</v>
      </c>
      <c r="Z312" s="216">
        <v>0</v>
      </c>
      <c r="AA312" s="216">
        <v>17353</v>
      </c>
      <c r="AB312" s="216">
        <v>798</v>
      </c>
      <c r="AC312" s="105"/>
    </row>
    <row r="313" spans="1:29" s="20" customFormat="1" x14ac:dyDescent="0.25">
      <c r="A313" s="31">
        <f>'M&amp;R Stations'!A313</f>
        <v>39272</v>
      </c>
      <c r="B313" s="216">
        <v>2573</v>
      </c>
      <c r="C313" s="216">
        <v>0</v>
      </c>
      <c r="D313" s="216">
        <v>13150</v>
      </c>
      <c r="E313" s="216">
        <v>0</v>
      </c>
      <c r="F313" s="216">
        <v>0</v>
      </c>
      <c r="G313" s="216">
        <v>0</v>
      </c>
      <c r="H313" s="216">
        <v>0</v>
      </c>
      <c r="I313" s="216">
        <v>0</v>
      </c>
      <c r="J313" s="216">
        <v>6810</v>
      </c>
      <c r="K313" s="216">
        <v>0</v>
      </c>
      <c r="L313" s="216">
        <v>0</v>
      </c>
      <c r="M313" s="216">
        <v>0</v>
      </c>
      <c r="N313" s="216">
        <v>0</v>
      </c>
      <c r="O313" s="216">
        <v>0</v>
      </c>
      <c r="P313" s="216">
        <v>186</v>
      </c>
      <c r="Q313" s="216">
        <v>1912</v>
      </c>
      <c r="R313" s="216">
        <v>0</v>
      </c>
      <c r="S313" s="216">
        <v>16996</v>
      </c>
      <c r="T313" s="216">
        <v>0</v>
      </c>
      <c r="U313" s="216">
        <v>15257</v>
      </c>
      <c r="V313" s="216">
        <v>0</v>
      </c>
      <c r="W313" s="216">
        <v>7275</v>
      </c>
      <c r="X313" s="216">
        <v>4002</v>
      </c>
      <c r="Y313" s="216">
        <v>92763</v>
      </c>
      <c r="Z313" s="216">
        <v>0</v>
      </c>
      <c r="AA313" s="216">
        <v>17319</v>
      </c>
      <c r="AB313" s="216">
        <v>797</v>
      </c>
      <c r="AC313" s="105"/>
    </row>
    <row r="314" spans="1:29" s="20" customFormat="1" x14ac:dyDescent="0.25">
      <c r="A314" s="31">
        <f>'M&amp;R Stations'!A314</f>
        <v>39273</v>
      </c>
      <c r="B314" s="216">
        <v>2568</v>
      </c>
      <c r="C314" s="216">
        <v>0</v>
      </c>
      <c r="D314" s="216">
        <v>13124</v>
      </c>
      <c r="E314" s="216">
        <v>0</v>
      </c>
      <c r="F314" s="216">
        <v>0</v>
      </c>
      <c r="G314" s="216">
        <v>0</v>
      </c>
      <c r="H314" s="216">
        <v>0</v>
      </c>
      <c r="I314" s="216">
        <v>0</v>
      </c>
      <c r="J314" s="216">
        <v>6796</v>
      </c>
      <c r="K314" s="216">
        <v>0</v>
      </c>
      <c r="L314" s="216">
        <v>0</v>
      </c>
      <c r="M314" s="216">
        <v>0</v>
      </c>
      <c r="N314" s="216">
        <v>0</v>
      </c>
      <c r="O314" s="216">
        <v>0</v>
      </c>
      <c r="P314" s="216">
        <v>186</v>
      </c>
      <c r="Q314" s="216">
        <v>1914</v>
      </c>
      <c r="R314" s="216">
        <v>0</v>
      </c>
      <c r="S314" s="216">
        <v>17012</v>
      </c>
      <c r="T314" s="216">
        <v>0</v>
      </c>
      <c r="U314" s="216">
        <v>15272</v>
      </c>
      <c r="V314" s="216">
        <v>0</v>
      </c>
      <c r="W314" s="216">
        <v>7282</v>
      </c>
      <c r="X314" s="216">
        <v>4443</v>
      </c>
      <c r="Y314" s="216">
        <v>92852</v>
      </c>
      <c r="Z314" s="216">
        <v>0</v>
      </c>
      <c r="AA314" s="216">
        <v>17336</v>
      </c>
      <c r="AB314" s="216">
        <v>798</v>
      </c>
      <c r="AC314" s="105"/>
    </row>
    <row r="315" spans="1:29" s="20" customFormat="1" x14ac:dyDescent="0.25">
      <c r="A315" s="31">
        <f>'M&amp;R Stations'!A315</f>
        <v>39274</v>
      </c>
      <c r="B315" s="216">
        <v>2560</v>
      </c>
      <c r="C315" s="216">
        <v>0</v>
      </c>
      <c r="D315" s="216">
        <v>13086</v>
      </c>
      <c r="E315" s="216">
        <v>0</v>
      </c>
      <c r="F315" s="216">
        <v>0</v>
      </c>
      <c r="G315" s="216">
        <v>0</v>
      </c>
      <c r="H315" s="216">
        <v>0</v>
      </c>
      <c r="I315" s="216">
        <v>0</v>
      </c>
      <c r="J315" s="216">
        <v>6786</v>
      </c>
      <c r="K315" s="216">
        <v>0</v>
      </c>
      <c r="L315" s="216">
        <v>0</v>
      </c>
      <c r="M315" s="216">
        <v>0</v>
      </c>
      <c r="N315" s="216">
        <v>0</v>
      </c>
      <c r="O315" s="216">
        <v>0</v>
      </c>
      <c r="P315" s="216">
        <v>185</v>
      </c>
      <c r="Q315" s="216">
        <v>1910</v>
      </c>
      <c r="R315" s="216">
        <v>0</v>
      </c>
      <c r="S315" s="216">
        <v>16979</v>
      </c>
      <c r="T315" s="216">
        <v>0</v>
      </c>
      <c r="U315" s="216">
        <v>15242</v>
      </c>
      <c r="V315" s="216">
        <v>0</v>
      </c>
      <c r="W315" s="216">
        <v>7268</v>
      </c>
      <c r="X315" s="216">
        <v>6025</v>
      </c>
      <c r="Y315" s="216">
        <v>92673</v>
      </c>
      <c r="Z315" s="216">
        <v>0</v>
      </c>
      <c r="AA315" s="216">
        <v>17303</v>
      </c>
      <c r="AB315" s="216">
        <v>796</v>
      </c>
      <c r="AC315" s="105"/>
    </row>
    <row r="316" spans="1:29" s="20" customFormat="1" x14ac:dyDescent="0.25">
      <c r="A316" s="31">
        <f>'M&amp;R Stations'!A316</f>
        <v>39275</v>
      </c>
      <c r="B316" s="216">
        <v>2578</v>
      </c>
      <c r="C316" s="216">
        <v>0</v>
      </c>
      <c r="D316" s="216">
        <v>13175</v>
      </c>
      <c r="E316" s="216">
        <v>0</v>
      </c>
      <c r="F316" s="216">
        <v>0</v>
      </c>
      <c r="G316" s="216">
        <v>0</v>
      </c>
      <c r="H316" s="216">
        <v>0</v>
      </c>
      <c r="I316" s="216">
        <v>0</v>
      </c>
      <c r="J316" s="216">
        <v>6814</v>
      </c>
      <c r="K316" s="216">
        <v>0</v>
      </c>
      <c r="L316" s="216">
        <v>0</v>
      </c>
      <c r="M316" s="216">
        <v>0</v>
      </c>
      <c r="N316" s="216">
        <v>0</v>
      </c>
      <c r="O316" s="216">
        <v>0</v>
      </c>
      <c r="P316" s="216">
        <v>186</v>
      </c>
      <c r="Q316" s="216">
        <v>1908</v>
      </c>
      <c r="R316" s="216">
        <v>0</v>
      </c>
      <c r="S316" s="216">
        <v>16963</v>
      </c>
      <c r="T316" s="216">
        <v>0</v>
      </c>
      <c r="U316" s="216">
        <v>15228</v>
      </c>
      <c r="V316" s="216">
        <v>1206</v>
      </c>
      <c r="W316" s="216">
        <v>7261</v>
      </c>
      <c r="X316" s="216">
        <v>6982</v>
      </c>
      <c r="Y316" s="216">
        <v>92584</v>
      </c>
      <c r="Z316" s="216">
        <v>0</v>
      </c>
      <c r="AA316" s="216">
        <v>17286</v>
      </c>
      <c r="AB316" s="216">
        <v>795</v>
      </c>
      <c r="AC316" s="105"/>
    </row>
    <row r="317" spans="1:29" s="20" customFormat="1" x14ac:dyDescent="0.25">
      <c r="A317" s="31">
        <f>'M&amp;R Stations'!A317</f>
        <v>39276</v>
      </c>
      <c r="B317" s="216">
        <v>2580</v>
      </c>
      <c r="C317" s="216">
        <v>0</v>
      </c>
      <c r="D317" s="216">
        <v>13188</v>
      </c>
      <c r="E317" s="216">
        <v>0</v>
      </c>
      <c r="F317" s="216">
        <v>0</v>
      </c>
      <c r="G317" s="216">
        <v>0</v>
      </c>
      <c r="H317" s="216">
        <v>0</v>
      </c>
      <c r="I317" s="216">
        <v>0</v>
      </c>
      <c r="J317" s="216">
        <v>6830</v>
      </c>
      <c r="K317" s="216">
        <v>0</v>
      </c>
      <c r="L317" s="216">
        <v>0</v>
      </c>
      <c r="M317" s="216">
        <v>0</v>
      </c>
      <c r="N317" s="216">
        <v>0</v>
      </c>
      <c r="O317" s="216">
        <v>0</v>
      </c>
      <c r="P317" s="216">
        <v>187</v>
      </c>
      <c r="Q317" s="216">
        <v>1912</v>
      </c>
      <c r="R317" s="216">
        <v>0</v>
      </c>
      <c r="S317" s="216">
        <v>16996</v>
      </c>
      <c r="T317" s="216">
        <v>0</v>
      </c>
      <c r="U317" s="216">
        <v>15257</v>
      </c>
      <c r="V317" s="216">
        <v>0</v>
      </c>
      <c r="W317" s="216">
        <v>7275</v>
      </c>
      <c r="X317" s="216">
        <v>4240</v>
      </c>
      <c r="Y317" s="216">
        <v>92763</v>
      </c>
      <c r="Z317" s="216">
        <v>0</v>
      </c>
      <c r="AA317" s="216">
        <v>17319</v>
      </c>
      <c r="AB317" s="216">
        <v>797</v>
      </c>
      <c r="AC317" s="105"/>
    </row>
    <row r="318" spans="1:29" s="20" customFormat="1" x14ac:dyDescent="0.25">
      <c r="A318" s="31">
        <f>'M&amp;R Stations'!A318</f>
        <v>39277</v>
      </c>
      <c r="B318" s="216">
        <v>2578</v>
      </c>
      <c r="C318" s="216">
        <v>0</v>
      </c>
      <c r="D318" s="216">
        <v>13175</v>
      </c>
      <c r="E318" s="216">
        <v>0</v>
      </c>
      <c r="F318" s="216">
        <v>0</v>
      </c>
      <c r="G318" s="216">
        <v>0</v>
      </c>
      <c r="H318" s="216">
        <v>0</v>
      </c>
      <c r="I318" s="216">
        <v>0</v>
      </c>
      <c r="J318" s="216">
        <v>6853</v>
      </c>
      <c r="K318" s="216">
        <v>0</v>
      </c>
      <c r="L318" s="216">
        <v>0</v>
      </c>
      <c r="M318" s="216">
        <v>0</v>
      </c>
      <c r="N318" s="216">
        <v>0</v>
      </c>
      <c r="O318" s="216">
        <v>0</v>
      </c>
      <c r="P318" s="216">
        <v>187</v>
      </c>
      <c r="Q318" s="216">
        <v>1912</v>
      </c>
      <c r="R318" s="216">
        <v>0</v>
      </c>
      <c r="S318" s="216">
        <v>16996</v>
      </c>
      <c r="T318" s="216">
        <v>0</v>
      </c>
      <c r="U318" s="216">
        <v>15257</v>
      </c>
      <c r="V318" s="216">
        <v>3811</v>
      </c>
      <c r="W318" s="216">
        <v>7275</v>
      </c>
      <c r="X318" s="216">
        <v>0</v>
      </c>
      <c r="Y318" s="216">
        <v>92763</v>
      </c>
      <c r="Z318" s="216">
        <v>0</v>
      </c>
      <c r="AA318" s="216">
        <v>17319</v>
      </c>
      <c r="AB318" s="216">
        <v>797</v>
      </c>
      <c r="AC318" s="105"/>
    </row>
    <row r="319" spans="1:29" s="20" customFormat="1" x14ac:dyDescent="0.25">
      <c r="A319" s="31">
        <f>'M&amp;R Stations'!A319</f>
        <v>39278</v>
      </c>
      <c r="B319" s="216">
        <v>2578</v>
      </c>
      <c r="C319" s="216">
        <v>0</v>
      </c>
      <c r="D319" s="216">
        <v>13175</v>
      </c>
      <c r="E319" s="216">
        <v>0</v>
      </c>
      <c r="F319" s="216">
        <v>0</v>
      </c>
      <c r="G319" s="216">
        <v>0</v>
      </c>
      <c r="H319" s="216">
        <v>0</v>
      </c>
      <c r="I319" s="216">
        <v>0</v>
      </c>
      <c r="J319" s="216">
        <v>6853</v>
      </c>
      <c r="K319" s="216">
        <v>0</v>
      </c>
      <c r="L319" s="216">
        <v>0</v>
      </c>
      <c r="M319" s="216">
        <v>0</v>
      </c>
      <c r="N319" s="216">
        <v>0</v>
      </c>
      <c r="O319" s="216">
        <v>0</v>
      </c>
      <c r="P319" s="216">
        <v>187</v>
      </c>
      <c r="Q319" s="216">
        <v>1910</v>
      </c>
      <c r="R319" s="216">
        <v>0</v>
      </c>
      <c r="S319" s="216">
        <v>16979</v>
      </c>
      <c r="T319" s="216">
        <v>0</v>
      </c>
      <c r="U319" s="216">
        <v>15242</v>
      </c>
      <c r="V319" s="216">
        <v>5590</v>
      </c>
      <c r="W319" s="216">
        <v>7268</v>
      </c>
      <c r="X319" s="216">
        <v>0</v>
      </c>
      <c r="Y319" s="216">
        <v>92673</v>
      </c>
      <c r="Z319" s="216">
        <v>0</v>
      </c>
      <c r="AA319" s="216">
        <v>17303</v>
      </c>
      <c r="AB319" s="216">
        <v>796</v>
      </c>
      <c r="AC319" s="105"/>
    </row>
    <row r="320" spans="1:29" s="20" customFormat="1" x14ac:dyDescent="0.25">
      <c r="A320" s="31">
        <f>'M&amp;R Stations'!A320</f>
        <v>39279</v>
      </c>
      <c r="B320" s="216">
        <v>2580</v>
      </c>
      <c r="C320" s="216">
        <v>0</v>
      </c>
      <c r="D320" s="216">
        <v>13188</v>
      </c>
      <c r="E320" s="216">
        <v>0</v>
      </c>
      <c r="F320" s="216">
        <v>0</v>
      </c>
      <c r="G320" s="216">
        <v>0</v>
      </c>
      <c r="H320" s="216">
        <v>0</v>
      </c>
      <c r="I320" s="216">
        <v>0</v>
      </c>
      <c r="J320" s="216">
        <v>6821</v>
      </c>
      <c r="K320" s="216">
        <v>0</v>
      </c>
      <c r="L320" s="216">
        <v>0</v>
      </c>
      <c r="M320" s="216">
        <v>0</v>
      </c>
      <c r="N320" s="216">
        <v>0</v>
      </c>
      <c r="O320" s="216">
        <v>0</v>
      </c>
      <c r="P320" s="216">
        <v>186</v>
      </c>
      <c r="Q320" s="216">
        <v>1910</v>
      </c>
      <c r="R320" s="216">
        <v>0</v>
      </c>
      <c r="S320" s="216">
        <v>16979</v>
      </c>
      <c r="T320" s="216">
        <v>0</v>
      </c>
      <c r="U320" s="216">
        <v>15242</v>
      </c>
      <c r="V320" s="216">
        <v>6048</v>
      </c>
      <c r="W320" s="216">
        <v>7268</v>
      </c>
      <c r="X320" s="216">
        <v>0</v>
      </c>
      <c r="Y320" s="216">
        <v>92673</v>
      </c>
      <c r="Z320" s="216">
        <v>0</v>
      </c>
      <c r="AA320" s="216">
        <v>17303</v>
      </c>
      <c r="AB320" s="216">
        <v>796</v>
      </c>
      <c r="AC320" s="105"/>
    </row>
    <row r="321" spans="1:29" s="20" customFormat="1" x14ac:dyDescent="0.25">
      <c r="A321" s="31">
        <f>'M&amp;R Stations'!A321</f>
        <v>39280</v>
      </c>
      <c r="B321" s="216">
        <v>2580</v>
      </c>
      <c r="C321" s="216">
        <v>0</v>
      </c>
      <c r="D321" s="216">
        <v>13188</v>
      </c>
      <c r="E321" s="216">
        <v>0</v>
      </c>
      <c r="F321" s="216">
        <v>0</v>
      </c>
      <c r="G321" s="216">
        <v>0</v>
      </c>
      <c r="H321" s="216">
        <v>0</v>
      </c>
      <c r="I321" s="216">
        <v>0</v>
      </c>
      <c r="J321" s="216">
        <v>6811</v>
      </c>
      <c r="K321" s="216">
        <v>0</v>
      </c>
      <c r="L321" s="216">
        <v>0</v>
      </c>
      <c r="M321" s="216">
        <v>0</v>
      </c>
      <c r="N321" s="216">
        <v>0</v>
      </c>
      <c r="O321" s="216">
        <v>0</v>
      </c>
      <c r="P321" s="216">
        <v>186</v>
      </c>
      <c r="Q321" s="216">
        <v>1912</v>
      </c>
      <c r="R321" s="216">
        <v>0</v>
      </c>
      <c r="S321" s="216">
        <v>16996</v>
      </c>
      <c r="T321" s="216">
        <v>0</v>
      </c>
      <c r="U321" s="216">
        <v>15257</v>
      </c>
      <c r="V321" s="216">
        <v>4572</v>
      </c>
      <c r="W321" s="216">
        <v>7275</v>
      </c>
      <c r="X321" s="216">
        <v>0</v>
      </c>
      <c r="Y321" s="216">
        <v>92763</v>
      </c>
      <c r="Z321" s="216">
        <v>0</v>
      </c>
      <c r="AA321" s="216">
        <v>17319</v>
      </c>
      <c r="AB321" s="216">
        <v>797</v>
      </c>
      <c r="AC321" s="105"/>
    </row>
    <row r="322" spans="1:29" s="20" customFormat="1" x14ac:dyDescent="0.25">
      <c r="A322" s="31">
        <f>'M&amp;R Stations'!A322</f>
        <v>39281</v>
      </c>
      <c r="B322" s="216">
        <v>2575</v>
      </c>
      <c r="C322" s="216">
        <v>0</v>
      </c>
      <c r="D322" s="216">
        <v>13162</v>
      </c>
      <c r="E322" s="216">
        <v>0</v>
      </c>
      <c r="F322" s="216">
        <v>0</v>
      </c>
      <c r="G322" s="216">
        <v>0</v>
      </c>
      <c r="H322" s="216">
        <v>0</v>
      </c>
      <c r="I322" s="216">
        <v>0</v>
      </c>
      <c r="J322" s="216">
        <v>6807</v>
      </c>
      <c r="K322" s="216">
        <v>0</v>
      </c>
      <c r="L322" s="216">
        <v>0</v>
      </c>
      <c r="M322" s="216">
        <v>0</v>
      </c>
      <c r="N322" s="216">
        <v>0</v>
      </c>
      <c r="O322" s="216">
        <v>0</v>
      </c>
      <c r="P322" s="216">
        <v>186</v>
      </c>
      <c r="Q322" s="216">
        <v>1910</v>
      </c>
      <c r="R322" s="216">
        <v>0</v>
      </c>
      <c r="S322" s="216">
        <v>16979</v>
      </c>
      <c r="T322" s="216">
        <v>0</v>
      </c>
      <c r="U322" s="216">
        <v>15242</v>
      </c>
      <c r="V322" s="216">
        <v>5117</v>
      </c>
      <c r="W322" s="216">
        <v>7268</v>
      </c>
      <c r="X322" s="216">
        <v>0</v>
      </c>
      <c r="Y322" s="216">
        <v>92673</v>
      </c>
      <c r="Z322" s="216">
        <v>0</v>
      </c>
      <c r="AA322" s="216">
        <v>17303</v>
      </c>
      <c r="AB322" s="216">
        <v>796</v>
      </c>
      <c r="AC322" s="105"/>
    </row>
    <row r="323" spans="1:29" s="20" customFormat="1" x14ac:dyDescent="0.25">
      <c r="A323" s="31">
        <f>'M&amp;R Stations'!A323</f>
        <v>39282</v>
      </c>
      <c r="B323" s="216">
        <v>2578</v>
      </c>
      <c r="C323" s="216">
        <v>0</v>
      </c>
      <c r="D323" s="216">
        <v>13175</v>
      </c>
      <c r="E323" s="216">
        <v>0</v>
      </c>
      <c r="F323" s="216">
        <v>0</v>
      </c>
      <c r="G323" s="216">
        <v>0</v>
      </c>
      <c r="H323" s="216">
        <v>0</v>
      </c>
      <c r="I323" s="216">
        <v>0</v>
      </c>
      <c r="J323" s="216">
        <v>6824</v>
      </c>
      <c r="K323" s="216">
        <v>0</v>
      </c>
      <c r="L323" s="216">
        <v>0</v>
      </c>
      <c r="M323" s="216">
        <v>0</v>
      </c>
      <c r="N323" s="216">
        <v>0</v>
      </c>
      <c r="O323" s="216">
        <v>0</v>
      </c>
      <c r="P323" s="216">
        <v>186</v>
      </c>
      <c r="Q323" s="216">
        <v>1912</v>
      </c>
      <c r="R323" s="216">
        <v>0</v>
      </c>
      <c r="S323" s="216">
        <v>16996</v>
      </c>
      <c r="T323" s="216">
        <v>0</v>
      </c>
      <c r="U323" s="216">
        <v>15257</v>
      </c>
      <c r="V323" s="216">
        <v>4764</v>
      </c>
      <c r="W323" s="216">
        <v>7275</v>
      </c>
      <c r="X323" s="216">
        <v>0</v>
      </c>
      <c r="Y323" s="216">
        <v>92281</v>
      </c>
      <c r="Z323" s="216">
        <v>0</v>
      </c>
      <c r="AA323" s="216">
        <v>17319</v>
      </c>
      <c r="AB323" s="216">
        <v>797</v>
      </c>
      <c r="AC323" s="105"/>
    </row>
    <row r="324" spans="1:29" s="20" customFormat="1" x14ac:dyDescent="0.25">
      <c r="A324" s="31">
        <f>'M&amp;R Stations'!A324</f>
        <v>39283</v>
      </c>
      <c r="B324" s="216">
        <v>2578</v>
      </c>
      <c r="C324" s="216">
        <v>0</v>
      </c>
      <c r="D324" s="216">
        <v>13175</v>
      </c>
      <c r="E324" s="216">
        <v>0</v>
      </c>
      <c r="F324" s="216">
        <v>0</v>
      </c>
      <c r="G324" s="216">
        <v>0</v>
      </c>
      <c r="H324" s="216">
        <v>0</v>
      </c>
      <c r="I324" s="216">
        <v>0</v>
      </c>
      <c r="J324" s="216">
        <v>6833</v>
      </c>
      <c r="K324" s="216">
        <v>0</v>
      </c>
      <c r="L324" s="216">
        <v>0</v>
      </c>
      <c r="M324" s="216">
        <v>0</v>
      </c>
      <c r="N324" s="216">
        <v>0</v>
      </c>
      <c r="O324" s="216">
        <v>0</v>
      </c>
      <c r="P324" s="216">
        <v>186</v>
      </c>
      <c r="Q324" s="216">
        <v>1910</v>
      </c>
      <c r="R324" s="216">
        <v>0</v>
      </c>
      <c r="S324" s="216">
        <v>16979</v>
      </c>
      <c r="T324" s="216">
        <v>0</v>
      </c>
      <c r="U324" s="216">
        <v>15242</v>
      </c>
      <c r="V324" s="216">
        <v>5396</v>
      </c>
      <c r="W324" s="216">
        <v>7268</v>
      </c>
      <c r="X324" s="216">
        <v>0</v>
      </c>
      <c r="Y324" s="216">
        <v>92192</v>
      </c>
      <c r="Z324" s="216">
        <v>0</v>
      </c>
      <c r="AA324" s="216">
        <v>17303</v>
      </c>
      <c r="AB324" s="216">
        <v>796</v>
      </c>
      <c r="AC324" s="105"/>
    </row>
    <row r="325" spans="1:29" s="20" customFormat="1" x14ac:dyDescent="0.25">
      <c r="A325" s="31">
        <f>'M&amp;R Stations'!A325</f>
        <v>39284</v>
      </c>
      <c r="B325" s="216">
        <v>2578</v>
      </c>
      <c r="C325" s="216">
        <v>0</v>
      </c>
      <c r="D325" s="216">
        <v>13175</v>
      </c>
      <c r="E325" s="216">
        <v>0</v>
      </c>
      <c r="F325" s="216">
        <v>0</v>
      </c>
      <c r="G325" s="216">
        <v>0</v>
      </c>
      <c r="H325" s="216">
        <v>0</v>
      </c>
      <c r="I325" s="216">
        <v>0</v>
      </c>
      <c r="J325" s="216">
        <v>6863</v>
      </c>
      <c r="K325" s="216">
        <v>0</v>
      </c>
      <c r="L325" s="216">
        <v>0</v>
      </c>
      <c r="M325" s="216">
        <v>0</v>
      </c>
      <c r="N325" s="216">
        <v>0</v>
      </c>
      <c r="O325" s="216">
        <v>0</v>
      </c>
      <c r="P325" s="216">
        <v>187</v>
      </c>
      <c r="Q325" s="216">
        <v>1914</v>
      </c>
      <c r="R325" s="216">
        <v>0</v>
      </c>
      <c r="S325" s="216">
        <v>17012</v>
      </c>
      <c r="T325" s="216">
        <v>0</v>
      </c>
      <c r="U325" s="216">
        <v>15272</v>
      </c>
      <c r="V325" s="216">
        <v>6295</v>
      </c>
      <c r="W325" s="216">
        <v>7282</v>
      </c>
      <c r="X325" s="216">
        <v>0</v>
      </c>
      <c r="Y325" s="216">
        <v>92370</v>
      </c>
      <c r="Z325" s="216">
        <v>0</v>
      </c>
      <c r="AA325" s="216">
        <v>17336</v>
      </c>
      <c r="AB325" s="216">
        <v>798</v>
      </c>
      <c r="AC325" s="105"/>
    </row>
    <row r="326" spans="1:29" s="20" customFormat="1" x14ac:dyDescent="0.25">
      <c r="A326" s="31">
        <f>'M&amp;R Stations'!A326</f>
        <v>39285</v>
      </c>
      <c r="B326" s="216">
        <v>2578</v>
      </c>
      <c r="C326" s="216">
        <v>0</v>
      </c>
      <c r="D326" s="216">
        <v>13175</v>
      </c>
      <c r="E326" s="216">
        <v>0</v>
      </c>
      <c r="F326" s="216">
        <v>0</v>
      </c>
      <c r="G326" s="216">
        <v>0</v>
      </c>
      <c r="H326" s="216">
        <v>0</v>
      </c>
      <c r="I326" s="216">
        <v>0</v>
      </c>
      <c r="J326" s="216">
        <v>6853</v>
      </c>
      <c r="K326" s="216">
        <v>0</v>
      </c>
      <c r="L326" s="216">
        <v>0</v>
      </c>
      <c r="M326" s="216">
        <v>0</v>
      </c>
      <c r="N326" s="216">
        <v>0</v>
      </c>
      <c r="O326" s="216">
        <v>0</v>
      </c>
      <c r="P326" s="216">
        <v>187</v>
      </c>
      <c r="Q326" s="216">
        <v>1914</v>
      </c>
      <c r="R326" s="216">
        <v>0</v>
      </c>
      <c r="S326" s="216">
        <v>17012</v>
      </c>
      <c r="T326" s="216">
        <v>0</v>
      </c>
      <c r="U326" s="216">
        <v>15272</v>
      </c>
      <c r="V326" s="216">
        <v>8244</v>
      </c>
      <c r="W326" s="216">
        <v>7282</v>
      </c>
      <c r="X326" s="216">
        <v>0</v>
      </c>
      <c r="Y326" s="216">
        <v>92370</v>
      </c>
      <c r="Z326" s="216">
        <v>0</v>
      </c>
      <c r="AA326" s="216">
        <v>17336</v>
      </c>
      <c r="AB326" s="216">
        <v>798</v>
      </c>
      <c r="AC326" s="105"/>
    </row>
    <row r="327" spans="1:29" s="20" customFormat="1" x14ac:dyDescent="0.25">
      <c r="A327" s="31">
        <f>'M&amp;R Stations'!A327</f>
        <v>39286</v>
      </c>
      <c r="B327" s="216">
        <v>2583</v>
      </c>
      <c r="C327" s="216">
        <v>0</v>
      </c>
      <c r="D327" s="216">
        <v>13201</v>
      </c>
      <c r="E327" s="216">
        <v>0</v>
      </c>
      <c r="F327" s="216">
        <v>0</v>
      </c>
      <c r="G327" s="216">
        <v>0</v>
      </c>
      <c r="H327" s="216">
        <v>0</v>
      </c>
      <c r="I327" s="216">
        <v>0</v>
      </c>
      <c r="J327" s="216">
        <v>6788</v>
      </c>
      <c r="K327" s="216">
        <v>0</v>
      </c>
      <c r="L327" s="216">
        <v>0</v>
      </c>
      <c r="M327" s="216">
        <v>0</v>
      </c>
      <c r="N327" s="216">
        <v>0</v>
      </c>
      <c r="O327" s="216">
        <v>0</v>
      </c>
      <c r="P327" s="216">
        <v>186</v>
      </c>
      <c r="Q327" s="216">
        <v>1916</v>
      </c>
      <c r="R327" s="216">
        <v>0</v>
      </c>
      <c r="S327" s="216">
        <v>17029</v>
      </c>
      <c r="T327" s="216">
        <v>0</v>
      </c>
      <c r="U327" s="216">
        <v>15287</v>
      </c>
      <c r="V327" s="216">
        <v>8452</v>
      </c>
      <c r="W327" s="216">
        <v>7289</v>
      </c>
      <c r="X327" s="216">
        <v>0</v>
      </c>
      <c r="Y327" s="216">
        <v>92459</v>
      </c>
      <c r="Z327" s="216">
        <v>0</v>
      </c>
      <c r="AA327" s="216">
        <v>17353</v>
      </c>
      <c r="AB327" s="216">
        <v>798</v>
      </c>
      <c r="AC327" s="105"/>
    </row>
    <row r="328" spans="1:29" s="20" customFormat="1" x14ac:dyDescent="0.25">
      <c r="A328" s="31">
        <f>'M&amp;R Stations'!A328</f>
        <v>39287</v>
      </c>
      <c r="B328" s="216">
        <v>2583</v>
      </c>
      <c r="C328" s="216">
        <v>0</v>
      </c>
      <c r="D328" s="216">
        <v>13201</v>
      </c>
      <c r="E328" s="216">
        <v>0</v>
      </c>
      <c r="F328" s="216">
        <v>0</v>
      </c>
      <c r="G328" s="216">
        <v>0</v>
      </c>
      <c r="H328" s="216">
        <v>0</v>
      </c>
      <c r="I328" s="216">
        <v>0</v>
      </c>
      <c r="J328" s="216">
        <v>6818</v>
      </c>
      <c r="K328" s="216">
        <v>0</v>
      </c>
      <c r="L328" s="216">
        <v>0</v>
      </c>
      <c r="M328" s="216">
        <v>0</v>
      </c>
      <c r="N328" s="216">
        <v>0</v>
      </c>
      <c r="O328" s="216">
        <v>0</v>
      </c>
      <c r="P328" s="216">
        <v>187</v>
      </c>
      <c r="Q328" s="216">
        <v>1918</v>
      </c>
      <c r="R328" s="216">
        <v>0</v>
      </c>
      <c r="S328" s="216">
        <v>17045</v>
      </c>
      <c r="T328" s="216">
        <v>0</v>
      </c>
      <c r="U328" s="216">
        <v>15301</v>
      </c>
      <c r="V328" s="216">
        <v>6657</v>
      </c>
      <c r="W328" s="216">
        <v>7296</v>
      </c>
      <c r="X328" s="216">
        <v>0</v>
      </c>
      <c r="Y328" s="216">
        <v>92065</v>
      </c>
      <c r="Z328" s="216">
        <v>0</v>
      </c>
      <c r="AA328" s="216">
        <v>17369</v>
      </c>
      <c r="AB328" s="216">
        <v>799</v>
      </c>
      <c r="AC328" s="105"/>
    </row>
    <row r="329" spans="1:29" s="20" customFormat="1" x14ac:dyDescent="0.25">
      <c r="A329" s="31">
        <f>'M&amp;R Stations'!A329</f>
        <v>39288</v>
      </c>
      <c r="B329" s="216">
        <v>2585</v>
      </c>
      <c r="C329" s="216">
        <v>0</v>
      </c>
      <c r="D329" s="216">
        <v>13214</v>
      </c>
      <c r="E329" s="216">
        <v>0</v>
      </c>
      <c r="F329" s="216">
        <v>0</v>
      </c>
      <c r="G329" s="216">
        <v>0</v>
      </c>
      <c r="H329" s="216">
        <v>0</v>
      </c>
      <c r="I329" s="216">
        <v>0</v>
      </c>
      <c r="J329" s="216">
        <v>6845</v>
      </c>
      <c r="K329" s="216">
        <v>0</v>
      </c>
      <c r="L329" s="216">
        <v>0</v>
      </c>
      <c r="M329" s="216">
        <v>0</v>
      </c>
      <c r="N329" s="216">
        <v>0</v>
      </c>
      <c r="O329" s="216">
        <v>0</v>
      </c>
      <c r="P329" s="216">
        <v>187</v>
      </c>
      <c r="Q329" s="216">
        <v>1916</v>
      </c>
      <c r="R329" s="216">
        <v>0</v>
      </c>
      <c r="S329" s="216">
        <v>17029</v>
      </c>
      <c r="T329" s="216">
        <v>0</v>
      </c>
      <c r="U329" s="216">
        <v>15287</v>
      </c>
      <c r="V329" s="216">
        <v>6320</v>
      </c>
      <c r="W329" s="216">
        <v>7289</v>
      </c>
      <c r="X329" s="216">
        <v>0</v>
      </c>
      <c r="Y329" s="216">
        <v>91976</v>
      </c>
      <c r="Z329" s="216">
        <v>0</v>
      </c>
      <c r="AA329" s="216">
        <v>17353</v>
      </c>
      <c r="AB329" s="216">
        <v>798</v>
      </c>
      <c r="AC329" s="105"/>
    </row>
    <row r="330" spans="1:29" s="20" customFormat="1" x14ac:dyDescent="0.25">
      <c r="A330" s="31">
        <f>'M&amp;R Stations'!A330</f>
        <v>39289</v>
      </c>
      <c r="B330" s="216">
        <v>2578</v>
      </c>
      <c r="C330" s="216">
        <v>0</v>
      </c>
      <c r="D330" s="216">
        <v>13175</v>
      </c>
      <c r="E330" s="216">
        <v>0</v>
      </c>
      <c r="F330" s="216">
        <v>0</v>
      </c>
      <c r="G330" s="216">
        <v>0</v>
      </c>
      <c r="H330" s="216">
        <v>0</v>
      </c>
      <c r="I330" s="216">
        <v>0</v>
      </c>
      <c r="J330" s="216">
        <v>6824</v>
      </c>
      <c r="K330" s="216">
        <v>0</v>
      </c>
      <c r="L330" s="216">
        <v>0</v>
      </c>
      <c r="M330" s="216">
        <v>0</v>
      </c>
      <c r="N330" s="216">
        <v>0</v>
      </c>
      <c r="O330" s="216">
        <v>0</v>
      </c>
      <c r="P330" s="216">
        <v>186</v>
      </c>
      <c r="Q330" s="216">
        <v>1918</v>
      </c>
      <c r="R330" s="216">
        <v>0</v>
      </c>
      <c r="S330" s="216">
        <v>17045</v>
      </c>
      <c r="T330" s="216">
        <v>0</v>
      </c>
      <c r="U330" s="216">
        <v>15301</v>
      </c>
      <c r="V330" s="216">
        <v>4530</v>
      </c>
      <c r="W330" s="216">
        <v>7296</v>
      </c>
      <c r="X330" s="216">
        <v>0</v>
      </c>
      <c r="Y330" s="216">
        <v>92065</v>
      </c>
      <c r="Z330" s="216">
        <v>0</v>
      </c>
      <c r="AA330" s="216">
        <v>17369</v>
      </c>
      <c r="AB330" s="216">
        <v>799</v>
      </c>
      <c r="AC330" s="105"/>
    </row>
    <row r="331" spans="1:29" s="20" customFormat="1" x14ac:dyDescent="0.25">
      <c r="A331" s="31">
        <f>'M&amp;R Stations'!A331</f>
        <v>39290</v>
      </c>
      <c r="B331" s="216">
        <v>2570</v>
      </c>
      <c r="C331" s="216">
        <v>0</v>
      </c>
      <c r="D331" s="216">
        <v>13137</v>
      </c>
      <c r="E331" s="216">
        <v>0</v>
      </c>
      <c r="F331" s="216">
        <v>0</v>
      </c>
      <c r="G331" s="216">
        <v>0</v>
      </c>
      <c r="H331" s="216">
        <v>0</v>
      </c>
      <c r="I331" s="216">
        <v>0</v>
      </c>
      <c r="J331" s="216">
        <v>6823</v>
      </c>
      <c r="K331" s="216">
        <v>0</v>
      </c>
      <c r="L331" s="216">
        <v>0</v>
      </c>
      <c r="M331" s="216">
        <v>0</v>
      </c>
      <c r="N331" s="216">
        <v>0</v>
      </c>
      <c r="O331" s="216">
        <v>0</v>
      </c>
      <c r="P331" s="216">
        <v>186</v>
      </c>
      <c r="Q331" s="216">
        <v>1918</v>
      </c>
      <c r="R331" s="216">
        <v>0</v>
      </c>
      <c r="S331" s="216">
        <v>17045</v>
      </c>
      <c r="T331" s="216">
        <v>0</v>
      </c>
      <c r="U331" s="216">
        <v>15301</v>
      </c>
      <c r="V331" s="216">
        <v>2659</v>
      </c>
      <c r="W331" s="216">
        <v>7296</v>
      </c>
      <c r="X331" s="216">
        <v>0</v>
      </c>
      <c r="Y331" s="216">
        <v>92065</v>
      </c>
      <c r="Z331" s="216">
        <v>0</v>
      </c>
      <c r="AA331" s="216">
        <v>17369</v>
      </c>
      <c r="AB331" s="216">
        <v>799</v>
      </c>
      <c r="AC331" s="105"/>
    </row>
    <row r="332" spans="1:29" s="20" customFormat="1" x14ac:dyDescent="0.25">
      <c r="A332" s="31">
        <f>'M&amp;R Stations'!A332</f>
        <v>39291</v>
      </c>
      <c r="B332" s="216">
        <v>2570</v>
      </c>
      <c r="C332" s="216">
        <v>0</v>
      </c>
      <c r="D332" s="216">
        <v>13137</v>
      </c>
      <c r="E332" s="216">
        <v>0</v>
      </c>
      <c r="F332" s="216">
        <v>0</v>
      </c>
      <c r="G332" s="216">
        <v>0</v>
      </c>
      <c r="H332" s="216">
        <v>0</v>
      </c>
      <c r="I332" s="216">
        <v>0</v>
      </c>
      <c r="J332" s="216">
        <v>6853</v>
      </c>
      <c r="K332" s="216">
        <v>0</v>
      </c>
      <c r="L332" s="216">
        <v>0</v>
      </c>
      <c r="M332" s="216">
        <v>0</v>
      </c>
      <c r="N332" s="216">
        <v>0</v>
      </c>
      <c r="O332" s="216">
        <v>0</v>
      </c>
      <c r="P332" s="216">
        <v>186</v>
      </c>
      <c r="Q332" s="216">
        <v>1923</v>
      </c>
      <c r="R332" s="216">
        <v>0</v>
      </c>
      <c r="S332" s="216">
        <v>17095</v>
      </c>
      <c r="T332" s="216">
        <v>0</v>
      </c>
      <c r="U332" s="216">
        <v>15346</v>
      </c>
      <c r="V332" s="216">
        <v>4009</v>
      </c>
      <c r="W332" s="216">
        <v>7317</v>
      </c>
      <c r="X332" s="216">
        <v>0</v>
      </c>
      <c r="Y332" s="216">
        <v>92333</v>
      </c>
      <c r="Z332" s="216">
        <v>0</v>
      </c>
      <c r="AA332" s="216">
        <v>17420</v>
      </c>
      <c r="AB332" s="216">
        <v>801</v>
      </c>
      <c r="AC332" s="105"/>
    </row>
    <row r="333" spans="1:29" s="20" customFormat="1" x14ac:dyDescent="0.25">
      <c r="A333" s="31">
        <f>'M&amp;R Stations'!A333</f>
        <v>39292</v>
      </c>
      <c r="B333" s="216">
        <v>2580</v>
      </c>
      <c r="C333" s="216">
        <v>0</v>
      </c>
      <c r="D333" s="216">
        <v>13188</v>
      </c>
      <c r="E333" s="216">
        <v>0</v>
      </c>
      <c r="F333" s="216">
        <v>0</v>
      </c>
      <c r="G333" s="216">
        <v>0</v>
      </c>
      <c r="H333" s="216">
        <v>0</v>
      </c>
      <c r="I333" s="216">
        <v>0</v>
      </c>
      <c r="J333" s="216">
        <v>6860</v>
      </c>
      <c r="K333" s="216">
        <v>0</v>
      </c>
      <c r="L333" s="216">
        <v>0</v>
      </c>
      <c r="M333" s="216">
        <v>0</v>
      </c>
      <c r="N333" s="216">
        <v>0</v>
      </c>
      <c r="O333" s="216">
        <v>0</v>
      </c>
      <c r="P333" s="216">
        <v>187</v>
      </c>
      <c r="Q333" s="216">
        <v>1916</v>
      </c>
      <c r="R333" s="216">
        <v>0</v>
      </c>
      <c r="S333" s="216">
        <v>17029</v>
      </c>
      <c r="T333" s="216">
        <v>0</v>
      </c>
      <c r="U333" s="216">
        <v>15287</v>
      </c>
      <c r="V333" s="216">
        <v>7522</v>
      </c>
      <c r="W333" s="216">
        <v>7289</v>
      </c>
      <c r="X333" s="216">
        <v>0</v>
      </c>
      <c r="Y333" s="216">
        <v>91976</v>
      </c>
      <c r="Z333" s="216">
        <v>0</v>
      </c>
      <c r="AA333" s="216">
        <v>17353</v>
      </c>
      <c r="AB333" s="216">
        <v>798</v>
      </c>
      <c r="AC333" s="105"/>
    </row>
    <row r="334" spans="1:29" s="20" customFormat="1" x14ac:dyDescent="0.25">
      <c r="A334" s="31">
        <f>'M&amp;R Stations'!A334</f>
        <v>39293</v>
      </c>
      <c r="B334" s="216">
        <v>2580</v>
      </c>
      <c r="C334" s="216">
        <v>0</v>
      </c>
      <c r="D334" s="216">
        <v>13188</v>
      </c>
      <c r="E334" s="216">
        <v>0</v>
      </c>
      <c r="F334" s="216">
        <v>0</v>
      </c>
      <c r="G334" s="216">
        <v>0</v>
      </c>
      <c r="H334" s="216">
        <v>0</v>
      </c>
      <c r="I334" s="216">
        <v>0</v>
      </c>
      <c r="J334" s="216">
        <v>6821</v>
      </c>
      <c r="K334" s="216">
        <v>0</v>
      </c>
      <c r="L334" s="216">
        <v>0</v>
      </c>
      <c r="M334" s="216">
        <v>0</v>
      </c>
      <c r="N334" s="216">
        <v>0</v>
      </c>
      <c r="O334" s="216">
        <v>0</v>
      </c>
      <c r="P334" s="216">
        <v>186</v>
      </c>
      <c r="Q334" s="216">
        <v>1919</v>
      </c>
      <c r="R334" s="216">
        <v>0</v>
      </c>
      <c r="S334" s="216">
        <v>17062</v>
      </c>
      <c r="T334" s="216">
        <v>0</v>
      </c>
      <c r="U334" s="216">
        <v>15316</v>
      </c>
      <c r="V334" s="216">
        <v>5726</v>
      </c>
      <c r="W334" s="216">
        <v>7303</v>
      </c>
      <c r="X334" s="216">
        <v>0</v>
      </c>
      <c r="Y334" s="216">
        <v>92154</v>
      </c>
      <c r="Z334" s="216">
        <v>0</v>
      </c>
      <c r="AA334" s="216">
        <v>17386</v>
      </c>
      <c r="AB334" s="216">
        <v>800</v>
      </c>
      <c r="AC334" s="105"/>
    </row>
    <row r="335" spans="1:29" s="20" customFormat="1" x14ac:dyDescent="0.25">
      <c r="A335" s="31">
        <f>'M&amp;R Stations'!A335</f>
        <v>39294</v>
      </c>
      <c r="B335" s="216">
        <v>2583</v>
      </c>
      <c r="C335" s="216">
        <v>0</v>
      </c>
      <c r="D335" s="216">
        <v>13201</v>
      </c>
      <c r="E335" s="216">
        <v>0</v>
      </c>
      <c r="F335" s="216">
        <v>0</v>
      </c>
      <c r="G335" s="216">
        <v>0</v>
      </c>
      <c r="H335" s="216">
        <v>0</v>
      </c>
      <c r="I335" s="216">
        <v>0</v>
      </c>
      <c r="J335" s="216">
        <v>6838</v>
      </c>
      <c r="K335" s="216">
        <v>0</v>
      </c>
      <c r="L335" s="216">
        <v>0</v>
      </c>
      <c r="M335" s="216">
        <v>0</v>
      </c>
      <c r="N335" s="216">
        <v>0</v>
      </c>
      <c r="O335" s="216">
        <v>0</v>
      </c>
      <c r="P335" s="216">
        <v>187</v>
      </c>
      <c r="Q335" s="216">
        <v>1914</v>
      </c>
      <c r="R335" s="216">
        <v>0</v>
      </c>
      <c r="S335" s="216">
        <v>17012</v>
      </c>
      <c r="T335" s="216">
        <v>0</v>
      </c>
      <c r="U335" s="216">
        <v>15272</v>
      </c>
      <c r="V335" s="216">
        <v>3980</v>
      </c>
      <c r="W335" s="216">
        <v>7282</v>
      </c>
      <c r="X335" s="216">
        <v>0</v>
      </c>
      <c r="Y335" s="216">
        <v>91887</v>
      </c>
      <c r="Z335" s="216">
        <v>0</v>
      </c>
      <c r="AA335" s="216">
        <v>17336</v>
      </c>
      <c r="AB335" s="216">
        <v>798</v>
      </c>
      <c r="AC335" s="105"/>
    </row>
    <row r="336" spans="1:29" s="20" customFormat="1" x14ac:dyDescent="0.25">
      <c r="A336" s="31">
        <f>'M&amp;R Stations'!A336</f>
        <v>39295</v>
      </c>
      <c r="B336" s="216">
        <v>2580</v>
      </c>
      <c r="C336" s="216">
        <v>0</v>
      </c>
      <c r="D336" s="216">
        <v>7741</v>
      </c>
      <c r="E336" s="216">
        <v>0</v>
      </c>
      <c r="F336" s="216">
        <v>0</v>
      </c>
      <c r="G336" s="216">
        <v>0</v>
      </c>
      <c r="H336" s="216">
        <v>0</v>
      </c>
      <c r="I336" s="216">
        <v>0</v>
      </c>
      <c r="J336" s="216">
        <v>12268</v>
      </c>
      <c r="K336" s="216">
        <v>0</v>
      </c>
      <c r="L336" s="216">
        <v>0</v>
      </c>
      <c r="M336" s="216">
        <v>0</v>
      </c>
      <c r="N336" s="216">
        <v>0</v>
      </c>
      <c r="O336" s="216">
        <v>0</v>
      </c>
      <c r="P336" s="216">
        <v>186</v>
      </c>
      <c r="Q336" s="216">
        <v>1916</v>
      </c>
      <c r="R336" s="216">
        <v>0</v>
      </c>
      <c r="S336" s="216">
        <v>17029</v>
      </c>
      <c r="T336" s="216">
        <v>0</v>
      </c>
      <c r="U336" s="216">
        <v>15287</v>
      </c>
      <c r="V336" s="216">
        <v>8562</v>
      </c>
      <c r="W336" s="216">
        <v>7289</v>
      </c>
      <c r="X336" s="216">
        <v>0</v>
      </c>
      <c r="Y336" s="216">
        <v>87350</v>
      </c>
      <c r="Z336" s="216">
        <v>0</v>
      </c>
      <c r="AA336" s="216">
        <v>17353</v>
      </c>
      <c r="AB336" s="216">
        <v>798</v>
      </c>
      <c r="AC336" s="105"/>
    </row>
    <row r="337" spans="1:29" s="20" customFormat="1" x14ac:dyDescent="0.25">
      <c r="A337" s="31">
        <f>'M&amp;R Stations'!A337</f>
        <v>39296</v>
      </c>
      <c r="B337" s="216">
        <v>2580</v>
      </c>
      <c r="C337" s="216">
        <v>0</v>
      </c>
      <c r="D337" s="216">
        <v>7760</v>
      </c>
      <c r="E337" s="216">
        <v>0</v>
      </c>
      <c r="F337" s="216">
        <v>0</v>
      </c>
      <c r="G337" s="216">
        <v>0</v>
      </c>
      <c r="H337" s="216">
        <v>0</v>
      </c>
      <c r="I337" s="216">
        <v>0</v>
      </c>
      <c r="J337" s="216">
        <v>12268</v>
      </c>
      <c r="K337" s="216">
        <v>0</v>
      </c>
      <c r="L337" s="216">
        <v>0</v>
      </c>
      <c r="M337" s="216">
        <v>0</v>
      </c>
      <c r="N337" s="216">
        <v>0</v>
      </c>
      <c r="O337" s="216">
        <v>0</v>
      </c>
      <c r="P337" s="216">
        <v>187</v>
      </c>
      <c r="Q337" s="216">
        <v>1916</v>
      </c>
      <c r="R337" s="216">
        <v>0</v>
      </c>
      <c r="S337" s="216">
        <v>17029</v>
      </c>
      <c r="T337" s="216">
        <v>0</v>
      </c>
      <c r="U337" s="216">
        <v>15287</v>
      </c>
      <c r="V337" s="216">
        <v>7927</v>
      </c>
      <c r="W337" s="216">
        <v>7289</v>
      </c>
      <c r="X337" s="216">
        <v>0</v>
      </c>
      <c r="Y337" s="216">
        <v>87350</v>
      </c>
      <c r="Z337" s="216">
        <v>0</v>
      </c>
      <c r="AA337" s="216">
        <v>17353</v>
      </c>
      <c r="AB337" s="216">
        <v>798</v>
      </c>
      <c r="AC337" s="105"/>
    </row>
    <row r="338" spans="1:29" s="20" customFormat="1" x14ac:dyDescent="0.25">
      <c r="A338" s="31">
        <f>'M&amp;R Stations'!A338</f>
        <v>39297</v>
      </c>
      <c r="B338" s="216">
        <v>2580</v>
      </c>
      <c r="C338" s="216">
        <v>0</v>
      </c>
      <c r="D338" s="216">
        <v>7771</v>
      </c>
      <c r="E338" s="216">
        <v>0</v>
      </c>
      <c r="F338" s="216">
        <v>0</v>
      </c>
      <c r="G338" s="216">
        <v>0</v>
      </c>
      <c r="H338" s="216">
        <v>0</v>
      </c>
      <c r="I338" s="216">
        <v>0</v>
      </c>
      <c r="J338" s="216">
        <v>12268</v>
      </c>
      <c r="K338" s="216">
        <v>0</v>
      </c>
      <c r="L338" s="216">
        <v>0</v>
      </c>
      <c r="M338" s="216">
        <v>0</v>
      </c>
      <c r="N338" s="216">
        <v>0</v>
      </c>
      <c r="O338" s="216">
        <v>0</v>
      </c>
      <c r="P338" s="216">
        <v>187</v>
      </c>
      <c r="Q338" s="216">
        <v>1921</v>
      </c>
      <c r="R338" s="216">
        <v>0</v>
      </c>
      <c r="S338" s="216">
        <v>17078</v>
      </c>
      <c r="T338" s="216">
        <v>0</v>
      </c>
      <c r="U338" s="216">
        <v>15331</v>
      </c>
      <c r="V338" s="216">
        <v>5490</v>
      </c>
      <c r="W338" s="216">
        <v>7310</v>
      </c>
      <c r="X338" s="216">
        <v>0</v>
      </c>
      <c r="Y338" s="216">
        <v>87604</v>
      </c>
      <c r="Z338" s="216">
        <v>0</v>
      </c>
      <c r="AA338" s="216">
        <v>17403</v>
      </c>
      <c r="AB338" s="216">
        <v>801</v>
      </c>
      <c r="AC338" s="105"/>
    </row>
    <row r="339" spans="1:29" s="20" customFormat="1" x14ac:dyDescent="0.25">
      <c r="A339" s="31">
        <f>'M&amp;R Stations'!A339</f>
        <v>39298</v>
      </c>
      <c r="B339" s="216">
        <v>2585</v>
      </c>
      <c r="C339" s="216">
        <v>0</v>
      </c>
      <c r="D339" s="216">
        <v>7805</v>
      </c>
      <c r="E339" s="216">
        <v>0</v>
      </c>
      <c r="F339" s="216">
        <v>0</v>
      </c>
      <c r="G339" s="216">
        <v>0</v>
      </c>
      <c r="H339" s="216">
        <v>0</v>
      </c>
      <c r="I339" s="216">
        <v>0</v>
      </c>
      <c r="J339" s="216">
        <v>12290</v>
      </c>
      <c r="K339" s="216">
        <v>0</v>
      </c>
      <c r="L339" s="216">
        <v>0</v>
      </c>
      <c r="M339" s="216">
        <v>0</v>
      </c>
      <c r="N339" s="216">
        <v>0</v>
      </c>
      <c r="O339" s="216">
        <v>0</v>
      </c>
      <c r="P339" s="216">
        <v>187</v>
      </c>
      <c r="Q339" s="216">
        <v>1914</v>
      </c>
      <c r="R339" s="216">
        <v>0</v>
      </c>
      <c r="S339" s="216">
        <v>17012</v>
      </c>
      <c r="T339" s="216">
        <v>0</v>
      </c>
      <c r="U339" s="216">
        <v>15272</v>
      </c>
      <c r="V339" s="216">
        <v>8069</v>
      </c>
      <c r="W339" s="216">
        <v>7282</v>
      </c>
      <c r="X339" s="216">
        <v>0</v>
      </c>
      <c r="Y339" s="216">
        <v>87265</v>
      </c>
      <c r="Z339" s="216">
        <v>0</v>
      </c>
      <c r="AA339" s="216">
        <v>17336</v>
      </c>
      <c r="AB339" s="216">
        <v>798</v>
      </c>
      <c r="AC339" s="105"/>
    </row>
    <row r="340" spans="1:29" s="20" customFormat="1" x14ac:dyDescent="0.25">
      <c r="A340" s="31">
        <f>'M&amp;R Stations'!A340</f>
        <v>39299</v>
      </c>
      <c r="B340" s="216">
        <v>2585</v>
      </c>
      <c r="C340" s="216">
        <v>0</v>
      </c>
      <c r="D340" s="216">
        <v>7806</v>
      </c>
      <c r="E340" s="216">
        <v>0</v>
      </c>
      <c r="F340" s="216">
        <v>0</v>
      </c>
      <c r="G340" s="216">
        <v>0</v>
      </c>
      <c r="H340" s="216">
        <v>0</v>
      </c>
      <c r="I340" s="216">
        <v>0</v>
      </c>
      <c r="J340" s="216">
        <v>12291</v>
      </c>
      <c r="K340" s="216">
        <v>0</v>
      </c>
      <c r="L340" s="216">
        <v>0</v>
      </c>
      <c r="M340" s="216">
        <v>0</v>
      </c>
      <c r="N340" s="216">
        <v>0</v>
      </c>
      <c r="O340" s="216">
        <v>0</v>
      </c>
      <c r="P340" s="216">
        <v>187</v>
      </c>
      <c r="Q340" s="216">
        <v>1914</v>
      </c>
      <c r="R340" s="216">
        <v>0</v>
      </c>
      <c r="S340" s="216">
        <v>17012</v>
      </c>
      <c r="T340" s="216">
        <v>0</v>
      </c>
      <c r="U340" s="216">
        <v>15272</v>
      </c>
      <c r="V340" s="216">
        <v>8986</v>
      </c>
      <c r="W340" s="216">
        <v>7282</v>
      </c>
      <c r="X340" s="216">
        <v>0</v>
      </c>
      <c r="Y340" s="216">
        <v>87265</v>
      </c>
      <c r="Z340" s="216">
        <v>0</v>
      </c>
      <c r="AA340" s="216">
        <v>17336</v>
      </c>
      <c r="AB340" s="216">
        <v>798</v>
      </c>
      <c r="AC340" s="105"/>
    </row>
    <row r="341" spans="1:29" s="20" customFormat="1" x14ac:dyDescent="0.25">
      <c r="A341" s="31">
        <f>'M&amp;R Stations'!A341</f>
        <v>39300</v>
      </c>
      <c r="B341" s="216">
        <v>2580</v>
      </c>
      <c r="C341" s="216">
        <v>0</v>
      </c>
      <c r="D341" s="216">
        <v>7761</v>
      </c>
      <c r="E341" s="216">
        <v>0</v>
      </c>
      <c r="F341" s="216">
        <v>0</v>
      </c>
      <c r="G341" s="216">
        <v>0</v>
      </c>
      <c r="H341" s="216">
        <v>0</v>
      </c>
      <c r="I341" s="216">
        <v>0</v>
      </c>
      <c r="J341" s="216">
        <v>12268</v>
      </c>
      <c r="K341" s="216">
        <v>0</v>
      </c>
      <c r="L341" s="216">
        <v>0</v>
      </c>
      <c r="M341" s="216">
        <v>0</v>
      </c>
      <c r="N341" s="216">
        <v>0</v>
      </c>
      <c r="O341" s="216">
        <v>0</v>
      </c>
      <c r="P341" s="216">
        <v>187</v>
      </c>
      <c r="Q341" s="216">
        <v>1912</v>
      </c>
      <c r="R341" s="216">
        <v>0</v>
      </c>
      <c r="S341" s="216">
        <v>16996</v>
      </c>
      <c r="T341" s="216">
        <v>0</v>
      </c>
      <c r="U341" s="216">
        <v>15257</v>
      </c>
      <c r="V341" s="216">
        <v>7716</v>
      </c>
      <c r="W341" s="216">
        <v>7275</v>
      </c>
      <c r="X341" s="216">
        <v>0</v>
      </c>
      <c r="Y341" s="216">
        <v>87181</v>
      </c>
      <c r="Z341" s="216">
        <v>0</v>
      </c>
      <c r="AA341" s="216">
        <v>17319</v>
      </c>
      <c r="AB341" s="216">
        <v>797</v>
      </c>
      <c r="AC341" s="105"/>
    </row>
    <row r="342" spans="1:29" s="20" customFormat="1" x14ac:dyDescent="0.25">
      <c r="A342" s="31">
        <f>'M&amp;R Stations'!A342</f>
        <v>39301</v>
      </c>
      <c r="B342" s="216">
        <v>2580</v>
      </c>
      <c r="C342" s="216">
        <v>0</v>
      </c>
      <c r="D342" s="216">
        <v>7761</v>
      </c>
      <c r="E342" s="216">
        <v>0</v>
      </c>
      <c r="F342" s="216">
        <v>0</v>
      </c>
      <c r="G342" s="216">
        <v>0</v>
      </c>
      <c r="H342" s="216">
        <v>0</v>
      </c>
      <c r="I342" s="216">
        <v>0</v>
      </c>
      <c r="J342" s="216">
        <v>12268</v>
      </c>
      <c r="K342" s="216">
        <v>0</v>
      </c>
      <c r="L342" s="216">
        <v>0</v>
      </c>
      <c r="M342" s="216">
        <v>0</v>
      </c>
      <c r="N342" s="216">
        <v>0</v>
      </c>
      <c r="O342" s="216">
        <v>0</v>
      </c>
      <c r="P342" s="216">
        <v>187</v>
      </c>
      <c r="Q342" s="216">
        <v>1914</v>
      </c>
      <c r="R342" s="216">
        <v>0</v>
      </c>
      <c r="S342" s="216">
        <v>17012</v>
      </c>
      <c r="T342" s="216">
        <v>0</v>
      </c>
      <c r="U342" s="216">
        <v>15272</v>
      </c>
      <c r="V342" s="216">
        <v>6474</v>
      </c>
      <c r="W342" s="216">
        <v>7282</v>
      </c>
      <c r="X342" s="216">
        <v>0</v>
      </c>
      <c r="Y342" s="216">
        <v>87265</v>
      </c>
      <c r="Z342" s="216">
        <v>0</v>
      </c>
      <c r="AA342" s="216">
        <v>17336</v>
      </c>
      <c r="AB342" s="216">
        <v>798</v>
      </c>
      <c r="AC342" s="105"/>
    </row>
    <row r="343" spans="1:29" s="20" customFormat="1" x14ac:dyDescent="0.25">
      <c r="A343" s="31">
        <f>'M&amp;R Stations'!A343</f>
        <v>39302</v>
      </c>
      <c r="B343" s="216">
        <v>2580</v>
      </c>
      <c r="C343" s="216">
        <v>0</v>
      </c>
      <c r="D343" s="216">
        <v>7761</v>
      </c>
      <c r="E343" s="216">
        <v>0</v>
      </c>
      <c r="F343" s="216">
        <v>0</v>
      </c>
      <c r="G343" s="216">
        <v>0</v>
      </c>
      <c r="H343" s="216">
        <v>0</v>
      </c>
      <c r="I343" s="216">
        <v>0</v>
      </c>
      <c r="J343" s="216">
        <v>12268</v>
      </c>
      <c r="K343" s="216">
        <v>0</v>
      </c>
      <c r="L343" s="216">
        <v>0</v>
      </c>
      <c r="M343" s="216">
        <v>0</v>
      </c>
      <c r="N343" s="216">
        <v>0</v>
      </c>
      <c r="O343" s="216">
        <v>0</v>
      </c>
      <c r="P343" s="216">
        <v>187</v>
      </c>
      <c r="Q343" s="216">
        <v>1910</v>
      </c>
      <c r="R343" s="216">
        <v>0</v>
      </c>
      <c r="S343" s="216">
        <v>16979</v>
      </c>
      <c r="T343" s="216">
        <v>0</v>
      </c>
      <c r="U343" s="216">
        <v>15242</v>
      </c>
      <c r="V343" s="216">
        <v>7491</v>
      </c>
      <c r="W343" s="216">
        <v>7268</v>
      </c>
      <c r="X343" s="216">
        <v>0</v>
      </c>
      <c r="Y343" s="216">
        <v>87097</v>
      </c>
      <c r="Z343" s="216">
        <v>0</v>
      </c>
      <c r="AA343" s="216">
        <v>17303</v>
      </c>
      <c r="AB343" s="216">
        <v>796</v>
      </c>
      <c r="AC343" s="105"/>
    </row>
    <row r="344" spans="1:29" s="20" customFormat="1" x14ac:dyDescent="0.25">
      <c r="A344" s="31">
        <f>'M&amp;R Stations'!A344</f>
        <v>39303</v>
      </c>
      <c r="B344" s="216">
        <v>2580</v>
      </c>
      <c r="C344" s="216">
        <v>0</v>
      </c>
      <c r="D344" s="216">
        <v>7761</v>
      </c>
      <c r="E344" s="216">
        <v>0</v>
      </c>
      <c r="F344" s="216">
        <v>0</v>
      </c>
      <c r="G344" s="216">
        <v>0</v>
      </c>
      <c r="H344" s="216">
        <v>0</v>
      </c>
      <c r="I344" s="216">
        <v>0</v>
      </c>
      <c r="J344" s="216">
        <v>12268</v>
      </c>
      <c r="K344" s="216">
        <v>0</v>
      </c>
      <c r="L344" s="216">
        <v>0</v>
      </c>
      <c r="M344" s="216">
        <v>0</v>
      </c>
      <c r="N344" s="216">
        <v>0</v>
      </c>
      <c r="O344" s="216">
        <v>0</v>
      </c>
      <c r="P344" s="216">
        <v>187</v>
      </c>
      <c r="Q344" s="216">
        <v>1907</v>
      </c>
      <c r="R344" s="216">
        <v>0</v>
      </c>
      <c r="S344" s="216">
        <v>16947</v>
      </c>
      <c r="T344" s="216">
        <v>0</v>
      </c>
      <c r="U344" s="216">
        <v>15213</v>
      </c>
      <c r="V344" s="216">
        <v>6925</v>
      </c>
      <c r="W344" s="216">
        <v>7254</v>
      </c>
      <c r="X344" s="216">
        <v>0</v>
      </c>
      <c r="Y344" s="216">
        <v>86930</v>
      </c>
      <c r="Z344" s="216">
        <v>0</v>
      </c>
      <c r="AA344" s="216">
        <v>17269</v>
      </c>
      <c r="AB344" s="216">
        <v>794</v>
      </c>
      <c r="AC344" s="105"/>
    </row>
    <row r="345" spans="1:29" s="20" customFormat="1" x14ac:dyDescent="0.25">
      <c r="A345" s="31">
        <f>'M&amp;R Stations'!A345</f>
        <v>39304</v>
      </c>
      <c r="B345" s="216">
        <v>2580</v>
      </c>
      <c r="C345" s="216">
        <v>0</v>
      </c>
      <c r="D345" s="216">
        <v>7751</v>
      </c>
      <c r="E345" s="216">
        <v>0</v>
      </c>
      <c r="F345" s="216">
        <v>0</v>
      </c>
      <c r="G345" s="216">
        <v>0</v>
      </c>
      <c r="H345" s="216">
        <v>0</v>
      </c>
      <c r="I345" s="216">
        <v>0</v>
      </c>
      <c r="J345" s="216">
        <v>12268</v>
      </c>
      <c r="K345" s="216">
        <v>0</v>
      </c>
      <c r="L345" s="216">
        <v>0</v>
      </c>
      <c r="M345" s="216">
        <v>0</v>
      </c>
      <c r="N345" s="216">
        <v>0</v>
      </c>
      <c r="O345" s="216">
        <v>0</v>
      </c>
      <c r="P345" s="216">
        <v>187</v>
      </c>
      <c r="Q345" s="216">
        <v>1910</v>
      </c>
      <c r="R345" s="216">
        <v>0</v>
      </c>
      <c r="S345" s="216">
        <v>16979</v>
      </c>
      <c r="T345" s="216">
        <v>0</v>
      </c>
      <c r="U345" s="216">
        <v>15242</v>
      </c>
      <c r="V345" s="216">
        <v>9349</v>
      </c>
      <c r="W345" s="216">
        <v>7268</v>
      </c>
      <c r="X345" s="216">
        <v>0</v>
      </c>
      <c r="Y345" s="216">
        <v>87097</v>
      </c>
      <c r="Z345" s="216">
        <v>0</v>
      </c>
      <c r="AA345" s="216">
        <v>17303</v>
      </c>
      <c r="AB345" s="216">
        <v>796</v>
      </c>
      <c r="AC345" s="105"/>
    </row>
    <row r="346" spans="1:29" s="20" customFormat="1" x14ac:dyDescent="0.25">
      <c r="A346" s="31">
        <f>'M&amp;R Stations'!A346</f>
        <v>39305</v>
      </c>
      <c r="B346" s="216">
        <v>2578</v>
      </c>
      <c r="C346" s="216">
        <v>0</v>
      </c>
      <c r="D346" s="216">
        <v>7782</v>
      </c>
      <c r="E346" s="216">
        <v>0</v>
      </c>
      <c r="F346" s="216">
        <v>0</v>
      </c>
      <c r="G346" s="216">
        <v>0</v>
      </c>
      <c r="H346" s="216">
        <v>0</v>
      </c>
      <c r="I346" s="216">
        <v>0</v>
      </c>
      <c r="J346" s="216">
        <v>12256</v>
      </c>
      <c r="K346" s="216">
        <v>0</v>
      </c>
      <c r="L346" s="216">
        <v>0</v>
      </c>
      <c r="M346" s="216">
        <v>0</v>
      </c>
      <c r="N346" s="216">
        <v>0</v>
      </c>
      <c r="O346" s="216">
        <v>0</v>
      </c>
      <c r="P346" s="216">
        <v>187</v>
      </c>
      <c r="Q346" s="216">
        <v>1897</v>
      </c>
      <c r="R346" s="216">
        <v>0</v>
      </c>
      <c r="S346" s="216">
        <v>16866</v>
      </c>
      <c r="T346" s="216">
        <v>0</v>
      </c>
      <c r="U346" s="216">
        <v>15140</v>
      </c>
      <c r="V346" s="216">
        <v>10595</v>
      </c>
      <c r="W346" s="216">
        <v>7219</v>
      </c>
      <c r="X346" s="216">
        <v>0</v>
      </c>
      <c r="Y346" s="216">
        <v>86514</v>
      </c>
      <c r="Z346" s="216">
        <v>0</v>
      </c>
      <c r="AA346" s="216">
        <v>17187</v>
      </c>
      <c r="AB346" s="216">
        <v>791</v>
      </c>
      <c r="AC346" s="105"/>
    </row>
    <row r="347" spans="1:29" s="20" customFormat="1" x14ac:dyDescent="0.25">
      <c r="A347" s="31">
        <f>'M&amp;R Stations'!A347</f>
        <v>39306</v>
      </c>
      <c r="B347" s="216">
        <v>2578</v>
      </c>
      <c r="C347" s="216">
        <v>0</v>
      </c>
      <c r="D347" s="216">
        <v>7782</v>
      </c>
      <c r="E347" s="216">
        <v>0</v>
      </c>
      <c r="F347" s="216">
        <v>0</v>
      </c>
      <c r="G347" s="216">
        <v>0</v>
      </c>
      <c r="H347" s="216">
        <v>0</v>
      </c>
      <c r="I347" s="216">
        <v>0</v>
      </c>
      <c r="J347" s="216">
        <v>12256</v>
      </c>
      <c r="K347" s="216">
        <v>0</v>
      </c>
      <c r="L347" s="216">
        <v>0</v>
      </c>
      <c r="M347" s="216">
        <v>0</v>
      </c>
      <c r="N347" s="216">
        <v>0</v>
      </c>
      <c r="O347" s="216">
        <v>0</v>
      </c>
      <c r="P347" s="216">
        <v>187</v>
      </c>
      <c r="Q347" s="216">
        <v>1899</v>
      </c>
      <c r="R347" s="216">
        <v>0</v>
      </c>
      <c r="S347" s="216">
        <v>16882</v>
      </c>
      <c r="T347" s="216">
        <v>0</v>
      </c>
      <c r="U347" s="216">
        <v>15155</v>
      </c>
      <c r="V347" s="216">
        <v>9872</v>
      </c>
      <c r="W347" s="216">
        <v>7226</v>
      </c>
      <c r="X347" s="216">
        <v>0</v>
      </c>
      <c r="Y347" s="216">
        <v>86597</v>
      </c>
      <c r="Z347" s="216">
        <v>0</v>
      </c>
      <c r="AA347" s="216">
        <v>17203</v>
      </c>
      <c r="AB347" s="216">
        <v>791</v>
      </c>
      <c r="AC347" s="105"/>
    </row>
    <row r="348" spans="1:29" s="20" customFormat="1" x14ac:dyDescent="0.25">
      <c r="A348" s="31">
        <f>'M&amp;R Stations'!A348</f>
        <v>39307</v>
      </c>
      <c r="B348" s="216">
        <v>2578</v>
      </c>
      <c r="C348" s="216">
        <v>0</v>
      </c>
      <c r="D348" s="216">
        <v>7753</v>
      </c>
      <c r="E348" s="216">
        <v>0</v>
      </c>
      <c r="F348" s="216">
        <v>0</v>
      </c>
      <c r="G348" s="216">
        <v>0</v>
      </c>
      <c r="H348" s="216">
        <v>0</v>
      </c>
      <c r="I348" s="216">
        <v>0</v>
      </c>
      <c r="J348" s="216">
        <v>12256</v>
      </c>
      <c r="K348" s="216">
        <v>0</v>
      </c>
      <c r="L348" s="216">
        <v>0</v>
      </c>
      <c r="M348" s="216">
        <v>0</v>
      </c>
      <c r="N348" s="216">
        <v>0</v>
      </c>
      <c r="O348" s="216">
        <v>0</v>
      </c>
      <c r="P348" s="216">
        <v>186</v>
      </c>
      <c r="Q348" s="216">
        <v>1896</v>
      </c>
      <c r="R348" s="216">
        <v>0</v>
      </c>
      <c r="S348" s="216">
        <v>16850</v>
      </c>
      <c r="T348" s="216">
        <v>0</v>
      </c>
      <c r="U348" s="216">
        <v>15126</v>
      </c>
      <c r="V348" s="216">
        <v>10966</v>
      </c>
      <c r="W348" s="216">
        <v>7212</v>
      </c>
      <c r="X348" s="216">
        <v>0</v>
      </c>
      <c r="Y348" s="216">
        <v>86431</v>
      </c>
      <c r="Z348" s="216">
        <v>0</v>
      </c>
      <c r="AA348" s="216">
        <v>17170</v>
      </c>
      <c r="AB348" s="216">
        <v>790</v>
      </c>
      <c r="AC348" s="105"/>
    </row>
    <row r="349" spans="1:29" s="20" customFormat="1" x14ac:dyDescent="0.25">
      <c r="A349" s="31">
        <f>'M&amp;R Stations'!A349</f>
        <v>39308</v>
      </c>
      <c r="B349" s="216">
        <v>2575</v>
      </c>
      <c r="C349" s="216">
        <v>0</v>
      </c>
      <c r="D349" s="216">
        <v>7623</v>
      </c>
      <c r="E349" s="216">
        <v>0</v>
      </c>
      <c r="F349" s="216">
        <v>0</v>
      </c>
      <c r="G349" s="216">
        <v>0</v>
      </c>
      <c r="H349" s="216">
        <v>0</v>
      </c>
      <c r="I349" s="216">
        <v>0</v>
      </c>
      <c r="J349" s="216">
        <v>12244</v>
      </c>
      <c r="K349" s="216">
        <v>0</v>
      </c>
      <c r="L349" s="216">
        <v>0</v>
      </c>
      <c r="M349" s="216">
        <v>0</v>
      </c>
      <c r="N349" s="216">
        <v>0</v>
      </c>
      <c r="O349" s="216">
        <v>0</v>
      </c>
      <c r="P349" s="216">
        <v>185</v>
      </c>
      <c r="Q349" s="216">
        <v>1919</v>
      </c>
      <c r="R349" s="216">
        <v>0</v>
      </c>
      <c r="S349" s="216">
        <v>17062</v>
      </c>
      <c r="T349" s="216">
        <v>0</v>
      </c>
      <c r="U349" s="216">
        <v>15316</v>
      </c>
      <c r="V349" s="216">
        <v>11078</v>
      </c>
      <c r="W349" s="216">
        <v>7303</v>
      </c>
      <c r="X349" s="216">
        <v>0</v>
      </c>
      <c r="Y349" s="216">
        <v>87519</v>
      </c>
      <c r="Z349" s="216">
        <v>0</v>
      </c>
      <c r="AA349" s="216">
        <v>17386</v>
      </c>
      <c r="AB349" s="216">
        <v>800</v>
      </c>
      <c r="AC349" s="105"/>
    </row>
    <row r="350" spans="1:29" s="20" customFormat="1" x14ac:dyDescent="0.25">
      <c r="A350" s="31">
        <f>'M&amp;R Stations'!A350</f>
        <v>39309</v>
      </c>
      <c r="B350" s="216">
        <v>2575</v>
      </c>
      <c r="C350" s="216">
        <v>0</v>
      </c>
      <c r="D350" s="216">
        <v>7633</v>
      </c>
      <c r="E350" s="216">
        <v>0</v>
      </c>
      <c r="F350" s="216">
        <v>0</v>
      </c>
      <c r="G350" s="216">
        <v>0</v>
      </c>
      <c r="H350" s="216">
        <v>0</v>
      </c>
      <c r="I350" s="216">
        <v>0</v>
      </c>
      <c r="J350" s="216">
        <v>12244</v>
      </c>
      <c r="K350" s="216">
        <v>0</v>
      </c>
      <c r="L350" s="216">
        <v>0</v>
      </c>
      <c r="M350" s="216">
        <v>0</v>
      </c>
      <c r="N350" s="216">
        <v>0</v>
      </c>
      <c r="O350" s="216">
        <v>0</v>
      </c>
      <c r="P350" s="216">
        <v>185</v>
      </c>
      <c r="Q350" s="216">
        <v>1892</v>
      </c>
      <c r="R350" s="216">
        <v>0</v>
      </c>
      <c r="S350" s="216">
        <v>16817</v>
      </c>
      <c r="T350" s="216">
        <v>0</v>
      </c>
      <c r="U350" s="216">
        <v>15097</v>
      </c>
      <c r="V350" s="216">
        <v>10816</v>
      </c>
      <c r="W350" s="216">
        <v>7198</v>
      </c>
      <c r="X350" s="216">
        <v>0</v>
      </c>
      <c r="Y350" s="216">
        <v>86266</v>
      </c>
      <c r="Z350" s="216">
        <v>0</v>
      </c>
      <c r="AA350" s="216">
        <v>17137</v>
      </c>
      <c r="AB350" s="216">
        <v>788</v>
      </c>
      <c r="AC350" s="105"/>
    </row>
    <row r="351" spans="1:29" s="20" customFormat="1" x14ac:dyDescent="0.25">
      <c r="A351" s="31">
        <f>'M&amp;R Stations'!A351</f>
        <v>39310</v>
      </c>
      <c r="B351" s="216">
        <v>2570</v>
      </c>
      <c r="C351" s="216">
        <v>0</v>
      </c>
      <c r="D351" s="216">
        <v>7609</v>
      </c>
      <c r="E351" s="216">
        <v>0</v>
      </c>
      <c r="F351" s="216">
        <v>0</v>
      </c>
      <c r="G351" s="216">
        <v>0</v>
      </c>
      <c r="H351" s="216">
        <v>0</v>
      </c>
      <c r="I351" s="216">
        <v>0</v>
      </c>
      <c r="J351" s="216">
        <v>12220</v>
      </c>
      <c r="K351" s="216">
        <v>0</v>
      </c>
      <c r="L351" s="216">
        <v>0</v>
      </c>
      <c r="M351" s="216">
        <v>0</v>
      </c>
      <c r="N351" s="216">
        <v>0</v>
      </c>
      <c r="O351" s="216">
        <v>0</v>
      </c>
      <c r="P351" s="216">
        <v>185</v>
      </c>
      <c r="Q351" s="216">
        <v>1921</v>
      </c>
      <c r="R351" s="216">
        <v>0</v>
      </c>
      <c r="S351" s="216">
        <v>17078</v>
      </c>
      <c r="T351" s="216">
        <v>0</v>
      </c>
      <c r="U351" s="216">
        <v>15331</v>
      </c>
      <c r="V351" s="216">
        <v>8690</v>
      </c>
      <c r="W351" s="216">
        <v>7310</v>
      </c>
      <c r="X351" s="216">
        <v>0</v>
      </c>
      <c r="Y351" s="216">
        <v>87604</v>
      </c>
      <c r="Z351" s="216">
        <v>0</v>
      </c>
      <c r="AA351" s="216">
        <v>17403</v>
      </c>
      <c r="AB351" s="216">
        <v>801</v>
      </c>
      <c r="AC351" s="105"/>
    </row>
    <row r="352" spans="1:29" s="20" customFormat="1" x14ac:dyDescent="0.25">
      <c r="A352" s="31">
        <f>'M&amp;R Stations'!A352</f>
        <v>39311</v>
      </c>
      <c r="B352" s="216">
        <v>2575</v>
      </c>
      <c r="C352" s="216">
        <v>0</v>
      </c>
      <c r="D352" s="216">
        <v>7633</v>
      </c>
      <c r="E352" s="216">
        <v>0</v>
      </c>
      <c r="F352" s="216">
        <v>0</v>
      </c>
      <c r="G352" s="216">
        <v>0</v>
      </c>
      <c r="H352" s="216">
        <v>0</v>
      </c>
      <c r="I352" s="216">
        <v>0</v>
      </c>
      <c r="J352" s="216">
        <v>12244</v>
      </c>
      <c r="K352" s="216">
        <v>0</v>
      </c>
      <c r="L352" s="216">
        <v>0</v>
      </c>
      <c r="M352" s="216">
        <v>0</v>
      </c>
      <c r="N352" s="216">
        <v>0</v>
      </c>
      <c r="O352" s="216">
        <v>0</v>
      </c>
      <c r="P352" s="216">
        <v>185</v>
      </c>
      <c r="Q352" s="216">
        <v>1892</v>
      </c>
      <c r="R352" s="216">
        <v>0</v>
      </c>
      <c r="S352" s="216">
        <v>16817</v>
      </c>
      <c r="T352" s="216">
        <v>0</v>
      </c>
      <c r="U352" s="216">
        <v>15097</v>
      </c>
      <c r="V352" s="216">
        <v>8499</v>
      </c>
      <c r="W352" s="216">
        <v>7198</v>
      </c>
      <c r="X352" s="216">
        <v>0</v>
      </c>
      <c r="Y352" s="216">
        <v>86266</v>
      </c>
      <c r="Z352" s="216">
        <v>0</v>
      </c>
      <c r="AA352" s="216">
        <v>17137</v>
      </c>
      <c r="AB352" s="216">
        <v>788</v>
      </c>
      <c r="AC352" s="105"/>
    </row>
    <row r="353" spans="1:29" s="20" customFormat="1" x14ac:dyDescent="0.25">
      <c r="A353" s="31">
        <f>'M&amp;R Stations'!A353</f>
        <v>39312</v>
      </c>
      <c r="B353" s="216">
        <v>2583</v>
      </c>
      <c r="C353" s="216">
        <v>0</v>
      </c>
      <c r="D353" s="216">
        <v>7676</v>
      </c>
      <c r="E353" s="216">
        <v>0</v>
      </c>
      <c r="F353" s="216">
        <v>0</v>
      </c>
      <c r="G353" s="216">
        <v>0</v>
      </c>
      <c r="H353" s="216">
        <v>0</v>
      </c>
      <c r="I353" s="216">
        <v>0</v>
      </c>
      <c r="J353" s="216">
        <v>12280</v>
      </c>
      <c r="K353" s="216">
        <v>0</v>
      </c>
      <c r="L353" s="216">
        <v>0</v>
      </c>
      <c r="M353" s="216">
        <v>0</v>
      </c>
      <c r="N353" s="216">
        <v>0</v>
      </c>
      <c r="O353" s="216">
        <v>0</v>
      </c>
      <c r="P353" s="216">
        <v>186</v>
      </c>
      <c r="Q353" s="216">
        <v>1916</v>
      </c>
      <c r="R353" s="216">
        <v>0</v>
      </c>
      <c r="S353" s="216">
        <v>17029</v>
      </c>
      <c r="T353" s="216">
        <v>0</v>
      </c>
      <c r="U353" s="216">
        <v>15287</v>
      </c>
      <c r="V353" s="216">
        <v>10401</v>
      </c>
      <c r="W353" s="216">
        <v>7289</v>
      </c>
      <c r="X353" s="216">
        <v>0</v>
      </c>
      <c r="Y353" s="216">
        <v>87350</v>
      </c>
      <c r="Z353" s="216">
        <v>0</v>
      </c>
      <c r="AA353" s="216">
        <v>17353</v>
      </c>
      <c r="AB353" s="216">
        <v>798</v>
      </c>
      <c r="AC353" s="105"/>
    </row>
    <row r="354" spans="1:29" s="20" customFormat="1" x14ac:dyDescent="0.25">
      <c r="A354" s="31">
        <f>'M&amp;R Stations'!A354</f>
        <v>39313</v>
      </c>
      <c r="B354" s="216">
        <v>2578</v>
      </c>
      <c r="C354" s="216">
        <v>0</v>
      </c>
      <c r="D354" s="216">
        <v>7631</v>
      </c>
      <c r="E354" s="216">
        <v>0</v>
      </c>
      <c r="F354" s="216">
        <v>0</v>
      </c>
      <c r="G354" s="216">
        <v>0</v>
      </c>
      <c r="H354" s="216">
        <v>0</v>
      </c>
      <c r="I354" s="216">
        <v>0</v>
      </c>
      <c r="J354" s="216">
        <v>12256</v>
      </c>
      <c r="K354" s="216">
        <v>0</v>
      </c>
      <c r="L354" s="216">
        <v>0</v>
      </c>
      <c r="M354" s="216">
        <v>0</v>
      </c>
      <c r="N354" s="216">
        <v>0</v>
      </c>
      <c r="O354" s="216">
        <v>0</v>
      </c>
      <c r="P354" s="216">
        <v>185</v>
      </c>
      <c r="Q354" s="216">
        <v>1916</v>
      </c>
      <c r="R354" s="216">
        <v>0</v>
      </c>
      <c r="S354" s="216">
        <v>17029</v>
      </c>
      <c r="T354" s="216">
        <v>0</v>
      </c>
      <c r="U354" s="216">
        <v>15287</v>
      </c>
      <c r="V354" s="216">
        <v>11903</v>
      </c>
      <c r="W354" s="216">
        <v>7289</v>
      </c>
      <c r="X354" s="216">
        <v>0</v>
      </c>
      <c r="Y354" s="216">
        <v>87350</v>
      </c>
      <c r="Z354" s="216">
        <v>0</v>
      </c>
      <c r="AA354" s="216">
        <v>17353</v>
      </c>
      <c r="AB354" s="216">
        <v>798</v>
      </c>
      <c r="AC354" s="105"/>
    </row>
    <row r="355" spans="1:29" s="20" customFormat="1" x14ac:dyDescent="0.25">
      <c r="A355" s="31">
        <f>'M&amp;R Stations'!A355</f>
        <v>39314</v>
      </c>
      <c r="B355" s="216">
        <v>2578</v>
      </c>
      <c r="C355" s="216">
        <v>0</v>
      </c>
      <c r="D355" s="216">
        <v>7582</v>
      </c>
      <c r="E355" s="216">
        <v>0</v>
      </c>
      <c r="F355" s="216">
        <v>0</v>
      </c>
      <c r="G355" s="216">
        <v>0</v>
      </c>
      <c r="H355" s="216">
        <v>0</v>
      </c>
      <c r="I355" s="216">
        <v>0</v>
      </c>
      <c r="J355" s="216">
        <v>12256</v>
      </c>
      <c r="K355" s="216">
        <v>0</v>
      </c>
      <c r="L355" s="216">
        <v>0</v>
      </c>
      <c r="M355" s="216">
        <v>0</v>
      </c>
      <c r="N355" s="216">
        <v>0</v>
      </c>
      <c r="O355" s="216">
        <v>0</v>
      </c>
      <c r="P355" s="216">
        <v>185</v>
      </c>
      <c r="Q355" s="216">
        <v>1918</v>
      </c>
      <c r="R355" s="216">
        <v>0</v>
      </c>
      <c r="S355" s="216">
        <v>17045</v>
      </c>
      <c r="T355" s="216">
        <v>0</v>
      </c>
      <c r="U355" s="216">
        <v>15301</v>
      </c>
      <c r="V355" s="216">
        <v>12838</v>
      </c>
      <c r="W355" s="216">
        <v>7296</v>
      </c>
      <c r="X355" s="216">
        <v>0</v>
      </c>
      <c r="Y355" s="216">
        <v>87434</v>
      </c>
      <c r="Z355" s="216">
        <v>0</v>
      </c>
      <c r="AA355" s="216">
        <v>17369</v>
      </c>
      <c r="AB355" s="216">
        <v>799</v>
      </c>
      <c r="AC355" s="105"/>
    </row>
    <row r="356" spans="1:29" s="20" customFormat="1" x14ac:dyDescent="0.25">
      <c r="A356" s="31">
        <f>'M&amp;R Stations'!A356</f>
        <v>39315</v>
      </c>
      <c r="B356" s="216">
        <v>2560</v>
      </c>
      <c r="C356" s="216">
        <v>0</v>
      </c>
      <c r="D356" s="216">
        <v>7498</v>
      </c>
      <c r="E356" s="216">
        <v>0</v>
      </c>
      <c r="F356" s="216">
        <v>0</v>
      </c>
      <c r="G356" s="216">
        <v>0</v>
      </c>
      <c r="H356" s="216">
        <v>0</v>
      </c>
      <c r="I356" s="216">
        <v>0</v>
      </c>
      <c r="J356" s="216">
        <v>12173</v>
      </c>
      <c r="K356" s="216">
        <v>0</v>
      </c>
      <c r="L356" s="216">
        <v>0</v>
      </c>
      <c r="M356" s="216">
        <v>0</v>
      </c>
      <c r="N356" s="216">
        <v>0</v>
      </c>
      <c r="O356" s="216">
        <v>0</v>
      </c>
      <c r="P356" s="216">
        <v>183</v>
      </c>
      <c r="Q356" s="216">
        <v>1910</v>
      </c>
      <c r="R356" s="216">
        <v>0</v>
      </c>
      <c r="S356" s="216">
        <v>16979</v>
      </c>
      <c r="T356" s="216">
        <v>0</v>
      </c>
      <c r="U356" s="216">
        <v>15242</v>
      </c>
      <c r="V356" s="216">
        <v>14662</v>
      </c>
      <c r="W356" s="216">
        <v>7268</v>
      </c>
      <c r="X356" s="216">
        <v>0</v>
      </c>
      <c r="Y356" s="216">
        <v>87097</v>
      </c>
      <c r="Z356" s="216">
        <v>0</v>
      </c>
      <c r="AA356" s="216">
        <v>17303</v>
      </c>
      <c r="AB356" s="216">
        <v>796</v>
      </c>
      <c r="AC356" s="105"/>
    </row>
    <row r="357" spans="1:29" s="20" customFormat="1" x14ac:dyDescent="0.25">
      <c r="A357" s="31">
        <f>'M&amp;R Stations'!A357</f>
        <v>39316</v>
      </c>
      <c r="B357" s="216">
        <v>2580</v>
      </c>
      <c r="C357" s="216">
        <v>0</v>
      </c>
      <c r="D357" s="216">
        <v>7569</v>
      </c>
      <c r="E357" s="216">
        <v>0</v>
      </c>
      <c r="F357" s="216">
        <v>0</v>
      </c>
      <c r="G357" s="216">
        <v>0</v>
      </c>
      <c r="H357" s="216">
        <v>0</v>
      </c>
      <c r="I357" s="216">
        <v>0</v>
      </c>
      <c r="J357" s="216">
        <v>12268</v>
      </c>
      <c r="K357" s="216">
        <v>0</v>
      </c>
      <c r="L357" s="216">
        <v>0</v>
      </c>
      <c r="M357" s="216">
        <v>0</v>
      </c>
      <c r="N357" s="216">
        <v>0</v>
      </c>
      <c r="O357" s="216">
        <v>0</v>
      </c>
      <c r="P357" s="216">
        <v>185</v>
      </c>
      <c r="Q357" s="216">
        <v>1908</v>
      </c>
      <c r="R357" s="216">
        <v>0</v>
      </c>
      <c r="S357" s="216">
        <v>16963</v>
      </c>
      <c r="T357" s="216">
        <v>0</v>
      </c>
      <c r="U357" s="216">
        <v>15228</v>
      </c>
      <c r="V357" s="216">
        <v>14626</v>
      </c>
      <c r="W357" s="216">
        <v>7261</v>
      </c>
      <c r="X357" s="216">
        <v>0</v>
      </c>
      <c r="Y357" s="216">
        <v>88253</v>
      </c>
      <c r="Z357" s="216">
        <v>0</v>
      </c>
      <c r="AA357" s="216">
        <v>17286</v>
      </c>
      <c r="AB357" s="216">
        <v>795</v>
      </c>
      <c r="AC357" s="105"/>
    </row>
    <row r="358" spans="1:29" s="20" customFormat="1" x14ac:dyDescent="0.25">
      <c r="A358" s="31">
        <f>'M&amp;R Stations'!A358</f>
        <v>39317</v>
      </c>
      <c r="B358" s="216">
        <v>2578</v>
      </c>
      <c r="C358" s="216">
        <v>0</v>
      </c>
      <c r="D358" s="216">
        <v>7601</v>
      </c>
      <c r="E358" s="216">
        <v>0</v>
      </c>
      <c r="F358" s="216">
        <v>0</v>
      </c>
      <c r="G358" s="216">
        <v>0</v>
      </c>
      <c r="H358" s="216">
        <v>0</v>
      </c>
      <c r="I358" s="216">
        <v>0</v>
      </c>
      <c r="J358" s="216">
        <v>12256</v>
      </c>
      <c r="K358" s="216">
        <v>0</v>
      </c>
      <c r="L358" s="216">
        <v>0</v>
      </c>
      <c r="M358" s="216">
        <v>0</v>
      </c>
      <c r="N358" s="216">
        <v>0</v>
      </c>
      <c r="O358" s="216">
        <v>0</v>
      </c>
      <c r="P358" s="216">
        <v>185</v>
      </c>
      <c r="Q358" s="216">
        <v>1899</v>
      </c>
      <c r="R358" s="216">
        <v>0</v>
      </c>
      <c r="S358" s="216">
        <v>16882</v>
      </c>
      <c r="T358" s="216">
        <v>0</v>
      </c>
      <c r="U358" s="216">
        <v>15155</v>
      </c>
      <c r="V358" s="216">
        <v>12936</v>
      </c>
      <c r="W358" s="216">
        <v>7226</v>
      </c>
      <c r="X358" s="216">
        <v>0</v>
      </c>
      <c r="Y358" s="216">
        <v>87830</v>
      </c>
      <c r="Z358" s="216">
        <v>0</v>
      </c>
      <c r="AA358" s="216">
        <v>17203</v>
      </c>
      <c r="AB358" s="216">
        <v>791</v>
      </c>
      <c r="AC358" s="105"/>
    </row>
    <row r="359" spans="1:29" s="20" customFormat="1" x14ac:dyDescent="0.25">
      <c r="A359" s="31">
        <f>'M&amp;R Stations'!A359</f>
        <v>39318</v>
      </c>
      <c r="B359" s="216">
        <v>2580</v>
      </c>
      <c r="C359" s="216">
        <v>0</v>
      </c>
      <c r="D359" s="216">
        <v>7638</v>
      </c>
      <c r="E359" s="216">
        <v>0</v>
      </c>
      <c r="F359" s="216">
        <v>0</v>
      </c>
      <c r="G359" s="216">
        <v>0</v>
      </c>
      <c r="H359" s="216">
        <v>0</v>
      </c>
      <c r="I359" s="216">
        <v>0</v>
      </c>
      <c r="J359" s="216">
        <v>12268</v>
      </c>
      <c r="K359" s="216">
        <v>0</v>
      </c>
      <c r="L359" s="216">
        <v>0</v>
      </c>
      <c r="M359" s="216">
        <v>0</v>
      </c>
      <c r="N359" s="216">
        <v>0</v>
      </c>
      <c r="O359" s="216">
        <v>0</v>
      </c>
      <c r="P359" s="216">
        <v>186</v>
      </c>
      <c r="Q359" s="216">
        <v>1912</v>
      </c>
      <c r="R359" s="216">
        <v>0</v>
      </c>
      <c r="S359" s="216">
        <v>16996</v>
      </c>
      <c r="T359" s="216">
        <v>0</v>
      </c>
      <c r="U359" s="216">
        <v>15257</v>
      </c>
      <c r="V359" s="216">
        <v>8749</v>
      </c>
      <c r="W359" s="216">
        <v>7275</v>
      </c>
      <c r="X359" s="216">
        <v>0</v>
      </c>
      <c r="Y359" s="216">
        <v>88423</v>
      </c>
      <c r="Z359" s="216">
        <v>0</v>
      </c>
      <c r="AA359" s="216">
        <v>17319</v>
      </c>
      <c r="AB359" s="216">
        <v>797</v>
      </c>
      <c r="AC359" s="105"/>
    </row>
    <row r="360" spans="1:29" s="20" customFormat="1" x14ac:dyDescent="0.25">
      <c r="A360" s="31">
        <f>'M&amp;R Stations'!A360</f>
        <v>39319</v>
      </c>
      <c r="B360" s="216">
        <v>2580</v>
      </c>
      <c r="C360" s="216">
        <v>0</v>
      </c>
      <c r="D360" s="216">
        <v>7679</v>
      </c>
      <c r="E360" s="216">
        <v>0</v>
      </c>
      <c r="F360" s="216">
        <v>0</v>
      </c>
      <c r="G360" s="216">
        <v>0</v>
      </c>
      <c r="H360" s="216">
        <v>0</v>
      </c>
      <c r="I360" s="216">
        <v>0</v>
      </c>
      <c r="J360" s="216">
        <v>12268</v>
      </c>
      <c r="K360" s="216">
        <v>0</v>
      </c>
      <c r="L360" s="216">
        <v>0</v>
      </c>
      <c r="M360" s="216">
        <v>0</v>
      </c>
      <c r="N360" s="216">
        <v>0</v>
      </c>
      <c r="O360" s="216">
        <v>0</v>
      </c>
      <c r="P360" s="216">
        <v>186</v>
      </c>
      <c r="Q360" s="216">
        <v>1908</v>
      </c>
      <c r="R360" s="216">
        <v>0</v>
      </c>
      <c r="S360" s="216">
        <v>16963</v>
      </c>
      <c r="T360" s="216">
        <v>0</v>
      </c>
      <c r="U360" s="216">
        <v>15228</v>
      </c>
      <c r="V360" s="216">
        <v>7785</v>
      </c>
      <c r="W360" s="216">
        <v>7261</v>
      </c>
      <c r="X360" s="216">
        <v>0</v>
      </c>
      <c r="Y360" s="216">
        <v>88253</v>
      </c>
      <c r="Z360" s="216">
        <v>0</v>
      </c>
      <c r="AA360" s="216">
        <v>17286</v>
      </c>
      <c r="AB360" s="216">
        <v>795</v>
      </c>
      <c r="AC360" s="105"/>
    </row>
    <row r="361" spans="1:29" s="20" customFormat="1" x14ac:dyDescent="0.25">
      <c r="A361" s="31">
        <f>'M&amp;R Stations'!A361</f>
        <v>39320</v>
      </c>
      <c r="B361" s="216">
        <v>2575</v>
      </c>
      <c r="C361" s="216">
        <v>0</v>
      </c>
      <c r="D361" s="216">
        <v>7644</v>
      </c>
      <c r="E361" s="216">
        <v>0</v>
      </c>
      <c r="F361" s="216">
        <v>0</v>
      </c>
      <c r="G361" s="216">
        <v>0</v>
      </c>
      <c r="H361" s="216">
        <v>0</v>
      </c>
      <c r="I361" s="216">
        <v>0</v>
      </c>
      <c r="J361" s="216">
        <v>12244</v>
      </c>
      <c r="K361" s="216">
        <v>0</v>
      </c>
      <c r="L361" s="216">
        <v>0</v>
      </c>
      <c r="M361" s="216">
        <v>0</v>
      </c>
      <c r="N361" s="216">
        <v>0</v>
      </c>
      <c r="O361" s="216">
        <v>0</v>
      </c>
      <c r="P361" s="216">
        <v>185</v>
      </c>
      <c r="Q361" s="216">
        <v>1916</v>
      </c>
      <c r="R361" s="216">
        <v>0</v>
      </c>
      <c r="S361" s="216">
        <v>17029</v>
      </c>
      <c r="T361" s="216">
        <v>0</v>
      </c>
      <c r="U361" s="216">
        <v>15287</v>
      </c>
      <c r="V361" s="216">
        <v>12354</v>
      </c>
      <c r="W361" s="216">
        <v>7289</v>
      </c>
      <c r="X361" s="216">
        <v>0</v>
      </c>
      <c r="Y361" s="216">
        <v>88594</v>
      </c>
      <c r="Z361" s="216">
        <v>0</v>
      </c>
      <c r="AA361" s="216">
        <v>17353</v>
      </c>
      <c r="AB361" s="216">
        <v>798</v>
      </c>
      <c r="AC361" s="105"/>
    </row>
    <row r="362" spans="1:29" s="20" customFormat="1" x14ac:dyDescent="0.25">
      <c r="A362" s="31">
        <f>'M&amp;R Stations'!A362</f>
        <v>39321</v>
      </c>
      <c r="B362" s="216">
        <v>2578</v>
      </c>
      <c r="C362" s="216">
        <v>0</v>
      </c>
      <c r="D362" s="216">
        <v>7612</v>
      </c>
      <c r="E362" s="216">
        <v>0</v>
      </c>
      <c r="F362" s="216">
        <v>0</v>
      </c>
      <c r="G362" s="216">
        <v>0</v>
      </c>
      <c r="H362" s="216">
        <v>0</v>
      </c>
      <c r="I362" s="216">
        <v>0</v>
      </c>
      <c r="J362" s="216">
        <v>12256</v>
      </c>
      <c r="K362" s="216">
        <v>0</v>
      </c>
      <c r="L362" s="216">
        <v>0</v>
      </c>
      <c r="M362" s="216">
        <v>0</v>
      </c>
      <c r="N362" s="216">
        <v>0</v>
      </c>
      <c r="O362" s="216">
        <v>0</v>
      </c>
      <c r="P362" s="216">
        <v>185</v>
      </c>
      <c r="Q362" s="216">
        <v>1914</v>
      </c>
      <c r="R362" s="216">
        <v>0</v>
      </c>
      <c r="S362" s="216">
        <v>17012</v>
      </c>
      <c r="T362" s="216">
        <v>0</v>
      </c>
      <c r="U362" s="216">
        <v>15272</v>
      </c>
      <c r="V362" s="216">
        <v>11269</v>
      </c>
      <c r="W362" s="216">
        <v>7282</v>
      </c>
      <c r="X362" s="216">
        <v>0</v>
      </c>
      <c r="Y362" s="216">
        <v>88509</v>
      </c>
      <c r="Z362" s="216">
        <v>0</v>
      </c>
      <c r="AA362" s="216">
        <v>17336</v>
      </c>
      <c r="AB362" s="216">
        <v>798</v>
      </c>
      <c r="AC362" s="105"/>
    </row>
    <row r="363" spans="1:29" s="20" customFormat="1" x14ac:dyDescent="0.25">
      <c r="A363" s="31">
        <f>'M&amp;R Stations'!A363</f>
        <v>39322</v>
      </c>
      <c r="B363" s="216">
        <v>2578</v>
      </c>
      <c r="C363" s="216">
        <v>0</v>
      </c>
      <c r="D363" s="216">
        <v>7612</v>
      </c>
      <c r="E363" s="216">
        <v>0</v>
      </c>
      <c r="F363" s="216">
        <v>0</v>
      </c>
      <c r="G363" s="216">
        <v>0</v>
      </c>
      <c r="H363" s="216">
        <v>0</v>
      </c>
      <c r="I363" s="216">
        <v>0</v>
      </c>
      <c r="J363" s="216">
        <v>12256</v>
      </c>
      <c r="K363" s="216">
        <v>0</v>
      </c>
      <c r="L363" s="216">
        <v>0</v>
      </c>
      <c r="M363" s="216">
        <v>0</v>
      </c>
      <c r="N363" s="216">
        <v>0</v>
      </c>
      <c r="O363" s="216">
        <v>0</v>
      </c>
      <c r="P363" s="216">
        <v>185</v>
      </c>
      <c r="Q363" s="216">
        <v>1914</v>
      </c>
      <c r="R363" s="216">
        <v>0</v>
      </c>
      <c r="S363" s="216">
        <v>17012</v>
      </c>
      <c r="T363" s="216">
        <v>0</v>
      </c>
      <c r="U363" s="216">
        <v>15272</v>
      </c>
      <c r="V363" s="216">
        <v>11967</v>
      </c>
      <c r="W363" s="216">
        <v>7282</v>
      </c>
      <c r="X363" s="216">
        <v>0</v>
      </c>
      <c r="Y363" s="216">
        <v>88509</v>
      </c>
      <c r="Z363" s="216">
        <v>0</v>
      </c>
      <c r="AA363" s="216">
        <v>17336</v>
      </c>
      <c r="AB363" s="216">
        <v>798</v>
      </c>
      <c r="AC363" s="105"/>
    </row>
    <row r="364" spans="1:29" s="20" customFormat="1" x14ac:dyDescent="0.25">
      <c r="A364" s="31">
        <f>'M&amp;R Stations'!A364</f>
        <v>39323</v>
      </c>
      <c r="B364" s="216">
        <v>2575</v>
      </c>
      <c r="C364" s="216">
        <v>0</v>
      </c>
      <c r="D364" s="216">
        <v>7623</v>
      </c>
      <c r="E364" s="216">
        <v>0</v>
      </c>
      <c r="F364" s="216">
        <v>0</v>
      </c>
      <c r="G364" s="216">
        <v>0</v>
      </c>
      <c r="H364" s="216">
        <v>0</v>
      </c>
      <c r="I364" s="216">
        <v>0</v>
      </c>
      <c r="J364" s="216">
        <v>12244</v>
      </c>
      <c r="K364" s="216">
        <v>0</v>
      </c>
      <c r="L364" s="216">
        <v>0</v>
      </c>
      <c r="M364" s="216">
        <v>0</v>
      </c>
      <c r="N364" s="216">
        <v>0</v>
      </c>
      <c r="O364" s="216">
        <v>0</v>
      </c>
      <c r="P364" s="216">
        <v>185</v>
      </c>
      <c r="Q364" s="216">
        <v>1914</v>
      </c>
      <c r="R364" s="216">
        <v>0</v>
      </c>
      <c r="S364" s="216">
        <v>17012</v>
      </c>
      <c r="T364" s="216">
        <v>0</v>
      </c>
      <c r="U364" s="216">
        <v>15272</v>
      </c>
      <c r="V364" s="216">
        <v>10516</v>
      </c>
      <c r="W364" s="216">
        <v>7282</v>
      </c>
      <c r="X364" s="216">
        <v>0</v>
      </c>
      <c r="Y364" s="216">
        <v>88509</v>
      </c>
      <c r="Z364" s="216">
        <v>0</v>
      </c>
      <c r="AA364" s="216">
        <v>17336</v>
      </c>
      <c r="AB364" s="216">
        <v>798</v>
      </c>
      <c r="AC364" s="105"/>
    </row>
    <row r="365" spans="1:29" s="20" customFormat="1" x14ac:dyDescent="0.25">
      <c r="A365" s="31">
        <f>'M&amp;R Stations'!A365</f>
        <v>39324</v>
      </c>
      <c r="B365" s="216">
        <v>2575</v>
      </c>
      <c r="C365" s="216">
        <v>0</v>
      </c>
      <c r="D365" s="216">
        <v>7623</v>
      </c>
      <c r="E365" s="216">
        <v>0</v>
      </c>
      <c r="F365" s="216">
        <v>0</v>
      </c>
      <c r="G365" s="216">
        <v>0</v>
      </c>
      <c r="H365" s="216">
        <v>0</v>
      </c>
      <c r="I365" s="216">
        <v>0</v>
      </c>
      <c r="J365" s="216">
        <v>12244</v>
      </c>
      <c r="K365" s="216">
        <v>0</v>
      </c>
      <c r="L365" s="216">
        <v>0</v>
      </c>
      <c r="M365" s="216">
        <v>0</v>
      </c>
      <c r="N365" s="216">
        <v>0</v>
      </c>
      <c r="O365" s="216">
        <v>0</v>
      </c>
      <c r="P365" s="216">
        <v>185</v>
      </c>
      <c r="Q365" s="216">
        <v>1914</v>
      </c>
      <c r="R365" s="216">
        <v>0</v>
      </c>
      <c r="S365" s="216">
        <v>17012</v>
      </c>
      <c r="T365" s="216">
        <v>0</v>
      </c>
      <c r="U365" s="216">
        <v>15272</v>
      </c>
      <c r="V365" s="216">
        <v>9872</v>
      </c>
      <c r="W365" s="216">
        <v>7282</v>
      </c>
      <c r="X365" s="216">
        <v>0</v>
      </c>
      <c r="Y365" s="216">
        <v>88509</v>
      </c>
      <c r="Z365" s="216">
        <v>0</v>
      </c>
      <c r="AA365" s="216">
        <v>17336</v>
      </c>
      <c r="AB365" s="216">
        <v>798</v>
      </c>
      <c r="AC365" s="105"/>
    </row>
    <row r="366" spans="1:29" s="20" customFormat="1" x14ac:dyDescent="0.25">
      <c r="A366" s="31">
        <f>'M&amp;R Stations'!A366</f>
        <v>39325</v>
      </c>
      <c r="B366" s="216">
        <v>2575</v>
      </c>
      <c r="C366" s="216">
        <v>0</v>
      </c>
      <c r="D366" s="216">
        <v>7633</v>
      </c>
      <c r="E366" s="216">
        <v>0</v>
      </c>
      <c r="F366" s="216">
        <v>0</v>
      </c>
      <c r="G366" s="216">
        <v>0</v>
      </c>
      <c r="H366" s="216">
        <v>0</v>
      </c>
      <c r="I366" s="216">
        <v>0</v>
      </c>
      <c r="J366" s="216">
        <v>12244</v>
      </c>
      <c r="K366" s="216">
        <v>0</v>
      </c>
      <c r="L366" s="216">
        <v>0</v>
      </c>
      <c r="M366" s="216">
        <v>0</v>
      </c>
      <c r="N366" s="216">
        <v>0</v>
      </c>
      <c r="O366" s="216">
        <v>0</v>
      </c>
      <c r="P366" s="216">
        <v>185</v>
      </c>
      <c r="Q366" s="216">
        <v>1914</v>
      </c>
      <c r="R366" s="216">
        <v>0</v>
      </c>
      <c r="S366" s="216">
        <v>17012</v>
      </c>
      <c r="T366" s="216">
        <v>0</v>
      </c>
      <c r="U366" s="216">
        <v>15272</v>
      </c>
      <c r="V366" s="216">
        <v>6562</v>
      </c>
      <c r="W366" s="216">
        <v>7282</v>
      </c>
      <c r="X366" s="216">
        <v>0</v>
      </c>
      <c r="Y366" s="216">
        <v>88509</v>
      </c>
      <c r="Z366" s="216">
        <v>0</v>
      </c>
      <c r="AA366" s="216">
        <v>17336</v>
      </c>
      <c r="AB366" s="216">
        <v>798</v>
      </c>
      <c r="AC366" s="105"/>
    </row>
    <row r="367" spans="1:29" s="20" customFormat="1" x14ac:dyDescent="0.25">
      <c r="A367" s="22"/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105"/>
    </row>
    <row r="368" spans="1:29" s="20" customFormat="1" x14ac:dyDescent="0.25">
      <c r="A368" s="22"/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105"/>
    </row>
    <row r="369" spans="1:29" s="20" customFormat="1" x14ac:dyDescent="0.25">
      <c r="A369" s="22"/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105"/>
    </row>
    <row r="370" spans="1:29" s="20" customFormat="1" x14ac:dyDescent="0.25">
      <c r="A370" s="22"/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105"/>
    </row>
    <row r="371" spans="1:29" s="20" customFormat="1" x14ac:dyDescent="0.25">
      <c r="A371" s="22"/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105"/>
    </row>
    <row r="372" spans="1:29" s="20" customFormat="1" x14ac:dyDescent="0.25">
      <c r="A372" s="22"/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105"/>
    </row>
    <row r="373" spans="1:29" s="20" customFormat="1" x14ac:dyDescent="0.25">
      <c r="A373" s="22"/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105"/>
    </row>
    <row r="374" spans="1:29" s="20" customFormat="1" x14ac:dyDescent="0.25">
      <c r="A374" s="22"/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105"/>
    </row>
    <row r="375" spans="1:29" s="20" customFormat="1" x14ac:dyDescent="0.25">
      <c r="A375" s="22"/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105"/>
    </row>
    <row r="376" spans="1:29" s="20" customFormat="1" x14ac:dyDescent="0.25">
      <c r="A376" s="22"/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105"/>
    </row>
    <row r="377" spans="1:29" s="20" customFormat="1" x14ac:dyDescent="0.25">
      <c r="A377" s="22"/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105"/>
    </row>
    <row r="378" spans="1:29" s="20" customFormat="1" x14ac:dyDescent="0.25">
      <c r="A378" s="22"/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105"/>
    </row>
    <row r="379" spans="1:29" s="20" customFormat="1" x14ac:dyDescent="0.25">
      <c r="A379" s="22"/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105"/>
    </row>
    <row r="380" spans="1:29" s="20" customFormat="1" x14ac:dyDescent="0.25">
      <c r="A380" s="22"/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105"/>
    </row>
    <row r="381" spans="1:29" s="20" customFormat="1" x14ac:dyDescent="0.25">
      <c r="A381" s="22"/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105"/>
    </row>
    <row r="382" spans="1:29" s="20" customFormat="1" x14ac:dyDescent="0.25">
      <c r="A382" s="22"/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105"/>
    </row>
    <row r="383" spans="1:29" s="20" customFormat="1" x14ac:dyDescent="0.25">
      <c r="A383" s="22"/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105"/>
    </row>
    <row r="384" spans="1:29" s="20" customFormat="1" x14ac:dyDescent="0.25">
      <c r="A384" s="22"/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105"/>
    </row>
    <row r="385" spans="1:29" s="20" customFormat="1" x14ac:dyDescent="0.25">
      <c r="A385" s="22"/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105"/>
    </row>
    <row r="386" spans="1:29" s="20" customFormat="1" x14ac:dyDescent="0.25">
      <c r="A386" s="22"/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105"/>
    </row>
    <row r="387" spans="1:29" s="20" customFormat="1" x14ac:dyDescent="0.25">
      <c r="A387" s="22"/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105"/>
    </row>
    <row r="388" spans="1:29" s="20" customFormat="1" x14ac:dyDescent="0.25">
      <c r="A388" s="22"/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105"/>
    </row>
    <row r="389" spans="1:29" s="20" customFormat="1" x14ac:dyDescent="0.25">
      <c r="A389" s="22"/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105"/>
    </row>
    <row r="390" spans="1:29" s="20" customFormat="1" x14ac:dyDescent="0.25">
      <c r="A390" s="22"/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105"/>
    </row>
    <row r="391" spans="1:29" s="20" customFormat="1" x14ac:dyDescent="0.25">
      <c r="A391" s="22"/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105"/>
    </row>
    <row r="392" spans="1:29" s="20" customFormat="1" x14ac:dyDescent="0.25">
      <c r="A392" s="22"/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105"/>
    </row>
    <row r="393" spans="1:29" s="20" customFormat="1" x14ac:dyDescent="0.25">
      <c r="A393" s="22"/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105"/>
    </row>
    <row r="394" spans="1:29" s="20" customFormat="1" x14ac:dyDescent="0.25">
      <c r="A394" s="22"/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105"/>
    </row>
    <row r="395" spans="1:29" s="20" customFormat="1" x14ac:dyDescent="0.25">
      <c r="A395" s="22"/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105"/>
    </row>
    <row r="396" spans="1:29" s="20" customFormat="1" x14ac:dyDescent="0.25">
      <c r="A396" s="22"/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105"/>
    </row>
    <row r="397" spans="1:29" s="20" customFormat="1" x14ac:dyDescent="0.25">
      <c r="A397" s="22"/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105"/>
    </row>
    <row r="398" spans="1:29" s="20" customFormat="1" x14ac:dyDescent="0.25">
      <c r="A398" s="22"/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105"/>
    </row>
    <row r="399" spans="1:29" s="20" customFormat="1" x14ac:dyDescent="0.25">
      <c r="A399" s="2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105"/>
    </row>
    <row r="400" spans="1:29" s="20" customFormat="1" x14ac:dyDescent="0.25">
      <c r="A400" s="22"/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105"/>
    </row>
    <row r="401" spans="1:29" s="20" customFormat="1" x14ac:dyDescent="0.25">
      <c r="A401" s="22"/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105"/>
    </row>
    <row r="402" spans="1:29" s="20" customFormat="1" x14ac:dyDescent="0.25">
      <c r="A402" s="22"/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105"/>
    </row>
    <row r="403" spans="1:29" s="20" customFormat="1" x14ac:dyDescent="0.25">
      <c r="A403" s="22"/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105"/>
    </row>
    <row r="404" spans="1:29" s="20" customFormat="1" x14ac:dyDescent="0.25">
      <c r="A404" s="22"/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105"/>
    </row>
    <row r="405" spans="1:29" s="20" customFormat="1" x14ac:dyDescent="0.25">
      <c r="A405" s="22"/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105"/>
    </row>
    <row r="406" spans="1:29" s="20" customFormat="1" x14ac:dyDescent="0.25">
      <c r="A406" s="22"/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105"/>
    </row>
    <row r="407" spans="1:29" s="20" customFormat="1" x14ac:dyDescent="0.25">
      <c r="A407" s="22"/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105"/>
    </row>
    <row r="408" spans="1:29" s="20" customFormat="1" x14ac:dyDescent="0.25">
      <c r="A408" s="22"/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105"/>
    </row>
    <row r="409" spans="1:29" s="20" customFormat="1" x14ac:dyDescent="0.25">
      <c r="A409" s="22"/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105"/>
    </row>
    <row r="410" spans="1:29" s="20" customFormat="1" x14ac:dyDescent="0.25">
      <c r="A410" s="22"/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105"/>
    </row>
    <row r="411" spans="1:29" s="20" customFormat="1" x14ac:dyDescent="0.25">
      <c r="A411" s="22"/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105"/>
    </row>
    <row r="412" spans="1:29" s="20" customFormat="1" x14ac:dyDescent="0.25">
      <c r="A412" s="22"/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105"/>
    </row>
    <row r="413" spans="1:29" s="20" customFormat="1" x14ac:dyDescent="0.25">
      <c r="A413" s="22"/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105"/>
    </row>
    <row r="414" spans="1:29" s="20" customFormat="1" x14ac:dyDescent="0.25">
      <c r="A414" s="22"/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105"/>
    </row>
    <row r="415" spans="1:29" s="20" customFormat="1" x14ac:dyDescent="0.25">
      <c r="A415" s="22"/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105"/>
    </row>
    <row r="416" spans="1:29" s="20" customFormat="1" x14ac:dyDescent="0.25">
      <c r="A416" s="22"/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105"/>
    </row>
    <row r="417" spans="1:29" s="20" customFormat="1" x14ac:dyDescent="0.25">
      <c r="A417" s="2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105"/>
    </row>
    <row r="418" spans="1:29" s="20" customFormat="1" x14ac:dyDescent="0.25">
      <c r="A418" s="22"/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105"/>
    </row>
    <row r="419" spans="1:29" s="20" customFormat="1" x14ac:dyDescent="0.25">
      <c r="A419" s="22"/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105"/>
    </row>
    <row r="420" spans="1:29" s="20" customFormat="1" x14ac:dyDescent="0.25">
      <c r="A420" s="22"/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105"/>
    </row>
    <row r="421" spans="1:29" s="20" customFormat="1" x14ac:dyDescent="0.25">
      <c r="A421" s="22"/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105"/>
    </row>
    <row r="422" spans="1:29" s="20" customFormat="1" x14ac:dyDescent="0.25">
      <c r="A422" s="22"/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105"/>
    </row>
    <row r="423" spans="1:29" s="20" customFormat="1" x14ac:dyDescent="0.25">
      <c r="A423" s="22"/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105"/>
    </row>
    <row r="424" spans="1:29" s="20" customFormat="1" x14ac:dyDescent="0.25">
      <c r="A424" s="22"/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105"/>
    </row>
    <row r="425" spans="1:29" s="20" customFormat="1" x14ac:dyDescent="0.25">
      <c r="A425" s="22"/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105"/>
    </row>
    <row r="426" spans="1:29" s="20" customFormat="1" x14ac:dyDescent="0.25">
      <c r="A426" s="22"/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105"/>
    </row>
    <row r="427" spans="1:29" s="20" customFormat="1" x14ac:dyDescent="0.25">
      <c r="A427" s="22"/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105"/>
    </row>
    <row r="428" spans="1:29" s="20" customFormat="1" x14ac:dyDescent="0.25">
      <c r="A428" s="22"/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105"/>
    </row>
    <row r="429" spans="1:29" s="20" customFormat="1" x14ac:dyDescent="0.25">
      <c r="A429" s="22"/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105"/>
    </row>
    <row r="430" spans="1:29" s="20" customFormat="1" x14ac:dyDescent="0.25">
      <c r="A430" s="22"/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105"/>
    </row>
    <row r="431" spans="1:29" s="20" customFormat="1" x14ac:dyDescent="0.25">
      <c r="A431" s="22"/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105"/>
    </row>
    <row r="432" spans="1:29" s="20" customFormat="1" x14ac:dyDescent="0.25">
      <c r="A432" s="22"/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105"/>
    </row>
    <row r="433" spans="1:29" s="20" customFormat="1" x14ac:dyDescent="0.25">
      <c r="A433" s="22"/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105"/>
    </row>
    <row r="434" spans="1:29" s="20" customFormat="1" x14ac:dyDescent="0.25">
      <c r="A434" s="22"/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105"/>
    </row>
    <row r="435" spans="1:29" s="20" customFormat="1" x14ac:dyDescent="0.25">
      <c r="A435" s="22"/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105"/>
    </row>
    <row r="436" spans="1:29" s="20" customFormat="1" x14ac:dyDescent="0.25">
      <c r="A436" s="22"/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105"/>
    </row>
    <row r="437" spans="1:29" s="20" customFormat="1" x14ac:dyDescent="0.25">
      <c r="A437" s="22"/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105"/>
    </row>
    <row r="438" spans="1:29" s="20" customFormat="1" x14ac:dyDescent="0.25">
      <c r="A438" s="22"/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105"/>
    </row>
    <row r="439" spans="1:29" s="20" customFormat="1" x14ac:dyDescent="0.25">
      <c r="A439" s="22"/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105"/>
    </row>
    <row r="440" spans="1:29" s="20" customFormat="1" x14ac:dyDescent="0.25">
      <c r="A440" s="22"/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105"/>
    </row>
    <row r="441" spans="1:29" s="20" customFormat="1" x14ac:dyDescent="0.25">
      <c r="A441" s="22"/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105"/>
    </row>
    <row r="442" spans="1:29" s="20" customFormat="1" x14ac:dyDescent="0.25">
      <c r="A442" s="22"/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105"/>
    </row>
    <row r="443" spans="1:29" s="20" customFormat="1" x14ac:dyDescent="0.25">
      <c r="A443" s="22"/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105"/>
    </row>
    <row r="444" spans="1:29" s="20" customFormat="1" x14ac:dyDescent="0.25">
      <c r="A444" s="22"/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105"/>
    </row>
    <row r="445" spans="1:29" s="20" customFormat="1" x14ac:dyDescent="0.25">
      <c r="A445" s="22"/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105"/>
    </row>
    <row r="446" spans="1:29" s="20" customFormat="1" x14ac:dyDescent="0.25">
      <c r="A446" s="22"/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105"/>
    </row>
    <row r="447" spans="1:29" s="20" customFormat="1" x14ac:dyDescent="0.25">
      <c r="A447" s="22"/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105"/>
    </row>
    <row r="448" spans="1:29" s="20" customFormat="1" x14ac:dyDescent="0.25">
      <c r="A448" s="22"/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105"/>
    </row>
    <row r="449" spans="1:29" s="20" customFormat="1" x14ac:dyDescent="0.25">
      <c r="A449" s="22"/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105"/>
    </row>
    <row r="450" spans="1:29" s="20" customFormat="1" x14ac:dyDescent="0.25">
      <c r="A450" s="22"/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105"/>
    </row>
    <row r="451" spans="1:29" s="20" customFormat="1" x14ac:dyDescent="0.25">
      <c r="A451" s="22"/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105"/>
    </row>
    <row r="452" spans="1:29" s="20" customFormat="1" x14ac:dyDescent="0.25">
      <c r="A452" s="22"/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105"/>
    </row>
    <row r="453" spans="1:29" s="20" customFormat="1" x14ac:dyDescent="0.25">
      <c r="A453" s="22"/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105"/>
    </row>
    <row r="454" spans="1:29" s="20" customFormat="1" x14ac:dyDescent="0.25">
      <c r="A454" s="22"/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105"/>
    </row>
    <row r="455" spans="1:29" s="20" customFormat="1" x14ac:dyDescent="0.25">
      <c r="A455" s="22"/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105"/>
    </row>
    <row r="456" spans="1:29" s="20" customFormat="1" x14ac:dyDescent="0.25">
      <c r="A456" s="22"/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105"/>
    </row>
    <row r="457" spans="1:29" s="20" customFormat="1" x14ac:dyDescent="0.25">
      <c r="A457" s="22"/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105"/>
    </row>
    <row r="458" spans="1:29" s="20" customFormat="1" x14ac:dyDescent="0.25">
      <c r="A458" s="22"/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105"/>
    </row>
    <row r="459" spans="1:29" s="20" customFormat="1" x14ac:dyDescent="0.25">
      <c r="A459" s="22"/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105"/>
    </row>
    <row r="460" spans="1:29" s="20" customFormat="1" x14ac:dyDescent="0.25">
      <c r="A460" s="22"/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105"/>
    </row>
    <row r="461" spans="1:29" s="20" customFormat="1" x14ac:dyDescent="0.25">
      <c r="A461" s="22"/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105"/>
    </row>
    <row r="462" spans="1:29" s="20" customFormat="1" x14ac:dyDescent="0.25">
      <c r="A462" s="22"/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105"/>
    </row>
    <row r="463" spans="1:29" s="20" customFormat="1" x14ac:dyDescent="0.25">
      <c r="A463" s="22"/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105"/>
    </row>
    <row r="464" spans="1:29" s="20" customFormat="1" x14ac:dyDescent="0.25">
      <c r="A464" s="22"/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105"/>
    </row>
    <row r="465" spans="1:29" s="20" customFormat="1" x14ac:dyDescent="0.25">
      <c r="A465" s="22"/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105"/>
    </row>
    <row r="466" spans="1:29" s="20" customFormat="1" x14ac:dyDescent="0.25">
      <c r="A466" s="22"/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105"/>
    </row>
    <row r="467" spans="1:29" s="20" customFormat="1" x14ac:dyDescent="0.25">
      <c r="A467" s="22"/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105"/>
    </row>
    <row r="468" spans="1:29" s="20" customFormat="1" x14ac:dyDescent="0.25">
      <c r="A468" s="22"/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105"/>
    </row>
    <row r="469" spans="1:29" s="20" customFormat="1" x14ac:dyDescent="0.25">
      <c r="A469" s="2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105"/>
    </row>
    <row r="470" spans="1:29" s="20" customFormat="1" x14ac:dyDescent="0.25">
      <c r="A470" s="22"/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105"/>
    </row>
    <row r="471" spans="1:29" s="20" customFormat="1" x14ac:dyDescent="0.25">
      <c r="A471" s="22"/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105"/>
    </row>
    <row r="472" spans="1:29" s="20" customFormat="1" x14ac:dyDescent="0.25">
      <c r="A472" s="22"/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105"/>
    </row>
    <row r="473" spans="1:29" s="20" customFormat="1" x14ac:dyDescent="0.25">
      <c r="A473" s="22"/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105"/>
    </row>
    <row r="474" spans="1:29" s="20" customFormat="1" x14ac:dyDescent="0.25">
      <c r="A474" s="22"/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105"/>
    </row>
    <row r="475" spans="1:29" s="20" customFormat="1" x14ac:dyDescent="0.25">
      <c r="A475" s="22"/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105"/>
    </row>
    <row r="476" spans="1:29" s="20" customFormat="1" x14ac:dyDescent="0.25">
      <c r="A476" s="22"/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105"/>
    </row>
    <row r="477" spans="1:29" s="20" customFormat="1" x14ac:dyDescent="0.25">
      <c r="A477" s="22"/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105"/>
    </row>
    <row r="478" spans="1:29" s="20" customFormat="1" x14ac:dyDescent="0.25">
      <c r="A478" s="22"/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105"/>
    </row>
    <row r="479" spans="1:29" s="20" customFormat="1" x14ac:dyDescent="0.25">
      <c r="A479" s="22"/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105"/>
    </row>
    <row r="480" spans="1:29" s="20" customFormat="1" x14ac:dyDescent="0.25">
      <c r="A480" s="22"/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105"/>
    </row>
    <row r="481" spans="1:29" s="20" customFormat="1" x14ac:dyDescent="0.25">
      <c r="A481" s="22"/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105"/>
    </row>
    <row r="482" spans="1:29" s="20" customFormat="1" x14ac:dyDescent="0.25">
      <c r="A482" s="22"/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105"/>
    </row>
    <row r="483" spans="1:29" s="20" customFormat="1" x14ac:dyDescent="0.25">
      <c r="A483" s="22"/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105"/>
    </row>
    <row r="484" spans="1:29" s="20" customFormat="1" x14ac:dyDescent="0.25">
      <c r="A484" s="22"/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105"/>
    </row>
    <row r="485" spans="1:29" s="20" customFormat="1" x14ac:dyDescent="0.25">
      <c r="A485" s="22"/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105"/>
    </row>
    <row r="486" spans="1:29" s="20" customFormat="1" x14ac:dyDescent="0.25">
      <c r="A486" s="22"/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105"/>
    </row>
    <row r="487" spans="1:29" s="20" customFormat="1" x14ac:dyDescent="0.25">
      <c r="A487" s="22"/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105"/>
    </row>
    <row r="488" spans="1:29" s="20" customFormat="1" x14ac:dyDescent="0.25">
      <c r="A488" s="22"/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105"/>
    </row>
    <row r="489" spans="1:29" s="20" customFormat="1" x14ac:dyDescent="0.25">
      <c r="A489" s="22"/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105"/>
    </row>
    <row r="490" spans="1:29" s="20" customFormat="1" x14ac:dyDescent="0.25">
      <c r="A490" s="22"/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105"/>
    </row>
    <row r="491" spans="1:29" s="20" customFormat="1" x14ac:dyDescent="0.25">
      <c r="A491" s="22"/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105"/>
    </row>
    <row r="492" spans="1:29" s="20" customFormat="1" x14ac:dyDescent="0.25">
      <c r="A492" s="22"/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105"/>
    </row>
    <row r="493" spans="1:29" s="20" customFormat="1" x14ac:dyDescent="0.25">
      <c r="A493" s="22"/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105"/>
    </row>
    <row r="494" spans="1:29" s="20" customFormat="1" x14ac:dyDescent="0.25">
      <c r="A494" s="22"/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105"/>
    </row>
    <row r="495" spans="1:29" s="20" customFormat="1" x14ac:dyDescent="0.25">
      <c r="A495" s="22"/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105"/>
    </row>
    <row r="496" spans="1:29" s="20" customFormat="1" x14ac:dyDescent="0.25">
      <c r="A496" s="22"/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105"/>
    </row>
    <row r="497" spans="1:29" s="20" customFormat="1" x14ac:dyDescent="0.25">
      <c r="A497" s="22"/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105"/>
    </row>
    <row r="498" spans="1:29" s="20" customFormat="1" x14ac:dyDescent="0.25">
      <c r="A498" s="22"/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105"/>
    </row>
    <row r="499" spans="1:29" s="20" customFormat="1" x14ac:dyDescent="0.25">
      <c r="A499" s="22"/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105"/>
    </row>
    <row r="500" spans="1:29" s="20" customFormat="1" x14ac:dyDescent="0.25">
      <c r="A500" s="22"/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105"/>
    </row>
    <row r="501" spans="1:29" s="20" customFormat="1" x14ac:dyDescent="0.25">
      <c r="A501" s="22"/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105"/>
    </row>
    <row r="502" spans="1:29" s="20" customFormat="1" x14ac:dyDescent="0.25">
      <c r="A502" s="22"/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105"/>
    </row>
    <row r="503" spans="1:29" s="20" customFormat="1" x14ac:dyDescent="0.25">
      <c r="A503" s="22"/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105"/>
    </row>
    <row r="504" spans="1:29" s="20" customFormat="1" x14ac:dyDescent="0.25">
      <c r="A504" s="22"/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105"/>
    </row>
    <row r="505" spans="1:29" s="20" customFormat="1" x14ac:dyDescent="0.25">
      <c r="A505" s="22"/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105"/>
    </row>
    <row r="506" spans="1:29" s="20" customFormat="1" x14ac:dyDescent="0.25">
      <c r="A506" s="22"/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105"/>
    </row>
    <row r="507" spans="1:29" s="20" customFormat="1" x14ac:dyDescent="0.25">
      <c r="A507" s="22"/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105"/>
    </row>
    <row r="508" spans="1:29" s="20" customFormat="1" x14ac:dyDescent="0.25">
      <c r="A508" s="22"/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105"/>
    </row>
    <row r="509" spans="1:29" s="20" customFormat="1" x14ac:dyDescent="0.25">
      <c r="A509" s="22"/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105"/>
    </row>
    <row r="510" spans="1:29" s="20" customFormat="1" x14ac:dyDescent="0.25">
      <c r="A510" s="22"/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105"/>
    </row>
    <row r="511" spans="1:29" s="20" customFormat="1" x14ac:dyDescent="0.25">
      <c r="A511" s="22"/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105"/>
    </row>
    <row r="512" spans="1:29" s="20" customFormat="1" x14ac:dyDescent="0.25">
      <c r="A512" s="22"/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105"/>
    </row>
    <row r="513" spans="1:29" s="20" customFormat="1" x14ac:dyDescent="0.25">
      <c r="A513" s="22"/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105"/>
    </row>
    <row r="514" spans="1:29" s="20" customFormat="1" x14ac:dyDescent="0.25">
      <c r="A514" s="22"/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105"/>
    </row>
    <row r="515" spans="1:29" s="20" customFormat="1" x14ac:dyDescent="0.25">
      <c r="A515" s="22"/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105"/>
    </row>
    <row r="516" spans="1:29" s="20" customFormat="1" x14ac:dyDescent="0.25">
      <c r="A516" s="22"/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105"/>
    </row>
    <row r="517" spans="1:29" s="20" customFormat="1" x14ac:dyDescent="0.25">
      <c r="A517" s="22"/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105"/>
    </row>
    <row r="518" spans="1:29" s="20" customFormat="1" x14ac:dyDescent="0.25">
      <c r="A518" s="22"/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105"/>
    </row>
    <row r="519" spans="1:29" s="20" customFormat="1" x14ac:dyDescent="0.25">
      <c r="A519" s="22"/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105"/>
    </row>
    <row r="520" spans="1:29" s="20" customFormat="1" x14ac:dyDescent="0.25">
      <c r="A520" s="22"/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105"/>
    </row>
    <row r="521" spans="1:29" s="20" customFormat="1" x14ac:dyDescent="0.25">
      <c r="A521" s="2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105"/>
    </row>
    <row r="522" spans="1:29" s="20" customFormat="1" x14ac:dyDescent="0.25">
      <c r="A522" s="22"/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105"/>
    </row>
    <row r="523" spans="1:29" s="20" customFormat="1" x14ac:dyDescent="0.25">
      <c r="A523" s="22"/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105"/>
    </row>
    <row r="524" spans="1:29" s="20" customFormat="1" x14ac:dyDescent="0.25">
      <c r="A524" s="22"/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105"/>
    </row>
    <row r="525" spans="1:29" s="20" customFormat="1" x14ac:dyDescent="0.25">
      <c r="A525" s="22"/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105"/>
    </row>
    <row r="526" spans="1:29" s="20" customFormat="1" x14ac:dyDescent="0.25">
      <c r="A526" s="22"/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105"/>
    </row>
    <row r="527" spans="1:29" s="20" customFormat="1" x14ac:dyDescent="0.25">
      <c r="A527" s="22"/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105"/>
    </row>
    <row r="528" spans="1:29" s="20" customFormat="1" x14ac:dyDescent="0.25">
      <c r="A528" s="22"/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105"/>
    </row>
    <row r="529" spans="1:29" s="20" customFormat="1" x14ac:dyDescent="0.25">
      <c r="A529" s="22"/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105"/>
    </row>
    <row r="530" spans="1:29" s="20" customFormat="1" x14ac:dyDescent="0.25">
      <c r="A530" s="22"/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105"/>
    </row>
    <row r="531" spans="1:29" s="20" customFormat="1" x14ac:dyDescent="0.25">
      <c r="A531" s="22"/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105"/>
    </row>
    <row r="532" spans="1:29" s="20" customFormat="1" x14ac:dyDescent="0.25">
      <c r="A532" s="22"/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105"/>
    </row>
    <row r="533" spans="1:29" s="20" customFormat="1" x14ac:dyDescent="0.25">
      <c r="A533" s="22"/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105"/>
    </row>
    <row r="534" spans="1:29" s="20" customFormat="1" x14ac:dyDescent="0.25">
      <c r="A534" s="22"/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105"/>
    </row>
    <row r="535" spans="1:29" s="20" customFormat="1" x14ac:dyDescent="0.25">
      <c r="A535" s="22"/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105"/>
    </row>
    <row r="536" spans="1:29" s="20" customFormat="1" x14ac:dyDescent="0.25">
      <c r="A536" s="22"/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105"/>
    </row>
    <row r="537" spans="1:29" s="20" customFormat="1" x14ac:dyDescent="0.25">
      <c r="A537" s="22"/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105"/>
    </row>
    <row r="538" spans="1:29" s="20" customFormat="1" x14ac:dyDescent="0.25">
      <c r="A538" s="22"/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105"/>
    </row>
    <row r="539" spans="1:29" s="20" customFormat="1" x14ac:dyDescent="0.25">
      <c r="A539" s="22"/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105"/>
    </row>
    <row r="540" spans="1:29" s="20" customFormat="1" x14ac:dyDescent="0.25">
      <c r="A540" s="22"/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105"/>
    </row>
    <row r="541" spans="1:29" s="20" customFormat="1" x14ac:dyDescent="0.25">
      <c r="A541" s="22"/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105"/>
    </row>
    <row r="542" spans="1:29" s="20" customFormat="1" x14ac:dyDescent="0.25">
      <c r="A542" s="22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105"/>
    </row>
    <row r="543" spans="1:29" s="20" customFormat="1" x14ac:dyDescent="0.25">
      <c r="A543" s="22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105"/>
    </row>
    <row r="544" spans="1:29" s="20" customFormat="1" x14ac:dyDescent="0.25">
      <c r="A544" s="22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105"/>
    </row>
    <row r="545" spans="1:29" s="20" customFormat="1" x14ac:dyDescent="0.25">
      <c r="A545" s="22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105"/>
    </row>
    <row r="546" spans="1:29" s="20" customFormat="1" x14ac:dyDescent="0.25">
      <c r="A546" s="22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105"/>
    </row>
    <row r="547" spans="1:29" s="20" customFormat="1" x14ac:dyDescent="0.25">
      <c r="A547" s="22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105"/>
    </row>
    <row r="548" spans="1:29" s="20" customFormat="1" x14ac:dyDescent="0.25">
      <c r="A548" s="22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105"/>
    </row>
    <row r="549" spans="1:29" s="20" customFormat="1" x14ac:dyDescent="0.25">
      <c r="A549" s="22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105"/>
    </row>
    <row r="550" spans="1:29" s="20" customFormat="1" x14ac:dyDescent="0.25">
      <c r="A550" s="22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105"/>
    </row>
    <row r="551" spans="1:29" s="20" customFormat="1" x14ac:dyDescent="0.25">
      <c r="A551" s="22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105"/>
    </row>
    <row r="552" spans="1:29" s="20" customFormat="1" x14ac:dyDescent="0.25">
      <c r="A552" s="22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105"/>
    </row>
    <row r="553" spans="1:29" s="20" customFormat="1" x14ac:dyDescent="0.25">
      <c r="A553" s="22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105"/>
    </row>
    <row r="554" spans="1:29" s="20" customFormat="1" x14ac:dyDescent="0.25">
      <c r="A554" s="22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105"/>
    </row>
    <row r="555" spans="1:29" s="20" customFormat="1" x14ac:dyDescent="0.25">
      <c r="A555" s="22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105"/>
    </row>
    <row r="556" spans="1:29" s="20" customFormat="1" x14ac:dyDescent="0.25">
      <c r="A556" s="22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105"/>
    </row>
    <row r="557" spans="1:29" s="20" customFormat="1" x14ac:dyDescent="0.25">
      <c r="A557" s="22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105"/>
    </row>
    <row r="558" spans="1:29" s="20" customFormat="1" x14ac:dyDescent="0.25">
      <c r="A558" s="22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105"/>
    </row>
    <row r="559" spans="1:29" s="20" customFormat="1" x14ac:dyDescent="0.25">
      <c r="A559" s="22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105"/>
    </row>
    <row r="560" spans="1:29" s="20" customFormat="1" x14ac:dyDescent="0.25">
      <c r="A560" s="22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105"/>
    </row>
    <row r="561" spans="1:29" s="20" customFormat="1" x14ac:dyDescent="0.25">
      <c r="A561" s="22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105"/>
    </row>
    <row r="562" spans="1:29" s="20" customFormat="1" x14ac:dyDescent="0.25">
      <c r="A562" s="22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105"/>
    </row>
    <row r="563" spans="1:29" s="20" customFormat="1" x14ac:dyDescent="0.25">
      <c r="A563" s="22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105"/>
    </row>
    <row r="564" spans="1:29" s="20" customFormat="1" x14ac:dyDescent="0.25">
      <c r="A564" s="22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105"/>
    </row>
    <row r="565" spans="1:29" s="20" customFormat="1" x14ac:dyDescent="0.25">
      <c r="A565" s="22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105"/>
    </row>
    <row r="566" spans="1:29" s="20" customFormat="1" x14ac:dyDescent="0.25">
      <c r="A566" s="22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105"/>
    </row>
    <row r="567" spans="1:29" s="20" customFormat="1" x14ac:dyDescent="0.25">
      <c r="A567" s="22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105"/>
    </row>
    <row r="568" spans="1:29" s="20" customFormat="1" x14ac:dyDescent="0.25">
      <c r="A568" s="22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105"/>
    </row>
    <row r="569" spans="1:29" s="20" customFormat="1" x14ac:dyDescent="0.25">
      <c r="A569" s="22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105"/>
    </row>
    <row r="570" spans="1:29" s="20" customFormat="1" x14ac:dyDescent="0.25">
      <c r="A570" s="22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105"/>
    </row>
    <row r="571" spans="1:29" s="20" customFormat="1" x14ac:dyDescent="0.25">
      <c r="A571" s="22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105"/>
    </row>
    <row r="572" spans="1:29" s="20" customFormat="1" x14ac:dyDescent="0.25">
      <c r="A572" s="22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105"/>
    </row>
    <row r="573" spans="1:29" s="20" customFormat="1" x14ac:dyDescent="0.25">
      <c r="A573" s="22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105"/>
    </row>
    <row r="574" spans="1:29" s="20" customFormat="1" x14ac:dyDescent="0.25">
      <c r="A574" s="22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105"/>
    </row>
    <row r="575" spans="1:29" s="20" customFormat="1" x14ac:dyDescent="0.25">
      <c r="A575" s="22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105"/>
    </row>
    <row r="576" spans="1:29" s="20" customFormat="1" x14ac:dyDescent="0.25">
      <c r="A576" s="22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105"/>
    </row>
    <row r="577" spans="1:29" s="20" customFormat="1" x14ac:dyDescent="0.25">
      <c r="A577" s="22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105"/>
    </row>
    <row r="578" spans="1:29" s="20" customFormat="1" x14ac:dyDescent="0.25">
      <c r="A578" s="22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105"/>
    </row>
    <row r="579" spans="1:29" s="20" customFormat="1" x14ac:dyDescent="0.25">
      <c r="A579" s="22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105"/>
    </row>
    <row r="580" spans="1:29" s="20" customFormat="1" x14ac:dyDescent="0.25">
      <c r="A580" s="22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105"/>
    </row>
    <row r="581" spans="1:29" s="20" customFormat="1" x14ac:dyDescent="0.25">
      <c r="A581" s="22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105"/>
    </row>
    <row r="582" spans="1:29" s="20" customFormat="1" x14ac:dyDescent="0.25">
      <c r="A582" s="22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105"/>
    </row>
    <row r="583" spans="1:29" s="20" customFormat="1" x14ac:dyDescent="0.25">
      <c r="A583" s="22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105"/>
    </row>
    <row r="584" spans="1:29" s="20" customFormat="1" x14ac:dyDescent="0.25">
      <c r="A584" s="22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105"/>
    </row>
    <row r="585" spans="1:29" s="20" customFormat="1" x14ac:dyDescent="0.25">
      <c r="A585" s="22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105"/>
    </row>
    <row r="586" spans="1:29" s="20" customFormat="1" x14ac:dyDescent="0.25">
      <c r="A586" s="22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105"/>
    </row>
    <row r="587" spans="1:29" s="20" customFormat="1" x14ac:dyDescent="0.25">
      <c r="A587" s="22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105"/>
    </row>
    <row r="588" spans="1:29" s="20" customFormat="1" x14ac:dyDescent="0.25">
      <c r="A588" s="22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105"/>
    </row>
    <row r="589" spans="1:29" s="20" customFormat="1" x14ac:dyDescent="0.25">
      <c r="A589" s="22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105"/>
    </row>
    <row r="590" spans="1:29" s="20" customFormat="1" x14ac:dyDescent="0.25">
      <c r="A590" s="22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105"/>
    </row>
    <row r="591" spans="1:29" s="20" customFormat="1" x14ac:dyDescent="0.25">
      <c r="A591" s="22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105"/>
    </row>
    <row r="592" spans="1:29" s="20" customFormat="1" x14ac:dyDescent="0.25">
      <c r="A592" s="22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105"/>
    </row>
    <row r="593" spans="1:29" s="20" customFormat="1" x14ac:dyDescent="0.25">
      <c r="A593" s="22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105"/>
    </row>
    <row r="594" spans="1:29" s="20" customFormat="1" x14ac:dyDescent="0.25">
      <c r="A594" s="22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105"/>
    </row>
    <row r="595" spans="1:29" s="20" customFormat="1" x14ac:dyDescent="0.25">
      <c r="A595" s="22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105"/>
    </row>
    <row r="596" spans="1:29" s="20" customFormat="1" x14ac:dyDescent="0.25">
      <c r="A596" s="22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105"/>
    </row>
    <row r="597" spans="1:29" s="20" customFormat="1" x14ac:dyDescent="0.25">
      <c r="A597" s="22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105"/>
    </row>
    <row r="598" spans="1:29" s="20" customFormat="1" x14ac:dyDescent="0.25">
      <c r="A598" s="22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105"/>
    </row>
    <row r="599" spans="1:29" s="20" customFormat="1" x14ac:dyDescent="0.25">
      <c r="A599" s="22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105"/>
    </row>
    <row r="600" spans="1:29" s="20" customFormat="1" x14ac:dyDescent="0.25">
      <c r="A600" s="22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105"/>
    </row>
    <row r="601" spans="1:29" s="20" customFormat="1" x14ac:dyDescent="0.25">
      <c r="A601" s="22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  <c r="AA601" s="41"/>
      <c r="AB601" s="41"/>
      <c r="AC601" s="105"/>
    </row>
    <row r="602" spans="1:29" s="20" customFormat="1" x14ac:dyDescent="0.25">
      <c r="A602" s="22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  <c r="AA602" s="41"/>
      <c r="AB602" s="41"/>
      <c r="AC602" s="105"/>
    </row>
    <row r="603" spans="1:29" s="20" customFormat="1" x14ac:dyDescent="0.25">
      <c r="A603" s="22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105"/>
    </row>
    <row r="604" spans="1:29" s="20" customFormat="1" x14ac:dyDescent="0.25">
      <c r="A604" s="22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105"/>
    </row>
    <row r="605" spans="1:29" s="20" customFormat="1" x14ac:dyDescent="0.25">
      <c r="A605" s="22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105"/>
    </row>
    <row r="606" spans="1:29" s="20" customFormat="1" x14ac:dyDescent="0.25">
      <c r="A606" s="22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  <c r="AA606" s="41"/>
      <c r="AB606" s="41"/>
      <c r="AC606" s="105"/>
    </row>
    <row r="607" spans="1:29" s="20" customFormat="1" x14ac:dyDescent="0.25">
      <c r="A607" s="22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105"/>
    </row>
    <row r="608" spans="1:29" s="20" customFormat="1" x14ac:dyDescent="0.25">
      <c r="A608" s="22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  <c r="AA608" s="41"/>
      <c r="AB608" s="41"/>
      <c r="AC608" s="105"/>
    </row>
    <row r="609" spans="1:29" s="20" customFormat="1" x14ac:dyDescent="0.25">
      <c r="A609" s="22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105"/>
    </row>
    <row r="610" spans="1:29" s="20" customFormat="1" x14ac:dyDescent="0.25">
      <c r="A610" s="22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105"/>
    </row>
    <row r="611" spans="1:29" s="20" customFormat="1" x14ac:dyDescent="0.25">
      <c r="A611" s="22"/>
      <c r="AC611" s="105"/>
    </row>
    <row r="612" spans="1:29" s="20" customFormat="1" x14ac:dyDescent="0.25">
      <c r="A612" s="22"/>
      <c r="AC612" s="105"/>
    </row>
    <row r="613" spans="1:29" s="20" customFormat="1" x14ac:dyDescent="0.25">
      <c r="A613" s="22"/>
      <c r="AC613" s="105"/>
    </row>
    <row r="614" spans="1:29" s="20" customFormat="1" x14ac:dyDescent="0.25">
      <c r="A614" s="22"/>
      <c r="AC614" s="105"/>
    </row>
    <row r="615" spans="1:29" s="20" customFormat="1" x14ac:dyDescent="0.25">
      <c r="A615" s="22"/>
      <c r="AC615" s="105"/>
    </row>
    <row r="616" spans="1:29" s="20" customFormat="1" x14ac:dyDescent="0.25">
      <c r="A616" s="22"/>
      <c r="AC616" s="105"/>
    </row>
    <row r="617" spans="1:29" s="20" customFormat="1" x14ac:dyDescent="0.25">
      <c r="A617" s="22"/>
      <c r="AC617" s="105"/>
    </row>
    <row r="618" spans="1:29" s="20" customFormat="1" x14ac:dyDescent="0.25">
      <c r="A618" s="22"/>
      <c r="AC618" s="105"/>
    </row>
    <row r="619" spans="1:29" s="20" customFormat="1" x14ac:dyDescent="0.25">
      <c r="A619" s="22"/>
      <c r="AC619" s="105"/>
    </row>
    <row r="620" spans="1:29" s="20" customFormat="1" x14ac:dyDescent="0.25">
      <c r="A620" s="22"/>
      <c r="AC620" s="105"/>
    </row>
    <row r="621" spans="1:29" s="20" customFormat="1" x14ac:dyDescent="0.25">
      <c r="A621" s="22"/>
      <c r="AC621" s="105"/>
    </row>
    <row r="622" spans="1:29" s="20" customFormat="1" x14ac:dyDescent="0.25">
      <c r="A622" s="22"/>
      <c r="AC622" s="105"/>
    </row>
    <row r="623" spans="1:29" s="20" customFormat="1" x14ac:dyDescent="0.25">
      <c r="A623" s="22"/>
      <c r="AC623" s="105"/>
    </row>
    <row r="624" spans="1:29" s="20" customFormat="1" x14ac:dyDescent="0.25">
      <c r="A624" s="22"/>
      <c r="AC624" s="105"/>
    </row>
    <row r="625" spans="1:29" s="20" customFormat="1" x14ac:dyDescent="0.25">
      <c r="A625" s="22"/>
      <c r="AC625" s="105"/>
    </row>
    <row r="626" spans="1:29" s="20" customFormat="1" x14ac:dyDescent="0.25">
      <c r="A626" s="22"/>
      <c r="AC626" s="105"/>
    </row>
    <row r="627" spans="1:29" s="20" customFormat="1" x14ac:dyDescent="0.25">
      <c r="A627" s="22"/>
      <c r="AC627" s="105"/>
    </row>
    <row r="628" spans="1:29" s="20" customFormat="1" x14ac:dyDescent="0.25">
      <c r="A628" s="22"/>
      <c r="AC628" s="105"/>
    </row>
    <row r="629" spans="1:29" s="20" customFormat="1" x14ac:dyDescent="0.25">
      <c r="A629" s="22"/>
      <c r="AC629" s="105"/>
    </row>
    <row r="630" spans="1:29" s="20" customFormat="1" x14ac:dyDescent="0.25">
      <c r="A630" s="22"/>
      <c r="AC630" s="105"/>
    </row>
    <row r="631" spans="1:29" s="20" customFormat="1" x14ac:dyDescent="0.25">
      <c r="A631" s="22"/>
      <c r="AC631" s="105"/>
    </row>
    <row r="632" spans="1:29" s="20" customFormat="1" x14ac:dyDescent="0.25">
      <c r="A632" s="22"/>
      <c r="AC632" s="105"/>
    </row>
    <row r="633" spans="1:29" s="20" customFormat="1" x14ac:dyDescent="0.25">
      <c r="A633" s="22"/>
      <c r="AC633" s="105"/>
    </row>
    <row r="634" spans="1:29" s="20" customFormat="1" x14ac:dyDescent="0.25">
      <c r="A634" s="22"/>
      <c r="AC634" s="105"/>
    </row>
    <row r="635" spans="1:29" s="20" customFormat="1" x14ac:dyDescent="0.25">
      <c r="A635" s="22"/>
      <c r="AC635" s="105"/>
    </row>
    <row r="636" spans="1:29" s="20" customFormat="1" x14ac:dyDescent="0.25">
      <c r="A636" s="22"/>
      <c r="AC636" s="105"/>
    </row>
    <row r="637" spans="1:29" s="20" customFormat="1" x14ac:dyDescent="0.25">
      <c r="A637" s="22"/>
      <c r="AC637" s="105"/>
    </row>
    <row r="638" spans="1:29" s="20" customFormat="1" x14ac:dyDescent="0.25">
      <c r="A638" s="22"/>
      <c r="AC638" s="105"/>
    </row>
    <row r="639" spans="1:29" s="20" customFormat="1" x14ac:dyDescent="0.25">
      <c r="A639" s="22"/>
      <c r="AC639" s="105"/>
    </row>
    <row r="640" spans="1:29" s="20" customFormat="1" x14ac:dyDescent="0.25">
      <c r="A640" s="22"/>
      <c r="AC640" s="105"/>
    </row>
    <row r="641" spans="1:29" s="20" customFormat="1" x14ac:dyDescent="0.25">
      <c r="A641" s="22"/>
      <c r="AC641" s="105"/>
    </row>
    <row r="642" spans="1:29" s="20" customFormat="1" x14ac:dyDescent="0.25">
      <c r="A642" s="22"/>
      <c r="AC642" s="105"/>
    </row>
    <row r="643" spans="1:29" s="20" customFormat="1" x14ac:dyDescent="0.25">
      <c r="A643" s="22"/>
      <c r="AC643" s="105"/>
    </row>
    <row r="644" spans="1:29" s="20" customFormat="1" x14ac:dyDescent="0.25">
      <c r="A644" s="22"/>
      <c r="AC644" s="105"/>
    </row>
    <row r="645" spans="1:29" s="20" customFormat="1" x14ac:dyDescent="0.25">
      <c r="A645" s="22"/>
      <c r="AC645" s="105"/>
    </row>
    <row r="646" spans="1:29" s="20" customFormat="1" x14ac:dyDescent="0.25">
      <c r="A646" s="22"/>
      <c r="AC646" s="105"/>
    </row>
    <row r="647" spans="1:29" s="20" customFormat="1" x14ac:dyDescent="0.25">
      <c r="A647" s="22"/>
      <c r="AC647" s="105"/>
    </row>
    <row r="648" spans="1:29" s="20" customFormat="1" x14ac:dyDescent="0.25">
      <c r="A648" s="22"/>
      <c r="AC648" s="105"/>
    </row>
    <row r="649" spans="1:29" s="20" customFormat="1" x14ac:dyDescent="0.25">
      <c r="A649" s="22"/>
      <c r="AC649" s="105"/>
    </row>
    <row r="650" spans="1:29" s="20" customFormat="1" x14ac:dyDescent="0.25">
      <c r="A650" s="22"/>
      <c r="AC650" s="105"/>
    </row>
    <row r="651" spans="1:29" s="20" customFormat="1" x14ac:dyDescent="0.25">
      <c r="A651" s="22"/>
      <c r="AC651" s="105"/>
    </row>
    <row r="652" spans="1:29" s="20" customFormat="1" x14ac:dyDescent="0.25">
      <c r="A652" s="22"/>
      <c r="AC652" s="105"/>
    </row>
    <row r="653" spans="1:29" s="20" customFormat="1" x14ac:dyDescent="0.25">
      <c r="A653" s="22"/>
      <c r="AC653" s="105"/>
    </row>
    <row r="654" spans="1:29" s="20" customFormat="1" x14ac:dyDescent="0.25">
      <c r="A654" s="22"/>
      <c r="AC654" s="105"/>
    </row>
    <row r="655" spans="1:29" s="20" customFormat="1" x14ac:dyDescent="0.25">
      <c r="A655" s="22"/>
      <c r="AC655" s="105"/>
    </row>
    <row r="656" spans="1:29" s="20" customFormat="1" x14ac:dyDescent="0.25">
      <c r="A656" s="22"/>
      <c r="AC656" s="105"/>
    </row>
    <row r="657" spans="1:29" s="20" customFormat="1" x14ac:dyDescent="0.25">
      <c r="A657" s="22"/>
      <c r="AC657" s="105"/>
    </row>
    <row r="658" spans="1:29" s="20" customFormat="1" x14ac:dyDescent="0.25">
      <c r="A658" s="22"/>
      <c r="AC658" s="105"/>
    </row>
    <row r="659" spans="1:29" s="20" customFormat="1" x14ac:dyDescent="0.25">
      <c r="A659" s="22"/>
      <c r="AC659" s="105"/>
    </row>
    <row r="660" spans="1:29" s="20" customFormat="1" x14ac:dyDescent="0.25">
      <c r="A660" s="22"/>
      <c r="AC660" s="105"/>
    </row>
    <row r="661" spans="1:29" s="20" customFormat="1" x14ac:dyDescent="0.25">
      <c r="A661" s="22"/>
      <c r="AC661" s="105"/>
    </row>
    <row r="662" spans="1:29" s="20" customFormat="1" x14ac:dyDescent="0.25">
      <c r="A662" s="22"/>
      <c r="AC662" s="105"/>
    </row>
    <row r="663" spans="1:29" s="20" customFormat="1" x14ac:dyDescent="0.25">
      <c r="A663" s="22"/>
      <c r="AC663" s="105"/>
    </row>
    <row r="664" spans="1:29" s="20" customFormat="1" x14ac:dyDescent="0.25">
      <c r="A664" s="22"/>
      <c r="AC664" s="105"/>
    </row>
    <row r="665" spans="1:29" s="20" customFormat="1" x14ac:dyDescent="0.25">
      <c r="A665" s="22"/>
      <c r="AC665" s="105"/>
    </row>
    <row r="666" spans="1:29" s="20" customFormat="1" x14ac:dyDescent="0.25">
      <c r="A666" s="22"/>
      <c r="AC666" s="105"/>
    </row>
    <row r="667" spans="1:29" s="20" customFormat="1" x14ac:dyDescent="0.25">
      <c r="A667" s="22"/>
      <c r="AC667" s="105"/>
    </row>
    <row r="668" spans="1:29" s="20" customFormat="1" x14ac:dyDescent="0.25">
      <c r="A668" s="22"/>
      <c r="AC668" s="105"/>
    </row>
    <row r="669" spans="1:29" s="20" customFormat="1" x14ac:dyDescent="0.25">
      <c r="A669" s="22"/>
      <c r="AC669" s="105"/>
    </row>
    <row r="670" spans="1:29" s="20" customFormat="1" x14ac:dyDescent="0.25">
      <c r="A670" s="22"/>
      <c r="AC670" s="105"/>
    </row>
    <row r="671" spans="1:29" s="20" customFormat="1" x14ac:dyDescent="0.25">
      <c r="A671" s="22"/>
      <c r="AC671" s="105"/>
    </row>
    <row r="672" spans="1:29" s="20" customFormat="1" x14ac:dyDescent="0.25">
      <c r="A672" s="22"/>
      <c r="AC672" s="105"/>
    </row>
    <row r="673" spans="1:29" s="20" customFormat="1" x14ac:dyDescent="0.25">
      <c r="A673" s="22"/>
      <c r="AC673" s="105"/>
    </row>
    <row r="674" spans="1:29" s="20" customFormat="1" x14ac:dyDescent="0.25">
      <c r="A674" s="22"/>
      <c r="AC674" s="105"/>
    </row>
    <row r="675" spans="1:29" s="20" customFormat="1" x14ac:dyDescent="0.25">
      <c r="A675" s="22"/>
      <c r="AC675" s="105"/>
    </row>
    <row r="676" spans="1:29" s="20" customFormat="1" x14ac:dyDescent="0.25">
      <c r="A676" s="22"/>
      <c r="AC676" s="105"/>
    </row>
    <row r="677" spans="1:29" s="20" customFormat="1" x14ac:dyDescent="0.25">
      <c r="A677" s="22"/>
      <c r="AC677" s="105"/>
    </row>
    <row r="678" spans="1:29" s="20" customFormat="1" x14ac:dyDescent="0.25">
      <c r="A678" s="22"/>
      <c r="AC678" s="105"/>
    </row>
    <row r="679" spans="1:29" s="20" customFormat="1" x14ac:dyDescent="0.25">
      <c r="A679" s="22"/>
      <c r="AC679" s="105"/>
    </row>
    <row r="680" spans="1:29" s="20" customFormat="1" x14ac:dyDescent="0.25">
      <c r="A680" s="22"/>
      <c r="AC680" s="105"/>
    </row>
    <row r="681" spans="1:29" s="20" customFormat="1" x14ac:dyDescent="0.25">
      <c r="A681" s="22"/>
      <c r="AC681" s="105"/>
    </row>
    <row r="682" spans="1:29" s="20" customFormat="1" x14ac:dyDescent="0.25">
      <c r="A682" s="22"/>
      <c r="AC682" s="105"/>
    </row>
    <row r="683" spans="1:29" s="20" customFormat="1" x14ac:dyDescent="0.25">
      <c r="A683" s="22"/>
      <c r="AC683" s="105"/>
    </row>
    <row r="684" spans="1:29" s="20" customFormat="1" x14ac:dyDescent="0.25">
      <c r="A684" s="22"/>
      <c r="AC684" s="105"/>
    </row>
    <row r="685" spans="1:29" s="20" customFormat="1" x14ac:dyDescent="0.25">
      <c r="A685" s="22"/>
      <c r="AC685" s="105"/>
    </row>
    <row r="686" spans="1:29" s="20" customFormat="1" x14ac:dyDescent="0.25">
      <c r="A686" s="22"/>
      <c r="AC686" s="105"/>
    </row>
    <row r="687" spans="1:29" s="20" customFormat="1" x14ac:dyDescent="0.25">
      <c r="A687" s="22"/>
      <c r="AC687" s="105"/>
    </row>
    <row r="688" spans="1:29" s="20" customFormat="1" x14ac:dyDescent="0.25">
      <c r="A688" s="22"/>
      <c r="AC688" s="105"/>
    </row>
    <row r="689" spans="1:29" s="20" customFormat="1" x14ac:dyDescent="0.25">
      <c r="A689" s="22"/>
      <c r="AC689" s="105"/>
    </row>
    <row r="690" spans="1:29" s="20" customFormat="1" x14ac:dyDescent="0.25">
      <c r="A690" s="22"/>
      <c r="AC690" s="105"/>
    </row>
    <row r="691" spans="1:29" s="20" customFormat="1" x14ac:dyDescent="0.25">
      <c r="A691" s="22"/>
      <c r="AC691" s="105"/>
    </row>
    <row r="692" spans="1:29" s="20" customFormat="1" x14ac:dyDescent="0.25">
      <c r="A692" s="22"/>
      <c r="AC692" s="105"/>
    </row>
    <row r="693" spans="1:29" s="20" customFormat="1" x14ac:dyDescent="0.25">
      <c r="A693" s="22"/>
      <c r="AC693" s="105"/>
    </row>
    <row r="694" spans="1:29" s="20" customFormat="1" x14ac:dyDescent="0.25">
      <c r="A694" s="22"/>
      <c r="AC694" s="105"/>
    </row>
    <row r="695" spans="1:29" s="20" customFormat="1" x14ac:dyDescent="0.25">
      <c r="A695" s="22"/>
      <c r="AC695" s="105"/>
    </row>
    <row r="696" spans="1:29" s="20" customFormat="1" x14ac:dyDescent="0.25">
      <c r="A696" s="22"/>
      <c r="AC696" s="105"/>
    </row>
    <row r="697" spans="1:29" s="20" customFormat="1" x14ac:dyDescent="0.25">
      <c r="A697" s="22"/>
      <c r="AC697" s="105"/>
    </row>
    <row r="698" spans="1:29" s="20" customFormat="1" x14ac:dyDescent="0.25">
      <c r="A698" s="22"/>
      <c r="AC698" s="105"/>
    </row>
    <row r="699" spans="1:29" s="20" customFormat="1" x14ac:dyDescent="0.25">
      <c r="A699" s="22"/>
      <c r="AC699" s="105"/>
    </row>
    <row r="700" spans="1:29" s="20" customFormat="1" x14ac:dyDescent="0.25">
      <c r="A700" s="22"/>
      <c r="AC700" s="105"/>
    </row>
    <row r="701" spans="1:29" s="20" customFormat="1" x14ac:dyDescent="0.25">
      <c r="A701" s="22"/>
      <c r="AC701" s="105"/>
    </row>
    <row r="702" spans="1:29" s="20" customFormat="1" x14ac:dyDescent="0.25">
      <c r="A702" s="22"/>
      <c r="AC702" s="105"/>
    </row>
    <row r="703" spans="1:29" s="20" customFormat="1" x14ac:dyDescent="0.25">
      <c r="A703" s="22"/>
      <c r="AC703" s="105"/>
    </row>
    <row r="704" spans="1:29" s="20" customFormat="1" x14ac:dyDescent="0.25">
      <c r="A704" s="22"/>
      <c r="AC704" s="105"/>
    </row>
    <row r="705" spans="1:29" s="20" customFormat="1" x14ac:dyDescent="0.25">
      <c r="A705" s="22"/>
      <c r="AC705" s="105"/>
    </row>
    <row r="706" spans="1:29" s="20" customFormat="1" x14ac:dyDescent="0.25">
      <c r="A706" s="22"/>
      <c r="AC706" s="105"/>
    </row>
    <row r="707" spans="1:29" s="20" customFormat="1" x14ac:dyDescent="0.25">
      <c r="A707" s="22"/>
      <c r="AC707" s="105"/>
    </row>
    <row r="708" spans="1:29" s="20" customFormat="1" x14ac:dyDescent="0.25">
      <c r="A708" s="22"/>
      <c r="AC708" s="105"/>
    </row>
    <row r="709" spans="1:29" s="20" customFormat="1" x14ac:dyDescent="0.25">
      <c r="A709" s="22"/>
      <c r="AC709" s="105"/>
    </row>
    <row r="710" spans="1:29" s="20" customFormat="1" x14ac:dyDescent="0.25">
      <c r="A710" s="22"/>
      <c r="AC710" s="105"/>
    </row>
    <row r="711" spans="1:29" s="20" customFormat="1" x14ac:dyDescent="0.25">
      <c r="A711" s="22"/>
      <c r="AC711" s="105"/>
    </row>
    <row r="712" spans="1:29" s="20" customFormat="1" x14ac:dyDescent="0.25">
      <c r="A712" s="22"/>
      <c r="AC712" s="105"/>
    </row>
    <row r="713" spans="1:29" s="20" customFormat="1" x14ac:dyDescent="0.25">
      <c r="A713" s="22"/>
      <c r="AC713" s="105"/>
    </row>
    <row r="714" spans="1:29" s="20" customFormat="1" x14ac:dyDescent="0.25">
      <c r="A714" s="22"/>
      <c r="AC714" s="105"/>
    </row>
    <row r="715" spans="1:29" s="20" customFormat="1" x14ac:dyDescent="0.25">
      <c r="A715" s="22"/>
      <c r="AC715" s="105"/>
    </row>
    <row r="716" spans="1:29" s="20" customFormat="1" x14ac:dyDescent="0.25">
      <c r="A716" s="22"/>
      <c r="AC716" s="105"/>
    </row>
    <row r="717" spans="1:29" s="20" customFormat="1" x14ac:dyDescent="0.25">
      <c r="A717" s="22"/>
      <c r="AC717" s="105"/>
    </row>
    <row r="718" spans="1:29" s="20" customFormat="1" x14ac:dyDescent="0.25">
      <c r="A718" s="22"/>
      <c r="AC718" s="105"/>
    </row>
    <row r="719" spans="1:29" s="20" customFormat="1" x14ac:dyDescent="0.25">
      <c r="A719" s="22"/>
      <c r="AC719" s="105"/>
    </row>
    <row r="720" spans="1:29" s="20" customFormat="1" x14ac:dyDescent="0.25">
      <c r="A720" s="22"/>
      <c r="AC720" s="105"/>
    </row>
    <row r="721" spans="1:29" s="20" customFormat="1" x14ac:dyDescent="0.25">
      <c r="A721" s="22"/>
      <c r="AC721" s="105"/>
    </row>
    <row r="722" spans="1:29" s="20" customFormat="1" x14ac:dyDescent="0.25">
      <c r="A722" s="22"/>
      <c r="AC722" s="105"/>
    </row>
    <row r="723" spans="1:29" s="20" customFormat="1" x14ac:dyDescent="0.25">
      <c r="A723" s="22"/>
      <c r="AC723" s="105"/>
    </row>
    <row r="724" spans="1:29" s="20" customFormat="1" x14ac:dyDescent="0.25">
      <c r="A724" s="22"/>
      <c r="AC724" s="105"/>
    </row>
    <row r="725" spans="1:29" s="20" customFormat="1" x14ac:dyDescent="0.25">
      <c r="A725" s="22"/>
      <c r="AC725" s="105"/>
    </row>
    <row r="726" spans="1:29" s="20" customFormat="1" x14ac:dyDescent="0.25">
      <c r="A726" s="22"/>
      <c r="AC726" s="105"/>
    </row>
    <row r="727" spans="1:29" s="20" customFormat="1" x14ac:dyDescent="0.25">
      <c r="A727" s="22"/>
      <c r="AC727" s="105"/>
    </row>
    <row r="728" spans="1:29" s="20" customFormat="1" x14ac:dyDescent="0.25">
      <c r="A728" s="22"/>
      <c r="AC728" s="105"/>
    </row>
    <row r="729" spans="1:29" s="20" customFormat="1" x14ac:dyDescent="0.25">
      <c r="A729" s="22"/>
      <c r="AC729" s="105"/>
    </row>
    <row r="730" spans="1:29" s="20" customFormat="1" x14ac:dyDescent="0.25">
      <c r="A730" s="22"/>
      <c r="AC730" s="105"/>
    </row>
    <row r="731" spans="1:29" s="20" customFormat="1" x14ac:dyDescent="0.25">
      <c r="A731" s="22"/>
      <c r="AC731" s="105"/>
    </row>
    <row r="732" spans="1:29" s="20" customFormat="1" x14ac:dyDescent="0.25">
      <c r="A732" s="22"/>
      <c r="AC732" s="105"/>
    </row>
    <row r="733" spans="1:29" s="20" customFormat="1" x14ac:dyDescent="0.25">
      <c r="AC733" s="105"/>
    </row>
    <row r="734" spans="1:29" s="20" customFormat="1" x14ac:dyDescent="0.25">
      <c r="AC734" s="105"/>
    </row>
    <row r="735" spans="1:29" s="20" customFormat="1" x14ac:dyDescent="0.25">
      <c r="AC735" s="105"/>
    </row>
    <row r="736" spans="1:29" s="20" customFormat="1" x14ac:dyDescent="0.25">
      <c r="AC736" s="105"/>
    </row>
    <row r="737" spans="29:29" s="20" customFormat="1" x14ac:dyDescent="0.25">
      <c r="AC737" s="105"/>
    </row>
    <row r="738" spans="29:29" s="20" customFormat="1" x14ac:dyDescent="0.25">
      <c r="AC738" s="105"/>
    </row>
    <row r="739" spans="29:29" s="20" customFormat="1" x14ac:dyDescent="0.25">
      <c r="AC739" s="105"/>
    </row>
    <row r="740" spans="29:29" s="20" customFormat="1" x14ac:dyDescent="0.25">
      <c r="AC740" s="105"/>
    </row>
    <row r="741" spans="29:29" s="20" customFormat="1" x14ac:dyDescent="0.25">
      <c r="AC741" s="105"/>
    </row>
    <row r="742" spans="29:29" s="20" customFormat="1" x14ac:dyDescent="0.25">
      <c r="AC742" s="105"/>
    </row>
    <row r="743" spans="29:29" s="20" customFormat="1" x14ac:dyDescent="0.25">
      <c r="AC743" s="105"/>
    </row>
    <row r="744" spans="29:29" s="20" customFormat="1" x14ac:dyDescent="0.25">
      <c r="AC744" s="105"/>
    </row>
    <row r="745" spans="29:29" s="20" customFormat="1" x14ac:dyDescent="0.25">
      <c r="AC745" s="105"/>
    </row>
    <row r="746" spans="29:29" s="20" customFormat="1" x14ac:dyDescent="0.25">
      <c r="AC746" s="105"/>
    </row>
    <row r="747" spans="29:29" s="20" customFormat="1" x14ac:dyDescent="0.25">
      <c r="AC747" s="105"/>
    </row>
    <row r="748" spans="29:29" s="20" customFormat="1" x14ac:dyDescent="0.25">
      <c r="AC748" s="105"/>
    </row>
    <row r="749" spans="29:29" s="20" customFormat="1" x14ac:dyDescent="0.25">
      <c r="AC749" s="105"/>
    </row>
    <row r="750" spans="29:29" s="20" customFormat="1" x14ac:dyDescent="0.25">
      <c r="AC750" s="105"/>
    </row>
    <row r="751" spans="29:29" s="20" customFormat="1" x14ac:dyDescent="0.25">
      <c r="AC751" s="105"/>
    </row>
    <row r="752" spans="29:29" s="20" customFormat="1" x14ac:dyDescent="0.25">
      <c r="AC752" s="105"/>
    </row>
    <row r="753" spans="29:29" s="20" customFormat="1" x14ac:dyDescent="0.25">
      <c r="AC753" s="105"/>
    </row>
    <row r="754" spans="29:29" s="20" customFormat="1" x14ac:dyDescent="0.25">
      <c r="AC754" s="105"/>
    </row>
    <row r="755" spans="29:29" s="20" customFormat="1" x14ac:dyDescent="0.25">
      <c r="AC755" s="105"/>
    </row>
    <row r="756" spans="29:29" s="20" customFormat="1" x14ac:dyDescent="0.25">
      <c r="AC756" s="105"/>
    </row>
    <row r="757" spans="29:29" s="20" customFormat="1" x14ac:dyDescent="0.25">
      <c r="AC757" s="105"/>
    </row>
    <row r="758" spans="29:29" s="20" customFormat="1" x14ac:dyDescent="0.25">
      <c r="AC758" s="105"/>
    </row>
    <row r="759" spans="29:29" s="20" customFormat="1" x14ac:dyDescent="0.25">
      <c r="AC759" s="105"/>
    </row>
    <row r="760" spans="29:29" s="20" customFormat="1" x14ac:dyDescent="0.25">
      <c r="AC760" s="105"/>
    </row>
    <row r="761" spans="29:29" s="20" customFormat="1" x14ac:dyDescent="0.25">
      <c r="AC761" s="105"/>
    </row>
    <row r="762" spans="29:29" s="20" customFormat="1" x14ac:dyDescent="0.25">
      <c r="AC762" s="105"/>
    </row>
    <row r="763" spans="29:29" s="20" customFormat="1" x14ac:dyDescent="0.25">
      <c r="AC763" s="105"/>
    </row>
    <row r="764" spans="29:29" s="20" customFormat="1" x14ac:dyDescent="0.25">
      <c r="AC764" s="105"/>
    </row>
    <row r="765" spans="29:29" s="20" customFormat="1" x14ac:dyDescent="0.25">
      <c r="AC765" s="105"/>
    </row>
    <row r="766" spans="29:29" s="20" customFormat="1" x14ac:dyDescent="0.25">
      <c r="AC766" s="105"/>
    </row>
    <row r="767" spans="29:29" s="20" customFormat="1" x14ac:dyDescent="0.25">
      <c r="AC767" s="105"/>
    </row>
    <row r="768" spans="29:29" s="20" customFormat="1" x14ac:dyDescent="0.25">
      <c r="AC768" s="105"/>
    </row>
    <row r="769" spans="29:29" s="20" customFormat="1" x14ac:dyDescent="0.25">
      <c r="AC769" s="105"/>
    </row>
    <row r="770" spans="29:29" s="20" customFormat="1" x14ac:dyDescent="0.25">
      <c r="AC770" s="105"/>
    </row>
    <row r="771" spans="29:29" s="20" customFormat="1" x14ac:dyDescent="0.25">
      <c r="AC771" s="105"/>
    </row>
    <row r="772" spans="29:29" s="20" customFormat="1" x14ac:dyDescent="0.25">
      <c r="AC772" s="105"/>
    </row>
    <row r="773" spans="29:29" s="20" customFormat="1" x14ac:dyDescent="0.25">
      <c r="AC773" s="105"/>
    </row>
    <row r="774" spans="29:29" s="20" customFormat="1" x14ac:dyDescent="0.25">
      <c r="AC774" s="105"/>
    </row>
    <row r="775" spans="29:29" s="20" customFormat="1" x14ac:dyDescent="0.25">
      <c r="AC775" s="105"/>
    </row>
    <row r="776" spans="29:29" s="20" customFormat="1" x14ac:dyDescent="0.25">
      <c r="AC776" s="105"/>
    </row>
    <row r="777" spans="29:29" s="20" customFormat="1" x14ac:dyDescent="0.25">
      <c r="AC777" s="105"/>
    </row>
    <row r="778" spans="29:29" s="20" customFormat="1" x14ac:dyDescent="0.25">
      <c r="AC778" s="105"/>
    </row>
    <row r="779" spans="29:29" s="20" customFormat="1" x14ac:dyDescent="0.25">
      <c r="AC779" s="105"/>
    </row>
    <row r="780" spans="29:29" s="20" customFormat="1" x14ac:dyDescent="0.25">
      <c r="AC780" s="105"/>
    </row>
    <row r="781" spans="29:29" s="20" customFormat="1" x14ac:dyDescent="0.25">
      <c r="AC781" s="105"/>
    </row>
    <row r="782" spans="29:29" s="20" customFormat="1" x14ac:dyDescent="0.25">
      <c r="AC782" s="105"/>
    </row>
    <row r="783" spans="29:29" s="20" customFormat="1" x14ac:dyDescent="0.25">
      <c r="AC783" s="105"/>
    </row>
    <row r="784" spans="29:29" s="20" customFormat="1" x14ac:dyDescent="0.25">
      <c r="AC784" s="105"/>
    </row>
    <row r="785" spans="29:29" s="20" customFormat="1" x14ac:dyDescent="0.25">
      <c r="AC785" s="105"/>
    </row>
    <row r="786" spans="29:29" s="20" customFormat="1" x14ac:dyDescent="0.25">
      <c r="AC786" s="105"/>
    </row>
    <row r="787" spans="29:29" s="20" customFormat="1" x14ac:dyDescent="0.25">
      <c r="AC787" s="105"/>
    </row>
    <row r="788" spans="29:29" s="20" customFormat="1" x14ac:dyDescent="0.25">
      <c r="AC788" s="105"/>
    </row>
    <row r="789" spans="29:29" s="20" customFormat="1" x14ac:dyDescent="0.25">
      <c r="AC789" s="105"/>
    </row>
    <row r="790" spans="29:29" s="20" customFormat="1" x14ac:dyDescent="0.25">
      <c r="AC790" s="105"/>
    </row>
    <row r="791" spans="29:29" s="20" customFormat="1" x14ac:dyDescent="0.25">
      <c r="AC791" s="105"/>
    </row>
    <row r="792" spans="29:29" s="20" customFormat="1" x14ac:dyDescent="0.25">
      <c r="AC792" s="105"/>
    </row>
    <row r="793" spans="29:29" s="20" customFormat="1" x14ac:dyDescent="0.25">
      <c r="AC793" s="105"/>
    </row>
    <row r="794" spans="29:29" s="20" customFormat="1" x14ac:dyDescent="0.25">
      <c r="AC794" s="105"/>
    </row>
    <row r="795" spans="29:29" s="20" customFormat="1" x14ac:dyDescent="0.25">
      <c r="AC795" s="105"/>
    </row>
    <row r="796" spans="29:29" s="20" customFormat="1" x14ac:dyDescent="0.25">
      <c r="AC796" s="105"/>
    </row>
    <row r="797" spans="29:29" s="20" customFormat="1" x14ac:dyDescent="0.25">
      <c r="AC797" s="105"/>
    </row>
    <row r="798" spans="29:29" s="20" customFormat="1" x14ac:dyDescent="0.25">
      <c r="AC798" s="105"/>
    </row>
    <row r="799" spans="29:29" s="20" customFormat="1" x14ac:dyDescent="0.25">
      <c r="AC799" s="105"/>
    </row>
    <row r="800" spans="29:29" s="20" customFormat="1" x14ac:dyDescent="0.25">
      <c r="AC800" s="105"/>
    </row>
    <row r="801" spans="29:29" s="20" customFormat="1" x14ac:dyDescent="0.25">
      <c r="AC801" s="105"/>
    </row>
    <row r="802" spans="29:29" s="20" customFormat="1" x14ac:dyDescent="0.25">
      <c r="AC802" s="105"/>
    </row>
    <row r="803" spans="29:29" s="20" customFormat="1" x14ac:dyDescent="0.25">
      <c r="AC803" s="105"/>
    </row>
    <row r="804" spans="29:29" s="20" customFormat="1" x14ac:dyDescent="0.25">
      <c r="AC804" s="105"/>
    </row>
    <row r="805" spans="29:29" s="20" customFormat="1" x14ac:dyDescent="0.25">
      <c r="AC805" s="105"/>
    </row>
    <row r="806" spans="29:29" s="20" customFormat="1" x14ac:dyDescent="0.25">
      <c r="AC806" s="105"/>
    </row>
    <row r="807" spans="29:29" s="20" customFormat="1" x14ac:dyDescent="0.25">
      <c r="AC807" s="105"/>
    </row>
    <row r="808" spans="29:29" s="20" customFormat="1" x14ac:dyDescent="0.25">
      <c r="AC808" s="105"/>
    </row>
    <row r="809" spans="29:29" s="20" customFormat="1" x14ac:dyDescent="0.25">
      <c r="AC809" s="105"/>
    </row>
    <row r="810" spans="29:29" s="20" customFormat="1" x14ac:dyDescent="0.25">
      <c r="AC810" s="105"/>
    </row>
    <row r="811" spans="29:29" s="20" customFormat="1" x14ac:dyDescent="0.25">
      <c r="AC811" s="105"/>
    </row>
    <row r="812" spans="29:29" s="20" customFormat="1" x14ac:dyDescent="0.25">
      <c r="AC812" s="105"/>
    </row>
    <row r="813" spans="29:29" s="20" customFormat="1" x14ac:dyDescent="0.25">
      <c r="AC813" s="105"/>
    </row>
    <row r="814" spans="29:29" s="20" customFormat="1" x14ac:dyDescent="0.25">
      <c r="AC814" s="105"/>
    </row>
    <row r="815" spans="29:29" s="20" customFormat="1" x14ac:dyDescent="0.25">
      <c r="AC815" s="105"/>
    </row>
    <row r="816" spans="29:29" s="20" customFormat="1" x14ac:dyDescent="0.25">
      <c r="AC816" s="105"/>
    </row>
    <row r="817" spans="29:29" s="20" customFormat="1" x14ac:dyDescent="0.25">
      <c r="AC817" s="105"/>
    </row>
    <row r="818" spans="29:29" s="20" customFormat="1" x14ac:dyDescent="0.25">
      <c r="AC818" s="105"/>
    </row>
    <row r="819" spans="29:29" s="20" customFormat="1" x14ac:dyDescent="0.25">
      <c r="AC819" s="105"/>
    </row>
    <row r="820" spans="29:29" s="20" customFormat="1" x14ac:dyDescent="0.25">
      <c r="AC820" s="105"/>
    </row>
    <row r="821" spans="29:29" s="20" customFormat="1" x14ac:dyDescent="0.25">
      <c r="AC821" s="105"/>
    </row>
    <row r="822" spans="29:29" s="20" customFormat="1" x14ac:dyDescent="0.25">
      <c r="AC822" s="105"/>
    </row>
    <row r="823" spans="29:29" s="20" customFormat="1" x14ac:dyDescent="0.25">
      <c r="AC823" s="105"/>
    </row>
    <row r="824" spans="29:29" s="20" customFormat="1" x14ac:dyDescent="0.25">
      <c r="AC824" s="105"/>
    </row>
    <row r="825" spans="29:29" s="20" customFormat="1" x14ac:dyDescent="0.25">
      <c r="AC825" s="105"/>
    </row>
    <row r="826" spans="29:29" s="20" customFormat="1" x14ac:dyDescent="0.25">
      <c r="AC826" s="105"/>
    </row>
    <row r="827" spans="29:29" s="20" customFormat="1" x14ac:dyDescent="0.25">
      <c r="AC827" s="105"/>
    </row>
    <row r="828" spans="29:29" s="20" customFormat="1" x14ac:dyDescent="0.25">
      <c r="AC828" s="105"/>
    </row>
    <row r="829" spans="29:29" s="20" customFormat="1" x14ac:dyDescent="0.25">
      <c r="AC829" s="105"/>
    </row>
    <row r="830" spans="29:29" s="20" customFormat="1" x14ac:dyDescent="0.25">
      <c r="AC830" s="105"/>
    </row>
    <row r="831" spans="29:29" s="20" customFormat="1" x14ac:dyDescent="0.25">
      <c r="AC831" s="105"/>
    </row>
    <row r="832" spans="29:29" s="20" customFormat="1" x14ac:dyDescent="0.25">
      <c r="AC832" s="105"/>
    </row>
    <row r="833" spans="29:29" s="20" customFormat="1" x14ac:dyDescent="0.25">
      <c r="AC833" s="105"/>
    </row>
    <row r="834" spans="29:29" s="20" customFormat="1" x14ac:dyDescent="0.25">
      <c r="AC834" s="105"/>
    </row>
    <row r="835" spans="29:29" s="20" customFormat="1" x14ac:dyDescent="0.25">
      <c r="AC835" s="105"/>
    </row>
    <row r="836" spans="29:29" s="20" customFormat="1" x14ac:dyDescent="0.25">
      <c r="AC836" s="105"/>
    </row>
    <row r="837" spans="29:29" s="20" customFormat="1" x14ac:dyDescent="0.25">
      <c r="AC837" s="105"/>
    </row>
    <row r="838" spans="29:29" s="20" customFormat="1" x14ac:dyDescent="0.25">
      <c r="AC838" s="105"/>
    </row>
    <row r="839" spans="29:29" s="20" customFormat="1" x14ac:dyDescent="0.25">
      <c r="AC839" s="105"/>
    </row>
    <row r="840" spans="29:29" s="20" customFormat="1" x14ac:dyDescent="0.25">
      <c r="AC840" s="105"/>
    </row>
    <row r="841" spans="29:29" s="20" customFormat="1" x14ac:dyDescent="0.25">
      <c r="AC841" s="105"/>
    </row>
    <row r="842" spans="29:29" s="20" customFormat="1" x14ac:dyDescent="0.25">
      <c r="AC842" s="105"/>
    </row>
    <row r="843" spans="29:29" s="20" customFormat="1" x14ac:dyDescent="0.25">
      <c r="AC843" s="105"/>
    </row>
    <row r="844" spans="29:29" s="20" customFormat="1" x14ac:dyDescent="0.25">
      <c r="AC844" s="105"/>
    </row>
    <row r="845" spans="29:29" s="20" customFormat="1" x14ac:dyDescent="0.25">
      <c r="AC845" s="105"/>
    </row>
    <row r="846" spans="29:29" s="20" customFormat="1" x14ac:dyDescent="0.25">
      <c r="AC846" s="105"/>
    </row>
    <row r="847" spans="29:29" s="20" customFormat="1" x14ac:dyDescent="0.25">
      <c r="AC847" s="105"/>
    </row>
    <row r="848" spans="29:29" s="20" customFormat="1" x14ac:dyDescent="0.25">
      <c r="AC848" s="105"/>
    </row>
    <row r="849" spans="29:29" s="20" customFormat="1" x14ac:dyDescent="0.25">
      <c r="AC849" s="105"/>
    </row>
    <row r="850" spans="29:29" s="20" customFormat="1" x14ac:dyDescent="0.25">
      <c r="AC850" s="105"/>
    </row>
    <row r="851" spans="29:29" s="20" customFormat="1" x14ac:dyDescent="0.25">
      <c r="AC851" s="105"/>
    </row>
    <row r="852" spans="29:29" s="20" customFormat="1" x14ac:dyDescent="0.25">
      <c r="AC852" s="105"/>
    </row>
    <row r="853" spans="29:29" s="20" customFormat="1" x14ac:dyDescent="0.25">
      <c r="AC853" s="105"/>
    </row>
    <row r="854" spans="29:29" s="20" customFormat="1" x14ac:dyDescent="0.25">
      <c r="AC854" s="105"/>
    </row>
    <row r="855" spans="29:29" s="20" customFormat="1" x14ac:dyDescent="0.25">
      <c r="AC855" s="105"/>
    </row>
    <row r="856" spans="29:29" s="20" customFormat="1" x14ac:dyDescent="0.25">
      <c r="AC856" s="105"/>
    </row>
    <row r="857" spans="29:29" s="20" customFormat="1" x14ac:dyDescent="0.25">
      <c r="AC857" s="105"/>
    </row>
    <row r="858" spans="29:29" s="20" customFormat="1" x14ac:dyDescent="0.25">
      <c r="AC858" s="105"/>
    </row>
    <row r="859" spans="29:29" s="20" customFormat="1" x14ac:dyDescent="0.25">
      <c r="AC859" s="105"/>
    </row>
    <row r="860" spans="29:29" s="20" customFormat="1" x14ac:dyDescent="0.25">
      <c r="AC860" s="105"/>
    </row>
    <row r="861" spans="29:29" s="20" customFormat="1" x14ac:dyDescent="0.25">
      <c r="AC861" s="105"/>
    </row>
    <row r="862" spans="29:29" s="20" customFormat="1" x14ac:dyDescent="0.25">
      <c r="AC862" s="105"/>
    </row>
    <row r="863" spans="29:29" s="20" customFormat="1" x14ac:dyDescent="0.25">
      <c r="AC863" s="105"/>
    </row>
    <row r="864" spans="29:29" s="20" customFormat="1" x14ac:dyDescent="0.25">
      <c r="AC864" s="105"/>
    </row>
    <row r="865" spans="29:29" s="20" customFormat="1" x14ac:dyDescent="0.25">
      <c r="AC865" s="105"/>
    </row>
    <row r="866" spans="29:29" s="20" customFormat="1" x14ac:dyDescent="0.25">
      <c r="AC866" s="105"/>
    </row>
    <row r="867" spans="29:29" s="20" customFormat="1" x14ac:dyDescent="0.25">
      <c r="AC867" s="105"/>
    </row>
    <row r="868" spans="29:29" s="20" customFormat="1" x14ac:dyDescent="0.25">
      <c r="AC868" s="105"/>
    </row>
    <row r="869" spans="29:29" s="20" customFormat="1" x14ac:dyDescent="0.25">
      <c r="AC869" s="105"/>
    </row>
    <row r="870" spans="29:29" s="20" customFormat="1" x14ac:dyDescent="0.25">
      <c r="AC870" s="105"/>
    </row>
    <row r="871" spans="29:29" s="20" customFormat="1" x14ac:dyDescent="0.25">
      <c r="AC871" s="105"/>
    </row>
    <row r="872" spans="29:29" s="20" customFormat="1" x14ac:dyDescent="0.25">
      <c r="AC872" s="105"/>
    </row>
    <row r="873" spans="29:29" s="20" customFormat="1" x14ac:dyDescent="0.25">
      <c r="AC873" s="105"/>
    </row>
    <row r="874" spans="29:29" s="20" customFormat="1" x14ac:dyDescent="0.25">
      <c r="AC874" s="105"/>
    </row>
    <row r="875" spans="29:29" s="20" customFormat="1" x14ac:dyDescent="0.25">
      <c r="AC875" s="105"/>
    </row>
    <row r="876" spans="29:29" s="20" customFormat="1" x14ac:dyDescent="0.25">
      <c r="AC876" s="105"/>
    </row>
    <row r="877" spans="29:29" s="20" customFormat="1" x14ac:dyDescent="0.25">
      <c r="AC877" s="105"/>
    </row>
    <row r="878" spans="29:29" s="20" customFormat="1" x14ac:dyDescent="0.25">
      <c r="AC878" s="105"/>
    </row>
    <row r="879" spans="29:29" s="20" customFormat="1" x14ac:dyDescent="0.25">
      <c r="AC879" s="105"/>
    </row>
    <row r="880" spans="29:29" s="20" customFormat="1" x14ac:dyDescent="0.25">
      <c r="AC880" s="105"/>
    </row>
    <row r="881" spans="29:29" s="20" customFormat="1" x14ac:dyDescent="0.25">
      <c r="AC881" s="105"/>
    </row>
    <row r="882" spans="29:29" s="20" customFormat="1" x14ac:dyDescent="0.25">
      <c r="AC882" s="105"/>
    </row>
    <row r="883" spans="29:29" s="20" customFormat="1" x14ac:dyDescent="0.25">
      <c r="AC883" s="105"/>
    </row>
    <row r="884" spans="29:29" s="20" customFormat="1" x14ac:dyDescent="0.25">
      <c r="AC884" s="105"/>
    </row>
    <row r="885" spans="29:29" s="20" customFormat="1" x14ac:dyDescent="0.25">
      <c r="AC885" s="105"/>
    </row>
    <row r="886" spans="29:29" s="20" customFormat="1" x14ac:dyDescent="0.25">
      <c r="AC886" s="105"/>
    </row>
    <row r="887" spans="29:29" s="20" customFormat="1" x14ac:dyDescent="0.25">
      <c r="AC887" s="105"/>
    </row>
    <row r="888" spans="29:29" s="20" customFormat="1" x14ac:dyDescent="0.25">
      <c r="AC888" s="105"/>
    </row>
    <row r="889" spans="29:29" s="20" customFormat="1" x14ac:dyDescent="0.25">
      <c r="AC889" s="105"/>
    </row>
    <row r="890" spans="29:29" s="20" customFormat="1" x14ac:dyDescent="0.25">
      <c r="AC890" s="105"/>
    </row>
    <row r="891" spans="29:29" s="20" customFormat="1" x14ac:dyDescent="0.25">
      <c r="AC891" s="105"/>
    </row>
    <row r="892" spans="29:29" s="20" customFormat="1" x14ac:dyDescent="0.25">
      <c r="AC892" s="105"/>
    </row>
    <row r="893" spans="29:29" s="20" customFormat="1" x14ac:dyDescent="0.25">
      <c r="AC893" s="105"/>
    </row>
    <row r="894" spans="29:29" s="20" customFormat="1" x14ac:dyDescent="0.25">
      <c r="AC894" s="105"/>
    </row>
    <row r="895" spans="29:29" s="20" customFormat="1" x14ac:dyDescent="0.25">
      <c r="AC895" s="105"/>
    </row>
    <row r="896" spans="29:29" s="20" customFormat="1" x14ac:dyDescent="0.25">
      <c r="AC896" s="105"/>
    </row>
    <row r="897" spans="29:29" s="20" customFormat="1" x14ac:dyDescent="0.25">
      <c r="AC897" s="105"/>
    </row>
    <row r="898" spans="29:29" s="20" customFormat="1" x14ac:dyDescent="0.25">
      <c r="AC898" s="105"/>
    </row>
    <row r="899" spans="29:29" s="20" customFormat="1" x14ac:dyDescent="0.25">
      <c r="AC899" s="105"/>
    </row>
    <row r="900" spans="29:29" s="20" customFormat="1" x14ac:dyDescent="0.25">
      <c r="AC900" s="105"/>
    </row>
    <row r="901" spans="29:29" s="20" customFormat="1" x14ac:dyDescent="0.25">
      <c r="AC901" s="105"/>
    </row>
    <row r="902" spans="29:29" s="20" customFormat="1" x14ac:dyDescent="0.25">
      <c r="AC902" s="105"/>
    </row>
    <row r="903" spans="29:29" s="20" customFormat="1" x14ac:dyDescent="0.25">
      <c r="AC903" s="105"/>
    </row>
    <row r="904" spans="29:29" s="20" customFormat="1" x14ac:dyDescent="0.25">
      <c r="AC904" s="105"/>
    </row>
    <row r="905" spans="29:29" s="20" customFormat="1" x14ac:dyDescent="0.25">
      <c r="AC905" s="105"/>
    </row>
    <row r="906" spans="29:29" s="20" customFormat="1" x14ac:dyDescent="0.25">
      <c r="AC906" s="105"/>
    </row>
    <row r="907" spans="29:29" s="20" customFormat="1" x14ac:dyDescent="0.25">
      <c r="AC907" s="105"/>
    </row>
    <row r="908" spans="29:29" s="20" customFormat="1" x14ac:dyDescent="0.25">
      <c r="AC908" s="105"/>
    </row>
    <row r="909" spans="29:29" s="20" customFormat="1" x14ac:dyDescent="0.25">
      <c r="AC909" s="105"/>
    </row>
    <row r="910" spans="29:29" s="20" customFormat="1" x14ac:dyDescent="0.25">
      <c r="AC910" s="105"/>
    </row>
    <row r="911" spans="29:29" s="20" customFormat="1" x14ac:dyDescent="0.25">
      <c r="AC911" s="105"/>
    </row>
    <row r="912" spans="29:29" s="20" customFormat="1" x14ac:dyDescent="0.25">
      <c r="AC912" s="105"/>
    </row>
    <row r="913" spans="29:29" s="20" customFormat="1" x14ac:dyDescent="0.25">
      <c r="AC913" s="105"/>
    </row>
    <row r="914" spans="29:29" s="20" customFormat="1" x14ac:dyDescent="0.25">
      <c r="AC914" s="105"/>
    </row>
    <row r="915" spans="29:29" s="20" customFormat="1" x14ac:dyDescent="0.25">
      <c r="AC915" s="105"/>
    </row>
    <row r="916" spans="29:29" s="20" customFormat="1" x14ac:dyDescent="0.25">
      <c r="AC916" s="105"/>
    </row>
    <row r="917" spans="29:29" s="20" customFormat="1" x14ac:dyDescent="0.25">
      <c r="AC917" s="105"/>
    </row>
    <row r="918" spans="29:29" s="20" customFormat="1" x14ac:dyDescent="0.25">
      <c r="AC918" s="105"/>
    </row>
    <row r="919" spans="29:29" s="20" customFormat="1" x14ac:dyDescent="0.25">
      <c r="AC919" s="105"/>
    </row>
    <row r="920" spans="29:29" s="20" customFormat="1" x14ac:dyDescent="0.25">
      <c r="AC920" s="105"/>
    </row>
    <row r="921" spans="29:29" s="20" customFormat="1" x14ac:dyDescent="0.25">
      <c r="AC921" s="105"/>
    </row>
    <row r="922" spans="29:29" s="20" customFormat="1" x14ac:dyDescent="0.25">
      <c r="AC922" s="105"/>
    </row>
    <row r="923" spans="29:29" s="20" customFormat="1" x14ac:dyDescent="0.25">
      <c r="AC923" s="105"/>
    </row>
    <row r="924" spans="29:29" s="20" customFormat="1" x14ac:dyDescent="0.25">
      <c r="AC924" s="105"/>
    </row>
    <row r="925" spans="29:29" s="20" customFormat="1" x14ac:dyDescent="0.25">
      <c r="AC925" s="105"/>
    </row>
    <row r="926" spans="29:29" s="20" customFormat="1" x14ac:dyDescent="0.25">
      <c r="AC926" s="105"/>
    </row>
    <row r="927" spans="29:29" s="20" customFormat="1" x14ac:dyDescent="0.25">
      <c r="AC927" s="105"/>
    </row>
    <row r="928" spans="29:29" s="20" customFormat="1" x14ac:dyDescent="0.25">
      <c r="AC928" s="105"/>
    </row>
    <row r="929" spans="1:29" s="20" customFormat="1" x14ac:dyDescent="0.25">
      <c r="AC929" s="105"/>
    </row>
    <row r="930" spans="1:29" s="20" customFormat="1" x14ac:dyDescent="0.25">
      <c r="AC930" s="105"/>
    </row>
    <row r="931" spans="1:29" s="20" customFormat="1" x14ac:dyDescent="0.25">
      <c r="AC931" s="105"/>
    </row>
    <row r="932" spans="1:29" s="20" customFormat="1" x14ac:dyDescent="0.25">
      <c r="AC932" s="105"/>
    </row>
    <row r="933" spans="1:29" s="20" customFormat="1" x14ac:dyDescent="0.25">
      <c r="AC933" s="105"/>
    </row>
    <row r="934" spans="1:29" s="20" customFormat="1" x14ac:dyDescent="0.25">
      <c r="AC934" s="105"/>
    </row>
    <row r="935" spans="1:29" s="20" customFormat="1" x14ac:dyDescent="0.25">
      <c r="AC935" s="105"/>
    </row>
    <row r="936" spans="1:29" s="20" customFormat="1" x14ac:dyDescent="0.25">
      <c r="AC936" s="105"/>
    </row>
    <row r="937" spans="1:29" s="20" customFormat="1" x14ac:dyDescent="0.25">
      <c r="AC937" s="105"/>
    </row>
    <row r="938" spans="1:29" s="20" customFormat="1" x14ac:dyDescent="0.25">
      <c r="AC938" s="105"/>
    </row>
    <row r="939" spans="1:29" s="20" customFormat="1" x14ac:dyDescent="0.25">
      <c r="AC939" s="105"/>
    </row>
    <row r="940" spans="1:29" s="20" customFormat="1" x14ac:dyDescent="0.25">
      <c r="AC940" s="105"/>
    </row>
    <row r="941" spans="1:29" x14ac:dyDescent="0.25">
      <c r="A941" s="20"/>
    </row>
  </sheetData>
  <phoneticPr fontId="39" type="noConversion"/>
  <pageMargins left="0.75" right="0.75" top="1" bottom="1" header="0.5" footer="0.5"/>
  <pageSetup paperSize="42" scale="34" orientation="portrait" r:id="rId1"/>
  <headerFooter alignWithMargins="0"/>
  <rowBreaks count="1" manualBreakCount="1">
    <brk id="123" max="16383" man="1"/>
  </row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940"/>
  <sheetViews>
    <sheetView zoomScaleNormal="100" workbookViewId="0">
      <pane xSplit="1" ySplit="1" topLeftCell="B334" activePane="bottomRight" state="frozen"/>
      <selection activeCell="O329" sqref="O329"/>
      <selection pane="topRight" activeCell="O329" sqref="O329"/>
      <selection pane="bottomLeft" activeCell="O329" sqref="O329"/>
      <selection pane="bottomRight" sqref="A1:G366"/>
    </sheetView>
  </sheetViews>
  <sheetFormatPr defaultColWidth="9" defaultRowHeight="15.75" x14ac:dyDescent="0.25"/>
  <cols>
    <col min="1" max="1" width="11.125" style="11" customWidth="1"/>
    <col min="2" max="2" width="15.125" style="11" customWidth="1"/>
    <col min="3" max="3" width="14.125" style="23" customWidth="1"/>
    <col min="4" max="4" width="13.5" style="23" customWidth="1"/>
    <col min="5" max="5" width="13.125" style="23" customWidth="1"/>
    <col min="6" max="6" width="20.25" style="23" customWidth="1"/>
    <col min="7" max="7" width="36.5" style="23" bestFit="1" customWidth="1"/>
    <col min="8" max="16384" width="9" style="11"/>
  </cols>
  <sheetData>
    <row r="1" spans="1:7" x14ac:dyDescent="0.25">
      <c r="A1" s="275" t="s">
        <v>58</v>
      </c>
      <c r="B1" s="280" t="s">
        <v>340</v>
      </c>
      <c r="C1" s="280" t="s">
        <v>341</v>
      </c>
      <c r="D1" s="280" t="s">
        <v>342</v>
      </c>
      <c r="E1" s="280" t="s">
        <v>343</v>
      </c>
      <c r="F1" s="280" t="s">
        <v>344</v>
      </c>
      <c r="G1" s="281" t="s">
        <v>345</v>
      </c>
    </row>
    <row r="2" spans="1:7" x14ac:dyDescent="0.25">
      <c r="A2" s="31">
        <f>'M&amp;R Stations'!A2</f>
        <v>38961</v>
      </c>
      <c r="B2" s="221">
        <v>9.6</v>
      </c>
      <c r="C2" s="222">
        <v>70</v>
      </c>
      <c r="D2" s="222">
        <v>60</v>
      </c>
      <c r="E2" s="222">
        <v>65</v>
      </c>
      <c r="F2" s="222" t="s">
        <v>237</v>
      </c>
      <c r="G2" s="222" t="s">
        <v>238</v>
      </c>
    </row>
    <row r="3" spans="1:7" x14ac:dyDescent="0.25">
      <c r="A3" s="31">
        <f>'M&amp;R Stations'!A3</f>
        <v>38962</v>
      </c>
      <c r="B3" s="221">
        <v>2.2999999999999998</v>
      </c>
      <c r="C3" s="222">
        <v>73</v>
      </c>
      <c r="D3" s="222">
        <v>65</v>
      </c>
      <c r="E3" s="222">
        <v>69</v>
      </c>
      <c r="F3" s="222" t="s">
        <v>237</v>
      </c>
      <c r="G3" s="222" t="s">
        <v>239</v>
      </c>
    </row>
    <row r="4" spans="1:7" x14ac:dyDescent="0.25">
      <c r="A4" s="31">
        <f>'M&amp;R Stations'!A4</f>
        <v>38963</v>
      </c>
      <c r="B4" s="221">
        <v>2.8</v>
      </c>
      <c r="C4" s="222">
        <v>80</v>
      </c>
      <c r="D4" s="222">
        <v>66</v>
      </c>
      <c r="E4" s="222">
        <v>71</v>
      </c>
      <c r="F4" s="222" t="s">
        <v>240</v>
      </c>
      <c r="G4" s="222" t="s">
        <v>241</v>
      </c>
    </row>
    <row r="5" spans="1:7" x14ac:dyDescent="0.25">
      <c r="A5" s="31">
        <f>'M&amp;R Stations'!A5</f>
        <v>38964</v>
      </c>
      <c r="B5" s="221">
        <v>2.7</v>
      </c>
      <c r="C5" s="222">
        <v>83</v>
      </c>
      <c r="D5" s="222">
        <v>67</v>
      </c>
      <c r="E5" s="222">
        <v>74</v>
      </c>
      <c r="F5" s="222" t="s">
        <v>242</v>
      </c>
      <c r="G5" s="222" t="s">
        <v>243</v>
      </c>
    </row>
    <row r="6" spans="1:7" x14ac:dyDescent="0.25">
      <c r="A6" s="31">
        <f>'M&amp;R Stations'!A6</f>
        <v>38965</v>
      </c>
      <c r="B6" s="221">
        <v>3.1</v>
      </c>
      <c r="C6" s="222">
        <v>69</v>
      </c>
      <c r="D6" s="222">
        <v>63</v>
      </c>
      <c r="E6" s="222">
        <v>65</v>
      </c>
      <c r="F6" s="222" t="s">
        <v>237</v>
      </c>
      <c r="G6" s="222" t="s">
        <v>239</v>
      </c>
    </row>
    <row r="7" spans="1:7" x14ac:dyDescent="0.25">
      <c r="A7" s="31">
        <f>'M&amp;R Stations'!A7</f>
        <v>38966</v>
      </c>
      <c r="B7" s="221">
        <v>1.6</v>
      </c>
      <c r="C7" s="222">
        <v>82</v>
      </c>
      <c r="D7" s="222">
        <v>64</v>
      </c>
      <c r="E7" s="222">
        <v>72</v>
      </c>
      <c r="F7" s="222" t="s">
        <v>242</v>
      </c>
      <c r="G7" s="222" t="s">
        <v>244</v>
      </c>
    </row>
    <row r="8" spans="1:7" x14ac:dyDescent="0.25">
      <c r="A8" s="31">
        <f>'M&amp;R Stations'!A8</f>
        <v>38967</v>
      </c>
      <c r="B8" s="221">
        <v>0.5</v>
      </c>
      <c r="C8" s="222">
        <v>87</v>
      </c>
      <c r="D8" s="222">
        <v>67</v>
      </c>
      <c r="E8" s="222">
        <v>75</v>
      </c>
      <c r="F8" s="222" t="s">
        <v>240</v>
      </c>
      <c r="G8" s="222" t="s">
        <v>243</v>
      </c>
    </row>
    <row r="9" spans="1:7" x14ac:dyDescent="0.25">
      <c r="A9" s="31">
        <f>'M&amp;R Stations'!A9</f>
        <v>38968</v>
      </c>
      <c r="B9" s="221">
        <v>2.4</v>
      </c>
      <c r="C9" s="222">
        <v>89</v>
      </c>
      <c r="D9" s="222">
        <v>68</v>
      </c>
      <c r="E9" s="222">
        <v>77</v>
      </c>
      <c r="F9" s="222" t="s">
        <v>245</v>
      </c>
      <c r="G9" s="222" t="s">
        <v>243</v>
      </c>
    </row>
    <row r="10" spans="1:7" x14ac:dyDescent="0.25">
      <c r="A10" s="31">
        <f>'M&amp;R Stations'!A10</f>
        <v>38969</v>
      </c>
      <c r="B10" s="221">
        <v>2.7</v>
      </c>
      <c r="C10" s="222">
        <v>89</v>
      </c>
      <c r="D10" s="222">
        <v>68</v>
      </c>
      <c r="E10" s="222">
        <v>78</v>
      </c>
      <c r="F10" s="222" t="s">
        <v>245</v>
      </c>
      <c r="G10" s="222" t="s">
        <v>243</v>
      </c>
    </row>
    <row r="11" spans="1:7" x14ac:dyDescent="0.25">
      <c r="A11" s="31">
        <f>'M&amp;R Stations'!A11</f>
        <v>38970</v>
      </c>
      <c r="B11" s="221">
        <v>1.7</v>
      </c>
      <c r="C11" s="222">
        <v>85</v>
      </c>
      <c r="D11" s="222">
        <v>65</v>
      </c>
      <c r="E11" s="222">
        <v>73</v>
      </c>
      <c r="F11" s="222" t="s">
        <v>246</v>
      </c>
      <c r="G11" s="222" t="s">
        <v>243</v>
      </c>
    </row>
    <row r="12" spans="1:7" x14ac:dyDescent="0.25">
      <c r="A12" s="31">
        <f>'M&amp;R Stations'!A12</f>
        <v>38971</v>
      </c>
      <c r="B12" s="221">
        <v>2.5</v>
      </c>
      <c r="C12" s="222">
        <v>75</v>
      </c>
      <c r="D12" s="222">
        <v>57</v>
      </c>
      <c r="E12" s="222">
        <v>66</v>
      </c>
      <c r="F12" s="222" t="s">
        <v>246</v>
      </c>
      <c r="G12" s="222" t="s">
        <v>243</v>
      </c>
    </row>
    <row r="13" spans="1:7" x14ac:dyDescent="0.25">
      <c r="A13" s="31">
        <f>'M&amp;R Stations'!A13</f>
        <v>38972</v>
      </c>
      <c r="B13" s="221">
        <v>1.4</v>
      </c>
      <c r="C13" s="222">
        <v>77</v>
      </c>
      <c r="D13" s="222">
        <v>59</v>
      </c>
      <c r="E13" s="222">
        <v>66</v>
      </c>
      <c r="F13" s="222" t="s">
        <v>246</v>
      </c>
      <c r="G13" s="222" t="s">
        <v>243</v>
      </c>
    </row>
    <row r="14" spans="1:7" x14ac:dyDescent="0.25">
      <c r="A14" s="31">
        <f>'M&amp;R Stations'!A14</f>
        <v>38973</v>
      </c>
      <c r="B14" s="221">
        <v>3</v>
      </c>
      <c r="C14" s="222">
        <v>74</v>
      </c>
      <c r="D14" s="222">
        <v>65</v>
      </c>
      <c r="E14" s="222">
        <v>69</v>
      </c>
      <c r="F14" s="222" t="s">
        <v>247</v>
      </c>
      <c r="G14" s="222" t="s">
        <v>248</v>
      </c>
    </row>
    <row r="15" spans="1:7" x14ac:dyDescent="0.25">
      <c r="A15" s="31">
        <f>'M&amp;R Stations'!A15</f>
        <v>38974</v>
      </c>
      <c r="B15" s="221">
        <v>2.8</v>
      </c>
      <c r="C15" s="222">
        <v>72</v>
      </c>
      <c r="D15" s="222">
        <v>67</v>
      </c>
      <c r="E15" s="222">
        <v>69</v>
      </c>
      <c r="F15" s="222" t="s">
        <v>249</v>
      </c>
      <c r="G15" s="222" t="s">
        <v>239</v>
      </c>
    </row>
    <row r="16" spans="1:7" x14ac:dyDescent="0.25">
      <c r="A16" s="31">
        <f>'M&amp;R Stations'!A16</f>
        <v>38975</v>
      </c>
      <c r="B16" s="221">
        <v>6.5</v>
      </c>
      <c r="C16" s="222">
        <v>79</v>
      </c>
      <c r="D16" s="222">
        <v>67</v>
      </c>
      <c r="E16" s="222">
        <v>71</v>
      </c>
      <c r="F16" s="222" t="s">
        <v>250</v>
      </c>
      <c r="G16" s="222" t="s">
        <v>239</v>
      </c>
    </row>
    <row r="17" spans="1:7" x14ac:dyDescent="0.25">
      <c r="A17" s="31">
        <f>'M&amp;R Stations'!A17</f>
        <v>38976</v>
      </c>
      <c r="B17" s="221">
        <v>3.7</v>
      </c>
      <c r="C17" s="222">
        <v>82</v>
      </c>
      <c r="D17" s="222">
        <v>66</v>
      </c>
      <c r="E17" s="222">
        <v>72</v>
      </c>
      <c r="F17" s="222" t="s">
        <v>250</v>
      </c>
      <c r="G17" s="222" t="s">
        <v>238</v>
      </c>
    </row>
    <row r="18" spans="1:7" x14ac:dyDescent="0.25">
      <c r="A18" s="31">
        <f>'M&amp;R Stations'!A18</f>
        <v>38977</v>
      </c>
      <c r="B18" s="221">
        <v>2.2000000000000002</v>
      </c>
      <c r="C18" s="222">
        <v>86</v>
      </c>
      <c r="D18" s="222">
        <v>67</v>
      </c>
      <c r="E18" s="222">
        <v>75</v>
      </c>
      <c r="F18" s="222" t="s">
        <v>245</v>
      </c>
      <c r="G18" s="222" t="s">
        <v>243</v>
      </c>
    </row>
    <row r="19" spans="1:7" x14ac:dyDescent="0.25">
      <c r="A19" s="31">
        <f>'M&amp;R Stations'!A19</f>
        <v>38978</v>
      </c>
      <c r="B19" s="221">
        <v>3.1</v>
      </c>
      <c r="C19" s="222">
        <v>90</v>
      </c>
      <c r="D19" s="222">
        <v>68</v>
      </c>
      <c r="E19" s="222">
        <v>77</v>
      </c>
      <c r="F19" s="222" t="s">
        <v>247</v>
      </c>
      <c r="G19" s="222" t="s">
        <v>243</v>
      </c>
    </row>
    <row r="20" spans="1:7" x14ac:dyDescent="0.25">
      <c r="A20" s="31">
        <f>'M&amp;R Stations'!A20</f>
        <v>38979</v>
      </c>
      <c r="B20" s="221">
        <v>4.8</v>
      </c>
      <c r="C20" s="222">
        <v>82</v>
      </c>
      <c r="D20" s="222">
        <v>62</v>
      </c>
      <c r="E20" s="222">
        <v>73</v>
      </c>
      <c r="F20" s="222" t="s">
        <v>240</v>
      </c>
      <c r="G20" s="222" t="s">
        <v>251</v>
      </c>
    </row>
    <row r="21" spans="1:7" x14ac:dyDescent="0.25">
      <c r="A21" s="31">
        <f>'M&amp;R Stations'!A21</f>
        <v>38980</v>
      </c>
      <c r="B21" s="221">
        <v>7.9</v>
      </c>
      <c r="C21" s="222">
        <v>74</v>
      </c>
      <c r="D21" s="222">
        <v>54</v>
      </c>
      <c r="E21" s="222">
        <v>64</v>
      </c>
      <c r="F21" s="222" t="s">
        <v>240</v>
      </c>
      <c r="G21" s="222" t="s">
        <v>243</v>
      </c>
    </row>
    <row r="22" spans="1:7" x14ac:dyDescent="0.25">
      <c r="A22" s="31">
        <f>'M&amp;R Stations'!A22</f>
        <v>38981</v>
      </c>
      <c r="B22" s="221">
        <v>3</v>
      </c>
      <c r="C22" s="222">
        <v>73</v>
      </c>
      <c r="D22" s="222">
        <v>55</v>
      </c>
      <c r="E22" s="222">
        <v>63</v>
      </c>
      <c r="F22" s="222" t="s">
        <v>240</v>
      </c>
      <c r="G22" s="222" t="s">
        <v>243</v>
      </c>
    </row>
    <row r="23" spans="1:7" x14ac:dyDescent="0.25">
      <c r="A23" s="31">
        <f>'M&amp;R Stations'!A23</f>
        <v>38982</v>
      </c>
      <c r="B23" s="221">
        <v>5.0999999999999996</v>
      </c>
      <c r="C23" s="222">
        <v>76</v>
      </c>
      <c r="D23" s="222">
        <v>65</v>
      </c>
      <c r="E23" s="222">
        <v>69</v>
      </c>
      <c r="F23" s="222" t="s">
        <v>252</v>
      </c>
      <c r="G23" s="222" t="s">
        <v>243</v>
      </c>
    </row>
    <row r="24" spans="1:7" x14ac:dyDescent="0.25">
      <c r="A24" s="31">
        <f>'M&amp;R Stations'!A24</f>
        <v>38983</v>
      </c>
      <c r="B24" s="221">
        <v>4.5999999999999996</v>
      </c>
      <c r="C24" s="222">
        <v>84</v>
      </c>
      <c r="D24" s="222">
        <v>70</v>
      </c>
      <c r="E24" s="222">
        <v>76</v>
      </c>
      <c r="F24" s="222" t="s">
        <v>245</v>
      </c>
      <c r="G24" s="222" t="s">
        <v>253</v>
      </c>
    </row>
    <row r="25" spans="1:7" x14ac:dyDescent="0.25">
      <c r="A25" s="31">
        <f>'M&amp;R Stations'!A25</f>
        <v>38984</v>
      </c>
      <c r="B25" s="221">
        <v>5</v>
      </c>
      <c r="C25" s="222">
        <v>83</v>
      </c>
      <c r="D25" s="222">
        <v>64</v>
      </c>
      <c r="E25" s="222">
        <v>73</v>
      </c>
      <c r="F25" s="222" t="s">
        <v>242</v>
      </c>
      <c r="G25" s="222" t="s">
        <v>253</v>
      </c>
    </row>
    <row r="26" spans="1:7" x14ac:dyDescent="0.25">
      <c r="A26" s="31">
        <f>'M&amp;R Stations'!A26</f>
        <v>38985</v>
      </c>
      <c r="B26" s="221">
        <v>4</v>
      </c>
      <c r="C26" s="222">
        <v>79</v>
      </c>
      <c r="D26" s="222">
        <v>60</v>
      </c>
      <c r="E26" s="222">
        <v>69</v>
      </c>
      <c r="F26" s="222" t="s">
        <v>245</v>
      </c>
      <c r="G26" s="222" t="s">
        <v>243</v>
      </c>
    </row>
    <row r="27" spans="1:7" x14ac:dyDescent="0.25">
      <c r="A27" s="31">
        <f>'M&amp;R Stations'!A27</f>
        <v>38986</v>
      </c>
      <c r="B27" s="221">
        <v>2.7</v>
      </c>
      <c r="C27" s="222">
        <v>79</v>
      </c>
      <c r="D27" s="222">
        <v>58</v>
      </c>
      <c r="E27" s="222">
        <v>68</v>
      </c>
      <c r="F27" s="222" t="s">
        <v>249</v>
      </c>
      <c r="G27" s="222" t="s">
        <v>243</v>
      </c>
    </row>
    <row r="28" spans="1:7" x14ac:dyDescent="0.25">
      <c r="A28" s="31">
        <f>'M&amp;R Stations'!A28</f>
        <v>38987</v>
      </c>
      <c r="B28" s="221">
        <v>2.6</v>
      </c>
      <c r="C28" s="222">
        <v>82</v>
      </c>
      <c r="D28" s="222">
        <v>59</v>
      </c>
      <c r="E28" s="222">
        <v>69</v>
      </c>
      <c r="F28" s="222" t="s">
        <v>249</v>
      </c>
      <c r="G28" s="222" t="s">
        <v>243</v>
      </c>
    </row>
    <row r="29" spans="1:7" x14ac:dyDescent="0.25">
      <c r="A29" s="31">
        <f>'M&amp;R Stations'!A29</f>
        <v>38988</v>
      </c>
      <c r="B29" s="221">
        <v>5.6</v>
      </c>
      <c r="C29" s="222">
        <v>81</v>
      </c>
      <c r="D29" s="222">
        <v>59</v>
      </c>
      <c r="E29" s="222">
        <v>69</v>
      </c>
      <c r="F29" s="222" t="s">
        <v>247</v>
      </c>
      <c r="G29" s="222" t="s">
        <v>241</v>
      </c>
    </row>
    <row r="30" spans="1:7" x14ac:dyDescent="0.25">
      <c r="A30" s="31">
        <f>'M&amp;R Stations'!A30</f>
        <v>38989</v>
      </c>
      <c r="B30" s="221">
        <v>4.8</v>
      </c>
      <c r="C30" s="222">
        <v>69</v>
      </c>
      <c r="D30" s="222">
        <v>52</v>
      </c>
      <c r="E30" s="222">
        <v>60</v>
      </c>
      <c r="F30" s="222" t="s">
        <v>240</v>
      </c>
      <c r="G30" s="222" t="s">
        <v>241</v>
      </c>
    </row>
    <row r="31" spans="1:7" x14ac:dyDescent="0.25">
      <c r="A31" s="31">
        <f>'M&amp;R Stations'!A31</f>
        <v>38990</v>
      </c>
      <c r="B31" s="221">
        <v>2.6</v>
      </c>
      <c r="C31" s="222">
        <v>68</v>
      </c>
      <c r="D31" s="222">
        <v>61</v>
      </c>
      <c r="E31" s="222">
        <v>64</v>
      </c>
      <c r="F31" s="222" t="s">
        <v>247</v>
      </c>
      <c r="G31" s="222" t="s">
        <v>238</v>
      </c>
    </row>
    <row r="32" spans="1:7" x14ac:dyDescent="0.25">
      <c r="A32" s="31">
        <f>'M&amp;R Stations'!A32</f>
        <v>38991</v>
      </c>
      <c r="B32" s="221">
        <v>4.9000000000000004</v>
      </c>
      <c r="C32" s="222">
        <v>74</v>
      </c>
      <c r="D32" s="222">
        <v>57</v>
      </c>
      <c r="E32" s="222">
        <v>64</v>
      </c>
      <c r="F32" s="222" t="s">
        <v>242</v>
      </c>
      <c r="G32" s="222" t="s">
        <v>254</v>
      </c>
    </row>
    <row r="33" spans="1:7" x14ac:dyDescent="0.25">
      <c r="A33" s="31">
        <f>'M&amp;R Stations'!A33</f>
        <v>38992</v>
      </c>
      <c r="B33" s="221">
        <v>4.0999999999999996</v>
      </c>
      <c r="C33" s="222">
        <v>75</v>
      </c>
      <c r="D33" s="222">
        <v>61</v>
      </c>
      <c r="E33" s="222">
        <v>66</v>
      </c>
      <c r="F33" s="222" t="s">
        <v>245</v>
      </c>
      <c r="G33" s="222" t="s">
        <v>243</v>
      </c>
    </row>
    <row r="34" spans="1:7" x14ac:dyDescent="0.25">
      <c r="A34" s="31">
        <f>'M&amp;R Stations'!A34</f>
        <v>38993</v>
      </c>
      <c r="B34" s="221">
        <v>3.7</v>
      </c>
      <c r="C34" s="222">
        <v>86</v>
      </c>
      <c r="D34" s="222">
        <v>67</v>
      </c>
      <c r="E34" s="222">
        <v>75</v>
      </c>
      <c r="F34" s="222" t="s">
        <v>245</v>
      </c>
      <c r="G34" s="222" t="s">
        <v>243</v>
      </c>
    </row>
    <row r="35" spans="1:7" x14ac:dyDescent="0.25">
      <c r="A35" s="31">
        <f>'M&amp;R Stations'!A35</f>
        <v>38994</v>
      </c>
      <c r="B35" s="221">
        <v>6.6</v>
      </c>
      <c r="C35" s="222">
        <v>88</v>
      </c>
      <c r="D35" s="222">
        <v>59</v>
      </c>
      <c r="E35" s="222">
        <v>75</v>
      </c>
      <c r="F35" s="222" t="s">
        <v>247</v>
      </c>
      <c r="G35" s="222" t="s">
        <v>241</v>
      </c>
    </row>
    <row r="36" spans="1:7" x14ac:dyDescent="0.25">
      <c r="A36" s="31">
        <f>'M&amp;R Stations'!A36</f>
        <v>38995</v>
      </c>
      <c r="B36" s="221">
        <v>5.4</v>
      </c>
      <c r="C36" s="222">
        <v>72</v>
      </c>
      <c r="D36" s="222">
        <v>53</v>
      </c>
      <c r="E36" s="222">
        <v>60</v>
      </c>
      <c r="F36" s="222" t="s">
        <v>250</v>
      </c>
      <c r="G36" s="222" t="s">
        <v>243</v>
      </c>
    </row>
    <row r="37" spans="1:7" x14ac:dyDescent="0.25">
      <c r="A37" s="31">
        <f>'M&amp;R Stations'!A37</f>
        <v>38996</v>
      </c>
      <c r="B37" s="221">
        <v>10</v>
      </c>
      <c r="C37" s="222">
        <v>57</v>
      </c>
      <c r="D37" s="222">
        <v>51</v>
      </c>
      <c r="E37" s="222">
        <v>55</v>
      </c>
      <c r="F37" s="222" t="s">
        <v>246</v>
      </c>
      <c r="G37" s="222" t="s">
        <v>239</v>
      </c>
    </row>
    <row r="38" spans="1:7" x14ac:dyDescent="0.25">
      <c r="A38" s="31">
        <f>'M&amp;R Stations'!A38</f>
        <v>38997</v>
      </c>
      <c r="B38" s="221">
        <v>5.9</v>
      </c>
      <c r="C38" s="222">
        <v>65</v>
      </c>
      <c r="D38" s="222">
        <v>54</v>
      </c>
      <c r="E38" s="222">
        <v>59</v>
      </c>
      <c r="F38" s="222" t="s">
        <v>246</v>
      </c>
      <c r="G38" s="222" t="s">
        <v>238</v>
      </c>
    </row>
    <row r="39" spans="1:7" x14ac:dyDescent="0.25">
      <c r="A39" s="31">
        <f>'M&amp;R Stations'!A39</f>
        <v>38998</v>
      </c>
      <c r="B39" s="221">
        <v>1.9</v>
      </c>
      <c r="C39" s="222">
        <v>77</v>
      </c>
      <c r="D39" s="222">
        <v>57</v>
      </c>
      <c r="E39" s="222">
        <v>65</v>
      </c>
      <c r="F39" s="222" t="s">
        <v>245</v>
      </c>
      <c r="G39" s="222" t="s">
        <v>243</v>
      </c>
    </row>
    <row r="40" spans="1:7" x14ac:dyDescent="0.25">
      <c r="A40" s="31">
        <f>'M&amp;R Stations'!A40</f>
        <v>38999</v>
      </c>
      <c r="B40" s="221">
        <v>2.2000000000000002</v>
      </c>
      <c r="C40" s="222">
        <v>84</v>
      </c>
      <c r="D40" s="222">
        <v>61</v>
      </c>
      <c r="E40" s="222">
        <v>71</v>
      </c>
      <c r="F40" s="222" t="s">
        <v>242</v>
      </c>
      <c r="G40" s="222" t="s">
        <v>243</v>
      </c>
    </row>
    <row r="41" spans="1:7" x14ac:dyDescent="0.25">
      <c r="A41" s="31">
        <f>'M&amp;R Stations'!A41</f>
        <v>39000</v>
      </c>
      <c r="B41" s="221">
        <v>2.2000000000000002</v>
      </c>
      <c r="C41" s="222">
        <v>85</v>
      </c>
      <c r="D41" s="222">
        <v>63</v>
      </c>
      <c r="E41" s="222">
        <v>71</v>
      </c>
      <c r="F41" s="222" t="s">
        <v>237</v>
      </c>
      <c r="G41" s="222" t="s">
        <v>243</v>
      </c>
    </row>
    <row r="42" spans="1:7" x14ac:dyDescent="0.25">
      <c r="A42" s="31">
        <f>'M&amp;R Stations'!A42</f>
        <v>39001</v>
      </c>
      <c r="B42" s="221">
        <v>3.4</v>
      </c>
      <c r="C42" s="222">
        <v>72</v>
      </c>
      <c r="D42" s="222">
        <v>62</v>
      </c>
      <c r="E42" s="222">
        <v>65</v>
      </c>
      <c r="F42" s="222" t="s">
        <v>246</v>
      </c>
      <c r="G42" s="222" t="s">
        <v>255</v>
      </c>
    </row>
    <row r="43" spans="1:7" x14ac:dyDescent="0.25">
      <c r="A43" s="31">
        <f>'M&amp;R Stations'!A43</f>
        <v>39002</v>
      </c>
      <c r="B43" s="221">
        <v>6.4</v>
      </c>
      <c r="C43" s="222">
        <v>75</v>
      </c>
      <c r="D43" s="222">
        <v>44</v>
      </c>
      <c r="E43" s="222">
        <v>59</v>
      </c>
      <c r="F43" s="222" t="s">
        <v>242</v>
      </c>
      <c r="G43" s="222" t="s">
        <v>256</v>
      </c>
    </row>
    <row r="44" spans="1:7" x14ac:dyDescent="0.25">
      <c r="A44" s="31">
        <f>'M&amp;R Stations'!A44</f>
        <v>39003</v>
      </c>
      <c r="B44" s="221">
        <v>4.0999999999999996</v>
      </c>
      <c r="C44" s="222">
        <v>60</v>
      </c>
      <c r="D44" s="222">
        <v>43</v>
      </c>
      <c r="E44" s="222">
        <v>52</v>
      </c>
      <c r="F44" s="222" t="s">
        <v>245</v>
      </c>
      <c r="G44" s="222" t="s">
        <v>243</v>
      </c>
    </row>
    <row r="45" spans="1:7" x14ac:dyDescent="0.25">
      <c r="A45" s="31">
        <f>'M&amp;R Stations'!A45</f>
        <v>39004</v>
      </c>
      <c r="B45" s="221">
        <v>4.8</v>
      </c>
      <c r="C45" s="222">
        <v>65</v>
      </c>
      <c r="D45" s="222">
        <v>44</v>
      </c>
      <c r="E45" s="222">
        <v>54</v>
      </c>
      <c r="F45" s="222" t="s">
        <v>242</v>
      </c>
      <c r="G45" s="222" t="s">
        <v>257</v>
      </c>
    </row>
    <row r="46" spans="1:7" x14ac:dyDescent="0.25">
      <c r="A46" s="31">
        <f>'M&amp;R Stations'!A46</f>
        <v>39005</v>
      </c>
      <c r="B46" s="221">
        <v>3.3</v>
      </c>
      <c r="C46" s="222">
        <v>63</v>
      </c>
      <c r="D46" s="222">
        <v>44</v>
      </c>
      <c r="E46" s="222">
        <v>53</v>
      </c>
      <c r="F46" s="222" t="s">
        <v>240</v>
      </c>
      <c r="G46" s="222" t="s">
        <v>257</v>
      </c>
    </row>
    <row r="47" spans="1:7" x14ac:dyDescent="0.25">
      <c r="A47" s="31">
        <f>'M&amp;R Stations'!A47</f>
        <v>39006</v>
      </c>
      <c r="B47" s="221">
        <v>2</v>
      </c>
      <c r="C47" s="222">
        <v>70</v>
      </c>
      <c r="D47" s="222">
        <v>54</v>
      </c>
      <c r="E47" s="222">
        <v>60</v>
      </c>
      <c r="F47" s="222" t="s">
        <v>237</v>
      </c>
      <c r="G47" s="222" t="s">
        <v>243</v>
      </c>
    </row>
    <row r="48" spans="1:7" x14ac:dyDescent="0.25">
      <c r="A48" s="31">
        <f>'M&amp;R Stations'!A48</f>
        <v>39007</v>
      </c>
      <c r="B48" s="221">
        <v>3.6</v>
      </c>
      <c r="C48" s="222">
        <v>68</v>
      </c>
      <c r="D48" s="222">
        <v>58</v>
      </c>
      <c r="E48" s="222">
        <v>63</v>
      </c>
      <c r="F48" s="222" t="s">
        <v>249</v>
      </c>
      <c r="G48" s="222" t="s">
        <v>239</v>
      </c>
    </row>
    <row r="49" spans="1:7" x14ac:dyDescent="0.25">
      <c r="A49" s="31">
        <f>'M&amp;R Stations'!A49</f>
        <v>39008</v>
      </c>
      <c r="B49" s="221">
        <v>2.7</v>
      </c>
      <c r="C49" s="222">
        <v>78</v>
      </c>
      <c r="D49" s="222">
        <v>62</v>
      </c>
      <c r="E49" s="222">
        <v>68</v>
      </c>
      <c r="F49" s="222" t="s">
        <v>242</v>
      </c>
      <c r="G49" s="222" t="s">
        <v>241</v>
      </c>
    </row>
    <row r="50" spans="1:7" x14ac:dyDescent="0.25">
      <c r="A50" s="31">
        <f>'M&amp;R Stations'!A50</f>
        <v>39009</v>
      </c>
      <c r="B50" s="221">
        <v>2.7</v>
      </c>
      <c r="C50" s="222">
        <v>71</v>
      </c>
      <c r="D50" s="222">
        <v>64</v>
      </c>
      <c r="E50" s="222">
        <v>67</v>
      </c>
      <c r="F50" s="222" t="s">
        <v>252</v>
      </c>
      <c r="G50" s="222" t="s">
        <v>251</v>
      </c>
    </row>
    <row r="51" spans="1:7" x14ac:dyDescent="0.25">
      <c r="A51" s="31">
        <f>'M&amp;R Stations'!A51</f>
        <v>39010</v>
      </c>
      <c r="B51" s="221">
        <v>6.8</v>
      </c>
      <c r="C51" s="222">
        <v>70</v>
      </c>
      <c r="D51" s="222">
        <v>47</v>
      </c>
      <c r="E51" s="222">
        <v>55</v>
      </c>
      <c r="F51" s="222" t="s">
        <v>240</v>
      </c>
      <c r="G51" s="222" t="s">
        <v>253</v>
      </c>
    </row>
    <row r="52" spans="1:7" x14ac:dyDescent="0.25">
      <c r="A52" s="31">
        <f>'M&amp;R Stations'!A52</f>
        <v>39011</v>
      </c>
      <c r="B52" s="221">
        <v>4.0999999999999996</v>
      </c>
      <c r="C52" s="222">
        <v>62</v>
      </c>
      <c r="D52" s="222">
        <v>46</v>
      </c>
      <c r="E52" s="222">
        <v>54</v>
      </c>
      <c r="F52" s="222" t="s">
        <v>242</v>
      </c>
      <c r="G52" s="222" t="s">
        <v>241</v>
      </c>
    </row>
    <row r="53" spans="1:7" x14ac:dyDescent="0.25">
      <c r="A53" s="31">
        <f>'M&amp;R Stations'!A53</f>
        <v>39012</v>
      </c>
      <c r="B53" s="221">
        <v>4.8</v>
      </c>
      <c r="C53" s="222">
        <v>65</v>
      </c>
      <c r="D53" s="222">
        <v>49</v>
      </c>
      <c r="E53" s="222">
        <v>57</v>
      </c>
      <c r="F53" s="222" t="s">
        <v>252</v>
      </c>
      <c r="G53" s="222" t="s">
        <v>258</v>
      </c>
    </row>
    <row r="54" spans="1:7" x14ac:dyDescent="0.25">
      <c r="A54" s="31">
        <f>'M&amp;R Stations'!A54</f>
        <v>39013</v>
      </c>
      <c r="B54" s="221">
        <v>9.4</v>
      </c>
      <c r="C54" s="222">
        <v>55</v>
      </c>
      <c r="D54" s="222">
        <v>42</v>
      </c>
      <c r="E54" s="222">
        <v>48</v>
      </c>
      <c r="F54" s="222" t="s">
        <v>242</v>
      </c>
      <c r="G54" s="222" t="s">
        <v>243</v>
      </c>
    </row>
    <row r="55" spans="1:7" x14ac:dyDescent="0.25">
      <c r="A55" s="31">
        <f>'M&amp;R Stations'!A55</f>
        <v>39014</v>
      </c>
      <c r="B55" s="221">
        <v>8.4</v>
      </c>
      <c r="C55" s="222">
        <v>54</v>
      </c>
      <c r="D55" s="222">
        <v>44</v>
      </c>
      <c r="E55" s="222">
        <v>48</v>
      </c>
      <c r="F55" s="222" t="s">
        <v>242</v>
      </c>
      <c r="G55" s="222" t="s">
        <v>259</v>
      </c>
    </row>
    <row r="56" spans="1:7" x14ac:dyDescent="0.25">
      <c r="A56" s="31">
        <f>'M&amp;R Stations'!A56</f>
        <v>39015</v>
      </c>
      <c r="B56" s="221">
        <v>7.1</v>
      </c>
      <c r="C56" s="222">
        <v>56</v>
      </c>
      <c r="D56" s="222">
        <v>44</v>
      </c>
      <c r="E56" s="222">
        <v>50</v>
      </c>
      <c r="F56" s="222" t="s">
        <v>240</v>
      </c>
      <c r="G56" s="222" t="s">
        <v>241</v>
      </c>
    </row>
    <row r="57" spans="1:7" x14ac:dyDescent="0.25">
      <c r="A57" s="31">
        <f>'M&amp;R Stations'!A57</f>
        <v>39016</v>
      </c>
      <c r="B57" s="221">
        <v>5</v>
      </c>
      <c r="C57" s="222">
        <v>53</v>
      </c>
      <c r="D57" s="222">
        <v>41</v>
      </c>
      <c r="E57" s="222">
        <v>46</v>
      </c>
      <c r="F57" s="222" t="s">
        <v>240</v>
      </c>
      <c r="G57" s="222" t="s">
        <v>259</v>
      </c>
    </row>
    <row r="58" spans="1:7" x14ac:dyDescent="0.25">
      <c r="A58" s="31">
        <f>'M&amp;R Stations'!A58</f>
        <v>39017</v>
      </c>
      <c r="B58" s="221">
        <v>5.0999999999999996</v>
      </c>
      <c r="C58" s="222">
        <v>67</v>
      </c>
      <c r="D58" s="222">
        <v>46</v>
      </c>
      <c r="E58" s="222">
        <v>53</v>
      </c>
      <c r="F58" s="222" t="s">
        <v>249</v>
      </c>
      <c r="G58" s="222" t="s">
        <v>255</v>
      </c>
    </row>
    <row r="59" spans="1:7" x14ac:dyDescent="0.25">
      <c r="A59" s="31">
        <f>'M&amp;R Stations'!A59</f>
        <v>39018</v>
      </c>
      <c r="B59" s="221">
        <v>9.4</v>
      </c>
      <c r="C59" s="222">
        <v>71</v>
      </c>
      <c r="D59" s="222">
        <v>47</v>
      </c>
      <c r="E59" s="222">
        <v>55</v>
      </c>
      <c r="F59" s="222" t="s">
        <v>245</v>
      </c>
      <c r="G59" s="222" t="s">
        <v>260</v>
      </c>
    </row>
    <row r="60" spans="1:7" x14ac:dyDescent="0.25">
      <c r="A60" s="31">
        <f>'M&amp;R Stations'!A60</f>
        <v>39019</v>
      </c>
      <c r="B60" s="221">
        <v>6.5</v>
      </c>
      <c r="C60" s="222">
        <v>59</v>
      </c>
      <c r="D60" s="222">
        <v>45</v>
      </c>
      <c r="E60" s="222">
        <v>51</v>
      </c>
      <c r="F60" s="222" t="s">
        <v>242</v>
      </c>
      <c r="G60" s="222" t="s">
        <v>243</v>
      </c>
    </row>
    <row r="61" spans="1:7" x14ac:dyDescent="0.25">
      <c r="A61" s="31">
        <f>'M&amp;R Stations'!A61</f>
        <v>39020</v>
      </c>
      <c r="B61" s="221">
        <v>3.9</v>
      </c>
      <c r="C61" s="222">
        <v>69</v>
      </c>
      <c r="D61" s="222">
        <v>48</v>
      </c>
      <c r="E61" s="222">
        <v>57</v>
      </c>
      <c r="F61" s="222" t="s">
        <v>245</v>
      </c>
      <c r="G61" s="222" t="s">
        <v>243</v>
      </c>
    </row>
    <row r="62" spans="1:7" x14ac:dyDescent="0.25">
      <c r="A62" s="31">
        <f>'M&amp;R Stations'!A62</f>
        <v>39021</v>
      </c>
      <c r="B62" s="221">
        <v>3.5</v>
      </c>
      <c r="C62" s="222">
        <v>75</v>
      </c>
      <c r="D62" s="222">
        <v>59</v>
      </c>
      <c r="E62" s="222">
        <v>65</v>
      </c>
      <c r="F62" s="222" t="s">
        <v>245</v>
      </c>
      <c r="G62" s="222" t="s">
        <v>261</v>
      </c>
    </row>
    <row r="63" spans="1:7" x14ac:dyDescent="0.25">
      <c r="A63" s="31">
        <f>'M&amp;R Stations'!A63</f>
        <v>39022</v>
      </c>
      <c r="B63" s="221">
        <v>4.4000000000000004</v>
      </c>
      <c r="C63" s="222">
        <v>77</v>
      </c>
      <c r="D63" s="222">
        <v>48</v>
      </c>
      <c r="E63" s="222">
        <v>63</v>
      </c>
      <c r="F63" s="222" t="s">
        <v>242</v>
      </c>
      <c r="G63" s="222" t="s">
        <v>241</v>
      </c>
    </row>
    <row r="64" spans="1:7" x14ac:dyDescent="0.25">
      <c r="A64" s="31">
        <f>'M&amp;R Stations'!A64</f>
        <v>39023</v>
      </c>
      <c r="B64" s="221">
        <v>7.5</v>
      </c>
      <c r="C64" s="222">
        <v>58</v>
      </c>
      <c r="D64" s="222">
        <v>38</v>
      </c>
      <c r="E64" s="222">
        <v>48</v>
      </c>
      <c r="F64" s="222" t="s">
        <v>240</v>
      </c>
      <c r="G64" s="222" t="s">
        <v>241</v>
      </c>
    </row>
    <row r="65" spans="1:7" x14ac:dyDescent="0.25">
      <c r="A65" s="31">
        <f>'M&amp;R Stations'!A65</f>
        <v>39024</v>
      </c>
      <c r="B65" s="221">
        <v>6.2</v>
      </c>
      <c r="C65" s="222">
        <v>50</v>
      </c>
      <c r="D65" s="222">
        <v>36</v>
      </c>
      <c r="E65" s="222">
        <v>42</v>
      </c>
      <c r="F65" s="222" t="s">
        <v>240</v>
      </c>
      <c r="G65" s="222" t="s">
        <v>241</v>
      </c>
    </row>
    <row r="66" spans="1:7" x14ac:dyDescent="0.25">
      <c r="A66" s="31">
        <f>'M&amp;R Stations'!A66</f>
        <v>39025</v>
      </c>
      <c r="B66" s="221">
        <v>2.5</v>
      </c>
      <c r="C66" s="222">
        <v>52</v>
      </c>
      <c r="D66" s="222">
        <v>39</v>
      </c>
      <c r="E66" s="222">
        <v>44</v>
      </c>
      <c r="F66" s="222" t="s">
        <v>262</v>
      </c>
      <c r="G66" s="222" t="s">
        <v>243</v>
      </c>
    </row>
    <row r="67" spans="1:7" x14ac:dyDescent="0.25">
      <c r="A67" s="31">
        <f>'M&amp;R Stations'!A67</f>
        <v>39026</v>
      </c>
      <c r="B67" s="221">
        <v>1</v>
      </c>
      <c r="C67" s="222">
        <v>57</v>
      </c>
      <c r="D67" s="222">
        <v>38</v>
      </c>
      <c r="E67" s="222">
        <v>46</v>
      </c>
      <c r="F67" s="222" t="s">
        <v>245</v>
      </c>
      <c r="G67" s="222" t="s">
        <v>243</v>
      </c>
    </row>
    <row r="68" spans="1:7" x14ac:dyDescent="0.25">
      <c r="A68" s="31">
        <f>'M&amp;R Stations'!A68</f>
        <v>39027</v>
      </c>
      <c r="B68" s="221">
        <v>2.1</v>
      </c>
      <c r="C68" s="222">
        <v>62</v>
      </c>
      <c r="D68" s="222">
        <v>44</v>
      </c>
      <c r="E68" s="222">
        <v>52</v>
      </c>
      <c r="F68" s="222" t="s">
        <v>247</v>
      </c>
      <c r="G68" s="222" t="s">
        <v>241</v>
      </c>
    </row>
    <row r="69" spans="1:7" x14ac:dyDescent="0.25">
      <c r="A69" s="31">
        <f>'M&amp;R Stations'!A69</f>
        <v>39028</v>
      </c>
      <c r="B69" s="221">
        <v>2.8</v>
      </c>
      <c r="C69" s="222">
        <v>65</v>
      </c>
      <c r="D69" s="222">
        <v>58</v>
      </c>
      <c r="E69" s="222">
        <v>60</v>
      </c>
      <c r="F69" s="222" t="s">
        <v>237</v>
      </c>
      <c r="G69" s="222" t="s">
        <v>261</v>
      </c>
    </row>
    <row r="70" spans="1:7" x14ac:dyDescent="0.25">
      <c r="A70" s="31">
        <f>'M&amp;R Stations'!A70</f>
        <v>39029</v>
      </c>
      <c r="B70" s="221">
        <v>5.6</v>
      </c>
      <c r="C70" s="222">
        <v>66</v>
      </c>
      <c r="D70" s="222">
        <v>58</v>
      </c>
      <c r="E70" s="222">
        <v>60</v>
      </c>
      <c r="F70" s="222" t="s">
        <v>246</v>
      </c>
      <c r="G70" s="222" t="s">
        <v>239</v>
      </c>
    </row>
    <row r="71" spans="1:7" x14ac:dyDescent="0.25">
      <c r="A71" s="31">
        <f>'M&amp;R Stations'!A71</f>
        <v>39030</v>
      </c>
      <c r="B71" s="221">
        <v>4</v>
      </c>
      <c r="C71" s="222">
        <v>73</v>
      </c>
      <c r="D71" s="222">
        <v>55</v>
      </c>
      <c r="E71" s="222">
        <v>63</v>
      </c>
      <c r="F71" s="222" t="s">
        <v>240</v>
      </c>
      <c r="G71" s="222" t="s">
        <v>241</v>
      </c>
    </row>
    <row r="72" spans="1:7" x14ac:dyDescent="0.25">
      <c r="A72" s="31">
        <f>'M&amp;R Stations'!A72</f>
        <v>39031</v>
      </c>
      <c r="B72" s="221">
        <v>2.2999999999999998</v>
      </c>
      <c r="C72" s="222">
        <v>71</v>
      </c>
      <c r="D72" s="222">
        <v>50</v>
      </c>
      <c r="E72" s="222">
        <v>59</v>
      </c>
      <c r="F72" s="222" t="s">
        <v>240</v>
      </c>
      <c r="G72" s="222" t="s">
        <v>243</v>
      </c>
    </row>
    <row r="73" spans="1:7" x14ac:dyDescent="0.25">
      <c r="A73" s="31">
        <f>'M&amp;R Stations'!A73</f>
        <v>39032</v>
      </c>
      <c r="B73" s="221">
        <v>4.0999999999999996</v>
      </c>
      <c r="C73" s="222">
        <v>79</v>
      </c>
      <c r="D73" s="222">
        <v>59</v>
      </c>
      <c r="E73" s="222">
        <v>67</v>
      </c>
      <c r="F73" s="222" t="s">
        <v>247</v>
      </c>
      <c r="G73" s="222" t="s">
        <v>243</v>
      </c>
    </row>
    <row r="74" spans="1:7" x14ac:dyDescent="0.25">
      <c r="A74" s="31">
        <f>'M&amp;R Stations'!A74</f>
        <v>39033</v>
      </c>
      <c r="B74" s="221">
        <v>10.5</v>
      </c>
      <c r="C74" s="222">
        <v>65</v>
      </c>
      <c r="D74" s="222">
        <v>53</v>
      </c>
      <c r="E74" s="222">
        <v>59</v>
      </c>
      <c r="F74" s="222" t="s">
        <v>250</v>
      </c>
      <c r="G74" s="222" t="s">
        <v>239</v>
      </c>
    </row>
    <row r="75" spans="1:7" x14ac:dyDescent="0.25">
      <c r="A75" s="31">
        <f>'M&amp;R Stations'!A75</f>
        <v>39034</v>
      </c>
      <c r="B75" s="221">
        <v>7.4</v>
      </c>
      <c r="C75" s="222">
        <v>63</v>
      </c>
      <c r="D75" s="222">
        <v>59</v>
      </c>
      <c r="E75" s="222">
        <v>61</v>
      </c>
      <c r="F75" s="222" t="s">
        <v>250</v>
      </c>
      <c r="G75" s="222" t="s">
        <v>239</v>
      </c>
    </row>
    <row r="76" spans="1:7" x14ac:dyDescent="0.25">
      <c r="A76" s="31">
        <f>'M&amp;R Stations'!A76</f>
        <v>39035</v>
      </c>
      <c r="B76" s="221">
        <v>2.2999999999999998</v>
      </c>
      <c r="C76" s="222">
        <v>64</v>
      </c>
      <c r="D76" s="222">
        <v>58</v>
      </c>
      <c r="E76" s="222">
        <v>60</v>
      </c>
      <c r="F76" s="222" t="s">
        <v>245</v>
      </c>
      <c r="G76" s="222" t="s">
        <v>251</v>
      </c>
    </row>
    <row r="77" spans="1:7" x14ac:dyDescent="0.25">
      <c r="A77" s="31">
        <f>'M&amp;R Stations'!A77</f>
        <v>39036</v>
      </c>
      <c r="B77" s="221">
        <v>2.4</v>
      </c>
      <c r="C77" s="222">
        <v>75</v>
      </c>
      <c r="D77" s="222">
        <v>58</v>
      </c>
      <c r="E77" s="222">
        <v>65</v>
      </c>
      <c r="F77" s="222" t="s">
        <v>237</v>
      </c>
      <c r="G77" s="222" t="s">
        <v>256</v>
      </c>
    </row>
    <row r="78" spans="1:7" x14ac:dyDescent="0.25">
      <c r="A78" s="31">
        <f>'M&amp;R Stations'!A78</f>
        <v>39037</v>
      </c>
      <c r="B78" s="221">
        <v>9.1</v>
      </c>
      <c r="C78" s="222">
        <v>74</v>
      </c>
      <c r="D78" s="222">
        <v>56</v>
      </c>
      <c r="E78" s="222">
        <v>67</v>
      </c>
      <c r="F78" s="222" t="s">
        <v>249</v>
      </c>
      <c r="G78" s="222" t="s">
        <v>263</v>
      </c>
    </row>
    <row r="79" spans="1:7" x14ac:dyDescent="0.25">
      <c r="A79" s="31">
        <f>'M&amp;R Stations'!A79</f>
        <v>39038</v>
      </c>
      <c r="B79" s="221">
        <v>7.5</v>
      </c>
      <c r="C79" s="222">
        <v>66</v>
      </c>
      <c r="D79" s="222">
        <v>44</v>
      </c>
      <c r="E79" s="222">
        <v>53</v>
      </c>
      <c r="F79" s="222" t="s">
        <v>240</v>
      </c>
      <c r="G79" s="222" t="s">
        <v>251</v>
      </c>
    </row>
    <row r="80" spans="1:7" x14ac:dyDescent="0.25">
      <c r="A80" s="31">
        <f>'M&amp;R Stations'!A80</f>
        <v>39039</v>
      </c>
      <c r="B80" s="221">
        <v>5.3</v>
      </c>
      <c r="C80" s="222">
        <v>54</v>
      </c>
      <c r="D80" s="222">
        <v>44</v>
      </c>
      <c r="E80" s="222">
        <v>48</v>
      </c>
      <c r="F80" s="222" t="s">
        <v>240</v>
      </c>
      <c r="G80" s="222" t="s">
        <v>251</v>
      </c>
    </row>
    <row r="81" spans="1:7" x14ac:dyDescent="0.25">
      <c r="A81" s="31">
        <f>'M&amp;R Stations'!A81</f>
        <v>39040</v>
      </c>
      <c r="B81" s="221">
        <v>5.3</v>
      </c>
      <c r="C81" s="222">
        <v>51</v>
      </c>
      <c r="D81" s="222">
        <v>43</v>
      </c>
      <c r="E81" s="222">
        <v>47</v>
      </c>
      <c r="F81" s="222" t="s">
        <v>240</v>
      </c>
      <c r="G81" s="222" t="s">
        <v>251</v>
      </c>
    </row>
    <row r="82" spans="1:7" x14ac:dyDescent="0.25">
      <c r="A82" s="31">
        <f>'M&amp;R Stations'!A82</f>
        <v>39041</v>
      </c>
      <c r="B82" s="221">
        <v>7.1</v>
      </c>
      <c r="C82" s="222">
        <v>47</v>
      </c>
      <c r="D82" s="222">
        <v>39</v>
      </c>
      <c r="E82" s="222">
        <v>42</v>
      </c>
      <c r="F82" s="222" t="s">
        <v>240</v>
      </c>
      <c r="G82" s="222" t="s">
        <v>251</v>
      </c>
    </row>
    <row r="83" spans="1:7" x14ac:dyDescent="0.25">
      <c r="A83" s="31">
        <f>'M&amp;R Stations'!A83</f>
        <v>39042</v>
      </c>
      <c r="B83" s="221">
        <v>8.6</v>
      </c>
      <c r="C83" s="222">
        <v>52</v>
      </c>
      <c r="D83" s="222">
        <v>43</v>
      </c>
      <c r="E83" s="222">
        <v>45</v>
      </c>
      <c r="F83" s="222" t="s">
        <v>250</v>
      </c>
      <c r="G83" s="222" t="s">
        <v>243</v>
      </c>
    </row>
    <row r="84" spans="1:7" x14ac:dyDescent="0.25">
      <c r="A84" s="31">
        <f>'M&amp;R Stations'!A84</f>
        <v>39043</v>
      </c>
      <c r="B84" s="221">
        <v>12</v>
      </c>
      <c r="C84" s="222">
        <v>46</v>
      </c>
      <c r="D84" s="222">
        <v>41</v>
      </c>
      <c r="E84" s="222">
        <v>44</v>
      </c>
      <c r="F84" s="222" t="s">
        <v>246</v>
      </c>
      <c r="G84" s="222" t="s">
        <v>259</v>
      </c>
    </row>
    <row r="85" spans="1:7" x14ac:dyDescent="0.25">
      <c r="A85" s="31">
        <f>'M&amp;R Stations'!A85</f>
        <v>39044</v>
      </c>
      <c r="B85" s="221">
        <v>7.4</v>
      </c>
      <c r="C85" s="222">
        <v>55</v>
      </c>
      <c r="D85" s="222">
        <v>44</v>
      </c>
      <c r="E85" s="222">
        <v>46</v>
      </c>
      <c r="F85" s="222" t="s">
        <v>240</v>
      </c>
      <c r="G85" s="222" t="s">
        <v>239</v>
      </c>
    </row>
    <row r="86" spans="1:7" x14ac:dyDescent="0.25">
      <c r="A86" s="31">
        <f>'M&amp;R Stations'!A86</f>
        <v>39045</v>
      </c>
      <c r="B86" s="221">
        <v>4.5</v>
      </c>
      <c r="C86" s="222">
        <v>67</v>
      </c>
      <c r="D86" s="222">
        <v>42</v>
      </c>
      <c r="E86" s="222">
        <v>53</v>
      </c>
      <c r="F86" s="222" t="s">
        <v>250</v>
      </c>
      <c r="G86" s="222" t="s">
        <v>243</v>
      </c>
    </row>
    <row r="87" spans="1:7" x14ac:dyDescent="0.25">
      <c r="A87" s="31">
        <f>'M&amp;R Stations'!A87</f>
        <v>39046</v>
      </c>
      <c r="B87" s="221">
        <v>1.1000000000000001</v>
      </c>
      <c r="C87" s="222">
        <v>63</v>
      </c>
      <c r="D87" s="222">
        <v>40</v>
      </c>
      <c r="E87" s="222">
        <v>49</v>
      </c>
      <c r="F87" s="222" t="s">
        <v>249</v>
      </c>
      <c r="G87" s="222" t="s">
        <v>243</v>
      </c>
    </row>
    <row r="88" spans="1:7" x14ac:dyDescent="0.25">
      <c r="A88" s="31">
        <f>'M&amp;R Stations'!A88</f>
        <v>39047</v>
      </c>
      <c r="B88" s="221">
        <v>2.2999999999999998</v>
      </c>
      <c r="C88" s="222">
        <v>63</v>
      </c>
      <c r="D88" s="222">
        <v>44</v>
      </c>
      <c r="E88" s="222">
        <v>52</v>
      </c>
      <c r="F88" s="222" t="s">
        <v>245</v>
      </c>
      <c r="G88" s="222" t="s">
        <v>243</v>
      </c>
    </row>
    <row r="89" spans="1:7" x14ac:dyDescent="0.25">
      <c r="A89" s="31">
        <f>'M&amp;R Stations'!A89</f>
        <v>39048</v>
      </c>
      <c r="B89" s="221">
        <v>1.9</v>
      </c>
      <c r="C89" s="222">
        <v>62</v>
      </c>
      <c r="D89" s="222">
        <v>46</v>
      </c>
      <c r="E89" s="222">
        <v>53</v>
      </c>
      <c r="F89" s="222" t="s">
        <v>245</v>
      </c>
      <c r="G89" s="222" t="s">
        <v>243</v>
      </c>
    </row>
    <row r="90" spans="1:7" x14ac:dyDescent="0.25">
      <c r="A90" s="31">
        <f>'M&amp;R Stations'!A90</f>
        <v>39049</v>
      </c>
      <c r="B90" s="221">
        <v>1.6</v>
      </c>
      <c r="C90" s="222">
        <v>67</v>
      </c>
      <c r="D90" s="222">
        <v>53</v>
      </c>
      <c r="E90" s="222">
        <v>57</v>
      </c>
      <c r="F90" s="222" t="s">
        <v>237</v>
      </c>
      <c r="G90" s="222" t="s">
        <v>259</v>
      </c>
    </row>
    <row r="91" spans="1:7" x14ac:dyDescent="0.25">
      <c r="A91" s="31">
        <f>'M&amp;R Stations'!A91</f>
        <v>39050</v>
      </c>
      <c r="B91" s="221">
        <v>2.1</v>
      </c>
      <c r="C91" s="222">
        <v>65</v>
      </c>
      <c r="D91" s="222">
        <v>57</v>
      </c>
      <c r="E91" s="222">
        <v>60</v>
      </c>
      <c r="F91" s="222" t="s">
        <v>252</v>
      </c>
      <c r="G91" s="222" t="s">
        <v>259</v>
      </c>
    </row>
    <row r="92" spans="1:7" x14ac:dyDescent="0.25">
      <c r="A92" s="31">
        <f>'M&amp;R Stations'!A92</f>
        <v>39051</v>
      </c>
      <c r="B92" s="221">
        <v>6.8</v>
      </c>
      <c r="C92" s="222">
        <v>74</v>
      </c>
      <c r="D92" s="222">
        <v>63</v>
      </c>
      <c r="E92" s="222">
        <v>68</v>
      </c>
      <c r="F92" s="222" t="s">
        <v>252</v>
      </c>
      <c r="G92" s="222" t="s">
        <v>259</v>
      </c>
    </row>
    <row r="93" spans="1:7" x14ac:dyDescent="0.25">
      <c r="A93" s="31">
        <f>'M&amp;R Stations'!A93</f>
        <v>39052</v>
      </c>
      <c r="B93" s="221">
        <v>10.3</v>
      </c>
      <c r="C93" s="222">
        <v>73</v>
      </c>
      <c r="D93" s="222">
        <v>42</v>
      </c>
      <c r="E93" s="222">
        <v>59</v>
      </c>
      <c r="F93" s="222" t="s">
        <v>242</v>
      </c>
      <c r="G93" s="222" t="s">
        <v>261</v>
      </c>
    </row>
    <row r="94" spans="1:7" x14ac:dyDescent="0.25">
      <c r="A94" s="31">
        <f>'M&amp;R Stations'!A94</f>
        <v>39053</v>
      </c>
      <c r="B94" s="221">
        <v>7.1</v>
      </c>
      <c r="C94" s="222">
        <v>51</v>
      </c>
      <c r="D94" s="222">
        <v>36</v>
      </c>
      <c r="E94" s="222">
        <v>42</v>
      </c>
      <c r="F94" s="222" t="s">
        <v>240</v>
      </c>
      <c r="G94" s="222" t="s">
        <v>243</v>
      </c>
    </row>
    <row r="95" spans="1:7" x14ac:dyDescent="0.25">
      <c r="A95" s="31">
        <f>'M&amp;R Stations'!A95</f>
        <v>39054</v>
      </c>
      <c r="B95" s="221">
        <v>3.8</v>
      </c>
      <c r="C95" s="222">
        <v>51</v>
      </c>
      <c r="D95" s="222">
        <v>38</v>
      </c>
      <c r="E95" s="222">
        <v>44</v>
      </c>
      <c r="F95" s="222" t="s">
        <v>252</v>
      </c>
      <c r="G95" s="222" t="s">
        <v>264</v>
      </c>
    </row>
    <row r="96" spans="1:7" x14ac:dyDescent="0.25">
      <c r="A96" s="31">
        <f>'M&amp;R Stations'!A96</f>
        <v>39055</v>
      </c>
      <c r="B96" s="221">
        <v>6.8</v>
      </c>
      <c r="C96" s="222">
        <v>41</v>
      </c>
      <c r="D96" s="222">
        <v>32</v>
      </c>
      <c r="E96" s="222">
        <v>36</v>
      </c>
      <c r="F96" s="222" t="s">
        <v>240</v>
      </c>
      <c r="G96" s="222" t="s">
        <v>243</v>
      </c>
    </row>
    <row r="97" spans="1:7" x14ac:dyDescent="0.25">
      <c r="A97" s="31">
        <f>'M&amp;R Stations'!A97</f>
        <v>39056</v>
      </c>
      <c r="B97" s="221">
        <v>3.8</v>
      </c>
      <c r="C97" s="222">
        <v>44</v>
      </c>
      <c r="D97" s="222">
        <v>31</v>
      </c>
      <c r="E97" s="222">
        <v>36</v>
      </c>
      <c r="F97" s="222" t="s">
        <v>242</v>
      </c>
      <c r="G97" s="222" t="s">
        <v>243</v>
      </c>
    </row>
    <row r="98" spans="1:7" x14ac:dyDescent="0.25">
      <c r="A98" s="31">
        <f>'M&amp;R Stations'!A98</f>
        <v>39057</v>
      </c>
      <c r="B98" s="221">
        <v>6</v>
      </c>
      <c r="C98" s="222">
        <v>55</v>
      </c>
      <c r="D98" s="222">
        <v>44</v>
      </c>
      <c r="E98" s="222">
        <v>49</v>
      </c>
      <c r="F98" s="222" t="s">
        <v>245</v>
      </c>
      <c r="G98" s="222" t="s">
        <v>243</v>
      </c>
    </row>
    <row r="99" spans="1:7" x14ac:dyDescent="0.25">
      <c r="A99" s="31">
        <f>'M&amp;R Stations'!A99</f>
        <v>39058</v>
      </c>
      <c r="B99" s="221">
        <v>11.7</v>
      </c>
      <c r="C99" s="222">
        <v>58</v>
      </c>
      <c r="D99" s="222">
        <v>24</v>
      </c>
      <c r="E99" s="222">
        <v>38</v>
      </c>
      <c r="F99" s="222" t="s">
        <v>240</v>
      </c>
      <c r="G99" s="222" t="s">
        <v>243</v>
      </c>
    </row>
    <row r="100" spans="1:7" x14ac:dyDescent="0.25">
      <c r="A100" s="31">
        <f>'M&amp;R Stations'!A100</f>
        <v>39059</v>
      </c>
      <c r="B100" s="221">
        <v>8.6</v>
      </c>
      <c r="C100" s="222">
        <v>36</v>
      </c>
      <c r="D100" s="222">
        <v>24</v>
      </c>
      <c r="E100" s="222">
        <v>30</v>
      </c>
      <c r="F100" s="222" t="s">
        <v>240</v>
      </c>
      <c r="G100" s="222" t="s">
        <v>243</v>
      </c>
    </row>
    <row r="101" spans="1:7" x14ac:dyDescent="0.25">
      <c r="A101" s="31">
        <f>'M&amp;R Stations'!A101</f>
        <v>39060</v>
      </c>
      <c r="B101" s="221">
        <v>5.8</v>
      </c>
      <c r="C101" s="222">
        <v>45</v>
      </c>
      <c r="D101" s="222">
        <v>33</v>
      </c>
      <c r="E101" s="222">
        <v>39</v>
      </c>
      <c r="F101" s="222" t="s">
        <v>245</v>
      </c>
      <c r="G101" s="222" t="s">
        <v>243</v>
      </c>
    </row>
    <row r="102" spans="1:7" x14ac:dyDescent="0.25">
      <c r="A102" s="31">
        <f>'M&amp;R Stations'!A102</f>
        <v>39061</v>
      </c>
      <c r="B102" s="221">
        <v>3</v>
      </c>
      <c r="C102" s="222">
        <v>61</v>
      </c>
      <c r="D102" s="222">
        <v>41</v>
      </c>
      <c r="E102" s="222">
        <v>48</v>
      </c>
      <c r="F102" s="222" t="s">
        <v>245</v>
      </c>
      <c r="G102" s="222" t="s">
        <v>243</v>
      </c>
    </row>
    <row r="103" spans="1:7" x14ac:dyDescent="0.25">
      <c r="A103" s="31">
        <f>'M&amp;R Stations'!A103</f>
        <v>39062</v>
      </c>
      <c r="B103" s="221">
        <v>2.2000000000000002</v>
      </c>
      <c r="C103" s="222">
        <v>67</v>
      </c>
      <c r="D103" s="222">
        <v>44</v>
      </c>
      <c r="E103" s="222">
        <v>52</v>
      </c>
      <c r="F103" s="222" t="s">
        <v>242</v>
      </c>
      <c r="G103" s="222" t="s">
        <v>243</v>
      </c>
    </row>
    <row r="104" spans="1:7" x14ac:dyDescent="0.25">
      <c r="A104" s="31">
        <f>'M&amp;R Stations'!A104</f>
        <v>39063</v>
      </c>
      <c r="B104" s="221">
        <v>1.8</v>
      </c>
      <c r="C104" s="222">
        <v>53</v>
      </c>
      <c r="D104" s="222">
        <v>47</v>
      </c>
      <c r="E104" s="222">
        <v>49</v>
      </c>
      <c r="F104" s="222" t="s">
        <v>237</v>
      </c>
      <c r="G104" s="222" t="s">
        <v>251</v>
      </c>
    </row>
    <row r="105" spans="1:7" x14ac:dyDescent="0.25">
      <c r="A105" s="31">
        <f>'M&amp;R Stations'!A105</f>
        <v>39064</v>
      </c>
      <c r="B105" s="221">
        <v>3.3</v>
      </c>
      <c r="C105" s="222">
        <v>55</v>
      </c>
      <c r="D105" s="222">
        <v>46</v>
      </c>
      <c r="E105" s="222">
        <v>51</v>
      </c>
      <c r="F105" s="222" t="s">
        <v>252</v>
      </c>
      <c r="G105" s="222" t="s">
        <v>239</v>
      </c>
    </row>
    <row r="106" spans="1:7" x14ac:dyDescent="0.25">
      <c r="A106" s="31">
        <f>'M&amp;R Stations'!A106</f>
        <v>39065</v>
      </c>
      <c r="B106" s="221">
        <v>3.3</v>
      </c>
      <c r="C106" s="222">
        <v>58</v>
      </c>
      <c r="D106" s="222">
        <v>46</v>
      </c>
      <c r="E106" s="222">
        <v>48</v>
      </c>
      <c r="F106" s="222" t="s">
        <v>249</v>
      </c>
      <c r="G106" s="222" t="s">
        <v>264</v>
      </c>
    </row>
    <row r="107" spans="1:7" x14ac:dyDescent="0.25">
      <c r="A107" s="31">
        <f>'M&amp;R Stations'!A107</f>
        <v>39066</v>
      </c>
      <c r="B107" s="221">
        <v>4</v>
      </c>
      <c r="C107" s="222">
        <v>54</v>
      </c>
      <c r="D107" s="222">
        <v>45</v>
      </c>
      <c r="E107" s="222">
        <v>50</v>
      </c>
      <c r="F107" s="222" t="s">
        <v>245</v>
      </c>
      <c r="G107" s="222" t="s">
        <v>241</v>
      </c>
    </row>
    <row r="108" spans="1:7" x14ac:dyDescent="0.25">
      <c r="A108" s="31">
        <f>'M&amp;R Stations'!A108</f>
        <v>39067</v>
      </c>
      <c r="B108" s="221">
        <v>3.6</v>
      </c>
      <c r="C108" s="222">
        <v>56</v>
      </c>
      <c r="D108" s="222">
        <v>41</v>
      </c>
      <c r="E108" s="222">
        <v>47</v>
      </c>
      <c r="F108" s="222" t="s">
        <v>240</v>
      </c>
      <c r="G108" s="222" t="s">
        <v>243</v>
      </c>
    </row>
    <row r="109" spans="1:7" x14ac:dyDescent="0.25">
      <c r="A109" s="31">
        <f>'M&amp;R Stations'!A109</f>
        <v>39068</v>
      </c>
      <c r="B109" s="221">
        <v>3.8</v>
      </c>
      <c r="C109" s="222">
        <v>59</v>
      </c>
      <c r="D109" s="222">
        <v>48</v>
      </c>
      <c r="E109" s="222">
        <v>53</v>
      </c>
      <c r="F109" s="222" t="s">
        <v>245</v>
      </c>
      <c r="G109" s="222" t="s">
        <v>243</v>
      </c>
    </row>
    <row r="110" spans="1:7" x14ac:dyDescent="0.25">
      <c r="A110" s="31">
        <f>'M&amp;R Stations'!A110</f>
        <v>39069</v>
      </c>
      <c r="B110" s="221">
        <v>5.9</v>
      </c>
      <c r="C110" s="222">
        <v>71</v>
      </c>
      <c r="D110" s="222">
        <v>43</v>
      </c>
      <c r="E110" s="222">
        <v>54</v>
      </c>
      <c r="F110" s="222" t="s">
        <v>240</v>
      </c>
      <c r="G110" s="222" t="s">
        <v>243</v>
      </c>
    </row>
    <row r="111" spans="1:7" x14ac:dyDescent="0.25">
      <c r="A111" s="31">
        <f>'M&amp;R Stations'!A111</f>
        <v>39070</v>
      </c>
      <c r="B111" s="221">
        <v>4.7</v>
      </c>
      <c r="C111" s="222">
        <v>51</v>
      </c>
      <c r="D111" s="222">
        <v>35</v>
      </c>
      <c r="E111" s="222">
        <v>42</v>
      </c>
      <c r="F111" s="222" t="s">
        <v>240</v>
      </c>
      <c r="G111" s="222" t="s">
        <v>243</v>
      </c>
    </row>
    <row r="112" spans="1:7" x14ac:dyDescent="0.25">
      <c r="A112" s="31">
        <f>'M&amp;R Stations'!A112</f>
        <v>39071</v>
      </c>
      <c r="B112" s="221">
        <v>3.6</v>
      </c>
      <c r="C112" s="222">
        <v>50</v>
      </c>
      <c r="D112" s="222">
        <v>39</v>
      </c>
      <c r="E112" s="222">
        <v>43</v>
      </c>
      <c r="F112" s="222" t="s">
        <v>245</v>
      </c>
      <c r="G112" s="222" t="s">
        <v>243</v>
      </c>
    </row>
    <row r="113" spans="1:7" x14ac:dyDescent="0.25">
      <c r="A113" s="31">
        <f>'M&amp;R Stations'!A113</f>
        <v>39072</v>
      </c>
      <c r="B113" s="221">
        <v>2.5</v>
      </c>
      <c r="C113" s="222">
        <v>56</v>
      </c>
      <c r="D113" s="222">
        <v>45</v>
      </c>
      <c r="E113" s="222">
        <v>48</v>
      </c>
      <c r="F113" s="222" t="s">
        <v>265</v>
      </c>
      <c r="G113" s="222" t="s">
        <v>251</v>
      </c>
    </row>
    <row r="114" spans="1:7" x14ac:dyDescent="0.25">
      <c r="A114" s="31">
        <f>'M&amp;R Stations'!A114</f>
        <v>39073</v>
      </c>
      <c r="B114" s="221">
        <v>3.3</v>
      </c>
      <c r="C114" s="222">
        <v>62</v>
      </c>
      <c r="D114" s="222">
        <v>45</v>
      </c>
      <c r="E114" s="222">
        <v>53</v>
      </c>
      <c r="F114" s="222" t="s">
        <v>237</v>
      </c>
      <c r="G114" s="222" t="s">
        <v>251</v>
      </c>
    </row>
    <row r="115" spans="1:7" x14ac:dyDescent="0.25">
      <c r="A115" s="31">
        <f>'M&amp;R Stations'!A115</f>
        <v>39074</v>
      </c>
      <c r="B115" s="221">
        <v>4</v>
      </c>
      <c r="C115" s="222">
        <v>62</v>
      </c>
      <c r="D115" s="222">
        <v>44</v>
      </c>
      <c r="E115" s="222">
        <v>53</v>
      </c>
      <c r="F115" s="222" t="s">
        <v>242</v>
      </c>
      <c r="G115" s="222" t="s">
        <v>241</v>
      </c>
    </row>
    <row r="116" spans="1:7" x14ac:dyDescent="0.25">
      <c r="A116" s="31">
        <f>'M&amp;R Stations'!A116</f>
        <v>39075</v>
      </c>
      <c r="B116" s="221">
        <v>4.8</v>
      </c>
      <c r="C116" s="222">
        <v>56</v>
      </c>
      <c r="D116" s="222">
        <v>39</v>
      </c>
      <c r="E116" s="222">
        <v>48</v>
      </c>
      <c r="F116" s="222" t="s">
        <v>242</v>
      </c>
      <c r="G116" s="222" t="s">
        <v>243</v>
      </c>
    </row>
    <row r="117" spans="1:7" x14ac:dyDescent="0.25">
      <c r="A117" s="31">
        <f>'M&amp;R Stations'!A117</f>
        <v>39076</v>
      </c>
      <c r="B117" s="221">
        <v>2.6</v>
      </c>
      <c r="C117" s="222">
        <v>54</v>
      </c>
      <c r="D117" s="222">
        <v>43</v>
      </c>
      <c r="E117" s="222">
        <v>48</v>
      </c>
      <c r="F117" s="222" t="s">
        <v>246</v>
      </c>
      <c r="G117" s="222" t="s">
        <v>239</v>
      </c>
    </row>
    <row r="118" spans="1:7" x14ac:dyDescent="0.25">
      <c r="A118" s="31">
        <f>'M&amp;R Stations'!A118</f>
        <v>39077</v>
      </c>
      <c r="B118" s="221">
        <v>8.1999999999999993</v>
      </c>
      <c r="C118" s="222">
        <v>56</v>
      </c>
      <c r="D118" s="222">
        <v>42</v>
      </c>
      <c r="E118" s="222">
        <v>49</v>
      </c>
      <c r="F118" s="222" t="s">
        <v>240</v>
      </c>
      <c r="G118" s="222" t="s">
        <v>261</v>
      </c>
    </row>
    <row r="119" spans="1:7" x14ac:dyDescent="0.25">
      <c r="A119" s="31">
        <f>'M&amp;R Stations'!A119</f>
        <v>39078</v>
      </c>
      <c r="B119" s="221">
        <v>4.9000000000000004</v>
      </c>
      <c r="C119" s="222">
        <v>48</v>
      </c>
      <c r="D119" s="222">
        <v>38</v>
      </c>
      <c r="E119" s="222">
        <v>42</v>
      </c>
      <c r="F119" s="222" t="s">
        <v>242</v>
      </c>
      <c r="G119" s="222" t="s">
        <v>243</v>
      </c>
    </row>
    <row r="120" spans="1:7" x14ac:dyDescent="0.25">
      <c r="A120" s="31">
        <f>'M&amp;R Stations'!A120</f>
        <v>39079</v>
      </c>
      <c r="B120" s="221">
        <v>2.2999999999999998</v>
      </c>
      <c r="C120" s="222">
        <v>56</v>
      </c>
      <c r="D120" s="222">
        <v>39</v>
      </c>
      <c r="E120" s="222">
        <v>48</v>
      </c>
      <c r="F120" s="222" t="s">
        <v>245</v>
      </c>
      <c r="G120" s="222" t="s">
        <v>243</v>
      </c>
    </row>
    <row r="121" spans="1:7" x14ac:dyDescent="0.25">
      <c r="A121" s="31">
        <f>'M&amp;R Stations'!A121</f>
        <v>39080</v>
      </c>
      <c r="B121" s="221">
        <v>1.9</v>
      </c>
      <c r="C121" s="222">
        <v>57</v>
      </c>
      <c r="D121" s="222">
        <v>42</v>
      </c>
      <c r="E121" s="222">
        <v>47</v>
      </c>
      <c r="F121" s="222" t="s">
        <v>246</v>
      </c>
      <c r="G121" s="222" t="s">
        <v>238</v>
      </c>
    </row>
    <row r="122" spans="1:7" x14ac:dyDescent="0.25">
      <c r="A122" s="31">
        <f>'M&amp;R Stations'!A122</f>
        <v>39081</v>
      </c>
      <c r="B122" s="221">
        <v>3.9</v>
      </c>
      <c r="C122" s="222">
        <v>57</v>
      </c>
      <c r="D122" s="222">
        <v>36</v>
      </c>
      <c r="E122" s="222">
        <v>46</v>
      </c>
      <c r="F122" s="222" t="s">
        <v>240</v>
      </c>
      <c r="G122" s="222" t="s">
        <v>243</v>
      </c>
    </row>
    <row r="123" spans="1:7" x14ac:dyDescent="0.25">
      <c r="A123" s="31">
        <f>'M&amp;R Stations'!A123</f>
        <v>39082</v>
      </c>
      <c r="B123" s="221">
        <v>3.3</v>
      </c>
      <c r="C123" s="222">
        <v>58</v>
      </c>
      <c r="D123" s="222">
        <v>40</v>
      </c>
      <c r="E123" s="222">
        <v>48</v>
      </c>
      <c r="F123" s="222" t="s">
        <v>249</v>
      </c>
      <c r="G123" s="222" t="s">
        <v>243</v>
      </c>
    </row>
    <row r="124" spans="1:7" x14ac:dyDescent="0.25">
      <c r="A124" s="31">
        <f>'M&amp;R Stations'!A124</f>
        <v>39083</v>
      </c>
      <c r="B124" s="221">
        <v>6.8</v>
      </c>
      <c r="C124" s="222">
        <v>60</v>
      </c>
      <c r="D124" s="222">
        <v>44</v>
      </c>
      <c r="E124" s="222">
        <v>52</v>
      </c>
      <c r="F124" s="222" t="s">
        <v>252</v>
      </c>
      <c r="G124" s="222" t="s">
        <v>239</v>
      </c>
    </row>
    <row r="125" spans="1:7" x14ac:dyDescent="0.25">
      <c r="A125" s="31">
        <f>'M&amp;R Stations'!A125</f>
        <v>39084</v>
      </c>
      <c r="B125" s="221">
        <v>4.8</v>
      </c>
      <c r="C125" s="222">
        <v>53</v>
      </c>
      <c r="D125" s="222">
        <v>35</v>
      </c>
      <c r="E125" s="222">
        <v>44</v>
      </c>
      <c r="F125" s="222" t="s">
        <v>245</v>
      </c>
      <c r="G125" s="222" t="s">
        <v>243</v>
      </c>
    </row>
    <row r="126" spans="1:7" x14ac:dyDescent="0.25">
      <c r="A126" s="31">
        <f>'M&amp;R Stations'!A126</f>
        <v>39085</v>
      </c>
      <c r="B126" s="221">
        <v>4.5999999999999996</v>
      </c>
      <c r="C126" s="222">
        <v>58</v>
      </c>
      <c r="D126" s="222">
        <v>41</v>
      </c>
      <c r="E126" s="222">
        <v>48</v>
      </c>
      <c r="F126" s="222" t="s">
        <v>245</v>
      </c>
      <c r="G126" s="222" t="s">
        <v>243</v>
      </c>
    </row>
    <row r="127" spans="1:7" x14ac:dyDescent="0.25">
      <c r="A127" s="31">
        <f>'M&amp;R Stations'!A127</f>
        <v>39086</v>
      </c>
      <c r="B127" s="221">
        <v>3.3</v>
      </c>
      <c r="C127" s="222">
        <v>63</v>
      </c>
      <c r="D127" s="222">
        <v>50</v>
      </c>
      <c r="E127" s="222">
        <v>56</v>
      </c>
      <c r="F127" s="222" t="s">
        <v>245</v>
      </c>
      <c r="G127" s="222" t="s">
        <v>243</v>
      </c>
    </row>
    <row r="128" spans="1:7" x14ac:dyDescent="0.25">
      <c r="A128" s="31">
        <f>'M&amp;R Stations'!A128</f>
        <v>39087</v>
      </c>
      <c r="B128" s="221">
        <v>5.2</v>
      </c>
      <c r="C128" s="222">
        <v>68</v>
      </c>
      <c r="D128" s="222">
        <v>60</v>
      </c>
      <c r="E128" s="222">
        <v>64</v>
      </c>
      <c r="F128" s="222" t="s">
        <v>252</v>
      </c>
      <c r="G128" s="222" t="s">
        <v>239</v>
      </c>
    </row>
    <row r="129" spans="1:7" x14ac:dyDescent="0.25">
      <c r="A129" s="31">
        <f>'M&amp;R Stations'!A129</f>
        <v>39088</v>
      </c>
      <c r="B129" s="221">
        <v>7.3</v>
      </c>
      <c r="C129" s="222">
        <v>76</v>
      </c>
      <c r="D129" s="222">
        <v>48</v>
      </c>
      <c r="E129" s="222">
        <v>62</v>
      </c>
      <c r="F129" s="222" t="s">
        <v>242</v>
      </c>
      <c r="G129" s="222" t="s">
        <v>266</v>
      </c>
    </row>
    <row r="130" spans="1:7" x14ac:dyDescent="0.25">
      <c r="A130" s="31">
        <f>'M&amp;R Stations'!A130</f>
        <v>39089</v>
      </c>
      <c r="B130" s="221">
        <v>3.5</v>
      </c>
      <c r="C130" s="222">
        <v>58</v>
      </c>
      <c r="D130" s="222">
        <v>45</v>
      </c>
      <c r="E130" s="222">
        <v>51</v>
      </c>
      <c r="F130" s="222" t="s">
        <v>249</v>
      </c>
      <c r="G130" s="222" t="s">
        <v>267</v>
      </c>
    </row>
    <row r="131" spans="1:7" x14ac:dyDescent="0.25">
      <c r="A131" s="31">
        <f>'M&amp;R Stations'!A131</f>
        <v>39090</v>
      </c>
      <c r="B131" s="221">
        <v>6.6</v>
      </c>
      <c r="C131" s="222">
        <v>58</v>
      </c>
      <c r="D131" s="222">
        <v>38</v>
      </c>
      <c r="E131" s="222">
        <v>46</v>
      </c>
      <c r="F131" s="222" t="s">
        <v>242</v>
      </c>
      <c r="G131" s="222" t="s">
        <v>268</v>
      </c>
    </row>
    <row r="132" spans="1:7" x14ac:dyDescent="0.25">
      <c r="A132" s="31">
        <f>'M&amp;R Stations'!A132</f>
        <v>39091</v>
      </c>
      <c r="B132" s="221">
        <v>7.1</v>
      </c>
      <c r="C132" s="222">
        <v>51</v>
      </c>
      <c r="D132" s="222">
        <v>34</v>
      </c>
      <c r="E132" s="222">
        <v>42</v>
      </c>
      <c r="F132" s="222" t="s">
        <v>245</v>
      </c>
      <c r="G132" s="222" t="s">
        <v>269</v>
      </c>
    </row>
    <row r="133" spans="1:7" x14ac:dyDescent="0.25">
      <c r="A133" s="31">
        <f>'M&amp;R Stations'!A133</f>
        <v>39092</v>
      </c>
      <c r="B133" s="221">
        <v>6.7</v>
      </c>
      <c r="C133" s="222">
        <v>39</v>
      </c>
      <c r="D133" s="222">
        <v>29</v>
      </c>
      <c r="E133" s="222">
        <v>34</v>
      </c>
      <c r="F133" s="222" t="s">
        <v>242</v>
      </c>
      <c r="G133" s="222" t="s">
        <v>243</v>
      </c>
    </row>
    <row r="134" spans="1:7" x14ac:dyDescent="0.25">
      <c r="A134" s="31">
        <f>'M&amp;R Stations'!A134</f>
        <v>39093</v>
      </c>
      <c r="B134" s="221">
        <v>4.0999999999999996</v>
      </c>
      <c r="C134" s="222">
        <v>46</v>
      </c>
      <c r="D134" s="222">
        <v>37</v>
      </c>
      <c r="E134" s="222">
        <v>40</v>
      </c>
      <c r="F134" s="222" t="s">
        <v>252</v>
      </c>
      <c r="G134" s="222" t="s">
        <v>243</v>
      </c>
    </row>
    <row r="135" spans="1:7" x14ac:dyDescent="0.25">
      <c r="A135" s="31">
        <f>'M&amp;R Stations'!A135</f>
        <v>39094</v>
      </c>
      <c r="B135" s="221">
        <v>4.9000000000000004</v>
      </c>
      <c r="C135" s="222">
        <v>55</v>
      </c>
      <c r="D135" s="222">
        <v>46</v>
      </c>
      <c r="E135" s="222">
        <v>51</v>
      </c>
      <c r="F135" s="222" t="s">
        <v>245</v>
      </c>
      <c r="G135" s="222" t="s">
        <v>259</v>
      </c>
    </row>
    <row r="136" spans="1:7" x14ac:dyDescent="0.25">
      <c r="A136" s="31">
        <f>'M&amp;R Stations'!A136</f>
        <v>39095</v>
      </c>
      <c r="B136" s="221">
        <v>2.6</v>
      </c>
      <c r="C136" s="222">
        <v>62</v>
      </c>
      <c r="D136" s="222">
        <v>49</v>
      </c>
      <c r="E136" s="222">
        <v>56</v>
      </c>
      <c r="F136" s="222" t="s">
        <v>237</v>
      </c>
      <c r="G136" s="222" t="s">
        <v>239</v>
      </c>
    </row>
    <row r="137" spans="1:7" x14ac:dyDescent="0.25">
      <c r="A137" s="31">
        <f>'M&amp;R Stations'!A137</f>
        <v>39096</v>
      </c>
      <c r="B137" s="221">
        <v>2.4</v>
      </c>
      <c r="C137" s="222">
        <v>54</v>
      </c>
      <c r="D137" s="222">
        <v>46</v>
      </c>
      <c r="E137" s="222">
        <v>50</v>
      </c>
      <c r="F137" s="222" t="s">
        <v>237</v>
      </c>
      <c r="G137" s="222" t="s">
        <v>239</v>
      </c>
    </row>
    <row r="138" spans="1:7" x14ac:dyDescent="0.25">
      <c r="A138" s="31">
        <f>'M&amp;R Stations'!A138</f>
        <v>39097</v>
      </c>
      <c r="B138" s="221">
        <v>5.4</v>
      </c>
      <c r="C138" s="222">
        <v>66</v>
      </c>
      <c r="D138" s="222">
        <v>47</v>
      </c>
      <c r="E138" s="222">
        <v>57</v>
      </c>
      <c r="F138" s="222" t="s">
        <v>245</v>
      </c>
      <c r="G138" s="222" t="s">
        <v>259</v>
      </c>
    </row>
    <row r="139" spans="1:7" x14ac:dyDescent="0.25">
      <c r="A139" s="31">
        <f>'M&amp;R Stations'!A139</f>
        <v>39098</v>
      </c>
      <c r="B139" s="221">
        <v>10</v>
      </c>
      <c r="C139" s="222">
        <v>47</v>
      </c>
      <c r="D139" s="222">
        <v>23</v>
      </c>
      <c r="E139" s="222">
        <v>34</v>
      </c>
      <c r="F139" s="222" t="s">
        <v>240</v>
      </c>
      <c r="G139" s="222" t="s">
        <v>259</v>
      </c>
    </row>
    <row r="140" spans="1:7" x14ac:dyDescent="0.25">
      <c r="A140" s="31">
        <f>'M&amp;R Stations'!A140</f>
        <v>39099</v>
      </c>
      <c r="B140" s="221">
        <v>3.7</v>
      </c>
      <c r="C140" s="222">
        <v>36</v>
      </c>
      <c r="D140" s="222">
        <v>26</v>
      </c>
      <c r="E140" s="222">
        <v>30</v>
      </c>
      <c r="F140" s="222" t="s">
        <v>246</v>
      </c>
      <c r="G140" s="222" t="s">
        <v>243</v>
      </c>
    </row>
    <row r="141" spans="1:7" x14ac:dyDescent="0.25">
      <c r="A141" s="31">
        <f>'M&amp;R Stations'!A141</f>
        <v>39100</v>
      </c>
      <c r="B141" s="221">
        <v>2</v>
      </c>
      <c r="C141" s="222">
        <v>42</v>
      </c>
      <c r="D141" s="222">
        <v>34</v>
      </c>
      <c r="E141" s="222">
        <v>36</v>
      </c>
      <c r="F141" s="222" t="s">
        <v>252</v>
      </c>
      <c r="G141" s="222" t="s">
        <v>259</v>
      </c>
    </row>
    <row r="142" spans="1:7" x14ac:dyDescent="0.25">
      <c r="A142" s="31">
        <f>'M&amp;R Stations'!A142</f>
        <v>39101</v>
      </c>
      <c r="B142" s="221">
        <v>10.8</v>
      </c>
      <c r="C142" s="222">
        <v>46</v>
      </c>
      <c r="D142" s="222">
        <v>31</v>
      </c>
      <c r="E142" s="222">
        <v>38</v>
      </c>
      <c r="F142" s="222" t="s">
        <v>242</v>
      </c>
      <c r="G142" s="222" t="s">
        <v>270</v>
      </c>
    </row>
    <row r="143" spans="1:7" x14ac:dyDescent="0.25">
      <c r="A143" s="31">
        <f>'M&amp;R Stations'!A143</f>
        <v>39102</v>
      </c>
      <c r="B143" s="221">
        <v>10.6</v>
      </c>
      <c r="C143" s="222">
        <v>38</v>
      </c>
      <c r="D143" s="222">
        <v>23</v>
      </c>
      <c r="E143" s="222">
        <v>30</v>
      </c>
      <c r="F143" s="222" t="s">
        <v>240</v>
      </c>
      <c r="G143" s="222" t="s">
        <v>243</v>
      </c>
    </row>
    <row r="144" spans="1:7" x14ac:dyDescent="0.25">
      <c r="A144" s="31">
        <f>'M&amp;R Stations'!A144</f>
        <v>39103</v>
      </c>
      <c r="B144" s="221">
        <v>2.8</v>
      </c>
      <c r="C144" s="222">
        <v>32</v>
      </c>
      <c r="D144" s="222">
        <v>26</v>
      </c>
      <c r="E144" s="222">
        <v>29</v>
      </c>
      <c r="F144" s="222" t="s">
        <v>249</v>
      </c>
      <c r="G144" s="222" t="s">
        <v>271</v>
      </c>
    </row>
    <row r="145" spans="1:7" x14ac:dyDescent="0.25">
      <c r="A145" s="31">
        <f>'M&amp;R Stations'!A145</f>
        <v>39104</v>
      </c>
      <c r="B145" s="221">
        <v>3.5</v>
      </c>
      <c r="C145" s="222">
        <v>37</v>
      </c>
      <c r="D145" s="222">
        <v>31</v>
      </c>
      <c r="E145" s="222">
        <v>35</v>
      </c>
      <c r="F145" s="222" t="s">
        <v>242</v>
      </c>
      <c r="G145" s="222" t="s">
        <v>272</v>
      </c>
    </row>
    <row r="146" spans="1:7" x14ac:dyDescent="0.25">
      <c r="A146" s="31">
        <f>'M&amp;R Stations'!A146</f>
        <v>39105</v>
      </c>
      <c r="B146" s="221">
        <v>4.5</v>
      </c>
      <c r="C146" s="222">
        <v>42</v>
      </c>
      <c r="D146" s="222">
        <v>32</v>
      </c>
      <c r="E146" s="222">
        <v>37</v>
      </c>
      <c r="F146" s="222" t="s">
        <v>242</v>
      </c>
      <c r="G146" s="222" t="s">
        <v>273</v>
      </c>
    </row>
    <row r="147" spans="1:7" x14ac:dyDescent="0.25">
      <c r="A147" s="31">
        <f>'M&amp;R Stations'!A147</f>
        <v>39106</v>
      </c>
      <c r="B147" s="221">
        <v>7.2</v>
      </c>
      <c r="C147" s="222">
        <v>40</v>
      </c>
      <c r="D147" s="222">
        <v>32</v>
      </c>
      <c r="E147" s="222">
        <v>35</v>
      </c>
      <c r="F147" s="222" t="s">
        <v>242</v>
      </c>
      <c r="G147" s="222" t="s">
        <v>241</v>
      </c>
    </row>
    <row r="148" spans="1:7" x14ac:dyDescent="0.25">
      <c r="A148" s="31">
        <f>'M&amp;R Stations'!A148</f>
        <v>39107</v>
      </c>
      <c r="B148" s="221">
        <v>15.2</v>
      </c>
      <c r="C148" s="222">
        <v>37</v>
      </c>
      <c r="D148" s="222">
        <v>11</v>
      </c>
      <c r="E148" s="222">
        <v>25</v>
      </c>
      <c r="F148" s="222" t="s">
        <v>240</v>
      </c>
      <c r="G148" s="222" t="s">
        <v>273</v>
      </c>
    </row>
    <row r="149" spans="1:7" x14ac:dyDescent="0.25">
      <c r="A149" s="31">
        <f>'M&amp;R Stations'!A149</f>
        <v>39108</v>
      </c>
      <c r="B149" s="221">
        <v>9.5</v>
      </c>
      <c r="C149" s="222">
        <v>28</v>
      </c>
      <c r="D149" s="222">
        <v>15</v>
      </c>
      <c r="E149" s="222">
        <v>23</v>
      </c>
      <c r="F149" s="222" t="s">
        <v>274</v>
      </c>
      <c r="G149" s="222" t="s">
        <v>259</v>
      </c>
    </row>
    <row r="150" spans="1:7" x14ac:dyDescent="0.25">
      <c r="A150" s="31">
        <f>'M&amp;R Stations'!A150</f>
        <v>39109</v>
      </c>
      <c r="B150" s="221">
        <v>4</v>
      </c>
      <c r="C150" s="222">
        <v>41</v>
      </c>
      <c r="D150" s="222">
        <v>28</v>
      </c>
      <c r="E150" s="222">
        <v>37</v>
      </c>
      <c r="F150" s="222" t="s">
        <v>242</v>
      </c>
      <c r="G150" s="222" t="s">
        <v>241</v>
      </c>
    </row>
    <row r="151" spans="1:7" x14ac:dyDescent="0.25">
      <c r="A151" s="31">
        <f>'M&amp;R Stations'!A151</f>
        <v>39110</v>
      </c>
      <c r="B151" s="221">
        <v>8.1999999999999993</v>
      </c>
      <c r="C151" s="222">
        <v>42</v>
      </c>
      <c r="D151" s="222">
        <v>25</v>
      </c>
      <c r="E151" s="222">
        <v>35</v>
      </c>
      <c r="F151" s="222" t="s">
        <v>250</v>
      </c>
      <c r="G151" s="222" t="s">
        <v>275</v>
      </c>
    </row>
    <row r="152" spans="1:7" x14ac:dyDescent="0.25">
      <c r="A152" s="31">
        <f>'M&amp;R Stations'!A152</f>
        <v>39111</v>
      </c>
      <c r="B152" s="221">
        <v>11.6</v>
      </c>
      <c r="C152" s="222">
        <v>29</v>
      </c>
      <c r="D152" s="222">
        <v>21</v>
      </c>
      <c r="E152" s="222">
        <v>26</v>
      </c>
      <c r="F152" s="222" t="s">
        <v>242</v>
      </c>
      <c r="G152" s="222" t="s">
        <v>243</v>
      </c>
    </row>
    <row r="153" spans="1:7" x14ac:dyDescent="0.25">
      <c r="A153" s="31">
        <f>'M&amp;R Stations'!A153</f>
        <v>39112</v>
      </c>
      <c r="B153" s="221">
        <v>11.9</v>
      </c>
      <c r="C153" s="222">
        <v>38</v>
      </c>
      <c r="D153" s="222">
        <v>24</v>
      </c>
      <c r="E153" s="222">
        <v>32</v>
      </c>
      <c r="F153" s="222" t="s">
        <v>245</v>
      </c>
      <c r="G153" s="222" t="s">
        <v>269</v>
      </c>
    </row>
    <row r="154" spans="1:7" x14ac:dyDescent="0.25">
      <c r="A154" s="31">
        <f>'M&amp;R Stations'!A154</f>
        <v>39113</v>
      </c>
      <c r="B154" s="221">
        <v>8.1</v>
      </c>
      <c r="C154" s="222">
        <v>33</v>
      </c>
      <c r="D154" s="222">
        <v>25</v>
      </c>
      <c r="E154" s="222">
        <v>28</v>
      </c>
      <c r="F154" s="222" t="s">
        <v>242</v>
      </c>
      <c r="G154" s="222" t="s">
        <v>243</v>
      </c>
    </row>
    <row r="155" spans="1:7" x14ac:dyDescent="0.25">
      <c r="A155" s="31">
        <f>'M&amp;R Stations'!A155</f>
        <v>39114</v>
      </c>
      <c r="B155" s="221">
        <v>7.4</v>
      </c>
      <c r="C155" s="222">
        <v>36</v>
      </c>
      <c r="D155" s="222">
        <v>29</v>
      </c>
      <c r="E155" s="222">
        <v>33</v>
      </c>
      <c r="F155" s="222" t="s">
        <v>246</v>
      </c>
      <c r="G155" s="222" t="s">
        <v>275</v>
      </c>
    </row>
    <row r="156" spans="1:7" x14ac:dyDescent="0.25">
      <c r="A156" s="31">
        <f>'M&amp;R Stations'!A156</f>
        <v>39115</v>
      </c>
      <c r="B156" s="221">
        <v>7.9</v>
      </c>
      <c r="C156" s="222">
        <v>38</v>
      </c>
      <c r="D156" s="222">
        <v>24</v>
      </c>
      <c r="E156" s="222">
        <v>34</v>
      </c>
      <c r="F156" s="222" t="s">
        <v>242</v>
      </c>
      <c r="G156" s="222" t="s">
        <v>276</v>
      </c>
    </row>
    <row r="157" spans="1:7" x14ac:dyDescent="0.25">
      <c r="A157" s="31">
        <f>'M&amp;R Stations'!A157</f>
        <v>39116</v>
      </c>
      <c r="B157" s="221">
        <v>13.3</v>
      </c>
      <c r="C157" s="222">
        <v>30</v>
      </c>
      <c r="D157" s="222">
        <v>14</v>
      </c>
      <c r="E157" s="222">
        <v>27</v>
      </c>
      <c r="F157" s="222" t="s">
        <v>242</v>
      </c>
      <c r="G157" s="222" t="s">
        <v>243</v>
      </c>
    </row>
    <row r="158" spans="1:7" x14ac:dyDescent="0.25">
      <c r="A158" s="31">
        <f>'M&amp;R Stations'!A158</f>
        <v>39117</v>
      </c>
      <c r="B158" s="221">
        <v>14.9</v>
      </c>
      <c r="C158" s="222">
        <v>29</v>
      </c>
      <c r="D158" s="222">
        <v>11</v>
      </c>
      <c r="E158" s="222">
        <v>21</v>
      </c>
      <c r="F158" s="222" t="s">
        <v>242</v>
      </c>
      <c r="G158" s="222" t="s">
        <v>243</v>
      </c>
    </row>
    <row r="159" spans="1:7" x14ac:dyDescent="0.25">
      <c r="A159" s="31">
        <f>'M&amp;R Stations'!A159</f>
        <v>39118</v>
      </c>
      <c r="B159" s="221">
        <v>17.7</v>
      </c>
      <c r="C159" s="222">
        <v>18</v>
      </c>
      <c r="D159" s="222">
        <v>11</v>
      </c>
      <c r="E159" s="222">
        <v>14</v>
      </c>
      <c r="F159" s="222" t="s">
        <v>242</v>
      </c>
      <c r="G159" s="222" t="s">
        <v>243</v>
      </c>
    </row>
    <row r="160" spans="1:7" x14ac:dyDescent="0.25">
      <c r="A160" s="31">
        <f>'M&amp;R Stations'!A160</f>
        <v>39119</v>
      </c>
      <c r="B160" s="221">
        <v>10.6</v>
      </c>
      <c r="C160" s="222">
        <v>22</v>
      </c>
      <c r="D160" s="222">
        <v>13</v>
      </c>
      <c r="E160" s="222">
        <v>18</v>
      </c>
      <c r="F160" s="222" t="s">
        <v>242</v>
      </c>
      <c r="G160" s="222" t="s">
        <v>243</v>
      </c>
    </row>
    <row r="161" spans="1:7" x14ac:dyDescent="0.25">
      <c r="A161" s="31">
        <f>'M&amp;R Stations'!A161</f>
        <v>39120</v>
      </c>
      <c r="B161" s="221">
        <v>4.2</v>
      </c>
      <c r="C161" s="222">
        <v>28</v>
      </c>
      <c r="D161" s="222">
        <v>18</v>
      </c>
      <c r="E161" s="222">
        <v>22</v>
      </c>
      <c r="F161" s="222" t="s">
        <v>242</v>
      </c>
      <c r="G161" s="222" t="s">
        <v>243</v>
      </c>
    </row>
    <row r="162" spans="1:7" x14ac:dyDescent="0.25">
      <c r="A162" s="31">
        <f>'M&amp;R Stations'!A162</f>
        <v>39121</v>
      </c>
      <c r="B162" s="221">
        <v>5.5</v>
      </c>
      <c r="C162" s="222">
        <v>30</v>
      </c>
      <c r="D162" s="222">
        <v>21</v>
      </c>
      <c r="E162" s="222">
        <v>25</v>
      </c>
      <c r="F162" s="222" t="s">
        <v>242</v>
      </c>
      <c r="G162" s="222" t="s">
        <v>243</v>
      </c>
    </row>
    <row r="163" spans="1:7" x14ac:dyDescent="0.25">
      <c r="A163" s="31">
        <f>'M&amp;R Stations'!A163</f>
        <v>39122</v>
      </c>
      <c r="B163" s="221">
        <v>6.3</v>
      </c>
      <c r="C163" s="222">
        <v>34</v>
      </c>
      <c r="D163" s="222">
        <v>25</v>
      </c>
      <c r="E163" s="222">
        <v>29</v>
      </c>
      <c r="F163" s="222" t="s">
        <v>242</v>
      </c>
      <c r="G163" s="222" t="s">
        <v>243</v>
      </c>
    </row>
    <row r="164" spans="1:7" x14ac:dyDescent="0.25">
      <c r="A164" s="31">
        <f>'M&amp;R Stations'!A164</f>
        <v>39123</v>
      </c>
      <c r="B164" s="221">
        <v>5.6</v>
      </c>
      <c r="C164" s="222">
        <v>35</v>
      </c>
      <c r="D164" s="222">
        <v>21</v>
      </c>
      <c r="E164" s="222">
        <v>27</v>
      </c>
      <c r="F164" s="222" t="s">
        <v>242</v>
      </c>
      <c r="G164" s="222" t="s">
        <v>243</v>
      </c>
    </row>
    <row r="165" spans="1:7" x14ac:dyDescent="0.25">
      <c r="A165" s="31">
        <f>'M&amp;R Stations'!A165</f>
        <v>39124</v>
      </c>
      <c r="B165" s="221">
        <v>2.4</v>
      </c>
      <c r="C165" s="222">
        <v>39</v>
      </c>
      <c r="D165" s="222">
        <v>27</v>
      </c>
      <c r="E165" s="222">
        <v>33</v>
      </c>
      <c r="F165" s="222" t="s">
        <v>242</v>
      </c>
      <c r="G165" s="222" t="s">
        <v>243</v>
      </c>
    </row>
    <row r="166" spans="1:7" x14ac:dyDescent="0.25">
      <c r="A166" s="31">
        <f>'M&amp;R Stations'!A166</f>
        <v>39125</v>
      </c>
      <c r="B166" s="221">
        <v>4.8</v>
      </c>
      <c r="C166" s="222">
        <v>47</v>
      </c>
      <c r="D166" s="222">
        <v>27</v>
      </c>
      <c r="E166" s="222">
        <v>39</v>
      </c>
      <c r="F166" s="222" t="s">
        <v>250</v>
      </c>
      <c r="G166" s="222" t="s">
        <v>258</v>
      </c>
    </row>
    <row r="167" spans="1:7" x14ac:dyDescent="0.25">
      <c r="A167" s="31">
        <f>'M&amp;R Stations'!A167</f>
        <v>39126</v>
      </c>
      <c r="B167" s="221">
        <v>7.7</v>
      </c>
      <c r="C167" s="222">
        <v>31</v>
      </c>
      <c r="D167" s="222">
        <v>24</v>
      </c>
      <c r="E167" s="222">
        <v>28</v>
      </c>
      <c r="F167" s="222" t="s">
        <v>246</v>
      </c>
      <c r="G167" s="222" t="s">
        <v>277</v>
      </c>
    </row>
    <row r="168" spans="1:7" x14ac:dyDescent="0.25">
      <c r="A168" s="31">
        <f>'M&amp;R Stations'!A168</f>
        <v>39127</v>
      </c>
      <c r="B168" s="221">
        <v>11.3</v>
      </c>
      <c r="C168" s="222">
        <v>39</v>
      </c>
      <c r="D168" s="222">
        <v>17</v>
      </c>
      <c r="E168" s="222">
        <v>24</v>
      </c>
      <c r="F168" s="222" t="s">
        <v>240</v>
      </c>
      <c r="G168" s="222" t="s">
        <v>278</v>
      </c>
    </row>
    <row r="169" spans="1:7" x14ac:dyDescent="0.25">
      <c r="A169" s="31">
        <f>'M&amp;R Stations'!A169</f>
        <v>39128</v>
      </c>
      <c r="B169" s="221">
        <v>5.9</v>
      </c>
      <c r="C169" s="222">
        <v>27</v>
      </c>
      <c r="D169" s="222">
        <v>17</v>
      </c>
      <c r="E169" s="222">
        <v>21</v>
      </c>
      <c r="F169" s="222" t="s">
        <v>242</v>
      </c>
      <c r="G169" s="222" t="s">
        <v>275</v>
      </c>
    </row>
    <row r="170" spans="1:7" x14ac:dyDescent="0.25">
      <c r="A170" s="31">
        <f>'M&amp;R Stations'!A170</f>
        <v>39129</v>
      </c>
      <c r="B170" s="221">
        <v>4.0999999999999996</v>
      </c>
      <c r="C170" s="222">
        <v>34</v>
      </c>
      <c r="D170" s="222">
        <v>22</v>
      </c>
      <c r="E170" s="222">
        <v>26</v>
      </c>
      <c r="F170" s="222" t="s">
        <v>242</v>
      </c>
      <c r="G170" s="222" t="s">
        <v>241</v>
      </c>
    </row>
    <row r="171" spans="1:7" x14ac:dyDescent="0.25">
      <c r="A171" s="31">
        <f>'M&amp;R Stations'!A171</f>
        <v>39130</v>
      </c>
      <c r="B171" s="221">
        <v>4.5999999999999996</v>
      </c>
      <c r="C171" s="222">
        <v>41</v>
      </c>
      <c r="D171" s="222">
        <v>31</v>
      </c>
      <c r="E171" s="222">
        <v>36</v>
      </c>
      <c r="F171" s="222" t="s">
        <v>245</v>
      </c>
      <c r="G171" s="222" t="s">
        <v>275</v>
      </c>
    </row>
    <row r="172" spans="1:7" x14ac:dyDescent="0.25">
      <c r="A172" s="31">
        <f>'M&amp;R Stations'!A172</f>
        <v>39131</v>
      </c>
      <c r="B172" s="221">
        <v>9</v>
      </c>
      <c r="C172" s="222">
        <v>37</v>
      </c>
      <c r="D172" s="222">
        <v>16</v>
      </c>
      <c r="E172" s="222">
        <v>26</v>
      </c>
      <c r="F172" s="222" t="s">
        <v>240</v>
      </c>
      <c r="G172" s="222" t="s">
        <v>275</v>
      </c>
    </row>
    <row r="173" spans="1:7" x14ac:dyDescent="0.25">
      <c r="A173" s="31">
        <f>'M&amp;R Stations'!A173</f>
        <v>39132</v>
      </c>
      <c r="B173" s="221">
        <v>4.2</v>
      </c>
      <c r="C173" s="222">
        <v>45</v>
      </c>
      <c r="D173" s="222">
        <v>22</v>
      </c>
      <c r="E173" s="222">
        <v>33</v>
      </c>
      <c r="F173" s="222" t="s">
        <v>245</v>
      </c>
      <c r="G173" s="222" t="s">
        <v>243</v>
      </c>
    </row>
    <row r="174" spans="1:7" x14ac:dyDescent="0.25">
      <c r="A174" s="31">
        <f>'M&amp;R Stations'!A174</f>
        <v>39133</v>
      </c>
      <c r="B174" s="221">
        <v>3</v>
      </c>
      <c r="C174" s="222">
        <v>50</v>
      </c>
      <c r="D174" s="222">
        <v>41</v>
      </c>
      <c r="E174" s="222">
        <v>46</v>
      </c>
      <c r="F174" s="222" t="s">
        <v>240</v>
      </c>
      <c r="G174" s="222" t="s">
        <v>279</v>
      </c>
    </row>
    <row r="175" spans="1:7" x14ac:dyDescent="0.25">
      <c r="A175" s="31">
        <f>'M&amp;R Stations'!A175</f>
        <v>39134</v>
      </c>
      <c r="B175" s="221">
        <v>4</v>
      </c>
      <c r="C175" s="222">
        <v>53</v>
      </c>
      <c r="D175" s="222">
        <v>33</v>
      </c>
      <c r="E175" s="222">
        <v>42</v>
      </c>
      <c r="F175" s="222" t="s">
        <v>240</v>
      </c>
      <c r="G175" s="222" t="s">
        <v>243</v>
      </c>
    </row>
    <row r="176" spans="1:7" x14ac:dyDescent="0.25">
      <c r="A176" s="31">
        <f>'M&amp;R Stations'!A176</f>
        <v>39135</v>
      </c>
      <c r="B176" s="221">
        <v>11</v>
      </c>
      <c r="C176" s="222">
        <v>46</v>
      </c>
      <c r="D176" s="222">
        <v>33</v>
      </c>
      <c r="E176" s="222">
        <v>40</v>
      </c>
      <c r="F176" s="222" t="s">
        <v>240</v>
      </c>
      <c r="G176" s="222" t="s">
        <v>280</v>
      </c>
    </row>
    <row r="177" spans="1:7" x14ac:dyDescent="0.25">
      <c r="A177" s="31">
        <f>'M&amp;R Stations'!A177</f>
        <v>39136</v>
      </c>
      <c r="B177" s="221">
        <v>10.5</v>
      </c>
      <c r="C177" s="222">
        <v>40</v>
      </c>
      <c r="D177" s="222">
        <v>22</v>
      </c>
      <c r="E177" s="222">
        <v>31</v>
      </c>
      <c r="F177" s="222" t="s">
        <v>240</v>
      </c>
      <c r="G177" s="222" t="s">
        <v>243</v>
      </c>
    </row>
    <row r="178" spans="1:7" x14ac:dyDescent="0.25">
      <c r="A178" s="31">
        <f>'M&amp;R Stations'!A178</f>
        <v>39137</v>
      </c>
      <c r="B178" s="221">
        <v>5.9</v>
      </c>
      <c r="C178" s="222">
        <v>44</v>
      </c>
      <c r="D178" s="222">
        <v>30</v>
      </c>
      <c r="E178" s="222">
        <v>36</v>
      </c>
      <c r="F178" s="222" t="s">
        <v>240</v>
      </c>
      <c r="G178" s="222" t="s">
        <v>243</v>
      </c>
    </row>
    <row r="179" spans="1:7" x14ac:dyDescent="0.25">
      <c r="A179" s="31">
        <f>'M&amp;R Stations'!A179</f>
        <v>39138</v>
      </c>
      <c r="B179" s="221">
        <v>3.6</v>
      </c>
      <c r="C179" s="222">
        <v>37</v>
      </c>
      <c r="D179" s="222">
        <v>32</v>
      </c>
      <c r="E179" s="222">
        <v>34</v>
      </c>
      <c r="F179" s="222" t="s">
        <v>246</v>
      </c>
      <c r="G179" s="222" t="s">
        <v>281</v>
      </c>
    </row>
    <row r="180" spans="1:7" x14ac:dyDescent="0.25">
      <c r="A180" s="31">
        <f>'M&amp;R Stations'!A180</f>
        <v>39139</v>
      </c>
      <c r="B180" s="221">
        <v>1.3</v>
      </c>
      <c r="C180" s="222">
        <v>46</v>
      </c>
      <c r="D180" s="222">
        <v>36</v>
      </c>
      <c r="E180" s="222">
        <v>38</v>
      </c>
      <c r="F180" s="222" t="s">
        <v>246</v>
      </c>
      <c r="G180" s="222" t="s">
        <v>251</v>
      </c>
    </row>
    <row r="181" spans="1:7" x14ac:dyDescent="0.25">
      <c r="A181" s="31">
        <f>'M&amp;R Stations'!A181</f>
        <v>39140</v>
      </c>
      <c r="B181" s="221">
        <v>4.4000000000000004</v>
      </c>
      <c r="C181" s="222">
        <v>53</v>
      </c>
      <c r="D181" s="222">
        <v>39</v>
      </c>
      <c r="E181" s="222">
        <v>44</v>
      </c>
      <c r="F181" s="222" t="s">
        <v>242</v>
      </c>
      <c r="G181" s="222" t="s">
        <v>241</v>
      </c>
    </row>
    <row r="182" spans="1:7" x14ac:dyDescent="0.25">
      <c r="A182" s="31">
        <f>'M&amp;R Stations'!A182</f>
        <v>39141</v>
      </c>
      <c r="B182" s="221">
        <v>3.6</v>
      </c>
      <c r="C182" s="222">
        <v>46</v>
      </c>
      <c r="D182" s="222">
        <v>36</v>
      </c>
      <c r="E182" s="222">
        <v>42</v>
      </c>
      <c r="F182" s="222" t="s">
        <v>240</v>
      </c>
      <c r="G182" s="222" t="s">
        <v>279</v>
      </c>
    </row>
    <row r="183" spans="1:7" x14ac:dyDescent="0.25">
      <c r="A183" s="31">
        <f>'M&amp;R Stations'!A183</f>
        <v>39142</v>
      </c>
      <c r="B183" s="221">
        <v>4.7</v>
      </c>
      <c r="C183" s="222">
        <v>60</v>
      </c>
      <c r="D183" s="222">
        <v>42</v>
      </c>
      <c r="E183" s="222">
        <v>50</v>
      </c>
      <c r="F183" s="222" t="s">
        <v>249</v>
      </c>
      <c r="G183" s="222" t="s">
        <v>283</v>
      </c>
    </row>
    <row r="184" spans="1:7" x14ac:dyDescent="0.25">
      <c r="A184" s="31">
        <f>'M&amp;R Stations'!A184</f>
        <v>39143</v>
      </c>
      <c r="B184" s="221">
        <v>3.4</v>
      </c>
      <c r="C184" s="222">
        <v>65</v>
      </c>
      <c r="D184" s="222">
        <v>36</v>
      </c>
      <c r="E184" s="222">
        <v>51</v>
      </c>
      <c r="F184" s="222" t="s">
        <v>245</v>
      </c>
      <c r="G184" s="222" t="s">
        <v>282</v>
      </c>
    </row>
    <row r="185" spans="1:7" x14ac:dyDescent="0.25">
      <c r="A185" s="31">
        <f>'M&amp;R Stations'!A185</f>
        <v>39144</v>
      </c>
      <c r="B185" s="221">
        <v>7.4</v>
      </c>
      <c r="C185" s="222">
        <v>64</v>
      </c>
      <c r="D185" s="222">
        <v>37</v>
      </c>
      <c r="E185" s="222">
        <v>47</v>
      </c>
      <c r="F185" s="222" t="s">
        <v>242</v>
      </c>
      <c r="G185" s="222" t="s">
        <v>241</v>
      </c>
    </row>
    <row r="186" spans="1:7" x14ac:dyDescent="0.25">
      <c r="A186" s="31">
        <f>'M&amp;R Stations'!A186</f>
        <v>39145</v>
      </c>
      <c r="B186" s="221">
        <v>7.9</v>
      </c>
      <c r="C186" s="222">
        <v>43</v>
      </c>
      <c r="D186" s="222">
        <v>33</v>
      </c>
      <c r="E186" s="222">
        <v>37</v>
      </c>
      <c r="F186" s="222" t="s">
        <v>242</v>
      </c>
      <c r="G186" s="222" t="s">
        <v>241</v>
      </c>
    </row>
    <row r="187" spans="1:7" x14ac:dyDescent="0.25">
      <c r="A187" s="31">
        <f>'M&amp;R Stations'!A187</f>
        <v>39146</v>
      </c>
      <c r="B187" s="221">
        <v>13.4</v>
      </c>
      <c r="C187" s="222">
        <v>46</v>
      </c>
      <c r="D187" s="222">
        <v>18</v>
      </c>
      <c r="E187" s="222">
        <v>33</v>
      </c>
      <c r="F187" s="222" t="s">
        <v>242</v>
      </c>
      <c r="G187" s="222" t="s">
        <v>243</v>
      </c>
    </row>
    <row r="188" spans="1:7" x14ac:dyDescent="0.25">
      <c r="A188" s="31">
        <f>'M&amp;R Stations'!A188</f>
        <v>39147</v>
      </c>
      <c r="B188" s="221">
        <v>5.3</v>
      </c>
      <c r="C188" s="222">
        <v>29</v>
      </c>
      <c r="D188" s="222">
        <v>18</v>
      </c>
      <c r="E188" s="222">
        <v>23</v>
      </c>
      <c r="F188" s="222" t="s">
        <v>240</v>
      </c>
      <c r="G188" s="222" t="s">
        <v>243</v>
      </c>
    </row>
    <row r="189" spans="1:7" x14ac:dyDescent="0.25">
      <c r="A189" s="31">
        <f>'M&amp;R Stations'!A189</f>
        <v>39148</v>
      </c>
      <c r="B189" s="221">
        <v>0.7</v>
      </c>
      <c r="C189" s="222">
        <v>29</v>
      </c>
      <c r="D189" s="222">
        <v>21</v>
      </c>
      <c r="E189" s="222">
        <v>24</v>
      </c>
      <c r="F189" s="222" t="s">
        <v>246</v>
      </c>
      <c r="G189" s="222" t="s">
        <v>277</v>
      </c>
    </row>
    <row r="190" spans="1:7" x14ac:dyDescent="0.25">
      <c r="A190" s="31">
        <f>'M&amp;R Stations'!A190</f>
        <v>39149</v>
      </c>
      <c r="B190" s="221">
        <v>5.9</v>
      </c>
      <c r="C190" s="222">
        <v>39</v>
      </c>
      <c r="D190" s="222">
        <v>21</v>
      </c>
      <c r="E190" s="222">
        <v>30</v>
      </c>
      <c r="F190" s="222" t="s">
        <v>246</v>
      </c>
      <c r="G190" s="222" t="s">
        <v>243</v>
      </c>
    </row>
    <row r="191" spans="1:7" x14ac:dyDescent="0.25">
      <c r="A191" s="31">
        <f>'M&amp;R Stations'!A191</f>
        <v>39150</v>
      </c>
      <c r="B191" s="221">
        <v>2</v>
      </c>
      <c r="C191" s="222">
        <v>46</v>
      </c>
      <c r="D191" s="222">
        <v>32</v>
      </c>
      <c r="E191" s="222">
        <v>37</v>
      </c>
      <c r="F191" s="222" t="s">
        <v>252</v>
      </c>
      <c r="G191" s="222" t="s">
        <v>243</v>
      </c>
    </row>
    <row r="192" spans="1:7" x14ac:dyDescent="0.25">
      <c r="A192" s="31">
        <f>'M&amp;R Stations'!A192</f>
        <v>39151</v>
      </c>
      <c r="B192" s="221">
        <v>4.9000000000000004</v>
      </c>
      <c r="C192" s="222">
        <v>66</v>
      </c>
      <c r="D192" s="222">
        <v>45</v>
      </c>
      <c r="E192" s="222">
        <v>55</v>
      </c>
      <c r="F192" s="222" t="s">
        <v>252</v>
      </c>
      <c r="G192" s="222" t="s">
        <v>243</v>
      </c>
    </row>
    <row r="193" spans="1:13" x14ac:dyDescent="0.25">
      <c r="A193" s="31">
        <f>'M&amp;R Stations'!A193</f>
        <v>39152</v>
      </c>
      <c r="B193" s="221">
        <v>5.9</v>
      </c>
      <c r="C193" s="222">
        <v>56</v>
      </c>
      <c r="D193" s="222">
        <v>36</v>
      </c>
      <c r="E193" s="222">
        <v>46</v>
      </c>
      <c r="F193" s="222" t="s">
        <v>240</v>
      </c>
      <c r="G193" s="222" t="s">
        <v>243</v>
      </c>
      <c r="M193" s="11">
        <v>2.2000000000000002</v>
      </c>
    </row>
    <row r="194" spans="1:13" x14ac:dyDescent="0.25">
      <c r="A194" s="31">
        <f>'M&amp;R Stations'!A194</f>
        <v>39153</v>
      </c>
      <c r="B194" s="221">
        <v>3.1</v>
      </c>
      <c r="C194" s="222">
        <v>63</v>
      </c>
      <c r="D194" s="222">
        <v>42</v>
      </c>
      <c r="E194" s="222">
        <v>52</v>
      </c>
      <c r="F194" s="222" t="s">
        <v>245</v>
      </c>
      <c r="G194" s="222" t="s">
        <v>243</v>
      </c>
    </row>
    <row r="195" spans="1:13" x14ac:dyDescent="0.25">
      <c r="A195" s="31">
        <f>'M&amp;R Stations'!A195</f>
        <v>39154</v>
      </c>
      <c r="B195" s="221">
        <v>2.8</v>
      </c>
      <c r="C195" s="222">
        <v>71</v>
      </c>
      <c r="D195" s="222">
        <v>49</v>
      </c>
      <c r="E195" s="222">
        <v>59</v>
      </c>
      <c r="F195" s="222" t="s">
        <v>252</v>
      </c>
      <c r="G195" s="222" t="s">
        <v>284</v>
      </c>
    </row>
    <row r="196" spans="1:13" x14ac:dyDescent="0.25">
      <c r="A196" s="31">
        <f>'M&amp;R Stations'!A196</f>
        <v>39155</v>
      </c>
      <c r="B196" s="221">
        <v>4.2</v>
      </c>
      <c r="C196" s="222">
        <v>83</v>
      </c>
      <c r="D196" s="222">
        <v>60</v>
      </c>
      <c r="E196" s="222">
        <v>69</v>
      </c>
      <c r="F196" s="222" t="s">
        <v>245</v>
      </c>
      <c r="G196" s="222" t="s">
        <v>285</v>
      </c>
    </row>
    <row r="197" spans="1:13" x14ac:dyDescent="0.25">
      <c r="A197" s="31">
        <f>'M&amp;R Stations'!A197</f>
        <v>39156</v>
      </c>
      <c r="B197" s="221">
        <v>9.1</v>
      </c>
      <c r="C197" s="222">
        <v>72</v>
      </c>
      <c r="D197" s="222">
        <v>36</v>
      </c>
      <c r="E197" s="222">
        <v>49</v>
      </c>
      <c r="F197" s="222" t="s">
        <v>245</v>
      </c>
      <c r="G197" s="222" t="s">
        <v>286</v>
      </c>
    </row>
    <row r="198" spans="1:13" x14ac:dyDescent="0.25">
      <c r="A198" s="31">
        <f>'M&amp;R Stations'!A198</f>
        <v>39157</v>
      </c>
      <c r="B198" s="221">
        <v>10.3</v>
      </c>
      <c r="C198" s="222">
        <v>36</v>
      </c>
      <c r="D198" s="222">
        <v>28</v>
      </c>
      <c r="E198" s="222">
        <v>31</v>
      </c>
      <c r="F198" s="222" t="s">
        <v>240</v>
      </c>
      <c r="G198" s="222" t="s">
        <v>287</v>
      </c>
    </row>
    <row r="199" spans="1:13" x14ac:dyDescent="0.25">
      <c r="A199" s="31">
        <f>'M&amp;R Stations'!A199</f>
        <v>39158</v>
      </c>
      <c r="B199" s="221">
        <v>7.4</v>
      </c>
      <c r="C199" s="222">
        <v>38</v>
      </c>
      <c r="D199" s="222">
        <v>30</v>
      </c>
      <c r="E199" s="222">
        <v>33</v>
      </c>
      <c r="F199" s="222" t="s">
        <v>246</v>
      </c>
      <c r="G199" s="222" t="s">
        <v>288</v>
      </c>
    </row>
    <row r="200" spans="1:13" x14ac:dyDescent="0.25">
      <c r="A200" s="31">
        <f>'M&amp;R Stations'!A200</f>
        <v>39159</v>
      </c>
      <c r="B200" s="221">
        <v>5.9</v>
      </c>
      <c r="C200" s="222">
        <v>44</v>
      </c>
      <c r="D200" s="222">
        <v>33</v>
      </c>
      <c r="E200" s="222">
        <v>37</v>
      </c>
      <c r="F200" s="222" t="s">
        <v>242</v>
      </c>
      <c r="G200" s="222" t="s">
        <v>257</v>
      </c>
    </row>
    <row r="201" spans="1:13" x14ac:dyDescent="0.25">
      <c r="A201" s="31">
        <f>'M&amp;R Stations'!A201</f>
        <v>39160</v>
      </c>
      <c r="B201" s="221">
        <v>5.4</v>
      </c>
      <c r="C201" s="222">
        <v>54</v>
      </c>
      <c r="D201" s="222">
        <v>41</v>
      </c>
      <c r="E201" s="222">
        <v>48</v>
      </c>
      <c r="F201" s="222" t="s">
        <v>246</v>
      </c>
      <c r="G201" s="222" t="s">
        <v>289</v>
      </c>
    </row>
    <row r="202" spans="1:13" x14ac:dyDescent="0.25">
      <c r="A202" s="31">
        <f>'M&amp;R Stations'!A202</f>
        <v>39161</v>
      </c>
      <c r="B202" s="221">
        <v>8.5</v>
      </c>
      <c r="C202" s="222">
        <v>56</v>
      </c>
      <c r="D202" s="222">
        <v>32</v>
      </c>
      <c r="E202" s="222">
        <v>44</v>
      </c>
      <c r="F202" s="222" t="s">
        <v>240</v>
      </c>
      <c r="G202" s="222" t="s">
        <v>241</v>
      </c>
    </row>
    <row r="203" spans="1:13" x14ac:dyDescent="0.25">
      <c r="A203" s="31">
        <f>'M&amp;R Stations'!A203</f>
        <v>39162</v>
      </c>
      <c r="B203" s="221">
        <v>2.9</v>
      </c>
      <c r="C203" s="222">
        <v>54</v>
      </c>
      <c r="D203" s="222">
        <v>37</v>
      </c>
      <c r="E203" s="222">
        <v>46</v>
      </c>
      <c r="F203" s="222" t="s">
        <v>252</v>
      </c>
      <c r="G203" s="222" t="s">
        <v>259</v>
      </c>
    </row>
    <row r="204" spans="1:13" x14ac:dyDescent="0.25">
      <c r="A204" s="31">
        <f>'M&amp;R Stations'!A204</f>
        <v>39163</v>
      </c>
      <c r="B204" s="221">
        <v>5.4</v>
      </c>
      <c r="C204" s="222">
        <v>73</v>
      </c>
      <c r="D204" s="222">
        <v>50</v>
      </c>
      <c r="E204" s="222">
        <v>63</v>
      </c>
      <c r="F204" s="222" t="s">
        <v>245</v>
      </c>
      <c r="G204" s="222" t="s">
        <v>241</v>
      </c>
    </row>
    <row r="205" spans="1:13" x14ac:dyDescent="0.25">
      <c r="A205" s="31">
        <f>'M&amp;R Stations'!A205</f>
        <v>39164</v>
      </c>
      <c r="B205" s="221">
        <v>2.5</v>
      </c>
      <c r="C205" s="222">
        <v>67</v>
      </c>
      <c r="D205" s="222">
        <v>50</v>
      </c>
      <c r="E205" s="222">
        <v>57</v>
      </c>
      <c r="F205" s="222" t="s">
        <v>246</v>
      </c>
      <c r="G205" s="222" t="s">
        <v>259</v>
      </c>
    </row>
    <row r="206" spans="1:13" x14ac:dyDescent="0.25">
      <c r="A206" s="31">
        <f>'M&amp;R Stations'!A206</f>
        <v>39165</v>
      </c>
      <c r="B206" s="221">
        <v>3.2</v>
      </c>
      <c r="C206" s="222">
        <v>60</v>
      </c>
      <c r="D206" s="222">
        <v>49</v>
      </c>
      <c r="E206" s="222">
        <v>53</v>
      </c>
      <c r="F206" s="222" t="s">
        <v>246</v>
      </c>
      <c r="G206" s="222" t="s">
        <v>259</v>
      </c>
    </row>
    <row r="207" spans="1:13" x14ac:dyDescent="0.25">
      <c r="A207" s="31">
        <f>'M&amp;R Stations'!A207</f>
        <v>39166</v>
      </c>
      <c r="B207" s="221">
        <v>4.0999999999999996</v>
      </c>
      <c r="C207" s="222">
        <v>63</v>
      </c>
      <c r="D207" s="222">
        <v>42</v>
      </c>
      <c r="E207" s="222">
        <v>49</v>
      </c>
      <c r="F207" s="222" t="s">
        <v>249</v>
      </c>
      <c r="G207" s="222" t="s">
        <v>243</v>
      </c>
    </row>
    <row r="208" spans="1:13" x14ac:dyDescent="0.25">
      <c r="A208" s="31">
        <f>'M&amp;R Stations'!A208</f>
        <v>39167</v>
      </c>
      <c r="B208" s="221">
        <v>4.2</v>
      </c>
      <c r="C208" s="222">
        <v>65</v>
      </c>
      <c r="D208" s="222">
        <v>48</v>
      </c>
      <c r="E208" s="222">
        <v>55</v>
      </c>
      <c r="F208" s="222" t="s">
        <v>252</v>
      </c>
      <c r="G208" s="222" t="s">
        <v>259</v>
      </c>
    </row>
    <row r="209" spans="1:7" x14ac:dyDescent="0.25">
      <c r="A209" s="31">
        <f>'M&amp;R Stations'!A209</f>
        <v>39168</v>
      </c>
      <c r="B209" s="221">
        <v>4.9000000000000004</v>
      </c>
      <c r="C209" s="222">
        <v>85</v>
      </c>
      <c r="D209" s="222">
        <v>58</v>
      </c>
      <c r="E209" s="222">
        <v>72</v>
      </c>
      <c r="F209" s="222" t="s">
        <v>240</v>
      </c>
      <c r="G209" s="222" t="s">
        <v>243</v>
      </c>
    </row>
    <row r="210" spans="1:7" x14ac:dyDescent="0.25">
      <c r="A210" s="31">
        <f>'M&amp;R Stations'!A210</f>
        <v>39169</v>
      </c>
      <c r="B210" s="221">
        <v>9.3000000000000007</v>
      </c>
      <c r="C210" s="222">
        <v>69</v>
      </c>
      <c r="D210" s="222">
        <v>41</v>
      </c>
      <c r="E210" s="222">
        <v>57</v>
      </c>
      <c r="F210" s="222" t="s">
        <v>250</v>
      </c>
      <c r="G210" s="222" t="s">
        <v>241</v>
      </c>
    </row>
    <row r="211" spans="1:7" x14ac:dyDescent="0.25">
      <c r="A211" s="31">
        <f>'M&amp;R Stations'!A211</f>
        <v>39170</v>
      </c>
      <c r="B211" s="221">
        <v>6.9</v>
      </c>
      <c r="C211" s="222">
        <v>62</v>
      </c>
      <c r="D211" s="222">
        <v>43</v>
      </c>
      <c r="E211" s="222">
        <v>52</v>
      </c>
      <c r="F211" s="222" t="s">
        <v>240</v>
      </c>
      <c r="G211" s="222" t="s">
        <v>243</v>
      </c>
    </row>
    <row r="212" spans="1:7" x14ac:dyDescent="0.25">
      <c r="A212" s="31">
        <f>'M&amp;R Stations'!A212</f>
        <v>39171</v>
      </c>
      <c r="B212" s="221">
        <v>3.1</v>
      </c>
      <c r="C212" s="222">
        <v>72</v>
      </c>
      <c r="D212" s="222">
        <v>48</v>
      </c>
      <c r="E212" s="222">
        <v>59</v>
      </c>
      <c r="F212" s="222" t="s">
        <v>240</v>
      </c>
      <c r="G212" s="222" t="s">
        <v>243</v>
      </c>
    </row>
    <row r="213" spans="1:7" x14ac:dyDescent="0.25">
      <c r="A213" s="31">
        <f>'M&amp;R Stations'!A213</f>
        <v>39172</v>
      </c>
      <c r="B213" s="221">
        <v>3.1</v>
      </c>
      <c r="C213" s="222">
        <v>60</v>
      </c>
      <c r="D213" s="222">
        <v>46</v>
      </c>
      <c r="E213" s="222">
        <v>51</v>
      </c>
      <c r="F213" s="222" t="s">
        <v>237</v>
      </c>
      <c r="G213" s="222" t="s">
        <v>251</v>
      </c>
    </row>
    <row r="214" spans="1:7" x14ac:dyDescent="0.25">
      <c r="A214" s="31">
        <f>'M&amp;R Stations'!A214</f>
        <v>39173</v>
      </c>
      <c r="B214" s="221">
        <v>2.2000000000000002</v>
      </c>
      <c r="C214" s="222">
        <v>55</v>
      </c>
      <c r="D214" s="222">
        <v>46</v>
      </c>
      <c r="E214" s="222">
        <v>50</v>
      </c>
      <c r="F214" s="222" t="s">
        <v>237</v>
      </c>
      <c r="G214" s="222" t="s">
        <v>251</v>
      </c>
    </row>
    <row r="215" spans="1:7" x14ac:dyDescent="0.25">
      <c r="A215" s="31">
        <f>'M&amp;R Stations'!A215</f>
        <v>39174</v>
      </c>
      <c r="B215" s="221">
        <v>2.6</v>
      </c>
      <c r="C215" s="222">
        <v>83</v>
      </c>
      <c r="D215" s="222">
        <v>47</v>
      </c>
      <c r="E215" s="222">
        <v>59</v>
      </c>
      <c r="F215" s="222" t="s">
        <v>242</v>
      </c>
      <c r="G215" s="222" t="s">
        <v>243</v>
      </c>
    </row>
    <row r="216" spans="1:7" x14ac:dyDescent="0.25">
      <c r="A216" s="31">
        <f>'M&amp;R Stations'!A216</f>
        <v>39175</v>
      </c>
      <c r="B216" s="221">
        <v>3.7</v>
      </c>
      <c r="C216" s="222">
        <v>74</v>
      </c>
      <c r="D216" s="222">
        <v>43</v>
      </c>
      <c r="E216" s="222">
        <v>53</v>
      </c>
      <c r="F216" s="222" t="s">
        <v>249</v>
      </c>
      <c r="G216" s="222" t="s">
        <v>243</v>
      </c>
    </row>
    <row r="217" spans="1:7" x14ac:dyDescent="0.25">
      <c r="A217" s="31">
        <f>'M&amp;R Stations'!A217</f>
        <v>39176</v>
      </c>
      <c r="B217" s="221">
        <v>7</v>
      </c>
      <c r="C217" s="222">
        <v>49</v>
      </c>
      <c r="D217" s="222">
        <v>40</v>
      </c>
      <c r="E217" s="222">
        <v>45</v>
      </c>
      <c r="F217" s="222" t="s">
        <v>246</v>
      </c>
      <c r="G217" s="222" t="s">
        <v>239</v>
      </c>
    </row>
    <row r="218" spans="1:7" x14ac:dyDescent="0.25">
      <c r="A218" s="31">
        <f>'M&amp;R Stations'!A218</f>
        <v>39177</v>
      </c>
      <c r="B218" s="221">
        <v>8.1999999999999993</v>
      </c>
      <c r="C218" s="222">
        <v>47</v>
      </c>
      <c r="D218" s="222">
        <v>35</v>
      </c>
      <c r="E218" s="222">
        <v>40</v>
      </c>
      <c r="F218" s="222" t="s">
        <v>242</v>
      </c>
      <c r="G218" s="222" t="s">
        <v>243</v>
      </c>
    </row>
    <row r="219" spans="1:7" x14ac:dyDescent="0.25">
      <c r="A219" s="31">
        <f>'M&amp;R Stations'!A219</f>
        <v>39178</v>
      </c>
      <c r="B219" s="221">
        <v>5.7</v>
      </c>
      <c r="C219" s="222">
        <v>49</v>
      </c>
      <c r="D219" s="222">
        <v>35</v>
      </c>
      <c r="E219" s="222">
        <v>41</v>
      </c>
      <c r="F219" s="222" t="s">
        <v>242</v>
      </c>
      <c r="G219" s="222" t="s">
        <v>243</v>
      </c>
    </row>
    <row r="220" spans="1:7" x14ac:dyDescent="0.25">
      <c r="A220" s="31">
        <f>'M&amp;R Stations'!A220</f>
        <v>39179</v>
      </c>
      <c r="B220" s="221">
        <v>6.5</v>
      </c>
      <c r="C220" s="222">
        <v>45</v>
      </c>
      <c r="D220" s="222">
        <v>34</v>
      </c>
      <c r="E220" s="222">
        <v>38</v>
      </c>
      <c r="F220" s="222" t="s">
        <v>242</v>
      </c>
      <c r="G220" s="222" t="s">
        <v>243</v>
      </c>
    </row>
    <row r="221" spans="1:7" x14ac:dyDescent="0.25">
      <c r="A221" s="31">
        <f>'M&amp;R Stations'!A221</f>
        <v>39180</v>
      </c>
      <c r="B221" s="221">
        <v>6.5</v>
      </c>
      <c r="C221" s="222">
        <v>47</v>
      </c>
      <c r="D221" s="222">
        <v>35</v>
      </c>
      <c r="E221" s="222">
        <v>40</v>
      </c>
      <c r="F221" s="222" t="s">
        <v>242</v>
      </c>
      <c r="G221" s="222" t="s">
        <v>243</v>
      </c>
    </row>
    <row r="222" spans="1:7" x14ac:dyDescent="0.25">
      <c r="A222" s="31">
        <f>'M&amp;R Stations'!A222</f>
        <v>39181</v>
      </c>
      <c r="B222" s="221">
        <v>6</v>
      </c>
      <c r="C222" s="222">
        <v>51</v>
      </c>
      <c r="D222" s="222">
        <v>39</v>
      </c>
      <c r="E222" s="222">
        <v>44</v>
      </c>
      <c r="F222" s="222" t="s">
        <v>242</v>
      </c>
      <c r="G222" s="222" t="s">
        <v>241</v>
      </c>
    </row>
    <row r="223" spans="1:7" x14ac:dyDescent="0.25">
      <c r="A223" s="31">
        <f>'M&amp;R Stations'!A223</f>
        <v>39182</v>
      </c>
      <c r="B223" s="221">
        <v>4.5</v>
      </c>
      <c r="C223" s="222">
        <v>54</v>
      </c>
      <c r="D223" s="222">
        <v>37</v>
      </c>
      <c r="E223" s="222">
        <v>46</v>
      </c>
      <c r="F223" s="222" t="s">
        <v>246</v>
      </c>
      <c r="G223" s="222" t="s">
        <v>241</v>
      </c>
    </row>
    <row r="224" spans="1:7" x14ac:dyDescent="0.25">
      <c r="A224" s="31">
        <f>'M&amp;R Stations'!A224</f>
        <v>39183</v>
      </c>
      <c r="B224" s="221">
        <v>3.6</v>
      </c>
      <c r="C224" s="222">
        <v>60</v>
      </c>
      <c r="D224" s="222">
        <v>43</v>
      </c>
      <c r="E224" s="222">
        <v>50</v>
      </c>
      <c r="F224" s="222" t="s">
        <v>249</v>
      </c>
      <c r="G224" s="222" t="s">
        <v>290</v>
      </c>
    </row>
    <row r="225" spans="1:7" x14ac:dyDescent="0.25">
      <c r="A225" s="31">
        <f>'M&amp;R Stations'!A225</f>
        <v>39184</v>
      </c>
      <c r="B225" s="221">
        <v>6.5</v>
      </c>
      <c r="C225" s="222">
        <v>52</v>
      </c>
      <c r="D225" s="222">
        <v>47</v>
      </c>
      <c r="E225" s="222">
        <v>50</v>
      </c>
      <c r="F225" s="222" t="s">
        <v>249</v>
      </c>
      <c r="G225" s="222" t="s">
        <v>291</v>
      </c>
    </row>
    <row r="226" spans="1:7" x14ac:dyDescent="0.25">
      <c r="A226" s="31">
        <f>'M&amp;R Stations'!A226</f>
        <v>39185</v>
      </c>
      <c r="B226" s="221">
        <v>8.4</v>
      </c>
      <c r="C226" s="222">
        <v>55</v>
      </c>
      <c r="D226" s="222">
        <v>42</v>
      </c>
      <c r="E226" s="222">
        <v>48</v>
      </c>
      <c r="F226" s="222" t="s">
        <v>242</v>
      </c>
      <c r="G226" s="222" t="s">
        <v>241</v>
      </c>
    </row>
    <row r="227" spans="1:7" x14ac:dyDescent="0.25">
      <c r="A227" s="31">
        <f>'M&amp;R Stations'!A227</f>
        <v>39186</v>
      </c>
      <c r="B227" s="221">
        <v>3.8</v>
      </c>
      <c r="C227" s="222">
        <v>61</v>
      </c>
      <c r="D227" s="222">
        <v>44</v>
      </c>
      <c r="E227" s="222">
        <v>52</v>
      </c>
      <c r="F227" s="222" t="s">
        <v>249</v>
      </c>
      <c r="G227" s="222" t="s">
        <v>241</v>
      </c>
    </row>
    <row r="228" spans="1:7" x14ac:dyDescent="0.25">
      <c r="A228" s="31">
        <f>'M&amp;R Stations'!A228</f>
        <v>39187</v>
      </c>
      <c r="B228" s="221">
        <v>11.7</v>
      </c>
      <c r="C228" s="222">
        <v>50</v>
      </c>
      <c r="D228" s="222">
        <v>35</v>
      </c>
      <c r="E228" s="222">
        <v>44</v>
      </c>
      <c r="F228" s="222" t="s">
        <v>246</v>
      </c>
      <c r="G228" s="222" t="s">
        <v>292</v>
      </c>
    </row>
    <row r="229" spans="1:7" x14ac:dyDescent="0.25">
      <c r="A229" s="31">
        <f>'M&amp;R Stations'!A229</f>
        <v>39188</v>
      </c>
      <c r="B229" s="221">
        <v>11.1</v>
      </c>
      <c r="C229" s="222">
        <v>48</v>
      </c>
      <c r="D229" s="222">
        <v>40</v>
      </c>
      <c r="E229" s="222">
        <v>44</v>
      </c>
      <c r="F229" s="222" t="s">
        <v>246</v>
      </c>
      <c r="G229" s="222" t="s">
        <v>293</v>
      </c>
    </row>
    <row r="230" spans="1:7" x14ac:dyDescent="0.25">
      <c r="A230" s="31">
        <f>'M&amp;R Stations'!A230</f>
        <v>39189</v>
      </c>
      <c r="B230" s="221">
        <v>11.3</v>
      </c>
      <c r="C230" s="222">
        <v>56</v>
      </c>
      <c r="D230" s="222">
        <v>44</v>
      </c>
      <c r="E230" s="222">
        <v>48</v>
      </c>
      <c r="F230" s="222" t="s">
        <v>240</v>
      </c>
      <c r="G230" s="222" t="s">
        <v>259</v>
      </c>
    </row>
    <row r="231" spans="1:7" x14ac:dyDescent="0.25">
      <c r="A231" s="31">
        <f>'M&amp;R Stations'!A231</f>
        <v>39190</v>
      </c>
      <c r="B231" s="221">
        <v>3.2</v>
      </c>
      <c r="C231" s="222">
        <v>56</v>
      </c>
      <c r="D231" s="222">
        <v>49</v>
      </c>
      <c r="E231" s="222">
        <v>52</v>
      </c>
      <c r="F231" s="222" t="s">
        <v>246</v>
      </c>
      <c r="G231" s="222" t="s">
        <v>259</v>
      </c>
    </row>
    <row r="232" spans="1:7" x14ac:dyDescent="0.25">
      <c r="A232" s="31">
        <f>'M&amp;R Stations'!A232</f>
        <v>39191</v>
      </c>
      <c r="B232" s="221">
        <v>2.5</v>
      </c>
      <c r="C232" s="222">
        <v>61</v>
      </c>
      <c r="D232" s="222">
        <v>46</v>
      </c>
      <c r="E232" s="222">
        <v>53</v>
      </c>
      <c r="F232" s="222" t="s">
        <v>246</v>
      </c>
      <c r="G232" s="222" t="s">
        <v>259</v>
      </c>
    </row>
    <row r="233" spans="1:7" x14ac:dyDescent="0.25">
      <c r="A233" s="31">
        <f>'M&amp;R Stations'!A233</f>
        <v>39192</v>
      </c>
      <c r="B233" s="221">
        <v>3.5</v>
      </c>
      <c r="C233" s="222">
        <v>75</v>
      </c>
      <c r="D233" s="222">
        <v>46</v>
      </c>
      <c r="E233" s="222">
        <v>60</v>
      </c>
      <c r="F233" s="222" t="s">
        <v>240</v>
      </c>
      <c r="G233" s="222" t="s">
        <v>243</v>
      </c>
    </row>
    <row r="234" spans="1:7" x14ac:dyDescent="0.25">
      <c r="A234" s="31">
        <f>'M&amp;R Stations'!A234</f>
        <v>39193</v>
      </c>
      <c r="B234" s="221">
        <v>2.4</v>
      </c>
      <c r="C234" s="222">
        <v>83</v>
      </c>
      <c r="D234" s="222">
        <v>54</v>
      </c>
      <c r="E234" s="222">
        <v>69</v>
      </c>
      <c r="F234" s="222" t="s">
        <v>240</v>
      </c>
      <c r="G234" s="222" t="s">
        <v>243</v>
      </c>
    </row>
    <row r="235" spans="1:7" x14ac:dyDescent="0.25">
      <c r="A235" s="31">
        <f>'M&amp;R Stations'!A235</f>
        <v>39194</v>
      </c>
      <c r="B235" s="221">
        <v>2.2000000000000002</v>
      </c>
      <c r="C235" s="222">
        <v>87</v>
      </c>
      <c r="D235" s="222">
        <v>58</v>
      </c>
      <c r="E235" s="222">
        <v>72</v>
      </c>
      <c r="F235" s="222" t="s">
        <v>247</v>
      </c>
      <c r="G235" s="222" t="s">
        <v>243</v>
      </c>
    </row>
    <row r="236" spans="1:7" x14ac:dyDescent="0.25">
      <c r="A236" s="31">
        <f>'M&amp;R Stations'!A236</f>
        <v>39195</v>
      </c>
      <c r="B236" s="221">
        <v>6.7</v>
      </c>
      <c r="C236" s="222">
        <v>88</v>
      </c>
      <c r="D236" s="222">
        <v>68</v>
      </c>
      <c r="E236" s="222">
        <v>77</v>
      </c>
      <c r="F236" s="222" t="s">
        <v>245</v>
      </c>
      <c r="G236" s="222" t="s">
        <v>243</v>
      </c>
    </row>
    <row r="237" spans="1:7" x14ac:dyDescent="0.25">
      <c r="A237" s="31">
        <f>'M&amp;R Stations'!A237</f>
        <v>39196</v>
      </c>
      <c r="B237" s="221">
        <v>6.6</v>
      </c>
      <c r="C237" s="222">
        <v>83</v>
      </c>
      <c r="D237" s="222">
        <v>57</v>
      </c>
      <c r="E237" s="222">
        <v>71</v>
      </c>
      <c r="F237" s="222" t="s">
        <v>240</v>
      </c>
      <c r="G237" s="222" t="s">
        <v>241</v>
      </c>
    </row>
    <row r="238" spans="1:7" x14ac:dyDescent="0.25">
      <c r="A238" s="31">
        <f>'M&amp;R Stations'!A238</f>
        <v>39197</v>
      </c>
      <c r="B238" s="221">
        <v>5.0999999999999996</v>
      </c>
      <c r="C238" s="222">
        <v>81</v>
      </c>
      <c r="D238" s="222">
        <v>51</v>
      </c>
      <c r="E238" s="222">
        <v>60</v>
      </c>
      <c r="F238" s="222" t="s">
        <v>237</v>
      </c>
      <c r="G238" s="222" t="s">
        <v>258</v>
      </c>
    </row>
    <row r="239" spans="1:7" x14ac:dyDescent="0.25">
      <c r="A239" s="31">
        <f>'M&amp;R Stations'!A239</f>
        <v>39198</v>
      </c>
      <c r="B239" s="221">
        <v>3.3</v>
      </c>
      <c r="C239" s="222">
        <v>63</v>
      </c>
      <c r="D239" s="222">
        <v>49</v>
      </c>
      <c r="E239" s="222">
        <v>55</v>
      </c>
      <c r="F239" s="222" t="s">
        <v>237</v>
      </c>
      <c r="G239" s="222" t="s">
        <v>294</v>
      </c>
    </row>
    <row r="240" spans="1:7" x14ac:dyDescent="0.25">
      <c r="A240" s="31">
        <f>'M&amp;R Stations'!A240</f>
        <v>39199</v>
      </c>
      <c r="B240" s="221">
        <v>1.2</v>
      </c>
      <c r="C240" s="222">
        <v>64</v>
      </c>
      <c r="D240" s="222">
        <v>53</v>
      </c>
      <c r="E240" s="222">
        <v>60</v>
      </c>
      <c r="F240" s="222" t="s">
        <v>245</v>
      </c>
      <c r="G240" s="222" t="s">
        <v>295</v>
      </c>
    </row>
    <row r="241" spans="1:7" x14ac:dyDescent="0.25">
      <c r="A241" s="31">
        <f>'M&amp;R Stations'!A241</f>
        <v>39200</v>
      </c>
      <c r="B241" s="221">
        <v>4.7</v>
      </c>
      <c r="C241" s="222">
        <v>73</v>
      </c>
      <c r="D241" s="222">
        <v>56</v>
      </c>
      <c r="E241" s="222">
        <v>63</v>
      </c>
      <c r="F241" s="222" t="s">
        <v>242</v>
      </c>
      <c r="G241" s="222" t="s">
        <v>241</v>
      </c>
    </row>
    <row r="242" spans="1:7" x14ac:dyDescent="0.25">
      <c r="A242" s="31">
        <f>'M&amp;R Stations'!A242</f>
        <v>39201</v>
      </c>
      <c r="B242" s="221">
        <v>4.5999999999999996</v>
      </c>
      <c r="C242" s="222">
        <v>76</v>
      </c>
      <c r="D242" s="222">
        <v>54</v>
      </c>
      <c r="E242" s="222">
        <v>65</v>
      </c>
      <c r="F242" s="222" t="s">
        <v>242</v>
      </c>
      <c r="G242" s="222" t="s">
        <v>241</v>
      </c>
    </row>
    <row r="243" spans="1:7" x14ac:dyDescent="0.25">
      <c r="A243" s="31">
        <f>'M&amp;R Stations'!A243</f>
        <v>39202</v>
      </c>
      <c r="B243" s="221">
        <v>7.5</v>
      </c>
      <c r="C243" s="222">
        <v>88</v>
      </c>
      <c r="D243" s="222">
        <v>60</v>
      </c>
      <c r="E243" s="222">
        <v>73</v>
      </c>
      <c r="F243" s="222" t="s">
        <v>240</v>
      </c>
      <c r="G243" s="222" t="s">
        <v>296</v>
      </c>
    </row>
    <row r="244" spans="1:7" x14ac:dyDescent="0.25">
      <c r="A244" s="31">
        <f>'M&amp;R Stations'!A244</f>
        <v>39203</v>
      </c>
      <c r="B244" s="221">
        <v>3</v>
      </c>
      <c r="C244" s="222">
        <v>76</v>
      </c>
      <c r="D244" s="222">
        <v>57</v>
      </c>
      <c r="E244" s="222">
        <v>65</v>
      </c>
      <c r="F244" s="222" t="s">
        <v>237</v>
      </c>
      <c r="G244" s="222" t="s">
        <v>259</v>
      </c>
    </row>
    <row r="245" spans="1:7" x14ac:dyDescent="0.25">
      <c r="A245" s="31">
        <f>'M&amp;R Stations'!A245</f>
        <v>39204</v>
      </c>
      <c r="B245" s="221">
        <v>6</v>
      </c>
      <c r="C245" s="222">
        <v>76</v>
      </c>
      <c r="D245" s="222">
        <v>57</v>
      </c>
      <c r="E245" s="222">
        <v>67</v>
      </c>
      <c r="F245" s="222" t="s">
        <v>250</v>
      </c>
      <c r="G245" s="222" t="s">
        <v>297</v>
      </c>
    </row>
    <row r="246" spans="1:7" x14ac:dyDescent="0.25">
      <c r="A246" s="31">
        <f>'M&amp;R Stations'!A246</f>
        <v>39205</v>
      </c>
      <c r="B246" s="221">
        <v>4.2</v>
      </c>
      <c r="C246" s="222">
        <v>73</v>
      </c>
      <c r="D246" s="222">
        <v>56</v>
      </c>
      <c r="E246" s="222">
        <v>64</v>
      </c>
      <c r="F246" s="222" t="s">
        <v>252</v>
      </c>
      <c r="G246" s="222" t="s">
        <v>298</v>
      </c>
    </row>
    <row r="247" spans="1:7" x14ac:dyDescent="0.25">
      <c r="A247" s="31">
        <f>'M&amp;R Stations'!A247</f>
        <v>39206</v>
      </c>
      <c r="B247" s="221">
        <v>3.8</v>
      </c>
      <c r="C247" s="222">
        <v>77</v>
      </c>
      <c r="D247" s="222">
        <v>54</v>
      </c>
      <c r="E247" s="222">
        <v>65</v>
      </c>
      <c r="F247" s="222" t="s">
        <v>240</v>
      </c>
      <c r="G247" s="222" t="s">
        <v>299</v>
      </c>
    </row>
    <row r="248" spans="1:7" x14ac:dyDescent="0.25">
      <c r="A248" s="31">
        <f>'M&amp;R Stations'!A248</f>
        <v>39207</v>
      </c>
      <c r="B248" s="221">
        <v>7.6</v>
      </c>
      <c r="C248" s="222">
        <v>81</v>
      </c>
      <c r="D248" s="222">
        <v>51</v>
      </c>
      <c r="E248" s="222">
        <v>67</v>
      </c>
      <c r="F248" s="222" t="s">
        <v>240</v>
      </c>
      <c r="G248" s="222" t="s">
        <v>299</v>
      </c>
    </row>
    <row r="249" spans="1:7" x14ac:dyDescent="0.25">
      <c r="A249" s="31">
        <f>'M&amp;R Stations'!A249</f>
        <v>39208</v>
      </c>
      <c r="B249" s="221">
        <v>5.3</v>
      </c>
      <c r="C249" s="222">
        <v>68</v>
      </c>
      <c r="D249" s="222">
        <v>46</v>
      </c>
      <c r="E249" s="222">
        <v>56</v>
      </c>
      <c r="F249" s="222" t="s">
        <v>237</v>
      </c>
      <c r="G249" s="222" t="s">
        <v>269</v>
      </c>
    </row>
    <row r="250" spans="1:7" x14ac:dyDescent="0.25">
      <c r="A250" s="31">
        <f>'M&amp;R Stations'!A250</f>
        <v>39209</v>
      </c>
      <c r="B250" s="221">
        <v>3.1</v>
      </c>
      <c r="C250" s="222">
        <v>73</v>
      </c>
      <c r="D250" s="222">
        <v>48</v>
      </c>
      <c r="E250" s="222">
        <v>58</v>
      </c>
      <c r="F250" s="222" t="s">
        <v>237</v>
      </c>
      <c r="G250" s="222" t="s">
        <v>299</v>
      </c>
    </row>
    <row r="251" spans="1:7" x14ac:dyDescent="0.25">
      <c r="A251" s="31">
        <f>'M&amp;R Stations'!A251</f>
        <v>39210</v>
      </c>
      <c r="B251" s="221">
        <v>3</v>
      </c>
      <c r="C251" s="222">
        <v>82</v>
      </c>
      <c r="D251" s="222">
        <v>48</v>
      </c>
      <c r="E251" s="222">
        <v>69</v>
      </c>
      <c r="F251" s="222" t="s">
        <v>249</v>
      </c>
      <c r="G251" s="222" t="s">
        <v>299</v>
      </c>
    </row>
    <row r="252" spans="1:7" x14ac:dyDescent="0.25">
      <c r="A252" s="31">
        <f>'M&amp;R Stations'!A252</f>
        <v>39211</v>
      </c>
      <c r="B252" s="221">
        <v>3.6</v>
      </c>
      <c r="C252" s="222">
        <v>86</v>
      </c>
      <c r="D252" s="222">
        <v>69</v>
      </c>
      <c r="E252" s="222">
        <v>76</v>
      </c>
      <c r="F252" s="222" t="s">
        <v>252</v>
      </c>
      <c r="G252" s="222" t="s">
        <v>299</v>
      </c>
    </row>
    <row r="253" spans="1:7" x14ac:dyDescent="0.25">
      <c r="A253" s="31">
        <f>'M&amp;R Stations'!A253</f>
        <v>39212</v>
      </c>
      <c r="B253" s="221">
        <v>3.3</v>
      </c>
      <c r="C253" s="222">
        <v>86</v>
      </c>
      <c r="D253" s="222">
        <v>67</v>
      </c>
      <c r="E253" s="222">
        <v>74</v>
      </c>
      <c r="F253" s="222" t="s">
        <v>252</v>
      </c>
      <c r="G253" s="222" t="s">
        <v>259</v>
      </c>
    </row>
    <row r="254" spans="1:7" x14ac:dyDescent="0.25">
      <c r="A254" s="31">
        <f>'M&amp;R Stations'!A254</f>
        <v>39213</v>
      </c>
      <c r="B254" s="221">
        <v>4.3</v>
      </c>
      <c r="C254" s="222">
        <v>89</v>
      </c>
      <c r="D254" s="222">
        <v>68</v>
      </c>
      <c r="E254" s="222">
        <v>78</v>
      </c>
      <c r="F254" s="222" t="s">
        <v>242</v>
      </c>
      <c r="G254" s="222" t="s">
        <v>241</v>
      </c>
    </row>
    <row r="255" spans="1:7" x14ac:dyDescent="0.25">
      <c r="A255" s="31">
        <f>'M&amp;R Stations'!A255</f>
        <v>39214</v>
      </c>
      <c r="B255" s="221">
        <v>4.5</v>
      </c>
      <c r="C255" s="222">
        <v>87</v>
      </c>
      <c r="D255" s="222">
        <v>56</v>
      </c>
      <c r="E255" s="222">
        <v>68</v>
      </c>
      <c r="F255" s="222" t="s">
        <v>246</v>
      </c>
      <c r="G255" s="222" t="s">
        <v>259</v>
      </c>
    </row>
    <row r="256" spans="1:7" x14ac:dyDescent="0.25">
      <c r="A256" s="31">
        <f>'M&amp;R Stations'!A256</f>
        <v>39215</v>
      </c>
      <c r="B256" s="221">
        <v>6.4</v>
      </c>
      <c r="C256" s="222">
        <v>75</v>
      </c>
      <c r="D256" s="222">
        <v>54</v>
      </c>
      <c r="E256" s="222">
        <v>65</v>
      </c>
      <c r="F256" s="222" t="s">
        <v>250</v>
      </c>
      <c r="G256" s="222" t="s">
        <v>243</v>
      </c>
    </row>
    <row r="257" spans="1:7" x14ac:dyDescent="0.25">
      <c r="A257" s="31">
        <f>'M&amp;R Stations'!A257</f>
        <v>39216</v>
      </c>
      <c r="B257" s="221">
        <v>5.6</v>
      </c>
      <c r="C257" s="222">
        <v>76</v>
      </c>
      <c r="D257" s="222">
        <v>60</v>
      </c>
      <c r="E257" s="222">
        <v>67</v>
      </c>
      <c r="F257" s="222" t="s">
        <v>252</v>
      </c>
      <c r="G257" s="222" t="s">
        <v>243</v>
      </c>
    </row>
    <row r="258" spans="1:7" x14ac:dyDescent="0.25">
      <c r="A258" s="31">
        <f>'M&amp;R Stations'!A258</f>
        <v>39217</v>
      </c>
      <c r="B258" s="221">
        <v>9.3000000000000007</v>
      </c>
      <c r="C258" s="222">
        <v>87</v>
      </c>
      <c r="D258" s="222">
        <v>71</v>
      </c>
      <c r="E258" s="222">
        <v>78</v>
      </c>
      <c r="F258" s="222" t="s">
        <v>245</v>
      </c>
      <c r="G258" s="222" t="s">
        <v>243</v>
      </c>
    </row>
    <row r="259" spans="1:7" x14ac:dyDescent="0.25">
      <c r="A259" s="31">
        <f>'M&amp;R Stations'!A259</f>
        <v>39218</v>
      </c>
      <c r="B259" s="221">
        <v>6.5</v>
      </c>
      <c r="C259" s="222">
        <v>89</v>
      </c>
      <c r="D259" s="222">
        <v>62</v>
      </c>
      <c r="E259" s="222">
        <v>71</v>
      </c>
      <c r="F259" s="222" t="s">
        <v>240</v>
      </c>
      <c r="G259" s="222" t="s">
        <v>300</v>
      </c>
    </row>
    <row r="260" spans="1:7" x14ac:dyDescent="0.25">
      <c r="A260" s="31">
        <f>'M&amp;R Stations'!A260</f>
        <v>39219</v>
      </c>
      <c r="B260" s="221">
        <v>3.6</v>
      </c>
      <c r="C260" s="222">
        <v>75</v>
      </c>
      <c r="D260" s="222">
        <v>54</v>
      </c>
      <c r="E260" s="222">
        <v>63</v>
      </c>
      <c r="F260" s="222" t="s">
        <v>246</v>
      </c>
      <c r="G260" s="222" t="s">
        <v>259</v>
      </c>
    </row>
    <row r="261" spans="1:7" x14ac:dyDescent="0.25">
      <c r="A261" s="31">
        <f>'M&amp;R Stations'!A261</f>
        <v>39220</v>
      </c>
      <c r="B261" s="221">
        <v>5.9</v>
      </c>
      <c r="C261" s="222">
        <v>66</v>
      </c>
      <c r="D261" s="222">
        <v>51</v>
      </c>
      <c r="E261" s="222">
        <v>58</v>
      </c>
      <c r="F261" s="222" t="s">
        <v>246</v>
      </c>
      <c r="G261" s="222" t="s">
        <v>241</v>
      </c>
    </row>
    <row r="262" spans="1:7" x14ac:dyDescent="0.25">
      <c r="A262" s="31">
        <f>'M&amp;R Stations'!A262</f>
        <v>39221</v>
      </c>
      <c r="B262" s="221">
        <v>6.2</v>
      </c>
      <c r="C262" s="222">
        <v>71</v>
      </c>
      <c r="D262" s="222">
        <v>58</v>
      </c>
      <c r="E262" s="222">
        <v>63</v>
      </c>
      <c r="F262" s="222" t="s">
        <v>242</v>
      </c>
      <c r="G262" s="222" t="s">
        <v>243</v>
      </c>
    </row>
    <row r="263" spans="1:7" x14ac:dyDescent="0.25">
      <c r="A263" s="31">
        <f>'M&amp;R Stations'!A263</f>
        <v>39222</v>
      </c>
      <c r="B263" s="221">
        <v>7.2</v>
      </c>
      <c r="C263" s="222">
        <v>82</v>
      </c>
      <c r="D263" s="222">
        <v>56</v>
      </c>
      <c r="E263" s="222">
        <v>68</v>
      </c>
      <c r="F263" s="222" t="s">
        <v>242</v>
      </c>
      <c r="G263" s="222" t="s">
        <v>243</v>
      </c>
    </row>
    <row r="264" spans="1:7" x14ac:dyDescent="0.25">
      <c r="A264" s="31">
        <f>'M&amp;R Stations'!A264</f>
        <v>39223</v>
      </c>
      <c r="B264" s="221">
        <v>4.5</v>
      </c>
      <c r="C264" s="222">
        <v>76</v>
      </c>
      <c r="D264" s="222">
        <v>56</v>
      </c>
      <c r="E264" s="222">
        <v>65</v>
      </c>
      <c r="F264" s="222" t="s">
        <v>240</v>
      </c>
      <c r="G264" s="222" t="s">
        <v>243</v>
      </c>
    </row>
    <row r="265" spans="1:7" x14ac:dyDescent="0.25">
      <c r="A265" s="31">
        <f>'M&amp;R Stations'!A265</f>
        <v>39224</v>
      </c>
      <c r="B265" s="221">
        <v>2.7</v>
      </c>
      <c r="C265" s="222">
        <v>85</v>
      </c>
      <c r="D265" s="222">
        <v>57</v>
      </c>
      <c r="E265" s="222">
        <v>69</v>
      </c>
      <c r="F265" s="222" t="s">
        <v>249</v>
      </c>
      <c r="G265" s="222" t="s">
        <v>299</v>
      </c>
    </row>
    <row r="266" spans="1:7" x14ac:dyDescent="0.25">
      <c r="A266" s="31">
        <f>'M&amp;R Stations'!A266</f>
        <v>39225</v>
      </c>
      <c r="B266" s="221">
        <v>5.5</v>
      </c>
      <c r="C266" s="222">
        <v>82</v>
      </c>
      <c r="D266" s="222">
        <v>62</v>
      </c>
      <c r="E266" s="222">
        <v>71</v>
      </c>
      <c r="F266" s="222" t="s">
        <v>252</v>
      </c>
      <c r="G266" s="222" t="s">
        <v>299</v>
      </c>
    </row>
    <row r="267" spans="1:7" x14ac:dyDescent="0.25">
      <c r="A267" s="31">
        <f>'M&amp;R Stations'!A267</f>
        <v>39226</v>
      </c>
      <c r="B267" s="221">
        <v>4.5999999999999996</v>
      </c>
      <c r="C267" s="222">
        <v>87</v>
      </c>
      <c r="D267" s="222">
        <v>66</v>
      </c>
      <c r="E267" s="222">
        <v>76</v>
      </c>
      <c r="F267" s="222" t="s">
        <v>245</v>
      </c>
      <c r="G267" s="222" t="s">
        <v>299</v>
      </c>
    </row>
    <row r="268" spans="1:7" x14ac:dyDescent="0.25">
      <c r="A268" s="31">
        <f>'M&amp;R Stations'!A268</f>
        <v>39227</v>
      </c>
      <c r="B268" s="221">
        <v>4</v>
      </c>
      <c r="C268" s="222">
        <v>92</v>
      </c>
      <c r="D268" s="222">
        <v>71</v>
      </c>
      <c r="E268" s="222">
        <v>81</v>
      </c>
      <c r="F268" s="222" t="s">
        <v>242</v>
      </c>
      <c r="G268" s="222" t="s">
        <v>299</v>
      </c>
    </row>
    <row r="269" spans="1:7" x14ac:dyDescent="0.25">
      <c r="A269" s="31">
        <f>'M&amp;R Stations'!A269</f>
        <v>39228</v>
      </c>
      <c r="B269" s="221">
        <v>3.1</v>
      </c>
      <c r="C269" s="222">
        <v>96</v>
      </c>
      <c r="D269" s="222">
        <v>70</v>
      </c>
      <c r="E269" s="222">
        <v>81</v>
      </c>
      <c r="F269" s="222" t="s">
        <v>242</v>
      </c>
      <c r="G269" s="222" t="s">
        <v>301</v>
      </c>
    </row>
    <row r="270" spans="1:7" x14ac:dyDescent="0.25">
      <c r="A270" s="31">
        <f>'M&amp;R Stations'!A270</f>
        <v>39229</v>
      </c>
      <c r="B270" s="221">
        <v>3</v>
      </c>
      <c r="C270" s="222">
        <v>95</v>
      </c>
      <c r="D270" s="222">
        <v>69</v>
      </c>
      <c r="E270" s="222">
        <v>81</v>
      </c>
      <c r="F270" s="222" t="s">
        <v>252</v>
      </c>
      <c r="G270" s="222" t="s">
        <v>301</v>
      </c>
    </row>
    <row r="271" spans="1:7" x14ac:dyDescent="0.25">
      <c r="A271" s="31">
        <f>'M&amp;R Stations'!A271</f>
        <v>39230</v>
      </c>
      <c r="B271" s="221">
        <v>4.5999999999999996</v>
      </c>
      <c r="C271" s="222">
        <v>88</v>
      </c>
      <c r="D271" s="222">
        <v>67</v>
      </c>
      <c r="E271" s="222">
        <v>78</v>
      </c>
      <c r="F271" s="222" t="s">
        <v>242</v>
      </c>
      <c r="G271" s="222" t="s">
        <v>241</v>
      </c>
    </row>
    <row r="272" spans="1:7" x14ac:dyDescent="0.25">
      <c r="A272" s="31">
        <f>'M&amp;R Stations'!A272</f>
        <v>39231</v>
      </c>
      <c r="B272" s="221">
        <v>3.7</v>
      </c>
      <c r="C272" s="222">
        <v>86</v>
      </c>
      <c r="D272" s="222">
        <v>65</v>
      </c>
      <c r="E272" s="222">
        <v>74</v>
      </c>
      <c r="F272" s="222" t="s">
        <v>240</v>
      </c>
      <c r="G272" s="222" t="s">
        <v>299</v>
      </c>
    </row>
    <row r="273" spans="1:7" x14ac:dyDescent="0.25">
      <c r="A273" s="31">
        <f>'M&amp;R Stations'!A273</f>
        <v>39232</v>
      </c>
      <c r="B273" s="221">
        <v>3.3</v>
      </c>
      <c r="C273" s="222">
        <v>93</v>
      </c>
      <c r="D273" s="222">
        <v>72</v>
      </c>
      <c r="E273" s="222">
        <v>81</v>
      </c>
      <c r="F273" s="222" t="s">
        <v>245</v>
      </c>
      <c r="G273" s="222" t="s">
        <v>299</v>
      </c>
    </row>
    <row r="274" spans="1:7" x14ac:dyDescent="0.25">
      <c r="A274" s="31">
        <f>'M&amp;R Stations'!A274</f>
        <v>39233</v>
      </c>
      <c r="B274" s="221">
        <v>4.5999999999999996</v>
      </c>
      <c r="C274" s="222">
        <v>96</v>
      </c>
      <c r="D274" s="222">
        <v>70</v>
      </c>
      <c r="E274" s="222">
        <v>83</v>
      </c>
      <c r="F274" s="222" t="s">
        <v>252</v>
      </c>
      <c r="G274" s="222" t="s">
        <v>301</v>
      </c>
    </row>
    <row r="275" spans="1:7" x14ac:dyDescent="0.25">
      <c r="A275" s="31">
        <f>'M&amp;R Stations'!A275</f>
        <v>39234</v>
      </c>
      <c r="B275" s="221">
        <v>3.9</v>
      </c>
      <c r="C275" s="222">
        <v>94</v>
      </c>
      <c r="D275" s="222">
        <v>72</v>
      </c>
      <c r="E275" s="222">
        <v>81</v>
      </c>
      <c r="F275" s="222" t="s">
        <v>252</v>
      </c>
      <c r="G275" s="222" t="s">
        <v>301</v>
      </c>
    </row>
    <row r="276" spans="1:7" x14ac:dyDescent="0.25">
      <c r="A276" s="31">
        <f>'M&amp;R Stations'!A276</f>
        <v>39235</v>
      </c>
      <c r="B276" s="221">
        <v>4.7</v>
      </c>
      <c r="C276" s="222">
        <v>95</v>
      </c>
      <c r="D276" s="222">
        <v>72</v>
      </c>
      <c r="E276" s="222">
        <v>82</v>
      </c>
      <c r="F276" s="222" t="s">
        <v>252</v>
      </c>
      <c r="G276" s="222" t="s">
        <v>302</v>
      </c>
    </row>
    <row r="277" spans="1:7" x14ac:dyDescent="0.25">
      <c r="A277" s="31">
        <f>'M&amp;R Stations'!A277</f>
        <v>39236</v>
      </c>
      <c r="B277" s="221">
        <v>4.7</v>
      </c>
      <c r="C277" s="222">
        <v>78</v>
      </c>
      <c r="D277" s="222">
        <v>66</v>
      </c>
      <c r="E277" s="222">
        <v>70</v>
      </c>
      <c r="F277" s="222" t="s">
        <v>237</v>
      </c>
      <c r="G277" s="222" t="s">
        <v>303</v>
      </c>
    </row>
    <row r="278" spans="1:7" x14ac:dyDescent="0.25">
      <c r="A278" s="31">
        <f>'M&amp;R Stations'!A278</f>
        <v>39237</v>
      </c>
      <c r="B278" s="221">
        <v>4.0999999999999996</v>
      </c>
      <c r="C278" s="222">
        <v>83</v>
      </c>
      <c r="D278" s="222">
        <v>68</v>
      </c>
      <c r="E278" s="222">
        <v>75</v>
      </c>
      <c r="F278" s="222" t="s">
        <v>245</v>
      </c>
      <c r="G278" s="222" t="s">
        <v>303</v>
      </c>
    </row>
    <row r="279" spans="1:7" x14ac:dyDescent="0.25">
      <c r="A279" s="31">
        <f>'M&amp;R Stations'!A279</f>
        <v>39238</v>
      </c>
      <c r="B279" s="221">
        <v>6.7</v>
      </c>
      <c r="C279" s="222">
        <v>86</v>
      </c>
      <c r="D279" s="222">
        <v>62</v>
      </c>
      <c r="E279" s="222">
        <v>76</v>
      </c>
      <c r="F279" s="222" t="s">
        <v>242</v>
      </c>
      <c r="G279" s="222" t="s">
        <v>241</v>
      </c>
    </row>
    <row r="280" spans="1:7" x14ac:dyDescent="0.25">
      <c r="A280" s="31">
        <f>'M&amp;R Stations'!A280</f>
        <v>39239</v>
      </c>
      <c r="B280" s="221">
        <v>4.5999999999999996</v>
      </c>
      <c r="C280" s="222">
        <v>76</v>
      </c>
      <c r="D280" s="222">
        <v>60</v>
      </c>
      <c r="E280" s="222">
        <v>69</v>
      </c>
      <c r="F280" s="222" t="s">
        <v>240</v>
      </c>
      <c r="G280" s="222" t="s">
        <v>243</v>
      </c>
    </row>
    <row r="281" spans="1:7" x14ac:dyDescent="0.25">
      <c r="A281" s="31">
        <f>'M&amp;R Stations'!A281</f>
        <v>39240</v>
      </c>
      <c r="B281" s="221">
        <v>2.7</v>
      </c>
      <c r="C281" s="222">
        <v>88</v>
      </c>
      <c r="D281" s="222">
        <v>68</v>
      </c>
      <c r="E281" s="222">
        <v>76</v>
      </c>
      <c r="F281" s="222" t="s">
        <v>252</v>
      </c>
      <c r="G281" s="222" t="s">
        <v>243</v>
      </c>
    </row>
    <row r="282" spans="1:7" x14ac:dyDescent="0.25">
      <c r="A282" s="31">
        <f>'M&amp;R Stations'!A282</f>
        <v>39241</v>
      </c>
      <c r="B282" s="221">
        <v>5</v>
      </c>
      <c r="C282" s="273">
        <v>100</v>
      </c>
      <c r="D282" s="222">
        <v>76</v>
      </c>
      <c r="E282" s="222">
        <v>87</v>
      </c>
      <c r="F282" s="222" t="s">
        <v>252</v>
      </c>
      <c r="G282" s="222" t="s">
        <v>304</v>
      </c>
    </row>
    <row r="283" spans="1:7" x14ac:dyDescent="0.25">
      <c r="A283" s="31">
        <f>'M&amp;R Stations'!A283</f>
        <v>39242</v>
      </c>
      <c r="B283" s="221">
        <v>4.3</v>
      </c>
      <c r="C283" s="222">
        <v>90</v>
      </c>
      <c r="D283" s="222">
        <v>68</v>
      </c>
      <c r="E283" s="222">
        <v>77</v>
      </c>
      <c r="F283" s="222" t="s">
        <v>246</v>
      </c>
      <c r="G283" s="222" t="s">
        <v>243</v>
      </c>
    </row>
    <row r="284" spans="1:7" x14ac:dyDescent="0.25">
      <c r="A284" s="31">
        <f>'M&amp;R Stations'!A284</f>
        <v>39243</v>
      </c>
      <c r="B284" s="221">
        <v>2.2999999999999998</v>
      </c>
      <c r="C284" s="222">
        <v>85</v>
      </c>
      <c r="D284" s="222">
        <v>67</v>
      </c>
      <c r="E284" s="222">
        <v>74</v>
      </c>
      <c r="F284" s="222" t="s">
        <v>246</v>
      </c>
      <c r="G284" s="222" t="s">
        <v>259</v>
      </c>
    </row>
    <row r="285" spans="1:7" x14ac:dyDescent="0.25">
      <c r="A285" s="31">
        <f>'M&amp;R Stations'!A285</f>
        <v>39244</v>
      </c>
      <c r="B285" s="221">
        <v>3.1</v>
      </c>
      <c r="C285" s="222">
        <v>89</v>
      </c>
      <c r="D285" s="222">
        <v>66</v>
      </c>
      <c r="E285" s="222">
        <v>75</v>
      </c>
      <c r="F285" s="222" t="s">
        <v>240</v>
      </c>
      <c r="G285" s="222" t="s">
        <v>305</v>
      </c>
    </row>
    <row r="286" spans="1:7" x14ac:dyDescent="0.25">
      <c r="A286" s="31">
        <f>'M&amp;R Stations'!A286</f>
        <v>39245</v>
      </c>
      <c r="B286" s="221">
        <v>2.7</v>
      </c>
      <c r="C286" s="222">
        <v>92</v>
      </c>
      <c r="D286" s="222">
        <v>68</v>
      </c>
      <c r="E286" s="222">
        <v>74</v>
      </c>
      <c r="F286" s="222" t="s">
        <v>246</v>
      </c>
      <c r="G286" s="222" t="s">
        <v>306</v>
      </c>
    </row>
    <row r="287" spans="1:7" x14ac:dyDescent="0.25">
      <c r="A287" s="31">
        <f>'M&amp;R Stations'!A287</f>
        <v>39246</v>
      </c>
      <c r="B287" s="221">
        <v>4</v>
      </c>
      <c r="C287" s="222">
        <v>77</v>
      </c>
      <c r="D287" s="222">
        <v>59</v>
      </c>
      <c r="E287" s="222">
        <v>66</v>
      </c>
      <c r="F287" s="222" t="s">
        <v>237</v>
      </c>
      <c r="G287" s="222" t="s">
        <v>306</v>
      </c>
    </row>
    <row r="288" spans="1:7" x14ac:dyDescent="0.25">
      <c r="A288" s="31">
        <f>'M&amp;R Stations'!A288</f>
        <v>39247</v>
      </c>
      <c r="B288" s="221">
        <v>3.7</v>
      </c>
      <c r="C288" s="222">
        <v>73</v>
      </c>
      <c r="D288" s="222">
        <v>62</v>
      </c>
      <c r="E288" s="222">
        <v>64</v>
      </c>
      <c r="F288" s="222" t="s">
        <v>246</v>
      </c>
      <c r="G288" s="222" t="s">
        <v>306</v>
      </c>
    </row>
    <row r="289" spans="1:7" x14ac:dyDescent="0.25">
      <c r="A289" s="31">
        <f>'M&amp;R Stations'!A289</f>
        <v>39248</v>
      </c>
      <c r="B289" s="221">
        <v>2.7</v>
      </c>
      <c r="C289" s="222">
        <v>81</v>
      </c>
      <c r="D289" s="222">
        <v>65</v>
      </c>
      <c r="E289" s="222">
        <v>71</v>
      </c>
      <c r="F289" s="222" t="s">
        <v>246</v>
      </c>
      <c r="G289" s="222" t="s">
        <v>259</v>
      </c>
    </row>
    <row r="290" spans="1:7" x14ac:dyDescent="0.25">
      <c r="A290" s="31">
        <f>'M&amp;R Stations'!A290</f>
        <v>39249</v>
      </c>
      <c r="B290" s="221">
        <v>3.3</v>
      </c>
      <c r="C290" s="222">
        <v>87</v>
      </c>
      <c r="D290" s="222">
        <v>71</v>
      </c>
      <c r="E290" s="222">
        <v>78</v>
      </c>
      <c r="F290" s="222" t="s">
        <v>242</v>
      </c>
      <c r="G290" s="222" t="s">
        <v>243</v>
      </c>
    </row>
    <row r="291" spans="1:7" x14ac:dyDescent="0.25">
      <c r="A291" s="31">
        <f>'M&amp;R Stations'!A291</f>
        <v>39250</v>
      </c>
      <c r="B291" s="221">
        <v>4.3</v>
      </c>
      <c r="C291" s="222">
        <v>94</v>
      </c>
      <c r="D291" s="222">
        <v>77</v>
      </c>
      <c r="E291" s="222">
        <v>86</v>
      </c>
      <c r="F291" s="222" t="s">
        <v>242</v>
      </c>
      <c r="G291" s="222" t="s">
        <v>243</v>
      </c>
    </row>
    <row r="292" spans="1:7" x14ac:dyDescent="0.25">
      <c r="A292" s="31">
        <f>'M&amp;R Stations'!A292</f>
        <v>39251</v>
      </c>
      <c r="B292" s="221">
        <v>2.6</v>
      </c>
      <c r="C292" s="222">
        <v>96</v>
      </c>
      <c r="D292" s="222">
        <v>69</v>
      </c>
      <c r="E292" s="222">
        <v>81</v>
      </c>
      <c r="F292" s="222" t="s">
        <v>249</v>
      </c>
      <c r="G292" s="222" t="s">
        <v>299</v>
      </c>
    </row>
    <row r="293" spans="1:7" x14ac:dyDescent="0.25">
      <c r="A293" s="31">
        <f>'M&amp;R Stations'!A293</f>
        <v>39252</v>
      </c>
      <c r="B293" s="221">
        <v>3.6</v>
      </c>
      <c r="C293" s="222">
        <v>97</v>
      </c>
      <c r="D293" s="222">
        <v>71</v>
      </c>
      <c r="E293" s="222">
        <v>83</v>
      </c>
      <c r="F293" s="222" t="s">
        <v>252</v>
      </c>
      <c r="G293" s="222" t="s">
        <v>243</v>
      </c>
    </row>
    <row r="294" spans="1:7" x14ac:dyDescent="0.25">
      <c r="A294" s="31">
        <f>'M&amp;R Stations'!A294</f>
        <v>39253</v>
      </c>
      <c r="B294" s="221">
        <v>5.7</v>
      </c>
      <c r="C294" s="222">
        <v>86</v>
      </c>
      <c r="D294" s="222">
        <v>67</v>
      </c>
      <c r="E294" s="222">
        <v>75</v>
      </c>
      <c r="F294" s="222" t="s">
        <v>240</v>
      </c>
      <c r="G294" s="222" t="s">
        <v>305</v>
      </c>
    </row>
    <row r="295" spans="1:7" x14ac:dyDescent="0.25">
      <c r="A295" s="31">
        <f>'M&amp;R Stations'!A295</f>
        <v>39254</v>
      </c>
      <c r="B295" s="221">
        <v>5.9</v>
      </c>
      <c r="C295" s="222">
        <v>90</v>
      </c>
      <c r="D295" s="222">
        <v>69</v>
      </c>
      <c r="E295" s="222">
        <v>78</v>
      </c>
      <c r="F295" s="222" t="s">
        <v>242</v>
      </c>
      <c r="G295" s="222" t="s">
        <v>243</v>
      </c>
    </row>
    <row r="296" spans="1:7" x14ac:dyDescent="0.25">
      <c r="A296" s="31">
        <f>'M&amp;R Stations'!A296</f>
        <v>39255</v>
      </c>
      <c r="B296" s="221">
        <v>7.6</v>
      </c>
      <c r="C296" s="222">
        <v>82</v>
      </c>
      <c r="D296" s="222">
        <v>62</v>
      </c>
      <c r="E296" s="222">
        <v>73</v>
      </c>
      <c r="F296" s="222" t="s">
        <v>240</v>
      </c>
      <c r="G296" s="222" t="s">
        <v>243</v>
      </c>
    </row>
    <row r="297" spans="1:7" x14ac:dyDescent="0.25">
      <c r="A297" s="31">
        <f>'M&amp;R Stations'!A297</f>
        <v>39256</v>
      </c>
      <c r="B297" s="221">
        <v>4.9000000000000004</v>
      </c>
      <c r="C297" s="222">
        <v>82</v>
      </c>
      <c r="D297" s="222">
        <v>64</v>
      </c>
      <c r="E297" s="222">
        <v>73</v>
      </c>
      <c r="F297" s="222" t="s">
        <v>240</v>
      </c>
      <c r="G297" s="222" t="s">
        <v>243</v>
      </c>
    </row>
    <row r="298" spans="1:7" x14ac:dyDescent="0.25">
      <c r="A298" s="31">
        <f>'M&amp;R Stations'!A298</f>
        <v>39257</v>
      </c>
      <c r="B298" s="221">
        <v>4.0999999999999996</v>
      </c>
      <c r="C298" s="222">
        <v>90</v>
      </c>
      <c r="D298" s="222">
        <v>70</v>
      </c>
      <c r="E298" s="222">
        <v>79</v>
      </c>
      <c r="F298" s="222" t="s">
        <v>252</v>
      </c>
      <c r="G298" s="222" t="s">
        <v>243</v>
      </c>
    </row>
    <row r="299" spans="1:7" x14ac:dyDescent="0.25">
      <c r="A299" s="31">
        <f>'M&amp;R Stations'!A299</f>
        <v>39258</v>
      </c>
      <c r="B299" s="221">
        <v>2.4</v>
      </c>
      <c r="C299" s="222">
        <v>89</v>
      </c>
      <c r="D299" s="222">
        <v>71</v>
      </c>
      <c r="E299" s="222">
        <v>79</v>
      </c>
      <c r="F299" s="222" t="s">
        <v>252</v>
      </c>
      <c r="G299" s="222" t="s">
        <v>307</v>
      </c>
    </row>
    <row r="300" spans="1:7" x14ac:dyDescent="0.25">
      <c r="A300" s="31">
        <f>'M&amp;R Stations'!A300</f>
        <v>39259</v>
      </c>
      <c r="B300" s="221">
        <v>3.5</v>
      </c>
      <c r="C300" s="222">
        <v>99</v>
      </c>
      <c r="D300" s="222">
        <v>78</v>
      </c>
      <c r="E300" s="222">
        <v>88</v>
      </c>
      <c r="F300" s="222" t="s">
        <v>252</v>
      </c>
      <c r="G300" s="222" t="s">
        <v>241</v>
      </c>
    </row>
    <row r="301" spans="1:7" x14ac:dyDescent="0.25">
      <c r="A301" s="31">
        <f>'M&amp;R Stations'!A301</f>
        <v>39260</v>
      </c>
      <c r="B301" s="221">
        <v>4.7</v>
      </c>
      <c r="C301" s="222">
        <v>99</v>
      </c>
      <c r="D301" s="222">
        <v>75</v>
      </c>
      <c r="E301" s="222">
        <v>86</v>
      </c>
      <c r="F301" s="222" t="s">
        <v>245</v>
      </c>
      <c r="G301" s="222" t="s">
        <v>304</v>
      </c>
    </row>
    <row r="302" spans="1:7" x14ac:dyDescent="0.25">
      <c r="A302" s="31">
        <f>'M&amp;R Stations'!A302</f>
        <v>39261</v>
      </c>
      <c r="B302" s="221">
        <v>4.2</v>
      </c>
      <c r="C302" s="222">
        <v>96</v>
      </c>
      <c r="D302" s="222">
        <v>74</v>
      </c>
      <c r="E302" s="222">
        <v>83</v>
      </c>
      <c r="F302" s="222" t="s">
        <v>242</v>
      </c>
      <c r="G302" s="222" t="s">
        <v>308</v>
      </c>
    </row>
    <row r="303" spans="1:7" x14ac:dyDescent="0.25">
      <c r="A303" s="31">
        <f>'M&amp;R Stations'!A303</f>
        <v>39262</v>
      </c>
      <c r="B303" s="221">
        <v>2.1</v>
      </c>
      <c r="C303" s="222">
        <v>81</v>
      </c>
      <c r="D303" s="222">
        <v>71</v>
      </c>
      <c r="E303" s="222">
        <v>75</v>
      </c>
      <c r="F303" s="222" t="s">
        <v>246</v>
      </c>
      <c r="G303" s="222" t="s">
        <v>259</v>
      </c>
    </row>
    <row r="304" spans="1:7" x14ac:dyDescent="0.25">
      <c r="A304" s="31">
        <f>'M&amp;R Stations'!A304</f>
        <v>39263</v>
      </c>
      <c r="B304" s="221">
        <v>4.2</v>
      </c>
      <c r="C304" s="222">
        <v>90</v>
      </c>
      <c r="D304" s="222">
        <v>66</v>
      </c>
      <c r="E304" s="222">
        <v>78</v>
      </c>
      <c r="F304" s="222" t="s">
        <v>242</v>
      </c>
      <c r="G304" s="222" t="s">
        <v>243</v>
      </c>
    </row>
    <row r="305" spans="1:7" x14ac:dyDescent="0.25">
      <c r="A305" s="31">
        <f>'M&amp;R Stations'!A305</f>
        <v>39264</v>
      </c>
      <c r="B305" s="221">
        <v>7.1</v>
      </c>
      <c r="C305" s="222">
        <v>80</v>
      </c>
      <c r="D305" s="222">
        <v>61</v>
      </c>
      <c r="E305" s="222">
        <v>71</v>
      </c>
      <c r="F305" s="222" t="s">
        <v>250</v>
      </c>
      <c r="G305" s="222" t="s">
        <v>243</v>
      </c>
    </row>
    <row r="306" spans="1:7" x14ac:dyDescent="0.25">
      <c r="A306" s="31">
        <f>'M&amp;R Stations'!A306</f>
        <v>39265</v>
      </c>
      <c r="B306" s="221">
        <v>4.5</v>
      </c>
      <c r="C306" s="222">
        <v>80</v>
      </c>
      <c r="D306" s="222">
        <v>65</v>
      </c>
      <c r="E306" s="222">
        <v>72</v>
      </c>
      <c r="F306" s="222" t="s">
        <v>240</v>
      </c>
      <c r="G306" s="222" t="s">
        <v>243</v>
      </c>
    </row>
    <row r="307" spans="1:7" x14ac:dyDescent="0.25">
      <c r="A307" s="31">
        <f>'M&amp;R Stations'!A307</f>
        <v>39266</v>
      </c>
      <c r="B307" s="221">
        <v>4.5</v>
      </c>
      <c r="C307" s="222">
        <v>87</v>
      </c>
      <c r="D307" s="222">
        <v>66</v>
      </c>
      <c r="E307" s="222">
        <v>76</v>
      </c>
      <c r="F307" s="222" t="s">
        <v>252</v>
      </c>
      <c r="G307" s="222" t="s">
        <v>241</v>
      </c>
    </row>
    <row r="308" spans="1:7" x14ac:dyDescent="0.25">
      <c r="A308" s="31">
        <f>'M&amp;R Stations'!A308</f>
        <v>39267</v>
      </c>
      <c r="B308" s="221">
        <v>5.2</v>
      </c>
      <c r="C308" s="222">
        <v>81</v>
      </c>
      <c r="D308" s="222">
        <v>70</v>
      </c>
      <c r="E308" s="222">
        <v>75</v>
      </c>
      <c r="F308" s="222" t="s">
        <v>252</v>
      </c>
      <c r="G308" s="222" t="s">
        <v>303</v>
      </c>
    </row>
    <row r="309" spans="1:7" x14ac:dyDescent="0.25">
      <c r="A309" s="31">
        <f>'M&amp;R Stations'!A309</f>
        <v>39268</v>
      </c>
      <c r="B309" s="221">
        <v>4.2</v>
      </c>
      <c r="C309" s="222">
        <v>84</v>
      </c>
      <c r="D309" s="222">
        <v>72</v>
      </c>
      <c r="E309" s="222">
        <v>76</v>
      </c>
      <c r="F309" s="222" t="s">
        <v>245</v>
      </c>
      <c r="G309" s="222" t="s">
        <v>303</v>
      </c>
    </row>
    <row r="310" spans="1:7" x14ac:dyDescent="0.25">
      <c r="A310" s="31">
        <f>'M&amp;R Stations'!A310</f>
        <v>39269</v>
      </c>
      <c r="B310" s="221">
        <v>3.6</v>
      </c>
      <c r="C310" s="222">
        <v>91</v>
      </c>
      <c r="D310" s="222">
        <v>72</v>
      </c>
      <c r="E310" s="222">
        <v>81</v>
      </c>
      <c r="F310" s="222" t="s">
        <v>245</v>
      </c>
      <c r="G310" s="222" t="s">
        <v>303</v>
      </c>
    </row>
    <row r="311" spans="1:7" x14ac:dyDescent="0.25">
      <c r="A311" s="31">
        <f>'M&amp;R Stations'!A311</f>
        <v>39270</v>
      </c>
      <c r="B311" s="221">
        <v>4.2</v>
      </c>
      <c r="C311" s="222">
        <v>93</v>
      </c>
      <c r="D311" s="222">
        <v>75</v>
      </c>
      <c r="E311" s="222">
        <v>84</v>
      </c>
      <c r="F311" s="222" t="s">
        <v>245</v>
      </c>
      <c r="G311" s="222" t="s">
        <v>257</v>
      </c>
    </row>
    <row r="312" spans="1:7" x14ac:dyDescent="0.25">
      <c r="A312" s="31">
        <f>'M&amp;R Stations'!A312</f>
        <v>39271</v>
      </c>
      <c r="B312" s="221">
        <v>4</v>
      </c>
      <c r="C312" s="222">
        <v>98</v>
      </c>
      <c r="D312" s="222">
        <v>79</v>
      </c>
      <c r="E312" s="222">
        <v>88</v>
      </c>
      <c r="F312" s="222" t="s">
        <v>245</v>
      </c>
      <c r="G312" s="222" t="s">
        <v>257</v>
      </c>
    </row>
    <row r="313" spans="1:7" x14ac:dyDescent="0.25">
      <c r="A313" s="31">
        <f>'M&amp;R Stations'!A313</f>
        <v>39272</v>
      </c>
      <c r="B313" s="221">
        <v>3.9</v>
      </c>
      <c r="C313" s="222">
        <v>101</v>
      </c>
      <c r="D313" s="222">
        <v>81</v>
      </c>
      <c r="E313" s="222">
        <v>91</v>
      </c>
      <c r="F313" s="222" t="s">
        <v>252</v>
      </c>
      <c r="G313" s="222" t="s">
        <v>257</v>
      </c>
    </row>
    <row r="314" spans="1:7" x14ac:dyDescent="0.25">
      <c r="A314" s="31">
        <f>'M&amp;R Stations'!A314</f>
        <v>39273</v>
      </c>
      <c r="B314" s="221">
        <v>3.5</v>
      </c>
      <c r="C314" s="222">
        <v>103</v>
      </c>
      <c r="D314" s="222">
        <v>78</v>
      </c>
      <c r="E314" s="222">
        <v>87</v>
      </c>
      <c r="F314" s="222" t="s">
        <v>249</v>
      </c>
      <c r="G314" s="222" t="s">
        <v>309</v>
      </c>
    </row>
    <row r="315" spans="1:7" x14ac:dyDescent="0.25">
      <c r="A315" s="31">
        <f>'M&amp;R Stations'!A315</f>
        <v>39274</v>
      </c>
      <c r="B315" s="221">
        <v>5.0999999999999996</v>
      </c>
      <c r="C315" s="222">
        <v>95</v>
      </c>
      <c r="D315" s="222">
        <v>71</v>
      </c>
      <c r="E315" s="222">
        <v>81</v>
      </c>
      <c r="F315" s="222" t="s">
        <v>242</v>
      </c>
      <c r="G315" s="222" t="s">
        <v>310</v>
      </c>
    </row>
    <row r="316" spans="1:7" x14ac:dyDescent="0.25">
      <c r="A316" s="31">
        <f>'M&amp;R Stations'!A316</f>
        <v>39275</v>
      </c>
      <c r="B316" s="221">
        <v>4</v>
      </c>
      <c r="C316" s="222">
        <v>87</v>
      </c>
      <c r="D316" s="222">
        <v>74</v>
      </c>
      <c r="E316" s="222">
        <v>80</v>
      </c>
      <c r="F316" s="222" t="s">
        <v>252</v>
      </c>
      <c r="G316" s="222" t="s">
        <v>257</v>
      </c>
    </row>
    <row r="317" spans="1:7" x14ac:dyDescent="0.25">
      <c r="A317" s="31">
        <f>'M&amp;R Stations'!A317</f>
        <v>39276</v>
      </c>
      <c r="B317" s="221">
        <v>3.6</v>
      </c>
      <c r="C317" s="222">
        <v>91</v>
      </c>
      <c r="D317" s="222">
        <v>73</v>
      </c>
      <c r="E317" s="222">
        <v>81</v>
      </c>
      <c r="F317" s="222" t="s">
        <v>245</v>
      </c>
      <c r="G317" s="222" t="s">
        <v>310</v>
      </c>
    </row>
    <row r="318" spans="1:7" x14ac:dyDescent="0.25">
      <c r="A318" s="31">
        <f>'M&amp;R Stations'!A318</f>
        <v>39277</v>
      </c>
      <c r="B318" s="221">
        <v>5.3</v>
      </c>
      <c r="C318" s="222">
        <v>90</v>
      </c>
      <c r="D318" s="222">
        <v>75</v>
      </c>
      <c r="E318" s="222">
        <v>82</v>
      </c>
      <c r="F318" s="222" t="s">
        <v>245</v>
      </c>
      <c r="G318" s="222" t="s">
        <v>257</v>
      </c>
    </row>
    <row r="319" spans="1:7" x14ac:dyDescent="0.25">
      <c r="A319" s="31">
        <f>'M&amp;R Stations'!A319</f>
        <v>39278</v>
      </c>
      <c r="B319" s="221">
        <v>5</v>
      </c>
      <c r="C319" s="222">
        <v>96</v>
      </c>
      <c r="D319" s="222">
        <v>76</v>
      </c>
      <c r="E319" s="222">
        <v>86</v>
      </c>
      <c r="F319" s="222" t="s">
        <v>252</v>
      </c>
      <c r="G319" s="222" t="s">
        <v>311</v>
      </c>
    </row>
    <row r="320" spans="1:7" x14ac:dyDescent="0.25">
      <c r="A320" s="31">
        <f>'M&amp;R Stations'!A320</f>
        <v>39279</v>
      </c>
      <c r="B320" s="221">
        <v>2.7</v>
      </c>
      <c r="C320" s="222">
        <v>94</v>
      </c>
      <c r="D320" s="222">
        <v>75</v>
      </c>
      <c r="E320" s="222">
        <v>81</v>
      </c>
      <c r="F320" s="222" t="s">
        <v>246</v>
      </c>
      <c r="G320" s="222" t="s">
        <v>311</v>
      </c>
    </row>
    <row r="321" spans="1:7" x14ac:dyDescent="0.25">
      <c r="A321" s="31">
        <f>'M&amp;R Stations'!A321</f>
        <v>39280</v>
      </c>
      <c r="B321" s="221">
        <v>2.6</v>
      </c>
      <c r="C321" s="222">
        <v>99</v>
      </c>
      <c r="D321" s="222">
        <v>76</v>
      </c>
      <c r="E321" s="222">
        <v>85</v>
      </c>
      <c r="F321" s="222" t="s">
        <v>249</v>
      </c>
      <c r="G321" s="222" t="s">
        <v>241</v>
      </c>
    </row>
    <row r="322" spans="1:7" x14ac:dyDescent="0.25">
      <c r="A322" s="31">
        <f>'M&amp;R Stations'!A322</f>
        <v>39281</v>
      </c>
      <c r="B322" s="221">
        <v>2.2999999999999998</v>
      </c>
      <c r="C322" s="222">
        <v>92</v>
      </c>
      <c r="D322" s="222">
        <v>75</v>
      </c>
      <c r="E322" s="222">
        <v>80</v>
      </c>
      <c r="F322" s="222" t="s">
        <v>252</v>
      </c>
      <c r="G322" s="222" t="s">
        <v>312</v>
      </c>
    </row>
    <row r="323" spans="1:7" x14ac:dyDescent="0.25">
      <c r="A323" s="31">
        <f>'M&amp;R Stations'!A323</f>
        <v>39282</v>
      </c>
      <c r="B323" s="221">
        <v>6</v>
      </c>
      <c r="C323" s="222">
        <v>91</v>
      </c>
      <c r="D323" s="222">
        <v>76</v>
      </c>
      <c r="E323" s="222">
        <v>83</v>
      </c>
      <c r="F323" s="222" t="s">
        <v>245</v>
      </c>
      <c r="G323" s="222" t="s">
        <v>313</v>
      </c>
    </row>
    <row r="324" spans="1:7" x14ac:dyDescent="0.25">
      <c r="A324" s="31">
        <f>'M&amp;R Stations'!A324</f>
        <v>39283</v>
      </c>
      <c r="B324" s="221">
        <v>7.3</v>
      </c>
      <c r="C324" s="222">
        <v>85</v>
      </c>
      <c r="D324" s="222">
        <v>66</v>
      </c>
      <c r="E324" s="222">
        <v>76</v>
      </c>
      <c r="F324" s="222" t="s">
        <v>240</v>
      </c>
      <c r="G324" s="222" t="s">
        <v>241</v>
      </c>
    </row>
    <row r="325" spans="1:7" x14ac:dyDescent="0.25">
      <c r="A325" s="31">
        <f>'M&amp;R Stations'!A325</f>
        <v>39284</v>
      </c>
      <c r="B325" s="221">
        <v>6.8</v>
      </c>
      <c r="C325" s="222">
        <v>88</v>
      </c>
      <c r="D325" s="222">
        <v>71</v>
      </c>
      <c r="E325" s="222">
        <v>79</v>
      </c>
      <c r="F325" s="222" t="s">
        <v>246</v>
      </c>
      <c r="G325" s="222" t="s">
        <v>241</v>
      </c>
    </row>
    <row r="326" spans="1:7" x14ac:dyDescent="0.25">
      <c r="A326" s="31">
        <f>'M&amp;R Stations'!A326</f>
        <v>39285</v>
      </c>
      <c r="B326" s="221">
        <v>5.2</v>
      </c>
      <c r="C326" s="222">
        <v>89</v>
      </c>
      <c r="D326" s="222">
        <v>66</v>
      </c>
      <c r="E326" s="222">
        <v>78</v>
      </c>
      <c r="F326" s="222" t="s">
        <v>246</v>
      </c>
      <c r="G326" s="222" t="s">
        <v>257</v>
      </c>
    </row>
    <row r="327" spans="1:7" x14ac:dyDescent="0.25">
      <c r="A327" s="31">
        <f>'M&amp;R Stations'!A327</f>
        <v>39286</v>
      </c>
      <c r="B327" s="221">
        <v>5.6</v>
      </c>
      <c r="C327" s="222">
        <v>79</v>
      </c>
      <c r="D327" s="222">
        <v>64</v>
      </c>
      <c r="E327" s="222">
        <v>68</v>
      </c>
      <c r="F327" s="222" t="s">
        <v>250</v>
      </c>
      <c r="G327" s="222" t="s">
        <v>312</v>
      </c>
    </row>
    <row r="328" spans="1:7" x14ac:dyDescent="0.25">
      <c r="A328" s="31">
        <f>'M&amp;R Stations'!A328</f>
        <v>39287</v>
      </c>
      <c r="B328" s="221">
        <v>2.9</v>
      </c>
      <c r="C328" s="222">
        <v>92</v>
      </c>
      <c r="D328" s="222">
        <v>68</v>
      </c>
      <c r="E328" s="222">
        <v>79</v>
      </c>
      <c r="F328" s="222" t="s">
        <v>249</v>
      </c>
      <c r="G328" s="222" t="s">
        <v>241</v>
      </c>
    </row>
    <row r="329" spans="1:7" x14ac:dyDescent="0.25">
      <c r="A329" s="31">
        <f>'M&amp;R Stations'!A329</f>
        <v>39288</v>
      </c>
      <c r="B329" s="221">
        <v>2</v>
      </c>
      <c r="C329" s="222">
        <v>95</v>
      </c>
      <c r="D329" s="222">
        <v>74</v>
      </c>
      <c r="E329" s="222">
        <v>82</v>
      </c>
      <c r="F329" s="222" t="s">
        <v>249</v>
      </c>
      <c r="G329" s="222" t="s">
        <v>241</v>
      </c>
    </row>
    <row r="330" spans="1:7" x14ac:dyDescent="0.25">
      <c r="A330" s="31">
        <f>'M&amp;R Stations'!A330</f>
        <v>39289</v>
      </c>
      <c r="B330" s="221">
        <v>2.7</v>
      </c>
      <c r="C330" s="222">
        <v>94</v>
      </c>
      <c r="D330" s="222">
        <v>77</v>
      </c>
      <c r="E330" s="222">
        <v>83</v>
      </c>
      <c r="F330" s="222" t="s">
        <v>249</v>
      </c>
      <c r="G330" s="222" t="s">
        <v>314</v>
      </c>
    </row>
    <row r="331" spans="1:7" x14ac:dyDescent="0.25">
      <c r="A331" s="31">
        <f>'M&amp;R Stations'!A331</f>
        <v>39290</v>
      </c>
      <c r="B331" s="221">
        <v>2.8</v>
      </c>
      <c r="C331" s="222">
        <v>96</v>
      </c>
      <c r="D331" s="222">
        <v>73</v>
      </c>
      <c r="E331" s="222">
        <v>82</v>
      </c>
      <c r="F331" s="222" t="s">
        <v>249</v>
      </c>
      <c r="G331" s="222" t="s">
        <v>315</v>
      </c>
    </row>
    <row r="332" spans="1:7" x14ac:dyDescent="0.25">
      <c r="A332" s="31">
        <f>'M&amp;R Stations'!A332</f>
        <v>39291</v>
      </c>
      <c r="B332" s="221">
        <v>2.2000000000000002</v>
      </c>
      <c r="C332" s="222">
        <v>96</v>
      </c>
      <c r="D332" s="222">
        <v>77</v>
      </c>
      <c r="E332" s="222">
        <v>85</v>
      </c>
      <c r="F332" s="222" t="s">
        <v>246</v>
      </c>
      <c r="G332" s="222" t="s">
        <v>315</v>
      </c>
    </row>
    <row r="333" spans="1:7" x14ac:dyDescent="0.25">
      <c r="A333" s="31">
        <f>'M&amp;R Stations'!A333</f>
        <v>39292</v>
      </c>
      <c r="B333" s="221">
        <v>2.1</v>
      </c>
      <c r="C333" s="222">
        <v>89</v>
      </c>
      <c r="D333" s="222">
        <v>75</v>
      </c>
      <c r="E333" s="222">
        <v>79</v>
      </c>
      <c r="F333" s="222" t="s">
        <v>240</v>
      </c>
      <c r="G333" s="222" t="s">
        <v>316</v>
      </c>
    </row>
    <row r="334" spans="1:7" x14ac:dyDescent="0.25">
      <c r="A334" s="31">
        <f>'M&amp;R Stations'!A334</f>
        <v>39293</v>
      </c>
      <c r="B334" s="221">
        <v>2.9</v>
      </c>
      <c r="C334" s="222">
        <v>93</v>
      </c>
      <c r="D334" s="222">
        <v>75</v>
      </c>
      <c r="E334" s="222">
        <v>81</v>
      </c>
      <c r="F334" s="222" t="s">
        <v>246</v>
      </c>
      <c r="G334" s="222" t="s">
        <v>317</v>
      </c>
    </row>
    <row r="335" spans="1:7" x14ac:dyDescent="0.25">
      <c r="A335" s="31">
        <f>'M&amp;R Stations'!A335</f>
        <v>39294</v>
      </c>
      <c r="B335" s="221">
        <v>3.9</v>
      </c>
      <c r="C335" s="222">
        <v>93</v>
      </c>
      <c r="D335" s="222">
        <v>77</v>
      </c>
      <c r="E335" s="222">
        <v>85</v>
      </c>
      <c r="F335" s="222" t="s">
        <v>246</v>
      </c>
      <c r="G335" s="222" t="s">
        <v>243</v>
      </c>
    </row>
    <row r="336" spans="1:7" x14ac:dyDescent="0.25">
      <c r="A336" s="31">
        <f>'M&amp;R Stations'!A336</f>
        <v>39295</v>
      </c>
      <c r="B336" s="221">
        <v>2.5</v>
      </c>
      <c r="C336" s="222">
        <v>99</v>
      </c>
      <c r="D336" s="222">
        <v>80</v>
      </c>
      <c r="E336" s="222">
        <v>88</v>
      </c>
      <c r="F336" s="222" t="s">
        <v>237</v>
      </c>
      <c r="G336" s="222" t="s">
        <v>318</v>
      </c>
    </row>
    <row r="337" spans="1:7" x14ac:dyDescent="0.25">
      <c r="A337" s="31">
        <f>'M&amp;R Stations'!A337</f>
        <v>39296</v>
      </c>
      <c r="B337" s="221">
        <v>4.5999999999999996</v>
      </c>
      <c r="C337" s="222">
        <v>101</v>
      </c>
      <c r="D337" s="222">
        <v>78</v>
      </c>
      <c r="E337" s="222">
        <v>89</v>
      </c>
      <c r="F337" s="222" t="s">
        <v>245</v>
      </c>
      <c r="G337" s="222" t="s">
        <v>318</v>
      </c>
    </row>
    <row r="338" spans="1:7" x14ac:dyDescent="0.25">
      <c r="A338" s="31">
        <f>'M&amp;R Stations'!A338</f>
        <v>39297</v>
      </c>
      <c r="B338" s="221">
        <v>4.5999999999999996</v>
      </c>
      <c r="C338" s="222">
        <v>99</v>
      </c>
      <c r="D338" s="222">
        <v>78</v>
      </c>
      <c r="E338" s="222">
        <v>88</v>
      </c>
      <c r="F338" s="222" t="s">
        <v>245</v>
      </c>
      <c r="G338" s="222" t="s">
        <v>318</v>
      </c>
    </row>
    <row r="339" spans="1:7" x14ac:dyDescent="0.25">
      <c r="A339" s="31">
        <f>'M&amp;R Stations'!A339</f>
        <v>39298</v>
      </c>
      <c r="B339" s="221">
        <v>4.4000000000000004</v>
      </c>
      <c r="C339" s="222">
        <v>99</v>
      </c>
      <c r="D339" s="222">
        <v>74</v>
      </c>
      <c r="E339" s="222">
        <v>87</v>
      </c>
      <c r="F339" s="222" t="s">
        <v>240</v>
      </c>
      <c r="G339" s="222" t="s">
        <v>318</v>
      </c>
    </row>
    <row r="340" spans="1:7" x14ac:dyDescent="0.25">
      <c r="A340" s="31">
        <f>'M&amp;R Stations'!A340</f>
        <v>39299</v>
      </c>
      <c r="B340" s="221">
        <v>2.7</v>
      </c>
      <c r="C340" s="222">
        <v>95</v>
      </c>
      <c r="D340" s="222">
        <v>74</v>
      </c>
      <c r="E340" s="222">
        <v>81</v>
      </c>
      <c r="F340" s="222" t="s">
        <v>249</v>
      </c>
      <c r="G340" s="222" t="s">
        <v>253</v>
      </c>
    </row>
    <row r="341" spans="1:7" x14ac:dyDescent="0.25">
      <c r="A341" s="31">
        <f>'M&amp;R Stations'!A341</f>
        <v>39300</v>
      </c>
      <c r="B341" s="221">
        <v>3.3</v>
      </c>
      <c r="C341" s="222">
        <v>91</v>
      </c>
      <c r="D341" s="222">
        <v>80</v>
      </c>
      <c r="E341" s="222">
        <v>85</v>
      </c>
      <c r="F341" s="222" t="s">
        <v>245</v>
      </c>
      <c r="G341" s="222" t="s">
        <v>319</v>
      </c>
    </row>
    <row r="342" spans="1:7" x14ac:dyDescent="0.25">
      <c r="A342" s="31">
        <f>'M&amp;R Stations'!A342</f>
        <v>39301</v>
      </c>
      <c r="B342" s="221">
        <v>3.7</v>
      </c>
      <c r="C342" s="222">
        <v>98</v>
      </c>
      <c r="D342" s="222">
        <v>83</v>
      </c>
      <c r="E342" s="222">
        <v>90</v>
      </c>
      <c r="F342" s="222" t="s">
        <v>252</v>
      </c>
      <c r="G342" s="222" t="s">
        <v>317</v>
      </c>
    </row>
    <row r="343" spans="1:7" x14ac:dyDescent="0.25">
      <c r="A343" s="31">
        <f>'M&amp;R Stations'!A343</f>
        <v>39302</v>
      </c>
      <c r="B343" s="221">
        <v>5.7</v>
      </c>
      <c r="C343" s="222">
        <v>101</v>
      </c>
      <c r="D343" s="222">
        <v>81</v>
      </c>
      <c r="E343" s="222">
        <v>92</v>
      </c>
      <c r="F343" s="222" t="s">
        <v>242</v>
      </c>
      <c r="G343" s="222" t="s">
        <v>317</v>
      </c>
    </row>
    <row r="344" spans="1:7" x14ac:dyDescent="0.25">
      <c r="A344" s="31">
        <f>'M&amp;R Stations'!A344</f>
        <v>39303</v>
      </c>
      <c r="B344" s="221">
        <v>2.4</v>
      </c>
      <c r="C344" s="222">
        <v>96</v>
      </c>
      <c r="D344" s="222">
        <v>75</v>
      </c>
      <c r="E344" s="222">
        <v>81</v>
      </c>
      <c r="F344" s="222" t="s">
        <v>237</v>
      </c>
      <c r="G344" s="222" t="s">
        <v>310</v>
      </c>
    </row>
    <row r="345" spans="1:7" x14ac:dyDescent="0.25">
      <c r="A345" s="31">
        <f>'M&amp;R Stations'!A345</f>
        <v>39304</v>
      </c>
      <c r="B345" s="221">
        <v>7.4</v>
      </c>
      <c r="C345" s="222">
        <v>93</v>
      </c>
      <c r="D345" s="222">
        <v>62</v>
      </c>
      <c r="E345" s="222">
        <v>71</v>
      </c>
      <c r="F345" s="222" t="s">
        <v>246</v>
      </c>
      <c r="G345" s="222" t="s">
        <v>310</v>
      </c>
    </row>
    <row r="346" spans="1:7" x14ac:dyDescent="0.25">
      <c r="A346" s="31">
        <f>'M&amp;R Stations'!A346</f>
        <v>39305</v>
      </c>
      <c r="B346" s="221">
        <v>2.8</v>
      </c>
      <c r="C346" s="222">
        <v>89</v>
      </c>
      <c r="D346" s="222">
        <v>70</v>
      </c>
      <c r="E346" s="222">
        <v>78</v>
      </c>
      <c r="F346" s="222" t="s">
        <v>246</v>
      </c>
      <c r="G346" s="222" t="s">
        <v>320</v>
      </c>
    </row>
    <row r="347" spans="1:7" x14ac:dyDescent="0.25">
      <c r="A347" s="31">
        <f>'M&amp;R Stations'!A347</f>
        <v>39306</v>
      </c>
      <c r="B347" s="221">
        <v>3.6</v>
      </c>
      <c r="C347" s="222">
        <v>96</v>
      </c>
      <c r="D347" s="222">
        <v>77</v>
      </c>
      <c r="E347" s="222">
        <v>85</v>
      </c>
      <c r="F347" s="222" t="s">
        <v>242</v>
      </c>
      <c r="G347" s="222" t="s">
        <v>243</v>
      </c>
    </row>
    <row r="348" spans="1:7" x14ac:dyDescent="0.25">
      <c r="A348" s="31">
        <f>'M&amp;R Stations'!A348</f>
        <v>39307</v>
      </c>
      <c r="B348" s="221">
        <v>6.5</v>
      </c>
      <c r="C348" s="222">
        <v>93</v>
      </c>
      <c r="D348" s="222">
        <v>70</v>
      </c>
      <c r="E348" s="222">
        <v>82</v>
      </c>
      <c r="F348" s="222" t="s">
        <v>240</v>
      </c>
      <c r="G348" s="222" t="s">
        <v>243</v>
      </c>
    </row>
    <row r="349" spans="1:7" x14ac:dyDescent="0.25">
      <c r="A349" s="31">
        <f>'M&amp;R Stations'!A349</f>
        <v>39308</v>
      </c>
      <c r="B349" s="221">
        <v>3.2</v>
      </c>
      <c r="C349" s="222">
        <v>92</v>
      </c>
      <c r="D349" s="222">
        <v>70</v>
      </c>
      <c r="E349" s="222">
        <v>80</v>
      </c>
      <c r="F349" s="222" t="s">
        <v>240</v>
      </c>
      <c r="G349" s="222" t="s">
        <v>243</v>
      </c>
    </row>
    <row r="350" spans="1:7" x14ac:dyDescent="0.25">
      <c r="A350" s="31">
        <f>'M&amp;R Stations'!A350</f>
        <v>39309</v>
      </c>
      <c r="B350" s="221">
        <v>3.9</v>
      </c>
      <c r="C350" s="222">
        <v>94</v>
      </c>
      <c r="D350" s="222">
        <v>79</v>
      </c>
      <c r="E350" s="222">
        <v>86</v>
      </c>
      <c r="F350" s="222" t="s">
        <v>245</v>
      </c>
      <c r="G350" s="222" t="s">
        <v>318</v>
      </c>
    </row>
    <row r="351" spans="1:7" x14ac:dyDescent="0.25">
      <c r="A351" s="31">
        <f>'M&amp;R Stations'!A351</f>
        <v>39310</v>
      </c>
      <c r="B351" s="221">
        <v>3.6</v>
      </c>
      <c r="C351" s="222">
        <v>92</v>
      </c>
      <c r="D351" s="222">
        <v>81</v>
      </c>
      <c r="E351" s="222">
        <v>85</v>
      </c>
      <c r="F351" s="222" t="s">
        <v>245</v>
      </c>
      <c r="G351" s="222" t="s">
        <v>251</v>
      </c>
    </row>
    <row r="352" spans="1:7" x14ac:dyDescent="0.25">
      <c r="A352" s="31">
        <f>'M&amp;R Stations'!A352</f>
        <v>39311</v>
      </c>
      <c r="B352" s="221">
        <v>5.0999999999999996</v>
      </c>
      <c r="C352" s="222">
        <v>93</v>
      </c>
      <c r="D352" s="222">
        <v>65</v>
      </c>
      <c r="E352" s="222">
        <v>79</v>
      </c>
      <c r="F352" s="222" t="s">
        <v>242</v>
      </c>
      <c r="G352" s="222" t="s">
        <v>243</v>
      </c>
    </row>
    <row r="353" spans="1:7" x14ac:dyDescent="0.25">
      <c r="A353" s="31">
        <f>'M&amp;R Stations'!A353</f>
        <v>39312</v>
      </c>
      <c r="B353" s="221">
        <v>3.8</v>
      </c>
      <c r="C353" s="222">
        <v>83</v>
      </c>
      <c r="D353" s="222">
        <v>67</v>
      </c>
      <c r="E353" s="222">
        <v>73</v>
      </c>
      <c r="F353" s="222" t="s">
        <v>240</v>
      </c>
      <c r="G353" s="222" t="s">
        <v>243</v>
      </c>
    </row>
    <row r="354" spans="1:7" x14ac:dyDescent="0.25">
      <c r="A354" s="31">
        <f>'M&amp;R Stations'!A354</f>
        <v>39313</v>
      </c>
      <c r="B354" s="221">
        <v>3.9</v>
      </c>
      <c r="C354" s="222">
        <v>78</v>
      </c>
      <c r="D354" s="222">
        <v>63</v>
      </c>
      <c r="E354" s="222">
        <v>67</v>
      </c>
      <c r="F354" s="222" t="s">
        <v>237</v>
      </c>
      <c r="G354" s="222" t="s">
        <v>239</v>
      </c>
    </row>
    <row r="355" spans="1:7" x14ac:dyDescent="0.25">
      <c r="A355" s="31">
        <f>'M&amp;R Stations'!A355</f>
        <v>39314</v>
      </c>
      <c r="B355" s="221">
        <v>4.5999999999999996</v>
      </c>
      <c r="C355" s="222">
        <v>69</v>
      </c>
      <c r="D355" s="222">
        <v>61</v>
      </c>
      <c r="E355" s="222">
        <v>65</v>
      </c>
      <c r="F355" s="222" t="s">
        <v>237</v>
      </c>
      <c r="G355" s="222" t="s">
        <v>310</v>
      </c>
    </row>
    <row r="356" spans="1:7" x14ac:dyDescent="0.25">
      <c r="A356" s="31">
        <f>'M&amp;R Stations'!A356</f>
        <v>39315</v>
      </c>
      <c r="B356" s="221">
        <v>5.9</v>
      </c>
      <c r="C356" s="222">
        <v>65</v>
      </c>
      <c r="D356" s="222">
        <v>58</v>
      </c>
      <c r="E356" s="222">
        <v>61</v>
      </c>
      <c r="F356" s="222" t="s">
        <v>246</v>
      </c>
      <c r="G356" s="222" t="s">
        <v>310</v>
      </c>
    </row>
    <row r="357" spans="1:7" x14ac:dyDescent="0.25">
      <c r="A357" s="31">
        <f>'M&amp;R Stations'!A357</f>
        <v>39316</v>
      </c>
      <c r="B357" s="221">
        <v>3.3</v>
      </c>
      <c r="C357" s="222">
        <v>70</v>
      </c>
      <c r="D357" s="222">
        <v>62</v>
      </c>
      <c r="E357" s="222">
        <v>66</v>
      </c>
      <c r="F357" s="222" t="s">
        <v>237</v>
      </c>
      <c r="G357" s="222" t="s">
        <v>321</v>
      </c>
    </row>
    <row r="358" spans="1:7" x14ac:dyDescent="0.25">
      <c r="A358" s="31">
        <f>'M&amp;R Stations'!A358</f>
        <v>39317</v>
      </c>
      <c r="B358" s="221">
        <v>1.9</v>
      </c>
      <c r="C358" s="222">
        <v>85</v>
      </c>
      <c r="D358" s="222">
        <v>68</v>
      </c>
      <c r="E358" s="222">
        <v>74</v>
      </c>
      <c r="F358" s="222" t="s">
        <v>237</v>
      </c>
      <c r="G358" s="222" t="s">
        <v>322</v>
      </c>
    </row>
    <row r="359" spans="1:7" x14ac:dyDescent="0.25">
      <c r="A359" s="31">
        <f>'M&amp;R Stations'!A359</f>
        <v>39318</v>
      </c>
      <c r="B359" s="221">
        <v>3.5</v>
      </c>
      <c r="C359" s="222">
        <v>89</v>
      </c>
      <c r="D359" s="222">
        <v>74</v>
      </c>
      <c r="E359" s="222">
        <v>80</v>
      </c>
      <c r="F359" s="222" t="s">
        <v>252</v>
      </c>
      <c r="G359" s="222" t="s">
        <v>241</v>
      </c>
    </row>
    <row r="360" spans="1:7" x14ac:dyDescent="0.25">
      <c r="A360" s="31">
        <f>'M&amp;R Stations'!A360</f>
        <v>39319</v>
      </c>
      <c r="B360" s="221">
        <v>4.2</v>
      </c>
      <c r="C360" s="222">
        <v>98</v>
      </c>
      <c r="D360" s="222">
        <v>78</v>
      </c>
      <c r="E360" s="222">
        <v>87</v>
      </c>
      <c r="F360" s="222" t="s">
        <v>245</v>
      </c>
      <c r="G360" s="222" t="s">
        <v>317</v>
      </c>
    </row>
    <row r="361" spans="1:7" x14ac:dyDescent="0.25">
      <c r="A361" s="31">
        <f>'M&amp;R Stations'!A361</f>
        <v>39320</v>
      </c>
      <c r="B361" s="221">
        <v>4.5</v>
      </c>
      <c r="C361" s="222">
        <v>89</v>
      </c>
      <c r="D361" s="222">
        <v>71</v>
      </c>
      <c r="E361" s="222">
        <v>79</v>
      </c>
      <c r="F361" s="222" t="s">
        <v>250</v>
      </c>
      <c r="G361" s="222" t="s">
        <v>323</v>
      </c>
    </row>
    <row r="362" spans="1:7" x14ac:dyDescent="0.25">
      <c r="A362" s="31">
        <f>'M&amp;R Stations'!A362</f>
        <v>39321</v>
      </c>
      <c r="B362" s="221">
        <v>1.7</v>
      </c>
      <c r="C362" s="222">
        <v>93</v>
      </c>
      <c r="D362" s="222">
        <v>70</v>
      </c>
      <c r="E362" s="222">
        <v>79</v>
      </c>
      <c r="F362" s="222" t="s">
        <v>246</v>
      </c>
      <c r="G362" s="222" t="s">
        <v>320</v>
      </c>
    </row>
    <row r="363" spans="1:7" x14ac:dyDescent="0.25">
      <c r="A363" s="31">
        <f>'M&amp;R Stations'!A363</f>
        <v>39322</v>
      </c>
      <c r="B363" s="221">
        <v>1.8</v>
      </c>
      <c r="C363" s="222">
        <v>94</v>
      </c>
      <c r="D363" s="222">
        <v>69</v>
      </c>
      <c r="E363" s="222">
        <v>79</v>
      </c>
      <c r="F363" s="222" t="s">
        <v>237</v>
      </c>
      <c r="G363" s="222" t="s">
        <v>320</v>
      </c>
    </row>
    <row r="364" spans="1:7" x14ac:dyDescent="0.25">
      <c r="A364" s="31">
        <f>'M&amp;R Stations'!A364</f>
        <v>39323</v>
      </c>
      <c r="B364" s="221">
        <v>2.8</v>
      </c>
      <c r="C364" s="222">
        <v>94</v>
      </c>
      <c r="D364" s="222">
        <v>72</v>
      </c>
      <c r="E364" s="222">
        <v>81</v>
      </c>
      <c r="F364" s="222" t="s">
        <v>237</v>
      </c>
      <c r="G364" s="222" t="s">
        <v>320</v>
      </c>
    </row>
    <row r="365" spans="1:7" x14ac:dyDescent="0.25">
      <c r="A365" s="31">
        <f>'M&amp;R Stations'!A365</f>
        <v>39324</v>
      </c>
      <c r="B365" s="221">
        <v>1.9</v>
      </c>
      <c r="C365" s="222">
        <v>93</v>
      </c>
      <c r="D365" s="222">
        <v>72</v>
      </c>
      <c r="E365" s="222">
        <v>82</v>
      </c>
      <c r="F365" s="222" t="s">
        <v>245</v>
      </c>
      <c r="G365" s="222" t="s">
        <v>320</v>
      </c>
    </row>
    <row r="366" spans="1:7" x14ac:dyDescent="0.25">
      <c r="A366" s="31">
        <f>'M&amp;R Stations'!A366</f>
        <v>39325</v>
      </c>
      <c r="B366" s="221">
        <v>6</v>
      </c>
      <c r="C366" s="222">
        <v>85</v>
      </c>
      <c r="D366" s="222">
        <v>64</v>
      </c>
      <c r="E366" s="222">
        <v>76</v>
      </c>
      <c r="F366" s="222" t="s">
        <v>246</v>
      </c>
      <c r="G366" s="222" t="s">
        <v>251</v>
      </c>
    </row>
    <row r="367" spans="1:7" x14ac:dyDescent="0.25">
      <c r="A367" s="22"/>
      <c r="B367" s="87"/>
      <c r="C367" s="66"/>
      <c r="D367" s="66"/>
      <c r="E367" s="66"/>
      <c r="F367" s="66"/>
      <c r="G367" s="66"/>
    </row>
    <row r="368" spans="1:7" x14ac:dyDescent="0.25">
      <c r="A368" s="22"/>
      <c r="B368" s="87"/>
      <c r="C368" s="66"/>
      <c r="D368" s="66"/>
      <c r="E368" s="66"/>
      <c r="F368" s="66"/>
      <c r="G368" s="66"/>
    </row>
    <row r="369" spans="1:7" x14ac:dyDescent="0.25">
      <c r="A369" s="22"/>
      <c r="B369" s="87"/>
      <c r="C369" s="66"/>
      <c r="D369" s="66"/>
      <c r="E369" s="66"/>
      <c r="F369" s="66"/>
      <c r="G369" s="66"/>
    </row>
    <row r="370" spans="1:7" x14ac:dyDescent="0.25">
      <c r="A370" s="22"/>
      <c r="B370" s="87"/>
      <c r="C370" s="66"/>
      <c r="D370" s="66"/>
      <c r="E370" s="66"/>
      <c r="F370" s="66"/>
      <c r="G370" s="66"/>
    </row>
    <row r="371" spans="1:7" x14ac:dyDescent="0.25">
      <c r="A371" s="22"/>
      <c r="B371" s="87"/>
      <c r="C371" s="66"/>
      <c r="D371" s="66"/>
      <c r="E371" s="66"/>
      <c r="F371" s="66"/>
      <c r="G371" s="66"/>
    </row>
    <row r="372" spans="1:7" x14ac:dyDescent="0.25">
      <c r="A372" s="22"/>
      <c r="B372" s="87"/>
      <c r="C372" s="66"/>
      <c r="D372" s="66"/>
      <c r="E372" s="66"/>
      <c r="F372" s="66"/>
      <c r="G372" s="66"/>
    </row>
    <row r="373" spans="1:7" x14ac:dyDescent="0.25">
      <c r="A373" s="22"/>
      <c r="B373" s="87"/>
      <c r="C373" s="66"/>
      <c r="D373" s="66"/>
      <c r="E373" s="66"/>
      <c r="F373" s="66"/>
      <c r="G373" s="66"/>
    </row>
    <row r="374" spans="1:7" x14ac:dyDescent="0.25">
      <c r="A374" s="22"/>
      <c r="B374" s="87"/>
      <c r="C374" s="66"/>
      <c r="D374" s="66"/>
      <c r="E374" s="66"/>
      <c r="F374" s="66"/>
      <c r="G374" s="66"/>
    </row>
    <row r="375" spans="1:7" x14ac:dyDescent="0.25">
      <c r="A375" s="22"/>
      <c r="B375" s="87"/>
      <c r="C375" s="66"/>
      <c r="D375" s="66"/>
      <c r="E375" s="66"/>
      <c r="F375" s="66"/>
      <c r="G375" s="66"/>
    </row>
    <row r="376" spans="1:7" x14ac:dyDescent="0.25">
      <c r="A376" s="22"/>
      <c r="B376" s="87"/>
      <c r="C376" s="66"/>
      <c r="D376" s="66"/>
      <c r="E376" s="66"/>
      <c r="F376" s="66"/>
      <c r="G376" s="66"/>
    </row>
    <row r="377" spans="1:7" x14ac:dyDescent="0.25">
      <c r="A377" s="22"/>
      <c r="B377" s="87"/>
      <c r="C377" s="66"/>
      <c r="D377" s="66"/>
      <c r="E377" s="66"/>
      <c r="F377" s="66"/>
      <c r="G377" s="66"/>
    </row>
    <row r="378" spans="1:7" x14ac:dyDescent="0.25">
      <c r="A378" s="22"/>
      <c r="B378" s="87"/>
      <c r="C378" s="66"/>
      <c r="D378" s="66"/>
      <c r="E378" s="66"/>
      <c r="F378" s="66"/>
      <c r="G378" s="66"/>
    </row>
    <row r="379" spans="1:7" x14ac:dyDescent="0.25">
      <c r="A379" s="22"/>
      <c r="B379" s="87"/>
      <c r="C379" s="66"/>
      <c r="D379" s="66"/>
      <c r="E379" s="66"/>
      <c r="F379" s="66"/>
      <c r="G379" s="66"/>
    </row>
    <row r="380" spans="1:7" x14ac:dyDescent="0.25">
      <c r="A380" s="22"/>
      <c r="B380" s="87"/>
      <c r="C380" s="66"/>
      <c r="D380" s="66"/>
      <c r="E380" s="66"/>
      <c r="F380" s="66"/>
      <c r="G380" s="66"/>
    </row>
    <row r="381" spans="1:7" x14ac:dyDescent="0.25">
      <c r="A381" s="22"/>
      <c r="B381" s="87"/>
      <c r="C381" s="66"/>
      <c r="D381" s="66"/>
      <c r="E381" s="66"/>
      <c r="F381" s="66"/>
      <c r="G381" s="66"/>
    </row>
    <row r="382" spans="1:7" x14ac:dyDescent="0.25">
      <c r="A382" s="22"/>
      <c r="B382" s="87"/>
      <c r="C382" s="66"/>
      <c r="D382" s="66"/>
      <c r="E382" s="66"/>
      <c r="F382" s="66"/>
      <c r="G382" s="66"/>
    </row>
    <row r="383" spans="1:7" x14ac:dyDescent="0.25">
      <c r="A383" s="22"/>
      <c r="B383" s="87"/>
      <c r="C383" s="66"/>
      <c r="D383" s="66"/>
      <c r="E383" s="66"/>
      <c r="F383" s="66"/>
      <c r="G383" s="66"/>
    </row>
    <row r="384" spans="1:7" x14ac:dyDescent="0.25">
      <c r="A384" s="22"/>
      <c r="B384" s="87"/>
      <c r="C384" s="66"/>
      <c r="D384" s="66"/>
      <c r="E384" s="66"/>
      <c r="F384" s="66"/>
      <c r="G384" s="66"/>
    </row>
    <row r="385" spans="1:7" x14ac:dyDescent="0.25">
      <c r="A385" s="22"/>
      <c r="B385" s="87"/>
      <c r="C385" s="66"/>
      <c r="D385" s="66"/>
      <c r="E385" s="66"/>
      <c r="F385" s="66"/>
      <c r="G385" s="66"/>
    </row>
    <row r="386" spans="1:7" x14ac:dyDescent="0.25">
      <c r="A386" s="22"/>
      <c r="B386" s="87"/>
      <c r="C386" s="66"/>
      <c r="D386" s="66"/>
      <c r="E386" s="66"/>
      <c r="F386" s="66"/>
      <c r="G386" s="66"/>
    </row>
    <row r="387" spans="1:7" x14ac:dyDescent="0.25">
      <c r="A387" s="22"/>
      <c r="B387" s="87"/>
      <c r="C387" s="66"/>
      <c r="D387" s="66"/>
      <c r="E387" s="66"/>
      <c r="F387" s="66"/>
      <c r="G387" s="66"/>
    </row>
    <row r="388" spans="1:7" x14ac:dyDescent="0.25">
      <c r="A388" s="22"/>
      <c r="B388" s="87"/>
      <c r="C388" s="66"/>
      <c r="D388" s="66"/>
      <c r="E388" s="66"/>
      <c r="F388" s="66"/>
      <c r="G388" s="66"/>
    </row>
    <row r="389" spans="1:7" x14ac:dyDescent="0.25">
      <c r="A389" s="22"/>
      <c r="B389" s="87"/>
      <c r="C389" s="66"/>
      <c r="D389" s="66"/>
      <c r="E389" s="66"/>
      <c r="F389" s="66"/>
      <c r="G389" s="66"/>
    </row>
    <row r="390" spans="1:7" x14ac:dyDescent="0.25">
      <c r="A390" s="22"/>
      <c r="B390" s="87"/>
      <c r="C390" s="66"/>
      <c r="D390" s="66"/>
      <c r="E390" s="66"/>
      <c r="F390" s="66"/>
      <c r="G390" s="66"/>
    </row>
    <row r="391" spans="1:7" x14ac:dyDescent="0.25">
      <c r="A391" s="22"/>
      <c r="B391" s="87"/>
      <c r="C391" s="66"/>
      <c r="D391" s="66"/>
      <c r="E391" s="66"/>
      <c r="F391" s="66"/>
      <c r="G391" s="66"/>
    </row>
    <row r="392" spans="1:7" x14ac:dyDescent="0.25">
      <c r="A392" s="22"/>
      <c r="B392" s="87"/>
      <c r="C392" s="66"/>
      <c r="D392" s="66"/>
      <c r="E392" s="66"/>
      <c r="F392" s="66"/>
      <c r="G392" s="66"/>
    </row>
    <row r="393" spans="1:7" x14ac:dyDescent="0.25">
      <c r="A393" s="22"/>
      <c r="B393" s="87"/>
      <c r="C393" s="66"/>
      <c r="D393" s="66"/>
      <c r="E393" s="66"/>
      <c r="F393" s="66"/>
      <c r="G393" s="66"/>
    </row>
    <row r="394" spans="1:7" x14ac:dyDescent="0.25">
      <c r="A394" s="22"/>
      <c r="B394" s="87"/>
      <c r="C394" s="66"/>
      <c r="D394" s="66"/>
      <c r="E394" s="66"/>
      <c r="F394" s="66"/>
      <c r="G394" s="66"/>
    </row>
    <row r="395" spans="1:7" x14ac:dyDescent="0.25">
      <c r="A395" s="22"/>
      <c r="B395" s="87"/>
      <c r="C395" s="66"/>
      <c r="D395" s="66"/>
      <c r="E395" s="66"/>
      <c r="F395" s="66"/>
      <c r="G395" s="66"/>
    </row>
    <row r="396" spans="1:7" x14ac:dyDescent="0.25">
      <c r="A396" s="22"/>
      <c r="B396" s="87"/>
      <c r="C396" s="66"/>
      <c r="D396" s="66"/>
      <c r="E396" s="66"/>
      <c r="F396" s="66"/>
      <c r="G396" s="66"/>
    </row>
    <row r="397" spans="1:7" x14ac:dyDescent="0.25">
      <c r="A397" s="22"/>
      <c r="B397" s="87"/>
      <c r="C397" s="66"/>
      <c r="D397" s="66"/>
      <c r="E397" s="66"/>
      <c r="F397" s="66"/>
      <c r="G397" s="66"/>
    </row>
    <row r="398" spans="1:7" x14ac:dyDescent="0.25">
      <c r="A398" s="22"/>
      <c r="B398" s="87"/>
      <c r="C398" s="66"/>
      <c r="D398" s="66"/>
      <c r="E398" s="66"/>
      <c r="F398" s="66"/>
      <c r="G398" s="66"/>
    </row>
    <row r="399" spans="1:7" x14ac:dyDescent="0.25">
      <c r="A399" s="22"/>
      <c r="B399" s="87"/>
      <c r="C399" s="66"/>
      <c r="D399" s="66"/>
      <c r="E399" s="66"/>
      <c r="F399" s="66"/>
      <c r="G399" s="66"/>
    </row>
    <row r="400" spans="1:7" x14ac:dyDescent="0.25">
      <c r="A400" s="22"/>
      <c r="B400" s="87"/>
      <c r="C400" s="66"/>
      <c r="D400" s="66"/>
      <c r="E400" s="66"/>
      <c r="F400" s="66"/>
      <c r="G400" s="66"/>
    </row>
    <row r="401" spans="1:7" x14ac:dyDescent="0.25">
      <c r="A401" s="22"/>
      <c r="B401" s="87"/>
      <c r="C401" s="66"/>
      <c r="D401" s="66"/>
      <c r="E401" s="66"/>
      <c r="F401" s="66"/>
      <c r="G401" s="66"/>
    </row>
    <row r="402" spans="1:7" x14ac:dyDescent="0.25">
      <c r="A402" s="22"/>
      <c r="B402" s="87"/>
      <c r="C402" s="66"/>
      <c r="D402" s="66"/>
      <c r="E402" s="66"/>
      <c r="F402" s="66"/>
      <c r="G402" s="66"/>
    </row>
    <row r="403" spans="1:7" x14ac:dyDescent="0.25">
      <c r="A403" s="22"/>
      <c r="B403" s="87"/>
      <c r="C403" s="66"/>
      <c r="D403" s="66"/>
      <c r="E403" s="66"/>
      <c r="F403" s="66"/>
      <c r="G403" s="66"/>
    </row>
    <row r="404" spans="1:7" x14ac:dyDescent="0.25">
      <c r="A404" s="22"/>
      <c r="B404" s="87"/>
      <c r="C404" s="66"/>
      <c r="D404" s="66"/>
      <c r="E404" s="66"/>
      <c r="F404" s="66"/>
      <c r="G404" s="66"/>
    </row>
    <row r="405" spans="1:7" x14ac:dyDescent="0.25">
      <c r="A405" s="22"/>
      <c r="B405" s="87"/>
      <c r="C405" s="66"/>
      <c r="D405" s="66"/>
      <c r="E405" s="66"/>
      <c r="F405" s="66"/>
      <c r="G405" s="66"/>
    </row>
    <row r="406" spans="1:7" x14ac:dyDescent="0.25">
      <c r="A406" s="22"/>
      <c r="B406" s="87"/>
      <c r="C406" s="66"/>
      <c r="D406" s="66"/>
      <c r="E406" s="66"/>
      <c r="F406" s="66"/>
      <c r="G406" s="66"/>
    </row>
    <row r="407" spans="1:7" x14ac:dyDescent="0.25">
      <c r="A407" s="22"/>
      <c r="B407" s="87"/>
      <c r="C407" s="66"/>
      <c r="D407" s="66"/>
      <c r="E407" s="66"/>
      <c r="F407" s="66"/>
      <c r="G407" s="66"/>
    </row>
    <row r="408" spans="1:7" x14ac:dyDescent="0.25">
      <c r="A408" s="22"/>
      <c r="B408" s="87"/>
      <c r="C408" s="66"/>
      <c r="D408" s="66"/>
      <c r="E408" s="66"/>
      <c r="F408" s="66"/>
      <c r="G408" s="66"/>
    </row>
    <row r="409" spans="1:7" x14ac:dyDescent="0.25">
      <c r="A409" s="22"/>
      <c r="B409" s="87"/>
      <c r="C409" s="66"/>
      <c r="D409" s="66"/>
      <c r="E409" s="66"/>
      <c r="F409" s="66"/>
      <c r="G409" s="66"/>
    </row>
    <row r="410" spans="1:7" x14ac:dyDescent="0.25">
      <c r="A410" s="22"/>
      <c r="B410" s="87"/>
      <c r="C410" s="66"/>
      <c r="D410" s="66"/>
      <c r="E410" s="66"/>
      <c r="F410" s="66"/>
      <c r="G410" s="66"/>
    </row>
    <row r="411" spans="1:7" x14ac:dyDescent="0.25">
      <c r="A411" s="22"/>
      <c r="B411" s="87"/>
      <c r="C411" s="66"/>
      <c r="D411" s="66"/>
      <c r="E411" s="66"/>
      <c r="F411" s="66"/>
      <c r="G411" s="66"/>
    </row>
    <row r="412" spans="1:7" x14ac:dyDescent="0.25">
      <c r="A412" s="22"/>
      <c r="B412" s="87"/>
      <c r="C412" s="66"/>
      <c r="D412" s="66"/>
      <c r="E412" s="66"/>
      <c r="F412" s="66"/>
      <c r="G412" s="66"/>
    </row>
    <row r="413" spans="1:7" x14ac:dyDescent="0.25">
      <c r="A413" s="22"/>
      <c r="B413" s="87"/>
      <c r="C413" s="66"/>
      <c r="D413" s="66"/>
      <c r="E413" s="66"/>
      <c r="F413" s="66"/>
      <c r="G413" s="66"/>
    </row>
    <row r="414" spans="1:7" x14ac:dyDescent="0.25">
      <c r="A414" s="22"/>
      <c r="B414" s="87"/>
      <c r="C414" s="66"/>
      <c r="D414" s="66"/>
      <c r="E414" s="66"/>
      <c r="F414" s="66"/>
      <c r="G414" s="66"/>
    </row>
    <row r="415" spans="1:7" x14ac:dyDescent="0.25">
      <c r="A415" s="22"/>
      <c r="B415" s="87"/>
      <c r="C415" s="66"/>
      <c r="D415" s="66"/>
      <c r="E415" s="66"/>
      <c r="F415" s="66"/>
      <c r="G415" s="66"/>
    </row>
    <row r="416" spans="1:7" x14ac:dyDescent="0.25">
      <c r="A416" s="22"/>
      <c r="B416" s="87"/>
      <c r="C416" s="66"/>
      <c r="D416" s="66"/>
      <c r="E416" s="66"/>
      <c r="F416" s="66"/>
      <c r="G416" s="66"/>
    </row>
    <row r="417" spans="1:7" x14ac:dyDescent="0.25">
      <c r="A417" s="22"/>
      <c r="B417" s="87"/>
      <c r="C417" s="66"/>
      <c r="D417" s="66"/>
      <c r="E417" s="66"/>
      <c r="F417" s="66"/>
      <c r="G417" s="66"/>
    </row>
    <row r="418" spans="1:7" x14ac:dyDescent="0.25">
      <c r="A418" s="22"/>
      <c r="B418" s="87"/>
      <c r="C418" s="66"/>
      <c r="D418" s="66"/>
      <c r="E418" s="66"/>
      <c r="F418" s="66"/>
      <c r="G418" s="66"/>
    </row>
    <row r="419" spans="1:7" x14ac:dyDescent="0.25">
      <c r="A419" s="22"/>
      <c r="B419" s="87"/>
      <c r="C419" s="66"/>
      <c r="D419" s="66"/>
      <c r="E419" s="66"/>
      <c r="F419" s="66"/>
      <c r="G419" s="66"/>
    </row>
    <row r="420" spans="1:7" x14ac:dyDescent="0.25">
      <c r="A420" s="22"/>
      <c r="B420" s="87"/>
      <c r="C420" s="66"/>
      <c r="D420" s="66"/>
      <c r="E420" s="66"/>
      <c r="F420" s="66"/>
      <c r="G420" s="66"/>
    </row>
    <row r="421" spans="1:7" x14ac:dyDescent="0.25">
      <c r="A421" s="22"/>
      <c r="B421" s="87"/>
      <c r="C421" s="66"/>
      <c r="D421" s="66"/>
      <c r="E421" s="66"/>
      <c r="F421" s="66"/>
      <c r="G421" s="66"/>
    </row>
    <row r="422" spans="1:7" x14ac:dyDescent="0.25">
      <c r="A422" s="22"/>
      <c r="B422" s="87"/>
      <c r="C422" s="66"/>
      <c r="D422" s="66"/>
      <c r="E422" s="66"/>
      <c r="F422" s="66"/>
      <c r="G422" s="66"/>
    </row>
    <row r="423" spans="1:7" x14ac:dyDescent="0.25">
      <c r="A423" s="22"/>
      <c r="B423" s="87"/>
      <c r="C423" s="66"/>
      <c r="D423" s="66"/>
      <c r="E423" s="66"/>
      <c r="F423" s="66"/>
      <c r="G423" s="66"/>
    </row>
    <row r="424" spans="1:7" x14ac:dyDescent="0.25">
      <c r="A424" s="22"/>
      <c r="B424" s="87"/>
      <c r="C424" s="66"/>
      <c r="D424" s="66"/>
      <c r="E424" s="66"/>
      <c r="F424" s="66"/>
      <c r="G424" s="66"/>
    </row>
    <row r="425" spans="1:7" x14ac:dyDescent="0.25">
      <c r="A425" s="22"/>
      <c r="B425" s="87"/>
      <c r="C425" s="66"/>
      <c r="D425" s="66"/>
      <c r="E425" s="66"/>
      <c r="F425" s="66"/>
      <c r="G425" s="66"/>
    </row>
    <row r="426" spans="1:7" x14ac:dyDescent="0.25">
      <c r="A426" s="22"/>
      <c r="B426" s="87"/>
      <c r="C426" s="66"/>
      <c r="D426" s="66"/>
      <c r="E426" s="66"/>
      <c r="F426" s="66"/>
      <c r="G426" s="66"/>
    </row>
    <row r="427" spans="1:7" x14ac:dyDescent="0.25">
      <c r="A427" s="22"/>
      <c r="B427" s="87"/>
      <c r="C427" s="66"/>
      <c r="D427" s="66"/>
      <c r="E427" s="66"/>
      <c r="F427" s="66"/>
      <c r="G427" s="66"/>
    </row>
    <row r="428" spans="1:7" x14ac:dyDescent="0.25">
      <c r="A428" s="22"/>
      <c r="B428" s="87"/>
      <c r="C428" s="66"/>
      <c r="D428" s="66"/>
      <c r="E428" s="66"/>
      <c r="F428" s="66"/>
      <c r="G428" s="66"/>
    </row>
    <row r="429" spans="1:7" x14ac:dyDescent="0.25">
      <c r="A429" s="22"/>
      <c r="B429" s="87"/>
      <c r="C429" s="66"/>
      <c r="D429" s="66"/>
      <c r="E429" s="66"/>
      <c r="F429" s="66"/>
      <c r="G429" s="66"/>
    </row>
    <row r="430" spans="1:7" x14ac:dyDescent="0.25">
      <c r="A430" s="22"/>
      <c r="B430" s="87"/>
      <c r="C430" s="66"/>
      <c r="D430" s="66"/>
      <c r="E430" s="66"/>
      <c r="F430" s="66"/>
      <c r="G430" s="66"/>
    </row>
    <row r="431" spans="1:7" x14ac:dyDescent="0.25">
      <c r="A431" s="22"/>
      <c r="B431" s="87"/>
      <c r="C431" s="66"/>
      <c r="D431" s="66"/>
      <c r="E431" s="66"/>
      <c r="F431" s="66"/>
      <c r="G431" s="66"/>
    </row>
    <row r="432" spans="1:7" x14ac:dyDescent="0.25">
      <c r="A432" s="22"/>
      <c r="B432" s="87"/>
      <c r="C432" s="66"/>
      <c r="D432" s="66"/>
      <c r="E432" s="66"/>
      <c r="F432" s="66"/>
      <c r="G432" s="66"/>
    </row>
    <row r="433" spans="1:7" x14ac:dyDescent="0.25">
      <c r="A433" s="22"/>
      <c r="B433" s="87"/>
      <c r="C433" s="66"/>
      <c r="D433" s="66"/>
      <c r="E433" s="66"/>
      <c r="F433" s="66"/>
      <c r="G433" s="66"/>
    </row>
    <row r="434" spans="1:7" x14ac:dyDescent="0.25">
      <c r="A434" s="22"/>
      <c r="B434" s="87"/>
      <c r="C434" s="66"/>
      <c r="D434" s="66"/>
      <c r="E434" s="66"/>
      <c r="F434" s="66"/>
      <c r="G434" s="66"/>
    </row>
    <row r="435" spans="1:7" x14ac:dyDescent="0.25">
      <c r="A435" s="22"/>
      <c r="B435" s="87"/>
      <c r="C435" s="66"/>
      <c r="D435" s="66"/>
      <c r="E435" s="66"/>
      <c r="F435" s="66"/>
      <c r="G435" s="66"/>
    </row>
    <row r="436" spans="1:7" x14ac:dyDescent="0.25">
      <c r="A436" s="22"/>
      <c r="B436" s="87"/>
      <c r="C436" s="66"/>
      <c r="D436" s="66"/>
      <c r="E436" s="66"/>
      <c r="F436" s="66"/>
      <c r="G436" s="66"/>
    </row>
    <row r="437" spans="1:7" x14ac:dyDescent="0.25">
      <c r="A437" s="22"/>
      <c r="B437" s="87"/>
      <c r="C437" s="66"/>
      <c r="D437" s="66"/>
      <c r="E437" s="66"/>
      <c r="F437" s="66"/>
      <c r="G437" s="66"/>
    </row>
    <row r="438" spans="1:7" x14ac:dyDescent="0.25">
      <c r="A438" s="22"/>
      <c r="B438" s="87"/>
      <c r="C438" s="66"/>
      <c r="D438" s="66"/>
      <c r="E438" s="66"/>
      <c r="F438" s="66"/>
      <c r="G438" s="66"/>
    </row>
    <row r="439" spans="1:7" x14ac:dyDescent="0.25">
      <c r="A439" s="22"/>
      <c r="B439" s="87"/>
      <c r="C439" s="66"/>
      <c r="D439" s="66"/>
      <c r="E439" s="66"/>
      <c r="F439" s="66"/>
      <c r="G439" s="66"/>
    </row>
    <row r="440" spans="1:7" x14ac:dyDescent="0.25">
      <c r="A440" s="22"/>
      <c r="B440" s="87"/>
      <c r="C440" s="66"/>
      <c r="D440" s="66"/>
      <c r="E440" s="66"/>
      <c r="F440" s="66"/>
      <c r="G440" s="66"/>
    </row>
    <row r="441" spans="1:7" x14ac:dyDescent="0.25">
      <c r="A441" s="22"/>
      <c r="B441" s="87"/>
      <c r="C441" s="66"/>
      <c r="D441" s="66"/>
      <c r="E441" s="66"/>
      <c r="F441" s="66"/>
      <c r="G441" s="66"/>
    </row>
    <row r="442" spans="1:7" x14ac:dyDescent="0.25">
      <c r="A442" s="22"/>
      <c r="B442" s="87"/>
      <c r="C442" s="66"/>
      <c r="D442" s="66"/>
      <c r="E442" s="66"/>
      <c r="F442" s="66"/>
      <c r="G442" s="66"/>
    </row>
    <row r="443" spans="1:7" x14ac:dyDescent="0.25">
      <c r="A443" s="22"/>
      <c r="B443" s="87"/>
      <c r="C443" s="66"/>
      <c r="D443" s="66"/>
      <c r="E443" s="66"/>
      <c r="F443" s="66"/>
      <c r="G443" s="66"/>
    </row>
    <row r="444" spans="1:7" x14ac:dyDescent="0.25">
      <c r="A444" s="22"/>
      <c r="B444" s="87"/>
      <c r="C444" s="66"/>
      <c r="D444" s="66"/>
      <c r="E444" s="66"/>
      <c r="F444" s="66"/>
      <c r="G444" s="66"/>
    </row>
    <row r="445" spans="1:7" x14ac:dyDescent="0.25">
      <c r="A445" s="22"/>
      <c r="B445" s="87"/>
      <c r="C445" s="66"/>
      <c r="D445" s="66"/>
      <c r="E445" s="66"/>
      <c r="F445" s="66"/>
      <c r="G445" s="66"/>
    </row>
    <row r="446" spans="1:7" x14ac:dyDescent="0.25">
      <c r="A446" s="22"/>
      <c r="B446" s="87"/>
      <c r="C446" s="66"/>
      <c r="D446" s="66"/>
      <c r="E446" s="66"/>
      <c r="F446" s="66"/>
      <c r="G446" s="66"/>
    </row>
    <row r="447" spans="1:7" x14ac:dyDescent="0.25">
      <c r="A447" s="22"/>
      <c r="B447" s="87"/>
      <c r="C447" s="66"/>
      <c r="D447" s="66"/>
      <c r="E447" s="66"/>
      <c r="F447" s="66"/>
      <c r="G447" s="66"/>
    </row>
    <row r="448" spans="1:7" x14ac:dyDescent="0.25">
      <c r="A448" s="22"/>
      <c r="B448" s="87"/>
      <c r="C448" s="66"/>
      <c r="D448" s="66"/>
      <c r="E448" s="66"/>
      <c r="F448" s="66"/>
      <c r="G448" s="66"/>
    </row>
    <row r="449" spans="1:7" x14ac:dyDescent="0.25">
      <c r="A449" s="22"/>
      <c r="B449" s="87"/>
      <c r="C449" s="66"/>
      <c r="D449" s="66"/>
      <c r="E449" s="66"/>
      <c r="F449" s="66"/>
      <c r="G449" s="66"/>
    </row>
    <row r="450" spans="1:7" x14ac:dyDescent="0.25">
      <c r="A450" s="22"/>
      <c r="B450" s="87"/>
      <c r="C450" s="66"/>
      <c r="D450" s="66"/>
      <c r="E450" s="66"/>
      <c r="F450" s="66"/>
      <c r="G450" s="66"/>
    </row>
    <row r="451" spans="1:7" x14ac:dyDescent="0.25">
      <c r="A451" s="22"/>
      <c r="B451" s="87"/>
      <c r="C451" s="66"/>
      <c r="D451" s="66"/>
      <c r="E451" s="66"/>
      <c r="F451" s="66"/>
      <c r="G451" s="66"/>
    </row>
    <row r="452" spans="1:7" x14ac:dyDescent="0.25">
      <c r="A452" s="22"/>
      <c r="B452" s="87"/>
      <c r="C452" s="66"/>
      <c r="D452" s="66"/>
      <c r="E452" s="66"/>
      <c r="F452" s="66"/>
      <c r="G452" s="66"/>
    </row>
    <row r="453" spans="1:7" x14ac:dyDescent="0.25">
      <c r="A453" s="22"/>
      <c r="B453" s="87"/>
      <c r="C453" s="66"/>
      <c r="D453" s="66"/>
      <c r="E453" s="66"/>
      <c r="F453" s="66"/>
      <c r="G453" s="66"/>
    </row>
    <row r="454" spans="1:7" x14ac:dyDescent="0.25">
      <c r="A454" s="22"/>
      <c r="B454" s="87"/>
      <c r="C454" s="66"/>
      <c r="D454" s="66"/>
      <c r="E454" s="66"/>
      <c r="F454" s="66"/>
      <c r="G454" s="66"/>
    </row>
    <row r="455" spans="1:7" x14ac:dyDescent="0.25">
      <c r="A455" s="22"/>
      <c r="B455" s="87"/>
      <c r="C455" s="66"/>
      <c r="D455" s="66"/>
      <c r="E455" s="66"/>
      <c r="F455" s="66"/>
      <c r="G455" s="66"/>
    </row>
    <row r="456" spans="1:7" x14ac:dyDescent="0.25">
      <c r="A456" s="22"/>
      <c r="B456" s="87"/>
      <c r="C456" s="66"/>
      <c r="D456" s="66"/>
      <c r="E456" s="66"/>
      <c r="F456" s="66"/>
      <c r="G456" s="66"/>
    </row>
    <row r="457" spans="1:7" x14ac:dyDescent="0.25">
      <c r="A457" s="22"/>
      <c r="B457" s="87"/>
      <c r="C457" s="66"/>
      <c r="D457" s="66"/>
      <c r="E457" s="66"/>
      <c r="F457" s="66"/>
      <c r="G457" s="66"/>
    </row>
    <row r="458" spans="1:7" x14ac:dyDescent="0.25">
      <c r="A458" s="22"/>
      <c r="B458" s="87"/>
      <c r="C458" s="66"/>
      <c r="D458" s="66"/>
      <c r="E458" s="66"/>
      <c r="F458" s="66"/>
      <c r="G458" s="66"/>
    </row>
    <row r="459" spans="1:7" x14ac:dyDescent="0.25">
      <c r="A459" s="22"/>
      <c r="B459" s="87"/>
      <c r="C459" s="66"/>
      <c r="D459" s="66"/>
      <c r="E459" s="66"/>
      <c r="F459" s="66"/>
      <c r="G459" s="66"/>
    </row>
    <row r="460" spans="1:7" x14ac:dyDescent="0.25">
      <c r="A460" s="22"/>
      <c r="B460" s="87"/>
      <c r="C460" s="66"/>
      <c r="D460" s="66"/>
      <c r="E460" s="66"/>
      <c r="F460" s="66"/>
      <c r="G460" s="66"/>
    </row>
    <row r="461" spans="1:7" x14ac:dyDescent="0.25">
      <c r="A461" s="22"/>
      <c r="B461" s="87"/>
      <c r="C461" s="66"/>
      <c r="D461" s="66"/>
      <c r="E461" s="66"/>
      <c r="F461" s="66"/>
      <c r="G461" s="66"/>
    </row>
    <row r="462" spans="1:7" x14ac:dyDescent="0.25">
      <c r="A462" s="22"/>
      <c r="B462" s="87"/>
      <c r="C462" s="66"/>
      <c r="D462" s="66"/>
      <c r="E462" s="66"/>
      <c r="F462" s="66"/>
      <c r="G462" s="66"/>
    </row>
    <row r="463" spans="1:7" x14ac:dyDescent="0.25">
      <c r="A463" s="22"/>
      <c r="B463" s="87"/>
      <c r="C463" s="66"/>
      <c r="D463" s="66"/>
      <c r="E463" s="66"/>
      <c r="F463" s="66"/>
      <c r="G463" s="66"/>
    </row>
    <row r="464" spans="1:7" x14ac:dyDescent="0.25">
      <c r="A464" s="22"/>
      <c r="B464" s="87"/>
      <c r="C464" s="66"/>
      <c r="D464" s="66"/>
      <c r="E464" s="66"/>
      <c r="F464" s="66"/>
      <c r="G464" s="66"/>
    </row>
    <row r="465" spans="1:7" x14ac:dyDescent="0.25">
      <c r="A465" s="22"/>
      <c r="B465" s="87"/>
      <c r="C465" s="66"/>
      <c r="D465" s="66"/>
      <c r="E465" s="66"/>
      <c r="F465" s="66"/>
      <c r="G465" s="66"/>
    </row>
    <row r="466" spans="1:7" x14ac:dyDescent="0.25">
      <c r="A466" s="22"/>
      <c r="B466" s="87"/>
      <c r="C466" s="66"/>
      <c r="D466" s="66"/>
      <c r="E466" s="66"/>
      <c r="F466" s="66"/>
      <c r="G466" s="66"/>
    </row>
    <row r="467" spans="1:7" x14ac:dyDescent="0.25">
      <c r="A467" s="22"/>
      <c r="B467" s="87"/>
      <c r="C467" s="66"/>
      <c r="D467" s="66"/>
      <c r="E467" s="66"/>
      <c r="F467" s="66"/>
      <c r="G467" s="66"/>
    </row>
    <row r="468" spans="1:7" x14ac:dyDescent="0.25">
      <c r="A468" s="22"/>
      <c r="B468" s="87"/>
      <c r="C468" s="66"/>
      <c r="D468" s="66"/>
      <c r="E468" s="66"/>
      <c r="F468" s="66"/>
      <c r="G468" s="66"/>
    </row>
    <row r="469" spans="1:7" x14ac:dyDescent="0.25">
      <c r="A469" s="22"/>
      <c r="B469" s="87"/>
      <c r="C469" s="66"/>
      <c r="D469" s="66"/>
      <c r="E469" s="66"/>
      <c r="F469" s="66"/>
      <c r="G469" s="66"/>
    </row>
    <row r="470" spans="1:7" x14ac:dyDescent="0.25">
      <c r="A470" s="22"/>
      <c r="B470" s="87"/>
      <c r="C470" s="66"/>
      <c r="D470" s="66"/>
      <c r="E470" s="66"/>
      <c r="F470" s="66"/>
      <c r="G470" s="66"/>
    </row>
    <row r="471" spans="1:7" x14ac:dyDescent="0.25">
      <c r="A471" s="22"/>
      <c r="B471" s="87"/>
      <c r="C471" s="66"/>
      <c r="D471" s="66"/>
      <c r="E471" s="66"/>
      <c r="F471" s="66"/>
      <c r="G471" s="66"/>
    </row>
    <row r="472" spans="1:7" x14ac:dyDescent="0.25">
      <c r="A472" s="22"/>
      <c r="B472" s="87"/>
      <c r="C472" s="66"/>
      <c r="D472" s="66"/>
      <c r="E472" s="66"/>
      <c r="F472" s="66"/>
      <c r="G472" s="66"/>
    </row>
    <row r="473" spans="1:7" x14ac:dyDescent="0.25">
      <c r="A473" s="22"/>
      <c r="B473" s="87"/>
      <c r="C473" s="66"/>
      <c r="D473" s="66"/>
      <c r="E473" s="66"/>
      <c r="F473" s="66"/>
      <c r="G473" s="66"/>
    </row>
    <row r="474" spans="1:7" x14ac:dyDescent="0.25">
      <c r="A474" s="22"/>
      <c r="B474" s="87"/>
      <c r="C474" s="66"/>
      <c r="D474" s="66"/>
      <c r="E474" s="66"/>
      <c r="F474" s="66"/>
      <c r="G474" s="66"/>
    </row>
    <row r="475" spans="1:7" x14ac:dyDescent="0.25">
      <c r="A475" s="22"/>
      <c r="B475" s="87"/>
      <c r="C475" s="66"/>
      <c r="D475" s="66"/>
      <c r="E475" s="66"/>
      <c r="F475" s="66"/>
      <c r="G475" s="66"/>
    </row>
    <row r="476" spans="1:7" x14ac:dyDescent="0.25">
      <c r="A476" s="22"/>
      <c r="B476" s="87"/>
      <c r="C476" s="66"/>
      <c r="D476" s="66"/>
      <c r="E476" s="66"/>
      <c r="F476" s="66"/>
      <c r="G476" s="66"/>
    </row>
    <row r="477" spans="1:7" x14ac:dyDescent="0.25">
      <c r="A477" s="22"/>
      <c r="B477" s="87"/>
      <c r="C477" s="66"/>
      <c r="D477" s="66"/>
      <c r="E477" s="66"/>
      <c r="F477" s="66"/>
      <c r="G477" s="66"/>
    </row>
    <row r="478" spans="1:7" x14ac:dyDescent="0.25">
      <c r="A478" s="22"/>
      <c r="B478" s="87"/>
      <c r="C478" s="66"/>
      <c r="D478" s="66"/>
      <c r="E478" s="66"/>
      <c r="F478" s="66"/>
      <c r="G478" s="66"/>
    </row>
    <row r="479" spans="1:7" x14ac:dyDescent="0.25">
      <c r="A479" s="22"/>
      <c r="B479" s="87"/>
      <c r="C479" s="66"/>
      <c r="D479" s="66"/>
      <c r="E479" s="66"/>
      <c r="F479" s="66"/>
      <c r="G479" s="66"/>
    </row>
    <row r="480" spans="1:7" x14ac:dyDescent="0.25">
      <c r="A480" s="22"/>
      <c r="B480" s="87"/>
      <c r="C480" s="66"/>
      <c r="D480" s="66"/>
      <c r="E480" s="66"/>
      <c r="F480" s="66"/>
      <c r="G480" s="66"/>
    </row>
    <row r="481" spans="1:7" x14ac:dyDescent="0.25">
      <c r="A481" s="22"/>
      <c r="B481" s="87"/>
      <c r="C481" s="66"/>
      <c r="D481" s="66"/>
      <c r="E481" s="66"/>
      <c r="F481" s="66"/>
      <c r="G481" s="66"/>
    </row>
    <row r="482" spans="1:7" x14ac:dyDescent="0.25">
      <c r="A482" s="22"/>
      <c r="B482" s="87"/>
      <c r="C482" s="66"/>
      <c r="D482" s="66"/>
      <c r="E482" s="66"/>
      <c r="F482" s="66"/>
      <c r="G482" s="66"/>
    </row>
    <row r="483" spans="1:7" x14ac:dyDescent="0.25">
      <c r="A483" s="22"/>
      <c r="B483" s="87"/>
      <c r="C483" s="66"/>
      <c r="D483" s="66"/>
      <c r="E483" s="66"/>
      <c r="F483" s="66"/>
      <c r="G483" s="66"/>
    </row>
    <row r="484" spans="1:7" x14ac:dyDescent="0.25">
      <c r="A484" s="22"/>
      <c r="B484" s="87"/>
      <c r="C484" s="66"/>
      <c r="D484" s="66"/>
      <c r="E484" s="66"/>
      <c r="F484" s="66"/>
      <c r="G484" s="66"/>
    </row>
    <row r="485" spans="1:7" x14ac:dyDescent="0.25">
      <c r="A485" s="22"/>
      <c r="B485" s="87"/>
      <c r="C485" s="66"/>
      <c r="D485" s="66"/>
      <c r="E485" s="66"/>
      <c r="F485" s="66"/>
      <c r="G485" s="66"/>
    </row>
    <row r="486" spans="1:7" x14ac:dyDescent="0.25">
      <c r="A486" s="22"/>
      <c r="B486" s="87"/>
      <c r="C486" s="66"/>
      <c r="D486" s="66"/>
      <c r="E486" s="66"/>
      <c r="F486" s="66"/>
      <c r="G486" s="66"/>
    </row>
    <row r="487" spans="1:7" x14ac:dyDescent="0.25">
      <c r="A487" s="22"/>
      <c r="B487" s="87"/>
      <c r="C487" s="66"/>
      <c r="D487" s="66"/>
      <c r="E487" s="66"/>
      <c r="F487" s="66"/>
      <c r="G487" s="66"/>
    </row>
    <row r="488" spans="1:7" x14ac:dyDescent="0.25">
      <c r="A488" s="22"/>
      <c r="B488" s="87"/>
      <c r="C488" s="66"/>
      <c r="D488" s="66"/>
      <c r="E488" s="66"/>
      <c r="F488" s="66"/>
      <c r="G488" s="66"/>
    </row>
    <row r="489" spans="1:7" x14ac:dyDescent="0.25">
      <c r="A489" s="22"/>
      <c r="B489" s="87"/>
      <c r="C489" s="66"/>
      <c r="D489" s="66"/>
      <c r="E489" s="66"/>
      <c r="F489" s="66"/>
      <c r="G489" s="66"/>
    </row>
    <row r="490" spans="1:7" x14ac:dyDescent="0.25">
      <c r="A490" s="22"/>
      <c r="B490" s="87"/>
      <c r="C490" s="66"/>
      <c r="D490" s="66"/>
      <c r="E490" s="66"/>
      <c r="F490" s="66"/>
      <c r="G490" s="66"/>
    </row>
    <row r="491" spans="1:7" x14ac:dyDescent="0.25">
      <c r="A491" s="22"/>
      <c r="B491" s="87"/>
      <c r="C491" s="66"/>
      <c r="D491" s="66"/>
      <c r="E491" s="66"/>
      <c r="F491" s="66"/>
      <c r="G491" s="66"/>
    </row>
    <row r="492" spans="1:7" x14ac:dyDescent="0.25">
      <c r="A492" s="22"/>
      <c r="B492" s="87"/>
      <c r="C492" s="66"/>
      <c r="D492" s="66"/>
      <c r="E492" s="66"/>
      <c r="F492" s="66"/>
      <c r="G492" s="66"/>
    </row>
    <row r="493" spans="1:7" x14ac:dyDescent="0.25">
      <c r="A493" s="22"/>
      <c r="B493" s="87"/>
      <c r="C493" s="66"/>
      <c r="D493" s="66"/>
      <c r="E493" s="66"/>
      <c r="F493" s="66"/>
      <c r="G493" s="66"/>
    </row>
    <row r="494" spans="1:7" x14ac:dyDescent="0.25">
      <c r="A494" s="22"/>
      <c r="B494" s="87"/>
      <c r="C494" s="66"/>
      <c r="D494" s="66"/>
      <c r="E494" s="66"/>
      <c r="F494" s="66"/>
      <c r="G494" s="66"/>
    </row>
    <row r="495" spans="1:7" x14ac:dyDescent="0.25">
      <c r="A495" s="22"/>
      <c r="B495" s="87"/>
      <c r="C495" s="66"/>
      <c r="D495" s="66"/>
      <c r="E495" s="66"/>
      <c r="F495" s="66"/>
      <c r="G495" s="66"/>
    </row>
    <row r="496" spans="1:7" x14ac:dyDescent="0.25">
      <c r="A496" s="22"/>
      <c r="B496" s="87"/>
      <c r="C496" s="66"/>
      <c r="D496" s="66"/>
      <c r="E496" s="66"/>
      <c r="F496" s="66"/>
      <c r="G496" s="66"/>
    </row>
    <row r="497" spans="1:7" x14ac:dyDescent="0.25">
      <c r="A497" s="22"/>
      <c r="B497" s="87"/>
      <c r="C497" s="66"/>
      <c r="D497" s="66"/>
      <c r="E497" s="66"/>
      <c r="F497" s="66"/>
      <c r="G497" s="66"/>
    </row>
    <row r="498" spans="1:7" x14ac:dyDescent="0.25">
      <c r="A498" s="22"/>
      <c r="B498" s="87"/>
      <c r="C498" s="66"/>
      <c r="D498" s="66"/>
      <c r="E498" s="66"/>
      <c r="F498" s="66"/>
      <c r="G498" s="66"/>
    </row>
    <row r="499" spans="1:7" x14ac:dyDescent="0.25">
      <c r="A499" s="22"/>
      <c r="B499" s="87"/>
      <c r="C499" s="66"/>
      <c r="D499" s="66"/>
      <c r="E499" s="66"/>
      <c r="F499" s="66"/>
      <c r="G499" s="66"/>
    </row>
    <row r="500" spans="1:7" x14ac:dyDescent="0.25">
      <c r="A500" s="22"/>
      <c r="B500" s="87"/>
      <c r="C500" s="66"/>
      <c r="D500" s="66"/>
      <c r="E500" s="66"/>
      <c r="F500" s="66"/>
      <c r="G500" s="66"/>
    </row>
    <row r="501" spans="1:7" x14ac:dyDescent="0.25">
      <c r="A501" s="22"/>
      <c r="B501" s="87"/>
      <c r="C501" s="66"/>
      <c r="D501" s="66"/>
      <c r="E501" s="66"/>
      <c r="F501" s="66"/>
      <c r="G501" s="66"/>
    </row>
    <row r="502" spans="1:7" x14ac:dyDescent="0.25">
      <c r="A502" s="22"/>
      <c r="B502" s="87"/>
      <c r="C502" s="66"/>
      <c r="D502" s="66"/>
      <c r="E502" s="66"/>
      <c r="F502" s="66"/>
      <c r="G502" s="66"/>
    </row>
    <row r="503" spans="1:7" x14ac:dyDescent="0.25">
      <c r="A503" s="22"/>
      <c r="B503" s="87"/>
      <c r="C503" s="66"/>
      <c r="D503" s="66"/>
      <c r="E503" s="66"/>
      <c r="F503" s="66"/>
      <c r="G503" s="66"/>
    </row>
    <row r="504" spans="1:7" x14ac:dyDescent="0.25">
      <c r="A504" s="22"/>
      <c r="B504" s="87"/>
      <c r="C504" s="66"/>
      <c r="D504" s="66"/>
      <c r="E504" s="66"/>
      <c r="F504" s="66"/>
      <c r="G504" s="66"/>
    </row>
    <row r="505" spans="1:7" x14ac:dyDescent="0.25">
      <c r="A505" s="22"/>
      <c r="B505" s="87"/>
      <c r="C505" s="66"/>
      <c r="D505" s="66"/>
      <c r="E505" s="66"/>
      <c r="F505" s="66"/>
      <c r="G505" s="66"/>
    </row>
    <row r="506" spans="1:7" x14ac:dyDescent="0.25">
      <c r="A506" s="22"/>
      <c r="B506" s="87"/>
      <c r="C506" s="66"/>
      <c r="D506" s="66"/>
      <c r="E506" s="66"/>
      <c r="F506" s="66"/>
      <c r="G506" s="66"/>
    </row>
    <row r="507" spans="1:7" x14ac:dyDescent="0.25">
      <c r="A507" s="22"/>
      <c r="B507" s="87"/>
      <c r="C507" s="66"/>
      <c r="D507" s="66"/>
      <c r="E507" s="66"/>
      <c r="F507" s="66"/>
      <c r="G507" s="66"/>
    </row>
    <row r="508" spans="1:7" x14ac:dyDescent="0.25">
      <c r="A508" s="22"/>
      <c r="B508" s="87"/>
      <c r="C508" s="66"/>
      <c r="D508" s="66"/>
      <c r="E508" s="66"/>
      <c r="F508" s="66"/>
      <c r="G508" s="66"/>
    </row>
    <row r="509" spans="1:7" x14ac:dyDescent="0.25">
      <c r="A509" s="22"/>
      <c r="B509" s="87"/>
      <c r="C509" s="66"/>
      <c r="D509" s="66"/>
      <c r="E509" s="66"/>
      <c r="F509" s="66"/>
      <c r="G509" s="66"/>
    </row>
    <row r="510" spans="1:7" x14ac:dyDescent="0.25">
      <c r="A510" s="22"/>
      <c r="B510" s="87"/>
      <c r="C510" s="66"/>
      <c r="D510" s="66"/>
      <c r="E510" s="66"/>
      <c r="F510" s="66"/>
      <c r="G510" s="66"/>
    </row>
    <row r="511" spans="1:7" x14ac:dyDescent="0.25">
      <c r="A511" s="22"/>
      <c r="B511" s="87"/>
      <c r="C511" s="66"/>
      <c r="D511" s="66"/>
      <c r="E511" s="66"/>
      <c r="F511" s="66"/>
      <c r="G511" s="66"/>
    </row>
    <row r="512" spans="1:7" x14ac:dyDescent="0.25">
      <c r="A512" s="22"/>
      <c r="B512" s="87"/>
      <c r="C512" s="66"/>
      <c r="D512" s="66"/>
      <c r="E512" s="66"/>
      <c r="F512" s="66"/>
      <c r="G512" s="66"/>
    </row>
    <row r="513" spans="1:7" x14ac:dyDescent="0.25">
      <c r="A513" s="22"/>
      <c r="B513" s="87"/>
      <c r="C513" s="66"/>
      <c r="D513" s="66"/>
      <c r="E513" s="66"/>
      <c r="F513" s="66"/>
      <c r="G513" s="66"/>
    </row>
    <row r="514" spans="1:7" x14ac:dyDescent="0.25">
      <c r="A514" s="22"/>
      <c r="B514" s="87"/>
      <c r="C514" s="66"/>
      <c r="D514" s="66"/>
      <c r="E514" s="66"/>
      <c r="F514" s="66"/>
      <c r="G514" s="66"/>
    </row>
    <row r="515" spans="1:7" x14ac:dyDescent="0.25">
      <c r="A515" s="22"/>
      <c r="B515" s="87"/>
      <c r="C515" s="66"/>
      <c r="D515" s="66"/>
      <c r="E515" s="66"/>
      <c r="F515" s="66"/>
      <c r="G515" s="66"/>
    </row>
    <row r="516" spans="1:7" x14ac:dyDescent="0.25">
      <c r="A516" s="22"/>
      <c r="B516" s="87"/>
      <c r="C516" s="66"/>
      <c r="D516" s="66"/>
      <c r="E516" s="66"/>
      <c r="F516" s="66"/>
      <c r="G516" s="66"/>
    </row>
    <row r="517" spans="1:7" x14ac:dyDescent="0.25">
      <c r="A517" s="22"/>
      <c r="B517" s="87"/>
      <c r="C517" s="66"/>
      <c r="D517" s="66"/>
      <c r="E517" s="66"/>
      <c r="F517" s="66"/>
      <c r="G517" s="66"/>
    </row>
    <row r="518" spans="1:7" x14ac:dyDescent="0.25">
      <c r="A518" s="22"/>
      <c r="B518" s="87"/>
      <c r="C518" s="66"/>
      <c r="D518" s="66"/>
      <c r="E518" s="66"/>
      <c r="F518" s="66"/>
      <c r="G518" s="66"/>
    </row>
    <row r="519" spans="1:7" x14ac:dyDescent="0.25">
      <c r="A519" s="22"/>
      <c r="B519" s="87"/>
      <c r="C519" s="66"/>
      <c r="D519" s="66"/>
      <c r="E519" s="66"/>
      <c r="F519" s="66"/>
      <c r="G519" s="66"/>
    </row>
    <row r="520" spans="1:7" x14ac:dyDescent="0.25">
      <c r="A520" s="22"/>
      <c r="B520" s="87"/>
      <c r="C520" s="66"/>
      <c r="D520" s="66"/>
      <c r="E520" s="66"/>
      <c r="F520" s="66"/>
      <c r="G520" s="66"/>
    </row>
    <row r="521" spans="1:7" x14ac:dyDescent="0.25">
      <c r="A521" s="22"/>
      <c r="B521" s="87"/>
      <c r="C521" s="66"/>
      <c r="D521" s="66"/>
      <c r="E521" s="66"/>
      <c r="F521" s="66"/>
      <c r="G521" s="66"/>
    </row>
    <row r="522" spans="1:7" x14ac:dyDescent="0.25">
      <c r="A522" s="22"/>
      <c r="B522" s="87"/>
      <c r="C522" s="66"/>
      <c r="D522" s="66"/>
      <c r="E522" s="66"/>
      <c r="F522" s="66"/>
      <c r="G522" s="66"/>
    </row>
    <row r="523" spans="1:7" x14ac:dyDescent="0.25">
      <c r="A523" s="22"/>
      <c r="B523" s="87"/>
      <c r="C523" s="66"/>
      <c r="D523" s="66"/>
      <c r="E523" s="66"/>
      <c r="F523" s="66"/>
      <c r="G523" s="66"/>
    </row>
    <row r="524" spans="1:7" x14ac:dyDescent="0.25">
      <c r="A524" s="22"/>
      <c r="B524" s="87"/>
      <c r="C524" s="66"/>
      <c r="D524" s="66"/>
      <c r="E524" s="66"/>
      <c r="F524" s="66"/>
      <c r="G524" s="66"/>
    </row>
    <row r="525" spans="1:7" x14ac:dyDescent="0.25">
      <c r="A525" s="22"/>
      <c r="B525" s="87"/>
      <c r="C525" s="66"/>
      <c r="D525" s="66"/>
      <c r="E525" s="66"/>
      <c r="F525" s="66"/>
      <c r="G525" s="66"/>
    </row>
    <row r="526" spans="1:7" x14ac:dyDescent="0.25">
      <c r="A526" s="22"/>
      <c r="B526" s="87"/>
      <c r="C526" s="66"/>
      <c r="D526" s="66"/>
      <c r="E526" s="66"/>
      <c r="F526" s="66"/>
      <c r="G526" s="66"/>
    </row>
    <row r="527" spans="1:7" x14ac:dyDescent="0.25">
      <c r="A527" s="22"/>
      <c r="B527" s="87"/>
      <c r="C527" s="66"/>
      <c r="D527" s="66"/>
      <c r="E527" s="66"/>
      <c r="F527" s="66"/>
      <c r="G527" s="66"/>
    </row>
    <row r="528" spans="1:7" x14ac:dyDescent="0.25">
      <c r="A528" s="22"/>
      <c r="B528" s="87"/>
      <c r="C528" s="66"/>
      <c r="D528" s="66"/>
      <c r="E528" s="66"/>
      <c r="F528" s="66"/>
      <c r="G528" s="66"/>
    </row>
    <row r="529" spans="1:7" x14ac:dyDescent="0.25">
      <c r="A529" s="22"/>
      <c r="B529" s="87"/>
      <c r="C529" s="66"/>
      <c r="D529" s="66"/>
      <c r="E529" s="66"/>
      <c r="F529" s="66"/>
      <c r="G529" s="66"/>
    </row>
    <row r="530" spans="1:7" x14ac:dyDescent="0.25">
      <c r="A530" s="22"/>
      <c r="B530" s="87"/>
      <c r="C530" s="66"/>
      <c r="D530" s="66"/>
      <c r="E530" s="66"/>
      <c r="F530" s="66"/>
      <c r="G530" s="66"/>
    </row>
    <row r="531" spans="1:7" x14ac:dyDescent="0.25">
      <c r="A531" s="22"/>
      <c r="B531" s="87"/>
      <c r="C531" s="66"/>
      <c r="D531" s="66"/>
      <c r="E531" s="66"/>
      <c r="F531" s="66"/>
      <c r="G531" s="66"/>
    </row>
    <row r="532" spans="1:7" x14ac:dyDescent="0.25">
      <c r="A532" s="22"/>
      <c r="B532" s="87"/>
      <c r="C532" s="66"/>
      <c r="D532" s="66"/>
      <c r="E532" s="66"/>
      <c r="F532" s="66"/>
      <c r="G532" s="66"/>
    </row>
    <row r="533" spans="1:7" x14ac:dyDescent="0.25">
      <c r="A533" s="22"/>
      <c r="B533" s="87"/>
      <c r="C533" s="66"/>
      <c r="D533" s="66"/>
      <c r="E533" s="66"/>
      <c r="F533" s="66"/>
      <c r="G533" s="66"/>
    </row>
    <row r="534" spans="1:7" x14ac:dyDescent="0.25">
      <c r="A534" s="22"/>
      <c r="B534" s="87"/>
      <c r="C534" s="66"/>
      <c r="D534" s="66"/>
      <c r="E534" s="66"/>
      <c r="F534" s="66"/>
      <c r="G534" s="66"/>
    </row>
    <row r="535" spans="1:7" x14ac:dyDescent="0.25">
      <c r="A535" s="22"/>
      <c r="B535" s="87"/>
      <c r="C535" s="66"/>
      <c r="D535" s="66"/>
      <c r="E535" s="66"/>
      <c r="F535" s="66"/>
      <c r="G535" s="66"/>
    </row>
    <row r="536" spans="1:7" x14ac:dyDescent="0.25">
      <c r="A536" s="22"/>
      <c r="B536" s="87"/>
      <c r="C536" s="66"/>
      <c r="D536" s="66"/>
      <c r="E536" s="66"/>
      <c r="F536" s="66"/>
      <c r="G536" s="66"/>
    </row>
    <row r="537" spans="1:7" x14ac:dyDescent="0.25">
      <c r="A537" s="22"/>
      <c r="B537" s="87"/>
      <c r="C537" s="66"/>
      <c r="D537" s="66"/>
      <c r="E537" s="66"/>
      <c r="F537" s="66"/>
      <c r="G537" s="66"/>
    </row>
    <row r="538" spans="1:7" x14ac:dyDescent="0.25">
      <c r="A538" s="22"/>
      <c r="B538" s="87"/>
      <c r="C538" s="66"/>
      <c r="D538" s="66"/>
      <c r="E538" s="66"/>
      <c r="F538" s="66"/>
      <c r="G538" s="66"/>
    </row>
    <row r="539" spans="1:7" x14ac:dyDescent="0.25">
      <c r="A539" s="22"/>
      <c r="B539" s="87"/>
      <c r="C539" s="66"/>
      <c r="D539" s="66"/>
      <c r="E539" s="66"/>
      <c r="F539" s="66"/>
      <c r="G539" s="66"/>
    </row>
    <row r="540" spans="1:7" x14ac:dyDescent="0.25">
      <c r="A540" s="22"/>
      <c r="B540" s="87"/>
      <c r="C540" s="66"/>
      <c r="D540" s="66"/>
      <c r="E540" s="66"/>
      <c r="F540" s="66"/>
      <c r="G540" s="66"/>
    </row>
    <row r="541" spans="1:7" x14ac:dyDescent="0.25">
      <c r="A541" s="22"/>
      <c r="B541" s="87"/>
      <c r="C541" s="66"/>
      <c r="D541" s="66"/>
      <c r="E541" s="66"/>
      <c r="F541" s="66"/>
      <c r="G541" s="66"/>
    </row>
    <row r="542" spans="1:7" x14ac:dyDescent="0.25">
      <c r="A542" s="22"/>
      <c r="B542" s="87"/>
      <c r="C542" s="66"/>
      <c r="D542" s="66"/>
      <c r="E542" s="66"/>
      <c r="F542" s="66"/>
      <c r="G542" s="66"/>
    </row>
    <row r="543" spans="1:7" x14ac:dyDescent="0.25">
      <c r="A543" s="22"/>
      <c r="B543" s="87"/>
      <c r="C543" s="66"/>
      <c r="D543" s="66"/>
      <c r="E543" s="66"/>
      <c r="F543" s="66"/>
      <c r="G543" s="66"/>
    </row>
    <row r="544" spans="1:7" x14ac:dyDescent="0.25">
      <c r="A544" s="22"/>
      <c r="B544" s="87"/>
      <c r="C544" s="66"/>
      <c r="D544" s="66"/>
      <c r="E544" s="66"/>
      <c r="F544" s="66"/>
      <c r="G544" s="66"/>
    </row>
    <row r="545" spans="1:7" x14ac:dyDescent="0.25">
      <c r="A545" s="22"/>
      <c r="B545" s="87"/>
      <c r="C545" s="66"/>
      <c r="D545" s="66"/>
      <c r="E545" s="66"/>
      <c r="F545" s="66"/>
      <c r="G545" s="66"/>
    </row>
    <row r="546" spans="1:7" x14ac:dyDescent="0.25">
      <c r="A546" s="22"/>
      <c r="B546" s="87"/>
      <c r="C546" s="66"/>
      <c r="D546" s="66"/>
      <c r="E546" s="66"/>
      <c r="F546" s="66"/>
      <c r="G546" s="66"/>
    </row>
    <row r="547" spans="1:7" x14ac:dyDescent="0.25">
      <c r="A547" s="22"/>
      <c r="B547" s="87"/>
      <c r="C547" s="66"/>
      <c r="D547" s="66"/>
      <c r="E547" s="66"/>
      <c r="F547" s="66"/>
      <c r="G547" s="66"/>
    </row>
    <row r="548" spans="1:7" x14ac:dyDescent="0.25">
      <c r="A548" s="22"/>
      <c r="B548" s="87"/>
      <c r="C548" s="66"/>
      <c r="D548" s="66"/>
      <c r="E548" s="66"/>
      <c r="F548" s="66"/>
      <c r="G548" s="66"/>
    </row>
    <row r="549" spans="1:7" x14ac:dyDescent="0.25">
      <c r="A549" s="22"/>
      <c r="B549" s="87"/>
      <c r="C549" s="66"/>
      <c r="D549" s="66"/>
      <c r="E549" s="66"/>
      <c r="F549" s="66"/>
      <c r="G549" s="66"/>
    </row>
    <row r="550" spans="1:7" x14ac:dyDescent="0.25">
      <c r="A550" s="22"/>
      <c r="B550" s="87"/>
      <c r="C550" s="66"/>
      <c r="D550" s="66"/>
      <c r="E550" s="66"/>
      <c r="F550" s="66"/>
      <c r="G550" s="66"/>
    </row>
    <row r="551" spans="1:7" x14ac:dyDescent="0.25">
      <c r="A551" s="22"/>
      <c r="B551" s="87"/>
      <c r="C551" s="66"/>
      <c r="D551" s="66"/>
      <c r="E551" s="66"/>
      <c r="F551" s="66"/>
      <c r="G551" s="66"/>
    </row>
    <row r="552" spans="1:7" x14ac:dyDescent="0.25">
      <c r="A552" s="22"/>
      <c r="B552" s="87"/>
      <c r="C552" s="66"/>
      <c r="D552" s="66"/>
      <c r="E552" s="66"/>
      <c r="F552" s="66"/>
      <c r="G552" s="66"/>
    </row>
    <row r="553" spans="1:7" x14ac:dyDescent="0.25">
      <c r="A553" s="22"/>
      <c r="B553" s="87"/>
      <c r="C553" s="66"/>
      <c r="D553" s="66"/>
      <c r="E553" s="66"/>
      <c r="F553" s="66"/>
      <c r="G553" s="66"/>
    </row>
    <row r="554" spans="1:7" x14ac:dyDescent="0.25">
      <c r="A554" s="22"/>
      <c r="B554" s="87"/>
      <c r="C554" s="66"/>
      <c r="D554" s="66"/>
      <c r="E554" s="66"/>
      <c r="F554" s="66"/>
      <c r="G554" s="66"/>
    </row>
    <row r="555" spans="1:7" x14ac:dyDescent="0.25">
      <c r="A555" s="22"/>
      <c r="B555" s="87"/>
      <c r="C555" s="66"/>
      <c r="D555" s="66"/>
      <c r="E555" s="66"/>
      <c r="F555" s="66"/>
      <c r="G555" s="66"/>
    </row>
    <row r="556" spans="1:7" x14ac:dyDescent="0.25">
      <c r="A556" s="22"/>
      <c r="B556" s="87"/>
      <c r="C556" s="66"/>
      <c r="D556" s="66"/>
      <c r="E556" s="66"/>
      <c r="F556" s="66"/>
      <c r="G556" s="66"/>
    </row>
    <row r="557" spans="1:7" x14ac:dyDescent="0.25">
      <c r="A557" s="22"/>
      <c r="B557" s="87"/>
      <c r="C557" s="66"/>
      <c r="D557" s="66"/>
      <c r="E557" s="66"/>
      <c r="F557" s="66"/>
      <c r="G557" s="66"/>
    </row>
    <row r="558" spans="1:7" x14ac:dyDescent="0.25">
      <c r="A558" s="22"/>
      <c r="B558" s="87"/>
      <c r="C558" s="66"/>
      <c r="D558" s="66"/>
      <c r="E558" s="66"/>
      <c r="F558" s="66"/>
      <c r="G558" s="66"/>
    </row>
    <row r="559" spans="1:7" x14ac:dyDescent="0.25">
      <c r="A559" s="22"/>
      <c r="B559" s="87"/>
      <c r="C559" s="66"/>
      <c r="D559" s="66"/>
      <c r="E559" s="66"/>
      <c r="F559" s="66"/>
      <c r="G559" s="66"/>
    </row>
    <row r="560" spans="1:7" x14ac:dyDescent="0.25">
      <c r="A560" s="22"/>
      <c r="B560" s="87"/>
      <c r="C560" s="66"/>
      <c r="D560" s="66"/>
      <c r="E560" s="66"/>
      <c r="F560" s="66"/>
      <c r="G560" s="66"/>
    </row>
    <row r="561" spans="1:7" x14ac:dyDescent="0.25">
      <c r="A561" s="22"/>
      <c r="B561" s="87"/>
      <c r="C561" s="66"/>
      <c r="D561" s="66"/>
      <c r="E561" s="66"/>
      <c r="F561" s="66"/>
      <c r="G561" s="66"/>
    </row>
    <row r="562" spans="1:7" x14ac:dyDescent="0.25">
      <c r="A562" s="22"/>
      <c r="B562" s="87"/>
      <c r="C562" s="66"/>
      <c r="D562" s="66"/>
      <c r="E562" s="66"/>
      <c r="F562" s="66"/>
      <c r="G562" s="66"/>
    </row>
    <row r="563" spans="1:7" x14ac:dyDescent="0.25">
      <c r="A563" s="22"/>
      <c r="B563" s="87"/>
      <c r="C563" s="66"/>
      <c r="D563" s="66"/>
      <c r="E563" s="66"/>
      <c r="F563" s="66"/>
      <c r="G563" s="66"/>
    </row>
    <row r="564" spans="1:7" x14ac:dyDescent="0.25">
      <c r="A564" s="22"/>
      <c r="B564" s="87"/>
      <c r="C564" s="66"/>
      <c r="D564" s="66"/>
      <c r="E564" s="66"/>
      <c r="F564" s="66"/>
      <c r="G564" s="66"/>
    </row>
    <row r="565" spans="1:7" x14ac:dyDescent="0.25">
      <c r="A565" s="22"/>
      <c r="B565" s="87"/>
      <c r="C565" s="66"/>
      <c r="D565" s="66"/>
      <c r="E565" s="66"/>
      <c r="F565" s="66"/>
      <c r="G565" s="66"/>
    </row>
    <row r="566" spans="1:7" x14ac:dyDescent="0.25">
      <c r="A566" s="22"/>
      <c r="B566" s="87"/>
      <c r="C566" s="66"/>
      <c r="D566" s="66"/>
      <c r="E566" s="66"/>
      <c r="F566" s="66"/>
      <c r="G566" s="66"/>
    </row>
    <row r="567" spans="1:7" x14ac:dyDescent="0.25">
      <c r="A567" s="22"/>
      <c r="B567" s="87"/>
      <c r="C567" s="66"/>
      <c r="D567" s="66"/>
      <c r="E567" s="66"/>
      <c r="F567" s="66"/>
      <c r="G567" s="66"/>
    </row>
    <row r="568" spans="1:7" x14ac:dyDescent="0.25">
      <c r="A568" s="22"/>
      <c r="B568" s="87"/>
      <c r="C568" s="66"/>
      <c r="D568" s="66"/>
      <c r="E568" s="66"/>
      <c r="F568" s="66"/>
      <c r="G568" s="66"/>
    </row>
    <row r="569" spans="1:7" x14ac:dyDescent="0.25">
      <c r="A569" s="22"/>
      <c r="B569" s="87"/>
      <c r="C569" s="66"/>
      <c r="D569" s="66"/>
      <c r="E569" s="66"/>
      <c r="F569" s="66"/>
      <c r="G569" s="66"/>
    </row>
    <row r="570" spans="1:7" x14ac:dyDescent="0.25">
      <c r="A570" s="22"/>
      <c r="B570" s="87"/>
      <c r="C570" s="66"/>
      <c r="D570" s="66"/>
      <c r="E570" s="66"/>
      <c r="F570" s="66"/>
      <c r="G570" s="66"/>
    </row>
    <row r="571" spans="1:7" x14ac:dyDescent="0.25">
      <c r="A571" s="22"/>
      <c r="B571" s="87"/>
      <c r="C571" s="66"/>
      <c r="D571" s="66"/>
      <c r="E571" s="66"/>
      <c r="F571" s="66"/>
      <c r="G571" s="66"/>
    </row>
    <row r="572" spans="1:7" x14ac:dyDescent="0.25">
      <c r="A572" s="22"/>
      <c r="B572" s="87"/>
      <c r="C572" s="66"/>
      <c r="D572" s="66"/>
      <c r="E572" s="66"/>
      <c r="F572" s="66"/>
      <c r="G572" s="66"/>
    </row>
    <row r="573" spans="1:7" x14ac:dyDescent="0.25">
      <c r="A573" s="22"/>
      <c r="B573" s="87"/>
      <c r="C573" s="66"/>
      <c r="D573" s="66"/>
      <c r="E573" s="66"/>
      <c r="F573" s="66"/>
      <c r="G573" s="66"/>
    </row>
    <row r="574" spans="1:7" x14ac:dyDescent="0.25">
      <c r="A574" s="22"/>
      <c r="B574" s="87"/>
      <c r="C574" s="66"/>
      <c r="D574" s="66"/>
      <c r="E574" s="66"/>
      <c r="F574" s="66"/>
      <c r="G574" s="66"/>
    </row>
    <row r="575" spans="1:7" x14ac:dyDescent="0.25">
      <c r="A575" s="22"/>
      <c r="B575" s="87"/>
      <c r="C575" s="66"/>
      <c r="D575" s="66"/>
      <c r="E575" s="66"/>
      <c r="F575" s="66"/>
      <c r="G575" s="66"/>
    </row>
    <row r="576" spans="1:7" x14ac:dyDescent="0.25">
      <c r="A576" s="22"/>
      <c r="B576" s="87"/>
      <c r="C576" s="66"/>
      <c r="D576" s="66"/>
      <c r="E576" s="66"/>
      <c r="F576" s="66"/>
      <c r="G576" s="66"/>
    </row>
    <row r="577" spans="1:7" x14ac:dyDescent="0.25">
      <c r="A577" s="22"/>
      <c r="B577" s="87"/>
      <c r="C577" s="66"/>
      <c r="D577" s="66"/>
      <c r="E577" s="66"/>
      <c r="F577" s="66"/>
      <c r="G577" s="66"/>
    </row>
    <row r="578" spans="1:7" x14ac:dyDescent="0.25">
      <c r="A578" s="22"/>
      <c r="B578" s="87"/>
      <c r="C578" s="66"/>
      <c r="D578" s="66"/>
      <c r="E578" s="66"/>
      <c r="F578" s="66"/>
      <c r="G578" s="66"/>
    </row>
    <row r="579" spans="1:7" x14ac:dyDescent="0.25">
      <c r="A579" s="22"/>
      <c r="B579" s="87"/>
      <c r="C579" s="66"/>
      <c r="D579" s="66"/>
      <c r="E579" s="66"/>
      <c r="F579" s="66"/>
      <c r="G579" s="66"/>
    </row>
    <row r="580" spans="1:7" x14ac:dyDescent="0.25">
      <c r="A580" s="22"/>
      <c r="B580" s="87"/>
      <c r="C580" s="66"/>
      <c r="D580" s="66"/>
      <c r="E580" s="66"/>
      <c r="F580" s="66"/>
      <c r="G580" s="66"/>
    </row>
    <row r="581" spans="1:7" x14ac:dyDescent="0.25">
      <c r="A581" s="22"/>
      <c r="B581" s="87"/>
      <c r="C581" s="66"/>
      <c r="D581" s="66"/>
      <c r="E581" s="66"/>
      <c r="F581" s="66"/>
      <c r="G581" s="66"/>
    </row>
    <row r="582" spans="1:7" x14ac:dyDescent="0.25">
      <c r="A582" s="22"/>
      <c r="B582" s="87"/>
      <c r="C582" s="66"/>
      <c r="D582" s="66"/>
      <c r="E582" s="66"/>
      <c r="F582" s="66"/>
      <c r="G582" s="66"/>
    </row>
    <row r="583" spans="1:7" x14ac:dyDescent="0.25">
      <c r="A583" s="22"/>
      <c r="B583" s="87"/>
      <c r="C583" s="66"/>
      <c r="D583" s="66"/>
      <c r="E583" s="66"/>
      <c r="F583" s="66"/>
      <c r="G583" s="66"/>
    </row>
    <row r="584" spans="1:7" x14ac:dyDescent="0.25">
      <c r="A584" s="22"/>
      <c r="B584" s="87"/>
      <c r="C584" s="66"/>
      <c r="D584" s="66"/>
      <c r="E584" s="66"/>
      <c r="F584" s="66"/>
      <c r="G584" s="66"/>
    </row>
    <row r="585" spans="1:7" x14ac:dyDescent="0.25">
      <c r="A585" s="22"/>
      <c r="B585" s="87"/>
      <c r="C585" s="66"/>
      <c r="D585" s="66"/>
      <c r="E585" s="66"/>
      <c r="F585" s="66"/>
      <c r="G585" s="66"/>
    </row>
    <row r="586" spans="1:7" x14ac:dyDescent="0.25">
      <c r="A586" s="22"/>
      <c r="B586" s="87"/>
      <c r="C586" s="66"/>
      <c r="D586" s="66"/>
      <c r="E586" s="66"/>
      <c r="F586" s="66"/>
      <c r="G586" s="66"/>
    </row>
    <row r="587" spans="1:7" x14ac:dyDescent="0.25">
      <c r="A587" s="22"/>
      <c r="B587" s="87"/>
      <c r="C587" s="66"/>
      <c r="D587" s="66"/>
      <c r="E587" s="66"/>
      <c r="F587" s="66"/>
      <c r="G587" s="66"/>
    </row>
    <row r="588" spans="1:7" x14ac:dyDescent="0.25">
      <c r="A588" s="22"/>
      <c r="B588" s="87"/>
      <c r="C588" s="66"/>
      <c r="D588" s="66"/>
      <c r="E588" s="66"/>
      <c r="F588" s="66"/>
      <c r="G588" s="66"/>
    </row>
    <row r="589" spans="1:7" x14ac:dyDescent="0.25">
      <c r="A589" s="22"/>
      <c r="B589" s="87"/>
      <c r="C589" s="66"/>
      <c r="D589" s="66"/>
      <c r="E589" s="66"/>
      <c r="F589" s="66"/>
      <c r="G589" s="66"/>
    </row>
    <row r="590" spans="1:7" x14ac:dyDescent="0.25">
      <c r="A590" s="22"/>
      <c r="B590" s="87"/>
      <c r="C590" s="66"/>
      <c r="D590" s="66"/>
      <c r="E590" s="66"/>
      <c r="F590" s="66"/>
      <c r="G590" s="66"/>
    </row>
    <row r="591" spans="1:7" x14ac:dyDescent="0.25">
      <c r="A591" s="22"/>
      <c r="B591" s="87"/>
      <c r="C591" s="66"/>
      <c r="D591" s="66"/>
      <c r="E591" s="66"/>
      <c r="F591" s="66"/>
      <c r="G591" s="66"/>
    </row>
    <row r="592" spans="1:7" x14ac:dyDescent="0.25">
      <c r="A592" s="22"/>
      <c r="B592" s="87"/>
      <c r="C592" s="66"/>
      <c r="D592" s="66"/>
      <c r="E592" s="66"/>
      <c r="F592" s="66"/>
      <c r="G592" s="66"/>
    </row>
    <row r="593" spans="1:7" x14ac:dyDescent="0.25">
      <c r="A593" s="22"/>
      <c r="B593" s="87"/>
      <c r="C593" s="66"/>
      <c r="D593" s="66"/>
      <c r="E593" s="66"/>
      <c r="F593" s="66"/>
      <c r="G593" s="66"/>
    </row>
    <row r="594" spans="1:7" x14ac:dyDescent="0.25">
      <c r="A594" s="22"/>
      <c r="B594" s="87"/>
      <c r="C594" s="66"/>
      <c r="D594" s="66"/>
      <c r="E594" s="66"/>
      <c r="F594" s="66"/>
      <c r="G594" s="66"/>
    </row>
    <row r="595" spans="1:7" x14ac:dyDescent="0.25">
      <c r="A595" s="22"/>
      <c r="B595" s="87"/>
      <c r="C595" s="66"/>
      <c r="D595" s="66"/>
      <c r="E595" s="66"/>
      <c r="F595" s="66"/>
      <c r="G595" s="66"/>
    </row>
    <row r="596" spans="1:7" x14ac:dyDescent="0.25">
      <c r="A596" s="22"/>
      <c r="B596" s="87"/>
      <c r="C596" s="66"/>
      <c r="D596" s="66"/>
      <c r="E596" s="66"/>
      <c r="F596" s="66"/>
      <c r="G596" s="66"/>
    </row>
    <row r="597" spans="1:7" x14ac:dyDescent="0.25">
      <c r="A597" s="22"/>
      <c r="B597" s="87"/>
      <c r="C597" s="66"/>
      <c r="D597" s="66"/>
      <c r="E597" s="66"/>
      <c r="F597" s="66"/>
      <c r="G597" s="66"/>
    </row>
    <row r="598" spans="1:7" x14ac:dyDescent="0.25">
      <c r="A598" s="22"/>
      <c r="B598" s="87"/>
      <c r="C598" s="66"/>
      <c r="D598" s="66"/>
      <c r="E598" s="66"/>
      <c r="F598" s="66"/>
      <c r="G598" s="66"/>
    </row>
    <row r="599" spans="1:7" x14ac:dyDescent="0.25">
      <c r="A599" s="22"/>
      <c r="B599" s="87"/>
      <c r="C599" s="66"/>
      <c r="D599" s="66"/>
      <c r="E599" s="66"/>
      <c r="F599" s="66"/>
      <c r="G599" s="66"/>
    </row>
    <row r="600" spans="1:7" x14ac:dyDescent="0.25">
      <c r="A600" s="22"/>
      <c r="B600" s="87"/>
      <c r="C600" s="66"/>
      <c r="D600" s="66"/>
      <c r="E600" s="66"/>
      <c r="F600" s="66"/>
      <c r="G600" s="66"/>
    </row>
    <row r="601" spans="1:7" x14ac:dyDescent="0.25">
      <c r="A601" s="22"/>
      <c r="B601" s="87"/>
      <c r="C601" s="66"/>
      <c r="D601" s="66"/>
      <c r="E601" s="66"/>
      <c r="F601" s="66"/>
      <c r="G601" s="66"/>
    </row>
    <row r="602" spans="1:7" x14ac:dyDescent="0.25">
      <c r="A602" s="22"/>
      <c r="B602" s="87"/>
      <c r="C602" s="66"/>
      <c r="D602" s="66"/>
      <c r="E602" s="66"/>
      <c r="F602" s="66"/>
      <c r="G602" s="66"/>
    </row>
    <row r="603" spans="1:7" x14ac:dyDescent="0.25">
      <c r="A603" s="22"/>
      <c r="B603" s="87"/>
      <c r="C603" s="66"/>
      <c r="D603" s="66"/>
      <c r="E603" s="66"/>
      <c r="F603" s="66"/>
      <c r="G603" s="66"/>
    </row>
    <row r="604" spans="1:7" x14ac:dyDescent="0.25">
      <c r="A604" s="22"/>
      <c r="B604" s="87"/>
      <c r="C604" s="66"/>
      <c r="D604" s="66"/>
      <c r="E604" s="66"/>
      <c r="F604" s="66"/>
      <c r="G604" s="66"/>
    </row>
    <row r="605" spans="1:7" x14ac:dyDescent="0.25">
      <c r="A605" s="22"/>
      <c r="B605" s="87"/>
      <c r="C605" s="66"/>
      <c r="D605" s="66"/>
      <c r="E605" s="66"/>
      <c r="F605" s="66"/>
      <c r="G605" s="66"/>
    </row>
    <row r="606" spans="1:7" x14ac:dyDescent="0.25">
      <c r="A606" s="22"/>
      <c r="B606" s="87"/>
      <c r="C606" s="66"/>
      <c r="D606" s="66"/>
      <c r="E606" s="66"/>
      <c r="F606" s="66"/>
      <c r="G606" s="66"/>
    </row>
    <row r="607" spans="1:7" x14ac:dyDescent="0.25">
      <c r="A607" s="22"/>
      <c r="B607" s="87"/>
      <c r="C607" s="66"/>
      <c r="D607" s="66"/>
      <c r="E607" s="66"/>
      <c r="F607" s="66"/>
      <c r="G607" s="66"/>
    </row>
    <row r="608" spans="1:7" x14ac:dyDescent="0.25">
      <c r="A608" s="22"/>
      <c r="B608" s="87"/>
      <c r="C608" s="66"/>
      <c r="D608" s="66"/>
      <c r="E608" s="66"/>
      <c r="F608" s="66"/>
      <c r="G608" s="66"/>
    </row>
    <row r="609" spans="1:7" x14ac:dyDescent="0.25">
      <c r="A609" s="22"/>
      <c r="B609" s="87"/>
      <c r="C609" s="66"/>
      <c r="D609" s="66"/>
      <c r="E609" s="66"/>
      <c r="F609" s="66"/>
      <c r="G609" s="66"/>
    </row>
    <row r="610" spans="1:7" x14ac:dyDescent="0.25">
      <c r="A610" s="22"/>
      <c r="B610" s="87"/>
      <c r="C610" s="66"/>
      <c r="D610" s="66"/>
      <c r="E610" s="66"/>
      <c r="F610" s="66"/>
      <c r="G610" s="66"/>
    </row>
    <row r="611" spans="1:7" x14ac:dyDescent="0.25">
      <c r="A611" s="22"/>
      <c r="B611" s="88"/>
      <c r="C611" s="19"/>
      <c r="D611" s="19"/>
      <c r="E611" s="19"/>
      <c r="F611" s="19"/>
      <c r="G611" s="19"/>
    </row>
    <row r="612" spans="1:7" x14ac:dyDescent="0.25">
      <c r="A612" s="22"/>
      <c r="B612" s="88"/>
      <c r="C612" s="19"/>
      <c r="D612" s="19"/>
      <c r="E612" s="19"/>
      <c r="F612" s="19"/>
      <c r="G612" s="19"/>
    </row>
    <row r="613" spans="1:7" x14ac:dyDescent="0.25">
      <c r="A613" s="22"/>
      <c r="B613" s="88"/>
      <c r="C613" s="19"/>
      <c r="D613" s="19"/>
      <c r="E613" s="19"/>
      <c r="F613" s="19"/>
      <c r="G613" s="19"/>
    </row>
    <row r="614" spans="1:7" x14ac:dyDescent="0.25">
      <c r="A614" s="22"/>
      <c r="B614" s="88"/>
      <c r="C614" s="19"/>
      <c r="D614" s="19"/>
      <c r="E614" s="19"/>
      <c r="F614" s="19"/>
      <c r="G614" s="19"/>
    </row>
    <row r="615" spans="1:7" x14ac:dyDescent="0.25">
      <c r="A615" s="22"/>
      <c r="B615" s="88"/>
      <c r="C615" s="19"/>
      <c r="D615" s="19"/>
      <c r="E615" s="19"/>
      <c r="F615" s="19"/>
      <c r="G615" s="19"/>
    </row>
    <row r="616" spans="1:7" x14ac:dyDescent="0.25">
      <c r="A616" s="22"/>
      <c r="B616" s="88"/>
      <c r="C616" s="19"/>
      <c r="D616" s="19"/>
      <c r="E616" s="19"/>
      <c r="F616" s="19"/>
      <c r="G616" s="19"/>
    </row>
    <row r="617" spans="1:7" x14ac:dyDescent="0.25">
      <c r="A617" s="22"/>
      <c r="B617" s="88"/>
      <c r="C617" s="19"/>
      <c r="D617" s="19"/>
      <c r="E617" s="19"/>
      <c r="F617" s="19"/>
      <c r="G617" s="19"/>
    </row>
    <row r="618" spans="1:7" x14ac:dyDescent="0.25">
      <c r="A618" s="22"/>
      <c r="B618" s="88"/>
      <c r="C618" s="19"/>
      <c r="D618" s="19"/>
      <c r="E618" s="19"/>
      <c r="F618" s="19"/>
      <c r="G618" s="19"/>
    </row>
    <row r="619" spans="1:7" x14ac:dyDescent="0.25">
      <c r="A619" s="22"/>
      <c r="B619" s="88"/>
      <c r="C619" s="19"/>
      <c r="D619" s="19"/>
      <c r="E619" s="19"/>
      <c r="F619" s="19"/>
      <c r="G619" s="19"/>
    </row>
    <row r="620" spans="1:7" x14ac:dyDescent="0.25">
      <c r="A620" s="22"/>
      <c r="B620" s="88"/>
      <c r="C620" s="19"/>
      <c r="D620" s="19"/>
      <c r="E620" s="19"/>
      <c r="F620" s="19"/>
      <c r="G620" s="19"/>
    </row>
    <row r="621" spans="1:7" x14ac:dyDescent="0.25">
      <c r="A621" s="22"/>
      <c r="B621" s="88"/>
      <c r="C621" s="19"/>
      <c r="D621" s="19"/>
      <c r="E621" s="19"/>
      <c r="F621" s="19"/>
      <c r="G621" s="19"/>
    </row>
    <row r="622" spans="1:7" x14ac:dyDescent="0.25">
      <c r="A622" s="22"/>
      <c r="B622" s="88"/>
      <c r="C622" s="19"/>
      <c r="D622" s="19"/>
      <c r="E622" s="19"/>
      <c r="F622" s="19"/>
      <c r="G622" s="19"/>
    </row>
    <row r="623" spans="1:7" x14ac:dyDescent="0.25">
      <c r="A623" s="22"/>
      <c r="B623" s="88"/>
      <c r="C623" s="19"/>
      <c r="D623" s="19"/>
      <c r="E623" s="19"/>
      <c r="F623" s="19"/>
      <c r="G623" s="19"/>
    </row>
    <row r="624" spans="1:7" x14ac:dyDescent="0.25">
      <c r="A624" s="22"/>
      <c r="B624" s="88"/>
      <c r="C624" s="19"/>
      <c r="D624" s="19"/>
      <c r="E624" s="19"/>
      <c r="F624" s="19"/>
      <c r="G624" s="19"/>
    </row>
    <row r="625" spans="1:7" x14ac:dyDescent="0.25">
      <c r="A625" s="22"/>
      <c r="B625" s="88"/>
      <c r="C625" s="19"/>
      <c r="D625" s="19"/>
      <c r="E625" s="19"/>
      <c r="F625" s="19"/>
      <c r="G625" s="19"/>
    </row>
    <row r="626" spans="1:7" x14ac:dyDescent="0.25">
      <c r="A626" s="22"/>
      <c r="B626" s="88"/>
      <c r="C626" s="19"/>
      <c r="D626" s="19"/>
      <c r="E626" s="19"/>
      <c r="F626" s="19"/>
      <c r="G626" s="19"/>
    </row>
    <row r="627" spans="1:7" x14ac:dyDescent="0.25">
      <c r="A627" s="22"/>
      <c r="B627" s="88"/>
      <c r="C627" s="19"/>
      <c r="D627" s="19"/>
      <c r="E627" s="19"/>
      <c r="F627" s="19"/>
      <c r="G627" s="19"/>
    </row>
    <row r="628" spans="1:7" x14ac:dyDescent="0.25">
      <c r="A628" s="22"/>
      <c r="B628" s="88"/>
      <c r="C628" s="19"/>
      <c r="D628" s="19"/>
      <c r="E628" s="19"/>
      <c r="F628" s="19"/>
      <c r="G628" s="19"/>
    </row>
    <row r="629" spans="1:7" x14ac:dyDescent="0.25">
      <c r="A629" s="22"/>
      <c r="B629" s="88"/>
      <c r="C629" s="19"/>
      <c r="D629" s="19"/>
      <c r="E629" s="19"/>
      <c r="F629" s="19"/>
      <c r="G629" s="19"/>
    </row>
    <row r="630" spans="1:7" x14ac:dyDescent="0.25">
      <c r="A630" s="22"/>
      <c r="B630" s="88"/>
      <c r="C630" s="19"/>
      <c r="D630" s="19"/>
      <c r="E630" s="19"/>
      <c r="F630" s="19"/>
      <c r="G630" s="19"/>
    </row>
    <row r="631" spans="1:7" x14ac:dyDescent="0.25">
      <c r="A631" s="22"/>
      <c r="B631" s="88"/>
      <c r="C631" s="19"/>
      <c r="D631" s="19"/>
      <c r="E631" s="19"/>
      <c r="F631" s="19"/>
      <c r="G631" s="19"/>
    </row>
    <row r="632" spans="1:7" x14ac:dyDescent="0.25">
      <c r="A632" s="22"/>
      <c r="B632" s="88"/>
      <c r="C632" s="19"/>
      <c r="D632" s="19"/>
      <c r="E632" s="19"/>
      <c r="F632" s="19"/>
      <c r="G632" s="19"/>
    </row>
    <row r="633" spans="1:7" x14ac:dyDescent="0.25">
      <c r="A633" s="22"/>
      <c r="B633" s="88"/>
      <c r="C633" s="19"/>
      <c r="D633" s="19"/>
      <c r="E633" s="19"/>
      <c r="F633" s="19"/>
      <c r="G633" s="19"/>
    </row>
    <row r="634" spans="1:7" x14ac:dyDescent="0.25">
      <c r="A634" s="22"/>
      <c r="B634" s="88"/>
      <c r="C634" s="19"/>
      <c r="D634" s="19"/>
      <c r="E634" s="19"/>
      <c r="F634" s="19"/>
      <c r="G634" s="19"/>
    </row>
    <row r="635" spans="1:7" x14ac:dyDescent="0.25">
      <c r="A635" s="22"/>
      <c r="B635" s="88"/>
      <c r="C635" s="19"/>
      <c r="D635" s="19"/>
      <c r="E635" s="19"/>
      <c r="F635" s="19"/>
      <c r="G635" s="19"/>
    </row>
    <row r="636" spans="1:7" x14ac:dyDescent="0.25">
      <c r="A636" s="22"/>
      <c r="B636" s="88"/>
      <c r="C636" s="19"/>
      <c r="D636" s="19"/>
      <c r="E636" s="19"/>
      <c r="F636" s="19"/>
      <c r="G636" s="19"/>
    </row>
    <row r="637" spans="1:7" x14ac:dyDescent="0.25">
      <c r="A637" s="22"/>
      <c r="B637" s="88"/>
      <c r="C637" s="19"/>
      <c r="D637" s="19"/>
      <c r="E637" s="19"/>
      <c r="F637" s="19"/>
      <c r="G637" s="19"/>
    </row>
    <row r="638" spans="1:7" x14ac:dyDescent="0.25">
      <c r="A638" s="22"/>
      <c r="B638" s="88"/>
      <c r="C638" s="19"/>
      <c r="D638" s="19"/>
      <c r="E638" s="19"/>
      <c r="F638" s="19"/>
      <c r="G638" s="19"/>
    </row>
    <row r="639" spans="1:7" x14ac:dyDescent="0.25">
      <c r="A639" s="22"/>
      <c r="B639" s="88"/>
      <c r="C639" s="19"/>
      <c r="D639" s="19"/>
      <c r="E639" s="19"/>
      <c r="F639" s="19"/>
      <c r="G639" s="19"/>
    </row>
    <row r="640" spans="1:7" x14ac:dyDescent="0.25">
      <c r="A640" s="22"/>
      <c r="B640" s="88"/>
      <c r="C640" s="19"/>
      <c r="D640" s="19"/>
      <c r="E640" s="19"/>
      <c r="F640" s="19"/>
      <c r="G640" s="19"/>
    </row>
    <row r="641" spans="1:7" x14ac:dyDescent="0.25">
      <c r="A641" s="22"/>
      <c r="B641" s="88"/>
      <c r="C641" s="19"/>
      <c r="D641" s="19"/>
      <c r="E641" s="19"/>
      <c r="F641" s="19"/>
      <c r="G641" s="19"/>
    </row>
    <row r="642" spans="1:7" x14ac:dyDescent="0.25">
      <c r="A642" s="22"/>
      <c r="B642" s="88"/>
      <c r="C642" s="19"/>
      <c r="D642" s="19"/>
      <c r="E642" s="19"/>
      <c r="F642" s="19"/>
      <c r="G642" s="19"/>
    </row>
    <row r="643" spans="1:7" x14ac:dyDescent="0.25">
      <c r="A643" s="22"/>
      <c r="B643" s="88"/>
      <c r="C643" s="19"/>
      <c r="D643" s="19"/>
      <c r="E643" s="19"/>
      <c r="F643" s="19"/>
      <c r="G643" s="19"/>
    </row>
    <row r="644" spans="1:7" x14ac:dyDescent="0.25">
      <c r="A644" s="22"/>
      <c r="B644" s="88"/>
      <c r="C644" s="19"/>
      <c r="D644" s="19"/>
      <c r="E644" s="19"/>
      <c r="F644" s="19"/>
      <c r="G644" s="19"/>
    </row>
    <row r="645" spans="1:7" x14ac:dyDescent="0.25">
      <c r="A645" s="22"/>
      <c r="B645" s="88"/>
      <c r="C645" s="19"/>
      <c r="D645" s="19"/>
      <c r="E645" s="19"/>
      <c r="F645" s="19"/>
      <c r="G645" s="19"/>
    </row>
    <row r="646" spans="1:7" x14ac:dyDescent="0.25">
      <c r="A646" s="22"/>
      <c r="B646" s="88"/>
      <c r="C646" s="19"/>
      <c r="D646" s="19"/>
      <c r="E646" s="19"/>
      <c r="F646" s="19"/>
      <c r="G646" s="19"/>
    </row>
    <row r="647" spans="1:7" x14ac:dyDescent="0.25">
      <c r="A647" s="22"/>
      <c r="B647" s="88"/>
      <c r="C647" s="19"/>
      <c r="D647" s="19"/>
      <c r="E647" s="19"/>
      <c r="F647" s="19"/>
      <c r="G647" s="19"/>
    </row>
    <row r="648" spans="1:7" x14ac:dyDescent="0.25">
      <c r="A648" s="22"/>
      <c r="B648" s="88"/>
      <c r="C648" s="19"/>
      <c r="D648" s="19"/>
      <c r="E648" s="19"/>
      <c r="F648" s="19"/>
      <c r="G648" s="19"/>
    </row>
    <row r="649" spans="1:7" x14ac:dyDescent="0.25">
      <c r="A649" s="22"/>
      <c r="B649" s="88"/>
      <c r="C649" s="19"/>
      <c r="D649" s="19"/>
      <c r="E649" s="19"/>
      <c r="F649" s="19"/>
      <c r="G649" s="19"/>
    </row>
    <row r="650" spans="1:7" x14ac:dyDescent="0.25">
      <c r="A650" s="22"/>
      <c r="B650" s="88"/>
      <c r="C650" s="19"/>
      <c r="D650" s="19"/>
      <c r="E650" s="19"/>
      <c r="F650" s="19"/>
      <c r="G650" s="19"/>
    </row>
    <row r="651" spans="1:7" x14ac:dyDescent="0.25">
      <c r="A651" s="22"/>
      <c r="B651" s="88"/>
      <c r="C651" s="19"/>
      <c r="D651" s="19"/>
      <c r="E651" s="19"/>
      <c r="F651" s="19"/>
      <c r="G651" s="19"/>
    </row>
    <row r="652" spans="1:7" x14ac:dyDescent="0.25">
      <c r="A652" s="22"/>
      <c r="B652" s="88"/>
      <c r="C652" s="19"/>
      <c r="D652" s="19"/>
      <c r="E652" s="19"/>
      <c r="F652" s="19"/>
      <c r="G652" s="19"/>
    </row>
    <row r="653" spans="1:7" x14ac:dyDescent="0.25">
      <c r="A653" s="22"/>
      <c r="B653" s="88"/>
      <c r="C653" s="19"/>
      <c r="D653" s="19"/>
      <c r="E653" s="19"/>
      <c r="F653" s="19"/>
      <c r="G653" s="19"/>
    </row>
    <row r="654" spans="1:7" x14ac:dyDescent="0.25">
      <c r="A654" s="22"/>
      <c r="B654" s="88"/>
      <c r="C654" s="19"/>
      <c r="D654" s="19"/>
      <c r="E654" s="19"/>
      <c r="F654" s="19"/>
      <c r="G654" s="19"/>
    </row>
    <row r="655" spans="1:7" x14ac:dyDescent="0.25">
      <c r="A655" s="22"/>
      <c r="B655" s="88"/>
      <c r="C655" s="19"/>
      <c r="D655" s="19"/>
      <c r="E655" s="19"/>
      <c r="F655" s="19"/>
      <c r="G655" s="19"/>
    </row>
    <row r="656" spans="1:7" x14ac:dyDescent="0.25">
      <c r="A656" s="22"/>
      <c r="B656" s="22"/>
      <c r="C656" s="19"/>
      <c r="D656" s="19"/>
      <c r="E656" s="19"/>
      <c r="F656" s="19"/>
      <c r="G656" s="19"/>
    </row>
    <row r="657" spans="1:7" x14ac:dyDescent="0.25">
      <c r="A657" s="22"/>
      <c r="B657" s="22"/>
      <c r="C657" s="19"/>
      <c r="D657" s="19"/>
      <c r="E657" s="19"/>
      <c r="F657" s="19"/>
      <c r="G657" s="19"/>
    </row>
    <row r="658" spans="1:7" x14ac:dyDescent="0.25">
      <c r="A658" s="22"/>
      <c r="B658" s="22"/>
      <c r="C658" s="19"/>
      <c r="D658" s="19"/>
      <c r="E658" s="19"/>
      <c r="F658" s="19"/>
      <c r="G658" s="19"/>
    </row>
    <row r="659" spans="1:7" x14ac:dyDescent="0.25">
      <c r="A659" s="22"/>
      <c r="B659" s="22"/>
      <c r="C659" s="19"/>
      <c r="D659" s="19"/>
      <c r="E659" s="19"/>
      <c r="F659" s="19"/>
      <c r="G659" s="19"/>
    </row>
    <row r="660" spans="1:7" x14ac:dyDescent="0.25">
      <c r="A660" s="22"/>
      <c r="B660" s="22"/>
      <c r="C660" s="19"/>
      <c r="D660" s="19"/>
      <c r="E660" s="19"/>
      <c r="F660" s="19"/>
      <c r="G660" s="19"/>
    </row>
    <row r="661" spans="1:7" x14ac:dyDescent="0.25">
      <c r="A661" s="22"/>
      <c r="B661" s="22"/>
      <c r="C661" s="19"/>
      <c r="D661" s="19"/>
      <c r="E661" s="19"/>
      <c r="F661" s="19"/>
      <c r="G661" s="19"/>
    </row>
    <row r="662" spans="1:7" x14ac:dyDescent="0.25">
      <c r="A662" s="22"/>
      <c r="B662" s="22"/>
      <c r="C662" s="19"/>
      <c r="D662" s="19"/>
      <c r="E662" s="19"/>
      <c r="F662" s="19"/>
      <c r="G662" s="19"/>
    </row>
    <row r="663" spans="1:7" x14ac:dyDescent="0.25">
      <c r="A663" s="22"/>
      <c r="B663" s="22"/>
      <c r="C663" s="19"/>
      <c r="D663" s="19"/>
      <c r="E663" s="19"/>
      <c r="F663" s="19"/>
      <c r="G663" s="19"/>
    </row>
    <row r="664" spans="1:7" x14ac:dyDescent="0.25">
      <c r="A664" s="22"/>
      <c r="B664" s="22"/>
      <c r="C664" s="19"/>
      <c r="D664" s="19"/>
      <c r="E664" s="19"/>
      <c r="F664" s="19"/>
      <c r="G664" s="19"/>
    </row>
    <row r="665" spans="1:7" x14ac:dyDescent="0.25">
      <c r="A665" s="22"/>
      <c r="B665" s="22"/>
      <c r="C665" s="19"/>
      <c r="D665" s="19"/>
      <c r="E665" s="19"/>
      <c r="F665" s="19"/>
      <c r="G665" s="19"/>
    </row>
    <row r="666" spans="1:7" x14ac:dyDescent="0.25">
      <c r="A666" s="22"/>
      <c r="B666" s="22"/>
      <c r="C666" s="19"/>
      <c r="D666" s="19"/>
      <c r="E666" s="19"/>
      <c r="F666" s="19"/>
      <c r="G666" s="19"/>
    </row>
    <row r="667" spans="1:7" x14ac:dyDescent="0.25">
      <c r="A667" s="22"/>
      <c r="B667" s="22"/>
      <c r="C667" s="19"/>
      <c r="D667" s="19"/>
      <c r="E667" s="19"/>
      <c r="F667" s="19"/>
      <c r="G667" s="19"/>
    </row>
    <row r="668" spans="1:7" x14ac:dyDescent="0.25">
      <c r="A668" s="22"/>
      <c r="B668" s="22"/>
      <c r="C668" s="19"/>
      <c r="D668" s="19"/>
      <c r="E668" s="19"/>
      <c r="F668" s="19"/>
      <c r="G668" s="19"/>
    </row>
    <row r="669" spans="1:7" x14ac:dyDescent="0.25">
      <c r="A669" s="22"/>
      <c r="B669" s="22"/>
      <c r="C669" s="19"/>
      <c r="D669" s="19"/>
      <c r="E669" s="19"/>
      <c r="F669" s="19"/>
      <c r="G669" s="19"/>
    </row>
    <row r="670" spans="1:7" x14ac:dyDescent="0.25">
      <c r="A670" s="22"/>
      <c r="B670" s="22"/>
      <c r="C670" s="19"/>
      <c r="D670" s="19"/>
      <c r="E670" s="19"/>
      <c r="F670" s="19"/>
      <c r="G670" s="19"/>
    </row>
    <row r="671" spans="1:7" x14ac:dyDescent="0.25">
      <c r="A671" s="22"/>
      <c r="B671" s="22"/>
      <c r="C671" s="19"/>
      <c r="D671" s="19"/>
      <c r="E671" s="19"/>
      <c r="F671" s="19"/>
      <c r="G671" s="19"/>
    </row>
    <row r="672" spans="1:7" x14ac:dyDescent="0.25">
      <c r="A672" s="22"/>
      <c r="B672" s="22"/>
      <c r="C672" s="19"/>
      <c r="D672" s="19"/>
      <c r="E672" s="19"/>
      <c r="F672" s="19"/>
      <c r="G672" s="19"/>
    </row>
    <row r="673" spans="1:7" x14ac:dyDescent="0.25">
      <c r="A673" s="22"/>
      <c r="B673" s="22"/>
      <c r="C673" s="19"/>
      <c r="D673" s="19"/>
      <c r="E673" s="19"/>
      <c r="F673" s="19"/>
      <c r="G673" s="19"/>
    </row>
    <row r="674" spans="1:7" x14ac:dyDescent="0.25">
      <c r="A674" s="22"/>
      <c r="B674" s="22"/>
      <c r="C674" s="19"/>
      <c r="D674" s="19"/>
      <c r="E674" s="19"/>
      <c r="F674" s="19"/>
      <c r="G674" s="19"/>
    </row>
    <row r="675" spans="1:7" x14ac:dyDescent="0.25">
      <c r="A675" s="22"/>
      <c r="B675" s="22"/>
      <c r="C675" s="19"/>
      <c r="D675" s="19"/>
      <c r="E675" s="19"/>
      <c r="F675" s="19"/>
      <c r="G675" s="19"/>
    </row>
    <row r="676" spans="1:7" x14ac:dyDescent="0.25">
      <c r="A676" s="22"/>
      <c r="B676" s="22"/>
      <c r="C676" s="19"/>
      <c r="D676" s="19"/>
      <c r="E676" s="19"/>
      <c r="F676" s="19"/>
      <c r="G676" s="19"/>
    </row>
    <row r="677" spans="1:7" x14ac:dyDescent="0.25">
      <c r="A677" s="22"/>
      <c r="B677" s="22"/>
      <c r="C677" s="19"/>
      <c r="D677" s="19"/>
      <c r="E677" s="19"/>
      <c r="F677" s="19"/>
      <c r="G677" s="19"/>
    </row>
    <row r="678" spans="1:7" x14ac:dyDescent="0.25">
      <c r="A678" s="22"/>
      <c r="B678" s="22"/>
      <c r="C678" s="19"/>
      <c r="D678" s="19"/>
      <c r="E678" s="19"/>
      <c r="F678" s="19"/>
      <c r="G678" s="19"/>
    </row>
    <row r="679" spans="1:7" x14ac:dyDescent="0.25">
      <c r="A679" s="22"/>
      <c r="B679" s="22"/>
      <c r="C679" s="19"/>
      <c r="D679" s="19"/>
      <c r="E679" s="19"/>
      <c r="F679" s="19"/>
      <c r="G679" s="19"/>
    </row>
    <row r="680" spans="1:7" x14ac:dyDescent="0.25">
      <c r="A680" s="22"/>
      <c r="B680" s="22"/>
      <c r="C680" s="19"/>
      <c r="D680" s="19"/>
      <c r="E680" s="19"/>
      <c r="F680" s="19"/>
      <c r="G680" s="19"/>
    </row>
    <row r="681" spans="1:7" x14ac:dyDescent="0.25">
      <c r="A681" s="22"/>
      <c r="B681" s="22"/>
      <c r="C681" s="19"/>
      <c r="D681" s="19"/>
      <c r="E681" s="19"/>
      <c r="F681" s="19"/>
      <c r="G681" s="19"/>
    </row>
    <row r="682" spans="1:7" x14ac:dyDescent="0.25">
      <c r="A682" s="22"/>
      <c r="B682" s="22"/>
      <c r="C682" s="19"/>
      <c r="D682" s="19"/>
      <c r="E682" s="19"/>
      <c r="F682" s="19"/>
      <c r="G682" s="19"/>
    </row>
    <row r="683" spans="1:7" x14ac:dyDescent="0.25">
      <c r="A683" s="22"/>
      <c r="B683" s="22"/>
      <c r="C683" s="19"/>
      <c r="D683" s="19"/>
      <c r="E683" s="19"/>
      <c r="F683" s="19"/>
      <c r="G683" s="19"/>
    </row>
    <row r="684" spans="1:7" x14ac:dyDescent="0.25">
      <c r="A684" s="22"/>
      <c r="B684" s="22"/>
      <c r="C684" s="19"/>
      <c r="D684" s="19"/>
      <c r="E684" s="19"/>
      <c r="F684" s="19"/>
      <c r="G684" s="19"/>
    </row>
    <row r="685" spans="1:7" x14ac:dyDescent="0.25">
      <c r="A685" s="22"/>
      <c r="B685" s="22"/>
      <c r="C685" s="19"/>
      <c r="D685" s="19"/>
      <c r="E685" s="19"/>
      <c r="F685" s="19"/>
      <c r="G685" s="19"/>
    </row>
    <row r="686" spans="1:7" x14ac:dyDescent="0.25">
      <c r="A686" s="22"/>
      <c r="B686" s="22"/>
      <c r="C686" s="19"/>
      <c r="D686" s="19"/>
      <c r="E686" s="19"/>
      <c r="F686" s="19"/>
      <c r="G686" s="19"/>
    </row>
    <row r="687" spans="1:7" x14ac:dyDescent="0.25">
      <c r="A687" s="22"/>
      <c r="B687" s="22"/>
      <c r="C687" s="19"/>
      <c r="D687" s="19"/>
      <c r="E687" s="19"/>
      <c r="F687" s="19"/>
      <c r="G687" s="19"/>
    </row>
    <row r="688" spans="1:7" x14ac:dyDescent="0.25">
      <c r="A688" s="22"/>
      <c r="B688" s="22"/>
      <c r="C688" s="19"/>
      <c r="D688" s="19"/>
      <c r="E688" s="19"/>
      <c r="F688" s="19"/>
      <c r="G688" s="19"/>
    </row>
    <row r="689" spans="1:7" x14ac:dyDescent="0.25">
      <c r="A689" s="22"/>
      <c r="B689" s="22"/>
      <c r="C689" s="19"/>
      <c r="D689" s="19"/>
      <c r="E689" s="19"/>
      <c r="F689" s="19"/>
      <c r="G689" s="19"/>
    </row>
    <row r="690" spans="1:7" x14ac:dyDescent="0.25">
      <c r="A690" s="22"/>
      <c r="B690" s="22"/>
      <c r="C690" s="19"/>
      <c r="D690" s="19"/>
      <c r="E690" s="19"/>
      <c r="F690" s="19"/>
      <c r="G690" s="19"/>
    </row>
    <row r="691" spans="1:7" x14ac:dyDescent="0.25">
      <c r="A691" s="22"/>
      <c r="B691" s="22"/>
      <c r="C691" s="19"/>
      <c r="D691" s="19"/>
      <c r="E691" s="19"/>
      <c r="F691" s="19"/>
      <c r="G691" s="19"/>
    </row>
    <row r="692" spans="1:7" x14ac:dyDescent="0.25">
      <c r="A692" s="22"/>
      <c r="B692" s="22"/>
      <c r="C692" s="19"/>
      <c r="D692" s="19"/>
      <c r="E692" s="19"/>
      <c r="F692" s="19"/>
      <c r="G692" s="19"/>
    </row>
    <row r="693" spans="1:7" x14ac:dyDescent="0.25">
      <c r="A693" s="22"/>
      <c r="B693" s="22"/>
      <c r="C693" s="19"/>
      <c r="D693" s="19"/>
      <c r="E693" s="19"/>
      <c r="F693" s="19"/>
      <c r="G693" s="19"/>
    </row>
    <row r="694" spans="1:7" x14ac:dyDescent="0.25">
      <c r="A694" s="22"/>
      <c r="B694" s="22"/>
      <c r="C694" s="19"/>
      <c r="D694" s="19"/>
      <c r="E694" s="19"/>
      <c r="F694" s="19"/>
      <c r="G694" s="19"/>
    </row>
    <row r="695" spans="1:7" x14ac:dyDescent="0.25">
      <c r="A695" s="22"/>
      <c r="B695" s="22"/>
      <c r="C695" s="19"/>
      <c r="D695" s="19"/>
      <c r="E695" s="19"/>
      <c r="F695" s="19"/>
      <c r="G695" s="19"/>
    </row>
    <row r="696" spans="1:7" x14ac:dyDescent="0.25">
      <c r="A696" s="22"/>
      <c r="B696" s="22"/>
      <c r="C696" s="19"/>
      <c r="D696" s="19"/>
      <c r="E696" s="19"/>
      <c r="F696" s="19"/>
      <c r="G696" s="19"/>
    </row>
    <row r="697" spans="1:7" x14ac:dyDescent="0.25">
      <c r="A697" s="22"/>
      <c r="B697" s="22"/>
      <c r="C697" s="19"/>
      <c r="D697" s="19"/>
      <c r="E697" s="19"/>
      <c r="F697" s="19"/>
      <c r="G697" s="19"/>
    </row>
    <row r="698" spans="1:7" x14ac:dyDescent="0.25">
      <c r="A698" s="22"/>
      <c r="B698" s="22"/>
      <c r="C698" s="19"/>
      <c r="D698" s="19"/>
      <c r="E698" s="19"/>
      <c r="F698" s="19"/>
      <c r="G698" s="19"/>
    </row>
    <row r="699" spans="1:7" x14ac:dyDescent="0.25">
      <c r="A699" s="22"/>
      <c r="B699" s="22"/>
      <c r="C699" s="19"/>
      <c r="D699" s="19"/>
      <c r="E699" s="19"/>
      <c r="F699" s="19"/>
      <c r="G699" s="19"/>
    </row>
    <row r="700" spans="1:7" x14ac:dyDescent="0.25">
      <c r="A700" s="22"/>
      <c r="B700" s="22"/>
      <c r="C700" s="19"/>
      <c r="D700" s="19"/>
      <c r="E700" s="19"/>
      <c r="F700" s="19"/>
      <c r="G700" s="19"/>
    </row>
    <row r="701" spans="1:7" x14ac:dyDescent="0.25">
      <c r="A701" s="22"/>
      <c r="B701" s="22"/>
      <c r="C701" s="19"/>
      <c r="D701" s="19"/>
      <c r="E701" s="19"/>
      <c r="F701" s="19"/>
      <c r="G701" s="19"/>
    </row>
    <row r="702" spans="1:7" x14ac:dyDescent="0.25">
      <c r="A702" s="22"/>
      <c r="B702" s="22"/>
      <c r="C702" s="19"/>
      <c r="D702" s="19"/>
      <c r="E702" s="19"/>
      <c r="F702" s="19"/>
      <c r="G702" s="19"/>
    </row>
    <row r="703" spans="1:7" x14ac:dyDescent="0.25">
      <c r="A703" s="22"/>
      <c r="B703" s="22"/>
      <c r="C703" s="19"/>
      <c r="D703" s="19"/>
      <c r="E703" s="19"/>
      <c r="F703" s="19"/>
      <c r="G703" s="19"/>
    </row>
    <row r="704" spans="1:7" x14ac:dyDescent="0.25">
      <c r="A704" s="22"/>
      <c r="B704" s="22"/>
      <c r="C704" s="19"/>
      <c r="D704" s="19"/>
      <c r="E704" s="19"/>
      <c r="F704" s="19"/>
      <c r="G704" s="19"/>
    </row>
    <row r="705" spans="1:7" x14ac:dyDescent="0.25">
      <c r="A705" s="22"/>
      <c r="B705" s="22"/>
      <c r="C705" s="19"/>
      <c r="D705" s="19"/>
      <c r="E705" s="19"/>
      <c r="F705" s="19"/>
      <c r="G705" s="19"/>
    </row>
    <row r="706" spans="1:7" x14ac:dyDescent="0.25">
      <c r="A706" s="22"/>
      <c r="B706" s="22"/>
      <c r="C706" s="19"/>
      <c r="D706" s="19"/>
      <c r="E706" s="19"/>
      <c r="F706" s="19"/>
      <c r="G706" s="19"/>
    </row>
    <row r="707" spans="1:7" x14ac:dyDescent="0.25">
      <c r="A707" s="22"/>
      <c r="B707" s="22"/>
      <c r="C707" s="19"/>
      <c r="D707" s="19"/>
      <c r="E707" s="19"/>
      <c r="F707" s="19"/>
      <c r="G707" s="19"/>
    </row>
    <row r="708" spans="1:7" x14ac:dyDescent="0.25">
      <c r="A708" s="22"/>
      <c r="B708" s="22"/>
      <c r="C708" s="19"/>
      <c r="D708" s="19"/>
      <c r="E708" s="19"/>
      <c r="F708" s="19"/>
      <c r="G708" s="19"/>
    </row>
    <row r="709" spans="1:7" x14ac:dyDescent="0.25">
      <c r="A709" s="22"/>
      <c r="B709" s="22"/>
      <c r="C709" s="19"/>
      <c r="D709" s="19"/>
      <c r="E709" s="19"/>
      <c r="F709" s="19"/>
      <c r="G709" s="19"/>
    </row>
    <row r="710" spans="1:7" x14ac:dyDescent="0.25">
      <c r="A710" s="22"/>
      <c r="B710" s="22"/>
      <c r="C710" s="19"/>
      <c r="D710" s="19"/>
      <c r="E710" s="19"/>
      <c r="F710" s="19"/>
      <c r="G710" s="19"/>
    </row>
    <row r="711" spans="1:7" x14ac:dyDescent="0.25">
      <c r="A711" s="22"/>
      <c r="B711" s="22"/>
      <c r="C711" s="19"/>
      <c r="D711" s="19"/>
      <c r="E711" s="19"/>
      <c r="F711" s="19"/>
      <c r="G711" s="19"/>
    </row>
    <row r="712" spans="1:7" x14ac:dyDescent="0.25">
      <c r="A712" s="22"/>
      <c r="B712" s="22"/>
      <c r="C712" s="19"/>
      <c r="D712" s="19"/>
      <c r="E712" s="19"/>
      <c r="F712" s="19"/>
      <c r="G712" s="19"/>
    </row>
    <row r="713" spans="1:7" x14ac:dyDescent="0.25">
      <c r="A713" s="22"/>
      <c r="B713" s="22"/>
      <c r="C713" s="19"/>
      <c r="D713" s="19"/>
      <c r="E713" s="19"/>
      <c r="F713" s="19"/>
      <c r="G713" s="19"/>
    </row>
    <row r="714" spans="1:7" x14ac:dyDescent="0.25">
      <c r="A714" s="22"/>
      <c r="B714" s="22"/>
      <c r="C714" s="19"/>
      <c r="D714" s="19"/>
      <c r="E714" s="19"/>
      <c r="F714" s="19"/>
      <c r="G714" s="19"/>
    </row>
    <row r="715" spans="1:7" x14ac:dyDescent="0.25">
      <c r="A715" s="22"/>
      <c r="B715" s="22"/>
      <c r="C715" s="19"/>
      <c r="D715" s="19"/>
      <c r="E715" s="19"/>
      <c r="F715" s="19"/>
      <c r="G715" s="19"/>
    </row>
    <row r="716" spans="1:7" x14ac:dyDescent="0.25">
      <c r="A716" s="22"/>
      <c r="B716" s="22"/>
      <c r="C716" s="19"/>
      <c r="D716" s="19"/>
      <c r="E716" s="19"/>
      <c r="F716" s="19"/>
      <c r="G716" s="19"/>
    </row>
    <row r="717" spans="1:7" x14ac:dyDescent="0.25">
      <c r="A717" s="22"/>
      <c r="B717" s="22"/>
      <c r="C717" s="19"/>
      <c r="D717" s="19"/>
      <c r="E717" s="19"/>
      <c r="F717" s="19"/>
      <c r="G717" s="19"/>
    </row>
    <row r="718" spans="1:7" x14ac:dyDescent="0.25">
      <c r="A718" s="22"/>
      <c r="B718" s="22"/>
      <c r="C718" s="19"/>
      <c r="D718" s="19"/>
      <c r="E718" s="19"/>
      <c r="F718" s="19"/>
      <c r="G718" s="19"/>
    </row>
    <row r="719" spans="1:7" x14ac:dyDescent="0.25">
      <c r="A719" s="22"/>
      <c r="B719" s="22"/>
      <c r="C719" s="19"/>
      <c r="D719" s="19"/>
      <c r="E719" s="19"/>
      <c r="F719" s="19"/>
      <c r="G719" s="19"/>
    </row>
    <row r="720" spans="1:7" x14ac:dyDescent="0.25">
      <c r="A720" s="22"/>
      <c r="B720" s="22"/>
      <c r="C720" s="19"/>
      <c r="D720" s="19"/>
      <c r="E720" s="19"/>
      <c r="F720" s="19"/>
      <c r="G720" s="19"/>
    </row>
    <row r="721" spans="1:7" x14ac:dyDescent="0.25">
      <c r="A721" s="22"/>
      <c r="B721" s="22"/>
      <c r="C721" s="19"/>
      <c r="D721" s="19"/>
      <c r="E721" s="19"/>
      <c r="F721" s="19"/>
      <c r="G721" s="19"/>
    </row>
    <row r="722" spans="1:7" x14ac:dyDescent="0.25">
      <c r="A722" s="22"/>
      <c r="B722" s="20"/>
      <c r="C722" s="19"/>
      <c r="D722" s="19"/>
      <c r="E722" s="19"/>
      <c r="F722" s="19"/>
      <c r="G722" s="19"/>
    </row>
    <row r="723" spans="1:7" x14ac:dyDescent="0.25">
      <c r="A723" s="22"/>
      <c r="B723" s="20"/>
      <c r="C723" s="19"/>
      <c r="D723" s="19"/>
      <c r="E723" s="19"/>
      <c r="F723" s="19"/>
      <c r="G723" s="19"/>
    </row>
    <row r="724" spans="1:7" x14ac:dyDescent="0.25">
      <c r="A724" s="22"/>
      <c r="B724" s="20"/>
      <c r="C724" s="19"/>
      <c r="D724" s="19"/>
      <c r="E724" s="19"/>
      <c r="F724" s="19"/>
      <c r="G724" s="19"/>
    </row>
    <row r="725" spans="1:7" x14ac:dyDescent="0.25">
      <c r="A725" s="22"/>
      <c r="B725" s="20"/>
      <c r="C725" s="19"/>
      <c r="D725" s="19"/>
      <c r="E725" s="19"/>
      <c r="F725" s="19"/>
      <c r="G725" s="19"/>
    </row>
    <row r="726" spans="1:7" x14ac:dyDescent="0.25">
      <c r="A726" s="22"/>
      <c r="B726" s="20"/>
      <c r="C726" s="19"/>
      <c r="D726" s="19"/>
      <c r="E726" s="19"/>
      <c r="F726" s="19"/>
      <c r="G726" s="19"/>
    </row>
    <row r="727" spans="1:7" x14ac:dyDescent="0.25">
      <c r="A727" s="22"/>
      <c r="B727" s="20"/>
      <c r="C727" s="19"/>
      <c r="D727" s="19"/>
      <c r="E727" s="19"/>
      <c r="F727" s="19"/>
      <c r="G727" s="19"/>
    </row>
    <row r="728" spans="1:7" x14ac:dyDescent="0.25">
      <c r="A728" s="22"/>
      <c r="B728" s="20"/>
      <c r="C728" s="19"/>
      <c r="D728" s="19"/>
      <c r="E728" s="19"/>
      <c r="F728" s="19"/>
      <c r="G728" s="19"/>
    </row>
    <row r="729" spans="1:7" x14ac:dyDescent="0.25">
      <c r="A729" s="22"/>
      <c r="B729" s="20"/>
      <c r="C729" s="19"/>
      <c r="D729" s="19"/>
      <c r="E729" s="19"/>
      <c r="F729" s="19"/>
      <c r="G729" s="19"/>
    </row>
    <row r="730" spans="1:7" x14ac:dyDescent="0.25">
      <c r="A730" s="22"/>
      <c r="B730" s="20"/>
      <c r="C730" s="19"/>
      <c r="D730" s="19"/>
      <c r="E730" s="19"/>
      <c r="F730" s="19"/>
      <c r="G730" s="19"/>
    </row>
    <row r="731" spans="1:7" x14ac:dyDescent="0.25">
      <c r="A731" s="22"/>
      <c r="B731" s="20"/>
      <c r="C731" s="19"/>
      <c r="D731" s="19"/>
      <c r="E731" s="19"/>
      <c r="F731" s="19"/>
      <c r="G731" s="19"/>
    </row>
    <row r="732" spans="1:7" x14ac:dyDescent="0.25">
      <c r="A732" s="20"/>
      <c r="B732" s="20"/>
      <c r="C732" s="19"/>
      <c r="D732" s="19"/>
      <c r="E732" s="19"/>
      <c r="F732" s="19"/>
      <c r="G732" s="19"/>
    </row>
    <row r="733" spans="1:7" x14ac:dyDescent="0.25">
      <c r="A733" s="20"/>
      <c r="B733" s="20"/>
      <c r="C733" s="19"/>
      <c r="D733" s="19"/>
      <c r="E733" s="19"/>
      <c r="F733" s="19"/>
      <c r="G733" s="19"/>
    </row>
    <row r="734" spans="1:7" x14ac:dyDescent="0.25">
      <c r="A734" s="20"/>
      <c r="B734" s="20"/>
      <c r="C734" s="19"/>
      <c r="D734" s="19"/>
      <c r="E734" s="19"/>
      <c r="F734" s="19"/>
      <c r="G734" s="19"/>
    </row>
    <row r="735" spans="1:7" x14ac:dyDescent="0.25">
      <c r="A735" s="20"/>
      <c r="B735" s="20"/>
      <c r="C735" s="19"/>
      <c r="D735" s="19"/>
      <c r="E735" s="19"/>
      <c r="F735" s="19"/>
      <c r="G735" s="19"/>
    </row>
    <row r="736" spans="1:7" x14ac:dyDescent="0.25">
      <c r="A736" s="20"/>
      <c r="B736" s="20"/>
      <c r="C736" s="19"/>
      <c r="D736" s="19"/>
      <c r="E736" s="19"/>
      <c r="F736" s="19"/>
      <c r="G736" s="19"/>
    </row>
    <row r="737" spans="1:7" x14ac:dyDescent="0.25">
      <c r="A737" s="20"/>
      <c r="B737" s="20"/>
      <c r="C737" s="19"/>
      <c r="D737" s="19"/>
      <c r="E737" s="19"/>
      <c r="F737" s="19"/>
      <c r="G737" s="19"/>
    </row>
    <row r="738" spans="1:7" x14ac:dyDescent="0.25">
      <c r="A738" s="20"/>
      <c r="B738" s="20"/>
      <c r="C738" s="19"/>
      <c r="D738" s="19"/>
      <c r="E738" s="19"/>
      <c r="F738" s="19"/>
      <c r="G738" s="19"/>
    </row>
    <row r="739" spans="1:7" x14ac:dyDescent="0.25">
      <c r="A739" s="20"/>
      <c r="B739" s="20"/>
      <c r="C739" s="19"/>
      <c r="D739" s="19"/>
      <c r="E739" s="19"/>
      <c r="F739" s="19"/>
      <c r="G739" s="19"/>
    </row>
    <row r="740" spans="1:7" x14ac:dyDescent="0.25">
      <c r="A740" s="20"/>
      <c r="B740" s="20"/>
      <c r="C740" s="19"/>
      <c r="D740" s="19"/>
      <c r="E740" s="19"/>
      <c r="F740" s="19"/>
      <c r="G740" s="19"/>
    </row>
    <row r="741" spans="1:7" x14ac:dyDescent="0.25">
      <c r="A741" s="20"/>
      <c r="B741" s="20"/>
      <c r="C741" s="19"/>
      <c r="D741" s="19"/>
      <c r="E741" s="19"/>
      <c r="F741" s="19"/>
      <c r="G741" s="19"/>
    </row>
    <row r="742" spans="1:7" x14ac:dyDescent="0.25">
      <c r="A742" s="20"/>
      <c r="B742" s="20"/>
      <c r="C742" s="19"/>
      <c r="D742" s="19"/>
      <c r="E742" s="19"/>
      <c r="F742" s="19"/>
      <c r="G742" s="19"/>
    </row>
    <row r="743" spans="1:7" x14ac:dyDescent="0.25">
      <c r="A743" s="20"/>
      <c r="B743" s="20"/>
      <c r="C743" s="19"/>
      <c r="D743" s="19"/>
      <c r="E743" s="19"/>
      <c r="F743" s="19"/>
      <c r="G743" s="19"/>
    </row>
    <row r="744" spans="1:7" x14ac:dyDescent="0.25">
      <c r="A744" s="20"/>
      <c r="B744" s="20"/>
      <c r="C744" s="19"/>
      <c r="D744" s="19"/>
      <c r="E744" s="19"/>
      <c r="F744" s="19"/>
      <c r="G744" s="19"/>
    </row>
    <row r="745" spans="1:7" x14ac:dyDescent="0.25">
      <c r="A745" s="20"/>
      <c r="B745" s="20"/>
      <c r="C745" s="19"/>
      <c r="D745" s="19"/>
      <c r="E745" s="19"/>
      <c r="F745" s="19"/>
      <c r="G745" s="19"/>
    </row>
    <row r="746" spans="1:7" x14ac:dyDescent="0.25">
      <c r="A746" s="20"/>
      <c r="B746" s="20"/>
      <c r="C746" s="19"/>
      <c r="D746" s="19"/>
      <c r="E746" s="19"/>
      <c r="F746" s="19"/>
      <c r="G746" s="19"/>
    </row>
    <row r="747" spans="1:7" x14ac:dyDescent="0.25">
      <c r="A747" s="20"/>
      <c r="B747" s="20"/>
      <c r="C747" s="19"/>
      <c r="D747" s="19"/>
      <c r="E747" s="19"/>
      <c r="F747" s="19"/>
      <c r="G747" s="19"/>
    </row>
    <row r="748" spans="1:7" x14ac:dyDescent="0.25">
      <c r="A748" s="20"/>
      <c r="B748" s="20"/>
      <c r="C748" s="19"/>
      <c r="D748" s="19"/>
      <c r="E748" s="19"/>
      <c r="F748" s="19"/>
      <c r="G748" s="19"/>
    </row>
    <row r="749" spans="1:7" x14ac:dyDescent="0.25">
      <c r="A749" s="20"/>
      <c r="B749" s="20"/>
      <c r="C749" s="19"/>
      <c r="D749" s="19"/>
      <c r="E749" s="19"/>
      <c r="F749" s="19"/>
      <c r="G749" s="19"/>
    </row>
    <row r="750" spans="1:7" x14ac:dyDescent="0.25">
      <c r="A750" s="20"/>
      <c r="B750" s="20"/>
      <c r="C750" s="19"/>
      <c r="D750" s="19"/>
      <c r="E750" s="19"/>
      <c r="F750" s="19"/>
      <c r="G750" s="19"/>
    </row>
    <row r="751" spans="1:7" x14ac:dyDescent="0.25">
      <c r="A751" s="20"/>
      <c r="B751" s="20"/>
      <c r="C751" s="19"/>
      <c r="D751" s="19"/>
      <c r="E751" s="19"/>
      <c r="F751" s="19"/>
      <c r="G751" s="19"/>
    </row>
    <row r="752" spans="1:7" x14ac:dyDescent="0.25">
      <c r="A752" s="20"/>
      <c r="B752" s="20"/>
      <c r="C752" s="19"/>
      <c r="D752" s="19"/>
      <c r="E752" s="19"/>
      <c r="F752" s="19"/>
      <c r="G752" s="19"/>
    </row>
    <row r="753" spans="1:7" x14ac:dyDescent="0.25">
      <c r="A753" s="20"/>
      <c r="B753" s="20"/>
      <c r="C753" s="19"/>
      <c r="D753" s="19"/>
      <c r="E753" s="19"/>
      <c r="F753" s="19"/>
      <c r="G753" s="19"/>
    </row>
    <row r="754" spans="1:7" x14ac:dyDescent="0.25">
      <c r="A754" s="20"/>
      <c r="B754" s="20"/>
      <c r="C754" s="19"/>
      <c r="D754" s="19"/>
      <c r="E754" s="19"/>
      <c r="F754" s="19"/>
      <c r="G754" s="19"/>
    </row>
    <row r="755" spans="1:7" x14ac:dyDescent="0.25">
      <c r="A755" s="20"/>
      <c r="B755" s="20"/>
      <c r="C755" s="19"/>
      <c r="D755" s="19"/>
      <c r="E755" s="19"/>
      <c r="F755" s="19"/>
      <c r="G755" s="19"/>
    </row>
    <row r="756" spans="1:7" x14ac:dyDescent="0.25">
      <c r="A756" s="20"/>
      <c r="B756" s="20"/>
      <c r="C756" s="19"/>
      <c r="D756" s="19"/>
      <c r="E756" s="19"/>
      <c r="F756" s="19"/>
      <c r="G756" s="19"/>
    </row>
    <row r="757" spans="1:7" x14ac:dyDescent="0.25">
      <c r="A757" s="20"/>
      <c r="B757" s="20"/>
      <c r="C757" s="19"/>
      <c r="D757" s="19"/>
      <c r="E757" s="19"/>
      <c r="F757" s="19"/>
      <c r="G757" s="19"/>
    </row>
    <row r="758" spans="1:7" x14ac:dyDescent="0.25">
      <c r="A758" s="20"/>
      <c r="B758" s="20"/>
      <c r="C758" s="19"/>
      <c r="D758" s="19"/>
      <c r="E758" s="19"/>
      <c r="F758" s="19"/>
      <c r="G758" s="19"/>
    </row>
    <row r="759" spans="1:7" x14ac:dyDescent="0.25">
      <c r="A759" s="20"/>
      <c r="B759" s="20"/>
      <c r="C759" s="19"/>
      <c r="D759" s="19"/>
      <c r="E759" s="19"/>
      <c r="F759" s="19"/>
      <c r="G759" s="19"/>
    </row>
    <row r="760" spans="1:7" x14ac:dyDescent="0.25">
      <c r="A760" s="20"/>
      <c r="B760" s="20"/>
      <c r="C760" s="19"/>
      <c r="D760" s="19"/>
      <c r="E760" s="19"/>
      <c r="F760" s="19"/>
      <c r="G760" s="19"/>
    </row>
    <row r="761" spans="1:7" x14ac:dyDescent="0.25">
      <c r="A761" s="20"/>
      <c r="B761" s="20"/>
      <c r="C761" s="19"/>
      <c r="D761" s="19"/>
      <c r="E761" s="19"/>
      <c r="F761" s="19"/>
      <c r="G761" s="19"/>
    </row>
    <row r="762" spans="1:7" x14ac:dyDescent="0.25">
      <c r="A762" s="20"/>
      <c r="B762" s="20"/>
      <c r="C762" s="19"/>
      <c r="D762" s="19"/>
      <c r="E762" s="19"/>
      <c r="F762" s="19"/>
      <c r="G762" s="19"/>
    </row>
    <row r="763" spans="1:7" x14ac:dyDescent="0.25">
      <c r="A763" s="20"/>
      <c r="B763" s="20"/>
      <c r="C763" s="19"/>
      <c r="D763" s="19"/>
      <c r="E763" s="19"/>
      <c r="F763" s="19"/>
      <c r="G763" s="19"/>
    </row>
    <row r="764" spans="1:7" x14ac:dyDescent="0.25">
      <c r="A764" s="20"/>
      <c r="B764" s="20"/>
      <c r="C764" s="19"/>
      <c r="D764" s="19"/>
      <c r="E764" s="19"/>
      <c r="F764" s="19"/>
      <c r="G764" s="19"/>
    </row>
    <row r="765" spans="1:7" x14ac:dyDescent="0.25">
      <c r="A765" s="20"/>
      <c r="B765" s="20"/>
      <c r="C765" s="19"/>
      <c r="D765" s="19"/>
      <c r="E765" s="19"/>
      <c r="F765" s="19"/>
      <c r="G765" s="19"/>
    </row>
    <row r="766" spans="1:7" x14ac:dyDescent="0.25">
      <c r="A766" s="20"/>
      <c r="B766" s="20"/>
      <c r="C766" s="19"/>
      <c r="D766" s="19"/>
      <c r="E766" s="19"/>
      <c r="F766" s="19"/>
      <c r="G766" s="19"/>
    </row>
    <row r="767" spans="1:7" x14ac:dyDescent="0.25">
      <c r="A767" s="20"/>
      <c r="B767" s="20"/>
      <c r="C767" s="19"/>
      <c r="D767" s="19"/>
      <c r="E767" s="19"/>
      <c r="F767" s="19"/>
      <c r="G767" s="19"/>
    </row>
    <row r="768" spans="1:7" x14ac:dyDescent="0.25">
      <c r="A768" s="20"/>
      <c r="B768" s="20"/>
      <c r="C768" s="19"/>
      <c r="D768" s="19"/>
      <c r="E768" s="19"/>
      <c r="F768" s="19"/>
      <c r="G768" s="19"/>
    </row>
    <row r="769" spans="1:7" x14ac:dyDescent="0.25">
      <c r="A769" s="20"/>
      <c r="B769" s="20"/>
      <c r="C769" s="19"/>
      <c r="D769" s="19"/>
      <c r="E769" s="19"/>
      <c r="F769" s="19"/>
      <c r="G769" s="19"/>
    </row>
    <row r="770" spans="1:7" x14ac:dyDescent="0.25">
      <c r="A770" s="20"/>
      <c r="B770" s="20"/>
      <c r="C770" s="19"/>
      <c r="D770" s="19"/>
      <c r="E770" s="19"/>
      <c r="F770" s="19"/>
      <c r="G770" s="19"/>
    </row>
    <row r="771" spans="1:7" x14ac:dyDescent="0.25">
      <c r="A771" s="20"/>
      <c r="B771" s="20"/>
      <c r="C771" s="19"/>
      <c r="D771" s="19"/>
      <c r="E771" s="19"/>
      <c r="F771" s="19"/>
      <c r="G771" s="19"/>
    </row>
    <row r="772" spans="1:7" x14ac:dyDescent="0.25">
      <c r="A772" s="20"/>
      <c r="B772" s="20"/>
      <c r="C772" s="19"/>
      <c r="D772" s="19"/>
      <c r="E772" s="19"/>
      <c r="F772" s="19"/>
      <c r="G772" s="19"/>
    </row>
    <row r="773" spans="1:7" x14ac:dyDescent="0.25">
      <c r="A773" s="20"/>
      <c r="B773" s="20"/>
      <c r="C773" s="19"/>
      <c r="D773" s="19"/>
      <c r="E773" s="19"/>
      <c r="F773" s="19"/>
      <c r="G773" s="19"/>
    </row>
    <row r="774" spans="1:7" x14ac:dyDescent="0.25">
      <c r="A774" s="20"/>
      <c r="B774" s="20"/>
      <c r="C774" s="19"/>
      <c r="D774" s="19"/>
      <c r="E774" s="19"/>
      <c r="F774" s="19"/>
      <c r="G774" s="19"/>
    </row>
    <row r="775" spans="1:7" x14ac:dyDescent="0.25">
      <c r="A775" s="20"/>
      <c r="B775" s="20"/>
      <c r="C775" s="19"/>
      <c r="D775" s="19"/>
      <c r="E775" s="19"/>
      <c r="F775" s="19"/>
      <c r="G775" s="19"/>
    </row>
    <row r="776" spans="1:7" x14ac:dyDescent="0.25">
      <c r="A776" s="20"/>
      <c r="B776" s="20"/>
      <c r="C776" s="19"/>
      <c r="D776" s="19"/>
      <c r="E776" s="19"/>
      <c r="F776" s="19"/>
      <c r="G776" s="19"/>
    </row>
    <row r="777" spans="1:7" x14ac:dyDescent="0.25">
      <c r="A777" s="20"/>
      <c r="B777" s="20"/>
      <c r="C777" s="19"/>
      <c r="D777" s="19"/>
      <c r="E777" s="19"/>
      <c r="F777" s="19"/>
      <c r="G777" s="19"/>
    </row>
    <row r="778" spans="1:7" x14ac:dyDescent="0.25">
      <c r="A778" s="20"/>
      <c r="B778" s="20"/>
      <c r="C778" s="19"/>
      <c r="D778" s="19"/>
      <c r="E778" s="19"/>
      <c r="F778" s="19"/>
      <c r="G778" s="19"/>
    </row>
    <row r="779" spans="1:7" x14ac:dyDescent="0.25">
      <c r="A779" s="20"/>
      <c r="B779" s="20"/>
      <c r="C779" s="19"/>
      <c r="D779" s="19"/>
      <c r="E779" s="19"/>
      <c r="F779" s="19"/>
      <c r="G779" s="19"/>
    </row>
    <row r="780" spans="1:7" x14ac:dyDescent="0.25">
      <c r="A780" s="20"/>
      <c r="B780" s="20"/>
      <c r="C780" s="19"/>
      <c r="D780" s="19"/>
      <c r="E780" s="19"/>
      <c r="F780" s="19"/>
      <c r="G780" s="19"/>
    </row>
    <row r="781" spans="1:7" x14ac:dyDescent="0.25">
      <c r="A781" s="20"/>
      <c r="B781" s="20"/>
      <c r="C781" s="19"/>
      <c r="D781" s="19"/>
      <c r="E781" s="19"/>
      <c r="F781" s="19"/>
      <c r="G781" s="19"/>
    </row>
    <row r="782" spans="1:7" x14ac:dyDescent="0.25">
      <c r="A782" s="20"/>
      <c r="B782" s="20"/>
      <c r="C782" s="19"/>
      <c r="D782" s="19"/>
      <c r="E782" s="19"/>
      <c r="F782" s="19"/>
      <c r="G782" s="19"/>
    </row>
    <row r="783" spans="1:7" x14ac:dyDescent="0.25">
      <c r="A783" s="20"/>
      <c r="B783" s="20"/>
      <c r="C783" s="19"/>
      <c r="D783" s="19"/>
      <c r="E783" s="19"/>
      <c r="F783" s="19"/>
      <c r="G783" s="19"/>
    </row>
    <row r="784" spans="1:7" x14ac:dyDescent="0.25">
      <c r="A784" s="20"/>
      <c r="B784" s="20"/>
      <c r="C784" s="19"/>
      <c r="D784" s="19"/>
      <c r="E784" s="19"/>
      <c r="F784" s="19"/>
      <c r="G784" s="19"/>
    </row>
    <row r="785" spans="1:7" x14ac:dyDescent="0.25">
      <c r="A785" s="20"/>
      <c r="B785" s="20"/>
      <c r="C785" s="19"/>
      <c r="D785" s="19"/>
      <c r="E785" s="19"/>
      <c r="F785" s="19"/>
      <c r="G785" s="19"/>
    </row>
    <row r="786" spans="1:7" x14ac:dyDescent="0.25">
      <c r="A786" s="20"/>
      <c r="B786" s="20"/>
      <c r="C786" s="19"/>
      <c r="D786" s="19"/>
      <c r="E786" s="19"/>
      <c r="F786" s="19"/>
      <c r="G786" s="19"/>
    </row>
    <row r="787" spans="1:7" x14ac:dyDescent="0.25">
      <c r="A787" s="20"/>
      <c r="B787" s="20"/>
      <c r="C787" s="19"/>
      <c r="D787" s="19"/>
      <c r="E787" s="19"/>
      <c r="F787" s="19"/>
      <c r="G787" s="19"/>
    </row>
    <row r="788" spans="1:7" x14ac:dyDescent="0.25">
      <c r="A788" s="20"/>
      <c r="B788" s="20"/>
      <c r="C788" s="19"/>
      <c r="D788" s="19"/>
      <c r="E788" s="19"/>
      <c r="F788" s="19"/>
      <c r="G788" s="19"/>
    </row>
    <row r="789" spans="1:7" x14ac:dyDescent="0.25">
      <c r="A789" s="20"/>
      <c r="B789" s="20"/>
      <c r="C789" s="19"/>
      <c r="D789" s="19"/>
      <c r="E789" s="19"/>
      <c r="F789" s="19"/>
      <c r="G789" s="19"/>
    </row>
    <row r="790" spans="1:7" x14ac:dyDescent="0.25">
      <c r="A790" s="20"/>
      <c r="B790" s="20"/>
      <c r="C790" s="19"/>
      <c r="D790" s="19"/>
      <c r="E790" s="19"/>
      <c r="F790" s="19"/>
      <c r="G790" s="19"/>
    </row>
    <row r="791" spans="1:7" x14ac:dyDescent="0.25">
      <c r="A791" s="20"/>
      <c r="B791" s="20"/>
      <c r="C791" s="19"/>
      <c r="D791" s="19"/>
      <c r="E791" s="19"/>
      <c r="F791" s="19"/>
      <c r="G791" s="19"/>
    </row>
    <row r="792" spans="1:7" x14ac:dyDescent="0.25">
      <c r="A792" s="20"/>
      <c r="B792" s="20"/>
      <c r="C792" s="19"/>
      <c r="D792" s="19"/>
      <c r="E792" s="19"/>
      <c r="F792" s="19"/>
      <c r="G792" s="19"/>
    </row>
    <row r="793" spans="1:7" x14ac:dyDescent="0.25">
      <c r="A793" s="20"/>
      <c r="B793" s="20"/>
      <c r="C793" s="19"/>
      <c r="D793" s="19"/>
      <c r="E793" s="19"/>
      <c r="F793" s="19"/>
      <c r="G793" s="19"/>
    </row>
    <row r="794" spans="1:7" x14ac:dyDescent="0.25">
      <c r="A794" s="20"/>
      <c r="B794" s="20"/>
      <c r="C794" s="19"/>
      <c r="D794" s="19"/>
      <c r="E794" s="19"/>
      <c r="F794" s="19"/>
      <c r="G794" s="19"/>
    </row>
    <row r="795" spans="1:7" x14ac:dyDescent="0.25">
      <c r="A795" s="20"/>
      <c r="B795" s="20"/>
      <c r="C795" s="19"/>
      <c r="D795" s="19"/>
      <c r="E795" s="19"/>
      <c r="F795" s="19"/>
      <c r="G795" s="19"/>
    </row>
    <row r="796" spans="1:7" x14ac:dyDescent="0.25">
      <c r="A796" s="20"/>
      <c r="B796" s="20"/>
      <c r="C796" s="19"/>
      <c r="D796" s="19"/>
      <c r="E796" s="19"/>
      <c r="F796" s="19"/>
      <c r="G796" s="19"/>
    </row>
    <row r="797" spans="1:7" x14ac:dyDescent="0.25">
      <c r="A797" s="20"/>
      <c r="B797" s="20"/>
      <c r="C797" s="19"/>
      <c r="D797" s="19"/>
      <c r="E797" s="19"/>
      <c r="F797" s="19"/>
      <c r="G797" s="19"/>
    </row>
    <row r="798" spans="1:7" x14ac:dyDescent="0.25">
      <c r="A798" s="20"/>
      <c r="B798" s="20"/>
      <c r="C798" s="19"/>
      <c r="D798" s="19"/>
      <c r="E798" s="19"/>
      <c r="F798" s="19"/>
      <c r="G798" s="19"/>
    </row>
    <row r="799" spans="1:7" x14ac:dyDescent="0.25">
      <c r="A799" s="20"/>
      <c r="B799" s="20"/>
      <c r="C799" s="19"/>
      <c r="D799" s="19"/>
      <c r="E799" s="19"/>
      <c r="F799" s="19"/>
      <c r="G799" s="19"/>
    </row>
    <row r="800" spans="1:7" x14ac:dyDescent="0.25">
      <c r="A800" s="20"/>
      <c r="B800" s="20"/>
      <c r="C800" s="19"/>
      <c r="D800" s="19"/>
      <c r="E800" s="19"/>
      <c r="F800" s="19"/>
      <c r="G800" s="19"/>
    </row>
    <row r="801" spans="1:7" x14ac:dyDescent="0.25">
      <c r="A801" s="20"/>
      <c r="B801" s="20"/>
      <c r="C801" s="19"/>
      <c r="D801" s="19"/>
      <c r="E801" s="19"/>
      <c r="F801" s="19"/>
      <c r="G801" s="19"/>
    </row>
    <row r="802" spans="1:7" x14ac:dyDescent="0.25">
      <c r="A802" s="20"/>
      <c r="B802" s="20"/>
      <c r="C802" s="19"/>
      <c r="D802" s="19"/>
      <c r="E802" s="19"/>
      <c r="F802" s="19"/>
      <c r="G802" s="19"/>
    </row>
    <row r="803" spans="1:7" x14ac:dyDescent="0.25">
      <c r="A803" s="20"/>
      <c r="B803" s="20"/>
      <c r="C803" s="19"/>
      <c r="D803" s="19"/>
      <c r="E803" s="19"/>
      <c r="F803" s="19"/>
      <c r="G803" s="19"/>
    </row>
    <row r="804" spans="1:7" x14ac:dyDescent="0.25">
      <c r="A804" s="20"/>
      <c r="B804" s="20"/>
      <c r="C804" s="19"/>
      <c r="D804" s="19"/>
      <c r="E804" s="19"/>
      <c r="F804" s="19"/>
      <c r="G804" s="19"/>
    </row>
    <row r="805" spans="1:7" x14ac:dyDescent="0.25">
      <c r="A805" s="20"/>
      <c r="B805" s="20"/>
      <c r="C805" s="19"/>
      <c r="D805" s="19"/>
      <c r="E805" s="19"/>
      <c r="F805" s="19"/>
      <c r="G805" s="19"/>
    </row>
    <row r="806" spans="1:7" x14ac:dyDescent="0.25">
      <c r="A806" s="20"/>
      <c r="B806" s="20"/>
      <c r="C806" s="19"/>
      <c r="D806" s="19"/>
      <c r="E806" s="19"/>
      <c r="F806" s="19"/>
      <c r="G806" s="19"/>
    </row>
    <row r="807" spans="1:7" x14ac:dyDescent="0.25">
      <c r="A807" s="20"/>
      <c r="B807" s="20"/>
      <c r="C807" s="19"/>
      <c r="D807" s="19"/>
      <c r="E807" s="19"/>
      <c r="F807" s="19"/>
      <c r="G807" s="19"/>
    </row>
    <row r="808" spans="1:7" x14ac:dyDescent="0.25">
      <c r="A808" s="20"/>
      <c r="B808" s="20"/>
      <c r="C808" s="19"/>
      <c r="D808" s="19"/>
      <c r="E808" s="19"/>
      <c r="F808" s="19"/>
      <c r="G808" s="19"/>
    </row>
    <row r="809" spans="1:7" x14ac:dyDescent="0.25">
      <c r="A809" s="20"/>
      <c r="B809" s="20"/>
      <c r="C809" s="19"/>
      <c r="D809" s="19"/>
      <c r="E809" s="19"/>
      <c r="F809" s="19"/>
      <c r="G809" s="19"/>
    </row>
    <row r="810" spans="1:7" x14ac:dyDescent="0.25">
      <c r="A810" s="20"/>
      <c r="B810" s="20"/>
      <c r="C810" s="19"/>
      <c r="D810" s="19"/>
      <c r="E810" s="19"/>
      <c r="F810" s="19"/>
      <c r="G810" s="19"/>
    </row>
    <row r="811" spans="1:7" x14ac:dyDescent="0.25">
      <c r="A811" s="20"/>
      <c r="B811" s="20"/>
      <c r="C811" s="19"/>
      <c r="D811" s="19"/>
      <c r="E811" s="19"/>
      <c r="F811" s="19"/>
      <c r="G811" s="19"/>
    </row>
    <row r="812" spans="1:7" x14ac:dyDescent="0.25">
      <c r="A812" s="20"/>
      <c r="B812" s="20"/>
      <c r="C812" s="19"/>
      <c r="D812" s="19"/>
      <c r="E812" s="19"/>
      <c r="F812" s="19"/>
      <c r="G812" s="19"/>
    </row>
    <row r="813" spans="1:7" x14ac:dyDescent="0.25">
      <c r="A813" s="20"/>
      <c r="B813" s="20"/>
      <c r="C813" s="19"/>
      <c r="D813" s="19"/>
      <c r="E813" s="19"/>
      <c r="F813" s="19"/>
      <c r="G813" s="19"/>
    </row>
    <row r="814" spans="1:7" x14ac:dyDescent="0.25">
      <c r="A814" s="20"/>
      <c r="B814" s="20"/>
      <c r="C814" s="19"/>
      <c r="D814" s="19"/>
      <c r="E814" s="19"/>
      <c r="F814" s="19"/>
      <c r="G814" s="19"/>
    </row>
    <row r="815" spans="1:7" x14ac:dyDescent="0.25">
      <c r="A815" s="20"/>
      <c r="B815" s="20"/>
      <c r="C815" s="19"/>
      <c r="D815" s="19"/>
      <c r="E815" s="19"/>
      <c r="F815" s="19"/>
      <c r="G815" s="19"/>
    </row>
    <row r="816" spans="1:7" x14ac:dyDescent="0.25">
      <c r="A816" s="20"/>
      <c r="B816" s="20"/>
      <c r="C816" s="19"/>
      <c r="D816" s="19"/>
      <c r="E816" s="19"/>
      <c r="F816" s="19"/>
      <c r="G816" s="19"/>
    </row>
    <row r="817" spans="1:7" x14ac:dyDescent="0.25">
      <c r="A817" s="20"/>
      <c r="B817" s="20"/>
      <c r="C817" s="19"/>
      <c r="D817" s="19"/>
      <c r="E817" s="19"/>
      <c r="F817" s="19"/>
      <c r="G817" s="19"/>
    </row>
    <row r="818" spans="1:7" x14ac:dyDescent="0.25">
      <c r="A818" s="20"/>
      <c r="B818" s="20"/>
      <c r="C818" s="19"/>
      <c r="D818" s="19"/>
      <c r="E818" s="19"/>
      <c r="F818" s="19"/>
      <c r="G818" s="19"/>
    </row>
    <row r="819" spans="1:7" x14ac:dyDescent="0.25">
      <c r="A819" s="20"/>
      <c r="B819" s="20"/>
      <c r="C819" s="19"/>
      <c r="D819" s="19"/>
      <c r="E819" s="19"/>
      <c r="F819" s="19"/>
      <c r="G819" s="19"/>
    </row>
    <row r="820" spans="1:7" x14ac:dyDescent="0.25">
      <c r="A820" s="20"/>
      <c r="B820" s="20"/>
      <c r="C820" s="19"/>
      <c r="D820" s="19"/>
      <c r="E820" s="19"/>
      <c r="F820" s="19"/>
      <c r="G820" s="19"/>
    </row>
    <row r="821" spans="1:7" x14ac:dyDescent="0.25">
      <c r="A821" s="20"/>
      <c r="B821" s="20"/>
      <c r="C821" s="19"/>
      <c r="D821" s="19"/>
      <c r="E821" s="19"/>
      <c r="F821" s="19"/>
      <c r="G821" s="19"/>
    </row>
    <row r="822" spans="1:7" x14ac:dyDescent="0.25">
      <c r="A822" s="20"/>
      <c r="B822" s="20"/>
      <c r="C822" s="19"/>
      <c r="D822" s="19"/>
      <c r="E822" s="19"/>
      <c r="F822" s="19"/>
      <c r="G822" s="19"/>
    </row>
    <row r="823" spans="1:7" x14ac:dyDescent="0.25">
      <c r="A823" s="20"/>
      <c r="B823" s="20"/>
      <c r="C823" s="19"/>
      <c r="D823" s="19"/>
      <c r="E823" s="19"/>
      <c r="F823" s="19"/>
      <c r="G823" s="19"/>
    </row>
    <row r="824" spans="1:7" x14ac:dyDescent="0.25">
      <c r="A824" s="20"/>
      <c r="B824" s="20"/>
      <c r="C824" s="19"/>
      <c r="D824" s="19"/>
      <c r="E824" s="19"/>
      <c r="F824" s="19"/>
      <c r="G824" s="19"/>
    </row>
    <row r="825" spans="1:7" x14ac:dyDescent="0.25">
      <c r="A825" s="20"/>
      <c r="B825" s="20"/>
      <c r="C825" s="19"/>
      <c r="D825" s="19"/>
      <c r="E825" s="19"/>
      <c r="F825" s="19"/>
      <c r="G825" s="19"/>
    </row>
    <row r="826" spans="1:7" x14ac:dyDescent="0.25">
      <c r="A826" s="20"/>
      <c r="B826" s="20"/>
      <c r="C826" s="19"/>
      <c r="D826" s="19"/>
      <c r="E826" s="19"/>
      <c r="F826" s="19"/>
      <c r="G826" s="19"/>
    </row>
    <row r="827" spans="1:7" x14ac:dyDescent="0.25">
      <c r="A827" s="20"/>
      <c r="B827" s="20"/>
      <c r="C827" s="19"/>
      <c r="D827" s="19"/>
      <c r="E827" s="19"/>
      <c r="F827" s="19"/>
      <c r="G827" s="19"/>
    </row>
    <row r="828" spans="1:7" x14ac:dyDescent="0.25">
      <c r="A828" s="20"/>
      <c r="B828" s="20"/>
      <c r="C828" s="19"/>
      <c r="D828" s="19"/>
      <c r="E828" s="19"/>
      <c r="F828" s="19"/>
      <c r="G828" s="19"/>
    </row>
    <row r="829" spans="1:7" x14ac:dyDescent="0.25">
      <c r="A829" s="20"/>
      <c r="B829" s="20"/>
      <c r="C829" s="19"/>
      <c r="D829" s="19"/>
      <c r="E829" s="19"/>
      <c r="F829" s="19"/>
      <c r="G829" s="19"/>
    </row>
    <row r="830" spans="1:7" x14ac:dyDescent="0.25">
      <c r="A830" s="20"/>
      <c r="B830" s="20"/>
      <c r="C830" s="19"/>
      <c r="D830" s="19"/>
      <c r="E830" s="19"/>
      <c r="F830" s="19"/>
      <c r="G830" s="19"/>
    </row>
    <row r="831" spans="1:7" x14ac:dyDescent="0.25">
      <c r="A831" s="20"/>
      <c r="B831" s="20"/>
      <c r="C831" s="19"/>
      <c r="D831" s="19"/>
      <c r="E831" s="19"/>
      <c r="F831" s="19"/>
      <c r="G831" s="19"/>
    </row>
    <row r="832" spans="1:7" x14ac:dyDescent="0.25">
      <c r="A832" s="20"/>
      <c r="B832" s="20"/>
      <c r="C832" s="19"/>
      <c r="D832" s="19"/>
      <c r="E832" s="19"/>
      <c r="F832" s="19"/>
      <c r="G832" s="19"/>
    </row>
    <row r="833" spans="1:7" x14ac:dyDescent="0.25">
      <c r="A833" s="20"/>
      <c r="B833" s="20"/>
      <c r="C833" s="19"/>
      <c r="D833" s="19"/>
      <c r="E833" s="19"/>
      <c r="F833" s="19"/>
      <c r="G833" s="19"/>
    </row>
    <row r="834" spans="1:7" x14ac:dyDescent="0.25">
      <c r="A834" s="20"/>
      <c r="B834" s="20"/>
      <c r="C834" s="19"/>
      <c r="D834" s="19"/>
      <c r="E834" s="19"/>
      <c r="F834" s="19"/>
      <c r="G834" s="19"/>
    </row>
    <row r="835" spans="1:7" x14ac:dyDescent="0.25">
      <c r="A835" s="20"/>
      <c r="B835" s="20"/>
      <c r="C835" s="19"/>
      <c r="D835" s="19"/>
      <c r="E835" s="19"/>
      <c r="F835" s="19"/>
      <c r="G835" s="19"/>
    </row>
    <row r="836" spans="1:7" x14ac:dyDescent="0.25">
      <c r="A836" s="20"/>
      <c r="B836" s="20"/>
      <c r="C836" s="19"/>
      <c r="D836" s="19"/>
      <c r="E836" s="19"/>
      <c r="F836" s="19"/>
      <c r="G836" s="19"/>
    </row>
    <row r="837" spans="1:7" x14ac:dyDescent="0.25">
      <c r="A837" s="20"/>
      <c r="B837" s="20"/>
      <c r="C837" s="19"/>
      <c r="D837" s="19"/>
      <c r="E837" s="19"/>
      <c r="F837" s="19"/>
      <c r="G837" s="19"/>
    </row>
    <row r="838" spans="1:7" x14ac:dyDescent="0.25">
      <c r="A838" s="20"/>
      <c r="B838" s="20"/>
      <c r="C838" s="19"/>
      <c r="D838" s="19"/>
      <c r="E838" s="19"/>
      <c r="F838" s="19"/>
      <c r="G838" s="19"/>
    </row>
    <row r="839" spans="1:7" x14ac:dyDescent="0.25">
      <c r="A839" s="20"/>
      <c r="B839" s="20"/>
      <c r="C839" s="19"/>
      <c r="D839" s="19"/>
      <c r="E839" s="19"/>
      <c r="F839" s="19"/>
      <c r="G839" s="19"/>
    </row>
    <row r="840" spans="1:7" x14ac:dyDescent="0.25">
      <c r="A840" s="20"/>
      <c r="B840" s="20"/>
      <c r="C840" s="19"/>
      <c r="D840" s="19"/>
      <c r="E840" s="19"/>
      <c r="F840" s="19"/>
      <c r="G840" s="19"/>
    </row>
    <row r="841" spans="1:7" x14ac:dyDescent="0.25">
      <c r="A841" s="20"/>
      <c r="B841" s="20"/>
      <c r="C841" s="19"/>
      <c r="D841" s="19"/>
      <c r="E841" s="19"/>
      <c r="F841" s="19"/>
      <c r="G841" s="19"/>
    </row>
    <row r="842" spans="1:7" x14ac:dyDescent="0.25">
      <c r="A842" s="20"/>
      <c r="B842" s="20"/>
      <c r="C842" s="19"/>
      <c r="D842" s="19"/>
      <c r="E842" s="19"/>
      <c r="F842" s="19"/>
      <c r="G842" s="19"/>
    </row>
    <row r="843" spans="1:7" x14ac:dyDescent="0.25">
      <c r="A843" s="20"/>
      <c r="B843" s="20"/>
      <c r="C843" s="19"/>
      <c r="D843" s="19"/>
      <c r="E843" s="19"/>
      <c r="F843" s="19"/>
      <c r="G843" s="19"/>
    </row>
    <row r="844" spans="1:7" x14ac:dyDescent="0.25">
      <c r="A844" s="20"/>
      <c r="B844" s="20"/>
      <c r="C844" s="19"/>
      <c r="D844" s="19"/>
      <c r="E844" s="19"/>
      <c r="F844" s="19"/>
      <c r="G844" s="19"/>
    </row>
    <row r="845" spans="1:7" x14ac:dyDescent="0.25">
      <c r="A845" s="20"/>
      <c r="B845" s="20"/>
      <c r="C845" s="19"/>
      <c r="D845" s="19"/>
      <c r="E845" s="19"/>
      <c r="F845" s="19"/>
      <c r="G845" s="19"/>
    </row>
    <row r="846" spans="1:7" x14ac:dyDescent="0.25">
      <c r="A846" s="20"/>
      <c r="B846" s="20"/>
      <c r="C846" s="19"/>
      <c r="D846" s="19"/>
      <c r="E846" s="19"/>
      <c r="F846" s="19"/>
      <c r="G846" s="19"/>
    </row>
    <row r="847" spans="1:7" x14ac:dyDescent="0.25">
      <c r="A847" s="20"/>
      <c r="B847" s="20"/>
      <c r="C847" s="19"/>
      <c r="D847" s="19"/>
      <c r="E847" s="19"/>
      <c r="F847" s="19"/>
      <c r="G847" s="19"/>
    </row>
    <row r="848" spans="1:7" x14ac:dyDescent="0.25">
      <c r="A848" s="20"/>
      <c r="B848" s="20"/>
      <c r="C848" s="19"/>
      <c r="D848" s="19"/>
      <c r="E848" s="19"/>
      <c r="F848" s="19"/>
      <c r="G848" s="19"/>
    </row>
    <row r="849" spans="1:7" x14ac:dyDescent="0.25">
      <c r="A849" s="20"/>
      <c r="B849" s="20"/>
      <c r="C849" s="19"/>
      <c r="D849" s="19"/>
      <c r="E849" s="19"/>
      <c r="F849" s="19"/>
      <c r="G849" s="19"/>
    </row>
    <row r="850" spans="1:7" x14ac:dyDescent="0.25">
      <c r="A850" s="20"/>
      <c r="B850" s="20"/>
      <c r="C850" s="19"/>
      <c r="D850" s="19"/>
      <c r="E850" s="19"/>
      <c r="F850" s="19"/>
      <c r="G850" s="19"/>
    </row>
    <row r="851" spans="1:7" x14ac:dyDescent="0.25">
      <c r="A851" s="20"/>
      <c r="B851" s="20"/>
      <c r="C851" s="19"/>
      <c r="D851" s="19"/>
      <c r="E851" s="19"/>
      <c r="F851" s="19"/>
      <c r="G851" s="19"/>
    </row>
    <row r="852" spans="1:7" x14ac:dyDescent="0.25">
      <c r="A852" s="20"/>
      <c r="B852" s="20"/>
      <c r="C852" s="19"/>
      <c r="D852" s="19"/>
      <c r="E852" s="19"/>
      <c r="F852" s="19"/>
      <c r="G852" s="19"/>
    </row>
    <row r="853" spans="1:7" x14ac:dyDescent="0.25">
      <c r="A853" s="20"/>
      <c r="B853" s="20"/>
      <c r="C853" s="19"/>
      <c r="D853" s="19"/>
      <c r="E853" s="19"/>
      <c r="F853" s="19"/>
      <c r="G853" s="19"/>
    </row>
    <row r="854" spans="1:7" x14ac:dyDescent="0.25">
      <c r="A854" s="20"/>
      <c r="B854" s="20"/>
      <c r="C854" s="19"/>
      <c r="D854" s="19"/>
      <c r="E854" s="19"/>
      <c r="F854" s="19"/>
      <c r="G854" s="19"/>
    </row>
    <row r="855" spans="1:7" x14ac:dyDescent="0.25">
      <c r="A855" s="20"/>
      <c r="B855" s="20"/>
      <c r="C855" s="19"/>
      <c r="D855" s="19"/>
      <c r="E855" s="19"/>
      <c r="F855" s="19"/>
      <c r="G855" s="19"/>
    </row>
    <row r="856" spans="1:7" x14ac:dyDescent="0.25">
      <c r="A856" s="20"/>
      <c r="B856" s="20"/>
      <c r="C856" s="19"/>
      <c r="D856" s="19"/>
      <c r="E856" s="19"/>
      <c r="F856" s="19"/>
      <c r="G856" s="19"/>
    </row>
    <row r="857" spans="1:7" x14ac:dyDescent="0.25">
      <c r="A857" s="20"/>
      <c r="B857" s="20"/>
      <c r="C857" s="19"/>
      <c r="D857" s="19"/>
      <c r="E857" s="19"/>
      <c r="F857" s="19"/>
      <c r="G857" s="19"/>
    </row>
    <row r="858" spans="1:7" x14ac:dyDescent="0.25">
      <c r="A858" s="20"/>
      <c r="B858" s="20"/>
      <c r="C858" s="19"/>
      <c r="D858" s="19"/>
      <c r="E858" s="19"/>
      <c r="F858" s="19"/>
      <c r="G858" s="19"/>
    </row>
    <row r="859" spans="1:7" x14ac:dyDescent="0.25">
      <c r="A859" s="20"/>
      <c r="B859" s="20"/>
      <c r="C859" s="19"/>
      <c r="D859" s="19"/>
      <c r="E859" s="19"/>
      <c r="F859" s="19"/>
      <c r="G859" s="19"/>
    </row>
    <row r="860" spans="1:7" x14ac:dyDescent="0.25">
      <c r="A860" s="20"/>
      <c r="B860" s="20"/>
      <c r="C860" s="19"/>
      <c r="D860" s="19"/>
      <c r="E860" s="19"/>
      <c r="F860" s="19"/>
      <c r="G860" s="19"/>
    </row>
    <row r="861" spans="1:7" x14ac:dyDescent="0.25">
      <c r="A861" s="20"/>
      <c r="B861" s="20"/>
      <c r="C861" s="19"/>
      <c r="D861" s="19"/>
      <c r="E861" s="19"/>
      <c r="F861" s="19"/>
      <c r="G861" s="19"/>
    </row>
    <row r="862" spans="1:7" x14ac:dyDescent="0.25">
      <c r="A862" s="20"/>
      <c r="B862" s="20"/>
      <c r="C862" s="19"/>
      <c r="D862" s="19"/>
      <c r="E862" s="19"/>
      <c r="F862" s="19"/>
      <c r="G862" s="19"/>
    </row>
    <row r="863" spans="1:7" x14ac:dyDescent="0.25">
      <c r="A863" s="20"/>
      <c r="B863" s="20"/>
      <c r="C863" s="19"/>
      <c r="D863" s="19"/>
      <c r="E863" s="19"/>
      <c r="F863" s="19"/>
      <c r="G863" s="19"/>
    </row>
    <row r="864" spans="1:7" x14ac:dyDescent="0.25">
      <c r="A864" s="20"/>
      <c r="B864" s="20"/>
      <c r="C864" s="19"/>
      <c r="D864" s="19"/>
      <c r="E864" s="19"/>
      <c r="F864" s="19"/>
      <c r="G864" s="19"/>
    </row>
    <row r="865" spans="1:7" x14ac:dyDescent="0.25">
      <c r="A865" s="20"/>
      <c r="B865" s="20"/>
      <c r="C865" s="19"/>
      <c r="D865" s="19"/>
      <c r="E865" s="19"/>
      <c r="F865" s="19"/>
      <c r="G865" s="19"/>
    </row>
    <row r="866" spans="1:7" x14ac:dyDescent="0.25">
      <c r="A866" s="20"/>
      <c r="B866" s="20"/>
      <c r="C866" s="19"/>
      <c r="D866" s="19"/>
      <c r="E866" s="19"/>
      <c r="F866" s="19"/>
      <c r="G866" s="19"/>
    </row>
    <row r="867" spans="1:7" x14ac:dyDescent="0.25">
      <c r="A867" s="20"/>
      <c r="B867" s="20"/>
      <c r="C867" s="19"/>
      <c r="D867" s="19"/>
      <c r="E867" s="19"/>
      <c r="F867" s="19"/>
      <c r="G867" s="19"/>
    </row>
    <row r="868" spans="1:7" x14ac:dyDescent="0.25">
      <c r="A868" s="20"/>
      <c r="B868" s="20"/>
      <c r="C868" s="19"/>
      <c r="D868" s="19"/>
      <c r="E868" s="19"/>
      <c r="F868" s="19"/>
      <c r="G868" s="19"/>
    </row>
    <row r="869" spans="1:7" x14ac:dyDescent="0.25">
      <c r="A869" s="20"/>
      <c r="B869" s="20"/>
      <c r="C869" s="19"/>
      <c r="D869" s="19"/>
      <c r="E869" s="19"/>
      <c r="F869" s="19"/>
      <c r="G869" s="19"/>
    </row>
    <row r="870" spans="1:7" x14ac:dyDescent="0.25">
      <c r="A870" s="20"/>
      <c r="B870" s="20"/>
      <c r="C870" s="19"/>
      <c r="D870" s="19"/>
      <c r="E870" s="19"/>
      <c r="F870" s="19"/>
      <c r="G870" s="19"/>
    </row>
    <row r="871" spans="1:7" x14ac:dyDescent="0.25">
      <c r="A871" s="20"/>
      <c r="B871" s="20"/>
      <c r="C871" s="19"/>
      <c r="D871" s="19"/>
      <c r="E871" s="19"/>
      <c r="F871" s="19"/>
      <c r="G871" s="19"/>
    </row>
    <row r="872" spans="1:7" x14ac:dyDescent="0.25">
      <c r="A872" s="20"/>
      <c r="B872" s="20"/>
      <c r="C872" s="19"/>
      <c r="D872" s="19"/>
      <c r="E872" s="19"/>
      <c r="F872" s="19"/>
      <c r="G872" s="19"/>
    </row>
    <row r="873" spans="1:7" x14ac:dyDescent="0.25">
      <c r="A873" s="20"/>
      <c r="B873" s="20"/>
      <c r="C873" s="19"/>
      <c r="D873" s="19"/>
      <c r="E873" s="19"/>
      <c r="F873" s="19"/>
      <c r="G873" s="19"/>
    </row>
    <row r="874" spans="1:7" x14ac:dyDescent="0.25">
      <c r="A874" s="20"/>
      <c r="B874" s="20"/>
      <c r="C874" s="19"/>
      <c r="D874" s="19"/>
      <c r="E874" s="19"/>
      <c r="F874" s="19"/>
      <c r="G874" s="19"/>
    </row>
    <row r="875" spans="1:7" x14ac:dyDescent="0.25">
      <c r="A875" s="20"/>
      <c r="B875" s="20"/>
      <c r="C875" s="19"/>
      <c r="D875" s="19"/>
      <c r="E875" s="19"/>
      <c r="F875" s="19"/>
      <c r="G875" s="19"/>
    </row>
    <row r="876" spans="1:7" x14ac:dyDescent="0.25">
      <c r="A876" s="20"/>
      <c r="B876" s="20"/>
      <c r="C876" s="19"/>
      <c r="D876" s="19"/>
      <c r="E876" s="19"/>
      <c r="F876" s="19"/>
      <c r="G876" s="19"/>
    </row>
    <row r="877" spans="1:7" x14ac:dyDescent="0.25">
      <c r="A877" s="20"/>
      <c r="B877" s="20"/>
      <c r="C877" s="19"/>
      <c r="D877" s="19"/>
      <c r="E877" s="19"/>
      <c r="F877" s="19"/>
      <c r="G877" s="19"/>
    </row>
    <row r="878" spans="1:7" x14ac:dyDescent="0.25">
      <c r="A878" s="20"/>
      <c r="B878" s="20"/>
      <c r="C878" s="19"/>
      <c r="D878" s="19"/>
      <c r="E878" s="19"/>
      <c r="F878" s="19"/>
      <c r="G878" s="19"/>
    </row>
    <row r="879" spans="1:7" x14ac:dyDescent="0.25">
      <c r="A879" s="20"/>
      <c r="B879" s="20"/>
      <c r="C879" s="19"/>
      <c r="D879" s="19"/>
      <c r="E879" s="19"/>
      <c r="F879" s="19"/>
      <c r="G879" s="19"/>
    </row>
    <row r="880" spans="1:7" x14ac:dyDescent="0.25">
      <c r="A880" s="20"/>
      <c r="B880" s="20"/>
      <c r="C880" s="19"/>
      <c r="D880" s="19"/>
      <c r="E880" s="19"/>
      <c r="F880" s="19"/>
      <c r="G880" s="19"/>
    </row>
    <row r="881" spans="1:7" x14ac:dyDescent="0.25">
      <c r="A881" s="20"/>
      <c r="B881" s="20"/>
      <c r="C881" s="19"/>
      <c r="D881" s="19"/>
      <c r="E881" s="19"/>
      <c r="F881" s="19"/>
      <c r="G881" s="19"/>
    </row>
    <row r="882" spans="1:7" x14ac:dyDescent="0.25">
      <c r="A882" s="20"/>
      <c r="B882" s="20"/>
      <c r="C882" s="19"/>
      <c r="D882" s="19"/>
      <c r="E882" s="19"/>
      <c r="F882" s="19"/>
      <c r="G882" s="19"/>
    </row>
    <row r="883" spans="1:7" x14ac:dyDescent="0.25">
      <c r="A883" s="20"/>
      <c r="B883" s="20"/>
      <c r="C883" s="19"/>
      <c r="D883" s="19"/>
      <c r="E883" s="19"/>
      <c r="F883" s="19"/>
      <c r="G883" s="19"/>
    </row>
    <row r="884" spans="1:7" x14ac:dyDescent="0.25">
      <c r="A884" s="20"/>
      <c r="B884" s="20"/>
      <c r="C884" s="19"/>
      <c r="D884" s="19"/>
      <c r="E884" s="19"/>
      <c r="F884" s="19"/>
      <c r="G884" s="19"/>
    </row>
    <row r="885" spans="1:7" x14ac:dyDescent="0.25">
      <c r="A885" s="20"/>
      <c r="B885" s="20"/>
      <c r="C885" s="19"/>
      <c r="D885" s="19"/>
      <c r="E885" s="19"/>
      <c r="F885" s="19"/>
      <c r="G885" s="19"/>
    </row>
    <row r="886" spans="1:7" x14ac:dyDescent="0.25">
      <c r="A886" s="20"/>
      <c r="B886" s="20"/>
      <c r="C886" s="19"/>
      <c r="D886" s="19"/>
      <c r="E886" s="19"/>
      <c r="F886" s="19"/>
      <c r="G886" s="19"/>
    </row>
    <row r="887" spans="1:7" x14ac:dyDescent="0.25">
      <c r="A887" s="20"/>
      <c r="B887" s="20"/>
      <c r="C887" s="19"/>
      <c r="D887" s="19"/>
      <c r="E887" s="19"/>
      <c r="F887" s="19"/>
      <c r="G887" s="19"/>
    </row>
    <row r="888" spans="1:7" x14ac:dyDescent="0.25">
      <c r="A888" s="20"/>
      <c r="B888" s="20"/>
      <c r="C888" s="19"/>
      <c r="D888" s="19"/>
      <c r="E888" s="19"/>
      <c r="F888" s="19"/>
      <c r="G888" s="19"/>
    </row>
    <row r="889" spans="1:7" x14ac:dyDescent="0.25">
      <c r="A889" s="20"/>
      <c r="B889" s="20"/>
      <c r="C889" s="19"/>
      <c r="D889" s="19"/>
      <c r="E889" s="19"/>
      <c r="F889" s="19"/>
      <c r="G889" s="19"/>
    </row>
    <row r="890" spans="1:7" x14ac:dyDescent="0.25">
      <c r="A890" s="20"/>
      <c r="B890" s="20"/>
      <c r="C890" s="19"/>
      <c r="D890" s="19"/>
      <c r="E890" s="19"/>
      <c r="F890" s="19"/>
      <c r="G890" s="19"/>
    </row>
    <row r="891" spans="1:7" x14ac:dyDescent="0.25">
      <c r="A891" s="20"/>
      <c r="B891" s="20"/>
      <c r="C891" s="19"/>
      <c r="D891" s="19"/>
      <c r="E891" s="19"/>
      <c r="F891" s="19"/>
      <c r="G891" s="19"/>
    </row>
    <row r="892" spans="1:7" x14ac:dyDescent="0.25">
      <c r="A892" s="20"/>
      <c r="B892" s="20"/>
      <c r="C892" s="19"/>
      <c r="D892" s="19"/>
      <c r="E892" s="19"/>
      <c r="F892" s="19"/>
      <c r="G892" s="19"/>
    </row>
    <row r="893" spans="1:7" x14ac:dyDescent="0.25">
      <c r="A893" s="20"/>
      <c r="B893" s="20"/>
      <c r="C893" s="19"/>
      <c r="D893" s="19"/>
      <c r="E893" s="19"/>
      <c r="F893" s="19"/>
      <c r="G893" s="19"/>
    </row>
    <row r="894" spans="1:7" x14ac:dyDescent="0.25">
      <c r="A894" s="20"/>
      <c r="B894" s="20"/>
      <c r="C894" s="19"/>
      <c r="D894" s="19"/>
      <c r="E894" s="19"/>
      <c r="F894" s="19"/>
      <c r="G894" s="19"/>
    </row>
    <row r="895" spans="1:7" x14ac:dyDescent="0.25">
      <c r="A895" s="20"/>
      <c r="B895" s="20"/>
      <c r="C895" s="19"/>
      <c r="D895" s="19"/>
      <c r="E895" s="19"/>
      <c r="F895" s="19"/>
      <c r="G895" s="19"/>
    </row>
    <row r="896" spans="1:7" x14ac:dyDescent="0.25">
      <c r="A896" s="20"/>
      <c r="B896" s="20"/>
      <c r="C896" s="19"/>
      <c r="D896" s="19"/>
      <c r="E896" s="19"/>
      <c r="F896" s="19"/>
      <c r="G896" s="19"/>
    </row>
    <row r="897" spans="1:7" x14ac:dyDescent="0.25">
      <c r="A897" s="20"/>
      <c r="B897" s="20"/>
      <c r="C897" s="19"/>
      <c r="D897" s="19"/>
      <c r="E897" s="19"/>
      <c r="F897" s="19"/>
      <c r="G897" s="19"/>
    </row>
    <row r="898" spans="1:7" x14ac:dyDescent="0.25">
      <c r="A898" s="20"/>
      <c r="B898" s="20"/>
      <c r="C898" s="19"/>
      <c r="D898" s="19"/>
      <c r="E898" s="19"/>
      <c r="F898" s="19"/>
      <c r="G898" s="19"/>
    </row>
    <row r="899" spans="1:7" x14ac:dyDescent="0.25">
      <c r="A899" s="20"/>
      <c r="B899" s="20"/>
      <c r="C899" s="19"/>
      <c r="D899" s="19"/>
      <c r="E899" s="19"/>
      <c r="F899" s="19"/>
      <c r="G899" s="19"/>
    </row>
    <row r="900" spans="1:7" x14ac:dyDescent="0.25">
      <c r="A900" s="20"/>
      <c r="B900" s="20"/>
      <c r="C900" s="19"/>
      <c r="D900" s="19"/>
      <c r="E900" s="19"/>
      <c r="F900" s="19"/>
      <c r="G900" s="19"/>
    </row>
    <row r="901" spans="1:7" x14ac:dyDescent="0.25">
      <c r="A901" s="20"/>
      <c r="B901" s="20"/>
      <c r="C901" s="19"/>
      <c r="D901" s="19"/>
      <c r="E901" s="19"/>
      <c r="F901" s="19"/>
      <c r="G901" s="19"/>
    </row>
    <row r="902" spans="1:7" x14ac:dyDescent="0.25">
      <c r="A902" s="20"/>
      <c r="B902" s="20"/>
      <c r="C902" s="19"/>
      <c r="D902" s="19"/>
      <c r="E902" s="19"/>
      <c r="F902" s="19"/>
      <c r="G902" s="19"/>
    </row>
    <row r="903" spans="1:7" x14ac:dyDescent="0.25">
      <c r="A903" s="20"/>
      <c r="B903" s="20"/>
      <c r="C903" s="19"/>
      <c r="D903" s="19"/>
      <c r="E903" s="19"/>
      <c r="F903" s="19"/>
      <c r="G903" s="19"/>
    </row>
    <row r="904" spans="1:7" x14ac:dyDescent="0.25">
      <c r="A904" s="20"/>
      <c r="B904" s="20"/>
      <c r="C904" s="19"/>
      <c r="D904" s="19"/>
      <c r="E904" s="19"/>
      <c r="F904" s="19"/>
      <c r="G904" s="19"/>
    </row>
    <row r="905" spans="1:7" x14ac:dyDescent="0.25">
      <c r="A905" s="20"/>
      <c r="B905" s="20"/>
      <c r="C905" s="19"/>
      <c r="D905" s="19"/>
      <c r="E905" s="19"/>
      <c r="F905" s="19"/>
      <c r="G905" s="19"/>
    </row>
    <row r="906" spans="1:7" x14ac:dyDescent="0.25">
      <c r="A906" s="20"/>
      <c r="B906" s="20"/>
      <c r="C906" s="19"/>
      <c r="D906" s="19"/>
      <c r="E906" s="19"/>
      <c r="F906" s="19"/>
      <c r="G906" s="19"/>
    </row>
    <row r="907" spans="1:7" x14ac:dyDescent="0.25">
      <c r="A907" s="20"/>
      <c r="B907" s="20"/>
      <c r="C907" s="19"/>
      <c r="D907" s="19"/>
      <c r="E907" s="19"/>
      <c r="F907" s="19"/>
      <c r="G907" s="19"/>
    </row>
    <row r="908" spans="1:7" x14ac:dyDescent="0.25">
      <c r="A908" s="20"/>
      <c r="B908" s="20"/>
      <c r="C908" s="19"/>
      <c r="D908" s="19"/>
      <c r="E908" s="19"/>
      <c r="F908" s="19"/>
      <c r="G908" s="19"/>
    </row>
    <row r="909" spans="1:7" x14ac:dyDescent="0.25">
      <c r="A909" s="20"/>
      <c r="B909" s="20"/>
      <c r="C909" s="19"/>
      <c r="D909" s="19"/>
      <c r="E909" s="19"/>
      <c r="F909" s="19"/>
      <c r="G909" s="19"/>
    </row>
    <row r="910" spans="1:7" x14ac:dyDescent="0.25">
      <c r="A910" s="20"/>
      <c r="B910" s="20"/>
      <c r="C910" s="19"/>
      <c r="D910" s="19"/>
      <c r="E910" s="19"/>
      <c r="F910" s="19"/>
      <c r="G910" s="19"/>
    </row>
    <row r="911" spans="1:7" x14ac:dyDescent="0.25">
      <c r="A911" s="20"/>
      <c r="B911" s="20"/>
      <c r="C911" s="19"/>
      <c r="D911" s="19"/>
      <c r="E911" s="19"/>
      <c r="F911" s="19"/>
      <c r="G911" s="19"/>
    </row>
    <row r="912" spans="1:7" x14ac:dyDescent="0.25">
      <c r="A912" s="20"/>
      <c r="B912" s="20"/>
      <c r="C912" s="19"/>
      <c r="D912" s="19"/>
      <c r="E912" s="19"/>
      <c r="F912" s="19"/>
      <c r="G912" s="19"/>
    </row>
    <row r="913" spans="1:7" x14ac:dyDescent="0.25">
      <c r="A913" s="20"/>
      <c r="B913" s="20"/>
      <c r="C913" s="19"/>
      <c r="D913" s="19"/>
      <c r="E913" s="19"/>
      <c r="F913" s="19"/>
      <c r="G913" s="19"/>
    </row>
    <row r="914" spans="1:7" x14ac:dyDescent="0.25">
      <c r="A914" s="20"/>
      <c r="B914" s="20"/>
      <c r="C914" s="19"/>
      <c r="D914" s="19"/>
      <c r="E914" s="19"/>
      <c r="F914" s="19"/>
      <c r="G914" s="19"/>
    </row>
    <row r="915" spans="1:7" x14ac:dyDescent="0.25">
      <c r="A915" s="20"/>
      <c r="B915" s="20"/>
      <c r="C915" s="19"/>
      <c r="D915" s="19"/>
      <c r="E915" s="19"/>
      <c r="F915" s="19"/>
      <c r="G915" s="19"/>
    </row>
    <row r="916" spans="1:7" x14ac:dyDescent="0.25">
      <c r="A916" s="20"/>
      <c r="B916" s="20"/>
      <c r="C916" s="19"/>
      <c r="D916" s="19"/>
      <c r="E916" s="19"/>
      <c r="F916" s="19"/>
      <c r="G916" s="19"/>
    </row>
    <row r="917" spans="1:7" x14ac:dyDescent="0.25">
      <c r="A917" s="20"/>
      <c r="B917" s="20"/>
      <c r="C917" s="19"/>
      <c r="D917" s="19"/>
      <c r="E917" s="19"/>
      <c r="F917" s="19"/>
      <c r="G917" s="19"/>
    </row>
    <row r="918" spans="1:7" x14ac:dyDescent="0.25">
      <c r="A918" s="20"/>
      <c r="B918" s="20"/>
      <c r="C918" s="19"/>
      <c r="D918" s="19"/>
      <c r="E918" s="19"/>
      <c r="F918" s="19"/>
      <c r="G918" s="19"/>
    </row>
    <row r="919" spans="1:7" x14ac:dyDescent="0.25">
      <c r="A919" s="20"/>
      <c r="B919" s="20"/>
      <c r="C919" s="19"/>
      <c r="D919" s="19"/>
      <c r="E919" s="19"/>
      <c r="F919" s="19"/>
      <c r="G919" s="19"/>
    </row>
    <row r="920" spans="1:7" x14ac:dyDescent="0.25">
      <c r="A920" s="20"/>
      <c r="B920" s="20"/>
      <c r="C920" s="19"/>
      <c r="D920" s="19"/>
      <c r="E920" s="19"/>
      <c r="F920" s="19"/>
      <c r="G920" s="19"/>
    </row>
    <row r="921" spans="1:7" x14ac:dyDescent="0.25">
      <c r="A921" s="20"/>
      <c r="B921" s="20"/>
      <c r="C921" s="19"/>
      <c r="D921" s="19"/>
      <c r="E921" s="19"/>
      <c r="F921" s="19"/>
      <c r="G921" s="19"/>
    </row>
    <row r="922" spans="1:7" x14ac:dyDescent="0.25">
      <c r="A922" s="20"/>
      <c r="B922" s="20"/>
      <c r="C922" s="19"/>
      <c r="D922" s="19"/>
      <c r="E922" s="19"/>
      <c r="F922" s="19"/>
      <c r="G922" s="19"/>
    </row>
    <row r="923" spans="1:7" x14ac:dyDescent="0.25">
      <c r="A923" s="20"/>
      <c r="B923" s="20"/>
      <c r="C923" s="19"/>
      <c r="D923" s="19"/>
      <c r="E923" s="19"/>
      <c r="F923" s="19"/>
      <c r="G923" s="19"/>
    </row>
    <row r="924" spans="1:7" x14ac:dyDescent="0.25">
      <c r="A924" s="20"/>
      <c r="B924" s="20"/>
      <c r="C924" s="19"/>
      <c r="D924" s="19"/>
      <c r="E924" s="19"/>
      <c r="F924" s="19"/>
      <c r="G924" s="19"/>
    </row>
    <row r="925" spans="1:7" x14ac:dyDescent="0.25">
      <c r="A925" s="20"/>
      <c r="B925" s="20"/>
      <c r="C925" s="19"/>
      <c r="D925" s="19"/>
      <c r="E925" s="19"/>
      <c r="F925" s="19"/>
      <c r="G925" s="19"/>
    </row>
    <row r="926" spans="1:7" x14ac:dyDescent="0.25">
      <c r="A926" s="20"/>
      <c r="B926" s="20"/>
      <c r="C926" s="19"/>
      <c r="D926" s="19"/>
      <c r="E926" s="19"/>
      <c r="F926" s="19"/>
      <c r="G926" s="19"/>
    </row>
    <row r="927" spans="1:7" x14ac:dyDescent="0.25">
      <c r="A927" s="20"/>
      <c r="B927" s="20"/>
      <c r="C927" s="19"/>
      <c r="D927" s="19"/>
      <c r="E927" s="19"/>
      <c r="F927" s="19"/>
      <c r="G927" s="19"/>
    </row>
    <row r="928" spans="1:7" x14ac:dyDescent="0.25">
      <c r="A928" s="20"/>
      <c r="B928" s="20"/>
      <c r="C928" s="19"/>
      <c r="D928" s="19"/>
      <c r="E928" s="19"/>
      <c r="F928" s="19"/>
      <c r="G928" s="19"/>
    </row>
    <row r="929" spans="1:7" x14ac:dyDescent="0.25">
      <c r="A929" s="20"/>
      <c r="B929" s="20"/>
      <c r="C929" s="19"/>
      <c r="D929" s="19"/>
      <c r="E929" s="19"/>
      <c r="F929" s="19"/>
      <c r="G929" s="19"/>
    </row>
    <row r="930" spans="1:7" x14ac:dyDescent="0.25">
      <c r="A930" s="20"/>
      <c r="B930" s="20"/>
      <c r="C930" s="19"/>
      <c r="D930" s="19"/>
      <c r="E930" s="19"/>
      <c r="F930" s="19"/>
      <c r="G930" s="19"/>
    </row>
    <row r="931" spans="1:7" x14ac:dyDescent="0.25">
      <c r="A931" s="20"/>
    </row>
    <row r="932" spans="1:7" x14ac:dyDescent="0.25">
      <c r="A932" s="20"/>
    </row>
    <row r="933" spans="1:7" x14ac:dyDescent="0.25">
      <c r="A933" s="20"/>
    </row>
    <row r="934" spans="1:7" x14ac:dyDescent="0.25">
      <c r="A934" s="20"/>
    </row>
    <row r="935" spans="1:7" x14ac:dyDescent="0.25">
      <c r="A935" s="20"/>
    </row>
    <row r="936" spans="1:7" x14ac:dyDescent="0.25">
      <c r="A936" s="20"/>
    </row>
    <row r="937" spans="1:7" x14ac:dyDescent="0.25">
      <c r="A937" s="20"/>
    </row>
    <row r="938" spans="1:7" x14ac:dyDescent="0.25">
      <c r="A938" s="20"/>
    </row>
    <row r="939" spans="1:7" x14ac:dyDescent="0.25">
      <c r="A939" s="20"/>
    </row>
    <row r="940" spans="1:7" x14ac:dyDescent="0.25">
      <c r="A940" s="20"/>
    </row>
  </sheetData>
  <phoneticPr fontId="39" type="noConversion"/>
  <pageMargins left="0.75" right="0.75" top="1" bottom="1" header="0.5" footer="0.5"/>
  <pageSetup scale="53" orientation="portrait" r:id="rId1"/>
  <headerFooter alignWithMargins="0"/>
  <rowBreaks count="4" manualBreakCount="4">
    <brk id="62" max="16383" man="1"/>
    <brk id="123" max="16383" man="1"/>
    <brk id="182" max="16383" man="1"/>
    <brk id="257" max="39" man="1"/>
  </rowBreaks>
  <cellWatches>
    <cellWatch r="E279"/>
  </cellWatch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Z9638"/>
  <sheetViews>
    <sheetView zoomScaleNormal="75" workbookViewId="0">
      <pane xSplit="1" ySplit="1" topLeftCell="B2" activePane="bottomRight" state="frozen"/>
      <selection activeCell="O329" sqref="O329"/>
      <selection pane="topRight" activeCell="O329" sqref="O329"/>
      <selection pane="bottomLeft" activeCell="O329" sqref="O329"/>
      <selection pane="bottomRight" activeCell="G18" sqref="G18"/>
    </sheetView>
  </sheetViews>
  <sheetFormatPr defaultColWidth="9" defaultRowHeight="15.75" x14ac:dyDescent="0.25"/>
  <cols>
    <col min="1" max="1" width="11" style="20" customWidth="1"/>
    <col min="2" max="2" width="15.625" style="20" bestFit="1" customWidth="1"/>
    <col min="3" max="3" width="13.5" style="20" customWidth="1"/>
    <col min="4" max="4" width="13.125" style="20" customWidth="1"/>
    <col min="5" max="6" width="12.625" style="20" customWidth="1"/>
    <col min="7" max="7" width="16.25" style="20" bestFit="1" customWidth="1"/>
    <col min="8" max="8" width="12.625" style="20" customWidth="1"/>
    <col min="9" max="9" width="12.625" style="38" customWidth="1"/>
    <col min="10" max="10" width="13" style="20" bestFit="1" customWidth="1"/>
    <col min="11" max="11" width="10" style="32" bestFit="1" customWidth="1"/>
    <col min="12" max="13" width="10" style="32" customWidth="1"/>
    <col min="14" max="14" width="14.75" style="235" bestFit="1" customWidth="1"/>
    <col min="15" max="15" width="13" style="20" bestFit="1" customWidth="1"/>
    <col min="16" max="16" width="12.875" style="20" customWidth="1"/>
    <col min="17" max="17" width="12.75" style="20" customWidth="1"/>
    <col min="18" max="18" width="11.125" style="20" customWidth="1"/>
    <col min="19" max="19" width="16.25" style="20" bestFit="1" customWidth="1"/>
    <col min="20" max="21" width="12.625" style="20" customWidth="1"/>
    <col min="22" max="22" width="13" style="20" bestFit="1" customWidth="1"/>
    <col min="23" max="23" width="9.625" style="32" customWidth="1"/>
    <col min="24" max="24" width="9.625" style="20" customWidth="1"/>
    <col min="25" max="16384" width="9" style="20"/>
  </cols>
  <sheetData>
    <row r="1" spans="1:26" s="18" customFormat="1" x14ac:dyDescent="0.25">
      <c r="A1" s="27" t="s">
        <v>58</v>
      </c>
      <c r="B1" s="27" t="s">
        <v>381</v>
      </c>
      <c r="C1" s="27" t="s">
        <v>382</v>
      </c>
      <c r="D1" s="27" t="s">
        <v>383</v>
      </c>
      <c r="E1" s="27" t="s">
        <v>384</v>
      </c>
      <c r="F1" s="27" t="s">
        <v>385</v>
      </c>
      <c r="G1" s="27" t="s">
        <v>386</v>
      </c>
      <c r="H1" s="27" t="s">
        <v>387</v>
      </c>
      <c r="I1" s="33" t="s">
        <v>388</v>
      </c>
      <c r="J1" s="27" t="s">
        <v>389</v>
      </c>
      <c r="K1" s="34" t="s">
        <v>390</v>
      </c>
      <c r="L1" s="34" t="s">
        <v>391</v>
      </c>
      <c r="M1" s="34" t="s">
        <v>392</v>
      </c>
      <c r="N1" s="34" t="s">
        <v>393</v>
      </c>
      <c r="O1" s="27" t="s">
        <v>394</v>
      </c>
      <c r="P1" s="27" t="s">
        <v>395</v>
      </c>
      <c r="Q1" s="27" t="s">
        <v>396</v>
      </c>
      <c r="R1" s="27" t="s">
        <v>397</v>
      </c>
      <c r="S1" s="27" t="s">
        <v>398</v>
      </c>
      <c r="T1" s="27" t="s">
        <v>399</v>
      </c>
      <c r="U1" s="33" t="s">
        <v>400</v>
      </c>
      <c r="V1" s="27" t="s">
        <v>401</v>
      </c>
      <c r="W1" s="34" t="s">
        <v>402</v>
      </c>
      <c r="X1" s="34" t="s">
        <v>403</v>
      </c>
    </row>
    <row r="2" spans="1:26" x14ac:dyDescent="0.25">
      <c r="A2" s="31">
        <v>38961</v>
      </c>
      <c r="B2" s="62">
        <v>2792283.1</v>
      </c>
      <c r="C2" s="236">
        <v>0</v>
      </c>
      <c r="D2" s="236">
        <v>0</v>
      </c>
      <c r="E2" s="236">
        <v>0</v>
      </c>
      <c r="F2" s="236">
        <v>2135</v>
      </c>
      <c r="G2" s="236">
        <v>0</v>
      </c>
      <c r="H2" s="236">
        <v>0</v>
      </c>
      <c r="I2" s="236">
        <v>0</v>
      </c>
      <c r="J2" s="91">
        <v>2790148.1</v>
      </c>
      <c r="K2" s="217">
        <v>1007</v>
      </c>
      <c r="L2" s="217">
        <v>1058</v>
      </c>
      <c r="M2" s="217"/>
      <c r="N2" s="232">
        <v>1040</v>
      </c>
      <c r="O2" s="90">
        <v>203457</v>
      </c>
      <c r="P2" s="236">
        <v>0</v>
      </c>
      <c r="Q2" s="236">
        <v>0</v>
      </c>
      <c r="R2" s="236">
        <v>50</v>
      </c>
      <c r="S2" s="236">
        <v>0</v>
      </c>
      <c r="T2" s="236">
        <v>0</v>
      </c>
      <c r="U2" s="236">
        <v>0</v>
      </c>
      <c r="V2" s="63">
        <v>203407</v>
      </c>
      <c r="W2" s="217">
        <v>1007</v>
      </c>
      <c r="X2" s="217">
        <v>1076</v>
      </c>
    </row>
    <row r="3" spans="1:26" x14ac:dyDescent="0.25">
      <c r="A3" s="31">
        <v>38962</v>
      </c>
      <c r="B3" s="62">
        <v>2790148.1</v>
      </c>
      <c r="C3" s="236">
        <v>0</v>
      </c>
      <c r="D3" s="236">
        <v>0</v>
      </c>
      <c r="E3" s="236">
        <v>0</v>
      </c>
      <c r="F3" s="236">
        <v>2669</v>
      </c>
      <c r="G3" s="236">
        <v>0</v>
      </c>
      <c r="H3" s="236">
        <v>0</v>
      </c>
      <c r="I3" s="236">
        <v>0</v>
      </c>
      <c r="J3" s="91">
        <v>2787479.1</v>
      </c>
      <c r="K3" s="217">
        <v>1007</v>
      </c>
      <c r="L3" s="217">
        <v>1058</v>
      </c>
      <c r="M3" s="217"/>
      <c r="N3" s="232">
        <v>1037</v>
      </c>
      <c r="O3" s="90">
        <v>203407</v>
      </c>
      <c r="P3" s="236">
        <v>0</v>
      </c>
      <c r="Q3" s="236">
        <v>0</v>
      </c>
      <c r="R3" s="236">
        <v>174</v>
      </c>
      <c r="S3" s="236">
        <v>0</v>
      </c>
      <c r="T3" s="236">
        <v>0</v>
      </c>
      <c r="U3" s="236">
        <v>0</v>
      </c>
      <c r="V3" s="63">
        <v>203233</v>
      </c>
      <c r="W3" s="217">
        <v>1007</v>
      </c>
      <c r="X3" s="217">
        <v>1076</v>
      </c>
    </row>
    <row r="4" spans="1:26" x14ac:dyDescent="0.25">
      <c r="A4" s="31">
        <v>38963</v>
      </c>
      <c r="B4" s="62">
        <v>2787479.1</v>
      </c>
      <c r="C4" s="236">
        <v>0</v>
      </c>
      <c r="D4" s="236">
        <v>0</v>
      </c>
      <c r="E4" s="236">
        <v>0</v>
      </c>
      <c r="F4" s="236">
        <v>1602</v>
      </c>
      <c r="G4" s="236">
        <v>0</v>
      </c>
      <c r="H4" s="236">
        <v>0</v>
      </c>
      <c r="I4" s="236">
        <v>0</v>
      </c>
      <c r="J4" s="91">
        <v>2785877.1</v>
      </c>
      <c r="K4" s="217">
        <v>1007</v>
      </c>
      <c r="L4" s="217">
        <v>1058</v>
      </c>
      <c r="M4" s="217"/>
      <c r="N4" s="232">
        <v>1037</v>
      </c>
      <c r="O4" s="90">
        <v>203233</v>
      </c>
      <c r="P4" s="236">
        <v>0</v>
      </c>
      <c r="Q4" s="236">
        <v>0</v>
      </c>
      <c r="R4" s="236">
        <v>276</v>
      </c>
      <c r="S4" s="236">
        <v>0</v>
      </c>
      <c r="T4" s="236">
        <v>0</v>
      </c>
      <c r="U4" s="236">
        <v>0</v>
      </c>
      <c r="V4" s="63">
        <v>202957</v>
      </c>
      <c r="W4" s="217">
        <v>1007</v>
      </c>
      <c r="X4" s="217">
        <v>1076</v>
      </c>
    </row>
    <row r="5" spans="1:26" x14ac:dyDescent="0.25">
      <c r="A5" s="31">
        <v>38964</v>
      </c>
      <c r="B5" s="62">
        <v>2785877.1</v>
      </c>
      <c r="C5" s="236">
        <v>0</v>
      </c>
      <c r="D5" s="236">
        <v>0</v>
      </c>
      <c r="E5" s="236">
        <v>0</v>
      </c>
      <c r="F5" s="236">
        <v>2134</v>
      </c>
      <c r="G5" s="236">
        <v>0</v>
      </c>
      <c r="H5" s="236">
        <v>0</v>
      </c>
      <c r="I5" s="236">
        <v>0</v>
      </c>
      <c r="J5" s="91">
        <v>2783743.1</v>
      </c>
      <c r="K5" s="217">
        <v>1007</v>
      </c>
      <c r="L5" s="217">
        <v>1058</v>
      </c>
      <c r="M5" s="217"/>
      <c r="N5" s="232">
        <v>1039</v>
      </c>
      <c r="O5" s="90">
        <v>202957</v>
      </c>
      <c r="P5" s="236">
        <v>0</v>
      </c>
      <c r="Q5" s="236">
        <v>0</v>
      </c>
      <c r="R5" s="236">
        <v>51</v>
      </c>
      <c r="S5" s="236">
        <v>0</v>
      </c>
      <c r="T5" s="236">
        <v>0</v>
      </c>
      <c r="U5" s="236">
        <v>0</v>
      </c>
      <c r="V5" s="63">
        <v>202906</v>
      </c>
      <c r="W5" s="217">
        <v>1007</v>
      </c>
      <c r="X5" s="217">
        <v>1076</v>
      </c>
    </row>
    <row r="6" spans="1:26" x14ac:dyDescent="0.25">
      <c r="A6" s="31">
        <v>38965</v>
      </c>
      <c r="B6" s="62">
        <v>2783743.1</v>
      </c>
      <c r="C6" s="236">
        <v>0</v>
      </c>
      <c r="D6" s="236">
        <v>0</v>
      </c>
      <c r="E6" s="236">
        <v>0</v>
      </c>
      <c r="F6" s="236">
        <v>2135</v>
      </c>
      <c r="G6" s="236">
        <v>0</v>
      </c>
      <c r="H6" s="236">
        <v>0</v>
      </c>
      <c r="I6" s="236">
        <v>0</v>
      </c>
      <c r="J6" s="91">
        <v>2781608.1</v>
      </c>
      <c r="K6" s="217">
        <v>1007</v>
      </c>
      <c r="L6" s="217">
        <v>1058</v>
      </c>
      <c r="M6" s="217"/>
      <c r="N6" s="232">
        <v>1035</v>
      </c>
      <c r="O6" s="90">
        <v>202906</v>
      </c>
      <c r="P6" s="236">
        <v>0</v>
      </c>
      <c r="Q6" s="236">
        <v>0</v>
      </c>
      <c r="R6" s="236">
        <v>54</v>
      </c>
      <c r="S6" s="236">
        <v>0</v>
      </c>
      <c r="T6" s="236">
        <v>0</v>
      </c>
      <c r="U6" s="236">
        <v>0</v>
      </c>
      <c r="V6" s="63">
        <v>202852</v>
      </c>
      <c r="W6" s="217">
        <v>1007</v>
      </c>
      <c r="X6" s="217">
        <v>1076</v>
      </c>
    </row>
    <row r="7" spans="1:26" x14ac:dyDescent="0.25">
      <c r="A7" s="31">
        <v>38966</v>
      </c>
      <c r="B7" s="62">
        <v>2781608.1</v>
      </c>
      <c r="C7" s="236">
        <v>0</v>
      </c>
      <c r="D7" s="236">
        <v>0</v>
      </c>
      <c r="E7" s="236">
        <v>0</v>
      </c>
      <c r="F7" s="236">
        <v>2136</v>
      </c>
      <c r="G7" s="236">
        <v>0</v>
      </c>
      <c r="H7" s="236">
        <v>0</v>
      </c>
      <c r="I7" s="236">
        <v>0</v>
      </c>
      <c r="J7" s="91">
        <v>2779472.1</v>
      </c>
      <c r="K7" s="217">
        <v>1007</v>
      </c>
      <c r="L7" s="217">
        <v>1058</v>
      </c>
      <c r="M7" s="217"/>
      <c r="N7" s="232">
        <v>1035</v>
      </c>
      <c r="O7" s="267">
        <v>200744</v>
      </c>
      <c r="P7" s="236">
        <v>0</v>
      </c>
      <c r="Q7" s="236">
        <v>0</v>
      </c>
      <c r="R7" s="236">
        <v>50</v>
      </c>
      <c r="S7" s="236">
        <v>0</v>
      </c>
      <c r="T7" s="236">
        <v>0</v>
      </c>
      <c r="U7" s="236">
        <v>0</v>
      </c>
      <c r="V7" s="63">
        <v>200694</v>
      </c>
      <c r="W7" s="217">
        <v>1007</v>
      </c>
      <c r="X7" s="217">
        <v>1076</v>
      </c>
      <c r="Z7" s="177"/>
    </row>
    <row r="8" spans="1:26" x14ac:dyDescent="0.25">
      <c r="A8" s="31">
        <v>38967</v>
      </c>
      <c r="B8" s="62">
        <v>2779472.1</v>
      </c>
      <c r="C8" s="236">
        <v>0</v>
      </c>
      <c r="D8" s="236">
        <v>0</v>
      </c>
      <c r="E8" s="236">
        <v>0</v>
      </c>
      <c r="F8" s="236">
        <v>1602</v>
      </c>
      <c r="G8" s="236">
        <v>0</v>
      </c>
      <c r="H8" s="236">
        <v>0</v>
      </c>
      <c r="I8" s="236">
        <v>0</v>
      </c>
      <c r="J8" s="91">
        <v>2777870.1</v>
      </c>
      <c r="K8" s="217">
        <v>1007</v>
      </c>
      <c r="L8" s="217">
        <v>1058</v>
      </c>
      <c r="M8" s="217"/>
      <c r="N8" s="232">
        <v>1032</v>
      </c>
      <c r="O8" s="90">
        <v>200694</v>
      </c>
      <c r="P8" s="236">
        <v>0</v>
      </c>
      <c r="Q8" s="236">
        <v>0</v>
      </c>
      <c r="R8" s="236">
        <v>52</v>
      </c>
      <c r="S8" s="236">
        <v>0</v>
      </c>
      <c r="T8" s="236">
        <v>0</v>
      </c>
      <c r="U8" s="236">
        <v>0</v>
      </c>
      <c r="V8" s="63">
        <v>200642</v>
      </c>
      <c r="W8" s="217">
        <v>1007</v>
      </c>
      <c r="X8" s="217">
        <v>1076</v>
      </c>
      <c r="Z8" s="177"/>
    </row>
    <row r="9" spans="1:26" x14ac:dyDescent="0.25">
      <c r="A9" s="31">
        <v>38968</v>
      </c>
      <c r="B9" s="62">
        <v>2777870.1</v>
      </c>
      <c r="C9" s="236">
        <v>6207</v>
      </c>
      <c r="D9" s="236">
        <v>0</v>
      </c>
      <c r="E9" s="236">
        <v>0</v>
      </c>
      <c r="F9" s="236">
        <v>1937</v>
      </c>
      <c r="G9" s="236">
        <v>0</v>
      </c>
      <c r="H9" s="236">
        <v>0</v>
      </c>
      <c r="I9" s="236">
        <v>0</v>
      </c>
      <c r="J9" s="91">
        <v>2782140.1</v>
      </c>
      <c r="K9" s="217">
        <v>1007</v>
      </c>
      <c r="L9" s="217">
        <v>1058</v>
      </c>
      <c r="M9" s="217"/>
      <c r="N9" s="232">
        <v>1037</v>
      </c>
      <c r="O9" s="90">
        <v>200642</v>
      </c>
      <c r="P9" s="236">
        <v>0</v>
      </c>
      <c r="Q9" s="236">
        <v>0</v>
      </c>
      <c r="R9" s="236">
        <v>175</v>
      </c>
      <c r="S9" s="236">
        <v>0</v>
      </c>
      <c r="T9" s="236">
        <v>0</v>
      </c>
      <c r="U9" s="236">
        <v>0</v>
      </c>
      <c r="V9" s="63">
        <v>200467</v>
      </c>
      <c r="W9" s="217">
        <v>1007</v>
      </c>
      <c r="X9" s="217">
        <v>1076</v>
      </c>
      <c r="Z9" s="177"/>
    </row>
    <row r="10" spans="1:26" x14ac:dyDescent="0.25">
      <c r="A10" s="31">
        <v>38969</v>
      </c>
      <c r="B10" s="62">
        <v>2782140.1</v>
      </c>
      <c r="C10" s="236">
        <v>10706</v>
      </c>
      <c r="D10" s="236">
        <v>0</v>
      </c>
      <c r="E10" s="236">
        <v>0</v>
      </c>
      <c r="F10" s="236">
        <v>2163</v>
      </c>
      <c r="G10" s="236">
        <v>0</v>
      </c>
      <c r="H10" s="236">
        <v>0</v>
      </c>
      <c r="I10" s="236">
        <v>0</v>
      </c>
      <c r="J10" s="91">
        <v>2790683.1</v>
      </c>
      <c r="K10" s="217">
        <v>1007</v>
      </c>
      <c r="L10" s="217">
        <v>1058</v>
      </c>
      <c r="M10" s="217"/>
      <c r="N10" s="232">
        <v>1034</v>
      </c>
      <c r="O10" s="90">
        <v>200467</v>
      </c>
      <c r="P10" s="236">
        <v>0</v>
      </c>
      <c r="Q10" s="236">
        <v>0</v>
      </c>
      <c r="R10" s="236">
        <v>51</v>
      </c>
      <c r="S10" s="236">
        <v>0</v>
      </c>
      <c r="T10" s="236">
        <v>0</v>
      </c>
      <c r="U10" s="236">
        <v>0</v>
      </c>
      <c r="V10" s="63">
        <v>200416</v>
      </c>
      <c r="W10" s="217">
        <v>1007</v>
      </c>
      <c r="X10" s="217">
        <v>1076</v>
      </c>
      <c r="Z10" s="177"/>
    </row>
    <row r="11" spans="1:26" x14ac:dyDescent="0.25">
      <c r="A11" s="31">
        <v>38970</v>
      </c>
      <c r="B11" s="62">
        <v>2790683.1</v>
      </c>
      <c r="C11" s="236">
        <v>13237</v>
      </c>
      <c r="D11" s="236">
        <v>0</v>
      </c>
      <c r="E11" s="236">
        <v>0</v>
      </c>
      <c r="F11" s="236">
        <v>2294</v>
      </c>
      <c r="G11" s="236">
        <v>0</v>
      </c>
      <c r="H11" s="236">
        <v>0</v>
      </c>
      <c r="I11" s="236">
        <v>0</v>
      </c>
      <c r="J11" s="91">
        <v>2801626.1</v>
      </c>
      <c r="K11" s="217">
        <v>1007</v>
      </c>
      <c r="L11" s="217">
        <v>1058</v>
      </c>
      <c r="M11" s="217"/>
      <c r="N11" s="232">
        <v>1032</v>
      </c>
      <c r="O11" s="90">
        <v>200416</v>
      </c>
      <c r="P11" s="236">
        <v>0</v>
      </c>
      <c r="Q11" s="236">
        <v>0</v>
      </c>
      <c r="R11" s="236">
        <v>52</v>
      </c>
      <c r="S11" s="236">
        <v>0</v>
      </c>
      <c r="T11" s="236">
        <v>0</v>
      </c>
      <c r="U11" s="236">
        <v>0</v>
      </c>
      <c r="V11" s="63">
        <v>200364</v>
      </c>
      <c r="W11" s="217">
        <v>1007</v>
      </c>
      <c r="X11" s="217">
        <v>1076</v>
      </c>
    </row>
    <row r="12" spans="1:26" x14ac:dyDescent="0.25">
      <c r="A12" s="31">
        <v>38971</v>
      </c>
      <c r="B12" s="62">
        <v>2801626.1</v>
      </c>
      <c r="C12" s="236">
        <v>2281</v>
      </c>
      <c r="D12" s="236">
        <v>0</v>
      </c>
      <c r="E12" s="236">
        <v>0</v>
      </c>
      <c r="F12" s="236">
        <v>1747</v>
      </c>
      <c r="G12" s="236">
        <v>0</v>
      </c>
      <c r="H12" s="236">
        <v>0</v>
      </c>
      <c r="I12" s="236">
        <v>0</v>
      </c>
      <c r="J12" s="91">
        <v>2802160.1</v>
      </c>
      <c r="K12" s="217">
        <v>1007</v>
      </c>
      <c r="L12" s="217">
        <v>1058</v>
      </c>
      <c r="M12" s="217"/>
      <c r="N12" s="232">
        <v>1030</v>
      </c>
      <c r="O12" s="90">
        <v>200364</v>
      </c>
      <c r="P12" s="236">
        <v>0</v>
      </c>
      <c r="Q12" s="236">
        <v>0</v>
      </c>
      <c r="R12" s="236">
        <v>174</v>
      </c>
      <c r="S12" s="236">
        <v>0</v>
      </c>
      <c r="T12" s="236">
        <v>0</v>
      </c>
      <c r="U12" s="236">
        <v>0</v>
      </c>
      <c r="V12" s="63">
        <v>200190</v>
      </c>
      <c r="W12" s="217">
        <v>1007</v>
      </c>
      <c r="X12" s="217">
        <v>1076</v>
      </c>
    </row>
    <row r="13" spans="1:26" x14ac:dyDescent="0.25">
      <c r="A13" s="31">
        <v>38972</v>
      </c>
      <c r="B13" s="62">
        <v>2802160.1</v>
      </c>
      <c r="C13" s="236">
        <v>7902</v>
      </c>
      <c r="D13" s="236">
        <v>0</v>
      </c>
      <c r="E13" s="236">
        <v>0</v>
      </c>
      <c r="F13" s="236">
        <v>2030</v>
      </c>
      <c r="G13" s="236">
        <v>0</v>
      </c>
      <c r="H13" s="236">
        <v>0</v>
      </c>
      <c r="I13" s="236">
        <v>0</v>
      </c>
      <c r="J13" s="91">
        <v>2808032.1</v>
      </c>
      <c r="K13" s="217">
        <v>1007</v>
      </c>
      <c r="L13" s="217">
        <v>1058</v>
      </c>
      <c r="M13" s="217"/>
      <c r="N13" s="232">
        <v>1033</v>
      </c>
      <c r="O13" s="90">
        <v>200190</v>
      </c>
      <c r="P13" s="236">
        <v>0</v>
      </c>
      <c r="Q13" s="236">
        <v>0</v>
      </c>
      <c r="R13" s="236">
        <v>53</v>
      </c>
      <c r="S13" s="236">
        <v>0</v>
      </c>
      <c r="T13" s="236">
        <v>0</v>
      </c>
      <c r="U13" s="236">
        <v>0</v>
      </c>
      <c r="V13" s="63">
        <v>200137</v>
      </c>
      <c r="W13" s="217">
        <v>1007</v>
      </c>
      <c r="X13" s="217">
        <v>1076</v>
      </c>
    </row>
    <row r="14" spans="1:26" x14ac:dyDescent="0.25">
      <c r="A14" s="31">
        <v>38973</v>
      </c>
      <c r="B14" s="62">
        <v>2808032.1</v>
      </c>
      <c r="C14" s="236">
        <v>9871</v>
      </c>
      <c r="D14" s="236">
        <v>0</v>
      </c>
      <c r="E14" s="236">
        <v>0</v>
      </c>
      <c r="F14" s="236">
        <v>2130</v>
      </c>
      <c r="G14" s="236">
        <v>0</v>
      </c>
      <c r="H14" s="236">
        <v>0</v>
      </c>
      <c r="I14" s="236">
        <v>0</v>
      </c>
      <c r="J14" s="91">
        <v>2815773.1</v>
      </c>
      <c r="K14" s="217">
        <v>1007</v>
      </c>
      <c r="L14" s="217">
        <v>1058</v>
      </c>
      <c r="M14" s="217"/>
      <c r="N14" s="232">
        <v>1032</v>
      </c>
      <c r="O14" s="90">
        <v>200137</v>
      </c>
      <c r="P14" s="236">
        <v>0</v>
      </c>
      <c r="Q14" s="236">
        <v>0</v>
      </c>
      <c r="R14" s="236">
        <v>50</v>
      </c>
      <c r="S14" s="236">
        <v>0</v>
      </c>
      <c r="T14" s="236">
        <v>0</v>
      </c>
      <c r="U14" s="236">
        <v>0</v>
      </c>
      <c r="V14" s="63">
        <v>200087</v>
      </c>
      <c r="W14" s="217">
        <v>1007</v>
      </c>
      <c r="X14" s="217">
        <v>1076</v>
      </c>
    </row>
    <row r="15" spans="1:26" x14ac:dyDescent="0.25">
      <c r="A15" s="31">
        <v>38974</v>
      </c>
      <c r="B15" s="62">
        <v>2815773.1</v>
      </c>
      <c r="C15" s="236">
        <v>10997</v>
      </c>
      <c r="D15" s="236">
        <v>0</v>
      </c>
      <c r="E15" s="236">
        <v>0</v>
      </c>
      <c r="F15" s="236">
        <v>2190</v>
      </c>
      <c r="G15" s="236">
        <v>0</v>
      </c>
      <c r="H15" s="236">
        <v>0</v>
      </c>
      <c r="I15" s="236">
        <v>0</v>
      </c>
      <c r="J15" s="91">
        <v>2824580.1</v>
      </c>
      <c r="K15" s="217">
        <v>1007</v>
      </c>
      <c r="L15" s="217">
        <v>1058</v>
      </c>
      <c r="M15" s="217"/>
      <c r="N15" s="232">
        <v>1034</v>
      </c>
      <c r="O15" s="90">
        <v>200087</v>
      </c>
      <c r="P15" s="236">
        <v>0</v>
      </c>
      <c r="Q15" s="236">
        <v>0</v>
      </c>
      <c r="R15" s="236">
        <v>172</v>
      </c>
      <c r="S15" s="236">
        <v>0</v>
      </c>
      <c r="T15" s="236">
        <v>0</v>
      </c>
      <c r="U15" s="236">
        <v>0</v>
      </c>
      <c r="V15" s="63">
        <v>199915</v>
      </c>
      <c r="W15" s="217">
        <v>1007</v>
      </c>
      <c r="X15" s="217">
        <v>1076</v>
      </c>
    </row>
    <row r="16" spans="1:26" x14ac:dyDescent="0.25">
      <c r="A16" s="31">
        <v>38975</v>
      </c>
      <c r="B16" s="62">
        <v>2824580.1</v>
      </c>
      <c r="C16" s="236">
        <v>11843</v>
      </c>
      <c r="D16" s="236">
        <v>0</v>
      </c>
      <c r="E16" s="236">
        <v>0</v>
      </c>
      <c r="F16" s="236">
        <v>2234</v>
      </c>
      <c r="G16" s="236">
        <v>0</v>
      </c>
      <c r="H16" s="236">
        <v>0</v>
      </c>
      <c r="I16" s="236">
        <v>0</v>
      </c>
      <c r="J16" s="91">
        <v>2834189.1</v>
      </c>
      <c r="K16" s="217">
        <v>1007</v>
      </c>
      <c r="L16" s="217">
        <v>1058</v>
      </c>
      <c r="M16" s="217"/>
      <c r="N16" s="232">
        <v>1034</v>
      </c>
      <c r="O16" s="90">
        <v>199915</v>
      </c>
      <c r="P16" s="236">
        <v>0</v>
      </c>
      <c r="Q16" s="236">
        <v>0</v>
      </c>
      <c r="R16" s="236">
        <v>277</v>
      </c>
      <c r="S16" s="236">
        <v>0</v>
      </c>
      <c r="T16" s="236">
        <v>0</v>
      </c>
      <c r="U16" s="236">
        <v>0</v>
      </c>
      <c r="V16" s="63">
        <v>199638</v>
      </c>
      <c r="W16" s="217">
        <v>1007</v>
      </c>
      <c r="X16" s="217">
        <v>1076</v>
      </c>
    </row>
    <row r="17" spans="1:24" x14ac:dyDescent="0.25">
      <c r="A17" s="31">
        <v>38976</v>
      </c>
      <c r="B17" s="62">
        <v>2834189.1</v>
      </c>
      <c r="C17" s="236">
        <v>12409</v>
      </c>
      <c r="D17" s="236">
        <v>0</v>
      </c>
      <c r="E17" s="236">
        <v>0</v>
      </c>
      <c r="F17" s="236">
        <v>2266</v>
      </c>
      <c r="G17" s="236">
        <v>0</v>
      </c>
      <c r="H17" s="236">
        <v>0</v>
      </c>
      <c r="I17" s="236">
        <v>0</v>
      </c>
      <c r="J17" s="91">
        <v>2844332.1</v>
      </c>
      <c r="K17" s="217">
        <v>1007</v>
      </c>
      <c r="L17" s="217">
        <v>1058</v>
      </c>
      <c r="M17" s="217"/>
      <c r="N17" s="232">
        <v>1032</v>
      </c>
      <c r="O17" s="90">
        <v>199638</v>
      </c>
      <c r="P17" s="236">
        <v>0</v>
      </c>
      <c r="Q17" s="236">
        <v>0</v>
      </c>
      <c r="R17" s="236">
        <v>65</v>
      </c>
      <c r="S17" s="236">
        <v>0</v>
      </c>
      <c r="T17" s="236">
        <v>0</v>
      </c>
      <c r="U17" s="236">
        <v>0</v>
      </c>
      <c r="V17" s="63">
        <v>199573</v>
      </c>
      <c r="W17" s="217">
        <v>1007</v>
      </c>
      <c r="X17" s="217">
        <v>1076</v>
      </c>
    </row>
    <row r="18" spans="1:24" x14ac:dyDescent="0.25">
      <c r="A18" s="31">
        <v>38977</v>
      </c>
      <c r="B18" s="62">
        <v>2844332.1</v>
      </c>
      <c r="C18" s="236">
        <v>11007</v>
      </c>
      <c r="D18" s="236">
        <v>0</v>
      </c>
      <c r="E18" s="236">
        <v>0</v>
      </c>
      <c r="F18" s="236">
        <v>2199</v>
      </c>
      <c r="G18" s="236">
        <v>0</v>
      </c>
      <c r="H18" s="236">
        <v>0</v>
      </c>
      <c r="I18" s="236">
        <v>0</v>
      </c>
      <c r="J18" s="91">
        <v>2853140.1</v>
      </c>
      <c r="K18" s="217">
        <v>1007</v>
      </c>
      <c r="L18" s="217">
        <v>1058</v>
      </c>
      <c r="M18" s="217"/>
      <c r="N18" s="232">
        <v>1033</v>
      </c>
      <c r="O18" s="90">
        <v>199573</v>
      </c>
      <c r="P18" s="236">
        <v>0</v>
      </c>
      <c r="Q18" s="236">
        <v>0</v>
      </c>
      <c r="R18" s="236">
        <v>212</v>
      </c>
      <c r="S18" s="236">
        <v>0</v>
      </c>
      <c r="T18" s="236">
        <v>0</v>
      </c>
      <c r="U18" s="236">
        <v>0</v>
      </c>
      <c r="V18" s="63">
        <v>199361</v>
      </c>
      <c r="W18" s="217">
        <v>1007</v>
      </c>
      <c r="X18" s="217">
        <v>1076</v>
      </c>
    </row>
    <row r="19" spans="1:24" x14ac:dyDescent="0.25">
      <c r="A19" s="31">
        <v>38978</v>
      </c>
      <c r="B19" s="62">
        <v>2853140.1</v>
      </c>
      <c r="C19" s="236">
        <v>11010</v>
      </c>
      <c r="D19" s="236">
        <v>0</v>
      </c>
      <c r="E19" s="236">
        <v>0</v>
      </c>
      <c r="F19" s="236">
        <v>2201</v>
      </c>
      <c r="G19" s="236">
        <v>0</v>
      </c>
      <c r="H19" s="236">
        <v>0</v>
      </c>
      <c r="I19" s="236">
        <v>0</v>
      </c>
      <c r="J19" s="91">
        <v>2861949.1</v>
      </c>
      <c r="K19" s="217">
        <v>1007</v>
      </c>
      <c r="L19" s="217">
        <v>1058</v>
      </c>
      <c r="M19" s="217"/>
      <c r="N19" s="232">
        <v>1033</v>
      </c>
      <c r="O19" s="90">
        <v>199361</v>
      </c>
      <c r="P19" s="236">
        <v>0</v>
      </c>
      <c r="Q19" s="236">
        <v>0</v>
      </c>
      <c r="R19" s="236">
        <v>63</v>
      </c>
      <c r="S19" s="236">
        <v>0</v>
      </c>
      <c r="T19" s="236">
        <v>0</v>
      </c>
      <c r="U19" s="236">
        <v>0</v>
      </c>
      <c r="V19" s="63">
        <v>199298</v>
      </c>
      <c r="W19" s="217">
        <v>1007</v>
      </c>
      <c r="X19" s="217">
        <v>1076</v>
      </c>
    </row>
    <row r="20" spans="1:24" x14ac:dyDescent="0.25">
      <c r="A20" s="31">
        <v>38979</v>
      </c>
      <c r="B20" s="62">
        <v>2861949.1</v>
      </c>
      <c r="C20" s="236">
        <v>9607</v>
      </c>
      <c r="D20" s="236">
        <v>0</v>
      </c>
      <c r="E20" s="236">
        <v>0</v>
      </c>
      <c r="F20" s="236">
        <v>2133</v>
      </c>
      <c r="G20" s="236">
        <v>0</v>
      </c>
      <c r="H20" s="236">
        <v>0</v>
      </c>
      <c r="I20" s="236">
        <v>0</v>
      </c>
      <c r="J20" s="91">
        <v>2869423.1</v>
      </c>
      <c r="K20" s="217">
        <v>1007</v>
      </c>
      <c r="L20" s="217">
        <v>1058</v>
      </c>
      <c r="M20" s="217"/>
      <c r="N20" s="232">
        <v>1033</v>
      </c>
      <c r="O20" s="90">
        <v>199298</v>
      </c>
      <c r="P20" s="236">
        <v>0</v>
      </c>
      <c r="Q20" s="236">
        <v>0</v>
      </c>
      <c r="R20" s="236">
        <v>58</v>
      </c>
      <c r="S20" s="236">
        <v>0</v>
      </c>
      <c r="T20" s="236">
        <v>0</v>
      </c>
      <c r="U20" s="236">
        <v>0</v>
      </c>
      <c r="V20" s="63">
        <v>199240</v>
      </c>
      <c r="W20" s="217">
        <v>1007</v>
      </c>
      <c r="X20" s="217">
        <v>1076</v>
      </c>
    </row>
    <row r="21" spans="1:24" x14ac:dyDescent="0.25">
      <c r="A21" s="31">
        <v>38980</v>
      </c>
      <c r="B21" s="62">
        <v>2869423.1</v>
      </c>
      <c r="C21" s="236">
        <v>11296</v>
      </c>
      <c r="D21" s="236">
        <v>0</v>
      </c>
      <c r="E21" s="236">
        <v>0</v>
      </c>
      <c r="F21" s="236">
        <v>2220</v>
      </c>
      <c r="G21" s="236">
        <v>0</v>
      </c>
      <c r="H21" s="236">
        <v>0</v>
      </c>
      <c r="I21" s="236">
        <v>0</v>
      </c>
      <c r="J21" s="91">
        <v>2878499.1</v>
      </c>
      <c r="K21" s="217">
        <v>1007</v>
      </c>
      <c r="L21" s="217">
        <v>1058</v>
      </c>
      <c r="M21" s="217"/>
      <c r="N21" s="232">
        <v>1032</v>
      </c>
      <c r="O21" s="90">
        <v>199240</v>
      </c>
      <c r="P21" s="236">
        <v>0</v>
      </c>
      <c r="Q21" s="236">
        <v>0</v>
      </c>
      <c r="R21" s="236">
        <v>156</v>
      </c>
      <c r="S21" s="236">
        <v>0</v>
      </c>
      <c r="T21" s="236">
        <v>0</v>
      </c>
      <c r="U21" s="236">
        <v>0</v>
      </c>
      <c r="V21" s="63">
        <v>199084</v>
      </c>
      <c r="W21" s="217">
        <v>1007</v>
      </c>
      <c r="X21" s="217">
        <v>1076</v>
      </c>
    </row>
    <row r="22" spans="1:24" x14ac:dyDescent="0.25">
      <c r="A22" s="31">
        <v>38981</v>
      </c>
      <c r="B22" s="62">
        <v>2878499.1</v>
      </c>
      <c r="C22" s="236">
        <v>14954</v>
      </c>
      <c r="D22" s="236">
        <v>0</v>
      </c>
      <c r="E22" s="236">
        <v>0</v>
      </c>
      <c r="F22" s="236">
        <v>2407</v>
      </c>
      <c r="G22" s="236">
        <v>0</v>
      </c>
      <c r="H22" s="236">
        <v>0</v>
      </c>
      <c r="I22" s="236">
        <v>0</v>
      </c>
      <c r="J22" s="91">
        <v>2891046.1</v>
      </c>
      <c r="K22" s="217">
        <v>1007</v>
      </c>
      <c r="L22" s="217">
        <v>1058</v>
      </c>
      <c r="M22" s="217"/>
      <c r="N22" s="232">
        <v>1032</v>
      </c>
      <c r="O22" s="90">
        <v>199084</v>
      </c>
      <c r="P22" s="236">
        <v>0</v>
      </c>
      <c r="Q22" s="236">
        <v>0</v>
      </c>
      <c r="R22" s="236">
        <v>59</v>
      </c>
      <c r="S22" s="236">
        <v>0</v>
      </c>
      <c r="T22" s="236">
        <v>0</v>
      </c>
      <c r="U22" s="236">
        <v>0</v>
      </c>
      <c r="V22" s="63">
        <v>199025</v>
      </c>
      <c r="W22" s="217">
        <v>1007</v>
      </c>
      <c r="X22" s="217">
        <v>1076</v>
      </c>
    </row>
    <row r="23" spans="1:24" x14ac:dyDescent="0.25">
      <c r="A23" s="31">
        <v>38982</v>
      </c>
      <c r="B23" s="62">
        <v>2891046.1</v>
      </c>
      <c r="C23" s="236">
        <v>12427</v>
      </c>
      <c r="D23" s="236">
        <v>0</v>
      </c>
      <c r="E23" s="236">
        <v>0</v>
      </c>
      <c r="F23" s="236">
        <v>2284</v>
      </c>
      <c r="G23" s="236">
        <v>0</v>
      </c>
      <c r="H23" s="236">
        <v>0</v>
      </c>
      <c r="I23" s="236">
        <v>0</v>
      </c>
      <c r="J23" s="91">
        <v>2901189.1</v>
      </c>
      <c r="K23" s="217">
        <v>1007</v>
      </c>
      <c r="L23" s="217">
        <v>1058</v>
      </c>
      <c r="M23" s="217"/>
      <c r="N23" s="232">
        <v>1031</v>
      </c>
      <c r="O23" s="90">
        <v>199025</v>
      </c>
      <c r="P23" s="236">
        <v>0</v>
      </c>
      <c r="Q23" s="236">
        <v>0</v>
      </c>
      <c r="R23" s="236">
        <v>218</v>
      </c>
      <c r="S23" s="236">
        <v>0</v>
      </c>
      <c r="T23" s="236">
        <v>0</v>
      </c>
      <c r="U23" s="236">
        <v>0</v>
      </c>
      <c r="V23" s="63">
        <v>198807</v>
      </c>
      <c r="W23" s="217">
        <v>1007</v>
      </c>
      <c r="X23" s="217">
        <v>1076</v>
      </c>
    </row>
    <row r="24" spans="1:24" x14ac:dyDescent="0.25">
      <c r="A24" s="31">
        <v>38983</v>
      </c>
      <c r="B24" s="62">
        <v>2901189.1</v>
      </c>
      <c r="C24" s="236">
        <v>9620</v>
      </c>
      <c r="D24" s="236">
        <v>0</v>
      </c>
      <c r="E24" s="236">
        <v>0</v>
      </c>
      <c r="F24" s="236">
        <v>2146</v>
      </c>
      <c r="G24" s="236">
        <v>0</v>
      </c>
      <c r="H24" s="236">
        <v>0</v>
      </c>
      <c r="I24" s="236">
        <v>0</v>
      </c>
      <c r="J24" s="91">
        <v>2908663.1</v>
      </c>
      <c r="K24" s="217">
        <v>1007</v>
      </c>
      <c r="L24" s="217">
        <v>1058</v>
      </c>
      <c r="M24" s="217"/>
      <c r="N24" s="232">
        <v>1031</v>
      </c>
      <c r="O24" s="90">
        <v>198807</v>
      </c>
      <c r="P24" s="236">
        <v>0</v>
      </c>
      <c r="Q24" s="236">
        <v>0</v>
      </c>
      <c r="R24" s="236">
        <v>68</v>
      </c>
      <c r="S24" s="236">
        <v>0</v>
      </c>
      <c r="T24" s="236">
        <v>0</v>
      </c>
      <c r="U24" s="236">
        <v>0</v>
      </c>
      <c r="V24" s="63">
        <v>198739</v>
      </c>
      <c r="W24" s="217">
        <v>1007</v>
      </c>
      <c r="X24" s="217">
        <v>1076</v>
      </c>
    </row>
    <row r="25" spans="1:24" x14ac:dyDescent="0.25">
      <c r="A25" s="31">
        <v>38984</v>
      </c>
      <c r="B25" s="62">
        <v>2908663.1</v>
      </c>
      <c r="C25" s="236">
        <v>10466</v>
      </c>
      <c r="D25" s="236">
        <v>0</v>
      </c>
      <c r="E25" s="236">
        <v>0</v>
      </c>
      <c r="F25" s="236">
        <v>2188</v>
      </c>
      <c r="G25" s="236">
        <v>0</v>
      </c>
      <c r="H25" s="236">
        <v>0</v>
      </c>
      <c r="I25" s="236">
        <v>0</v>
      </c>
      <c r="J25" s="91">
        <v>2916941.1</v>
      </c>
      <c r="K25" s="217">
        <v>1007</v>
      </c>
      <c r="L25" s="217">
        <v>1058</v>
      </c>
      <c r="M25" s="217"/>
      <c r="N25" s="232">
        <v>1034</v>
      </c>
      <c r="O25" s="90">
        <v>198739</v>
      </c>
      <c r="P25" s="236">
        <v>0</v>
      </c>
      <c r="Q25" s="236">
        <v>0</v>
      </c>
      <c r="R25" s="236">
        <v>207</v>
      </c>
      <c r="S25" s="236">
        <v>0</v>
      </c>
      <c r="T25" s="236">
        <v>0</v>
      </c>
      <c r="U25" s="236">
        <v>0</v>
      </c>
      <c r="V25" s="63">
        <v>198532</v>
      </c>
      <c r="W25" s="217">
        <v>1007</v>
      </c>
      <c r="X25" s="217">
        <v>1076</v>
      </c>
    </row>
    <row r="26" spans="1:24" x14ac:dyDescent="0.25">
      <c r="A26" s="31">
        <v>38985</v>
      </c>
      <c r="B26" s="62">
        <v>2916941.1</v>
      </c>
      <c r="C26" s="236">
        <v>12436</v>
      </c>
      <c r="D26" s="236">
        <v>0</v>
      </c>
      <c r="E26" s="236">
        <v>0</v>
      </c>
      <c r="F26" s="236">
        <v>2291</v>
      </c>
      <c r="G26" s="236">
        <v>0</v>
      </c>
      <c r="H26" s="236">
        <v>0</v>
      </c>
      <c r="I26" s="236">
        <v>0</v>
      </c>
      <c r="J26" s="91">
        <v>2927086.1</v>
      </c>
      <c r="K26" s="217">
        <v>1007</v>
      </c>
      <c r="L26" s="217">
        <v>1058</v>
      </c>
      <c r="M26" s="217"/>
      <c r="N26" s="232">
        <v>1033</v>
      </c>
      <c r="O26" s="90">
        <v>198532</v>
      </c>
      <c r="P26" s="236">
        <v>0</v>
      </c>
      <c r="Q26" s="236">
        <v>0</v>
      </c>
      <c r="R26" s="236">
        <v>65</v>
      </c>
      <c r="S26" s="236">
        <v>0</v>
      </c>
      <c r="T26" s="236">
        <v>0</v>
      </c>
      <c r="U26" s="236">
        <v>0</v>
      </c>
      <c r="V26" s="63">
        <v>198467</v>
      </c>
      <c r="W26" s="217">
        <v>1007</v>
      </c>
      <c r="X26" s="217">
        <v>1076</v>
      </c>
    </row>
    <row r="27" spans="1:24" x14ac:dyDescent="0.25">
      <c r="A27" s="31">
        <v>38986</v>
      </c>
      <c r="B27" s="62">
        <v>2927086.1</v>
      </c>
      <c r="C27" s="236">
        <v>13845</v>
      </c>
      <c r="D27" s="236">
        <v>0</v>
      </c>
      <c r="E27" s="236">
        <v>0</v>
      </c>
      <c r="F27" s="236">
        <v>2365</v>
      </c>
      <c r="G27" s="236">
        <v>0</v>
      </c>
      <c r="H27" s="236">
        <v>0</v>
      </c>
      <c r="I27" s="236">
        <v>0</v>
      </c>
      <c r="J27" s="91">
        <v>2938566.1</v>
      </c>
      <c r="K27" s="217">
        <v>1007</v>
      </c>
      <c r="L27" s="217">
        <v>1058</v>
      </c>
      <c r="M27" s="217"/>
      <c r="N27" s="232">
        <v>1033</v>
      </c>
      <c r="O27" s="90">
        <v>198467</v>
      </c>
      <c r="P27" s="236">
        <v>0</v>
      </c>
      <c r="Q27" s="236">
        <v>0</v>
      </c>
      <c r="R27" s="236">
        <v>212</v>
      </c>
      <c r="S27" s="236">
        <v>0</v>
      </c>
      <c r="T27" s="236">
        <v>0</v>
      </c>
      <c r="U27" s="236">
        <v>0</v>
      </c>
      <c r="V27" s="63">
        <v>198255</v>
      </c>
      <c r="W27" s="217">
        <v>1007</v>
      </c>
      <c r="X27" s="217">
        <v>1076</v>
      </c>
    </row>
    <row r="28" spans="1:24" x14ac:dyDescent="0.25">
      <c r="A28" s="31">
        <v>38987</v>
      </c>
      <c r="B28" s="62">
        <v>2938566.1</v>
      </c>
      <c r="C28" s="236">
        <v>11319</v>
      </c>
      <c r="D28" s="236">
        <v>0</v>
      </c>
      <c r="E28" s="236">
        <v>0</v>
      </c>
      <c r="F28" s="236">
        <v>2242</v>
      </c>
      <c r="G28" s="236">
        <v>0</v>
      </c>
      <c r="H28" s="236">
        <v>0</v>
      </c>
      <c r="I28" s="236">
        <v>0</v>
      </c>
      <c r="J28" s="91">
        <v>2947643.1</v>
      </c>
      <c r="K28" s="217">
        <v>1007</v>
      </c>
      <c r="L28" s="217">
        <v>1058</v>
      </c>
      <c r="M28" s="217"/>
      <c r="N28" s="232">
        <v>1033</v>
      </c>
      <c r="O28" s="90">
        <v>198255</v>
      </c>
      <c r="P28" s="236">
        <v>0</v>
      </c>
      <c r="Q28" s="236">
        <v>0</v>
      </c>
      <c r="R28" s="236">
        <v>65</v>
      </c>
      <c r="S28" s="236">
        <v>0</v>
      </c>
      <c r="T28" s="236">
        <v>0</v>
      </c>
      <c r="U28" s="236">
        <v>0</v>
      </c>
      <c r="V28" s="63">
        <v>198190</v>
      </c>
      <c r="W28" s="217">
        <v>1007</v>
      </c>
      <c r="X28" s="217">
        <v>1076</v>
      </c>
    </row>
    <row r="29" spans="1:24" x14ac:dyDescent="0.25">
      <c r="A29" s="31">
        <v>38988</v>
      </c>
      <c r="B29" s="62">
        <v>2947643.1</v>
      </c>
      <c r="C29" s="236">
        <v>11604</v>
      </c>
      <c r="D29" s="236">
        <v>0</v>
      </c>
      <c r="E29" s="236">
        <v>0</v>
      </c>
      <c r="F29" s="236">
        <v>2259</v>
      </c>
      <c r="G29" s="236">
        <v>0</v>
      </c>
      <c r="H29" s="236">
        <v>0</v>
      </c>
      <c r="I29" s="236">
        <v>0</v>
      </c>
      <c r="J29" s="91">
        <v>2956988.1</v>
      </c>
      <c r="K29" s="217">
        <v>1007</v>
      </c>
      <c r="L29" s="217">
        <v>1058</v>
      </c>
      <c r="M29" s="217"/>
      <c r="N29" s="232">
        <v>1035</v>
      </c>
      <c r="O29" s="90">
        <v>198190</v>
      </c>
      <c r="P29" s="236">
        <v>0</v>
      </c>
      <c r="Q29" s="236">
        <v>0</v>
      </c>
      <c r="R29" s="236">
        <v>60</v>
      </c>
      <c r="S29" s="236">
        <v>0</v>
      </c>
      <c r="T29" s="236">
        <v>0</v>
      </c>
      <c r="U29" s="236">
        <v>0</v>
      </c>
      <c r="V29" s="63">
        <v>198130</v>
      </c>
      <c r="W29" s="217">
        <v>1007</v>
      </c>
      <c r="X29" s="217">
        <v>1076</v>
      </c>
    </row>
    <row r="30" spans="1:24" x14ac:dyDescent="0.25">
      <c r="A30" s="31">
        <v>38989</v>
      </c>
      <c r="B30" s="62">
        <v>2956988.1</v>
      </c>
      <c r="C30" s="236">
        <v>14699</v>
      </c>
      <c r="D30" s="236">
        <v>0</v>
      </c>
      <c r="E30" s="236">
        <v>0</v>
      </c>
      <c r="F30" s="236">
        <v>2418</v>
      </c>
      <c r="G30" s="236">
        <v>0</v>
      </c>
      <c r="H30" s="236">
        <v>0</v>
      </c>
      <c r="I30" s="236">
        <v>0</v>
      </c>
      <c r="J30" s="91">
        <v>2969269.1</v>
      </c>
      <c r="K30" s="217">
        <v>1007</v>
      </c>
      <c r="L30" s="217">
        <v>1058</v>
      </c>
      <c r="M30" s="217"/>
      <c r="N30" s="232">
        <v>1033</v>
      </c>
      <c r="O30" s="90">
        <v>198130</v>
      </c>
      <c r="P30" s="236">
        <v>0</v>
      </c>
      <c r="Q30" s="236">
        <v>0</v>
      </c>
      <c r="R30" s="236">
        <v>151</v>
      </c>
      <c r="S30" s="236">
        <v>0</v>
      </c>
      <c r="T30" s="236">
        <v>0</v>
      </c>
      <c r="U30" s="236">
        <v>0</v>
      </c>
      <c r="V30" s="63">
        <v>197979</v>
      </c>
      <c r="W30" s="217">
        <v>1007</v>
      </c>
      <c r="X30" s="217">
        <v>1076</v>
      </c>
    </row>
    <row r="31" spans="1:24" x14ac:dyDescent="0.25">
      <c r="A31" s="31">
        <v>38990</v>
      </c>
      <c r="B31" s="62">
        <v>2969269.1</v>
      </c>
      <c r="C31" s="236">
        <v>9643</v>
      </c>
      <c r="D31" s="236">
        <v>0</v>
      </c>
      <c r="E31" s="236">
        <v>0</v>
      </c>
      <c r="F31" s="236">
        <v>2167</v>
      </c>
      <c r="G31" s="236">
        <v>0</v>
      </c>
      <c r="H31" s="236">
        <v>0</v>
      </c>
      <c r="I31" s="236">
        <v>0</v>
      </c>
      <c r="J31" s="91">
        <v>2976745.1</v>
      </c>
      <c r="K31" s="217">
        <v>1007</v>
      </c>
      <c r="L31" s="217">
        <v>1058</v>
      </c>
      <c r="M31" s="217"/>
      <c r="N31" s="232">
        <v>1032</v>
      </c>
      <c r="O31" s="90">
        <v>197979</v>
      </c>
      <c r="P31" s="236">
        <v>0</v>
      </c>
      <c r="Q31" s="236">
        <v>0</v>
      </c>
      <c r="R31" s="236">
        <v>58</v>
      </c>
      <c r="S31" s="236">
        <v>0</v>
      </c>
      <c r="T31" s="236">
        <v>0</v>
      </c>
      <c r="U31" s="236">
        <v>0</v>
      </c>
      <c r="V31" s="63">
        <v>197921</v>
      </c>
      <c r="W31" s="217">
        <v>1007</v>
      </c>
      <c r="X31" s="217">
        <v>1076</v>
      </c>
    </row>
    <row r="32" spans="1:24" x14ac:dyDescent="0.25">
      <c r="A32" s="31">
        <v>38991</v>
      </c>
      <c r="B32" s="62">
        <v>2976745.1</v>
      </c>
      <c r="C32" s="236">
        <v>10488</v>
      </c>
      <c r="D32" s="236">
        <v>0</v>
      </c>
      <c r="E32" s="236">
        <v>0</v>
      </c>
      <c r="F32" s="236">
        <v>2212</v>
      </c>
      <c r="G32" s="236">
        <v>0</v>
      </c>
      <c r="H32" s="236">
        <v>0</v>
      </c>
      <c r="I32" s="236">
        <v>0</v>
      </c>
      <c r="J32" s="91">
        <v>2985021.1</v>
      </c>
      <c r="K32" s="217">
        <v>1007</v>
      </c>
      <c r="L32" s="217">
        <v>1058</v>
      </c>
      <c r="M32" s="217"/>
      <c r="N32" s="232">
        <v>1029</v>
      </c>
      <c r="O32" s="90">
        <v>197921</v>
      </c>
      <c r="P32" s="236">
        <v>0</v>
      </c>
      <c r="Q32" s="236">
        <v>0</v>
      </c>
      <c r="R32" s="236">
        <v>60</v>
      </c>
      <c r="S32" s="236">
        <v>0</v>
      </c>
      <c r="T32" s="236">
        <v>0</v>
      </c>
      <c r="U32" s="236">
        <v>0</v>
      </c>
      <c r="V32" s="63">
        <v>197861</v>
      </c>
      <c r="W32" s="217">
        <v>1007</v>
      </c>
      <c r="X32" s="217">
        <v>1076</v>
      </c>
    </row>
    <row r="33" spans="1:24" x14ac:dyDescent="0.25">
      <c r="A33" s="31">
        <v>38992</v>
      </c>
      <c r="B33" s="62">
        <v>2985021.1</v>
      </c>
      <c r="C33" s="236">
        <v>11897</v>
      </c>
      <c r="D33" s="236">
        <v>0</v>
      </c>
      <c r="E33" s="236">
        <v>0</v>
      </c>
      <c r="F33" s="236">
        <v>2282</v>
      </c>
      <c r="G33" s="236">
        <v>0</v>
      </c>
      <c r="H33" s="236">
        <v>0</v>
      </c>
      <c r="I33" s="236">
        <v>0</v>
      </c>
      <c r="J33" s="91">
        <v>2994636.1</v>
      </c>
      <c r="K33" s="217">
        <v>1007</v>
      </c>
      <c r="L33" s="217">
        <v>1058</v>
      </c>
      <c r="M33" s="217"/>
      <c r="N33" s="232">
        <v>1033</v>
      </c>
      <c r="O33" s="90">
        <v>197861</v>
      </c>
      <c r="P33" s="236">
        <v>0</v>
      </c>
      <c r="Q33" s="236">
        <v>0</v>
      </c>
      <c r="R33" s="236">
        <v>159</v>
      </c>
      <c r="S33" s="236">
        <v>0</v>
      </c>
      <c r="T33" s="236">
        <v>0</v>
      </c>
      <c r="U33" s="236">
        <v>0</v>
      </c>
      <c r="V33" s="63">
        <v>197702</v>
      </c>
      <c r="W33" s="217">
        <v>1007</v>
      </c>
      <c r="X33" s="217">
        <v>1076</v>
      </c>
    </row>
    <row r="34" spans="1:24" x14ac:dyDescent="0.25">
      <c r="A34" s="31">
        <v>38993</v>
      </c>
      <c r="B34" s="62">
        <v>2994636.1</v>
      </c>
      <c r="C34" s="236">
        <v>10494</v>
      </c>
      <c r="D34" s="237">
        <v>0</v>
      </c>
      <c r="E34" s="236">
        <v>0</v>
      </c>
      <c r="F34" s="236">
        <v>2217</v>
      </c>
      <c r="G34" s="236">
        <v>0</v>
      </c>
      <c r="H34" s="236">
        <v>0</v>
      </c>
      <c r="I34" s="236">
        <v>0</v>
      </c>
      <c r="J34" s="91">
        <v>3002913.1</v>
      </c>
      <c r="K34" s="217">
        <v>1007</v>
      </c>
      <c r="L34" s="217">
        <v>1058</v>
      </c>
      <c r="M34" s="217"/>
      <c r="N34" s="232">
        <v>1036</v>
      </c>
      <c r="O34" s="90">
        <v>197702</v>
      </c>
      <c r="P34" s="236">
        <v>0</v>
      </c>
      <c r="Q34" s="236">
        <v>0</v>
      </c>
      <c r="R34" s="236">
        <v>277</v>
      </c>
      <c r="S34" s="236">
        <v>0</v>
      </c>
      <c r="T34" s="236">
        <v>0</v>
      </c>
      <c r="U34" s="236">
        <v>0</v>
      </c>
      <c r="V34" s="63">
        <v>197425</v>
      </c>
      <c r="W34" s="217">
        <v>1007</v>
      </c>
      <c r="X34" s="217">
        <v>1076</v>
      </c>
    </row>
    <row r="35" spans="1:24" x14ac:dyDescent="0.25">
      <c r="A35" s="31">
        <v>38994</v>
      </c>
      <c r="B35" s="62">
        <v>3002913.1</v>
      </c>
      <c r="C35" s="236">
        <v>9935</v>
      </c>
      <c r="D35" s="236">
        <v>0</v>
      </c>
      <c r="E35" s="236">
        <v>0</v>
      </c>
      <c r="F35" s="236">
        <v>2191</v>
      </c>
      <c r="G35" s="236">
        <v>0</v>
      </c>
      <c r="H35" s="236">
        <v>0</v>
      </c>
      <c r="I35" s="236">
        <v>0</v>
      </c>
      <c r="J35" s="91">
        <v>3010657.1</v>
      </c>
      <c r="K35" s="217">
        <v>1007</v>
      </c>
      <c r="L35" s="217">
        <v>1058</v>
      </c>
      <c r="M35" s="217"/>
      <c r="N35" s="232">
        <v>1035</v>
      </c>
      <c r="O35" s="90">
        <v>197425</v>
      </c>
      <c r="P35" s="236">
        <v>0</v>
      </c>
      <c r="Q35" s="236">
        <v>0</v>
      </c>
      <c r="R35" s="236">
        <v>57</v>
      </c>
      <c r="S35" s="236">
        <v>0</v>
      </c>
      <c r="T35" s="236">
        <v>0</v>
      </c>
      <c r="U35" s="236">
        <v>0</v>
      </c>
      <c r="V35" s="63">
        <v>197368</v>
      </c>
      <c r="W35" s="217">
        <v>1007</v>
      </c>
      <c r="X35" s="217">
        <v>1076</v>
      </c>
    </row>
    <row r="36" spans="1:24" x14ac:dyDescent="0.25">
      <c r="A36" s="31">
        <v>38995</v>
      </c>
      <c r="B36" s="62">
        <v>3010657.1</v>
      </c>
      <c r="C36" s="236">
        <v>12748</v>
      </c>
      <c r="D36" s="236">
        <v>0</v>
      </c>
      <c r="E36" s="236">
        <v>0</v>
      </c>
      <c r="F36" s="236">
        <v>2338</v>
      </c>
      <c r="G36" s="236">
        <v>0</v>
      </c>
      <c r="H36" s="236">
        <v>0</v>
      </c>
      <c r="I36" s="236">
        <v>0</v>
      </c>
      <c r="J36" s="91">
        <v>3021067.1</v>
      </c>
      <c r="K36" s="217">
        <v>1007</v>
      </c>
      <c r="L36" s="217">
        <v>1058</v>
      </c>
      <c r="M36" s="217"/>
      <c r="N36" s="232">
        <v>1031</v>
      </c>
      <c r="O36" s="90">
        <v>197368</v>
      </c>
      <c r="P36" s="236">
        <v>0</v>
      </c>
      <c r="Q36" s="236">
        <v>0</v>
      </c>
      <c r="R36" s="236">
        <v>65</v>
      </c>
      <c r="S36" s="236">
        <v>0</v>
      </c>
      <c r="T36" s="236">
        <v>0</v>
      </c>
      <c r="U36" s="236">
        <v>0</v>
      </c>
      <c r="V36" s="63">
        <v>197303</v>
      </c>
      <c r="W36" s="217">
        <v>1007</v>
      </c>
      <c r="X36" s="217">
        <v>1076</v>
      </c>
    </row>
    <row r="37" spans="1:24" x14ac:dyDescent="0.25">
      <c r="A37" s="31">
        <v>38996</v>
      </c>
      <c r="B37" s="62">
        <v>3021067.1</v>
      </c>
      <c r="C37" s="236">
        <v>20344</v>
      </c>
      <c r="D37" s="236">
        <v>0</v>
      </c>
      <c r="E37" s="236">
        <v>0</v>
      </c>
      <c r="F37" s="236">
        <v>2720</v>
      </c>
      <c r="G37" s="236">
        <v>0</v>
      </c>
      <c r="H37" s="236">
        <v>0</v>
      </c>
      <c r="I37" s="236">
        <v>0</v>
      </c>
      <c r="J37" s="91">
        <v>3038691.1</v>
      </c>
      <c r="K37" s="217">
        <v>1007</v>
      </c>
      <c r="L37" s="217">
        <v>1058</v>
      </c>
      <c r="M37" s="217"/>
      <c r="N37" s="232">
        <v>1033</v>
      </c>
      <c r="O37" s="90">
        <v>197303</v>
      </c>
      <c r="P37" s="236">
        <v>0</v>
      </c>
      <c r="Q37" s="236">
        <v>0</v>
      </c>
      <c r="R37" s="236">
        <v>51</v>
      </c>
      <c r="S37" s="236">
        <v>0</v>
      </c>
      <c r="T37" s="236">
        <v>0</v>
      </c>
      <c r="U37" s="236">
        <v>0</v>
      </c>
      <c r="V37" s="63">
        <v>197252</v>
      </c>
      <c r="W37" s="217">
        <v>1007</v>
      </c>
      <c r="X37" s="217">
        <v>1076</v>
      </c>
    </row>
    <row r="38" spans="1:24" x14ac:dyDescent="0.25">
      <c r="A38" s="31">
        <v>38997</v>
      </c>
      <c r="B38" s="62">
        <v>3038691.1</v>
      </c>
      <c r="C38" s="236">
        <v>19225</v>
      </c>
      <c r="D38" s="236">
        <v>0</v>
      </c>
      <c r="E38" s="236">
        <v>0</v>
      </c>
      <c r="F38" s="236">
        <v>2669</v>
      </c>
      <c r="G38" s="236">
        <v>0</v>
      </c>
      <c r="H38" s="236">
        <v>0</v>
      </c>
      <c r="I38" s="236">
        <v>0</v>
      </c>
      <c r="J38" s="91">
        <v>3055247.1</v>
      </c>
      <c r="K38" s="217">
        <v>1007</v>
      </c>
      <c r="L38" s="217">
        <v>1058</v>
      </c>
      <c r="M38" s="217"/>
      <c r="N38" s="232">
        <v>1033</v>
      </c>
      <c r="O38" s="90">
        <v>197252</v>
      </c>
      <c r="P38" s="236">
        <v>0</v>
      </c>
      <c r="Q38" s="236">
        <v>0</v>
      </c>
      <c r="R38" s="236">
        <v>50</v>
      </c>
      <c r="S38" s="236">
        <v>0</v>
      </c>
      <c r="T38" s="236">
        <v>0</v>
      </c>
      <c r="U38" s="236">
        <v>0</v>
      </c>
      <c r="V38" s="63">
        <v>197202</v>
      </c>
      <c r="W38" s="217">
        <v>1007</v>
      </c>
      <c r="X38" s="217">
        <v>1076</v>
      </c>
    </row>
    <row r="39" spans="1:24" x14ac:dyDescent="0.25">
      <c r="A39" s="31">
        <v>38998</v>
      </c>
      <c r="B39" s="62">
        <v>3055247.1</v>
      </c>
      <c r="C39" s="236">
        <v>15857</v>
      </c>
      <c r="D39" s="236">
        <v>0</v>
      </c>
      <c r="E39" s="236">
        <v>0</v>
      </c>
      <c r="F39" s="236">
        <v>2505</v>
      </c>
      <c r="G39" s="236">
        <v>0</v>
      </c>
      <c r="H39" s="236">
        <v>0</v>
      </c>
      <c r="I39" s="236">
        <v>0</v>
      </c>
      <c r="J39" s="91">
        <v>3068599.1</v>
      </c>
      <c r="K39" s="217">
        <v>1007</v>
      </c>
      <c r="L39" s="217">
        <v>1058</v>
      </c>
      <c r="M39" s="217"/>
      <c r="N39" s="232">
        <v>1035</v>
      </c>
      <c r="O39" s="90">
        <v>197202</v>
      </c>
      <c r="P39" s="236">
        <v>0</v>
      </c>
      <c r="Q39" s="236">
        <v>0</v>
      </c>
      <c r="R39" s="236">
        <v>50</v>
      </c>
      <c r="S39" s="236">
        <v>0</v>
      </c>
      <c r="T39" s="236">
        <v>0</v>
      </c>
      <c r="U39" s="236">
        <v>0</v>
      </c>
      <c r="V39" s="63">
        <v>197152</v>
      </c>
      <c r="W39" s="217">
        <v>1007</v>
      </c>
      <c r="X39" s="217">
        <v>1076</v>
      </c>
    </row>
    <row r="40" spans="1:24" x14ac:dyDescent="0.25">
      <c r="A40" s="31">
        <v>38999</v>
      </c>
      <c r="B40" s="62">
        <v>3068599.1</v>
      </c>
      <c r="C40" s="236">
        <v>13892</v>
      </c>
      <c r="D40" s="236">
        <v>0</v>
      </c>
      <c r="E40" s="236">
        <v>0</v>
      </c>
      <c r="F40" s="236">
        <v>2410</v>
      </c>
      <c r="G40" s="236">
        <v>0</v>
      </c>
      <c r="H40" s="236">
        <v>0</v>
      </c>
      <c r="I40" s="236">
        <v>0</v>
      </c>
      <c r="J40" s="91">
        <v>3080081.1</v>
      </c>
      <c r="K40" s="217">
        <v>1007</v>
      </c>
      <c r="L40" s="217">
        <v>1058</v>
      </c>
      <c r="M40" s="217"/>
      <c r="N40" s="232">
        <v>1035</v>
      </c>
      <c r="O40" s="90">
        <v>197152</v>
      </c>
      <c r="P40" s="236">
        <v>0</v>
      </c>
      <c r="Q40" s="236">
        <v>0</v>
      </c>
      <c r="R40" s="236">
        <v>280</v>
      </c>
      <c r="S40" s="236">
        <v>0</v>
      </c>
      <c r="T40" s="236">
        <v>0</v>
      </c>
      <c r="U40" s="236">
        <v>0</v>
      </c>
      <c r="V40" s="63">
        <v>196872</v>
      </c>
      <c r="W40" s="217">
        <v>1007</v>
      </c>
      <c r="X40" s="217">
        <v>1076</v>
      </c>
    </row>
    <row r="41" spans="1:24" x14ac:dyDescent="0.25">
      <c r="A41" s="31">
        <v>39000</v>
      </c>
      <c r="B41" s="62">
        <v>3080081.1</v>
      </c>
      <c r="C41" s="236">
        <v>9397</v>
      </c>
      <c r="D41" s="236">
        <v>0</v>
      </c>
      <c r="E41" s="236">
        <v>0</v>
      </c>
      <c r="F41" s="236">
        <v>2188</v>
      </c>
      <c r="G41" s="236">
        <v>0</v>
      </c>
      <c r="H41" s="236">
        <v>0</v>
      </c>
      <c r="I41" s="236">
        <v>0</v>
      </c>
      <c r="J41" s="91">
        <v>3087290.1</v>
      </c>
      <c r="K41" s="217">
        <v>1007</v>
      </c>
      <c r="L41" s="217">
        <v>1058</v>
      </c>
      <c r="M41" s="217"/>
      <c r="N41" s="232">
        <v>1034</v>
      </c>
      <c r="O41" s="90">
        <v>196872</v>
      </c>
      <c r="P41" s="236">
        <v>0</v>
      </c>
      <c r="Q41" s="236">
        <v>0</v>
      </c>
      <c r="R41" s="236">
        <v>276</v>
      </c>
      <c r="S41" s="236">
        <v>0</v>
      </c>
      <c r="T41" s="236">
        <v>0</v>
      </c>
      <c r="U41" s="236">
        <v>0</v>
      </c>
      <c r="V41" s="63">
        <v>196596</v>
      </c>
      <c r="W41" s="217">
        <v>1007</v>
      </c>
      <c r="X41" s="217">
        <v>1076</v>
      </c>
    </row>
    <row r="42" spans="1:24" x14ac:dyDescent="0.25">
      <c r="A42" s="31">
        <v>39001</v>
      </c>
      <c r="B42" s="62">
        <v>3087290.1</v>
      </c>
      <c r="C42" s="236">
        <v>13337</v>
      </c>
      <c r="D42" s="236">
        <v>0</v>
      </c>
      <c r="E42" s="236">
        <v>0</v>
      </c>
      <c r="F42" s="236">
        <v>2388</v>
      </c>
      <c r="G42" s="236">
        <v>0</v>
      </c>
      <c r="H42" s="236">
        <v>0</v>
      </c>
      <c r="I42" s="236">
        <v>0</v>
      </c>
      <c r="J42" s="91">
        <v>3098239.1</v>
      </c>
      <c r="K42" s="217">
        <v>1007</v>
      </c>
      <c r="L42" s="217">
        <v>1058</v>
      </c>
      <c r="M42" s="217"/>
      <c r="N42" s="232">
        <v>1035</v>
      </c>
      <c r="O42" s="90">
        <v>196596</v>
      </c>
      <c r="P42" s="236">
        <v>0</v>
      </c>
      <c r="Q42" s="236">
        <v>0</v>
      </c>
      <c r="R42" s="236">
        <v>68</v>
      </c>
      <c r="S42" s="236">
        <v>0</v>
      </c>
      <c r="T42" s="236">
        <v>0</v>
      </c>
      <c r="U42" s="236">
        <v>0</v>
      </c>
      <c r="V42" s="63">
        <v>196528</v>
      </c>
      <c r="W42" s="217">
        <v>1007</v>
      </c>
      <c r="X42" s="217">
        <v>1076</v>
      </c>
    </row>
    <row r="43" spans="1:24" x14ac:dyDescent="0.25">
      <c r="A43" s="31">
        <v>39002</v>
      </c>
      <c r="B43" s="62">
        <v>3098239.1</v>
      </c>
      <c r="C43" s="236">
        <v>16434</v>
      </c>
      <c r="D43" s="236">
        <v>0</v>
      </c>
      <c r="E43" s="236">
        <v>0</v>
      </c>
      <c r="F43" s="236">
        <v>2542</v>
      </c>
      <c r="G43" s="236">
        <v>0</v>
      </c>
      <c r="H43" s="236">
        <v>0</v>
      </c>
      <c r="I43" s="236">
        <v>0</v>
      </c>
      <c r="J43" s="91">
        <v>3112131.1</v>
      </c>
      <c r="K43" s="217">
        <v>1007</v>
      </c>
      <c r="L43" s="217">
        <v>1058</v>
      </c>
      <c r="M43" s="217"/>
      <c r="N43" s="232">
        <v>1034</v>
      </c>
      <c r="O43" s="90">
        <v>196528</v>
      </c>
      <c r="P43" s="236">
        <v>0</v>
      </c>
      <c r="Q43" s="236">
        <v>0</v>
      </c>
      <c r="R43" s="236">
        <v>59</v>
      </c>
      <c r="S43" s="236">
        <v>0</v>
      </c>
      <c r="T43" s="236">
        <v>0</v>
      </c>
      <c r="U43" s="236">
        <v>0</v>
      </c>
      <c r="V43" s="63">
        <v>196469</v>
      </c>
      <c r="W43" s="217">
        <v>1007</v>
      </c>
      <c r="X43" s="217">
        <v>1076</v>
      </c>
    </row>
    <row r="44" spans="1:24" x14ac:dyDescent="0.25">
      <c r="A44" s="31">
        <v>39003</v>
      </c>
      <c r="B44" s="62">
        <v>3112131.1</v>
      </c>
      <c r="C44" s="236">
        <v>23750</v>
      </c>
      <c r="D44" s="236">
        <v>0</v>
      </c>
      <c r="E44" s="236">
        <v>0</v>
      </c>
      <c r="F44" s="236">
        <v>2919</v>
      </c>
      <c r="G44" s="236">
        <v>0</v>
      </c>
      <c r="H44" s="236">
        <v>0</v>
      </c>
      <c r="I44" s="236">
        <v>0</v>
      </c>
      <c r="J44" s="91">
        <v>3132962.1</v>
      </c>
      <c r="K44" s="217">
        <v>1007</v>
      </c>
      <c r="L44" s="217">
        <v>1058</v>
      </c>
      <c r="M44" s="217"/>
      <c r="N44" s="232">
        <v>1032</v>
      </c>
      <c r="O44" s="90">
        <v>196469</v>
      </c>
      <c r="P44" s="236">
        <v>0</v>
      </c>
      <c r="Q44" s="236">
        <v>0</v>
      </c>
      <c r="R44" s="236">
        <v>149</v>
      </c>
      <c r="S44" s="236">
        <v>0</v>
      </c>
      <c r="T44" s="236">
        <v>0</v>
      </c>
      <c r="U44" s="236">
        <v>0</v>
      </c>
      <c r="V44" s="63">
        <v>196320</v>
      </c>
      <c r="W44" s="217">
        <v>1007</v>
      </c>
      <c r="X44" s="217">
        <v>1076</v>
      </c>
    </row>
    <row r="45" spans="1:24" x14ac:dyDescent="0.25">
      <c r="A45" s="31">
        <v>39004</v>
      </c>
      <c r="B45" s="62">
        <v>3132962.1</v>
      </c>
      <c r="C45" s="236">
        <v>23477</v>
      </c>
      <c r="D45" s="236">
        <v>0</v>
      </c>
      <c r="E45" s="236">
        <v>0</v>
      </c>
      <c r="F45" s="236">
        <v>2911</v>
      </c>
      <c r="G45" s="236">
        <v>0</v>
      </c>
      <c r="H45" s="236">
        <v>0</v>
      </c>
      <c r="I45" s="236">
        <v>0</v>
      </c>
      <c r="J45" s="91">
        <v>3153528.1</v>
      </c>
      <c r="K45" s="217">
        <v>1007</v>
      </c>
      <c r="L45" s="217">
        <v>1058</v>
      </c>
      <c r="M45" s="217"/>
      <c r="N45" s="232">
        <v>1033</v>
      </c>
      <c r="O45" s="90">
        <v>196320</v>
      </c>
      <c r="P45" s="236">
        <v>0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63">
        <v>196320</v>
      </c>
      <c r="W45" s="217">
        <v>1007</v>
      </c>
      <c r="X45" s="217">
        <v>1076</v>
      </c>
    </row>
    <row r="46" spans="1:24" x14ac:dyDescent="0.25">
      <c r="A46" s="31">
        <v>39005</v>
      </c>
      <c r="B46" s="62">
        <v>3153528.1</v>
      </c>
      <c r="C46" s="236">
        <v>26015</v>
      </c>
      <c r="D46" s="236">
        <v>0</v>
      </c>
      <c r="E46" s="236">
        <v>0</v>
      </c>
      <c r="F46" s="236">
        <v>3045</v>
      </c>
      <c r="G46" s="236">
        <v>0</v>
      </c>
      <c r="H46" s="236">
        <v>0</v>
      </c>
      <c r="I46" s="236">
        <v>0</v>
      </c>
      <c r="J46" s="91">
        <v>3176498.1</v>
      </c>
      <c r="K46" s="217">
        <v>1007</v>
      </c>
      <c r="L46" s="217">
        <v>1058</v>
      </c>
      <c r="M46" s="217"/>
      <c r="N46" s="232">
        <v>1033</v>
      </c>
      <c r="O46" s="90">
        <v>196320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63">
        <v>196320</v>
      </c>
      <c r="W46" s="217">
        <v>1007</v>
      </c>
      <c r="X46" s="217">
        <v>1076</v>
      </c>
    </row>
    <row r="47" spans="1:24" x14ac:dyDescent="0.25">
      <c r="A47" s="31">
        <v>39006</v>
      </c>
      <c r="B47" s="62">
        <v>3176498.1</v>
      </c>
      <c r="C47" s="236">
        <v>23210</v>
      </c>
      <c r="D47" s="236">
        <v>0</v>
      </c>
      <c r="E47" s="236">
        <v>0</v>
      </c>
      <c r="F47" s="236">
        <v>2910</v>
      </c>
      <c r="G47" s="236">
        <v>0</v>
      </c>
      <c r="H47" s="236">
        <v>0</v>
      </c>
      <c r="I47" s="236">
        <v>0</v>
      </c>
      <c r="J47" s="91">
        <v>3196798.1</v>
      </c>
      <c r="K47" s="217">
        <v>1007</v>
      </c>
      <c r="L47" s="217">
        <v>1058</v>
      </c>
      <c r="M47" s="217"/>
      <c r="N47" s="232">
        <v>1033</v>
      </c>
      <c r="O47" s="90">
        <v>196320</v>
      </c>
      <c r="P47" s="236">
        <v>0</v>
      </c>
      <c r="Q47" s="236">
        <v>0</v>
      </c>
      <c r="R47" s="236">
        <v>276</v>
      </c>
      <c r="S47" s="236">
        <v>0</v>
      </c>
      <c r="T47" s="236">
        <v>0</v>
      </c>
      <c r="U47" s="236">
        <v>0</v>
      </c>
      <c r="V47" s="63">
        <v>196044</v>
      </c>
      <c r="W47" s="217">
        <v>1007</v>
      </c>
      <c r="X47" s="217">
        <v>1076</v>
      </c>
    </row>
    <row r="48" spans="1:24" x14ac:dyDescent="0.25">
      <c r="A48" s="31">
        <v>39007</v>
      </c>
      <c r="B48" s="62">
        <v>3196798.1</v>
      </c>
      <c r="C48" s="236">
        <v>18999</v>
      </c>
      <c r="D48" s="236">
        <v>0</v>
      </c>
      <c r="E48" s="236">
        <v>0</v>
      </c>
      <c r="F48" s="236">
        <v>2705</v>
      </c>
      <c r="G48" s="236">
        <v>0</v>
      </c>
      <c r="H48" s="236">
        <v>0</v>
      </c>
      <c r="I48" s="236">
        <v>0</v>
      </c>
      <c r="J48" s="91">
        <v>3213092.1</v>
      </c>
      <c r="K48" s="217">
        <v>1007</v>
      </c>
      <c r="L48" s="217">
        <v>1058</v>
      </c>
      <c r="M48" s="217"/>
      <c r="N48" s="232">
        <v>1033</v>
      </c>
      <c r="O48" s="90">
        <v>196044</v>
      </c>
      <c r="P48" s="236">
        <v>0</v>
      </c>
      <c r="Q48" s="236">
        <v>0</v>
      </c>
      <c r="R48" s="236">
        <v>69</v>
      </c>
      <c r="S48" s="236">
        <v>0</v>
      </c>
      <c r="T48" s="236">
        <v>0</v>
      </c>
      <c r="U48" s="236">
        <v>0</v>
      </c>
      <c r="V48" s="63">
        <v>195975</v>
      </c>
      <c r="W48" s="217">
        <v>1007</v>
      </c>
      <c r="X48" s="217">
        <v>1076</v>
      </c>
    </row>
    <row r="49" spans="1:24" x14ac:dyDescent="0.25">
      <c r="A49" s="31">
        <v>39008</v>
      </c>
      <c r="B49" s="62">
        <v>3213092.1</v>
      </c>
      <c r="C49" s="236">
        <v>16753</v>
      </c>
      <c r="D49" s="236">
        <v>0</v>
      </c>
      <c r="E49" s="236">
        <v>0</v>
      </c>
      <c r="F49" s="236">
        <v>2595</v>
      </c>
      <c r="G49" s="236">
        <v>0</v>
      </c>
      <c r="H49" s="236">
        <v>0</v>
      </c>
      <c r="I49" s="236">
        <v>0</v>
      </c>
      <c r="J49" s="91">
        <v>3227250.1</v>
      </c>
      <c r="K49" s="217">
        <v>1007</v>
      </c>
      <c r="L49" s="217">
        <v>1058</v>
      </c>
      <c r="M49" s="217"/>
      <c r="N49" s="232">
        <v>1034</v>
      </c>
      <c r="O49" s="90">
        <v>195975</v>
      </c>
      <c r="P49" s="236">
        <v>0</v>
      </c>
      <c r="Q49" s="236">
        <v>0</v>
      </c>
      <c r="R49" s="236">
        <v>62</v>
      </c>
      <c r="S49" s="236">
        <v>0</v>
      </c>
      <c r="T49" s="236">
        <v>0</v>
      </c>
      <c r="U49" s="236">
        <v>0</v>
      </c>
      <c r="V49" s="63">
        <v>195913</v>
      </c>
      <c r="W49" s="217">
        <v>1007</v>
      </c>
      <c r="X49" s="217">
        <v>1076</v>
      </c>
    </row>
    <row r="50" spans="1:24" x14ac:dyDescent="0.25">
      <c r="A50" s="31">
        <v>39009</v>
      </c>
      <c r="B50" s="62">
        <v>3227250.1</v>
      </c>
      <c r="C50" s="236">
        <v>15915</v>
      </c>
      <c r="D50" s="236">
        <v>0</v>
      </c>
      <c r="E50" s="236">
        <v>0</v>
      </c>
      <c r="F50" s="236">
        <v>2558</v>
      </c>
      <c r="G50" s="236">
        <v>0</v>
      </c>
      <c r="H50" s="236">
        <v>0</v>
      </c>
      <c r="I50" s="236">
        <v>0</v>
      </c>
      <c r="J50" s="91">
        <v>3240607.1</v>
      </c>
      <c r="K50" s="217">
        <v>1007</v>
      </c>
      <c r="L50" s="217">
        <v>1058</v>
      </c>
      <c r="M50" s="217"/>
      <c r="N50" s="232">
        <v>1033</v>
      </c>
      <c r="O50" s="90">
        <v>195913</v>
      </c>
      <c r="P50" s="236">
        <v>0</v>
      </c>
      <c r="Q50" s="236">
        <v>0</v>
      </c>
      <c r="R50" s="236">
        <v>145</v>
      </c>
      <c r="S50" s="236">
        <v>0</v>
      </c>
      <c r="T50" s="236">
        <v>0</v>
      </c>
      <c r="U50" s="236">
        <v>0</v>
      </c>
      <c r="V50" s="63">
        <v>195768</v>
      </c>
      <c r="W50" s="217">
        <v>1007</v>
      </c>
      <c r="X50" s="217">
        <v>1076</v>
      </c>
    </row>
    <row r="51" spans="1:24" x14ac:dyDescent="0.25">
      <c r="A51" s="31">
        <v>39010</v>
      </c>
      <c r="B51" s="62">
        <v>3240607.1</v>
      </c>
      <c r="C51" s="236">
        <v>19295</v>
      </c>
      <c r="D51" s="236">
        <v>0</v>
      </c>
      <c r="E51" s="236">
        <v>0</v>
      </c>
      <c r="F51" s="236">
        <v>2733</v>
      </c>
      <c r="G51" s="236">
        <v>0</v>
      </c>
      <c r="H51" s="236">
        <v>0</v>
      </c>
      <c r="I51" s="236">
        <v>0</v>
      </c>
      <c r="J51" s="91">
        <v>3257169.1</v>
      </c>
      <c r="K51" s="217">
        <v>1007</v>
      </c>
      <c r="L51" s="217">
        <v>1058</v>
      </c>
      <c r="M51" s="217"/>
      <c r="N51" s="232">
        <v>1033</v>
      </c>
      <c r="O51" s="90">
        <v>195768</v>
      </c>
      <c r="P51" s="236">
        <v>0</v>
      </c>
      <c r="Q51" s="236">
        <v>0</v>
      </c>
      <c r="R51" s="236">
        <v>65</v>
      </c>
      <c r="S51" s="236">
        <v>0</v>
      </c>
      <c r="T51" s="236">
        <v>0</v>
      </c>
      <c r="U51" s="236">
        <v>0</v>
      </c>
      <c r="V51" s="63">
        <v>195703</v>
      </c>
      <c r="W51" s="217">
        <v>1007</v>
      </c>
      <c r="X51" s="217">
        <v>1076</v>
      </c>
    </row>
    <row r="52" spans="1:24" x14ac:dyDescent="0.25">
      <c r="A52" s="31">
        <v>39011</v>
      </c>
      <c r="B52" s="62">
        <v>3257169.1</v>
      </c>
      <c r="C52" s="236">
        <v>26053</v>
      </c>
      <c r="D52" s="236">
        <v>0</v>
      </c>
      <c r="E52" s="236">
        <v>0</v>
      </c>
      <c r="F52" s="236">
        <v>3077</v>
      </c>
      <c r="G52" s="236">
        <v>0</v>
      </c>
      <c r="H52" s="236">
        <v>0</v>
      </c>
      <c r="I52" s="236">
        <v>0</v>
      </c>
      <c r="J52" s="91">
        <v>3280145.1</v>
      </c>
      <c r="K52" s="217">
        <v>1007</v>
      </c>
      <c r="L52" s="217">
        <v>1058</v>
      </c>
      <c r="M52" s="217"/>
      <c r="N52" s="232">
        <v>1034</v>
      </c>
      <c r="O52" s="90">
        <v>195703</v>
      </c>
      <c r="P52" s="236">
        <v>0</v>
      </c>
      <c r="Q52" s="236">
        <v>0</v>
      </c>
      <c r="R52" s="236">
        <v>211</v>
      </c>
      <c r="S52" s="236">
        <v>0</v>
      </c>
      <c r="T52" s="236">
        <v>0</v>
      </c>
      <c r="U52" s="236">
        <v>0</v>
      </c>
      <c r="V52" s="63">
        <v>195492</v>
      </c>
      <c r="W52" s="217">
        <v>1007</v>
      </c>
      <c r="X52" s="217">
        <v>1076</v>
      </c>
    </row>
    <row r="53" spans="1:24" x14ac:dyDescent="0.25">
      <c r="A53" s="31">
        <v>39012</v>
      </c>
      <c r="B53" s="62">
        <v>3280145.1</v>
      </c>
      <c r="C53" s="236">
        <v>19028</v>
      </c>
      <c r="D53" s="236">
        <v>0</v>
      </c>
      <c r="E53" s="236">
        <v>0</v>
      </c>
      <c r="F53" s="236">
        <v>2731</v>
      </c>
      <c r="G53" s="236">
        <v>0</v>
      </c>
      <c r="H53" s="236">
        <v>0</v>
      </c>
      <c r="I53" s="236">
        <v>0</v>
      </c>
      <c r="J53" s="91">
        <v>3296442.1</v>
      </c>
      <c r="K53" s="217">
        <v>1007</v>
      </c>
      <c r="L53" s="217">
        <v>1058</v>
      </c>
      <c r="M53" s="217"/>
      <c r="N53" s="232">
        <v>1036</v>
      </c>
      <c r="O53" s="90">
        <v>195492</v>
      </c>
      <c r="P53" s="236">
        <v>0</v>
      </c>
      <c r="Q53" s="236">
        <v>0</v>
      </c>
      <c r="R53" s="236">
        <v>62</v>
      </c>
      <c r="S53" s="236">
        <v>0</v>
      </c>
      <c r="T53" s="236">
        <v>0</v>
      </c>
      <c r="U53" s="236">
        <v>0</v>
      </c>
      <c r="V53" s="63">
        <v>195430</v>
      </c>
      <c r="W53" s="217">
        <v>1007</v>
      </c>
      <c r="X53" s="217">
        <v>1076</v>
      </c>
    </row>
    <row r="54" spans="1:24" x14ac:dyDescent="0.25">
      <c r="A54" s="31">
        <v>39013</v>
      </c>
      <c r="B54" s="62">
        <v>3296442.1</v>
      </c>
      <c r="C54" s="236">
        <v>24660</v>
      </c>
      <c r="D54" s="236">
        <v>0</v>
      </c>
      <c r="E54" s="236">
        <v>0</v>
      </c>
      <c r="F54" s="236">
        <v>3018</v>
      </c>
      <c r="G54" s="236">
        <v>0</v>
      </c>
      <c r="H54" s="236">
        <v>0</v>
      </c>
      <c r="I54" s="236">
        <v>0</v>
      </c>
      <c r="J54" s="91">
        <v>3318084.1</v>
      </c>
      <c r="K54" s="217">
        <v>1007</v>
      </c>
      <c r="L54" s="217">
        <v>1058</v>
      </c>
      <c r="M54" s="217"/>
      <c r="N54" s="232">
        <v>1035</v>
      </c>
      <c r="O54" s="90">
        <v>195430</v>
      </c>
      <c r="P54" s="236">
        <v>0</v>
      </c>
      <c r="Q54" s="236">
        <v>0</v>
      </c>
      <c r="R54" s="236">
        <v>214</v>
      </c>
      <c r="S54" s="236">
        <v>0</v>
      </c>
      <c r="T54" s="236">
        <v>0</v>
      </c>
      <c r="U54" s="236">
        <v>0</v>
      </c>
      <c r="V54" s="63">
        <v>195216</v>
      </c>
      <c r="W54" s="217">
        <v>1007</v>
      </c>
      <c r="X54" s="217">
        <v>1076</v>
      </c>
    </row>
    <row r="55" spans="1:24" x14ac:dyDescent="0.25">
      <c r="A55" s="31">
        <v>39014</v>
      </c>
      <c r="B55" s="62">
        <v>3318084.1</v>
      </c>
      <c r="C55" s="236">
        <v>25793</v>
      </c>
      <c r="D55" s="236">
        <v>0</v>
      </c>
      <c r="E55" s="236">
        <v>0</v>
      </c>
      <c r="F55" s="236">
        <v>3082</v>
      </c>
      <c r="G55" s="236">
        <v>0</v>
      </c>
      <c r="H55" s="236">
        <v>0</v>
      </c>
      <c r="I55" s="236">
        <v>0</v>
      </c>
      <c r="J55" s="91">
        <v>3340795.1</v>
      </c>
      <c r="K55" s="217">
        <v>1007</v>
      </c>
      <c r="L55" s="217">
        <v>1058</v>
      </c>
      <c r="M55" s="217"/>
      <c r="N55" s="232">
        <v>1034</v>
      </c>
      <c r="O55" s="90">
        <v>195216</v>
      </c>
      <c r="P55" s="236">
        <v>0</v>
      </c>
      <c r="Q55" s="236">
        <v>0</v>
      </c>
      <c r="R55" s="236">
        <v>69</v>
      </c>
      <c r="S55" s="236">
        <v>0</v>
      </c>
      <c r="T55" s="236">
        <v>0</v>
      </c>
      <c r="U55" s="236">
        <v>0</v>
      </c>
      <c r="V55" s="63">
        <v>195147</v>
      </c>
      <c r="W55" s="217">
        <v>1007</v>
      </c>
      <c r="X55" s="217">
        <v>1076</v>
      </c>
    </row>
    <row r="56" spans="1:24" x14ac:dyDescent="0.25">
      <c r="A56" s="31">
        <v>39015</v>
      </c>
      <c r="B56" s="62">
        <v>3340795.1</v>
      </c>
      <c r="C56" s="236">
        <v>28898</v>
      </c>
      <c r="D56" s="236">
        <v>0</v>
      </c>
      <c r="E56" s="236">
        <v>0</v>
      </c>
      <c r="F56" s="236">
        <v>3243</v>
      </c>
      <c r="G56" s="236">
        <v>0</v>
      </c>
      <c r="H56" s="236">
        <v>0</v>
      </c>
      <c r="I56" s="236">
        <v>0</v>
      </c>
      <c r="J56" s="91">
        <v>3366450.1</v>
      </c>
      <c r="K56" s="217">
        <v>1007</v>
      </c>
      <c r="L56" s="217">
        <v>1058</v>
      </c>
      <c r="M56" s="217"/>
      <c r="N56" s="232">
        <v>1034</v>
      </c>
      <c r="O56" s="90">
        <v>195147</v>
      </c>
      <c r="P56" s="236">
        <v>0</v>
      </c>
      <c r="Q56" s="236">
        <v>0</v>
      </c>
      <c r="R56" s="236">
        <v>74</v>
      </c>
      <c r="S56" s="236">
        <v>0</v>
      </c>
      <c r="T56" s="236">
        <v>0</v>
      </c>
      <c r="U56" s="236">
        <v>0</v>
      </c>
      <c r="V56" s="63">
        <v>195073</v>
      </c>
      <c r="W56" s="217">
        <v>1007</v>
      </c>
      <c r="X56" s="217">
        <v>1076</v>
      </c>
    </row>
    <row r="57" spans="1:24" x14ac:dyDescent="0.25">
      <c r="A57" s="31">
        <v>39016</v>
      </c>
      <c r="B57" s="62">
        <v>3366450.1</v>
      </c>
      <c r="C57" s="236">
        <v>31158</v>
      </c>
      <c r="D57" s="236">
        <v>0</v>
      </c>
      <c r="E57" s="236">
        <v>0</v>
      </c>
      <c r="F57" s="236">
        <v>3366</v>
      </c>
      <c r="G57" s="236">
        <v>0</v>
      </c>
      <c r="H57" s="236">
        <v>0</v>
      </c>
      <c r="I57" s="236">
        <v>0</v>
      </c>
      <c r="J57" s="91">
        <v>3394242.1</v>
      </c>
      <c r="K57" s="217">
        <v>1007</v>
      </c>
      <c r="L57" s="217">
        <v>1058</v>
      </c>
      <c r="M57" s="217"/>
      <c r="N57" s="232">
        <v>1034</v>
      </c>
      <c r="O57" s="90">
        <v>195073</v>
      </c>
      <c r="P57" s="236">
        <v>0</v>
      </c>
      <c r="Q57" s="236">
        <v>0</v>
      </c>
      <c r="R57" s="236">
        <v>133</v>
      </c>
      <c r="S57" s="236">
        <v>0</v>
      </c>
      <c r="T57" s="236">
        <v>0</v>
      </c>
      <c r="U57" s="236">
        <v>0</v>
      </c>
      <c r="V57" s="63">
        <v>194940</v>
      </c>
      <c r="W57" s="217">
        <v>1007</v>
      </c>
      <c r="X57" s="217">
        <v>1076</v>
      </c>
    </row>
    <row r="58" spans="1:24" x14ac:dyDescent="0.25">
      <c r="A58" s="31">
        <v>39017</v>
      </c>
      <c r="B58" s="62">
        <v>3394242.1</v>
      </c>
      <c r="C58" s="236">
        <v>22726</v>
      </c>
      <c r="D58" s="236">
        <v>0</v>
      </c>
      <c r="E58" s="236">
        <v>0</v>
      </c>
      <c r="F58" s="236">
        <v>2950</v>
      </c>
      <c r="G58" s="236">
        <v>0</v>
      </c>
      <c r="H58" s="236">
        <v>0</v>
      </c>
      <c r="I58" s="236">
        <v>0</v>
      </c>
      <c r="J58" s="91">
        <v>3414018.1</v>
      </c>
      <c r="K58" s="217">
        <v>1007</v>
      </c>
      <c r="L58" s="217">
        <v>1058</v>
      </c>
      <c r="M58" s="217"/>
      <c r="N58" s="232">
        <v>1036</v>
      </c>
      <c r="O58" s="90">
        <v>194940</v>
      </c>
      <c r="P58" s="236">
        <v>0</v>
      </c>
      <c r="Q58" s="236">
        <v>0</v>
      </c>
      <c r="R58" s="236">
        <v>61</v>
      </c>
      <c r="S58" s="236">
        <v>0</v>
      </c>
      <c r="T58" s="236">
        <v>0</v>
      </c>
      <c r="U58" s="236">
        <v>0</v>
      </c>
      <c r="V58" s="63">
        <v>194879</v>
      </c>
      <c r="W58" s="217">
        <v>1007</v>
      </c>
      <c r="X58" s="217">
        <v>1076</v>
      </c>
    </row>
    <row r="59" spans="1:24" x14ac:dyDescent="0.25">
      <c r="A59" s="31">
        <v>39018</v>
      </c>
      <c r="B59" s="62">
        <v>3414018.1</v>
      </c>
      <c r="C59" s="236">
        <v>20201</v>
      </c>
      <c r="D59" s="236">
        <v>0</v>
      </c>
      <c r="E59" s="236">
        <v>0</v>
      </c>
      <c r="F59" s="236">
        <v>2830</v>
      </c>
      <c r="G59" s="236">
        <v>0</v>
      </c>
      <c r="H59" s="236">
        <v>0</v>
      </c>
      <c r="I59" s="236">
        <v>0</v>
      </c>
      <c r="J59" s="91">
        <v>3431389.1</v>
      </c>
      <c r="K59" s="217">
        <v>1007</v>
      </c>
      <c r="L59" s="217">
        <v>1058</v>
      </c>
      <c r="M59" s="217"/>
      <c r="N59" s="232">
        <v>1036</v>
      </c>
      <c r="O59" s="90">
        <v>194879</v>
      </c>
      <c r="P59" s="236">
        <v>0</v>
      </c>
      <c r="Q59" s="236">
        <v>0</v>
      </c>
      <c r="R59" s="236">
        <v>74</v>
      </c>
      <c r="S59" s="236">
        <v>0</v>
      </c>
      <c r="T59" s="236">
        <v>0</v>
      </c>
      <c r="U59" s="236">
        <v>0</v>
      </c>
      <c r="V59" s="63">
        <v>194805</v>
      </c>
      <c r="W59" s="217">
        <v>1007</v>
      </c>
      <c r="X59" s="217">
        <v>1076</v>
      </c>
    </row>
    <row r="60" spans="1:24" x14ac:dyDescent="0.25">
      <c r="A60" s="31">
        <v>39019</v>
      </c>
      <c r="B60" s="62">
        <v>3431389.1</v>
      </c>
      <c r="C60" s="236">
        <v>29494</v>
      </c>
      <c r="D60" s="236">
        <v>0</v>
      </c>
      <c r="E60" s="236">
        <v>0</v>
      </c>
      <c r="F60" s="236">
        <v>3302</v>
      </c>
      <c r="G60" s="236">
        <v>0</v>
      </c>
      <c r="H60" s="236">
        <v>0</v>
      </c>
      <c r="I60" s="236">
        <v>0</v>
      </c>
      <c r="J60" s="91">
        <v>3457581.1</v>
      </c>
      <c r="K60" s="217">
        <v>1007</v>
      </c>
      <c r="L60" s="217">
        <v>1058</v>
      </c>
      <c r="M60" s="217"/>
      <c r="N60" s="232">
        <v>1035</v>
      </c>
      <c r="O60" s="90">
        <v>194805</v>
      </c>
      <c r="P60" s="236">
        <v>0</v>
      </c>
      <c r="Q60" s="236">
        <v>0</v>
      </c>
      <c r="R60" s="236">
        <v>143</v>
      </c>
      <c r="S60" s="236">
        <v>0</v>
      </c>
      <c r="T60" s="236">
        <v>0</v>
      </c>
      <c r="U60" s="236">
        <v>0</v>
      </c>
      <c r="V60" s="63">
        <v>194662</v>
      </c>
      <c r="W60" s="217">
        <v>1007</v>
      </c>
      <c r="X60" s="217">
        <v>1076</v>
      </c>
    </row>
    <row r="61" spans="1:24" x14ac:dyDescent="0.25">
      <c r="A61" s="31">
        <v>39020</v>
      </c>
      <c r="B61" s="62">
        <v>3457581.1</v>
      </c>
      <c r="C61" s="236">
        <v>22961</v>
      </c>
      <c r="D61" s="236">
        <v>4119</v>
      </c>
      <c r="E61" s="236">
        <v>0</v>
      </c>
      <c r="F61" s="236">
        <v>2536</v>
      </c>
      <c r="G61" s="236">
        <v>0</v>
      </c>
      <c r="H61" s="236">
        <v>0</v>
      </c>
      <c r="I61" s="236">
        <v>0</v>
      </c>
      <c r="J61" s="91">
        <v>3473887.1</v>
      </c>
      <c r="K61" s="217">
        <v>1007</v>
      </c>
      <c r="L61" s="217">
        <v>1058</v>
      </c>
      <c r="M61" s="217">
        <v>1041.7</v>
      </c>
      <c r="N61" s="232">
        <v>1035</v>
      </c>
      <c r="O61" s="90">
        <v>194662</v>
      </c>
      <c r="P61" s="236">
        <v>0</v>
      </c>
      <c r="Q61" s="236">
        <v>4119</v>
      </c>
      <c r="R61" s="236">
        <v>250</v>
      </c>
      <c r="S61" s="236">
        <v>0</v>
      </c>
      <c r="T61" s="236">
        <v>0</v>
      </c>
      <c r="U61" s="236">
        <v>0</v>
      </c>
      <c r="V61" s="63">
        <v>198531</v>
      </c>
      <c r="W61" s="217">
        <v>1007</v>
      </c>
      <c r="X61" s="217">
        <v>1076</v>
      </c>
    </row>
    <row r="62" spans="1:24" x14ac:dyDescent="0.25">
      <c r="A62" s="31">
        <v>39021</v>
      </c>
      <c r="B62" s="62">
        <v>3473887.1</v>
      </c>
      <c r="C62" s="236">
        <v>18618</v>
      </c>
      <c r="D62" s="236">
        <v>11313</v>
      </c>
      <c r="E62" s="236">
        <v>0</v>
      </c>
      <c r="F62" s="236">
        <v>1961</v>
      </c>
      <c r="G62" s="236">
        <v>0</v>
      </c>
      <c r="H62" s="236">
        <v>0</v>
      </c>
      <c r="I62" s="236">
        <v>0</v>
      </c>
      <c r="J62" s="91">
        <v>3479231.1</v>
      </c>
      <c r="K62" s="217">
        <v>1007</v>
      </c>
      <c r="L62" s="217">
        <v>1058</v>
      </c>
      <c r="M62" s="217">
        <v>1041.7</v>
      </c>
      <c r="N62" s="232">
        <v>1035</v>
      </c>
      <c r="O62" s="90">
        <v>198531</v>
      </c>
      <c r="P62" s="236">
        <v>0</v>
      </c>
      <c r="Q62" s="236">
        <v>11313</v>
      </c>
      <c r="R62" s="236">
        <v>250</v>
      </c>
      <c r="S62" s="236">
        <v>0</v>
      </c>
      <c r="T62" s="236">
        <v>0</v>
      </c>
      <c r="U62" s="236">
        <v>0</v>
      </c>
      <c r="V62" s="63">
        <v>209594</v>
      </c>
      <c r="W62" s="217">
        <v>1007</v>
      </c>
      <c r="X62" s="217">
        <v>1076</v>
      </c>
    </row>
    <row r="63" spans="1:24" x14ac:dyDescent="0.25">
      <c r="A63" s="31">
        <v>39022</v>
      </c>
      <c r="B63" s="62">
        <v>3479231.1</v>
      </c>
      <c r="C63" s="236">
        <v>12747</v>
      </c>
      <c r="D63" s="236">
        <v>10569</v>
      </c>
      <c r="E63" s="236">
        <v>0</v>
      </c>
      <c r="F63" s="236">
        <v>2718</v>
      </c>
      <c r="G63" s="236">
        <v>0</v>
      </c>
      <c r="H63" s="236">
        <v>0</v>
      </c>
      <c r="I63" s="236">
        <v>0</v>
      </c>
      <c r="J63" s="91">
        <v>3478691.1</v>
      </c>
      <c r="K63" s="217">
        <v>1007</v>
      </c>
      <c r="L63" s="217">
        <v>1058</v>
      </c>
      <c r="M63" s="217">
        <v>1041.7</v>
      </c>
      <c r="N63" s="232">
        <v>1035</v>
      </c>
      <c r="O63" s="90">
        <v>209594</v>
      </c>
      <c r="P63" s="236">
        <v>0</v>
      </c>
      <c r="Q63" s="236">
        <v>10569</v>
      </c>
      <c r="R63" s="236">
        <v>51</v>
      </c>
      <c r="S63" s="236">
        <v>0</v>
      </c>
      <c r="T63" s="236">
        <v>0</v>
      </c>
      <c r="U63" s="236">
        <v>0</v>
      </c>
      <c r="V63" s="63">
        <v>220112</v>
      </c>
      <c r="W63" s="217">
        <v>1007</v>
      </c>
      <c r="X63" s="217">
        <v>1076</v>
      </c>
    </row>
    <row r="64" spans="1:24" x14ac:dyDescent="0.25">
      <c r="A64" s="31">
        <v>39023</v>
      </c>
      <c r="B64" s="62">
        <v>3478691.1</v>
      </c>
      <c r="C64" s="236">
        <v>10834</v>
      </c>
      <c r="D64" s="236">
        <v>9472</v>
      </c>
      <c r="E64" s="236">
        <v>0</v>
      </c>
      <c r="F64" s="236">
        <v>2703</v>
      </c>
      <c r="G64" s="236">
        <v>0</v>
      </c>
      <c r="H64" s="236">
        <v>0</v>
      </c>
      <c r="I64" s="236">
        <v>0</v>
      </c>
      <c r="J64" s="91">
        <v>3477350.1</v>
      </c>
      <c r="K64" s="217">
        <v>1007</v>
      </c>
      <c r="L64" s="217">
        <v>1058</v>
      </c>
      <c r="M64" s="217">
        <v>1041.7</v>
      </c>
      <c r="N64" s="232">
        <v>1035</v>
      </c>
      <c r="O64" s="90">
        <v>220112</v>
      </c>
      <c r="P64" s="236">
        <v>0</v>
      </c>
      <c r="Q64" s="236">
        <v>9472</v>
      </c>
      <c r="R64" s="236">
        <v>50</v>
      </c>
      <c r="S64" s="236">
        <v>0</v>
      </c>
      <c r="T64" s="236">
        <v>0</v>
      </c>
      <c r="U64" s="236">
        <v>0</v>
      </c>
      <c r="V64" s="63">
        <v>229534</v>
      </c>
      <c r="W64" s="217">
        <v>1007</v>
      </c>
      <c r="X64" s="217">
        <v>1076</v>
      </c>
    </row>
    <row r="65" spans="1:24" x14ac:dyDescent="0.25">
      <c r="A65" s="31">
        <v>39024</v>
      </c>
      <c r="B65" s="62">
        <v>3477350.1</v>
      </c>
      <c r="C65" s="236">
        <v>15497</v>
      </c>
      <c r="D65" s="236">
        <v>5268</v>
      </c>
      <c r="E65" s="236">
        <v>0</v>
      </c>
      <c r="F65" s="236">
        <v>2217</v>
      </c>
      <c r="G65" s="236">
        <v>0</v>
      </c>
      <c r="H65" s="236">
        <v>0</v>
      </c>
      <c r="I65" s="236">
        <v>0</v>
      </c>
      <c r="J65" s="91">
        <v>3485362.1</v>
      </c>
      <c r="K65" s="217">
        <v>1007</v>
      </c>
      <c r="L65" s="217">
        <v>1058</v>
      </c>
      <c r="M65" s="217">
        <v>1041.7</v>
      </c>
      <c r="N65" s="232">
        <v>1031</v>
      </c>
      <c r="O65" s="90">
        <v>229534</v>
      </c>
      <c r="P65" s="236">
        <v>0</v>
      </c>
      <c r="Q65" s="236">
        <v>5268</v>
      </c>
      <c r="R65" s="236">
        <v>0</v>
      </c>
      <c r="S65" s="236">
        <v>0</v>
      </c>
      <c r="T65" s="236">
        <v>0</v>
      </c>
      <c r="U65" s="236">
        <v>0</v>
      </c>
      <c r="V65" s="63">
        <v>234802</v>
      </c>
      <c r="W65" s="217">
        <v>1007</v>
      </c>
      <c r="X65" s="217">
        <v>1076</v>
      </c>
    </row>
    <row r="66" spans="1:24" x14ac:dyDescent="0.25">
      <c r="A66" s="31">
        <v>39025</v>
      </c>
      <c r="B66" s="62">
        <v>3485362.1</v>
      </c>
      <c r="C66" s="236">
        <v>11489</v>
      </c>
      <c r="D66" s="236">
        <v>0</v>
      </c>
      <c r="E66" s="236">
        <v>0</v>
      </c>
      <c r="F66" s="236">
        <v>535</v>
      </c>
      <c r="G66" s="236">
        <v>0</v>
      </c>
      <c r="H66" s="236">
        <v>0</v>
      </c>
      <c r="I66" s="236">
        <v>0</v>
      </c>
      <c r="J66" s="91">
        <v>3496316.1</v>
      </c>
      <c r="K66" s="217">
        <v>1007</v>
      </c>
      <c r="L66" s="217">
        <v>1058</v>
      </c>
      <c r="M66" s="217"/>
      <c r="N66" s="232">
        <v>1031</v>
      </c>
      <c r="O66" s="90">
        <v>234802</v>
      </c>
      <c r="P66" s="236">
        <v>0</v>
      </c>
      <c r="Q66" s="236">
        <v>0</v>
      </c>
      <c r="R66" s="236">
        <v>277</v>
      </c>
      <c r="S66" s="236">
        <v>0</v>
      </c>
      <c r="T66" s="236">
        <v>0</v>
      </c>
      <c r="U66" s="236">
        <v>0</v>
      </c>
      <c r="V66" s="63">
        <v>234525</v>
      </c>
      <c r="W66" s="217">
        <v>1007</v>
      </c>
      <c r="X66" s="217">
        <v>1076</v>
      </c>
    </row>
    <row r="67" spans="1:24" x14ac:dyDescent="0.25">
      <c r="A67" s="31">
        <v>39026</v>
      </c>
      <c r="B67" s="62">
        <v>3496316.1</v>
      </c>
      <c r="C67" s="236">
        <v>13048</v>
      </c>
      <c r="D67" s="236">
        <v>0</v>
      </c>
      <c r="E67" s="236">
        <v>0</v>
      </c>
      <c r="F67" s="236">
        <v>1825</v>
      </c>
      <c r="G67" s="236">
        <v>0</v>
      </c>
      <c r="H67" s="236">
        <v>0</v>
      </c>
      <c r="I67" s="236">
        <v>0</v>
      </c>
      <c r="J67" s="91">
        <v>3507539.1</v>
      </c>
      <c r="K67" s="217">
        <v>1007</v>
      </c>
      <c r="L67" s="217">
        <v>1058</v>
      </c>
      <c r="M67" s="217"/>
      <c r="N67" s="232">
        <v>1032</v>
      </c>
      <c r="O67" s="90">
        <v>234525</v>
      </c>
      <c r="P67" s="236">
        <v>0</v>
      </c>
      <c r="Q67" s="236">
        <v>0</v>
      </c>
      <c r="R67" s="236">
        <v>58</v>
      </c>
      <c r="S67" s="236">
        <v>0</v>
      </c>
      <c r="T67" s="236">
        <v>0</v>
      </c>
      <c r="U67" s="236">
        <v>0</v>
      </c>
      <c r="V67" s="63">
        <v>234467</v>
      </c>
      <c r="W67" s="217">
        <v>1007</v>
      </c>
      <c r="X67" s="217">
        <v>1076</v>
      </c>
    </row>
    <row r="68" spans="1:24" x14ac:dyDescent="0.25">
      <c r="A68" s="31">
        <v>39027</v>
      </c>
      <c r="B68" s="62">
        <v>3507539.1</v>
      </c>
      <c r="C68" s="236">
        <v>11082</v>
      </c>
      <c r="D68" s="236">
        <v>0</v>
      </c>
      <c r="E68" s="236">
        <v>0</v>
      </c>
      <c r="F68" s="236">
        <v>2264</v>
      </c>
      <c r="G68" s="236">
        <v>0</v>
      </c>
      <c r="H68" s="236">
        <v>0</v>
      </c>
      <c r="I68" s="236">
        <v>0</v>
      </c>
      <c r="J68" s="91">
        <v>3516357.1</v>
      </c>
      <c r="K68" s="217">
        <v>1007</v>
      </c>
      <c r="L68" s="217">
        <v>1058</v>
      </c>
      <c r="M68" s="217"/>
      <c r="N68" s="232">
        <v>1033</v>
      </c>
      <c r="O68" s="90">
        <v>234467</v>
      </c>
      <c r="P68" s="236">
        <v>0</v>
      </c>
      <c r="Q68" s="236">
        <v>0</v>
      </c>
      <c r="R68" s="236">
        <v>62</v>
      </c>
      <c r="S68" s="236">
        <v>0</v>
      </c>
      <c r="T68" s="236">
        <v>0</v>
      </c>
      <c r="U68" s="236">
        <v>0</v>
      </c>
      <c r="V68" s="63">
        <v>234405</v>
      </c>
      <c r="W68" s="217">
        <v>1007</v>
      </c>
      <c r="X68" s="217">
        <v>1076</v>
      </c>
    </row>
    <row r="69" spans="1:24" x14ac:dyDescent="0.25">
      <c r="A69" s="31">
        <v>39028</v>
      </c>
      <c r="B69" s="62">
        <v>3516357.1</v>
      </c>
      <c r="C69" s="236">
        <v>9679</v>
      </c>
      <c r="D69" s="236">
        <v>0</v>
      </c>
      <c r="E69" s="236">
        <v>0</v>
      </c>
      <c r="F69" s="236">
        <v>4068</v>
      </c>
      <c r="G69" s="236">
        <v>0</v>
      </c>
      <c r="H69" s="236">
        <v>0</v>
      </c>
      <c r="I69" s="236">
        <v>0</v>
      </c>
      <c r="J69" s="91">
        <v>3521968.1</v>
      </c>
      <c r="K69" s="217">
        <v>1007</v>
      </c>
      <c r="L69" s="217">
        <v>1058</v>
      </c>
      <c r="M69" s="217"/>
      <c r="N69" s="232">
        <v>1036</v>
      </c>
      <c r="O69" s="90">
        <v>234405</v>
      </c>
      <c r="P69" s="236">
        <v>0</v>
      </c>
      <c r="Q69" s="236">
        <v>0</v>
      </c>
      <c r="R69" s="236">
        <v>63</v>
      </c>
      <c r="S69" s="236">
        <v>0</v>
      </c>
      <c r="T69" s="236">
        <v>0</v>
      </c>
      <c r="U69" s="236">
        <v>0</v>
      </c>
      <c r="V69" s="63">
        <v>234342</v>
      </c>
      <c r="W69" s="217">
        <v>1007</v>
      </c>
      <c r="X69" s="217">
        <v>1076</v>
      </c>
    </row>
    <row r="70" spans="1:24" x14ac:dyDescent="0.25">
      <c r="A70" s="31">
        <v>39029</v>
      </c>
      <c r="B70" s="62">
        <v>3521968.1</v>
      </c>
      <c r="C70" s="236">
        <v>9400</v>
      </c>
      <c r="D70" s="236">
        <v>0</v>
      </c>
      <c r="E70" s="236">
        <v>0</v>
      </c>
      <c r="F70" s="236">
        <v>5125</v>
      </c>
      <c r="G70" s="236">
        <v>0</v>
      </c>
      <c r="H70" s="236">
        <v>0</v>
      </c>
      <c r="I70" s="236">
        <v>0</v>
      </c>
      <c r="J70" s="91">
        <v>3526243.1</v>
      </c>
      <c r="K70" s="217">
        <v>1007</v>
      </c>
      <c r="L70" s="217">
        <v>1058</v>
      </c>
      <c r="M70" s="217"/>
      <c r="N70" s="232">
        <v>1033</v>
      </c>
      <c r="O70" s="90">
        <v>234342</v>
      </c>
      <c r="P70" s="236">
        <v>0</v>
      </c>
      <c r="Q70" s="236">
        <v>0</v>
      </c>
      <c r="R70" s="236">
        <v>94</v>
      </c>
      <c r="S70" s="236">
        <v>0</v>
      </c>
      <c r="T70" s="236">
        <v>0</v>
      </c>
      <c r="U70" s="236">
        <v>0</v>
      </c>
      <c r="V70" s="63">
        <v>234248</v>
      </c>
      <c r="W70" s="217">
        <v>1007</v>
      </c>
      <c r="X70" s="217">
        <v>1076</v>
      </c>
    </row>
    <row r="71" spans="1:24" x14ac:dyDescent="0.25">
      <c r="A71" s="31">
        <v>39030</v>
      </c>
      <c r="B71" s="62">
        <v>3526243.1</v>
      </c>
      <c r="C71" s="236">
        <v>11373</v>
      </c>
      <c r="D71" s="236">
        <v>0</v>
      </c>
      <c r="E71" s="236">
        <v>0</v>
      </c>
      <c r="F71" s="236">
        <v>2822</v>
      </c>
      <c r="G71" s="236">
        <v>0</v>
      </c>
      <c r="H71" s="236">
        <v>0</v>
      </c>
      <c r="I71" s="236">
        <v>0</v>
      </c>
      <c r="J71" s="91">
        <v>3534794.1</v>
      </c>
      <c r="K71" s="217">
        <v>1007</v>
      </c>
      <c r="L71" s="217">
        <v>1058</v>
      </c>
      <c r="M71" s="217"/>
      <c r="N71" s="232">
        <v>1033</v>
      </c>
      <c r="O71" s="90">
        <v>234248</v>
      </c>
      <c r="P71" s="236">
        <v>0</v>
      </c>
      <c r="Q71" s="236">
        <v>0</v>
      </c>
      <c r="R71" s="236">
        <v>54</v>
      </c>
      <c r="S71" s="236">
        <v>0</v>
      </c>
      <c r="T71" s="236">
        <v>0</v>
      </c>
      <c r="U71" s="236">
        <v>0</v>
      </c>
      <c r="V71" s="63">
        <v>234194</v>
      </c>
      <c r="W71" s="217">
        <v>1007</v>
      </c>
      <c r="X71" s="217">
        <v>1076</v>
      </c>
    </row>
    <row r="72" spans="1:24" x14ac:dyDescent="0.25">
      <c r="A72" s="31">
        <v>39031</v>
      </c>
      <c r="B72" s="62">
        <v>3534794.1</v>
      </c>
      <c r="C72" s="236">
        <v>12502</v>
      </c>
      <c r="D72" s="236">
        <v>0</v>
      </c>
      <c r="E72" s="236">
        <v>0</v>
      </c>
      <c r="F72" s="236">
        <v>2079</v>
      </c>
      <c r="G72" s="236">
        <v>0</v>
      </c>
      <c r="H72" s="236">
        <v>0</v>
      </c>
      <c r="I72" s="236">
        <v>0</v>
      </c>
      <c r="J72" s="91">
        <v>3545217.1</v>
      </c>
      <c r="K72" s="217">
        <v>1007</v>
      </c>
      <c r="L72" s="217">
        <v>1058</v>
      </c>
      <c r="M72" s="217"/>
      <c r="N72" s="232">
        <v>1034</v>
      </c>
      <c r="O72" s="90">
        <v>234194</v>
      </c>
      <c r="P72" s="236">
        <v>0</v>
      </c>
      <c r="Q72" s="236">
        <v>0</v>
      </c>
      <c r="R72" s="236">
        <v>50</v>
      </c>
      <c r="S72" s="236">
        <v>0</v>
      </c>
      <c r="T72" s="236">
        <v>0</v>
      </c>
      <c r="U72" s="236">
        <v>0</v>
      </c>
      <c r="V72" s="63">
        <v>234144</v>
      </c>
      <c r="W72" s="217">
        <v>1007</v>
      </c>
      <c r="X72" s="217">
        <v>1076</v>
      </c>
    </row>
    <row r="73" spans="1:24" x14ac:dyDescent="0.25">
      <c r="A73" s="31">
        <v>39032</v>
      </c>
      <c r="B73" s="62">
        <v>3545217.1</v>
      </c>
      <c r="C73" s="236">
        <v>12224</v>
      </c>
      <c r="D73" s="236">
        <v>0</v>
      </c>
      <c r="E73" s="236">
        <v>0</v>
      </c>
      <c r="F73" s="236">
        <v>2069</v>
      </c>
      <c r="G73" s="236">
        <v>0</v>
      </c>
      <c r="H73" s="236">
        <v>0</v>
      </c>
      <c r="I73" s="236">
        <v>0</v>
      </c>
      <c r="J73" s="91">
        <v>3555372.1</v>
      </c>
      <c r="K73" s="217">
        <v>1007</v>
      </c>
      <c r="L73" s="217">
        <v>1058</v>
      </c>
      <c r="M73" s="217"/>
      <c r="N73" s="232">
        <v>1034</v>
      </c>
      <c r="O73" s="90">
        <v>234144</v>
      </c>
      <c r="P73" s="236">
        <v>0</v>
      </c>
      <c r="Q73" s="236">
        <v>0</v>
      </c>
      <c r="R73" s="236">
        <v>50</v>
      </c>
      <c r="S73" s="236">
        <v>0</v>
      </c>
      <c r="T73" s="236">
        <v>0</v>
      </c>
      <c r="U73" s="236">
        <v>0</v>
      </c>
      <c r="V73" s="63">
        <v>234094</v>
      </c>
      <c r="W73" s="217">
        <v>1007</v>
      </c>
      <c r="X73" s="217">
        <v>1076</v>
      </c>
    </row>
    <row r="74" spans="1:24" x14ac:dyDescent="0.25">
      <c r="A74" s="31">
        <v>39033</v>
      </c>
      <c r="B74" s="62">
        <v>3555372.1</v>
      </c>
      <c r="C74" s="236">
        <v>11384</v>
      </c>
      <c r="D74" s="236">
        <v>0</v>
      </c>
      <c r="E74" s="236">
        <v>0</v>
      </c>
      <c r="F74" s="236">
        <v>2297</v>
      </c>
      <c r="G74" s="236">
        <v>0</v>
      </c>
      <c r="H74" s="236">
        <v>0</v>
      </c>
      <c r="I74" s="236">
        <v>0</v>
      </c>
      <c r="J74" s="91">
        <v>3564459.1</v>
      </c>
      <c r="K74" s="217">
        <v>1007</v>
      </c>
      <c r="L74" s="217">
        <v>1058</v>
      </c>
      <c r="M74" s="217"/>
      <c r="N74" s="232">
        <v>1031</v>
      </c>
      <c r="O74" s="90">
        <v>234094</v>
      </c>
      <c r="P74" s="236">
        <v>0</v>
      </c>
      <c r="Q74" s="236">
        <v>0</v>
      </c>
      <c r="R74" s="236">
        <v>56</v>
      </c>
      <c r="S74" s="236">
        <v>0</v>
      </c>
      <c r="T74" s="236">
        <v>0</v>
      </c>
      <c r="U74" s="236">
        <v>0</v>
      </c>
      <c r="V74" s="63">
        <v>234038</v>
      </c>
      <c r="W74" s="217">
        <v>1007</v>
      </c>
      <c r="X74" s="217">
        <v>1076</v>
      </c>
    </row>
    <row r="75" spans="1:24" x14ac:dyDescent="0.25">
      <c r="A75" s="31">
        <v>39034</v>
      </c>
      <c r="B75" s="62">
        <v>3564459.1</v>
      </c>
      <c r="C75" s="236">
        <v>11387</v>
      </c>
      <c r="D75" s="236">
        <v>0</v>
      </c>
      <c r="E75" s="236">
        <v>0</v>
      </c>
      <c r="F75" s="236">
        <v>2567</v>
      </c>
      <c r="G75" s="236">
        <v>0</v>
      </c>
      <c r="H75" s="236">
        <v>0</v>
      </c>
      <c r="I75" s="236">
        <v>0</v>
      </c>
      <c r="J75" s="91">
        <v>3573279.1</v>
      </c>
      <c r="K75" s="217">
        <v>1007</v>
      </c>
      <c r="L75" s="217">
        <v>1058</v>
      </c>
      <c r="M75" s="217"/>
      <c r="N75" s="232">
        <v>1031</v>
      </c>
      <c r="O75" s="90">
        <v>234038</v>
      </c>
      <c r="P75" s="236">
        <v>0</v>
      </c>
      <c r="Q75" s="236">
        <v>0</v>
      </c>
      <c r="R75" s="236">
        <v>66</v>
      </c>
      <c r="S75" s="236">
        <v>0</v>
      </c>
      <c r="T75" s="236">
        <v>0</v>
      </c>
      <c r="U75" s="236">
        <v>0</v>
      </c>
      <c r="V75" s="63">
        <v>233972</v>
      </c>
      <c r="W75" s="217">
        <v>1007</v>
      </c>
      <c r="X75" s="217">
        <v>1076</v>
      </c>
    </row>
    <row r="76" spans="1:24" x14ac:dyDescent="0.25">
      <c r="A76" s="31">
        <v>39035</v>
      </c>
      <c r="B76" s="62">
        <v>3573279.1</v>
      </c>
      <c r="C76" s="236">
        <v>12516</v>
      </c>
      <c r="D76" s="236">
        <v>0</v>
      </c>
      <c r="E76" s="236">
        <v>0</v>
      </c>
      <c r="F76" s="236">
        <v>2359</v>
      </c>
      <c r="G76" s="236">
        <v>0</v>
      </c>
      <c r="H76" s="236">
        <v>0</v>
      </c>
      <c r="I76" s="236">
        <v>0</v>
      </c>
      <c r="J76" s="91">
        <v>3583436.1</v>
      </c>
      <c r="K76" s="217">
        <v>1007</v>
      </c>
      <c r="L76" s="217">
        <v>1058</v>
      </c>
      <c r="M76" s="217"/>
      <c r="N76" s="232">
        <v>1031</v>
      </c>
      <c r="O76" s="90">
        <v>233972</v>
      </c>
      <c r="P76" s="236">
        <v>0</v>
      </c>
      <c r="Q76" s="236">
        <v>0</v>
      </c>
      <c r="R76" s="236">
        <v>50</v>
      </c>
      <c r="S76" s="236">
        <v>0</v>
      </c>
      <c r="T76" s="236">
        <v>0</v>
      </c>
      <c r="U76" s="236">
        <v>0</v>
      </c>
      <c r="V76" s="63">
        <v>233922</v>
      </c>
      <c r="W76" s="217">
        <v>1007</v>
      </c>
      <c r="X76" s="217">
        <v>1076</v>
      </c>
    </row>
    <row r="77" spans="1:24" x14ac:dyDescent="0.25">
      <c r="A77" s="31">
        <v>39036</v>
      </c>
      <c r="B77" s="62">
        <v>3583436.1</v>
      </c>
      <c r="C77" s="236">
        <v>11676</v>
      </c>
      <c r="D77" s="236">
        <v>0</v>
      </c>
      <c r="E77" s="236">
        <v>0</v>
      </c>
      <c r="F77" s="236">
        <v>2320</v>
      </c>
      <c r="G77" s="236">
        <v>0</v>
      </c>
      <c r="H77" s="236">
        <v>0</v>
      </c>
      <c r="I77" s="236">
        <v>0</v>
      </c>
      <c r="J77" s="91">
        <v>3592792.1</v>
      </c>
      <c r="K77" s="217">
        <v>1007</v>
      </c>
      <c r="L77" s="217">
        <v>1058</v>
      </c>
      <c r="M77" s="217"/>
      <c r="N77" s="232">
        <v>1031</v>
      </c>
      <c r="O77" s="90">
        <v>233922</v>
      </c>
      <c r="P77" s="236">
        <v>0</v>
      </c>
      <c r="Q77" s="236">
        <v>0</v>
      </c>
      <c r="R77" s="236">
        <v>51</v>
      </c>
      <c r="S77" s="236">
        <v>0</v>
      </c>
      <c r="T77" s="236">
        <v>0</v>
      </c>
      <c r="U77" s="236">
        <v>0</v>
      </c>
      <c r="V77" s="63">
        <v>233871</v>
      </c>
      <c r="W77" s="217">
        <v>1007</v>
      </c>
      <c r="X77" s="217">
        <v>1076</v>
      </c>
    </row>
    <row r="78" spans="1:24" x14ac:dyDescent="0.25">
      <c r="A78" s="31">
        <v>39037</v>
      </c>
      <c r="B78" s="62">
        <v>3592792.1</v>
      </c>
      <c r="C78" s="236">
        <v>10554</v>
      </c>
      <c r="D78" s="236">
        <v>0</v>
      </c>
      <c r="E78" s="236">
        <v>0</v>
      </c>
      <c r="F78" s="236">
        <v>3604</v>
      </c>
      <c r="G78" s="236">
        <v>0</v>
      </c>
      <c r="H78" s="236">
        <v>0</v>
      </c>
      <c r="I78" s="236">
        <v>0</v>
      </c>
      <c r="J78" s="91">
        <v>3599742.1</v>
      </c>
      <c r="K78" s="217">
        <v>1007</v>
      </c>
      <c r="L78" s="217">
        <v>1058</v>
      </c>
      <c r="M78" s="217"/>
      <c r="N78" s="232">
        <v>1029</v>
      </c>
      <c r="O78" s="90">
        <v>233871</v>
      </c>
      <c r="P78" s="236">
        <v>0</v>
      </c>
      <c r="Q78" s="236">
        <v>0</v>
      </c>
      <c r="R78" s="236">
        <v>52</v>
      </c>
      <c r="S78" s="236">
        <v>0</v>
      </c>
      <c r="T78" s="236">
        <v>0</v>
      </c>
      <c r="U78" s="236">
        <v>0</v>
      </c>
      <c r="V78" s="63">
        <v>233819</v>
      </c>
      <c r="W78" s="217">
        <v>1007</v>
      </c>
      <c r="X78" s="217">
        <v>1076</v>
      </c>
    </row>
    <row r="79" spans="1:24" x14ac:dyDescent="0.25">
      <c r="A79" s="31">
        <v>39038</v>
      </c>
      <c r="B79" s="62">
        <v>3599742.1</v>
      </c>
      <c r="C79" s="236">
        <v>13226</v>
      </c>
      <c r="D79" s="236">
        <v>0</v>
      </c>
      <c r="E79" s="236">
        <v>0</v>
      </c>
      <c r="F79" s="236">
        <v>2533</v>
      </c>
      <c r="G79" s="236">
        <v>0</v>
      </c>
      <c r="H79" s="236">
        <v>0</v>
      </c>
      <c r="I79" s="236">
        <v>0</v>
      </c>
      <c r="J79" s="91">
        <v>3610435.1</v>
      </c>
      <c r="K79" s="217">
        <v>1007</v>
      </c>
      <c r="L79" s="217">
        <v>1058</v>
      </c>
      <c r="M79" s="217"/>
      <c r="N79" s="232">
        <v>1029</v>
      </c>
      <c r="O79" s="90">
        <v>233819</v>
      </c>
      <c r="P79" s="236">
        <v>0</v>
      </c>
      <c r="Q79" s="236">
        <v>0</v>
      </c>
      <c r="R79" s="236">
        <v>124</v>
      </c>
      <c r="S79" s="236">
        <v>0</v>
      </c>
      <c r="T79" s="236">
        <v>0</v>
      </c>
      <c r="U79" s="236">
        <v>0</v>
      </c>
      <c r="V79" s="63">
        <v>233695</v>
      </c>
      <c r="W79" s="217">
        <v>1007</v>
      </c>
      <c r="X79" s="217">
        <v>1076</v>
      </c>
    </row>
    <row r="80" spans="1:24" x14ac:dyDescent="0.25">
      <c r="A80" s="31">
        <v>39039</v>
      </c>
      <c r="B80" s="62">
        <v>3610435.1</v>
      </c>
      <c r="C80" s="236">
        <v>12667</v>
      </c>
      <c r="D80" s="236">
        <v>0</v>
      </c>
      <c r="E80" s="236">
        <v>0</v>
      </c>
      <c r="F80" s="236">
        <v>2509</v>
      </c>
      <c r="G80" s="236">
        <v>0</v>
      </c>
      <c r="H80" s="236">
        <v>0</v>
      </c>
      <c r="I80" s="236">
        <v>0</v>
      </c>
      <c r="J80" s="91">
        <v>3620593.1</v>
      </c>
      <c r="K80" s="217">
        <v>1007</v>
      </c>
      <c r="L80" s="217">
        <v>1058</v>
      </c>
      <c r="M80" s="217"/>
      <c r="N80" s="232">
        <v>1029</v>
      </c>
      <c r="O80" s="90">
        <v>233695</v>
      </c>
      <c r="P80" s="236">
        <v>0</v>
      </c>
      <c r="Q80" s="236">
        <v>0</v>
      </c>
      <c r="R80" s="236">
        <v>54</v>
      </c>
      <c r="S80" s="236">
        <v>0</v>
      </c>
      <c r="T80" s="236">
        <v>0</v>
      </c>
      <c r="U80" s="236">
        <v>0</v>
      </c>
      <c r="V80" s="63">
        <v>233641</v>
      </c>
      <c r="W80" s="217">
        <v>1007</v>
      </c>
      <c r="X80" s="217">
        <v>1076</v>
      </c>
    </row>
    <row r="81" spans="1:24" x14ac:dyDescent="0.25">
      <c r="A81" s="31">
        <v>39040</v>
      </c>
      <c r="B81" s="62">
        <v>3620593.1</v>
      </c>
      <c r="C81" s="236">
        <v>12671</v>
      </c>
      <c r="D81" s="236">
        <v>0</v>
      </c>
      <c r="E81" s="236">
        <v>0</v>
      </c>
      <c r="F81" s="236">
        <v>2511</v>
      </c>
      <c r="G81" s="236">
        <v>0</v>
      </c>
      <c r="H81" s="236">
        <v>0</v>
      </c>
      <c r="I81" s="236">
        <v>0</v>
      </c>
      <c r="J81" s="91">
        <v>3630753.1</v>
      </c>
      <c r="K81" s="217">
        <v>1007</v>
      </c>
      <c r="L81" s="217">
        <v>1058</v>
      </c>
      <c r="M81" s="217"/>
      <c r="N81" s="232">
        <v>1030</v>
      </c>
      <c r="O81" s="90">
        <v>233641</v>
      </c>
      <c r="P81" s="236">
        <v>0</v>
      </c>
      <c r="Q81" s="236">
        <v>0</v>
      </c>
      <c r="R81" s="236">
        <v>52</v>
      </c>
      <c r="S81" s="236">
        <v>0</v>
      </c>
      <c r="T81" s="236">
        <v>0</v>
      </c>
      <c r="U81" s="236">
        <v>0</v>
      </c>
      <c r="V81" s="63">
        <v>233589</v>
      </c>
      <c r="W81" s="217">
        <v>1007</v>
      </c>
      <c r="X81" s="217">
        <v>1076</v>
      </c>
    </row>
    <row r="82" spans="1:24" x14ac:dyDescent="0.25">
      <c r="A82" s="31">
        <v>39041</v>
      </c>
      <c r="B82" s="62">
        <v>3630753.1</v>
      </c>
      <c r="C82" s="236">
        <v>13799</v>
      </c>
      <c r="D82" s="236">
        <v>0</v>
      </c>
      <c r="E82" s="236">
        <v>0</v>
      </c>
      <c r="F82" s="236">
        <v>2572</v>
      </c>
      <c r="G82" s="236">
        <v>0</v>
      </c>
      <c r="H82" s="236">
        <v>0</v>
      </c>
      <c r="I82" s="236">
        <v>0</v>
      </c>
      <c r="J82" s="91">
        <v>3641980.1</v>
      </c>
      <c r="K82" s="217">
        <v>1007</v>
      </c>
      <c r="L82" s="217">
        <v>1058</v>
      </c>
      <c r="M82" s="217"/>
      <c r="N82" s="232">
        <v>1031</v>
      </c>
      <c r="O82" s="90">
        <v>233589</v>
      </c>
      <c r="P82" s="236">
        <v>0</v>
      </c>
      <c r="Q82" s="236">
        <v>0</v>
      </c>
      <c r="R82" s="236">
        <v>54</v>
      </c>
      <c r="S82" s="236">
        <v>0</v>
      </c>
      <c r="T82" s="236">
        <v>0</v>
      </c>
      <c r="U82" s="236">
        <v>0</v>
      </c>
      <c r="V82" s="63">
        <v>233535</v>
      </c>
      <c r="W82" s="217">
        <v>1007</v>
      </c>
      <c r="X82" s="217">
        <v>1076</v>
      </c>
    </row>
    <row r="83" spans="1:24" x14ac:dyDescent="0.25">
      <c r="A83" s="31">
        <v>39042</v>
      </c>
      <c r="B83" s="62">
        <v>3641980.1</v>
      </c>
      <c r="C83" s="236">
        <v>14085</v>
      </c>
      <c r="D83" s="236">
        <v>0</v>
      </c>
      <c r="E83" s="236">
        <v>0</v>
      </c>
      <c r="F83" s="236">
        <v>2589</v>
      </c>
      <c r="G83" s="236">
        <v>0</v>
      </c>
      <c r="H83" s="236">
        <v>0</v>
      </c>
      <c r="I83" s="236">
        <v>0</v>
      </c>
      <c r="J83" s="91">
        <v>3653476.1</v>
      </c>
      <c r="K83" s="217">
        <v>1007</v>
      </c>
      <c r="L83" s="217">
        <v>1058</v>
      </c>
      <c r="M83" s="217"/>
      <c r="N83" s="232">
        <v>1031</v>
      </c>
      <c r="O83" s="90">
        <v>233535</v>
      </c>
      <c r="P83" s="236">
        <v>0</v>
      </c>
      <c r="Q83" s="236">
        <v>0</v>
      </c>
      <c r="R83" s="236">
        <v>117</v>
      </c>
      <c r="S83" s="236">
        <v>0</v>
      </c>
      <c r="T83" s="236">
        <v>0</v>
      </c>
      <c r="U83" s="236">
        <v>0</v>
      </c>
      <c r="V83" s="63">
        <v>233418</v>
      </c>
      <c r="W83" s="217">
        <v>1007</v>
      </c>
      <c r="X83" s="217">
        <v>1076</v>
      </c>
    </row>
    <row r="84" spans="1:24" x14ac:dyDescent="0.25">
      <c r="A84" s="31">
        <v>39043</v>
      </c>
      <c r="B84" s="62">
        <v>3653476.1</v>
      </c>
      <c r="C84" s="236">
        <v>12400</v>
      </c>
      <c r="D84" s="236">
        <v>0</v>
      </c>
      <c r="E84" s="236">
        <v>0</v>
      </c>
      <c r="F84" s="236">
        <v>2507</v>
      </c>
      <c r="G84" s="236">
        <v>0</v>
      </c>
      <c r="H84" s="236">
        <v>0</v>
      </c>
      <c r="I84" s="236">
        <v>0</v>
      </c>
      <c r="J84" s="91">
        <v>3663369.1</v>
      </c>
      <c r="K84" s="217">
        <v>1007</v>
      </c>
      <c r="L84" s="217">
        <v>1058</v>
      </c>
      <c r="M84" s="217"/>
      <c r="N84" s="232">
        <v>1032</v>
      </c>
      <c r="O84" s="90">
        <v>233418</v>
      </c>
      <c r="P84" s="236">
        <v>0</v>
      </c>
      <c r="Q84" s="236">
        <v>0</v>
      </c>
      <c r="R84" s="236">
        <v>53</v>
      </c>
      <c r="S84" s="236">
        <v>0</v>
      </c>
      <c r="T84" s="236">
        <v>0</v>
      </c>
      <c r="U84" s="236">
        <v>0</v>
      </c>
      <c r="V84" s="63">
        <v>233365</v>
      </c>
      <c r="W84" s="217">
        <v>1007</v>
      </c>
      <c r="X84" s="217">
        <v>1076</v>
      </c>
    </row>
    <row r="85" spans="1:24" x14ac:dyDescent="0.25">
      <c r="A85" s="31">
        <v>39044</v>
      </c>
      <c r="B85" s="62">
        <v>3663369.1</v>
      </c>
      <c r="C85" s="236">
        <v>9870</v>
      </c>
      <c r="D85" s="236">
        <v>0</v>
      </c>
      <c r="E85" s="236">
        <v>0</v>
      </c>
      <c r="F85" s="236">
        <v>2384</v>
      </c>
      <c r="G85" s="236">
        <v>0</v>
      </c>
      <c r="H85" s="236">
        <v>0</v>
      </c>
      <c r="I85" s="236">
        <v>0</v>
      </c>
      <c r="J85" s="91">
        <v>3670855.1</v>
      </c>
      <c r="K85" s="217">
        <v>1007</v>
      </c>
      <c r="L85" s="217">
        <v>1058</v>
      </c>
      <c r="M85" s="217"/>
      <c r="N85" s="232">
        <v>1032</v>
      </c>
      <c r="O85" s="90">
        <v>233365</v>
      </c>
      <c r="P85" s="236">
        <v>0</v>
      </c>
      <c r="Q85" s="236">
        <v>0</v>
      </c>
      <c r="R85" s="236">
        <v>56</v>
      </c>
      <c r="S85" s="236">
        <v>0</v>
      </c>
      <c r="T85" s="236">
        <v>0</v>
      </c>
      <c r="U85" s="236">
        <v>0</v>
      </c>
      <c r="V85" s="63">
        <v>233309</v>
      </c>
      <c r="W85" s="217">
        <v>1007</v>
      </c>
      <c r="X85" s="217">
        <v>1076</v>
      </c>
    </row>
    <row r="86" spans="1:24" x14ac:dyDescent="0.25">
      <c r="A86" s="31">
        <v>39045</v>
      </c>
      <c r="B86" s="62">
        <v>3670855.1</v>
      </c>
      <c r="C86" s="236">
        <v>12968</v>
      </c>
      <c r="D86" s="236">
        <v>0</v>
      </c>
      <c r="E86" s="236">
        <v>0</v>
      </c>
      <c r="F86" s="236">
        <v>2543</v>
      </c>
      <c r="G86" s="236">
        <v>0</v>
      </c>
      <c r="H86" s="236">
        <v>0</v>
      </c>
      <c r="I86" s="236">
        <v>0</v>
      </c>
      <c r="J86" s="91">
        <v>3681280.1</v>
      </c>
      <c r="K86" s="217">
        <v>1007</v>
      </c>
      <c r="L86" s="217">
        <v>1058</v>
      </c>
      <c r="M86" s="217"/>
      <c r="N86" s="232">
        <v>1032</v>
      </c>
      <c r="O86" s="90">
        <v>233309</v>
      </c>
      <c r="P86" s="236">
        <v>0</v>
      </c>
      <c r="Q86" s="236">
        <v>0</v>
      </c>
      <c r="R86" s="236">
        <v>58</v>
      </c>
      <c r="S86" s="236">
        <v>0</v>
      </c>
      <c r="T86" s="236">
        <v>0</v>
      </c>
      <c r="U86" s="236">
        <v>0</v>
      </c>
      <c r="V86" s="63">
        <v>233251</v>
      </c>
      <c r="W86" s="217">
        <v>1007</v>
      </c>
      <c r="X86" s="217">
        <v>1076</v>
      </c>
    </row>
    <row r="87" spans="1:24" x14ac:dyDescent="0.25">
      <c r="A87" s="31">
        <v>39046</v>
      </c>
      <c r="B87" s="62">
        <v>3681280.1</v>
      </c>
      <c r="C87" s="236">
        <v>12972</v>
      </c>
      <c r="D87" s="236">
        <v>0</v>
      </c>
      <c r="E87" s="236">
        <v>0</v>
      </c>
      <c r="F87" s="236">
        <v>2545</v>
      </c>
      <c r="G87" s="236">
        <v>0</v>
      </c>
      <c r="H87" s="236">
        <v>0</v>
      </c>
      <c r="I87" s="236">
        <v>0</v>
      </c>
      <c r="J87" s="91">
        <v>3691707.1</v>
      </c>
      <c r="K87" s="217">
        <v>1007</v>
      </c>
      <c r="L87" s="217">
        <v>1058</v>
      </c>
      <c r="M87" s="217"/>
      <c r="N87" s="232">
        <v>1032</v>
      </c>
      <c r="O87" s="90">
        <v>233251</v>
      </c>
      <c r="P87" s="236">
        <v>0</v>
      </c>
      <c r="Q87" s="236">
        <v>0</v>
      </c>
      <c r="R87" s="236">
        <v>111</v>
      </c>
      <c r="S87" s="236">
        <v>0</v>
      </c>
      <c r="T87" s="236">
        <v>0</v>
      </c>
      <c r="U87" s="236">
        <v>0</v>
      </c>
      <c r="V87" s="63">
        <v>233140</v>
      </c>
      <c r="W87" s="217">
        <v>1007</v>
      </c>
      <c r="X87" s="217">
        <v>1076</v>
      </c>
    </row>
    <row r="88" spans="1:24" x14ac:dyDescent="0.25">
      <c r="A88" s="31">
        <v>39047</v>
      </c>
      <c r="B88" s="62">
        <v>3691707.1</v>
      </c>
      <c r="C88" s="236">
        <v>12976</v>
      </c>
      <c r="D88" s="236">
        <v>0</v>
      </c>
      <c r="E88" s="236">
        <v>0</v>
      </c>
      <c r="F88" s="236">
        <v>2549</v>
      </c>
      <c r="G88" s="236">
        <v>0</v>
      </c>
      <c r="H88" s="236">
        <v>0</v>
      </c>
      <c r="I88" s="236">
        <v>0</v>
      </c>
      <c r="J88" s="91">
        <v>3702134.1</v>
      </c>
      <c r="K88" s="217">
        <v>1007</v>
      </c>
      <c r="L88" s="217">
        <v>1058</v>
      </c>
      <c r="M88" s="217"/>
      <c r="N88" s="232">
        <v>1031</v>
      </c>
      <c r="O88" s="90">
        <v>233140</v>
      </c>
      <c r="P88" s="236">
        <v>0</v>
      </c>
      <c r="Q88" s="236">
        <v>0</v>
      </c>
      <c r="R88" s="236">
        <v>56</v>
      </c>
      <c r="S88" s="236">
        <v>0</v>
      </c>
      <c r="T88" s="236">
        <v>0</v>
      </c>
      <c r="U88" s="236">
        <v>0</v>
      </c>
      <c r="V88" s="63">
        <v>233084</v>
      </c>
      <c r="W88" s="217">
        <v>1007</v>
      </c>
      <c r="X88" s="217">
        <v>1076</v>
      </c>
    </row>
    <row r="89" spans="1:24" x14ac:dyDescent="0.25">
      <c r="A89" s="31">
        <v>39048</v>
      </c>
      <c r="B89" s="62">
        <v>3702134.1</v>
      </c>
      <c r="C89" s="236">
        <v>12134</v>
      </c>
      <c r="D89" s="236">
        <v>0</v>
      </c>
      <c r="E89" s="236">
        <v>0</v>
      </c>
      <c r="F89" s="236">
        <v>2509</v>
      </c>
      <c r="G89" s="236">
        <v>0</v>
      </c>
      <c r="H89" s="236">
        <v>0</v>
      </c>
      <c r="I89" s="236">
        <v>0</v>
      </c>
      <c r="J89" s="91">
        <v>3711759.1</v>
      </c>
      <c r="K89" s="217">
        <v>1007</v>
      </c>
      <c r="L89" s="217">
        <v>1058</v>
      </c>
      <c r="M89" s="217"/>
      <c r="N89" s="232">
        <v>1029</v>
      </c>
      <c r="O89" s="90">
        <v>233084</v>
      </c>
      <c r="P89" s="236">
        <v>0</v>
      </c>
      <c r="Q89" s="236">
        <v>0</v>
      </c>
      <c r="R89" s="236">
        <v>57</v>
      </c>
      <c r="S89" s="236">
        <v>0</v>
      </c>
      <c r="T89" s="236">
        <v>0</v>
      </c>
      <c r="U89" s="236">
        <v>0</v>
      </c>
      <c r="V89" s="63">
        <v>233027</v>
      </c>
      <c r="W89" s="217">
        <v>1007</v>
      </c>
      <c r="X89" s="217">
        <v>1076</v>
      </c>
    </row>
    <row r="90" spans="1:24" x14ac:dyDescent="0.25">
      <c r="A90" s="31">
        <v>39049</v>
      </c>
      <c r="B90" s="62">
        <v>3711759.1</v>
      </c>
      <c r="C90" s="236">
        <v>12419</v>
      </c>
      <c r="D90" s="236">
        <v>0</v>
      </c>
      <c r="E90" s="236">
        <v>0</v>
      </c>
      <c r="F90" s="236">
        <v>2526</v>
      </c>
      <c r="G90" s="236">
        <v>0</v>
      </c>
      <c r="H90" s="236">
        <v>0</v>
      </c>
      <c r="I90" s="236">
        <v>0</v>
      </c>
      <c r="J90" s="91">
        <v>3721652.1</v>
      </c>
      <c r="K90" s="217">
        <v>1007</v>
      </c>
      <c r="L90" s="217">
        <v>1058</v>
      </c>
      <c r="M90" s="217"/>
      <c r="N90" s="232">
        <v>1028</v>
      </c>
      <c r="O90" s="90">
        <v>233027</v>
      </c>
      <c r="P90" s="236">
        <v>0</v>
      </c>
      <c r="Q90" s="236">
        <v>0</v>
      </c>
      <c r="R90" s="236">
        <v>58</v>
      </c>
      <c r="S90" s="236">
        <v>0</v>
      </c>
      <c r="T90" s="236">
        <v>0</v>
      </c>
      <c r="U90" s="236">
        <v>0</v>
      </c>
      <c r="V90" s="63">
        <v>232969</v>
      </c>
      <c r="W90" s="217">
        <v>1007</v>
      </c>
      <c r="X90" s="217">
        <v>1076</v>
      </c>
    </row>
    <row r="91" spans="1:24" x14ac:dyDescent="0.25">
      <c r="A91" s="31">
        <v>39050</v>
      </c>
      <c r="B91" s="62">
        <v>3721652.1</v>
      </c>
      <c r="C91" s="236">
        <v>11859</v>
      </c>
      <c r="D91" s="236">
        <v>0</v>
      </c>
      <c r="E91" s="236">
        <v>0</v>
      </c>
      <c r="F91" s="236">
        <v>2501</v>
      </c>
      <c r="G91" s="236">
        <v>0</v>
      </c>
      <c r="H91" s="236">
        <v>0</v>
      </c>
      <c r="I91" s="236">
        <v>0</v>
      </c>
      <c r="J91" s="91">
        <v>3731010.1</v>
      </c>
      <c r="K91" s="217">
        <v>1007</v>
      </c>
      <c r="L91" s="217">
        <v>1058</v>
      </c>
      <c r="M91" s="217"/>
      <c r="N91" s="232">
        <v>1029</v>
      </c>
      <c r="O91" s="90">
        <v>232969</v>
      </c>
      <c r="P91" s="236">
        <v>0</v>
      </c>
      <c r="Q91" s="236">
        <v>0</v>
      </c>
      <c r="R91" s="236">
        <v>106</v>
      </c>
      <c r="S91" s="236">
        <v>0</v>
      </c>
      <c r="T91" s="236">
        <v>0</v>
      </c>
      <c r="U91" s="236">
        <v>0</v>
      </c>
      <c r="V91" s="63">
        <v>232863</v>
      </c>
      <c r="W91" s="217">
        <v>1007</v>
      </c>
      <c r="X91" s="217">
        <v>1076</v>
      </c>
    </row>
    <row r="92" spans="1:24" x14ac:dyDescent="0.25">
      <c r="A92" s="31">
        <v>39051</v>
      </c>
      <c r="B92" s="62">
        <v>3731010.1</v>
      </c>
      <c r="C92" s="236">
        <v>9328</v>
      </c>
      <c r="D92" s="236">
        <v>0</v>
      </c>
      <c r="E92" s="236">
        <v>0</v>
      </c>
      <c r="F92" s="236">
        <v>2376</v>
      </c>
      <c r="G92" s="236">
        <v>0</v>
      </c>
      <c r="H92" s="236">
        <v>0</v>
      </c>
      <c r="I92" s="236">
        <v>0</v>
      </c>
      <c r="J92" s="91">
        <v>3737962.1</v>
      </c>
      <c r="K92" s="217">
        <v>1007</v>
      </c>
      <c r="L92" s="217">
        <v>1058</v>
      </c>
      <c r="M92" s="217"/>
      <c r="N92" s="232">
        <v>1029</v>
      </c>
      <c r="O92" s="90">
        <v>232863</v>
      </c>
      <c r="P92" s="236">
        <v>0</v>
      </c>
      <c r="Q92" s="236">
        <v>0</v>
      </c>
      <c r="R92" s="236">
        <v>58</v>
      </c>
      <c r="S92" s="236">
        <v>0</v>
      </c>
      <c r="T92" s="236">
        <v>0</v>
      </c>
      <c r="U92" s="236">
        <v>0</v>
      </c>
      <c r="V92" s="63">
        <v>232805</v>
      </c>
      <c r="W92" s="217">
        <v>1007</v>
      </c>
      <c r="X92" s="217">
        <v>1076</v>
      </c>
    </row>
    <row r="93" spans="1:24" x14ac:dyDescent="0.25">
      <c r="A93" s="31">
        <v>39052</v>
      </c>
      <c r="B93" s="62">
        <v>3737962.1</v>
      </c>
      <c r="C93" s="236">
        <v>9612</v>
      </c>
      <c r="D93" s="236">
        <v>0</v>
      </c>
      <c r="E93" s="236">
        <v>0</v>
      </c>
      <c r="F93" s="236">
        <v>2392</v>
      </c>
      <c r="G93" s="236">
        <v>0</v>
      </c>
      <c r="H93" s="236">
        <v>0</v>
      </c>
      <c r="I93" s="236">
        <v>0</v>
      </c>
      <c r="J93" s="91">
        <v>3745182.1</v>
      </c>
      <c r="K93" s="217">
        <v>1007</v>
      </c>
      <c r="L93" s="217">
        <v>1058</v>
      </c>
      <c r="M93" s="217"/>
      <c r="N93" s="232">
        <v>1028</v>
      </c>
      <c r="O93" s="90">
        <v>232805</v>
      </c>
      <c r="P93" s="236">
        <v>0</v>
      </c>
      <c r="Q93" s="236">
        <v>0</v>
      </c>
      <c r="R93" s="236">
        <v>219</v>
      </c>
      <c r="S93" s="236">
        <v>0</v>
      </c>
      <c r="T93" s="236">
        <v>0</v>
      </c>
      <c r="U93" s="236">
        <v>0</v>
      </c>
      <c r="V93" s="63">
        <v>232586</v>
      </c>
      <c r="W93" s="217">
        <v>1007</v>
      </c>
      <c r="X93" s="217">
        <v>1049</v>
      </c>
    </row>
    <row r="94" spans="1:24" x14ac:dyDescent="0.25">
      <c r="A94" s="31">
        <v>39053</v>
      </c>
      <c r="B94" s="62">
        <v>3745182.1</v>
      </c>
      <c r="C94" s="236">
        <v>13838</v>
      </c>
      <c r="D94" s="236">
        <v>0</v>
      </c>
      <c r="E94" s="236">
        <v>0</v>
      </c>
      <c r="F94" s="236">
        <v>2607</v>
      </c>
      <c r="G94" s="236">
        <v>0</v>
      </c>
      <c r="H94" s="236">
        <v>0</v>
      </c>
      <c r="I94" s="236">
        <v>0</v>
      </c>
      <c r="J94" s="91">
        <v>3756413.1</v>
      </c>
      <c r="K94" s="217">
        <v>1007</v>
      </c>
      <c r="L94" s="217">
        <v>1058</v>
      </c>
      <c r="M94" s="217"/>
      <c r="N94" s="232">
        <v>1030</v>
      </c>
      <c r="O94" s="90">
        <v>232586</v>
      </c>
      <c r="P94" s="236">
        <v>0</v>
      </c>
      <c r="Q94" s="236">
        <v>0</v>
      </c>
      <c r="R94" s="236">
        <v>58</v>
      </c>
      <c r="S94" s="236">
        <v>0</v>
      </c>
      <c r="T94" s="236">
        <v>0</v>
      </c>
      <c r="U94" s="236">
        <v>0</v>
      </c>
      <c r="V94" s="63">
        <v>232528</v>
      </c>
      <c r="W94" s="217">
        <v>1007</v>
      </c>
      <c r="X94" s="217">
        <v>1049</v>
      </c>
    </row>
    <row r="95" spans="1:24" x14ac:dyDescent="0.25">
      <c r="A95" s="31">
        <v>39054</v>
      </c>
      <c r="B95" s="62">
        <v>3756413.1</v>
      </c>
      <c r="C95" s="236">
        <v>12434</v>
      </c>
      <c r="D95" s="236">
        <v>0</v>
      </c>
      <c r="E95" s="236">
        <v>0</v>
      </c>
      <c r="F95" s="236">
        <v>2541</v>
      </c>
      <c r="G95" s="236">
        <v>0</v>
      </c>
      <c r="H95" s="236">
        <v>0</v>
      </c>
      <c r="I95" s="236">
        <v>0</v>
      </c>
      <c r="J95" s="91">
        <v>3766306.1</v>
      </c>
      <c r="K95" s="217">
        <v>1007</v>
      </c>
      <c r="L95" s="217">
        <v>1058</v>
      </c>
      <c r="M95" s="217"/>
      <c r="N95" s="232">
        <v>1029</v>
      </c>
      <c r="O95" s="90">
        <v>232528</v>
      </c>
      <c r="P95" s="236">
        <v>0</v>
      </c>
      <c r="Q95" s="236">
        <v>0</v>
      </c>
      <c r="R95" s="236">
        <v>220</v>
      </c>
      <c r="S95" s="236">
        <v>0</v>
      </c>
      <c r="T95" s="236">
        <v>0</v>
      </c>
      <c r="U95" s="236">
        <v>0</v>
      </c>
      <c r="V95" s="63">
        <v>232308</v>
      </c>
      <c r="W95" s="217">
        <v>1007</v>
      </c>
      <c r="X95" s="217">
        <v>1049</v>
      </c>
    </row>
    <row r="96" spans="1:24" x14ac:dyDescent="0.25">
      <c r="A96" s="31">
        <v>39055</v>
      </c>
      <c r="B96" s="62">
        <v>3766306.1</v>
      </c>
      <c r="C96" s="236">
        <v>0</v>
      </c>
      <c r="D96" s="236">
        <v>0</v>
      </c>
      <c r="E96" s="236">
        <v>0</v>
      </c>
      <c r="F96" s="236">
        <v>534</v>
      </c>
      <c r="G96" s="236">
        <v>0</v>
      </c>
      <c r="H96" s="236">
        <v>0</v>
      </c>
      <c r="I96" s="236">
        <v>0</v>
      </c>
      <c r="J96" s="91">
        <v>3765772.1</v>
      </c>
      <c r="K96" s="217">
        <v>1007</v>
      </c>
      <c r="L96" s="217">
        <v>1058</v>
      </c>
      <c r="M96" s="217"/>
      <c r="N96" s="232">
        <v>1031</v>
      </c>
      <c r="O96" s="90">
        <v>232308</v>
      </c>
      <c r="P96" s="236">
        <v>0</v>
      </c>
      <c r="Q96" s="236">
        <v>0</v>
      </c>
      <c r="R96" s="236">
        <v>277</v>
      </c>
      <c r="S96" s="236">
        <v>0</v>
      </c>
      <c r="T96" s="236">
        <v>0</v>
      </c>
      <c r="U96" s="236">
        <v>0</v>
      </c>
      <c r="V96" s="63">
        <v>232031</v>
      </c>
      <c r="W96" s="217">
        <v>1007</v>
      </c>
      <c r="X96" s="217">
        <v>1049</v>
      </c>
    </row>
    <row r="97" spans="1:24" x14ac:dyDescent="0.25">
      <c r="A97" s="31">
        <v>39056</v>
      </c>
      <c r="B97" s="62">
        <v>3765772.1</v>
      </c>
      <c r="C97" s="236">
        <v>0</v>
      </c>
      <c r="D97" s="236">
        <v>0</v>
      </c>
      <c r="E97" s="236">
        <v>0</v>
      </c>
      <c r="F97" s="236">
        <v>2141</v>
      </c>
      <c r="G97" s="236">
        <v>0</v>
      </c>
      <c r="H97" s="236">
        <v>0</v>
      </c>
      <c r="I97" s="236">
        <v>0</v>
      </c>
      <c r="J97" s="91">
        <v>3763631.1</v>
      </c>
      <c r="K97" s="217">
        <v>1007</v>
      </c>
      <c r="L97" s="217">
        <v>1058</v>
      </c>
      <c r="M97" s="217"/>
      <c r="N97" s="232">
        <v>1033</v>
      </c>
      <c r="O97" s="90">
        <v>232031</v>
      </c>
      <c r="P97" s="236">
        <v>0</v>
      </c>
      <c r="Q97" s="236">
        <v>0</v>
      </c>
      <c r="R97" s="236">
        <v>50</v>
      </c>
      <c r="S97" s="236">
        <v>1350</v>
      </c>
      <c r="T97" s="236">
        <v>0</v>
      </c>
      <c r="U97" s="236">
        <v>0</v>
      </c>
      <c r="V97" s="63">
        <v>230631</v>
      </c>
      <c r="W97" s="217">
        <v>1007</v>
      </c>
      <c r="X97" s="217">
        <v>1039</v>
      </c>
    </row>
    <row r="98" spans="1:24" x14ac:dyDescent="0.25">
      <c r="A98" s="31">
        <v>39057</v>
      </c>
      <c r="B98" s="62">
        <v>3763631.1</v>
      </c>
      <c r="C98" s="236">
        <v>0</v>
      </c>
      <c r="D98" s="236">
        <v>0</v>
      </c>
      <c r="E98" s="236">
        <v>0</v>
      </c>
      <c r="F98" s="236">
        <v>5615</v>
      </c>
      <c r="G98" s="236">
        <v>0</v>
      </c>
      <c r="H98" s="236">
        <v>0</v>
      </c>
      <c r="I98" s="236">
        <v>0</v>
      </c>
      <c r="J98" s="91">
        <v>3758016.1</v>
      </c>
      <c r="K98" s="217">
        <v>1007</v>
      </c>
      <c r="L98" s="217">
        <v>1058</v>
      </c>
      <c r="M98" s="217"/>
      <c r="N98" s="232">
        <v>1033</v>
      </c>
      <c r="O98" s="90">
        <v>230631</v>
      </c>
      <c r="P98" s="236">
        <v>0</v>
      </c>
      <c r="Q98" s="236">
        <v>0</v>
      </c>
      <c r="R98" s="236">
        <v>264</v>
      </c>
      <c r="S98" s="236">
        <v>0</v>
      </c>
      <c r="T98" s="236">
        <v>0</v>
      </c>
      <c r="U98" s="236">
        <v>0</v>
      </c>
      <c r="V98" s="63">
        <v>230367</v>
      </c>
      <c r="W98" s="217">
        <v>1007</v>
      </c>
      <c r="X98" s="217">
        <v>1049</v>
      </c>
    </row>
    <row r="99" spans="1:24" x14ac:dyDescent="0.25">
      <c r="A99" s="31">
        <v>39058</v>
      </c>
      <c r="B99" s="62">
        <v>3758016.1</v>
      </c>
      <c r="C99" s="236">
        <v>0</v>
      </c>
      <c r="D99" s="236">
        <v>0</v>
      </c>
      <c r="E99" s="236">
        <v>0</v>
      </c>
      <c r="F99" s="236">
        <v>3977</v>
      </c>
      <c r="G99" s="236">
        <v>569</v>
      </c>
      <c r="H99" s="236">
        <v>0</v>
      </c>
      <c r="I99" s="236">
        <v>0</v>
      </c>
      <c r="J99" s="91">
        <v>3753470.1</v>
      </c>
      <c r="K99" s="217">
        <v>1007</v>
      </c>
      <c r="L99" s="217">
        <v>1058</v>
      </c>
      <c r="M99" s="217"/>
      <c r="N99" s="232">
        <v>1031</v>
      </c>
      <c r="O99" s="90">
        <v>230367</v>
      </c>
      <c r="P99" s="236">
        <v>0</v>
      </c>
      <c r="Q99" s="236">
        <v>0</v>
      </c>
      <c r="R99" s="236">
        <v>277</v>
      </c>
      <c r="S99" s="236">
        <v>0</v>
      </c>
      <c r="T99" s="236">
        <v>0</v>
      </c>
      <c r="U99" s="236">
        <v>0</v>
      </c>
      <c r="V99" s="63">
        <v>230090</v>
      </c>
      <c r="W99" s="217">
        <v>1007</v>
      </c>
      <c r="X99" s="217">
        <v>1049</v>
      </c>
    </row>
    <row r="100" spans="1:24" x14ac:dyDescent="0.25">
      <c r="A100" s="31">
        <v>39059</v>
      </c>
      <c r="B100" s="62">
        <v>3753470.1</v>
      </c>
      <c r="C100" s="236">
        <v>0</v>
      </c>
      <c r="D100" s="236">
        <v>0</v>
      </c>
      <c r="E100" s="236">
        <v>0</v>
      </c>
      <c r="F100" s="236">
        <v>2108</v>
      </c>
      <c r="G100" s="236">
        <v>5379</v>
      </c>
      <c r="H100" s="236">
        <v>0</v>
      </c>
      <c r="I100" s="236">
        <v>0</v>
      </c>
      <c r="J100" s="91">
        <v>3745983.1</v>
      </c>
      <c r="K100" s="217">
        <v>1007</v>
      </c>
      <c r="L100" s="217">
        <v>1058</v>
      </c>
      <c r="M100" s="217"/>
      <c r="N100" s="232">
        <v>1034</v>
      </c>
      <c r="O100" s="90">
        <v>230090</v>
      </c>
      <c r="P100" s="236">
        <v>0</v>
      </c>
      <c r="Q100" s="236">
        <v>0</v>
      </c>
      <c r="R100" s="236">
        <v>101</v>
      </c>
      <c r="S100" s="236">
        <v>1286</v>
      </c>
      <c r="T100" s="236">
        <v>0</v>
      </c>
      <c r="U100" s="236">
        <v>0</v>
      </c>
      <c r="V100" s="63">
        <v>228703</v>
      </c>
      <c r="W100" s="217">
        <v>1007</v>
      </c>
      <c r="X100" s="217">
        <v>1049</v>
      </c>
    </row>
    <row r="101" spans="1:24" x14ac:dyDescent="0.25">
      <c r="A101" s="31">
        <v>39060</v>
      </c>
      <c r="B101" s="62">
        <v>3745983.1</v>
      </c>
      <c r="C101" s="236">
        <v>0</v>
      </c>
      <c r="D101" s="236">
        <v>0</v>
      </c>
      <c r="E101" s="236">
        <v>0</v>
      </c>
      <c r="F101" s="236">
        <v>2140</v>
      </c>
      <c r="G101" s="236">
        <v>0</v>
      </c>
      <c r="H101" s="236">
        <v>0</v>
      </c>
      <c r="I101" s="236">
        <v>0</v>
      </c>
      <c r="J101" s="91">
        <v>3743843.1</v>
      </c>
      <c r="K101" s="217">
        <v>1007</v>
      </c>
      <c r="L101" s="217">
        <v>1058</v>
      </c>
      <c r="M101" s="217"/>
      <c r="N101" s="232">
        <v>1034</v>
      </c>
      <c r="O101" s="90">
        <v>228703</v>
      </c>
      <c r="P101" s="236">
        <v>0</v>
      </c>
      <c r="Q101" s="236">
        <v>0</v>
      </c>
      <c r="R101" s="236">
        <v>174</v>
      </c>
      <c r="S101" s="236">
        <v>2598</v>
      </c>
      <c r="T101" s="236">
        <v>0</v>
      </c>
      <c r="U101" s="236">
        <v>0</v>
      </c>
      <c r="V101" s="63">
        <v>225931</v>
      </c>
      <c r="W101" s="217">
        <v>1007</v>
      </c>
      <c r="X101" s="217">
        <v>1049</v>
      </c>
    </row>
    <row r="102" spans="1:24" x14ac:dyDescent="0.25">
      <c r="A102" s="31">
        <v>39061</v>
      </c>
      <c r="B102" s="62">
        <v>3743843.1</v>
      </c>
      <c r="C102" s="236">
        <v>0</v>
      </c>
      <c r="D102" s="236">
        <v>0</v>
      </c>
      <c r="E102" s="236">
        <v>0</v>
      </c>
      <c r="F102" s="236">
        <v>3209</v>
      </c>
      <c r="G102" s="236">
        <v>0</v>
      </c>
      <c r="H102" s="236">
        <v>0</v>
      </c>
      <c r="I102" s="236">
        <v>0</v>
      </c>
      <c r="J102" s="91">
        <v>3740634.1</v>
      </c>
      <c r="K102" s="217">
        <v>1007</v>
      </c>
      <c r="L102" s="217">
        <v>1058</v>
      </c>
      <c r="M102" s="217"/>
      <c r="N102" s="232">
        <v>1032</v>
      </c>
      <c r="O102" s="90">
        <v>225931</v>
      </c>
      <c r="P102" s="236">
        <v>0</v>
      </c>
      <c r="Q102" s="236">
        <v>0</v>
      </c>
      <c r="R102" s="236">
        <v>276</v>
      </c>
      <c r="S102" s="236">
        <v>0</v>
      </c>
      <c r="T102" s="236">
        <v>0</v>
      </c>
      <c r="U102" s="236">
        <v>0</v>
      </c>
      <c r="V102" s="63">
        <v>225655</v>
      </c>
      <c r="W102" s="217">
        <v>1007</v>
      </c>
      <c r="X102" s="217">
        <v>1049</v>
      </c>
    </row>
    <row r="103" spans="1:24" x14ac:dyDescent="0.25">
      <c r="A103" s="31">
        <v>39062</v>
      </c>
      <c r="B103" s="62">
        <v>3740634.1</v>
      </c>
      <c r="C103" s="236">
        <v>0</v>
      </c>
      <c r="D103" s="236">
        <v>0</v>
      </c>
      <c r="E103" s="236">
        <v>0</v>
      </c>
      <c r="F103" s="236">
        <v>1604</v>
      </c>
      <c r="G103" s="236">
        <v>0</v>
      </c>
      <c r="H103" s="236">
        <v>0</v>
      </c>
      <c r="I103" s="236">
        <v>0</v>
      </c>
      <c r="J103" s="91">
        <v>3739030.1</v>
      </c>
      <c r="K103" s="217">
        <v>1007</v>
      </c>
      <c r="L103" s="217">
        <v>1058</v>
      </c>
      <c r="M103" s="217"/>
      <c r="N103" s="232">
        <v>1032</v>
      </c>
      <c r="O103" s="90">
        <v>225655</v>
      </c>
      <c r="P103" s="236">
        <v>0</v>
      </c>
      <c r="Q103" s="236">
        <v>0</v>
      </c>
      <c r="R103" s="236">
        <v>57</v>
      </c>
      <c r="S103" s="236">
        <v>0</v>
      </c>
      <c r="T103" s="236">
        <v>0</v>
      </c>
      <c r="U103" s="236">
        <v>0</v>
      </c>
      <c r="V103" s="63">
        <v>225598</v>
      </c>
      <c r="W103" s="217">
        <v>1007</v>
      </c>
      <c r="X103" s="217">
        <v>1049</v>
      </c>
    </row>
    <row r="104" spans="1:24" x14ac:dyDescent="0.25">
      <c r="A104" s="31">
        <v>39063</v>
      </c>
      <c r="B104" s="62">
        <v>3739030.1</v>
      </c>
      <c r="C104" s="236">
        <v>0</v>
      </c>
      <c r="D104" s="236">
        <v>0</v>
      </c>
      <c r="E104" s="236">
        <v>0</v>
      </c>
      <c r="F104" s="236">
        <v>2407</v>
      </c>
      <c r="G104" s="236">
        <v>0</v>
      </c>
      <c r="H104" s="236">
        <v>0</v>
      </c>
      <c r="I104" s="236">
        <v>0</v>
      </c>
      <c r="J104" s="91">
        <v>3736623.1</v>
      </c>
      <c r="K104" s="217">
        <v>1007</v>
      </c>
      <c r="L104" s="217">
        <v>1058</v>
      </c>
      <c r="M104" s="217"/>
      <c r="N104" s="232">
        <v>1033</v>
      </c>
      <c r="O104" s="90">
        <v>225598</v>
      </c>
      <c r="P104" s="236">
        <v>0</v>
      </c>
      <c r="Q104" s="236">
        <v>0</v>
      </c>
      <c r="R104" s="236">
        <v>220</v>
      </c>
      <c r="S104" s="236">
        <v>0</v>
      </c>
      <c r="T104" s="236">
        <v>0</v>
      </c>
      <c r="U104" s="236">
        <v>0</v>
      </c>
      <c r="V104" s="63">
        <v>225378</v>
      </c>
      <c r="W104" s="217">
        <v>1007</v>
      </c>
      <c r="X104" s="217">
        <v>1049</v>
      </c>
    </row>
    <row r="105" spans="1:24" x14ac:dyDescent="0.25">
      <c r="A105" s="31">
        <v>39064</v>
      </c>
      <c r="B105" s="62">
        <v>3736623.1</v>
      </c>
      <c r="C105" s="236">
        <v>0</v>
      </c>
      <c r="D105" s="236">
        <v>0</v>
      </c>
      <c r="E105" s="236">
        <v>0</v>
      </c>
      <c r="F105" s="236">
        <v>2942</v>
      </c>
      <c r="G105" s="236">
        <v>0</v>
      </c>
      <c r="H105" s="236">
        <v>0</v>
      </c>
      <c r="I105" s="236">
        <v>0</v>
      </c>
      <c r="J105" s="91">
        <v>3733681.1</v>
      </c>
      <c r="K105" s="217">
        <v>1007</v>
      </c>
      <c r="L105" s="217">
        <v>1058</v>
      </c>
      <c r="M105" s="217"/>
      <c r="N105" s="232">
        <v>1032</v>
      </c>
      <c r="O105" s="90">
        <v>225378</v>
      </c>
      <c r="P105" s="236">
        <v>0</v>
      </c>
      <c r="Q105" s="236">
        <v>0</v>
      </c>
      <c r="R105" s="236">
        <v>0</v>
      </c>
      <c r="S105" s="236">
        <v>0</v>
      </c>
      <c r="T105" s="236">
        <v>0</v>
      </c>
      <c r="U105" s="236">
        <v>0</v>
      </c>
      <c r="V105" s="63">
        <v>225378</v>
      </c>
      <c r="W105" s="217">
        <v>1007</v>
      </c>
      <c r="X105" s="217">
        <v>1049</v>
      </c>
    </row>
    <row r="106" spans="1:24" x14ac:dyDescent="0.25">
      <c r="A106" s="31">
        <v>39065</v>
      </c>
      <c r="B106" s="62">
        <v>3733681.1</v>
      </c>
      <c r="C106" s="236">
        <v>0</v>
      </c>
      <c r="D106" s="236">
        <v>0</v>
      </c>
      <c r="E106" s="236">
        <v>0</v>
      </c>
      <c r="F106" s="236">
        <v>4546</v>
      </c>
      <c r="G106" s="236">
        <v>0</v>
      </c>
      <c r="H106" s="236">
        <v>0</v>
      </c>
      <c r="I106" s="236">
        <v>0</v>
      </c>
      <c r="J106" s="91">
        <v>3729135.1</v>
      </c>
      <c r="K106" s="217">
        <v>1007</v>
      </c>
      <c r="L106" s="217">
        <v>1058</v>
      </c>
      <c r="M106" s="217"/>
      <c r="N106" s="232">
        <v>1033</v>
      </c>
      <c r="O106" s="90">
        <v>225378</v>
      </c>
      <c r="P106" s="236">
        <v>0</v>
      </c>
      <c r="Q106" s="236">
        <v>0</v>
      </c>
      <c r="R106" s="236">
        <v>277</v>
      </c>
      <c r="S106" s="236">
        <v>0</v>
      </c>
      <c r="T106" s="236">
        <v>0</v>
      </c>
      <c r="U106" s="236">
        <v>0</v>
      </c>
      <c r="V106" s="63">
        <v>225101</v>
      </c>
      <c r="W106" s="217">
        <v>1007</v>
      </c>
      <c r="X106" s="217">
        <v>1049</v>
      </c>
    </row>
    <row r="107" spans="1:24" x14ac:dyDescent="0.25">
      <c r="A107" s="31">
        <v>39066</v>
      </c>
      <c r="B107" s="62">
        <v>3729135.1</v>
      </c>
      <c r="C107" s="236">
        <v>0</v>
      </c>
      <c r="D107" s="236">
        <v>0</v>
      </c>
      <c r="E107" s="236">
        <v>0</v>
      </c>
      <c r="F107" s="236">
        <v>5078</v>
      </c>
      <c r="G107" s="236">
        <v>0</v>
      </c>
      <c r="H107" s="236">
        <v>0</v>
      </c>
      <c r="I107" s="236">
        <v>0</v>
      </c>
      <c r="J107" s="91">
        <v>3724057.1</v>
      </c>
      <c r="K107" s="217">
        <v>1007</v>
      </c>
      <c r="L107" s="217">
        <v>1058</v>
      </c>
      <c r="M107" s="217"/>
      <c r="N107" s="232">
        <v>1033</v>
      </c>
      <c r="O107" s="90">
        <v>225101</v>
      </c>
      <c r="P107" s="236">
        <v>0</v>
      </c>
      <c r="Q107" s="236">
        <v>0</v>
      </c>
      <c r="R107" s="236">
        <v>277</v>
      </c>
      <c r="S107" s="236">
        <v>0</v>
      </c>
      <c r="T107" s="236">
        <v>0</v>
      </c>
      <c r="U107" s="236">
        <v>0</v>
      </c>
      <c r="V107" s="63">
        <v>224824</v>
      </c>
      <c r="W107" s="217">
        <v>1007</v>
      </c>
      <c r="X107" s="217">
        <v>1049</v>
      </c>
    </row>
    <row r="108" spans="1:24" x14ac:dyDescent="0.25">
      <c r="A108" s="31">
        <v>39067</v>
      </c>
      <c r="B108" s="62">
        <v>3724057.1</v>
      </c>
      <c r="C108" s="236">
        <v>0</v>
      </c>
      <c r="D108" s="236">
        <v>0</v>
      </c>
      <c r="E108" s="236">
        <v>0</v>
      </c>
      <c r="F108" s="236">
        <v>535</v>
      </c>
      <c r="G108" s="236">
        <v>0</v>
      </c>
      <c r="H108" s="236">
        <v>0</v>
      </c>
      <c r="I108" s="236">
        <v>0</v>
      </c>
      <c r="J108" s="91">
        <v>3723522.1</v>
      </c>
      <c r="K108" s="217">
        <v>1007</v>
      </c>
      <c r="L108" s="217">
        <v>1058</v>
      </c>
      <c r="M108" s="217"/>
      <c r="N108" s="232">
        <v>1035</v>
      </c>
      <c r="O108" s="90">
        <v>224824</v>
      </c>
      <c r="P108" s="236">
        <v>0</v>
      </c>
      <c r="Q108" s="236">
        <v>0</v>
      </c>
      <c r="R108" s="236">
        <v>277</v>
      </c>
      <c r="S108" s="236">
        <v>0</v>
      </c>
      <c r="T108" s="236">
        <v>0</v>
      </c>
      <c r="U108" s="236">
        <v>0</v>
      </c>
      <c r="V108" s="63">
        <v>224547</v>
      </c>
      <c r="W108" s="217">
        <v>1007</v>
      </c>
      <c r="X108" s="217">
        <v>1049</v>
      </c>
    </row>
    <row r="109" spans="1:24" x14ac:dyDescent="0.25">
      <c r="A109" s="31">
        <v>39068</v>
      </c>
      <c r="B109" s="62">
        <v>3723522.1</v>
      </c>
      <c r="C109" s="236">
        <v>0</v>
      </c>
      <c r="D109" s="236">
        <v>0</v>
      </c>
      <c r="E109" s="236">
        <v>0</v>
      </c>
      <c r="F109" s="236">
        <v>1337</v>
      </c>
      <c r="G109" s="236">
        <v>0</v>
      </c>
      <c r="H109" s="236">
        <v>0</v>
      </c>
      <c r="I109" s="236">
        <v>0</v>
      </c>
      <c r="J109" s="91">
        <v>3722185.1</v>
      </c>
      <c r="K109" s="217">
        <v>1007</v>
      </c>
      <c r="L109" s="217">
        <v>1058</v>
      </c>
      <c r="M109" s="217"/>
      <c r="N109" s="232">
        <v>1034</v>
      </c>
      <c r="O109" s="90">
        <v>224547</v>
      </c>
      <c r="P109" s="236">
        <v>0</v>
      </c>
      <c r="Q109" s="236">
        <v>0</v>
      </c>
      <c r="R109" s="236">
        <v>277</v>
      </c>
      <c r="S109" s="236">
        <v>0</v>
      </c>
      <c r="T109" s="236">
        <v>0</v>
      </c>
      <c r="U109" s="236">
        <v>0</v>
      </c>
      <c r="V109" s="63">
        <v>224270</v>
      </c>
      <c r="W109" s="217">
        <v>1007</v>
      </c>
      <c r="X109" s="217">
        <v>1049</v>
      </c>
    </row>
    <row r="110" spans="1:24" x14ac:dyDescent="0.25">
      <c r="A110" s="31">
        <v>39069</v>
      </c>
      <c r="B110" s="62">
        <v>3722185.1</v>
      </c>
      <c r="C110" s="236">
        <v>0</v>
      </c>
      <c r="D110" s="236">
        <v>0</v>
      </c>
      <c r="E110" s="236">
        <v>0</v>
      </c>
      <c r="F110" s="236">
        <v>1070</v>
      </c>
      <c r="G110" s="236">
        <v>0</v>
      </c>
      <c r="H110" s="236">
        <v>0</v>
      </c>
      <c r="I110" s="236">
        <v>0</v>
      </c>
      <c r="J110" s="91">
        <v>3721115.1</v>
      </c>
      <c r="K110" s="217">
        <v>1007</v>
      </c>
      <c r="L110" s="217">
        <v>1058</v>
      </c>
      <c r="M110" s="217"/>
      <c r="N110" s="232">
        <v>1032</v>
      </c>
      <c r="O110" s="90">
        <v>224270</v>
      </c>
      <c r="P110" s="236">
        <v>0</v>
      </c>
      <c r="Q110" s="236">
        <v>0</v>
      </c>
      <c r="R110" s="236">
        <v>277</v>
      </c>
      <c r="S110" s="236">
        <v>0</v>
      </c>
      <c r="T110" s="236">
        <v>0</v>
      </c>
      <c r="U110" s="236">
        <v>0</v>
      </c>
      <c r="V110" s="63">
        <v>223993</v>
      </c>
      <c r="W110" s="217">
        <v>1007</v>
      </c>
      <c r="X110" s="217">
        <v>1049</v>
      </c>
    </row>
    <row r="111" spans="1:24" x14ac:dyDescent="0.25">
      <c r="A111" s="31">
        <v>39070</v>
      </c>
      <c r="B111" s="62">
        <v>3721115.1</v>
      </c>
      <c r="C111" s="236">
        <v>0</v>
      </c>
      <c r="D111" s="236">
        <v>0</v>
      </c>
      <c r="E111" s="236">
        <v>0</v>
      </c>
      <c r="F111" s="236">
        <v>535</v>
      </c>
      <c r="G111" s="236">
        <v>0</v>
      </c>
      <c r="H111" s="236">
        <v>0</v>
      </c>
      <c r="I111" s="236">
        <v>0</v>
      </c>
      <c r="J111" s="91">
        <v>3720580.1</v>
      </c>
      <c r="K111" s="217">
        <v>1007</v>
      </c>
      <c r="L111" s="217">
        <v>1058</v>
      </c>
      <c r="M111" s="217"/>
      <c r="N111" s="232">
        <v>1032</v>
      </c>
      <c r="O111" s="90">
        <v>223993</v>
      </c>
      <c r="P111" s="236">
        <v>0</v>
      </c>
      <c r="Q111" s="236">
        <v>0</v>
      </c>
      <c r="R111" s="236">
        <v>277</v>
      </c>
      <c r="S111" s="236">
        <v>0</v>
      </c>
      <c r="T111" s="236">
        <v>0</v>
      </c>
      <c r="U111" s="236">
        <v>0</v>
      </c>
      <c r="V111" s="63">
        <v>223716</v>
      </c>
      <c r="W111" s="217">
        <v>1007</v>
      </c>
      <c r="X111" s="217">
        <v>1049</v>
      </c>
    </row>
    <row r="112" spans="1:24" x14ac:dyDescent="0.25">
      <c r="A112" s="31">
        <v>39071</v>
      </c>
      <c r="B112" s="62">
        <v>3720580.1</v>
      </c>
      <c r="C112" s="236">
        <v>0</v>
      </c>
      <c r="D112" s="236">
        <v>0</v>
      </c>
      <c r="E112" s="236">
        <v>0</v>
      </c>
      <c r="F112" s="236">
        <v>534</v>
      </c>
      <c r="G112" s="236">
        <v>0</v>
      </c>
      <c r="H112" s="236">
        <v>0</v>
      </c>
      <c r="I112" s="236">
        <v>0</v>
      </c>
      <c r="J112" s="91">
        <v>3720046.1</v>
      </c>
      <c r="K112" s="217">
        <v>1007</v>
      </c>
      <c r="L112" s="217">
        <v>1058</v>
      </c>
      <c r="M112" s="217"/>
      <c r="N112" s="232">
        <v>1032</v>
      </c>
      <c r="O112" s="90">
        <v>223716</v>
      </c>
      <c r="P112" s="236">
        <v>0</v>
      </c>
      <c r="Q112" s="236">
        <v>0</v>
      </c>
      <c r="R112" s="236">
        <v>58</v>
      </c>
      <c r="S112" s="236">
        <v>0</v>
      </c>
      <c r="T112" s="236">
        <v>0</v>
      </c>
      <c r="U112" s="236">
        <v>0</v>
      </c>
      <c r="V112" s="63">
        <v>223658</v>
      </c>
      <c r="W112" s="217">
        <v>1007</v>
      </c>
      <c r="X112" s="217">
        <v>1049</v>
      </c>
    </row>
    <row r="113" spans="1:24" x14ac:dyDescent="0.25">
      <c r="A113" s="31">
        <v>39072</v>
      </c>
      <c r="B113" s="62">
        <v>3720046.1</v>
      </c>
      <c r="C113" s="236">
        <v>0</v>
      </c>
      <c r="D113" s="236">
        <v>0</v>
      </c>
      <c r="E113" s="236">
        <v>0</v>
      </c>
      <c r="F113" s="236">
        <v>1604</v>
      </c>
      <c r="G113" s="236">
        <v>0</v>
      </c>
      <c r="H113" s="236">
        <v>0</v>
      </c>
      <c r="I113" s="236">
        <v>0</v>
      </c>
      <c r="J113" s="91">
        <v>3718442.1</v>
      </c>
      <c r="K113" s="217">
        <v>1007</v>
      </c>
      <c r="L113" s="217">
        <v>1058</v>
      </c>
      <c r="M113" s="217"/>
      <c r="N113" s="232">
        <v>1032</v>
      </c>
      <c r="O113" s="90">
        <v>223658</v>
      </c>
      <c r="P113" s="236">
        <v>0</v>
      </c>
      <c r="Q113" s="236">
        <v>0</v>
      </c>
      <c r="R113" s="236">
        <v>219</v>
      </c>
      <c r="S113" s="236">
        <v>0</v>
      </c>
      <c r="T113" s="236">
        <v>0</v>
      </c>
      <c r="U113" s="236">
        <v>0</v>
      </c>
      <c r="V113" s="63">
        <v>223439</v>
      </c>
      <c r="W113" s="217">
        <v>1007</v>
      </c>
      <c r="X113" s="217">
        <v>1049</v>
      </c>
    </row>
    <row r="114" spans="1:24" x14ac:dyDescent="0.25">
      <c r="A114" s="31">
        <v>39073</v>
      </c>
      <c r="B114" s="62">
        <v>3718442.1</v>
      </c>
      <c r="C114" s="236">
        <v>0</v>
      </c>
      <c r="D114" s="236">
        <v>0</v>
      </c>
      <c r="E114" s="236">
        <v>0</v>
      </c>
      <c r="F114" s="236">
        <v>5080</v>
      </c>
      <c r="G114" s="236">
        <v>0</v>
      </c>
      <c r="H114" s="236">
        <v>0</v>
      </c>
      <c r="I114" s="236">
        <v>0</v>
      </c>
      <c r="J114" s="91">
        <v>3713362.1</v>
      </c>
      <c r="K114" s="217">
        <v>1007</v>
      </c>
      <c r="L114" s="217">
        <v>1058</v>
      </c>
      <c r="M114" s="217"/>
      <c r="N114" s="232">
        <v>1032</v>
      </c>
      <c r="O114" s="90">
        <v>223439</v>
      </c>
      <c r="P114" s="236">
        <v>0</v>
      </c>
      <c r="Q114" s="236">
        <v>0</v>
      </c>
      <c r="R114" s="236">
        <v>70</v>
      </c>
      <c r="S114" s="236">
        <v>0</v>
      </c>
      <c r="T114" s="236">
        <v>0</v>
      </c>
      <c r="U114" s="236">
        <v>0</v>
      </c>
      <c r="V114" s="63">
        <v>223369</v>
      </c>
      <c r="W114" s="217">
        <v>1007</v>
      </c>
      <c r="X114" s="217">
        <v>1049</v>
      </c>
    </row>
    <row r="115" spans="1:24" x14ac:dyDescent="0.25">
      <c r="A115" s="31">
        <v>39074</v>
      </c>
      <c r="B115" s="62">
        <v>3713362.1</v>
      </c>
      <c r="C115" s="236">
        <v>0</v>
      </c>
      <c r="D115" s="236">
        <v>0</v>
      </c>
      <c r="E115" s="236">
        <v>0</v>
      </c>
      <c r="F115" s="236">
        <v>5080</v>
      </c>
      <c r="G115" s="236">
        <v>0</v>
      </c>
      <c r="H115" s="236">
        <v>0</v>
      </c>
      <c r="I115" s="236">
        <v>0</v>
      </c>
      <c r="J115" s="91">
        <v>3708282.1</v>
      </c>
      <c r="K115" s="217">
        <v>1007</v>
      </c>
      <c r="L115" s="217">
        <v>1058</v>
      </c>
      <c r="M115" s="217"/>
      <c r="N115" s="232">
        <v>1032</v>
      </c>
      <c r="O115" s="90">
        <v>223369</v>
      </c>
      <c r="P115" s="236">
        <v>0</v>
      </c>
      <c r="Q115" s="236">
        <v>0</v>
      </c>
      <c r="R115" s="236">
        <v>207</v>
      </c>
      <c r="S115" s="236">
        <v>0</v>
      </c>
      <c r="T115" s="236">
        <v>0</v>
      </c>
      <c r="U115" s="236">
        <v>0</v>
      </c>
      <c r="V115" s="63">
        <v>223162</v>
      </c>
      <c r="W115" s="217">
        <v>1007</v>
      </c>
      <c r="X115" s="217">
        <v>1049</v>
      </c>
    </row>
    <row r="116" spans="1:24" x14ac:dyDescent="0.25">
      <c r="A116" s="31">
        <v>39075</v>
      </c>
      <c r="B116" s="62">
        <v>3708282.1</v>
      </c>
      <c r="C116" s="236">
        <v>0</v>
      </c>
      <c r="D116" s="236">
        <v>0</v>
      </c>
      <c r="E116" s="236">
        <v>0</v>
      </c>
      <c r="F116" s="236">
        <v>2138</v>
      </c>
      <c r="G116" s="236">
        <v>0</v>
      </c>
      <c r="H116" s="236">
        <v>0</v>
      </c>
      <c r="I116" s="236">
        <v>0</v>
      </c>
      <c r="J116" s="91">
        <v>3706144.1</v>
      </c>
      <c r="K116" s="217">
        <v>1007</v>
      </c>
      <c r="L116" s="217">
        <v>1058</v>
      </c>
      <c r="M116" s="217"/>
      <c r="N116" s="232">
        <v>1032</v>
      </c>
      <c r="O116" s="90">
        <v>223162</v>
      </c>
      <c r="P116" s="236">
        <v>0</v>
      </c>
      <c r="Q116" s="236">
        <v>0</v>
      </c>
      <c r="R116" s="236">
        <v>555</v>
      </c>
      <c r="S116" s="236">
        <v>0</v>
      </c>
      <c r="T116" s="236">
        <v>0</v>
      </c>
      <c r="U116" s="236">
        <v>0</v>
      </c>
      <c r="V116" s="63">
        <v>222607</v>
      </c>
      <c r="W116" s="217">
        <v>1007</v>
      </c>
      <c r="X116" s="217">
        <v>1049</v>
      </c>
    </row>
    <row r="117" spans="1:24" x14ac:dyDescent="0.25">
      <c r="A117" s="31">
        <v>39076</v>
      </c>
      <c r="B117" s="62">
        <v>3706144.1</v>
      </c>
      <c r="C117" s="236">
        <v>0</v>
      </c>
      <c r="D117" s="236">
        <v>0</v>
      </c>
      <c r="E117" s="236">
        <v>0</v>
      </c>
      <c r="F117" s="236">
        <v>4544</v>
      </c>
      <c r="G117" s="236">
        <v>0</v>
      </c>
      <c r="H117" s="236">
        <v>0</v>
      </c>
      <c r="I117" s="236">
        <v>0</v>
      </c>
      <c r="J117" s="91">
        <v>3701600.1</v>
      </c>
      <c r="K117" s="217">
        <v>1007</v>
      </c>
      <c r="L117" s="217">
        <v>1058</v>
      </c>
      <c r="M117" s="217"/>
      <c r="N117" s="232">
        <v>1032</v>
      </c>
      <c r="O117" s="90">
        <v>222607</v>
      </c>
      <c r="P117" s="236">
        <v>0</v>
      </c>
      <c r="Q117" s="236">
        <v>0</v>
      </c>
      <c r="R117" s="236">
        <v>61</v>
      </c>
      <c r="S117" s="236">
        <v>0</v>
      </c>
      <c r="T117" s="236">
        <v>0</v>
      </c>
      <c r="U117" s="236">
        <v>0</v>
      </c>
      <c r="V117" s="63">
        <v>222546</v>
      </c>
      <c r="W117" s="217">
        <v>1007</v>
      </c>
      <c r="X117" s="217">
        <v>1049</v>
      </c>
    </row>
    <row r="118" spans="1:24" x14ac:dyDescent="0.25">
      <c r="A118" s="31">
        <v>39077</v>
      </c>
      <c r="B118" s="62">
        <v>3701600.1</v>
      </c>
      <c r="C118" s="236">
        <v>0</v>
      </c>
      <c r="D118" s="236">
        <v>0</v>
      </c>
      <c r="E118" s="236">
        <v>0</v>
      </c>
      <c r="F118" s="236">
        <v>5614</v>
      </c>
      <c r="G118" s="236">
        <v>0</v>
      </c>
      <c r="H118" s="236">
        <v>0</v>
      </c>
      <c r="I118" s="236">
        <v>0</v>
      </c>
      <c r="J118" s="91">
        <v>3695986.1</v>
      </c>
      <c r="K118" s="217">
        <v>1007</v>
      </c>
      <c r="L118" s="217">
        <v>1058</v>
      </c>
      <c r="M118" s="217"/>
      <c r="N118" s="232">
        <v>1030</v>
      </c>
      <c r="O118" s="90">
        <v>222546</v>
      </c>
      <c r="P118" s="236">
        <v>0</v>
      </c>
      <c r="Q118" s="236">
        <v>0</v>
      </c>
      <c r="R118" s="236">
        <v>74</v>
      </c>
      <c r="S118" s="236">
        <v>0</v>
      </c>
      <c r="T118" s="236">
        <v>0</v>
      </c>
      <c r="U118" s="236">
        <v>0</v>
      </c>
      <c r="V118" s="63">
        <v>222472</v>
      </c>
      <c r="W118" s="217">
        <v>1007</v>
      </c>
      <c r="X118" s="217">
        <v>1049</v>
      </c>
    </row>
    <row r="119" spans="1:24" x14ac:dyDescent="0.25">
      <c r="A119" s="31">
        <v>39078</v>
      </c>
      <c r="B119" s="62">
        <v>3695986.1</v>
      </c>
      <c r="C119" s="236">
        <v>0</v>
      </c>
      <c r="D119" s="236">
        <v>0</v>
      </c>
      <c r="E119" s="236">
        <v>0</v>
      </c>
      <c r="F119" s="236">
        <v>265</v>
      </c>
      <c r="G119" s="236">
        <v>0</v>
      </c>
      <c r="H119" s="236">
        <v>0</v>
      </c>
      <c r="I119" s="236">
        <v>0</v>
      </c>
      <c r="J119" s="91">
        <v>3695721.1</v>
      </c>
      <c r="K119" s="217">
        <v>1007</v>
      </c>
      <c r="L119" s="217">
        <v>1058</v>
      </c>
      <c r="M119" s="217"/>
      <c r="N119" s="232">
        <v>1028</v>
      </c>
      <c r="O119" s="90">
        <v>222472</v>
      </c>
      <c r="P119" s="236">
        <v>0</v>
      </c>
      <c r="Q119" s="236">
        <v>0</v>
      </c>
      <c r="R119" s="236">
        <v>142</v>
      </c>
      <c r="S119" s="236">
        <v>0</v>
      </c>
      <c r="T119" s="236">
        <v>0</v>
      </c>
      <c r="U119" s="236">
        <v>0</v>
      </c>
      <c r="V119" s="63">
        <v>222330</v>
      </c>
      <c r="W119" s="217">
        <v>1007</v>
      </c>
      <c r="X119" s="217">
        <v>1049</v>
      </c>
    </row>
    <row r="120" spans="1:24" x14ac:dyDescent="0.25">
      <c r="A120" s="31">
        <v>39079</v>
      </c>
      <c r="B120" s="62">
        <v>3695721.1</v>
      </c>
      <c r="C120" s="236">
        <v>0</v>
      </c>
      <c r="D120" s="236">
        <v>0</v>
      </c>
      <c r="E120" s="236">
        <v>0</v>
      </c>
      <c r="F120" s="236">
        <v>534</v>
      </c>
      <c r="G120" s="236">
        <v>0</v>
      </c>
      <c r="H120" s="236">
        <v>0</v>
      </c>
      <c r="I120" s="236">
        <v>0</v>
      </c>
      <c r="J120" s="91">
        <v>3695187.1</v>
      </c>
      <c r="K120" s="217">
        <v>1007</v>
      </c>
      <c r="L120" s="217">
        <v>1058</v>
      </c>
      <c r="M120" s="217"/>
      <c r="N120" s="232">
        <v>1028</v>
      </c>
      <c r="O120" s="90">
        <v>222330</v>
      </c>
      <c r="P120" s="236">
        <v>0</v>
      </c>
      <c r="Q120" s="236">
        <v>0</v>
      </c>
      <c r="R120" s="236">
        <v>277</v>
      </c>
      <c r="S120" s="236">
        <v>0</v>
      </c>
      <c r="T120" s="236">
        <v>0</v>
      </c>
      <c r="U120" s="236">
        <v>0</v>
      </c>
      <c r="V120" s="63">
        <v>222053</v>
      </c>
      <c r="W120" s="217">
        <v>1007</v>
      </c>
      <c r="X120" s="217">
        <v>1049</v>
      </c>
    </row>
    <row r="121" spans="1:24" x14ac:dyDescent="0.25">
      <c r="A121" s="31">
        <v>39080</v>
      </c>
      <c r="B121" s="62">
        <v>3695187.1</v>
      </c>
      <c r="C121" s="236">
        <v>0</v>
      </c>
      <c r="D121" s="236">
        <v>0</v>
      </c>
      <c r="E121" s="236">
        <v>0</v>
      </c>
      <c r="F121" s="236">
        <v>535</v>
      </c>
      <c r="G121" s="236">
        <v>0</v>
      </c>
      <c r="H121" s="236">
        <v>0</v>
      </c>
      <c r="I121" s="236">
        <v>0</v>
      </c>
      <c r="J121" s="91">
        <v>3694652.1</v>
      </c>
      <c r="K121" s="217">
        <v>1007</v>
      </c>
      <c r="L121" s="217">
        <v>1058</v>
      </c>
      <c r="M121" s="217"/>
      <c r="N121" s="232">
        <v>1028</v>
      </c>
      <c r="O121" s="90">
        <v>222053</v>
      </c>
      <c r="P121" s="236">
        <v>0</v>
      </c>
      <c r="Q121" s="236">
        <v>0</v>
      </c>
      <c r="R121" s="236">
        <v>58</v>
      </c>
      <c r="S121" s="236">
        <v>0</v>
      </c>
      <c r="T121" s="236">
        <v>0</v>
      </c>
      <c r="U121" s="236">
        <v>0</v>
      </c>
      <c r="V121" s="63">
        <v>221995</v>
      </c>
      <c r="W121" s="217">
        <v>1007</v>
      </c>
      <c r="X121" s="217">
        <v>1049</v>
      </c>
    </row>
    <row r="122" spans="1:24" x14ac:dyDescent="0.25">
      <c r="A122" s="31">
        <v>39081</v>
      </c>
      <c r="B122" s="62">
        <v>3694652.1</v>
      </c>
      <c r="C122" s="236">
        <v>0</v>
      </c>
      <c r="D122" s="236">
        <v>0</v>
      </c>
      <c r="E122" s="236">
        <v>0</v>
      </c>
      <c r="F122" s="236">
        <v>267</v>
      </c>
      <c r="G122" s="236">
        <v>0</v>
      </c>
      <c r="H122" s="236">
        <v>0</v>
      </c>
      <c r="I122" s="236">
        <v>0</v>
      </c>
      <c r="J122" s="91">
        <v>3694385.1</v>
      </c>
      <c r="K122" s="217">
        <v>1007</v>
      </c>
      <c r="L122" s="217">
        <v>1058</v>
      </c>
      <c r="M122" s="217"/>
      <c r="N122" s="232">
        <v>1030</v>
      </c>
      <c r="O122" s="90">
        <v>221995</v>
      </c>
      <c r="P122" s="236">
        <v>0</v>
      </c>
      <c r="Q122" s="236">
        <v>0</v>
      </c>
      <c r="R122" s="236">
        <v>60</v>
      </c>
      <c r="S122" s="236">
        <v>0</v>
      </c>
      <c r="T122" s="236">
        <v>0</v>
      </c>
      <c r="U122" s="236">
        <v>0</v>
      </c>
      <c r="V122" s="63">
        <v>221935</v>
      </c>
      <c r="W122" s="217">
        <v>1007</v>
      </c>
      <c r="X122" s="217">
        <v>1049</v>
      </c>
    </row>
    <row r="123" spans="1:24" x14ac:dyDescent="0.25">
      <c r="A123" s="31">
        <v>39082</v>
      </c>
      <c r="B123" s="62">
        <v>3694385.1</v>
      </c>
      <c r="C123" s="236">
        <v>0</v>
      </c>
      <c r="D123" s="236">
        <v>0</v>
      </c>
      <c r="E123" s="236">
        <v>0</v>
      </c>
      <c r="F123" s="236">
        <v>2941</v>
      </c>
      <c r="G123" s="236">
        <v>0</v>
      </c>
      <c r="H123" s="236">
        <v>0</v>
      </c>
      <c r="I123" s="236">
        <v>0</v>
      </c>
      <c r="J123" s="91">
        <v>3691444.1</v>
      </c>
      <c r="K123" s="217">
        <v>1007</v>
      </c>
      <c r="L123" s="217">
        <v>1058</v>
      </c>
      <c r="M123" s="217"/>
      <c r="N123" s="232">
        <v>1030</v>
      </c>
      <c r="O123" s="90">
        <v>221935</v>
      </c>
      <c r="P123" s="236">
        <v>0</v>
      </c>
      <c r="Q123" s="236">
        <v>0</v>
      </c>
      <c r="R123" s="236">
        <v>159</v>
      </c>
      <c r="S123" s="236">
        <v>0</v>
      </c>
      <c r="T123" s="236">
        <v>0</v>
      </c>
      <c r="U123" s="236">
        <v>0</v>
      </c>
      <c r="V123" s="63">
        <v>221776</v>
      </c>
      <c r="W123" s="217">
        <v>1007</v>
      </c>
      <c r="X123" s="217">
        <v>1049</v>
      </c>
    </row>
    <row r="124" spans="1:24" x14ac:dyDescent="0.25">
      <c r="A124" s="31">
        <v>39083</v>
      </c>
      <c r="B124" s="62">
        <v>3691444.1</v>
      </c>
      <c r="C124" s="236">
        <v>0</v>
      </c>
      <c r="D124" s="236">
        <v>0</v>
      </c>
      <c r="E124" s="236">
        <v>0</v>
      </c>
      <c r="F124" s="236">
        <v>6149</v>
      </c>
      <c r="G124" s="236">
        <v>0</v>
      </c>
      <c r="H124" s="236">
        <v>0</v>
      </c>
      <c r="I124" s="236">
        <v>0</v>
      </c>
      <c r="J124" s="91">
        <v>3685295.1</v>
      </c>
      <c r="K124" s="217">
        <v>1007</v>
      </c>
      <c r="L124" s="217">
        <v>1058</v>
      </c>
      <c r="M124" s="217"/>
      <c r="N124" s="232">
        <v>1030</v>
      </c>
      <c r="O124" s="90">
        <v>221776</v>
      </c>
      <c r="P124" s="236">
        <v>0</v>
      </c>
      <c r="Q124" s="236">
        <v>0</v>
      </c>
      <c r="R124" s="236">
        <v>59</v>
      </c>
      <c r="S124" s="236">
        <v>0</v>
      </c>
      <c r="T124" s="236">
        <v>0</v>
      </c>
      <c r="U124" s="236">
        <v>0</v>
      </c>
      <c r="V124" s="63">
        <v>221717</v>
      </c>
      <c r="W124" s="217">
        <v>1007</v>
      </c>
      <c r="X124" s="217">
        <v>1049</v>
      </c>
    </row>
    <row r="125" spans="1:24" x14ac:dyDescent="0.25">
      <c r="A125" s="31">
        <v>39084</v>
      </c>
      <c r="B125" s="62">
        <v>3685295.1</v>
      </c>
      <c r="C125" s="236">
        <v>0</v>
      </c>
      <c r="D125" s="236">
        <v>0</v>
      </c>
      <c r="E125" s="236">
        <v>0</v>
      </c>
      <c r="F125" s="236">
        <v>802</v>
      </c>
      <c r="G125" s="236">
        <v>0</v>
      </c>
      <c r="H125" s="236">
        <v>0</v>
      </c>
      <c r="I125" s="236">
        <v>0</v>
      </c>
      <c r="J125" s="91">
        <v>3684493.1</v>
      </c>
      <c r="K125" s="217">
        <v>1007</v>
      </c>
      <c r="L125" s="217">
        <v>1058</v>
      </c>
      <c r="M125" s="217"/>
      <c r="N125" s="232">
        <v>1030</v>
      </c>
      <c r="O125" s="90">
        <v>221717</v>
      </c>
      <c r="P125" s="236">
        <v>0</v>
      </c>
      <c r="Q125" s="236">
        <v>0</v>
      </c>
      <c r="R125" s="236">
        <v>218</v>
      </c>
      <c r="S125" s="236">
        <v>0</v>
      </c>
      <c r="T125" s="236">
        <v>0</v>
      </c>
      <c r="U125" s="236">
        <v>0</v>
      </c>
      <c r="V125" s="63">
        <v>221499</v>
      </c>
      <c r="W125" s="217">
        <v>1007</v>
      </c>
      <c r="X125" s="217">
        <v>1049</v>
      </c>
    </row>
    <row r="126" spans="1:24" x14ac:dyDescent="0.25">
      <c r="A126" s="31">
        <v>39085</v>
      </c>
      <c r="B126" s="62">
        <v>3684493.1</v>
      </c>
      <c r="C126" s="236">
        <v>0</v>
      </c>
      <c r="D126" s="236">
        <v>0</v>
      </c>
      <c r="E126" s="236">
        <v>0</v>
      </c>
      <c r="F126" s="236">
        <v>1604</v>
      </c>
      <c r="G126" s="236">
        <v>0</v>
      </c>
      <c r="H126" s="236">
        <v>0</v>
      </c>
      <c r="I126" s="236">
        <v>0</v>
      </c>
      <c r="J126" s="91">
        <v>3682889.1</v>
      </c>
      <c r="K126" s="217">
        <v>1007</v>
      </c>
      <c r="L126" s="217">
        <v>1058</v>
      </c>
      <c r="M126" s="217"/>
      <c r="N126" s="232">
        <v>1030</v>
      </c>
      <c r="O126" s="90">
        <v>221499</v>
      </c>
      <c r="P126" s="236">
        <v>0</v>
      </c>
      <c r="Q126" s="236">
        <v>0</v>
      </c>
      <c r="R126" s="236">
        <v>277</v>
      </c>
      <c r="S126" s="236">
        <v>0</v>
      </c>
      <c r="T126" s="236">
        <v>0</v>
      </c>
      <c r="U126" s="236">
        <v>0</v>
      </c>
      <c r="V126" s="63">
        <v>221222</v>
      </c>
      <c r="W126" s="217">
        <v>1007</v>
      </c>
      <c r="X126" s="217">
        <v>1049</v>
      </c>
    </row>
    <row r="127" spans="1:24" x14ac:dyDescent="0.25">
      <c r="A127" s="31">
        <v>39086</v>
      </c>
      <c r="B127" s="62">
        <v>3682889.1</v>
      </c>
      <c r="C127" s="236">
        <v>0</v>
      </c>
      <c r="D127" s="236">
        <v>0</v>
      </c>
      <c r="E127" s="236">
        <v>0</v>
      </c>
      <c r="F127" s="236">
        <v>3743</v>
      </c>
      <c r="G127" s="236">
        <v>0</v>
      </c>
      <c r="H127" s="236">
        <v>0</v>
      </c>
      <c r="I127" s="236">
        <v>0</v>
      </c>
      <c r="J127" s="91">
        <v>3679146.1</v>
      </c>
      <c r="K127" s="217">
        <v>1007</v>
      </c>
      <c r="L127" s="217">
        <v>1058</v>
      </c>
      <c r="M127" s="217"/>
      <c r="N127" s="232">
        <v>1033</v>
      </c>
      <c r="O127" s="90">
        <v>221222</v>
      </c>
      <c r="P127" s="236">
        <v>0</v>
      </c>
      <c r="Q127" s="236">
        <v>0</v>
      </c>
      <c r="R127" s="236">
        <v>277</v>
      </c>
      <c r="S127" s="236">
        <v>0</v>
      </c>
      <c r="T127" s="236">
        <v>0</v>
      </c>
      <c r="U127" s="236">
        <v>0</v>
      </c>
      <c r="V127" s="63">
        <v>220945</v>
      </c>
      <c r="W127" s="217">
        <v>1007</v>
      </c>
      <c r="X127" s="217">
        <v>1049</v>
      </c>
    </row>
    <row r="128" spans="1:24" x14ac:dyDescent="0.25">
      <c r="A128" s="31">
        <v>39087</v>
      </c>
      <c r="B128" s="62">
        <v>3679146.1</v>
      </c>
      <c r="C128" s="236">
        <v>0</v>
      </c>
      <c r="D128" s="236">
        <v>0</v>
      </c>
      <c r="E128" s="236">
        <v>0</v>
      </c>
      <c r="F128" s="236">
        <v>4278</v>
      </c>
      <c r="G128" s="236">
        <v>0</v>
      </c>
      <c r="H128" s="236">
        <v>0</v>
      </c>
      <c r="I128" s="236">
        <v>0</v>
      </c>
      <c r="J128" s="91">
        <v>3674868.1</v>
      </c>
      <c r="K128" s="217">
        <v>1007</v>
      </c>
      <c r="L128" s="217">
        <v>1058</v>
      </c>
      <c r="M128" s="217"/>
      <c r="N128" s="232">
        <v>1040</v>
      </c>
      <c r="O128" s="90">
        <v>220945</v>
      </c>
      <c r="P128" s="236">
        <v>0</v>
      </c>
      <c r="Q128" s="236">
        <v>0</v>
      </c>
      <c r="R128" s="236">
        <v>59</v>
      </c>
      <c r="S128" s="236">
        <v>0</v>
      </c>
      <c r="T128" s="236">
        <v>0</v>
      </c>
      <c r="U128" s="236">
        <v>0</v>
      </c>
      <c r="V128" s="63">
        <v>220886</v>
      </c>
      <c r="W128" s="217">
        <v>1007</v>
      </c>
      <c r="X128" s="217">
        <v>1049</v>
      </c>
    </row>
    <row r="129" spans="1:24" x14ac:dyDescent="0.25">
      <c r="A129" s="31">
        <v>39088</v>
      </c>
      <c r="B129" s="62">
        <v>3674868.1</v>
      </c>
      <c r="C129" s="236">
        <v>0</v>
      </c>
      <c r="D129" s="236">
        <v>0</v>
      </c>
      <c r="E129" s="236">
        <v>0</v>
      </c>
      <c r="F129" s="236">
        <v>2139</v>
      </c>
      <c r="G129" s="236">
        <v>0</v>
      </c>
      <c r="H129" s="236">
        <v>0</v>
      </c>
      <c r="I129" s="236">
        <v>0</v>
      </c>
      <c r="J129" s="91">
        <v>3672729.1</v>
      </c>
      <c r="K129" s="217">
        <v>1007</v>
      </c>
      <c r="L129" s="217">
        <v>1058</v>
      </c>
      <c r="M129" s="217"/>
      <c r="N129" s="232">
        <v>1031</v>
      </c>
      <c r="O129" s="90">
        <v>220886</v>
      </c>
      <c r="P129" s="236">
        <v>0</v>
      </c>
      <c r="Q129" s="236">
        <v>0</v>
      </c>
      <c r="R129" s="236">
        <v>62</v>
      </c>
      <c r="S129" s="236">
        <v>0</v>
      </c>
      <c r="T129" s="236">
        <v>0</v>
      </c>
      <c r="U129" s="236">
        <v>0</v>
      </c>
      <c r="V129" s="63">
        <v>220824</v>
      </c>
      <c r="W129" s="217">
        <v>1007</v>
      </c>
      <c r="X129" s="217">
        <v>1049</v>
      </c>
    </row>
    <row r="130" spans="1:24" x14ac:dyDescent="0.25">
      <c r="A130" s="31">
        <v>39089</v>
      </c>
      <c r="B130" s="62">
        <v>3672729.1</v>
      </c>
      <c r="C130" s="236">
        <v>0</v>
      </c>
      <c r="D130" s="236">
        <v>0</v>
      </c>
      <c r="E130" s="236">
        <v>0</v>
      </c>
      <c r="F130" s="236">
        <v>1604</v>
      </c>
      <c r="G130" s="236">
        <v>0</v>
      </c>
      <c r="H130" s="236">
        <v>0</v>
      </c>
      <c r="I130" s="236">
        <v>0</v>
      </c>
      <c r="J130" s="91">
        <v>3671125.1</v>
      </c>
      <c r="K130" s="217">
        <v>1007</v>
      </c>
      <c r="L130" s="217">
        <v>1058</v>
      </c>
      <c r="M130" s="217"/>
      <c r="N130" s="232">
        <v>1030</v>
      </c>
      <c r="O130" s="90">
        <v>220824</v>
      </c>
      <c r="P130" s="236">
        <v>0</v>
      </c>
      <c r="Q130" s="236">
        <v>0</v>
      </c>
      <c r="R130" s="236">
        <v>156</v>
      </c>
      <c r="S130" s="236">
        <v>0</v>
      </c>
      <c r="T130" s="236">
        <v>0</v>
      </c>
      <c r="U130" s="236">
        <v>0</v>
      </c>
      <c r="V130" s="63">
        <v>220668</v>
      </c>
      <c r="W130" s="217">
        <v>1007</v>
      </c>
      <c r="X130" s="217">
        <v>1049</v>
      </c>
    </row>
    <row r="131" spans="1:24" x14ac:dyDescent="0.25">
      <c r="A131" s="31">
        <v>39090</v>
      </c>
      <c r="B131" s="62">
        <v>3671125.1</v>
      </c>
      <c r="C131" s="236">
        <v>0</v>
      </c>
      <c r="D131" s="236">
        <v>0</v>
      </c>
      <c r="E131" s="236">
        <v>0</v>
      </c>
      <c r="F131" s="236">
        <v>1869</v>
      </c>
      <c r="G131" s="236">
        <v>0</v>
      </c>
      <c r="H131" s="236">
        <v>0</v>
      </c>
      <c r="I131" s="236">
        <v>0</v>
      </c>
      <c r="J131" s="91">
        <v>3669256.1</v>
      </c>
      <c r="K131" s="217">
        <v>1007</v>
      </c>
      <c r="L131" s="217">
        <v>1058</v>
      </c>
      <c r="M131" s="217"/>
      <c r="N131" s="232">
        <v>1029</v>
      </c>
      <c r="O131" s="90">
        <v>220668</v>
      </c>
      <c r="P131" s="236">
        <v>0</v>
      </c>
      <c r="Q131" s="236">
        <v>0</v>
      </c>
      <c r="R131" s="236">
        <v>277</v>
      </c>
      <c r="S131" s="236">
        <v>0</v>
      </c>
      <c r="T131" s="236">
        <v>0</v>
      </c>
      <c r="U131" s="236">
        <v>0</v>
      </c>
      <c r="V131" s="63">
        <v>220391</v>
      </c>
      <c r="W131" s="217">
        <v>1007</v>
      </c>
      <c r="X131" s="217">
        <v>1049</v>
      </c>
    </row>
    <row r="132" spans="1:24" x14ac:dyDescent="0.25">
      <c r="A132" s="31">
        <v>39091</v>
      </c>
      <c r="B132" s="62">
        <v>3669256.1</v>
      </c>
      <c r="C132" s="236">
        <v>0</v>
      </c>
      <c r="D132" s="236">
        <v>0</v>
      </c>
      <c r="E132" s="236">
        <v>0</v>
      </c>
      <c r="F132" s="236">
        <v>3741</v>
      </c>
      <c r="G132" s="236">
        <v>0</v>
      </c>
      <c r="H132" s="236">
        <v>0</v>
      </c>
      <c r="I132" s="236">
        <v>0</v>
      </c>
      <c r="J132" s="91">
        <v>3665515.1</v>
      </c>
      <c r="K132" s="217">
        <v>1007</v>
      </c>
      <c r="L132" s="217">
        <v>1058</v>
      </c>
      <c r="M132" s="217"/>
      <c r="N132" s="232">
        <v>1039</v>
      </c>
      <c r="O132" s="90">
        <v>220391</v>
      </c>
      <c r="P132" s="236">
        <v>0</v>
      </c>
      <c r="Q132" s="236">
        <v>0</v>
      </c>
      <c r="R132" s="236">
        <v>277</v>
      </c>
      <c r="S132" s="236">
        <v>0</v>
      </c>
      <c r="T132" s="236">
        <v>0</v>
      </c>
      <c r="U132" s="236">
        <v>0</v>
      </c>
      <c r="V132" s="63">
        <v>220114</v>
      </c>
      <c r="W132" s="217">
        <v>1007</v>
      </c>
      <c r="X132" s="217">
        <v>1049</v>
      </c>
    </row>
    <row r="133" spans="1:24" x14ac:dyDescent="0.25">
      <c r="A133" s="31">
        <v>39092</v>
      </c>
      <c r="B133" s="62">
        <v>3665515.1</v>
      </c>
      <c r="C133" s="236">
        <v>0</v>
      </c>
      <c r="D133" s="236">
        <v>0</v>
      </c>
      <c r="E133" s="236">
        <v>0</v>
      </c>
      <c r="F133" s="236">
        <v>534</v>
      </c>
      <c r="G133" s="236">
        <v>0</v>
      </c>
      <c r="H133" s="236">
        <v>0</v>
      </c>
      <c r="I133" s="236">
        <v>0</v>
      </c>
      <c r="J133" s="91">
        <v>3664981.1</v>
      </c>
      <c r="K133" s="217">
        <v>1007</v>
      </c>
      <c r="L133" s="217">
        <v>1058</v>
      </c>
      <c r="M133" s="217"/>
      <c r="N133" s="232">
        <v>1028</v>
      </c>
      <c r="O133" s="90">
        <v>220114</v>
      </c>
      <c r="P133" s="236">
        <v>0</v>
      </c>
      <c r="Q133" s="236">
        <v>0</v>
      </c>
      <c r="R133" s="236">
        <v>64</v>
      </c>
      <c r="S133" s="236">
        <v>0</v>
      </c>
      <c r="T133" s="236">
        <v>0</v>
      </c>
      <c r="U133" s="236">
        <v>0</v>
      </c>
      <c r="V133" s="63">
        <v>220050</v>
      </c>
      <c r="W133" s="217">
        <v>1007</v>
      </c>
      <c r="X133" s="217">
        <v>1049</v>
      </c>
    </row>
    <row r="134" spans="1:24" x14ac:dyDescent="0.25">
      <c r="A134" s="31">
        <v>39093</v>
      </c>
      <c r="B134" s="62">
        <v>3664981.1</v>
      </c>
      <c r="C134" s="236">
        <v>0</v>
      </c>
      <c r="D134" s="236">
        <v>0</v>
      </c>
      <c r="E134" s="236">
        <v>0</v>
      </c>
      <c r="F134" s="236">
        <v>356</v>
      </c>
      <c r="G134" s="236">
        <v>0</v>
      </c>
      <c r="H134" s="236">
        <v>0</v>
      </c>
      <c r="I134" s="236">
        <v>0</v>
      </c>
      <c r="J134" s="91">
        <v>3664625.1</v>
      </c>
      <c r="K134" s="217">
        <v>1007</v>
      </c>
      <c r="L134" s="217">
        <v>1058</v>
      </c>
      <c r="M134" s="217"/>
      <c r="N134" s="232">
        <v>1032</v>
      </c>
      <c r="O134" s="90">
        <v>220050</v>
      </c>
      <c r="P134" s="236">
        <v>0</v>
      </c>
      <c r="Q134" s="236">
        <v>0</v>
      </c>
      <c r="R134" s="236">
        <v>213</v>
      </c>
      <c r="S134" s="236">
        <v>0</v>
      </c>
      <c r="T134" s="236">
        <v>0</v>
      </c>
      <c r="U134" s="236">
        <v>0</v>
      </c>
      <c r="V134" s="63">
        <v>219837</v>
      </c>
      <c r="W134" s="217">
        <v>1007</v>
      </c>
      <c r="X134" s="217">
        <v>1049</v>
      </c>
    </row>
    <row r="135" spans="1:24" x14ac:dyDescent="0.25">
      <c r="A135" s="31">
        <v>39094</v>
      </c>
      <c r="B135" s="62">
        <v>3664625.1</v>
      </c>
      <c r="C135" s="236">
        <v>0</v>
      </c>
      <c r="D135" s="236">
        <v>0</v>
      </c>
      <c r="E135" s="236">
        <v>0</v>
      </c>
      <c r="F135" s="236">
        <v>1782</v>
      </c>
      <c r="G135" s="236">
        <v>0</v>
      </c>
      <c r="H135" s="236">
        <v>0</v>
      </c>
      <c r="I135" s="236">
        <v>0</v>
      </c>
      <c r="J135" s="91">
        <v>3662843.1</v>
      </c>
      <c r="K135" s="217">
        <v>1007</v>
      </c>
      <c r="L135" s="217">
        <v>1058</v>
      </c>
      <c r="M135" s="217"/>
      <c r="N135" s="232">
        <v>1034</v>
      </c>
      <c r="O135" s="90">
        <v>219837</v>
      </c>
      <c r="P135" s="236">
        <v>0</v>
      </c>
      <c r="Q135" s="236">
        <v>0</v>
      </c>
      <c r="R135" s="236">
        <v>70</v>
      </c>
      <c r="S135" s="236">
        <v>0</v>
      </c>
      <c r="T135" s="236">
        <v>0</v>
      </c>
      <c r="U135" s="236">
        <v>0</v>
      </c>
      <c r="V135" s="63">
        <v>219767</v>
      </c>
      <c r="W135" s="217">
        <v>1007</v>
      </c>
      <c r="X135" s="217">
        <v>1049</v>
      </c>
    </row>
    <row r="136" spans="1:24" x14ac:dyDescent="0.25">
      <c r="A136" s="31">
        <v>39095</v>
      </c>
      <c r="B136" s="62">
        <v>3662843.1</v>
      </c>
      <c r="C136" s="236">
        <v>0</v>
      </c>
      <c r="D136" s="236">
        <v>0</v>
      </c>
      <c r="E136" s="236">
        <v>0</v>
      </c>
      <c r="F136" s="236">
        <v>2673</v>
      </c>
      <c r="G136" s="236">
        <v>0</v>
      </c>
      <c r="H136" s="236">
        <v>0</v>
      </c>
      <c r="I136" s="236">
        <v>0</v>
      </c>
      <c r="J136" s="91">
        <v>3660170.1</v>
      </c>
      <c r="K136" s="217">
        <v>1007</v>
      </c>
      <c r="L136" s="217">
        <v>1058</v>
      </c>
      <c r="M136" s="217"/>
      <c r="N136" s="232">
        <v>1035</v>
      </c>
      <c r="O136" s="90">
        <v>219767</v>
      </c>
      <c r="P136" s="236">
        <v>0</v>
      </c>
      <c r="Q136" s="236">
        <v>0</v>
      </c>
      <c r="R136" s="236">
        <v>65</v>
      </c>
      <c r="S136" s="236">
        <v>0</v>
      </c>
      <c r="T136" s="236">
        <v>0</v>
      </c>
      <c r="U136" s="236">
        <v>0</v>
      </c>
      <c r="V136" s="63">
        <v>219702</v>
      </c>
      <c r="W136" s="217">
        <v>1007</v>
      </c>
      <c r="X136" s="217">
        <v>1049</v>
      </c>
    </row>
    <row r="137" spans="1:24" x14ac:dyDescent="0.25">
      <c r="A137" s="31">
        <v>39096</v>
      </c>
      <c r="B137" s="62">
        <v>3660170.1</v>
      </c>
      <c r="C137" s="236">
        <v>0</v>
      </c>
      <c r="D137" s="236">
        <v>0</v>
      </c>
      <c r="E137" s="236">
        <v>0</v>
      </c>
      <c r="F137" s="236">
        <v>3474</v>
      </c>
      <c r="G137" s="236">
        <v>0</v>
      </c>
      <c r="H137" s="236">
        <v>0</v>
      </c>
      <c r="I137" s="236">
        <v>0</v>
      </c>
      <c r="J137" s="91">
        <v>3656696.1</v>
      </c>
      <c r="K137" s="217">
        <v>1007</v>
      </c>
      <c r="L137" s="217">
        <v>1058</v>
      </c>
      <c r="M137" s="217"/>
      <c r="N137" s="232">
        <v>1036</v>
      </c>
      <c r="O137" s="90">
        <v>219702</v>
      </c>
      <c r="P137" s="236">
        <v>0</v>
      </c>
      <c r="Q137" s="236">
        <v>0</v>
      </c>
      <c r="R137" s="236">
        <v>142</v>
      </c>
      <c r="S137" s="236">
        <v>0</v>
      </c>
      <c r="T137" s="236">
        <v>0</v>
      </c>
      <c r="U137" s="236">
        <v>0</v>
      </c>
      <c r="V137" s="63">
        <v>219560</v>
      </c>
      <c r="W137" s="217">
        <v>1007</v>
      </c>
      <c r="X137" s="217">
        <v>1049</v>
      </c>
    </row>
    <row r="138" spans="1:24" x14ac:dyDescent="0.25">
      <c r="A138" s="31">
        <v>39097</v>
      </c>
      <c r="B138" s="62">
        <v>3656696.1</v>
      </c>
      <c r="C138" s="236">
        <v>0</v>
      </c>
      <c r="D138" s="236">
        <v>0</v>
      </c>
      <c r="E138" s="236">
        <v>0</v>
      </c>
      <c r="F138" s="236">
        <v>5614</v>
      </c>
      <c r="G138" s="236">
        <v>0</v>
      </c>
      <c r="H138" s="236">
        <v>0</v>
      </c>
      <c r="I138" s="236">
        <v>0</v>
      </c>
      <c r="J138" s="91">
        <v>3651082.1</v>
      </c>
      <c r="K138" s="217">
        <v>1007</v>
      </c>
      <c r="L138" s="217">
        <v>1058</v>
      </c>
      <c r="M138" s="217"/>
      <c r="N138" s="232">
        <v>1035</v>
      </c>
      <c r="O138" s="90">
        <v>219560</v>
      </c>
      <c r="P138" s="236">
        <v>0</v>
      </c>
      <c r="Q138" s="236">
        <v>0</v>
      </c>
      <c r="R138" s="236">
        <v>68</v>
      </c>
      <c r="S138" s="236">
        <v>0</v>
      </c>
      <c r="T138" s="236">
        <v>0</v>
      </c>
      <c r="U138" s="236">
        <v>0</v>
      </c>
      <c r="V138" s="63">
        <v>219492</v>
      </c>
      <c r="W138" s="217">
        <v>1007</v>
      </c>
      <c r="X138" s="217">
        <v>1049</v>
      </c>
    </row>
    <row r="139" spans="1:24" x14ac:dyDescent="0.25">
      <c r="A139" s="31">
        <v>39098</v>
      </c>
      <c r="B139" s="62">
        <v>3651082.1</v>
      </c>
      <c r="C139" s="236">
        <v>0</v>
      </c>
      <c r="D139" s="236">
        <v>0</v>
      </c>
      <c r="E139" s="236">
        <v>0</v>
      </c>
      <c r="F139" s="236">
        <v>801</v>
      </c>
      <c r="G139" s="236">
        <v>0</v>
      </c>
      <c r="H139" s="236">
        <v>0</v>
      </c>
      <c r="I139" s="236">
        <v>0</v>
      </c>
      <c r="J139" s="91">
        <v>3650281.1</v>
      </c>
      <c r="K139" s="217">
        <v>1007</v>
      </c>
      <c r="L139" s="217">
        <v>1058</v>
      </c>
      <c r="M139" s="217"/>
      <c r="N139" s="232">
        <v>1032</v>
      </c>
      <c r="O139" s="90">
        <v>219492</v>
      </c>
      <c r="P139" s="236">
        <v>0</v>
      </c>
      <c r="Q139" s="236">
        <v>0</v>
      </c>
      <c r="R139" s="236">
        <v>209</v>
      </c>
      <c r="S139" s="236">
        <v>0</v>
      </c>
      <c r="T139" s="236">
        <v>0</v>
      </c>
      <c r="U139" s="236">
        <v>0</v>
      </c>
      <c r="V139" s="63">
        <v>219283</v>
      </c>
      <c r="W139" s="217">
        <v>1007</v>
      </c>
      <c r="X139" s="217">
        <v>1049</v>
      </c>
    </row>
    <row r="140" spans="1:24" x14ac:dyDescent="0.25">
      <c r="A140" s="31">
        <v>39099</v>
      </c>
      <c r="B140" s="62">
        <v>3650281.1</v>
      </c>
      <c r="C140" s="236">
        <v>0</v>
      </c>
      <c r="D140" s="236">
        <v>0</v>
      </c>
      <c r="E140" s="236">
        <v>0</v>
      </c>
      <c r="F140" s="236">
        <v>189</v>
      </c>
      <c r="G140" s="236">
        <v>11850</v>
      </c>
      <c r="H140" s="236">
        <v>0</v>
      </c>
      <c r="I140" s="236">
        <v>0</v>
      </c>
      <c r="J140" s="91">
        <v>3638242.1</v>
      </c>
      <c r="K140" s="217">
        <v>1007</v>
      </c>
      <c r="L140" s="217">
        <v>1065</v>
      </c>
      <c r="M140" s="217"/>
      <c r="N140" s="232">
        <v>1034</v>
      </c>
      <c r="O140" s="90">
        <v>219283</v>
      </c>
      <c r="P140" s="236">
        <v>0</v>
      </c>
      <c r="Q140" s="236">
        <v>0</v>
      </c>
      <c r="R140" s="236">
        <v>277</v>
      </c>
      <c r="S140" s="236">
        <v>0</v>
      </c>
      <c r="T140" s="236">
        <v>0</v>
      </c>
      <c r="U140" s="236">
        <v>0</v>
      </c>
      <c r="V140" s="63">
        <v>219006</v>
      </c>
      <c r="W140" s="217">
        <v>1007</v>
      </c>
      <c r="X140" s="217">
        <v>1049</v>
      </c>
    </row>
    <row r="141" spans="1:24" x14ac:dyDescent="0.25">
      <c r="A141" s="31">
        <v>39100</v>
      </c>
      <c r="B141" s="62">
        <v>3638242.1</v>
      </c>
      <c r="C141" s="236">
        <v>0</v>
      </c>
      <c r="D141" s="236">
        <v>0</v>
      </c>
      <c r="E141" s="236">
        <v>0</v>
      </c>
      <c r="F141" s="236">
        <v>3475</v>
      </c>
      <c r="G141" s="236">
        <v>0</v>
      </c>
      <c r="H141" s="236">
        <v>0</v>
      </c>
      <c r="I141" s="236">
        <v>0</v>
      </c>
      <c r="J141" s="91">
        <v>3634767.1</v>
      </c>
      <c r="K141" s="217">
        <v>1007</v>
      </c>
      <c r="L141" s="217">
        <v>1058</v>
      </c>
      <c r="M141" s="217"/>
      <c r="N141" s="232">
        <v>1035</v>
      </c>
      <c r="O141" s="90">
        <v>219006</v>
      </c>
      <c r="P141" s="236">
        <v>0</v>
      </c>
      <c r="Q141" s="236">
        <v>0</v>
      </c>
      <c r="R141" s="236">
        <v>277</v>
      </c>
      <c r="S141" s="236">
        <v>0</v>
      </c>
      <c r="T141" s="236">
        <v>0</v>
      </c>
      <c r="U141" s="236">
        <v>0</v>
      </c>
      <c r="V141" s="63">
        <v>218729</v>
      </c>
      <c r="W141" s="217">
        <v>1007</v>
      </c>
      <c r="X141" s="217">
        <v>1049</v>
      </c>
    </row>
    <row r="142" spans="1:24" x14ac:dyDescent="0.25">
      <c r="A142" s="31">
        <v>39101</v>
      </c>
      <c r="B142" s="62">
        <v>3634767.1</v>
      </c>
      <c r="C142" s="236">
        <v>0</v>
      </c>
      <c r="D142" s="236">
        <v>0</v>
      </c>
      <c r="E142" s="236">
        <v>0</v>
      </c>
      <c r="F142" s="236">
        <v>5079</v>
      </c>
      <c r="G142" s="236">
        <v>0</v>
      </c>
      <c r="H142" s="236">
        <v>0</v>
      </c>
      <c r="I142" s="236">
        <v>0</v>
      </c>
      <c r="J142" s="91">
        <v>3629688.1</v>
      </c>
      <c r="K142" s="217">
        <v>1007</v>
      </c>
      <c r="L142" s="217">
        <v>1058</v>
      </c>
      <c r="M142" s="217"/>
      <c r="N142" s="232">
        <v>1037</v>
      </c>
      <c r="O142" s="90">
        <v>218729</v>
      </c>
      <c r="P142" s="236">
        <v>0</v>
      </c>
      <c r="Q142" s="236">
        <v>0</v>
      </c>
      <c r="R142" s="236">
        <v>277</v>
      </c>
      <c r="S142" s="236">
        <v>0</v>
      </c>
      <c r="T142" s="236">
        <v>0</v>
      </c>
      <c r="U142" s="236">
        <v>0</v>
      </c>
      <c r="V142" s="63">
        <v>218452</v>
      </c>
      <c r="W142" s="217">
        <v>1007</v>
      </c>
      <c r="X142" s="217">
        <v>1049</v>
      </c>
    </row>
    <row r="143" spans="1:24" x14ac:dyDescent="0.25">
      <c r="A143" s="31">
        <v>39102</v>
      </c>
      <c r="B143" s="62">
        <v>3629688.1</v>
      </c>
      <c r="C143" s="236">
        <v>0</v>
      </c>
      <c r="D143" s="236">
        <v>0</v>
      </c>
      <c r="E143" s="236">
        <v>0</v>
      </c>
      <c r="F143" s="236">
        <v>201</v>
      </c>
      <c r="G143" s="236">
        <v>8089</v>
      </c>
      <c r="H143" s="236">
        <v>0</v>
      </c>
      <c r="I143" s="236">
        <v>0</v>
      </c>
      <c r="J143" s="91">
        <v>3621398.1</v>
      </c>
      <c r="K143" s="217">
        <v>1007</v>
      </c>
      <c r="L143" s="217">
        <v>1065</v>
      </c>
      <c r="M143" s="217"/>
      <c r="N143" s="232">
        <v>1034</v>
      </c>
      <c r="O143" s="90">
        <v>218452</v>
      </c>
      <c r="P143" s="236">
        <v>0</v>
      </c>
      <c r="Q143" s="236">
        <v>0</v>
      </c>
      <c r="R143" s="236">
        <v>60</v>
      </c>
      <c r="S143" s="236">
        <v>0</v>
      </c>
      <c r="T143" s="236">
        <v>0</v>
      </c>
      <c r="U143" s="236">
        <v>0</v>
      </c>
      <c r="V143" s="63">
        <v>218392</v>
      </c>
      <c r="W143" s="217">
        <v>1007</v>
      </c>
      <c r="X143" s="217">
        <v>1049</v>
      </c>
    </row>
    <row r="144" spans="1:24" x14ac:dyDescent="0.25">
      <c r="A144" s="31">
        <v>39103</v>
      </c>
      <c r="B144" s="62">
        <v>3621398.1</v>
      </c>
      <c r="C144" s="236">
        <v>0</v>
      </c>
      <c r="D144" s="236">
        <v>0</v>
      </c>
      <c r="E144" s="236">
        <v>0</v>
      </c>
      <c r="F144" s="236">
        <v>4453</v>
      </c>
      <c r="G144" s="236">
        <v>15867</v>
      </c>
      <c r="H144" s="236">
        <v>0</v>
      </c>
      <c r="I144" s="236">
        <v>0</v>
      </c>
      <c r="J144" s="91">
        <v>3601078.1</v>
      </c>
      <c r="K144" s="217">
        <v>1007</v>
      </c>
      <c r="L144" s="217">
        <v>1065</v>
      </c>
      <c r="M144" s="217"/>
      <c r="N144" s="232">
        <v>1032</v>
      </c>
      <c r="O144" s="90">
        <v>218392</v>
      </c>
      <c r="P144" s="236">
        <v>0</v>
      </c>
      <c r="Q144" s="236">
        <v>0</v>
      </c>
      <c r="R144" s="236">
        <v>68</v>
      </c>
      <c r="S144" s="236">
        <v>0</v>
      </c>
      <c r="T144" s="236">
        <v>0</v>
      </c>
      <c r="U144" s="236">
        <v>0</v>
      </c>
      <c r="V144" s="63">
        <v>218324</v>
      </c>
      <c r="W144" s="217">
        <v>1007</v>
      </c>
      <c r="X144" s="217">
        <v>1049</v>
      </c>
    </row>
    <row r="145" spans="1:24" x14ac:dyDescent="0.25">
      <c r="A145" s="31">
        <v>39104</v>
      </c>
      <c r="B145" s="62">
        <v>3601078.1</v>
      </c>
      <c r="C145" s="236">
        <v>0</v>
      </c>
      <c r="D145" s="236">
        <v>0</v>
      </c>
      <c r="E145" s="236">
        <v>0</v>
      </c>
      <c r="F145" s="236">
        <v>5881</v>
      </c>
      <c r="G145" s="236">
        <v>0</v>
      </c>
      <c r="H145" s="236">
        <v>0</v>
      </c>
      <c r="I145" s="236">
        <v>0</v>
      </c>
      <c r="J145" s="91">
        <v>3595197.1</v>
      </c>
      <c r="K145" s="217">
        <v>1007</v>
      </c>
      <c r="L145" s="217">
        <v>1058</v>
      </c>
      <c r="M145" s="217"/>
      <c r="N145" s="232">
        <v>1032</v>
      </c>
      <c r="O145" s="90">
        <v>218324</v>
      </c>
      <c r="P145" s="236">
        <v>0</v>
      </c>
      <c r="Q145" s="236">
        <v>0</v>
      </c>
      <c r="R145" s="236">
        <v>149</v>
      </c>
      <c r="S145" s="236">
        <v>0</v>
      </c>
      <c r="T145" s="236">
        <v>0</v>
      </c>
      <c r="U145" s="236">
        <v>0</v>
      </c>
      <c r="V145" s="63">
        <v>218175</v>
      </c>
      <c r="W145" s="217">
        <v>1007</v>
      </c>
      <c r="X145" s="217">
        <v>1049</v>
      </c>
    </row>
    <row r="146" spans="1:24" x14ac:dyDescent="0.25">
      <c r="A146" s="31">
        <v>39105</v>
      </c>
      <c r="B146" s="62">
        <v>3595197.1</v>
      </c>
      <c r="C146" s="236">
        <v>0</v>
      </c>
      <c r="D146" s="236">
        <v>0</v>
      </c>
      <c r="E146" s="236">
        <v>0</v>
      </c>
      <c r="F146" s="236">
        <v>3475</v>
      </c>
      <c r="G146" s="236">
        <v>0</v>
      </c>
      <c r="H146" s="236">
        <v>0</v>
      </c>
      <c r="I146" s="236">
        <v>0</v>
      </c>
      <c r="J146" s="91">
        <v>3591722.1</v>
      </c>
      <c r="K146" s="217">
        <v>1007</v>
      </c>
      <c r="L146" s="217">
        <v>1058</v>
      </c>
      <c r="M146" s="217"/>
      <c r="N146" s="232">
        <v>1030</v>
      </c>
      <c r="O146" s="90">
        <v>218175</v>
      </c>
      <c r="P146" s="236">
        <v>0</v>
      </c>
      <c r="Q146" s="236">
        <v>0</v>
      </c>
      <c r="R146" s="236">
        <v>277</v>
      </c>
      <c r="S146" s="236">
        <v>0</v>
      </c>
      <c r="T146" s="236">
        <v>0</v>
      </c>
      <c r="U146" s="236">
        <v>0</v>
      </c>
      <c r="V146" s="63">
        <v>217898</v>
      </c>
      <c r="W146" s="217">
        <v>1007</v>
      </c>
      <c r="X146" s="217">
        <v>1049</v>
      </c>
    </row>
    <row r="147" spans="1:24" x14ac:dyDescent="0.25">
      <c r="A147" s="31">
        <v>39106</v>
      </c>
      <c r="B147" s="62">
        <v>3591722.1</v>
      </c>
      <c r="C147" s="236">
        <v>0</v>
      </c>
      <c r="D147" s="236">
        <v>0</v>
      </c>
      <c r="E147" s="236">
        <v>0</v>
      </c>
      <c r="F147" s="236">
        <v>2405</v>
      </c>
      <c r="G147" s="236">
        <v>0</v>
      </c>
      <c r="H147" s="236">
        <v>0</v>
      </c>
      <c r="I147" s="236">
        <v>0</v>
      </c>
      <c r="J147" s="91">
        <v>3589317.1</v>
      </c>
      <c r="K147" s="217">
        <v>1007</v>
      </c>
      <c r="L147" s="217">
        <v>1058</v>
      </c>
      <c r="M147" s="217"/>
      <c r="N147" s="232">
        <v>1030</v>
      </c>
      <c r="O147" s="90">
        <v>217898</v>
      </c>
      <c r="P147" s="236">
        <v>0</v>
      </c>
      <c r="Q147" s="236">
        <v>0</v>
      </c>
      <c r="R147" s="236">
        <v>68</v>
      </c>
      <c r="S147" s="236">
        <v>0</v>
      </c>
      <c r="T147" s="236">
        <v>0</v>
      </c>
      <c r="U147" s="236">
        <v>0</v>
      </c>
      <c r="V147" s="63">
        <v>217830</v>
      </c>
      <c r="W147" s="217">
        <v>1007</v>
      </c>
      <c r="X147" s="217">
        <v>1049</v>
      </c>
    </row>
    <row r="148" spans="1:24" x14ac:dyDescent="0.25">
      <c r="A148" s="31">
        <v>39107</v>
      </c>
      <c r="B148" s="62">
        <v>3589317.1</v>
      </c>
      <c r="C148" s="236">
        <v>0</v>
      </c>
      <c r="D148" s="236">
        <v>0</v>
      </c>
      <c r="E148" s="236">
        <v>0</v>
      </c>
      <c r="F148" s="236">
        <v>2549</v>
      </c>
      <c r="G148" s="236">
        <v>15093</v>
      </c>
      <c r="H148" s="236">
        <v>0</v>
      </c>
      <c r="I148" s="236">
        <v>0</v>
      </c>
      <c r="J148" s="91">
        <v>3571675.1</v>
      </c>
      <c r="K148" s="217">
        <v>1007</v>
      </c>
      <c r="L148" s="217">
        <v>1065</v>
      </c>
      <c r="M148" s="217"/>
      <c r="N148" s="232">
        <v>1035</v>
      </c>
      <c r="O148" s="90">
        <v>217830</v>
      </c>
      <c r="P148" s="236">
        <v>0</v>
      </c>
      <c r="Q148" s="236">
        <v>0</v>
      </c>
      <c r="R148" s="236">
        <v>0</v>
      </c>
      <c r="S148" s="236">
        <v>2147</v>
      </c>
      <c r="T148" s="236">
        <v>0</v>
      </c>
      <c r="U148" s="236">
        <v>0</v>
      </c>
      <c r="V148" s="63">
        <v>215683</v>
      </c>
      <c r="W148" s="217">
        <v>1007</v>
      </c>
      <c r="X148" s="217">
        <v>1035</v>
      </c>
    </row>
    <row r="149" spans="1:24" x14ac:dyDescent="0.25">
      <c r="A149" s="31">
        <v>39108</v>
      </c>
      <c r="B149" s="62">
        <v>3571675.1</v>
      </c>
      <c r="C149" s="236">
        <v>0</v>
      </c>
      <c r="D149" s="236">
        <v>0</v>
      </c>
      <c r="E149" s="236">
        <v>0</v>
      </c>
      <c r="F149" s="236">
        <v>4626</v>
      </c>
      <c r="G149" s="236">
        <v>54431</v>
      </c>
      <c r="H149" s="236">
        <v>0</v>
      </c>
      <c r="I149" s="236">
        <v>0</v>
      </c>
      <c r="J149" s="91">
        <v>3512618.1</v>
      </c>
      <c r="K149" s="217">
        <v>1007</v>
      </c>
      <c r="L149" s="217">
        <v>1065</v>
      </c>
      <c r="M149" s="217"/>
      <c r="N149" s="232">
        <v>1032</v>
      </c>
      <c r="O149" s="90">
        <v>215683</v>
      </c>
      <c r="P149" s="236">
        <v>0</v>
      </c>
      <c r="Q149" s="236">
        <v>0</v>
      </c>
      <c r="R149" s="270">
        <v>276</v>
      </c>
      <c r="S149" s="236">
        <v>0</v>
      </c>
      <c r="T149" s="236">
        <v>0</v>
      </c>
      <c r="U149" s="236">
        <v>0</v>
      </c>
      <c r="V149" s="63">
        <v>215407</v>
      </c>
      <c r="W149" s="217">
        <v>1007</v>
      </c>
      <c r="X149" s="217">
        <v>1049</v>
      </c>
    </row>
    <row r="150" spans="1:24" x14ac:dyDescent="0.25">
      <c r="A150" s="31">
        <v>39109</v>
      </c>
      <c r="B150" s="62">
        <v>3512618.1</v>
      </c>
      <c r="C150" s="236">
        <v>0</v>
      </c>
      <c r="D150" s="236">
        <v>0</v>
      </c>
      <c r="E150" s="236">
        <v>0</v>
      </c>
      <c r="F150" s="236">
        <v>5349</v>
      </c>
      <c r="G150" s="236">
        <v>0</v>
      </c>
      <c r="H150" s="236">
        <v>0</v>
      </c>
      <c r="I150" s="236">
        <v>0</v>
      </c>
      <c r="J150" s="91">
        <v>3507269.1</v>
      </c>
      <c r="K150" s="217">
        <v>1007</v>
      </c>
      <c r="L150" s="217">
        <v>1058</v>
      </c>
      <c r="M150" s="217"/>
      <c r="N150" s="232">
        <v>1034</v>
      </c>
      <c r="O150" s="90">
        <v>215407</v>
      </c>
      <c r="P150" s="236">
        <v>0</v>
      </c>
      <c r="Q150" s="236">
        <v>0</v>
      </c>
      <c r="R150" s="236">
        <v>75</v>
      </c>
      <c r="S150" s="236">
        <v>0</v>
      </c>
      <c r="T150" s="236">
        <v>0</v>
      </c>
      <c r="U150" s="236">
        <v>0</v>
      </c>
      <c r="V150" s="63">
        <v>215332</v>
      </c>
      <c r="W150" s="217">
        <v>1007</v>
      </c>
      <c r="X150" s="217">
        <v>1049</v>
      </c>
    </row>
    <row r="151" spans="1:24" x14ac:dyDescent="0.25">
      <c r="A151" s="31">
        <v>39110</v>
      </c>
      <c r="B151" s="62">
        <v>3507269.1</v>
      </c>
      <c r="C151" s="236">
        <v>0</v>
      </c>
      <c r="D151" s="236">
        <v>0</v>
      </c>
      <c r="E151" s="236">
        <v>0</v>
      </c>
      <c r="F151" s="236">
        <v>3211</v>
      </c>
      <c r="G151" s="236">
        <v>0</v>
      </c>
      <c r="H151" s="236">
        <v>0</v>
      </c>
      <c r="I151" s="236">
        <v>0</v>
      </c>
      <c r="J151" s="91">
        <v>3504058.1</v>
      </c>
      <c r="K151" s="217">
        <v>1007</v>
      </c>
      <c r="L151" s="217">
        <v>1058</v>
      </c>
      <c r="M151" s="217"/>
      <c r="N151" s="232">
        <v>1037</v>
      </c>
      <c r="O151" s="90">
        <v>215332</v>
      </c>
      <c r="P151" s="236">
        <v>0</v>
      </c>
      <c r="Q151" s="236">
        <v>0</v>
      </c>
      <c r="R151" s="236">
        <v>202</v>
      </c>
      <c r="S151" s="236">
        <v>0</v>
      </c>
      <c r="T151" s="236">
        <v>0</v>
      </c>
      <c r="U151" s="236">
        <v>0</v>
      </c>
      <c r="V151" s="63">
        <v>215130</v>
      </c>
      <c r="W151" s="217">
        <v>1007</v>
      </c>
      <c r="X151" s="217">
        <v>1049</v>
      </c>
    </row>
    <row r="152" spans="1:24" x14ac:dyDescent="0.25">
      <c r="A152" s="31">
        <v>39111</v>
      </c>
      <c r="B152" s="62">
        <v>3504058.1</v>
      </c>
      <c r="C152" s="236">
        <v>0</v>
      </c>
      <c r="D152" s="236">
        <v>0</v>
      </c>
      <c r="E152" s="236">
        <v>0</v>
      </c>
      <c r="F152" s="236">
        <v>2222</v>
      </c>
      <c r="G152" s="236">
        <v>9542</v>
      </c>
      <c r="H152" s="236">
        <v>0</v>
      </c>
      <c r="I152" s="236">
        <v>0</v>
      </c>
      <c r="J152" s="91">
        <v>3492294.1</v>
      </c>
      <c r="K152" s="217">
        <v>1007</v>
      </c>
      <c r="L152" s="217">
        <v>1065</v>
      </c>
      <c r="M152" s="217"/>
      <c r="N152" s="232">
        <v>1036</v>
      </c>
      <c r="O152" s="90">
        <v>215130</v>
      </c>
      <c r="P152" s="236">
        <v>0</v>
      </c>
      <c r="Q152" s="236">
        <v>0</v>
      </c>
      <c r="R152" s="236">
        <v>553</v>
      </c>
      <c r="S152" s="236">
        <v>0</v>
      </c>
      <c r="T152" s="236">
        <v>0</v>
      </c>
      <c r="U152" s="236">
        <v>0</v>
      </c>
      <c r="V152" s="63">
        <v>214577</v>
      </c>
      <c r="W152" s="217">
        <v>1007</v>
      </c>
      <c r="X152" s="217">
        <v>1049</v>
      </c>
    </row>
    <row r="153" spans="1:24" x14ac:dyDescent="0.25">
      <c r="A153" s="31">
        <v>39112</v>
      </c>
      <c r="B153" s="62">
        <v>3492294.1</v>
      </c>
      <c r="C153" s="236">
        <v>0</v>
      </c>
      <c r="D153" s="236">
        <v>0</v>
      </c>
      <c r="E153" s="236">
        <v>0</v>
      </c>
      <c r="F153" s="236">
        <v>2406</v>
      </c>
      <c r="G153" s="236">
        <v>0</v>
      </c>
      <c r="H153" s="236">
        <v>0</v>
      </c>
      <c r="I153" s="236">
        <v>0</v>
      </c>
      <c r="J153" s="91">
        <v>3489888.1</v>
      </c>
      <c r="K153" s="217">
        <v>1007</v>
      </c>
      <c r="L153" s="217">
        <v>1058</v>
      </c>
      <c r="M153" s="217"/>
      <c r="N153" s="232">
        <v>1036</v>
      </c>
      <c r="O153" s="90">
        <v>214577</v>
      </c>
      <c r="P153" s="236">
        <v>0</v>
      </c>
      <c r="Q153" s="236">
        <v>0</v>
      </c>
      <c r="R153" s="236">
        <v>277</v>
      </c>
      <c r="S153" s="236">
        <v>0</v>
      </c>
      <c r="T153" s="236">
        <v>0</v>
      </c>
      <c r="U153" s="236">
        <v>0</v>
      </c>
      <c r="V153" s="63">
        <v>214300</v>
      </c>
      <c r="W153" s="217">
        <v>1007</v>
      </c>
      <c r="X153" s="217">
        <v>1049</v>
      </c>
    </row>
    <row r="154" spans="1:24" x14ac:dyDescent="0.25">
      <c r="A154" s="31">
        <v>39113</v>
      </c>
      <c r="B154" s="62">
        <v>3489888.1</v>
      </c>
      <c r="C154" s="236">
        <v>0</v>
      </c>
      <c r="D154" s="236">
        <v>0</v>
      </c>
      <c r="E154" s="236">
        <v>0</v>
      </c>
      <c r="F154" s="236">
        <v>1337</v>
      </c>
      <c r="G154" s="236">
        <v>0</v>
      </c>
      <c r="H154" s="236">
        <v>0</v>
      </c>
      <c r="I154" s="236">
        <v>0</v>
      </c>
      <c r="J154" s="91">
        <v>3488551.1</v>
      </c>
      <c r="K154" s="217">
        <v>1007</v>
      </c>
      <c r="L154" s="217">
        <v>1058</v>
      </c>
      <c r="M154" s="217"/>
      <c r="N154" s="232">
        <v>1038</v>
      </c>
      <c r="O154" s="90">
        <v>214300</v>
      </c>
      <c r="P154" s="236">
        <v>0</v>
      </c>
      <c r="Q154" s="236">
        <v>0</v>
      </c>
      <c r="R154" s="236">
        <v>76</v>
      </c>
      <c r="S154" s="236">
        <v>0</v>
      </c>
      <c r="T154" s="236">
        <v>0</v>
      </c>
      <c r="U154" s="236">
        <v>0</v>
      </c>
      <c r="V154" s="63">
        <v>214224</v>
      </c>
      <c r="W154" s="217">
        <v>1007</v>
      </c>
      <c r="X154" s="217">
        <v>1049</v>
      </c>
    </row>
    <row r="155" spans="1:24" x14ac:dyDescent="0.25">
      <c r="A155" s="31">
        <v>39114</v>
      </c>
      <c r="B155" s="62">
        <v>3488551.1</v>
      </c>
      <c r="C155" s="236">
        <v>0</v>
      </c>
      <c r="D155" s="236">
        <v>0</v>
      </c>
      <c r="E155" s="236">
        <v>0</v>
      </c>
      <c r="F155" s="236">
        <v>2940</v>
      </c>
      <c r="G155" s="236">
        <v>0</v>
      </c>
      <c r="H155" s="236">
        <v>0</v>
      </c>
      <c r="I155" s="236">
        <v>0</v>
      </c>
      <c r="J155" s="91">
        <v>3485611.1</v>
      </c>
      <c r="K155" s="217">
        <v>1007</v>
      </c>
      <c r="L155" s="217">
        <v>1058</v>
      </c>
      <c r="M155" s="217"/>
      <c r="N155" s="232">
        <v>1040</v>
      </c>
      <c r="O155" s="90">
        <v>214224</v>
      </c>
      <c r="P155" s="236">
        <v>0</v>
      </c>
      <c r="Q155" s="236">
        <v>0</v>
      </c>
      <c r="R155" s="236">
        <v>71</v>
      </c>
      <c r="S155" s="236">
        <v>0</v>
      </c>
      <c r="T155" s="236">
        <v>0</v>
      </c>
      <c r="U155" s="236">
        <v>0</v>
      </c>
      <c r="V155" s="63">
        <v>214153</v>
      </c>
      <c r="W155" s="217">
        <v>1007</v>
      </c>
      <c r="X155" s="217">
        <v>1049</v>
      </c>
    </row>
    <row r="156" spans="1:24" x14ac:dyDescent="0.25">
      <c r="A156" s="31">
        <v>39115</v>
      </c>
      <c r="B156" s="62">
        <v>3485611.1</v>
      </c>
      <c r="C156" s="236">
        <v>0</v>
      </c>
      <c r="D156" s="236">
        <v>0</v>
      </c>
      <c r="E156" s="236">
        <v>0</v>
      </c>
      <c r="F156" s="236">
        <v>4276</v>
      </c>
      <c r="G156" s="236">
        <v>0</v>
      </c>
      <c r="H156" s="236">
        <v>0</v>
      </c>
      <c r="I156" s="236">
        <v>0</v>
      </c>
      <c r="J156" s="91">
        <v>3481335.1</v>
      </c>
      <c r="K156" s="217">
        <v>1007</v>
      </c>
      <c r="L156" s="217">
        <v>1058</v>
      </c>
      <c r="M156" s="217"/>
      <c r="N156" s="232">
        <v>1037</v>
      </c>
      <c r="O156" s="90">
        <v>214153</v>
      </c>
      <c r="P156" s="236">
        <v>0</v>
      </c>
      <c r="Q156" s="236">
        <v>0</v>
      </c>
      <c r="R156" s="236">
        <v>130</v>
      </c>
      <c r="S156" s="236">
        <v>0</v>
      </c>
      <c r="T156" s="236">
        <v>0</v>
      </c>
      <c r="U156" s="236">
        <v>0</v>
      </c>
      <c r="V156" s="63">
        <v>214023</v>
      </c>
      <c r="W156" s="217">
        <v>1007</v>
      </c>
      <c r="X156" s="217">
        <v>1049</v>
      </c>
    </row>
    <row r="157" spans="1:24" x14ac:dyDescent="0.25">
      <c r="A157" s="31">
        <v>39116</v>
      </c>
      <c r="B157" s="62">
        <v>3481335.1</v>
      </c>
      <c r="C157" s="236">
        <v>0</v>
      </c>
      <c r="D157" s="236">
        <v>0</v>
      </c>
      <c r="E157" s="236">
        <v>0</v>
      </c>
      <c r="F157" s="236">
        <v>1336</v>
      </c>
      <c r="G157" s="236">
        <v>0</v>
      </c>
      <c r="H157" s="236">
        <v>0</v>
      </c>
      <c r="I157" s="236">
        <v>0</v>
      </c>
      <c r="J157" s="91">
        <v>3479999.1</v>
      </c>
      <c r="K157" s="217">
        <v>1007</v>
      </c>
      <c r="L157" s="217">
        <v>1058</v>
      </c>
      <c r="M157" s="217"/>
      <c r="N157" s="232">
        <v>1040</v>
      </c>
      <c r="O157" s="90">
        <v>214023</v>
      </c>
      <c r="P157" s="236">
        <v>0</v>
      </c>
      <c r="Q157" s="236">
        <v>0</v>
      </c>
      <c r="R157" s="236">
        <v>277</v>
      </c>
      <c r="S157" s="236">
        <v>0</v>
      </c>
      <c r="T157" s="236">
        <v>0</v>
      </c>
      <c r="U157" s="236">
        <v>0</v>
      </c>
      <c r="V157" s="63">
        <v>213746</v>
      </c>
      <c r="W157" s="217">
        <v>1007</v>
      </c>
      <c r="X157" s="217">
        <v>1049</v>
      </c>
    </row>
    <row r="158" spans="1:24" x14ac:dyDescent="0.25">
      <c r="A158" s="31">
        <v>39117</v>
      </c>
      <c r="B158" s="62">
        <v>3479999.1</v>
      </c>
      <c r="C158" s="236">
        <v>0</v>
      </c>
      <c r="D158" s="236">
        <v>0</v>
      </c>
      <c r="E158" s="236">
        <v>0</v>
      </c>
      <c r="F158" s="236">
        <v>3378</v>
      </c>
      <c r="G158" s="236">
        <v>61821</v>
      </c>
      <c r="H158" s="236">
        <v>0</v>
      </c>
      <c r="I158" s="236">
        <v>0</v>
      </c>
      <c r="J158" s="91">
        <v>3414800.1</v>
      </c>
      <c r="K158" s="217">
        <v>1007</v>
      </c>
      <c r="L158" s="217">
        <v>1065</v>
      </c>
      <c r="M158" s="217"/>
      <c r="N158" s="232">
        <v>1037</v>
      </c>
      <c r="O158" s="90">
        <v>213746</v>
      </c>
      <c r="P158" s="236">
        <v>0</v>
      </c>
      <c r="Q158" s="236">
        <v>0</v>
      </c>
      <c r="R158" s="236">
        <v>275</v>
      </c>
      <c r="S158" s="236">
        <v>0</v>
      </c>
      <c r="T158" s="236">
        <v>0</v>
      </c>
      <c r="U158" s="236">
        <v>0</v>
      </c>
      <c r="V158" s="63">
        <v>213471</v>
      </c>
      <c r="W158" s="217">
        <v>1007</v>
      </c>
      <c r="X158" s="217">
        <v>1049</v>
      </c>
    </row>
    <row r="159" spans="1:24" x14ac:dyDescent="0.25">
      <c r="A159" s="31">
        <v>39118</v>
      </c>
      <c r="B159" s="62">
        <v>3414800.1</v>
      </c>
      <c r="C159" s="236">
        <v>0</v>
      </c>
      <c r="D159" s="236">
        <v>0</v>
      </c>
      <c r="E159" s="236">
        <v>0</v>
      </c>
      <c r="F159" s="236">
        <v>8132</v>
      </c>
      <c r="G159" s="236">
        <v>142829</v>
      </c>
      <c r="H159" s="236">
        <v>0</v>
      </c>
      <c r="I159" s="236">
        <v>0</v>
      </c>
      <c r="J159" s="91">
        <v>3263839.1</v>
      </c>
      <c r="K159" s="217">
        <v>1007</v>
      </c>
      <c r="L159" s="217">
        <v>1065</v>
      </c>
      <c r="M159" s="217"/>
      <c r="N159" s="232">
        <v>1034</v>
      </c>
      <c r="O159" s="90">
        <v>213471</v>
      </c>
      <c r="P159" s="236">
        <v>0</v>
      </c>
      <c r="Q159" s="236">
        <v>0</v>
      </c>
      <c r="R159" s="236">
        <v>277</v>
      </c>
      <c r="S159" s="236">
        <v>0</v>
      </c>
      <c r="T159" s="236">
        <v>0</v>
      </c>
      <c r="U159" s="236">
        <v>0</v>
      </c>
      <c r="V159" s="63">
        <v>213194</v>
      </c>
      <c r="W159" s="217">
        <v>1007</v>
      </c>
      <c r="X159" s="217">
        <v>1049</v>
      </c>
    </row>
    <row r="160" spans="1:24" x14ac:dyDescent="0.25">
      <c r="A160" s="31">
        <v>39119</v>
      </c>
      <c r="B160" s="62">
        <v>3263839.1</v>
      </c>
      <c r="C160" s="236">
        <v>0</v>
      </c>
      <c r="D160" s="236">
        <v>0</v>
      </c>
      <c r="E160" s="236">
        <v>0</v>
      </c>
      <c r="F160" s="236">
        <v>3729</v>
      </c>
      <c r="G160" s="236">
        <v>111371</v>
      </c>
      <c r="H160" s="236">
        <v>0</v>
      </c>
      <c r="I160" s="236">
        <v>0</v>
      </c>
      <c r="J160" s="91">
        <v>3148739.1</v>
      </c>
      <c r="K160" s="217">
        <v>1007</v>
      </c>
      <c r="L160" s="217">
        <v>1058</v>
      </c>
      <c r="M160" s="217"/>
      <c r="N160" s="232">
        <v>1034</v>
      </c>
      <c r="O160" s="90">
        <v>213194</v>
      </c>
      <c r="P160" s="236">
        <v>0</v>
      </c>
      <c r="Q160" s="236">
        <v>0</v>
      </c>
      <c r="R160" s="236">
        <v>96</v>
      </c>
      <c r="S160" s="236">
        <v>2396</v>
      </c>
      <c r="T160" s="236">
        <v>0</v>
      </c>
      <c r="U160" s="236">
        <v>0</v>
      </c>
      <c r="V160" s="63">
        <v>210702</v>
      </c>
      <c r="W160" s="217">
        <v>1007</v>
      </c>
      <c r="X160" s="217">
        <v>1049</v>
      </c>
    </row>
    <row r="161" spans="1:24" x14ac:dyDescent="0.25">
      <c r="A161" s="31">
        <v>39120</v>
      </c>
      <c r="B161" s="62">
        <v>3148739.1</v>
      </c>
      <c r="C161" s="236">
        <v>0</v>
      </c>
      <c r="D161" s="236">
        <v>0</v>
      </c>
      <c r="E161" s="236">
        <v>0</v>
      </c>
      <c r="F161" s="236">
        <v>5779</v>
      </c>
      <c r="G161" s="236">
        <v>92250</v>
      </c>
      <c r="H161" s="236">
        <v>0</v>
      </c>
      <c r="I161" s="236">
        <v>0</v>
      </c>
      <c r="J161" s="91">
        <v>3050710.1</v>
      </c>
      <c r="K161" s="217">
        <v>1007</v>
      </c>
      <c r="L161" s="217">
        <v>1058</v>
      </c>
      <c r="M161" s="217"/>
      <c r="N161" s="232">
        <v>1040</v>
      </c>
      <c r="O161" s="90">
        <v>210702</v>
      </c>
      <c r="P161" s="236">
        <v>0</v>
      </c>
      <c r="Q161" s="236">
        <v>0</v>
      </c>
      <c r="R161" s="236">
        <v>140</v>
      </c>
      <c r="S161" s="236">
        <v>2626</v>
      </c>
      <c r="T161" s="236">
        <v>0</v>
      </c>
      <c r="U161" s="236">
        <v>0</v>
      </c>
      <c r="V161" s="63">
        <v>207936</v>
      </c>
      <c r="W161" s="217">
        <v>1007</v>
      </c>
      <c r="X161" s="217">
        <v>1049</v>
      </c>
    </row>
    <row r="162" spans="1:24" x14ac:dyDescent="0.25">
      <c r="A162" s="31">
        <v>39121</v>
      </c>
      <c r="B162" s="62">
        <v>3050710.1</v>
      </c>
      <c r="C162" s="236">
        <v>0</v>
      </c>
      <c r="D162" s="236">
        <v>0</v>
      </c>
      <c r="E162" s="236">
        <v>0</v>
      </c>
      <c r="F162" s="236">
        <v>3553</v>
      </c>
      <c r="G162" s="236">
        <v>63735</v>
      </c>
      <c r="H162" s="236">
        <v>0</v>
      </c>
      <c r="I162" s="236">
        <v>0</v>
      </c>
      <c r="J162" s="91">
        <v>2983422.1</v>
      </c>
      <c r="K162" s="217">
        <v>1007</v>
      </c>
      <c r="L162" s="217">
        <v>1058</v>
      </c>
      <c r="M162" s="217"/>
      <c r="N162" s="232">
        <v>1036</v>
      </c>
      <c r="O162" s="90">
        <v>207936</v>
      </c>
      <c r="P162" s="236">
        <v>0</v>
      </c>
      <c r="Q162" s="236">
        <v>0</v>
      </c>
      <c r="R162" s="236">
        <v>70</v>
      </c>
      <c r="S162" s="236">
        <v>0</v>
      </c>
      <c r="T162" s="236">
        <v>0</v>
      </c>
      <c r="U162" s="236">
        <v>0</v>
      </c>
      <c r="V162" s="63">
        <v>207866</v>
      </c>
      <c r="W162" s="217">
        <v>1007</v>
      </c>
      <c r="X162" s="217">
        <v>1049</v>
      </c>
    </row>
    <row r="163" spans="1:24" x14ac:dyDescent="0.25">
      <c r="A163" s="31">
        <v>39122</v>
      </c>
      <c r="B163" s="62">
        <v>2983422.1</v>
      </c>
      <c r="C163" s="236">
        <v>0</v>
      </c>
      <c r="D163" s="236">
        <v>0</v>
      </c>
      <c r="E163" s="236">
        <v>0</v>
      </c>
      <c r="F163" s="236">
        <v>4501</v>
      </c>
      <c r="G163" s="236">
        <v>11254</v>
      </c>
      <c r="H163" s="236">
        <v>0</v>
      </c>
      <c r="I163" s="236">
        <v>0</v>
      </c>
      <c r="J163" s="91">
        <v>2967667.1</v>
      </c>
      <c r="K163" s="217">
        <v>1007</v>
      </c>
      <c r="L163" s="217">
        <v>1058</v>
      </c>
      <c r="M163" s="217"/>
      <c r="N163" s="232">
        <v>1038</v>
      </c>
      <c r="O163" s="90">
        <v>207866</v>
      </c>
      <c r="P163" s="236">
        <v>0</v>
      </c>
      <c r="Q163" s="236">
        <v>0</v>
      </c>
      <c r="R163" s="236">
        <v>81</v>
      </c>
      <c r="S163" s="236">
        <v>0</v>
      </c>
      <c r="T163" s="236">
        <v>0</v>
      </c>
      <c r="U163" s="236">
        <v>0</v>
      </c>
      <c r="V163" s="63">
        <v>207785</v>
      </c>
      <c r="W163" s="217">
        <v>1007</v>
      </c>
      <c r="X163" s="217">
        <v>1049</v>
      </c>
    </row>
    <row r="164" spans="1:24" x14ac:dyDescent="0.25">
      <c r="A164" s="31">
        <v>39123</v>
      </c>
      <c r="B164" s="62">
        <v>2967667.1</v>
      </c>
      <c r="C164" s="236">
        <v>0</v>
      </c>
      <c r="D164" s="236">
        <v>0</v>
      </c>
      <c r="E164" s="236">
        <v>0</v>
      </c>
      <c r="F164" s="236">
        <v>2241</v>
      </c>
      <c r="G164" s="236">
        <v>3099</v>
      </c>
      <c r="H164" s="236">
        <v>0</v>
      </c>
      <c r="I164" s="236">
        <v>0</v>
      </c>
      <c r="J164" s="91">
        <v>2962327.1</v>
      </c>
      <c r="K164" s="217">
        <v>1007</v>
      </c>
      <c r="L164" s="217">
        <v>1058</v>
      </c>
      <c r="M164" s="217"/>
      <c r="N164" s="232">
        <v>1038</v>
      </c>
      <c r="O164" s="90">
        <v>207785</v>
      </c>
      <c r="P164" s="236">
        <v>0</v>
      </c>
      <c r="Q164" s="236">
        <v>0</v>
      </c>
      <c r="R164" s="236">
        <v>126</v>
      </c>
      <c r="S164" s="236">
        <v>0</v>
      </c>
      <c r="T164" s="236">
        <v>0</v>
      </c>
      <c r="U164" s="236">
        <v>0</v>
      </c>
      <c r="V164" s="63">
        <v>207659</v>
      </c>
      <c r="W164" s="217">
        <v>1007</v>
      </c>
      <c r="X164" s="217">
        <v>1049</v>
      </c>
    </row>
    <row r="165" spans="1:24" x14ac:dyDescent="0.25">
      <c r="A165" s="31">
        <v>39124</v>
      </c>
      <c r="B165" s="62">
        <v>2962327.1</v>
      </c>
      <c r="C165" s="236">
        <v>0</v>
      </c>
      <c r="D165" s="236">
        <v>0</v>
      </c>
      <c r="E165" s="236">
        <v>0</v>
      </c>
      <c r="F165" s="236">
        <v>1721</v>
      </c>
      <c r="G165" s="236">
        <v>1216</v>
      </c>
      <c r="H165" s="236">
        <v>0</v>
      </c>
      <c r="I165" s="236">
        <v>0</v>
      </c>
      <c r="J165" s="91">
        <v>2959390.1</v>
      </c>
      <c r="K165" s="217">
        <v>1007</v>
      </c>
      <c r="L165" s="217">
        <v>1058</v>
      </c>
      <c r="M165" s="217"/>
      <c r="N165" s="232">
        <v>1036</v>
      </c>
      <c r="O165" s="90">
        <v>207659</v>
      </c>
      <c r="P165" s="236">
        <v>0</v>
      </c>
      <c r="Q165" s="236">
        <v>0</v>
      </c>
      <c r="R165" s="236">
        <v>277</v>
      </c>
      <c r="S165" s="236">
        <v>0</v>
      </c>
      <c r="T165" s="236">
        <v>0</v>
      </c>
      <c r="U165" s="236">
        <v>0</v>
      </c>
      <c r="V165" s="63">
        <v>207382</v>
      </c>
      <c r="W165" s="217">
        <v>1007</v>
      </c>
      <c r="X165" s="217">
        <v>1049</v>
      </c>
    </row>
    <row r="166" spans="1:24" x14ac:dyDescent="0.25">
      <c r="A166" s="31">
        <v>39125</v>
      </c>
      <c r="B166" s="62">
        <v>2959390.1</v>
      </c>
      <c r="C166" s="236">
        <v>0</v>
      </c>
      <c r="D166" s="236">
        <v>0</v>
      </c>
      <c r="E166" s="236">
        <v>0</v>
      </c>
      <c r="F166" s="236">
        <v>2136</v>
      </c>
      <c r="G166" s="236">
        <v>0</v>
      </c>
      <c r="H166" s="236">
        <v>0</v>
      </c>
      <c r="I166" s="236">
        <v>0</v>
      </c>
      <c r="J166" s="91">
        <v>2957254.1</v>
      </c>
      <c r="K166" s="217">
        <v>1007</v>
      </c>
      <c r="L166" s="217">
        <v>1058</v>
      </c>
      <c r="M166" s="217"/>
      <c r="N166" s="232">
        <v>1034</v>
      </c>
      <c r="O166" s="90">
        <v>207382</v>
      </c>
      <c r="P166" s="236">
        <v>0</v>
      </c>
      <c r="Q166" s="236">
        <v>0</v>
      </c>
      <c r="R166" s="236">
        <v>75</v>
      </c>
      <c r="S166" s="236">
        <v>0</v>
      </c>
      <c r="T166" s="236">
        <v>0</v>
      </c>
      <c r="U166" s="236">
        <v>0</v>
      </c>
      <c r="V166" s="63">
        <v>207307</v>
      </c>
      <c r="W166" s="217">
        <v>1007</v>
      </c>
      <c r="X166" s="217">
        <v>1049</v>
      </c>
    </row>
    <row r="167" spans="1:24" x14ac:dyDescent="0.25">
      <c r="A167" s="31">
        <v>39126</v>
      </c>
      <c r="B167" s="62">
        <v>2957254.1</v>
      </c>
      <c r="C167" s="236">
        <v>0</v>
      </c>
      <c r="D167" s="236">
        <v>0</v>
      </c>
      <c r="E167" s="236">
        <v>0</v>
      </c>
      <c r="F167" s="236">
        <v>4539</v>
      </c>
      <c r="G167" s="236">
        <v>0</v>
      </c>
      <c r="H167" s="236">
        <v>0</v>
      </c>
      <c r="I167" s="236">
        <v>0</v>
      </c>
      <c r="J167" s="91">
        <v>2952715.1</v>
      </c>
      <c r="K167" s="217">
        <v>1007</v>
      </c>
      <c r="L167" s="217">
        <v>1058</v>
      </c>
      <c r="M167" s="217"/>
      <c r="N167" s="232">
        <v>1032</v>
      </c>
      <c r="O167" s="90">
        <v>207307</v>
      </c>
      <c r="P167" s="236">
        <v>0</v>
      </c>
      <c r="Q167" s="236">
        <v>0</v>
      </c>
      <c r="R167" s="236">
        <v>81</v>
      </c>
      <c r="S167" s="236">
        <v>0</v>
      </c>
      <c r="T167" s="236">
        <v>0</v>
      </c>
      <c r="U167" s="236">
        <v>0</v>
      </c>
      <c r="V167" s="63">
        <v>207226</v>
      </c>
      <c r="W167" s="217">
        <v>1007</v>
      </c>
      <c r="X167" s="217">
        <v>1049</v>
      </c>
    </row>
    <row r="168" spans="1:24" x14ac:dyDescent="0.25">
      <c r="A168" s="31">
        <v>39127</v>
      </c>
      <c r="B168" s="62">
        <v>2952715.1</v>
      </c>
      <c r="C168" s="236">
        <v>0</v>
      </c>
      <c r="D168" s="236">
        <v>0</v>
      </c>
      <c r="E168" s="236">
        <v>0</v>
      </c>
      <c r="F168" s="236">
        <v>3042</v>
      </c>
      <c r="G168" s="236">
        <v>48742</v>
      </c>
      <c r="H168" s="236">
        <v>0</v>
      </c>
      <c r="I168" s="236">
        <v>0</v>
      </c>
      <c r="J168" s="91">
        <v>2900931.1</v>
      </c>
      <c r="K168" s="217">
        <v>1007</v>
      </c>
      <c r="L168" s="217">
        <v>1058</v>
      </c>
      <c r="M168" s="217"/>
      <c r="N168" s="232">
        <v>1032</v>
      </c>
      <c r="O168" s="90">
        <v>207226</v>
      </c>
      <c r="P168" s="236">
        <v>0</v>
      </c>
      <c r="Q168" s="236">
        <v>0</v>
      </c>
      <c r="R168" s="236">
        <v>84</v>
      </c>
      <c r="S168" s="236">
        <v>1972</v>
      </c>
      <c r="T168" s="236">
        <v>0</v>
      </c>
      <c r="U168" s="236">
        <v>0</v>
      </c>
      <c r="V168" s="63">
        <v>205170</v>
      </c>
      <c r="W168" s="217">
        <v>1007</v>
      </c>
      <c r="X168" s="217">
        <v>1049</v>
      </c>
    </row>
    <row r="169" spans="1:24" x14ac:dyDescent="0.25">
      <c r="A169" s="31">
        <v>39128</v>
      </c>
      <c r="B169" s="62">
        <v>2900931.1</v>
      </c>
      <c r="C169" s="236">
        <v>0</v>
      </c>
      <c r="D169" s="236">
        <v>0</v>
      </c>
      <c r="E169" s="236">
        <v>0</v>
      </c>
      <c r="F169" s="236">
        <v>3202</v>
      </c>
      <c r="G169" s="236">
        <v>69634</v>
      </c>
      <c r="H169" s="236">
        <v>0</v>
      </c>
      <c r="I169" s="236">
        <v>0</v>
      </c>
      <c r="J169" s="91">
        <v>2828095.1</v>
      </c>
      <c r="K169" s="217">
        <v>1007</v>
      </c>
      <c r="L169" s="217">
        <v>1058</v>
      </c>
      <c r="M169" s="217"/>
      <c r="N169" s="232">
        <v>1034</v>
      </c>
      <c r="O169" s="90">
        <v>205170</v>
      </c>
      <c r="P169" s="236">
        <v>0</v>
      </c>
      <c r="Q169" s="236">
        <v>0</v>
      </c>
      <c r="R169" s="236">
        <v>105</v>
      </c>
      <c r="S169" s="236">
        <v>1554</v>
      </c>
      <c r="T169" s="236">
        <v>0</v>
      </c>
      <c r="U169" s="236">
        <v>0</v>
      </c>
      <c r="V169" s="63">
        <v>203511</v>
      </c>
      <c r="W169" s="217">
        <v>1007</v>
      </c>
      <c r="X169" s="217">
        <v>1049</v>
      </c>
    </row>
    <row r="170" spans="1:24" x14ac:dyDescent="0.25">
      <c r="A170" s="31">
        <v>39129</v>
      </c>
      <c r="B170" s="62">
        <v>2828095.1</v>
      </c>
      <c r="C170" s="236">
        <v>0</v>
      </c>
      <c r="D170" s="236">
        <v>0</v>
      </c>
      <c r="E170" s="236">
        <v>0</v>
      </c>
      <c r="F170" s="236">
        <v>3077</v>
      </c>
      <c r="G170" s="236">
        <v>40994</v>
      </c>
      <c r="H170" s="236">
        <v>0</v>
      </c>
      <c r="I170" s="236">
        <v>0</v>
      </c>
      <c r="J170" s="91">
        <v>2784024.1</v>
      </c>
      <c r="K170" s="217">
        <v>1007</v>
      </c>
      <c r="L170" s="217">
        <v>1058</v>
      </c>
      <c r="M170" s="217"/>
      <c r="N170" s="232">
        <v>1034</v>
      </c>
      <c r="O170" s="90">
        <v>203511</v>
      </c>
      <c r="P170" s="236">
        <v>0</v>
      </c>
      <c r="Q170" s="236">
        <v>0</v>
      </c>
      <c r="R170" s="236">
        <v>0</v>
      </c>
      <c r="S170" s="236">
        <v>0</v>
      </c>
      <c r="T170" s="236">
        <v>0</v>
      </c>
      <c r="U170" s="236">
        <v>0</v>
      </c>
      <c r="V170" s="63">
        <v>203511</v>
      </c>
      <c r="W170" s="217">
        <v>1007</v>
      </c>
      <c r="X170" s="217">
        <v>1049</v>
      </c>
    </row>
    <row r="171" spans="1:24" x14ac:dyDescent="0.25">
      <c r="A171" s="31">
        <v>39130</v>
      </c>
      <c r="B171" s="62">
        <v>2784024.1</v>
      </c>
      <c r="C171" s="236">
        <v>0</v>
      </c>
      <c r="D171" s="236">
        <v>0</v>
      </c>
      <c r="E171" s="236">
        <v>0</v>
      </c>
      <c r="F171" s="236">
        <v>4004</v>
      </c>
      <c r="G171" s="236">
        <v>0</v>
      </c>
      <c r="H171" s="236">
        <v>0</v>
      </c>
      <c r="I171" s="236">
        <v>0</v>
      </c>
      <c r="J171" s="91">
        <v>2780020.1</v>
      </c>
      <c r="K171" s="217">
        <v>1007</v>
      </c>
      <c r="L171" s="217">
        <v>1058</v>
      </c>
      <c r="M171" s="217"/>
      <c r="N171" s="232">
        <v>1040</v>
      </c>
      <c r="O171" s="90">
        <v>203511</v>
      </c>
      <c r="P171" s="236">
        <v>0</v>
      </c>
      <c r="Q171" s="236">
        <v>0</v>
      </c>
      <c r="R171" s="236">
        <v>277</v>
      </c>
      <c r="S171" s="236">
        <v>0</v>
      </c>
      <c r="T171" s="236">
        <v>0</v>
      </c>
      <c r="U171" s="236">
        <v>0</v>
      </c>
      <c r="V171" s="63">
        <v>203234</v>
      </c>
      <c r="W171" s="217">
        <v>1007</v>
      </c>
      <c r="X171" s="217">
        <v>1049</v>
      </c>
    </row>
    <row r="172" spans="1:24" x14ac:dyDescent="0.25">
      <c r="A172" s="31">
        <v>39131</v>
      </c>
      <c r="B172" s="62">
        <v>2780020.1</v>
      </c>
      <c r="C172" s="236">
        <v>0</v>
      </c>
      <c r="D172" s="236">
        <v>0</v>
      </c>
      <c r="E172" s="236">
        <v>0</v>
      </c>
      <c r="F172" s="236">
        <v>2132</v>
      </c>
      <c r="G172" s="236">
        <v>7482</v>
      </c>
      <c r="H172" s="236">
        <v>0</v>
      </c>
      <c r="I172" s="236">
        <v>0</v>
      </c>
      <c r="J172" s="91">
        <v>2770406.1</v>
      </c>
      <c r="K172" s="217">
        <v>1007</v>
      </c>
      <c r="L172" s="217">
        <v>1058</v>
      </c>
      <c r="M172" s="217"/>
      <c r="N172" s="232">
        <v>1038</v>
      </c>
      <c r="O172" s="90">
        <v>203234</v>
      </c>
      <c r="P172" s="236">
        <v>0</v>
      </c>
      <c r="Q172" s="236">
        <v>0</v>
      </c>
      <c r="R172" s="236">
        <v>277</v>
      </c>
      <c r="S172" s="236">
        <v>0</v>
      </c>
      <c r="T172" s="236">
        <v>0</v>
      </c>
      <c r="U172" s="236">
        <v>0</v>
      </c>
      <c r="V172" s="63">
        <v>202957</v>
      </c>
      <c r="W172" s="217">
        <v>1007</v>
      </c>
      <c r="X172" s="217">
        <v>1049</v>
      </c>
    </row>
    <row r="173" spans="1:24" x14ac:dyDescent="0.25">
      <c r="A173" s="31">
        <v>39132</v>
      </c>
      <c r="B173" s="62">
        <v>2770406.1</v>
      </c>
      <c r="C173" s="236">
        <v>0</v>
      </c>
      <c r="D173" s="236">
        <v>0</v>
      </c>
      <c r="E173" s="236">
        <v>0</v>
      </c>
      <c r="F173" s="236">
        <v>2907</v>
      </c>
      <c r="G173" s="236">
        <v>9640</v>
      </c>
      <c r="H173" s="236">
        <v>0</v>
      </c>
      <c r="I173" s="236">
        <v>0</v>
      </c>
      <c r="J173" s="91">
        <v>2757859.1</v>
      </c>
      <c r="K173" s="217">
        <v>1007</v>
      </c>
      <c r="L173" s="217">
        <v>1058</v>
      </c>
      <c r="M173" s="217"/>
      <c r="N173" s="232">
        <v>1039</v>
      </c>
      <c r="O173" s="90">
        <v>202957</v>
      </c>
      <c r="P173" s="236">
        <v>0</v>
      </c>
      <c r="Q173" s="236">
        <v>0</v>
      </c>
      <c r="R173" s="236">
        <v>0</v>
      </c>
      <c r="S173" s="236">
        <v>0</v>
      </c>
      <c r="T173" s="236">
        <v>0</v>
      </c>
      <c r="U173" s="236">
        <v>0</v>
      </c>
      <c r="V173" s="63">
        <v>202957</v>
      </c>
      <c r="W173" s="217">
        <v>1007</v>
      </c>
      <c r="X173" s="217">
        <v>1049</v>
      </c>
    </row>
    <row r="174" spans="1:24" x14ac:dyDescent="0.25">
      <c r="A174" s="31">
        <v>39133</v>
      </c>
      <c r="B174" s="62">
        <v>2757859.1</v>
      </c>
      <c r="C174" s="236">
        <v>0</v>
      </c>
      <c r="D174" s="236">
        <v>0</v>
      </c>
      <c r="E174" s="236">
        <v>0</v>
      </c>
      <c r="F174" s="236">
        <v>3471</v>
      </c>
      <c r="G174" s="236">
        <v>0</v>
      </c>
      <c r="H174" s="236">
        <v>0</v>
      </c>
      <c r="I174" s="236">
        <v>0</v>
      </c>
      <c r="J174" s="91">
        <v>2754388.1</v>
      </c>
      <c r="K174" s="217">
        <v>1007</v>
      </c>
      <c r="L174" s="217">
        <v>1058</v>
      </c>
      <c r="M174" s="217"/>
      <c r="N174" s="232">
        <v>1037</v>
      </c>
      <c r="O174" s="90">
        <v>202957</v>
      </c>
      <c r="P174" s="236">
        <v>0</v>
      </c>
      <c r="Q174" s="236">
        <v>0</v>
      </c>
      <c r="R174" s="236">
        <v>277</v>
      </c>
      <c r="S174" s="236">
        <v>0</v>
      </c>
      <c r="T174" s="236">
        <v>0</v>
      </c>
      <c r="U174" s="236">
        <v>0</v>
      </c>
      <c r="V174" s="63">
        <v>202680</v>
      </c>
      <c r="W174" s="217">
        <v>1007</v>
      </c>
      <c r="X174" s="217">
        <v>1049</v>
      </c>
    </row>
    <row r="175" spans="1:24" x14ac:dyDescent="0.25">
      <c r="A175" s="31">
        <v>39134</v>
      </c>
      <c r="B175" s="62">
        <v>2754388.1</v>
      </c>
      <c r="C175" s="236">
        <v>0</v>
      </c>
      <c r="D175" s="236">
        <v>0</v>
      </c>
      <c r="E175" s="236">
        <v>0</v>
      </c>
      <c r="F175" s="236">
        <v>2135</v>
      </c>
      <c r="G175" s="236">
        <v>0</v>
      </c>
      <c r="H175" s="236">
        <v>0</v>
      </c>
      <c r="I175" s="236">
        <v>0</v>
      </c>
      <c r="J175" s="91">
        <v>2752253.1</v>
      </c>
      <c r="K175" s="217">
        <v>1007</v>
      </c>
      <c r="L175" s="217">
        <v>1058</v>
      </c>
      <c r="M175" s="217"/>
      <c r="N175" s="232">
        <v>1037</v>
      </c>
      <c r="O175" s="90">
        <v>202680</v>
      </c>
      <c r="P175" s="236">
        <v>0</v>
      </c>
      <c r="Q175" s="236">
        <v>0</v>
      </c>
      <c r="R175" s="236">
        <v>62</v>
      </c>
      <c r="S175" s="236">
        <v>0</v>
      </c>
      <c r="T175" s="236">
        <v>0</v>
      </c>
      <c r="U175" s="236">
        <v>0</v>
      </c>
      <c r="V175" s="63">
        <v>202618</v>
      </c>
      <c r="W175" s="217">
        <v>1007</v>
      </c>
      <c r="X175" s="217">
        <v>1049</v>
      </c>
    </row>
    <row r="176" spans="1:24" x14ac:dyDescent="0.25">
      <c r="A176" s="31">
        <v>39135</v>
      </c>
      <c r="B176" s="62">
        <v>2752253.1</v>
      </c>
      <c r="C176" s="236">
        <v>0</v>
      </c>
      <c r="D176" s="236">
        <v>0</v>
      </c>
      <c r="E176" s="236">
        <v>0</v>
      </c>
      <c r="F176" s="236">
        <v>3737</v>
      </c>
      <c r="G176" s="236">
        <v>0</v>
      </c>
      <c r="H176" s="236">
        <v>0</v>
      </c>
      <c r="I176" s="236">
        <v>0</v>
      </c>
      <c r="J176" s="91">
        <v>2748516.1</v>
      </c>
      <c r="K176" s="217">
        <v>1007</v>
      </c>
      <c r="L176" s="217">
        <v>1058</v>
      </c>
      <c r="M176" s="217"/>
      <c r="N176" s="232">
        <v>1038</v>
      </c>
      <c r="O176" s="90">
        <v>202618</v>
      </c>
      <c r="P176" s="236">
        <v>0</v>
      </c>
      <c r="Q176" s="236">
        <v>0</v>
      </c>
      <c r="R176" s="236">
        <v>64</v>
      </c>
      <c r="S176" s="236">
        <v>0</v>
      </c>
      <c r="T176" s="236">
        <v>0</v>
      </c>
      <c r="U176" s="236">
        <v>0</v>
      </c>
      <c r="V176" s="63">
        <v>202554</v>
      </c>
      <c r="W176" s="217">
        <v>1007</v>
      </c>
      <c r="X176" s="217">
        <v>1049</v>
      </c>
    </row>
    <row r="177" spans="1:24" x14ac:dyDescent="0.25">
      <c r="A177" s="31">
        <v>39136</v>
      </c>
      <c r="B177" s="62">
        <v>2748516.1</v>
      </c>
      <c r="C177" s="236">
        <v>0</v>
      </c>
      <c r="D177" s="236">
        <v>0</v>
      </c>
      <c r="E177" s="236">
        <v>0</v>
      </c>
      <c r="F177" s="236">
        <v>2450</v>
      </c>
      <c r="G177" s="236">
        <v>7959</v>
      </c>
      <c r="H177" s="236">
        <v>0</v>
      </c>
      <c r="I177" s="236">
        <v>0</v>
      </c>
      <c r="J177" s="91">
        <v>2738107.1</v>
      </c>
      <c r="K177" s="217">
        <v>1007</v>
      </c>
      <c r="L177" s="217">
        <v>1058</v>
      </c>
      <c r="M177" s="217"/>
      <c r="N177" s="232">
        <v>1038</v>
      </c>
      <c r="O177" s="90">
        <v>202554</v>
      </c>
      <c r="P177" s="236">
        <v>0</v>
      </c>
      <c r="Q177" s="236">
        <v>0</v>
      </c>
      <c r="R177" s="236">
        <v>151</v>
      </c>
      <c r="S177" s="236">
        <v>0</v>
      </c>
      <c r="T177" s="236">
        <v>0</v>
      </c>
      <c r="U177" s="236">
        <v>0</v>
      </c>
      <c r="V177" s="63">
        <v>202403</v>
      </c>
      <c r="W177" s="217">
        <v>1007</v>
      </c>
      <c r="X177" s="217">
        <v>1049</v>
      </c>
    </row>
    <row r="178" spans="1:24" x14ac:dyDescent="0.25">
      <c r="A178" s="31">
        <v>39137</v>
      </c>
      <c r="B178" s="62">
        <v>2738107.1</v>
      </c>
      <c r="C178" s="236">
        <v>0</v>
      </c>
      <c r="D178" s="236">
        <v>0</v>
      </c>
      <c r="E178" s="236">
        <v>0</v>
      </c>
      <c r="F178" s="236">
        <v>392</v>
      </c>
      <c r="G178" s="236">
        <v>8948</v>
      </c>
      <c r="H178" s="236">
        <v>0</v>
      </c>
      <c r="I178" s="236">
        <v>0</v>
      </c>
      <c r="J178" s="91">
        <v>2728767.1</v>
      </c>
      <c r="K178" s="217">
        <v>1007</v>
      </c>
      <c r="L178" s="217">
        <v>1058</v>
      </c>
      <c r="M178" s="217"/>
      <c r="N178" s="232">
        <v>1024</v>
      </c>
      <c r="O178" s="90">
        <v>202403</v>
      </c>
      <c r="P178" s="236">
        <v>0</v>
      </c>
      <c r="Q178" s="236">
        <v>0</v>
      </c>
      <c r="R178" s="236">
        <v>277</v>
      </c>
      <c r="S178" s="236">
        <v>0</v>
      </c>
      <c r="T178" s="236">
        <v>0</v>
      </c>
      <c r="U178" s="236">
        <v>0</v>
      </c>
      <c r="V178" s="63">
        <v>202126</v>
      </c>
      <c r="W178" s="217">
        <v>1007</v>
      </c>
      <c r="X178" s="217">
        <v>1049</v>
      </c>
    </row>
    <row r="179" spans="1:24" x14ac:dyDescent="0.25">
      <c r="A179" s="31">
        <v>39138</v>
      </c>
      <c r="B179" s="62">
        <v>2728767.1</v>
      </c>
      <c r="C179" s="236">
        <v>0</v>
      </c>
      <c r="D179" s="236">
        <v>0</v>
      </c>
      <c r="E179" s="236">
        <v>0</v>
      </c>
      <c r="F179" s="236">
        <v>3434</v>
      </c>
      <c r="G179" s="236">
        <v>568</v>
      </c>
      <c r="H179" s="236">
        <v>0</v>
      </c>
      <c r="I179" s="236">
        <v>0</v>
      </c>
      <c r="J179" s="91">
        <v>2724765.1</v>
      </c>
      <c r="K179" s="217">
        <v>1007</v>
      </c>
      <c r="L179" s="217">
        <v>1058</v>
      </c>
      <c r="M179" s="217"/>
      <c r="N179" s="232">
        <v>1024</v>
      </c>
      <c r="O179" s="90">
        <v>202126</v>
      </c>
      <c r="P179" s="236">
        <v>0</v>
      </c>
      <c r="Q179" s="236">
        <v>0</v>
      </c>
      <c r="R179" s="236">
        <v>62</v>
      </c>
      <c r="S179" s="236">
        <v>0</v>
      </c>
      <c r="T179" s="236">
        <v>0</v>
      </c>
      <c r="U179" s="236">
        <v>0</v>
      </c>
      <c r="V179" s="63">
        <v>202064</v>
      </c>
      <c r="W179" s="217">
        <v>1007</v>
      </c>
      <c r="X179" s="217">
        <v>1049</v>
      </c>
    </row>
    <row r="180" spans="1:24" x14ac:dyDescent="0.25">
      <c r="A180" s="31">
        <v>39139</v>
      </c>
      <c r="B180" s="62">
        <v>2724765.1</v>
      </c>
      <c r="C180" s="236">
        <v>0</v>
      </c>
      <c r="D180" s="236">
        <v>0</v>
      </c>
      <c r="E180" s="236">
        <v>0</v>
      </c>
      <c r="F180" s="236">
        <v>2667</v>
      </c>
      <c r="G180" s="236">
        <v>0</v>
      </c>
      <c r="H180" s="236">
        <v>0</v>
      </c>
      <c r="I180" s="236">
        <v>0</v>
      </c>
      <c r="J180" s="91">
        <v>2722098.1</v>
      </c>
      <c r="K180" s="217">
        <v>1007</v>
      </c>
      <c r="L180" s="217">
        <v>1058</v>
      </c>
      <c r="M180" s="217"/>
      <c r="N180" s="232">
        <v>1032</v>
      </c>
      <c r="O180" s="90">
        <v>202064</v>
      </c>
      <c r="P180" s="236">
        <v>0</v>
      </c>
      <c r="Q180" s="236">
        <v>0</v>
      </c>
      <c r="R180" s="236">
        <v>71</v>
      </c>
      <c r="S180" s="236">
        <v>0</v>
      </c>
      <c r="T180" s="236">
        <v>0</v>
      </c>
      <c r="U180" s="236">
        <v>0</v>
      </c>
      <c r="V180" s="63">
        <v>201993</v>
      </c>
      <c r="W180" s="217">
        <v>1007</v>
      </c>
      <c r="X180" s="217">
        <v>1049</v>
      </c>
    </row>
    <row r="181" spans="1:24" x14ac:dyDescent="0.25">
      <c r="A181" s="31">
        <v>39140</v>
      </c>
      <c r="B181" s="62">
        <v>2722098.1</v>
      </c>
      <c r="C181" s="236">
        <v>0</v>
      </c>
      <c r="D181" s="236">
        <v>0</v>
      </c>
      <c r="E181" s="236">
        <v>0</v>
      </c>
      <c r="F181" s="236">
        <v>1603</v>
      </c>
      <c r="G181" s="236">
        <v>0</v>
      </c>
      <c r="H181" s="236">
        <v>0</v>
      </c>
      <c r="I181" s="236">
        <v>0</v>
      </c>
      <c r="J181" s="91">
        <v>2720495.1</v>
      </c>
      <c r="K181" s="217">
        <v>1007</v>
      </c>
      <c r="L181" s="217">
        <v>1058</v>
      </c>
      <c r="M181" s="217"/>
      <c r="N181" s="232">
        <v>1032</v>
      </c>
      <c r="O181" s="90">
        <v>201993</v>
      </c>
      <c r="P181" s="236">
        <v>0</v>
      </c>
      <c r="Q181" s="236">
        <v>0</v>
      </c>
      <c r="R181" s="236">
        <v>143</v>
      </c>
      <c r="S181" s="236">
        <v>0</v>
      </c>
      <c r="T181" s="236">
        <v>0</v>
      </c>
      <c r="U181" s="236">
        <v>0</v>
      </c>
      <c r="V181" s="63">
        <v>201850</v>
      </c>
      <c r="W181" s="217">
        <v>1007</v>
      </c>
      <c r="X181" s="217">
        <v>1049</v>
      </c>
    </row>
    <row r="182" spans="1:24" x14ac:dyDescent="0.25">
      <c r="A182" s="31">
        <v>39141</v>
      </c>
      <c r="B182" s="62">
        <v>2720495.1</v>
      </c>
      <c r="C182" s="236">
        <v>0</v>
      </c>
      <c r="D182" s="236">
        <v>0</v>
      </c>
      <c r="E182" s="236">
        <v>0</v>
      </c>
      <c r="F182" s="236">
        <v>1866</v>
      </c>
      <c r="G182" s="236">
        <v>0</v>
      </c>
      <c r="H182" s="236">
        <v>0</v>
      </c>
      <c r="I182" s="236">
        <v>0</v>
      </c>
      <c r="J182" s="91">
        <v>2718629.1</v>
      </c>
      <c r="K182" s="217">
        <v>1007</v>
      </c>
      <c r="L182" s="217">
        <v>1058</v>
      </c>
      <c r="M182" s="217"/>
      <c r="N182" s="232">
        <v>1033</v>
      </c>
      <c r="O182" s="90">
        <v>201850</v>
      </c>
      <c r="P182" s="236">
        <v>0</v>
      </c>
      <c r="Q182" s="236">
        <v>0</v>
      </c>
      <c r="R182" s="236">
        <v>70</v>
      </c>
      <c r="S182" s="236">
        <v>0</v>
      </c>
      <c r="T182" s="236">
        <v>0</v>
      </c>
      <c r="U182" s="236">
        <v>0</v>
      </c>
      <c r="V182" s="63">
        <v>201780</v>
      </c>
      <c r="W182" s="217">
        <v>1007</v>
      </c>
      <c r="X182" s="217">
        <v>1049</v>
      </c>
    </row>
    <row r="183" spans="1:24" x14ac:dyDescent="0.25">
      <c r="A183" s="31">
        <v>39142</v>
      </c>
      <c r="B183" s="62">
        <v>2718629.1</v>
      </c>
      <c r="C183" s="236">
        <v>0</v>
      </c>
      <c r="D183" s="236">
        <v>0</v>
      </c>
      <c r="E183" s="236">
        <v>0</v>
      </c>
      <c r="F183" s="236">
        <v>4535</v>
      </c>
      <c r="G183" s="236">
        <v>0</v>
      </c>
      <c r="H183" s="236">
        <v>0</v>
      </c>
      <c r="I183" s="236">
        <v>0</v>
      </c>
      <c r="J183" s="91">
        <v>2714094.1</v>
      </c>
      <c r="K183" s="217">
        <v>1007</v>
      </c>
      <c r="L183" s="217">
        <v>1058</v>
      </c>
      <c r="M183" s="217"/>
      <c r="N183" s="232">
        <v>1032</v>
      </c>
      <c r="O183" s="90">
        <v>201780</v>
      </c>
      <c r="P183" s="236">
        <v>0</v>
      </c>
      <c r="Q183" s="236">
        <v>0</v>
      </c>
      <c r="R183" s="236">
        <v>207</v>
      </c>
      <c r="S183" s="236">
        <v>0</v>
      </c>
      <c r="T183" s="236">
        <v>0</v>
      </c>
      <c r="U183" s="236">
        <v>0</v>
      </c>
      <c r="V183" s="63">
        <v>201573</v>
      </c>
      <c r="W183" s="217">
        <v>1007</v>
      </c>
      <c r="X183" s="217">
        <v>1049</v>
      </c>
    </row>
    <row r="184" spans="1:24" x14ac:dyDescent="0.25">
      <c r="A184" s="31">
        <v>39143</v>
      </c>
      <c r="B184" s="62">
        <v>2714094.1</v>
      </c>
      <c r="C184" s="236">
        <v>0</v>
      </c>
      <c r="D184" s="236">
        <v>0</v>
      </c>
      <c r="E184" s="236">
        <v>0</v>
      </c>
      <c r="F184" s="236">
        <v>4268</v>
      </c>
      <c r="G184" s="236">
        <v>0</v>
      </c>
      <c r="H184" s="236">
        <v>0</v>
      </c>
      <c r="I184" s="236">
        <v>0</v>
      </c>
      <c r="J184" s="91">
        <v>2709826.1</v>
      </c>
      <c r="K184" s="217">
        <v>1007</v>
      </c>
      <c r="L184" s="217">
        <v>1058</v>
      </c>
      <c r="M184" s="217"/>
      <c r="N184" s="232">
        <v>1033</v>
      </c>
      <c r="O184" s="90">
        <v>201573</v>
      </c>
      <c r="P184" s="236">
        <v>0</v>
      </c>
      <c r="Q184" s="236">
        <v>0</v>
      </c>
      <c r="R184" s="236">
        <v>74</v>
      </c>
      <c r="S184" s="236">
        <v>0</v>
      </c>
      <c r="T184" s="236">
        <v>0</v>
      </c>
      <c r="U184" s="236">
        <v>0</v>
      </c>
      <c r="V184" s="63">
        <v>201499</v>
      </c>
      <c r="W184" s="217">
        <v>1007</v>
      </c>
      <c r="X184" s="217">
        <v>1049</v>
      </c>
    </row>
    <row r="185" spans="1:24" x14ac:dyDescent="0.25">
      <c r="A185" s="31">
        <v>39144</v>
      </c>
      <c r="B185" s="62">
        <v>2709826.1</v>
      </c>
      <c r="C185" s="236">
        <v>0</v>
      </c>
      <c r="D185" s="236">
        <v>0</v>
      </c>
      <c r="E185" s="236">
        <v>0</v>
      </c>
      <c r="F185" s="236">
        <v>2667</v>
      </c>
      <c r="G185" s="236">
        <v>0</v>
      </c>
      <c r="H185" s="236">
        <v>0</v>
      </c>
      <c r="I185" s="236">
        <v>0</v>
      </c>
      <c r="J185" s="91">
        <v>2707159.1</v>
      </c>
      <c r="K185" s="217">
        <v>1007</v>
      </c>
      <c r="L185" s="217">
        <v>1058</v>
      </c>
      <c r="M185" s="217"/>
      <c r="N185" s="232">
        <v>1033</v>
      </c>
      <c r="O185" s="90">
        <v>201499</v>
      </c>
      <c r="P185" s="236">
        <v>0</v>
      </c>
      <c r="Q185" s="236">
        <v>0</v>
      </c>
      <c r="R185" s="236">
        <v>203</v>
      </c>
      <c r="S185" s="236">
        <v>0</v>
      </c>
      <c r="T185" s="236">
        <v>0</v>
      </c>
      <c r="U185" s="236">
        <v>0</v>
      </c>
      <c r="V185" s="63">
        <v>201296</v>
      </c>
      <c r="W185" s="217">
        <v>1007</v>
      </c>
      <c r="X185" s="217">
        <v>1049</v>
      </c>
    </row>
    <row r="186" spans="1:24" x14ac:dyDescent="0.25">
      <c r="A186" s="31">
        <v>39145</v>
      </c>
      <c r="B186" s="62">
        <v>2707159.1</v>
      </c>
      <c r="C186" s="236">
        <v>0</v>
      </c>
      <c r="D186" s="236">
        <v>0</v>
      </c>
      <c r="E186" s="236">
        <v>0</v>
      </c>
      <c r="F186" s="236">
        <v>1598</v>
      </c>
      <c r="G186" s="236">
        <v>0</v>
      </c>
      <c r="H186" s="236">
        <v>0</v>
      </c>
      <c r="I186" s="236">
        <v>0</v>
      </c>
      <c r="J186" s="91">
        <v>2705561.1</v>
      </c>
      <c r="K186" s="217">
        <v>1007</v>
      </c>
      <c r="L186" s="217">
        <v>1058</v>
      </c>
      <c r="M186" s="217"/>
      <c r="N186" s="232">
        <v>1034</v>
      </c>
      <c r="O186" s="90">
        <v>201296</v>
      </c>
      <c r="P186" s="236">
        <v>0</v>
      </c>
      <c r="Q186" s="236">
        <v>0</v>
      </c>
      <c r="R186" s="236">
        <v>71</v>
      </c>
      <c r="S186" s="236">
        <v>0</v>
      </c>
      <c r="T186" s="236">
        <v>0</v>
      </c>
      <c r="U186" s="236">
        <v>0</v>
      </c>
      <c r="V186" s="63">
        <v>201225</v>
      </c>
      <c r="W186" s="217">
        <v>1007</v>
      </c>
      <c r="X186" s="217">
        <v>1049</v>
      </c>
    </row>
    <row r="187" spans="1:24" x14ac:dyDescent="0.25">
      <c r="A187" s="31">
        <v>39146</v>
      </c>
      <c r="B187" s="62">
        <v>2705561.1</v>
      </c>
      <c r="C187" s="236">
        <v>0</v>
      </c>
      <c r="D187" s="236">
        <v>0</v>
      </c>
      <c r="E187" s="236">
        <v>0</v>
      </c>
      <c r="F187" s="236">
        <v>1144</v>
      </c>
      <c r="G187" s="236">
        <v>24479</v>
      </c>
      <c r="H187" s="236">
        <v>0</v>
      </c>
      <c r="I187" s="236">
        <v>0</v>
      </c>
      <c r="J187" s="91">
        <v>2679938.1</v>
      </c>
      <c r="K187" s="217">
        <v>1007</v>
      </c>
      <c r="L187" s="217">
        <v>1058</v>
      </c>
      <c r="M187" s="217"/>
      <c r="N187" s="232">
        <v>1038</v>
      </c>
      <c r="O187" s="90">
        <v>201225</v>
      </c>
      <c r="P187" s="236">
        <v>0</v>
      </c>
      <c r="Q187" s="236">
        <v>0</v>
      </c>
      <c r="R187" s="236">
        <v>205</v>
      </c>
      <c r="S187" s="236">
        <v>0</v>
      </c>
      <c r="T187" s="236">
        <v>0</v>
      </c>
      <c r="U187" s="236">
        <v>0</v>
      </c>
      <c r="V187" s="63">
        <v>201020</v>
      </c>
      <c r="W187" s="217">
        <v>1007</v>
      </c>
      <c r="X187" s="217">
        <v>1049</v>
      </c>
    </row>
    <row r="188" spans="1:24" x14ac:dyDescent="0.25">
      <c r="A188" s="31">
        <v>39147</v>
      </c>
      <c r="B188" s="62">
        <v>2679938.1</v>
      </c>
      <c r="C188" s="236">
        <v>0</v>
      </c>
      <c r="D188" s="236">
        <v>0</v>
      </c>
      <c r="E188" s="236">
        <v>0</v>
      </c>
      <c r="F188" s="236">
        <v>1027</v>
      </c>
      <c r="G188" s="236">
        <v>89423</v>
      </c>
      <c r="H188" s="236">
        <v>0</v>
      </c>
      <c r="I188" s="236">
        <v>0</v>
      </c>
      <c r="J188" s="91">
        <v>2589488.1</v>
      </c>
      <c r="K188" s="217">
        <v>1007</v>
      </c>
      <c r="L188" s="217">
        <v>1058</v>
      </c>
      <c r="M188" s="217"/>
      <c r="N188" s="232">
        <v>1042</v>
      </c>
      <c r="O188" s="90">
        <v>201020</v>
      </c>
      <c r="P188" s="236">
        <v>0</v>
      </c>
      <c r="Q188" s="236">
        <v>0</v>
      </c>
      <c r="R188" s="236">
        <v>75</v>
      </c>
      <c r="S188" s="236">
        <v>3244</v>
      </c>
      <c r="T188" s="236">
        <v>0</v>
      </c>
      <c r="U188" s="236">
        <v>0</v>
      </c>
      <c r="V188" s="63">
        <v>197701</v>
      </c>
      <c r="W188" s="217">
        <v>1007</v>
      </c>
      <c r="X188" s="217">
        <v>1049</v>
      </c>
    </row>
    <row r="189" spans="1:24" x14ac:dyDescent="0.25">
      <c r="A189" s="31">
        <v>39148</v>
      </c>
      <c r="B189" s="62">
        <v>2589488.1</v>
      </c>
      <c r="C189" s="236">
        <v>0</v>
      </c>
      <c r="D189" s="236">
        <v>0</v>
      </c>
      <c r="E189" s="236">
        <v>0</v>
      </c>
      <c r="F189" s="236">
        <v>1244</v>
      </c>
      <c r="G189" s="236">
        <v>74740</v>
      </c>
      <c r="H189" s="236">
        <v>0</v>
      </c>
      <c r="I189" s="236">
        <v>0</v>
      </c>
      <c r="J189" s="91">
        <v>2513504.1</v>
      </c>
      <c r="K189" s="217">
        <v>1007</v>
      </c>
      <c r="L189" s="217">
        <v>1058</v>
      </c>
      <c r="M189" s="217"/>
      <c r="N189" s="232">
        <v>1039</v>
      </c>
      <c r="O189" s="90">
        <v>197701</v>
      </c>
      <c r="P189" s="236">
        <v>0</v>
      </c>
      <c r="Q189" s="236">
        <v>0</v>
      </c>
      <c r="R189" s="236">
        <v>85</v>
      </c>
      <c r="S189" s="236">
        <v>1573</v>
      </c>
      <c r="T189" s="236">
        <v>0</v>
      </c>
      <c r="U189" s="236">
        <v>0</v>
      </c>
      <c r="V189" s="63">
        <v>196043</v>
      </c>
      <c r="W189" s="217">
        <v>1007</v>
      </c>
      <c r="X189" s="217">
        <v>1049</v>
      </c>
    </row>
    <row r="190" spans="1:24" x14ac:dyDescent="0.25">
      <c r="A190" s="31">
        <v>39149</v>
      </c>
      <c r="B190" s="62">
        <v>2513504.1</v>
      </c>
      <c r="C190" s="236">
        <v>0</v>
      </c>
      <c r="D190" s="236">
        <v>0</v>
      </c>
      <c r="E190" s="236">
        <v>0</v>
      </c>
      <c r="F190" s="236">
        <v>4903</v>
      </c>
      <c r="G190" s="236">
        <v>19652</v>
      </c>
      <c r="H190" s="236">
        <v>0</v>
      </c>
      <c r="I190" s="236">
        <v>0</v>
      </c>
      <c r="J190" s="91">
        <v>2488949.1</v>
      </c>
      <c r="K190" s="217">
        <v>1007</v>
      </c>
      <c r="L190" s="217">
        <v>1058</v>
      </c>
      <c r="M190" s="217"/>
      <c r="N190" s="232">
        <v>1041</v>
      </c>
      <c r="O190" s="90">
        <v>196043</v>
      </c>
      <c r="P190" s="236">
        <v>0</v>
      </c>
      <c r="Q190" s="236">
        <v>0</v>
      </c>
      <c r="R190" s="236">
        <v>552</v>
      </c>
      <c r="S190" s="236">
        <v>0</v>
      </c>
      <c r="T190" s="236">
        <v>0</v>
      </c>
      <c r="U190" s="236">
        <v>0</v>
      </c>
      <c r="V190" s="63">
        <v>195491</v>
      </c>
      <c r="W190" s="217">
        <v>1007</v>
      </c>
      <c r="X190" s="217">
        <v>1049</v>
      </c>
    </row>
    <row r="191" spans="1:24" x14ac:dyDescent="0.25">
      <c r="A191" s="31">
        <v>39150</v>
      </c>
      <c r="B191" s="62">
        <v>2488949.1</v>
      </c>
      <c r="C191" s="236">
        <v>0</v>
      </c>
      <c r="D191" s="236">
        <v>0</v>
      </c>
      <c r="E191" s="236">
        <v>0</v>
      </c>
      <c r="F191" s="236">
        <v>2004</v>
      </c>
      <c r="G191" s="236">
        <v>1465</v>
      </c>
      <c r="H191" s="236">
        <v>0</v>
      </c>
      <c r="I191" s="236">
        <v>0</v>
      </c>
      <c r="J191" s="91">
        <v>2485480.1</v>
      </c>
      <c r="K191" s="217">
        <v>1007</v>
      </c>
      <c r="L191" s="217">
        <v>1058</v>
      </c>
      <c r="M191" s="217"/>
      <c r="N191" s="232">
        <v>1036</v>
      </c>
      <c r="O191" s="90">
        <v>195491</v>
      </c>
      <c r="P191" s="236">
        <v>0</v>
      </c>
      <c r="Q191" s="236">
        <v>0</v>
      </c>
      <c r="R191" s="236">
        <v>74</v>
      </c>
      <c r="S191" s="236">
        <v>0</v>
      </c>
      <c r="T191" s="236">
        <v>0</v>
      </c>
      <c r="U191" s="236">
        <v>0</v>
      </c>
      <c r="V191" s="63">
        <v>195417</v>
      </c>
      <c r="W191" s="217">
        <v>1007</v>
      </c>
      <c r="X191" s="217">
        <v>1049</v>
      </c>
    </row>
    <row r="192" spans="1:24" x14ac:dyDescent="0.25">
      <c r="A192" s="31">
        <v>39151</v>
      </c>
      <c r="B192" s="62">
        <v>2485480.1</v>
      </c>
      <c r="C192" s="236">
        <v>0</v>
      </c>
      <c r="D192" s="236">
        <v>0</v>
      </c>
      <c r="E192" s="236">
        <v>0</v>
      </c>
      <c r="F192" s="236">
        <v>4272</v>
      </c>
      <c r="G192" s="236">
        <v>0</v>
      </c>
      <c r="H192" s="236">
        <v>0</v>
      </c>
      <c r="I192" s="236">
        <v>0</v>
      </c>
      <c r="J192" s="91">
        <v>2481208.1</v>
      </c>
      <c r="K192" s="217">
        <v>1007</v>
      </c>
      <c r="L192" s="217">
        <v>1058</v>
      </c>
      <c r="M192" s="217"/>
      <c r="N192" s="232">
        <v>1038</v>
      </c>
      <c r="O192" s="90">
        <v>195417</v>
      </c>
      <c r="P192" s="236">
        <v>0</v>
      </c>
      <c r="Q192" s="236">
        <v>0</v>
      </c>
      <c r="R192" s="236">
        <v>70</v>
      </c>
      <c r="S192" s="236">
        <v>0</v>
      </c>
      <c r="T192" s="236">
        <v>0</v>
      </c>
      <c r="U192" s="236">
        <v>0</v>
      </c>
      <c r="V192" s="63">
        <v>195347</v>
      </c>
      <c r="W192" s="217">
        <v>1007</v>
      </c>
      <c r="X192" s="217">
        <v>1049</v>
      </c>
    </row>
    <row r="193" spans="1:24" x14ac:dyDescent="0.25">
      <c r="A193" s="31">
        <v>39152</v>
      </c>
      <c r="B193" s="62">
        <v>2481208.1</v>
      </c>
      <c r="C193" s="236">
        <v>0</v>
      </c>
      <c r="D193" s="236">
        <v>0</v>
      </c>
      <c r="E193" s="236">
        <v>0</v>
      </c>
      <c r="F193" s="236">
        <v>2405</v>
      </c>
      <c r="G193" s="236">
        <v>0</v>
      </c>
      <c r="H193" s="236">
        <v>0</v>
      </c>
      <c r="I193" s="236">
        <v>0</v>
      </c>
      <c r="J193" s="91">
        <v>2478803.1</v>
      </c>
      <c r="K193" s="217">
        <v>1007</v>
      </c>
      <c r="L193" s="217">
        <v>1058</v>
      </c>
      <c r="M193" s="217"/>
      <c r="N193" s="232">
        <v>1036</v>
      </c>
      <c r="O193" s="90">
        <v>195347</v>
      </c>
      <c r="P193" s="236">
        <v>0</v>
      </c>
      <c r="Q193" s="236">
        <v>0</v>
      </c>
      <c r="R193" s="236">
        <v>132</v>
      </c>
      <c r="S193" s="236">
        <v>0</v>
      </c>
      <c r="T193" s="236">
        <v>0</v>
      </c>
      <c r="U193" s="236">
        <v>0</v>
      </c>
      <c r="V193" s="63">
        <v>195215</v>
      </c>
      <c r="W193" s="217">
        <v>1007</v>
      </c>
      <c r="X193" s="217">
        <v>1049</v>
      </c>
    </row>
    <row r="194" spans="1:24" x14ac:dyDescent="0.25">
      <c r="A194" s="31">
        <v>39153</v>
      </c>
      <c r="B194" s="62">
        <v>2478803.1</v>
      </c>
      <c r="C194" s="236">
        <v>0</v>
      </c>
      <c r="D194" s="236">
        <v>0</v>
      </c>
      <c r="E194" s="236">
        <v>0</v>
      </c>
      <c r="F194" s="236">
        <v>2938</v>
      </c>
      <c r="G194" s="236">
        <v>0</v>
      </c>
      <c r="H194" s="236">
        <v>0</v>
      </c>
      <c r="I194" s="236">
        <v>0</v>
      </c>
      <c r="J194" s="91">
        <v>2475865.1</v>
      </c>
      <c r="K194" s="217">
        <v>1007</v>
      </c>
      <c r="L194" s="217">
        <v>1058</v>
      </c>
      <c r="M194" s="217"/>
      <c r="N194" s="232">
        <v>1034</v>
      </c>
      <c r="O194" s="90">
        <v>195215</v>
      </c>
      <c r="P194" s="236">
        <v>0</v>
      </c>
      <c r="Q194" s="236">
        <v>0</v>
      </c>
      <c r="R194" s="236">
        <v>75</v>
      </c>
      <c r="S194" s="236">
        <v>0</v>
      </c>
      <c r="T194" s="236">
        <v>0</v>
      </c>
      <c r="U194" s="236">
        <v>0</v>
      </c>
      <c r="V194" s="63">
        <v>195140</v>
      </c>
      <c r="W194" s="217">
        <v>1007</v>
      </c>
      <c r="X194" s="217">
        <v>1049</v>
      </c>
    </row>
    <row r="195" spans="1:24" x14ac:dyDescent="0.25">
      <c r="A195" s="31">
        <v>39154</v>
      </c>
      <c r="B195" s="62">
        <v>2475865.1</v>
      </c>
      <c r="C195" s="236">
        <v>0</v>
      </c>
      <c r="D195" s="236">
        <v>0</v>
      </c>
      <c r="E195" s="236">
        <v>0</v>
      </c>
      <c r="F195" s="236">
        <v>3737</v>
      </c>
      <c r="G195" s="236">
        <v>0</v>
      </c>
      <c r="H195" s="236">
        <v>0</v>
      </c>
      <c r="I195" s="236">
        <v>0</v>
      </c>
      <c r="J195" s="91">
        <v>2472128.1</v>
      </c>
      <c r="K195" s="217">
        <v>1007</v>
      </c>
      <c r="L195" s="217">
        <v>1058</v>
      </c>
      <c r="M195" s="217"/>
      <c r="N195" s="232">
        <v>1034</v>
      </c>
      <c r="O195" s="90">
        <v>195140</v>
      </c>
      <c r="P195" s="236">
        <v>0</v>
      </c>
      <c r="Q195" s="236">
        <v>0</v>
      </c>
      <c r="R195" s="236">
        <v>50</v>
      </c>
      <c r="S195" s="236">
        <v>0</v>
      </c>
      <c r="T195" s="236">
        <v>0</v>
      </c>
      <c r="U195" s="236">
        <v>0</v>
      </c>
      <c r="V195" s="63">
        <v>195090</v>
      </c>
      <c r="W195" s="217">
        <v>1007</v>
      </c>
      <c r="X195" s="217">
        <v>1049</v>
      </c>
    </row>
    <row r="196" spans="1:24" x14ac:dyDescent="0.25">
      <c r="A196" s="31">
        <v>39155</v>
      </c>
      <c r="B196" s="62">
        <v>2472128.1</v>
      </c>
      <c r="C196" s="236">
        <v>0</v>
      </c>
      <c r="D196" s="236">
        <v>0</v>
      </c>
      <c r="E196" s="236">
        <v>0</v>
      </c>
      <c r="F196" s="236">
        <v>4271</v>
      </c>
      <c r="G196" s="236">
        <v>0</v>
      </c>
      <c r="H196" s="236">
        <v>0</v>
      </c>
      <c r="I196" s="236">
        <v>0</v>
      </c>
      <c r="J196" s="91">
        <v>2467857.1</v>
      </c>
      <c r="K196" s="217">
        <v>1007</v>
      </c>
      <c r="L196" s="217">
        <v>1058</v>
      </c>
      <c r="M196" s="217"/>
      <c r="N196" s="232">
        <v>1036</v>
      </c>
      <c r="O196" s="90">
        <v>195090</v>
      </c>
      <c r="P196" s="236">
        <v>0</v>
      </c>
      <c r="Q196" s="236">
        <v>0</v>
      </c>
      <c r="R196" s="236">
        <v>151</v>
      </c>
      <c r="S196" s="236">
        <v>0</v>
      </c>
      <c r="T196" s="236">
        <v>0</v>
      </c>
      <c r="U196" s="236">
        <v>0</v>
      </c>
      <c r="V196" s="63">
        <v>194939</v>
      </c>
      <c r="W196" s="217">
        <v>1007</v>
      </c>
      <c r="X196" s="217">
        <v>1049</v>
      </c>
    </row>
    <row r="197" spans="1:24" x14ac:dyDescent="0.25">
      <c r="A197" s="31">
        <v>39156</v>
      </c>
      <c r="B197" s="62">
        <v>2467857.1</v>
      </c>
      <c r="C197" s="236">
        <v>0</v>
      </c>
      <c r="D197" s="236">
        <v>0</v>
      </c>
      <c r="E197" s="236">
        <v>0</v>
      </c>
      <c r="F197" s="236">
        <v>1604</v>
      </c>
      <c r="G197" s="236">
        <v>0</v>
      </c>
      <c r="H197" s="236">
        <v>0</v>
      </c>
      <c r="I197" s="236">
        <v>0</v>
      </c>
      <c r="J197" s="91">
        <v>2466253.1</v>
      </c>
      <c r="K197" s="217">
        <v>1007</v>
      </c>
      <c r="L197" s="217">
        <v>1058</v>
      </c>
      <c r="M197" s="217"/>
      <c r="N197" s="232">
        <v>1035</v>
      </c>
      <c r="O197" s="90">
        <v>194939</v>
      </c>
      <c r="P197" s="236">
        <v>0</v>
      </c>
      <c r="Q197" s="236">
        <v>0</v>
      </c>
      <c r="R197" s="236">
        <v>276</v>
      </c>
      <c r="S197" s="236">
        <v>0</v>
      </c>
      <c r="T197" s="236">
        <v>0</v>
      </c>
      <c r="U197" s="236">
        <v>0</v>
      </c>
      <c r="V197" s="63">
        <v>194663</v>
      </c>
      <c r="W197" s="217">
        <v>1007</v>
      </c>
      <c r="X197" s="217">
        <v>1049</v>
      </c>
    </row>
    <row r="198" spans="1:24" x14ac:dyDescent="0.25">
      <c r="A198" s="31">
        <v>39157</v>
      </c>
      <c r="B198" s="62">
        <v>2466253.1</v>
      </c>
      <c r="C198" s="236">
        <v>0</v>
      </c>
      <c r="D198" s="236">
        <v>0</v>
      </c>
      <c r="E198" s="236">
        <v>0</v>
      </c>
      <c r="F198" s="236">
        <v>4537</v>
      </c>
      <c r="G198" s="236">
        <v>0</v>
      </c>
      <c r="H198" s="236">
        <v>0</v>
      </c>
      <c r="I198" s="236">
        <v>0</v>
      </c>
      <c r="J198" s="91">
        <v>2461716.1</v>
      </c>
      <c r="K198" s="217">
        <v>1007</v>
      </c>
      <c r="L198" s="217">
        <v>1058</v>
      </c>
      <c r="M198" s="217"/>
      <c r="N198" s="232">
        <v>1034</v>
      </c>
      <c r="O198" s="90">
        <v>194663</v>
      </c>
      <c r="P198" s="236">
        <v>0</v>
      </c>
      <c r="Q198" s="236">
        <v>0</v>
      </c>
      <c r="R198" s="236">
        <v>0</v>
      </c>
      <c r="S198" s="236">
        <v>0</v>
      </c>
      <c r="T198" s="236">
        <v>0</v>
      </c>
      <c r="U198" s="236">
        <v>0</v>
      </c>
      <c r="V198" s="63">
        <v>194663</v>
      </c>
      <c r="W198" s="217">
        <v>1007</v>
      </c>
      <c r="X198" s="217">
        <v>1049</v>
      </c>
    </row>
    <row r="199" spans="1:24" x14ac:dyDescent="0.25">
      <c r="A199" s="31">
        <v>39158</v>
      </c>
      <c r="B199" s="62">
        <v>2461716.1</v>
      </c>
      <c r="C199" s="236">
        <v>0</v>
      </c>
      <c r="D199" s="236">
        <v>0</v>
      </c>
      <c r="E199" s="236">
        <v>0</v>
      </c>
      <c r="F199" s="236">
        <v>2404</v>
      </c>
      <c r="G199" s="236">
        <v>0</v>
      </c>
      <c r="H199" s="236">
        <v>0</v>
      </c>
      <c r="I199" s="236">
        <v>0</v>
      </c>
      <c r="J199" s="91">
        <v>2459312.1</v>
      </c>
      <c r="K199" s="217">
        <v>1007</v>
      </c>
      <c r="L199" s="217">
        <v>1058</v>
      </c>
      <c r="M199" s="217"/>
      <c r="N199" s="232">
        <v>1037</v>
      </c>
      <c r="O199" s="90">
        <v>194663</v>
      </c>
      <c r="P199" s="236">
        <v>0</v>
      </c>
      <c r="Q199" s="236">
        <v>0</v>
      </c>
      <c r="R199" s="236">
        <v>552</v>
      </c>
      <c r="S199" s="236">
        <v>0</v>
      </c>
      <c r="T199" s="236">
        <v>0</v>
      </c>
      <c r="U199" s="236">
        <v>0</v>
      </c>
      <c r="V199" s="63">
        <v>194111</v>
      </c>
      <c r="W199" s="217">
        <v>1007</v>
      </c>
      <c r="X199" s="217">
        <v>1049</v>
      </c>
    </row>
    <row r="200" spans="1:24" x14ac:dyDescent="0.25">
      <c r="A200" s="31">
        <v>39159</v>
      </c>
      <c r="B200" s="62">
        <v>2459312.1</v>
      </c>
      <c r="C200" s="236">
        <v>0</v>
      </c>
      <c r="D200" s="236">
        <v>0</v>
      </c>
      <c r="E200" s="236">
        <v>0</v>
      </c>
      <c r="F200" s="236">
        <v>802</v>
      </c>
      <c r="G200" s="236">
        <v>0</v>
      </c>
      <c r="H200" s="236">
        <v>0</v>
      </c>
      <c r="I200" s="236">
        <v>0</v>
      </c>
      <c r="J200" s="91">
        <v>2458510.1</v>
      </c>
      <c r="K200" s="217">
        <v>1007</v>
      </c>
      <c r="L200" s="217">
        <v>1058</v>
      </c>
      <c r="M200" s="217"/>
      <c r="N200" s="232">
        <v>1038</v>
      </c>
      <c r="O200" s="90">
        <v>194111</v>
      </c>
      <c r="P200" s="236">
        <v>0</v>
      </c>
      <c r="Q200" s="236">
        <v>0</v>
      </c>
      <c r="R200" s="236">
        <v>276</v>
      </c>
      <c r="S200" s="236">
        <v>0</v>
      </c>
      <c r="T200" s="236">
        <v>0</v>
      </c>
      <c r="U200" s="236">
        <v>0</v>
      </c>
      <c r="V200" s="63">
        <v>193835</v>
      </c>
      <c r="W200" s="217">
        <v>1007</v>
      </c>
      <c r="X200" s="217">
        <v>1049</v>
      </c>
    </row>
    <row r="201" spans="1:24" x14ac:dyDescent="0.25">
      <c r="A201" s="31">
        <v>39160</v>
      </c>
      <c r="B201" s="62">
        <v>2458510.1</v>
      </c>
      <c r="C201" s="236">
        <v>0</v>
      </c>
      <c r="D201" s="236">
        <v>0</v>
      </c>
      <c r="E201" s="236">
        <v>0</v>
      </c>
      <c r="F201" s="236">
        <v>2136</v>
      </c>
      <c r="G201" s="236">
        <v>0</v>
      </c>
      <c r="H201" s="236">
        <v>0</v>
      </c>
      <c r="I201" s="236">
        <v>0</v>
      </c>
      <c r="J201" s="91">
        <v>2456374.1</v>
      </c>
      <c r="K201" s="217">
        <v>1007</v>
      </c>
      <c r="L201" s="217">
        <v>1058</v>
      </c>
      <c r="M201" s="217"/>
      <c r="N201" s="232">
        <v>1039</v>
      </c>
      <c r="O201" s="90">
        <v>193835</v>
      </c>
      <c r="P201" s="236">
        <v>0</v>
      </c>
      <c r="Q201" s="236">
        <v>0</v>
      </c>
      <c r="R201" s="236">
        <v>0</v>
      </c>
      <c r="S201" s="236">
        <v>0</v>
      </c>
      <c r="T201" s="236">
        <v>0</v>
      </c>
      <c r="U201" s="236">
        <v>0</v>
      </c>
      <c r="V201" s="63">
        <v>193835</v>
      </c>
      <c r="W201" s="217">
        <v>1007</v>
      </c>
      <c r="X201" s="217">
        <v>1049</v>
      </c>
    </row>
    <row r="202" spans="1:24" x14ac:dyDescent="0.25">
      <c r="A202" s="31">
        <v>39161</v>
      </c>
      <c r="B202" s="62">
        <v>2456374.1</v>
      </c>
      <c r="C202" s="236">
        <v>0</v>
      </c>
      <c r="D202" s="236">
        <v>0</v>
      </c>
      <c r="E202" s="236">
        <v>0</v>
      </c>
      <c r="F202" s="236">
        <v>268</v>
      </c>
      <c r="G202" s="236">
        <v>0</v>
      </c>
      <c r="H202" s="236">
        <v>0</v>
      </c>
      <c r="I202" s="236">
        <v>0</v>
      </c>
      <c r="J202" s="91">
        <v>2456106.1</v>
      </c>
      <c r="K202" s="217">
        <v>1007</v>
      </c>
      <c r="L202" s="217">
        <v>1058</v>
      </c>
      <c r="M202" s="217"/>
      <c r="N202" s="232">
        <v>1038</v>
      </c>
      <c r="O202" s="90">
        <v>193835</v>
      </c>
      <c r="P202" s="236">
        <v>0</v>
      </c>
      <c r="Q202" s="236">
        <v>0</v>
      </c>
      <c r="R202" s="236">
        <v>0</v>
      </c>
      <c r="S202" s="236">
        <v>0</v>
      </c>
      <c r="T202" s="236">
        <v>0</v>
      </c>
      <c r="U202" s="236">
        <v>0</v>
      </c>
      <c r="V202" s="63">
        <v>193835</v>
      </c>
      <c r="W202" s="217">
        <v>1007</v>
      </c>
      <c r="X202" s="217">
        <v>1049</v>
      </c>
    </row>
    <row r="203" spans="1:24" x14ac:dyDescent="0.25">
      <c r="A203" s="31">
        <v>39162</v>
      </c>
      <c r="B203" s="62">
        <v>2456106.1</v>
      </c>
      <c r="C203" s="236">
        <v>0</v>
      </c>
      <c r="D203" s="236">
        <v>0</v>
      </c>
      <c r="E203" s="236">
        <v>0</v>
      </c>
      <c r="F203" s="236">
        <v>1069</v>
      </c>
      <c r="G203" s="236">
        <v>0</v>
      </c>
      <c r="H203" s="236">
        <v>0</v>
      </c>
      <c r="I203" s="236">
        <v>0</v>
      </c>
      <c r="J203" s="91">
        <v>2455037.1</v>
      </c>
      <c r="K203" s="217">
        <v>1007</v>
      </c>
      <c r="L203" s="217">
        <v>1058</v>
      </c>
      <c r="M203" s="217"/>
      <c r="N203" s="232">
        <v>1034</v>
      </c>
      <c r="O203" s="90">
        <v>193835</v>
      </c>
      <c r="P203" s="236">
        <v>0</v>
      </c>
      <c r="Q203" s="236">
        <v>0</v>
      </c>
      <c r="R203" s="236">
        <v>0</v>
      </c>
      <c r="S203" s="236">
        <v>0</v>
      </c>
      <c r="T203" s="236">
        <v>0</v>
      </c>
      <c r="U203" s="236">
        <v>0</v>
      </c>
      <c r="V203" s="63">
        <v>193835</v>
      </c>
      <c r="W203" s="217">
        <v>1007</v>
      </c>
      <c r="X203" s="217">
        <v>1049</v>
      </c>
    </row>
    <row r="204" spans="1:24" x14ac:dyDescent="0.25">
      <c r="A204" s="31">
        <v>39163</v>
      </c>
      <c r="B204" s="62">
        <v>2455037.1</v>
      </c>
      <c r="C204" s="236">
        <v>0</v>
      </c>
      <c r="D204" s="236">
        <v>0</v>
      </c>
      <c r="E204" s="236">
        <v>0</v>
      </c>
      <c r="F204" s="236">
        <v>5068</v>
      </c>
      <c r="G204" s="236">
        <v>0</v>
      </c>
      <c r="H204" s="236">
        <v>0</v>
      </c>
      <c r="I204" s="236">
        <v>0</v>
      </c>
      <c r="J204" s="91">
        <v>2449969.1</v>
      </c>
      <c r="K204" s="217">
        <v>1007</v>
      </c>
      <c r="L204" s="217">
        <v>1058</v>
      </c>
      <c r="M204" s="217"/>
      <c r="N204" s="232">
        <v>1034</v>
      </c>
      <c r="O204" s="90">
        <v>193835</v>
      </c>
      <c r="P204" s="236">
        <v>0</v>
      </c>
      <c r="Q204" s="236">
        <v>0</v>
      </c>
      <c r="R204" s="236">
        <v>68</v>
      </c>
      <c r="S204" s="236">
        <v>0</v>
      </c>
      <c r="T204" s="236">
        <v>0</v>
      </c>
      <c r="U204" s="236">
        <v>0</v>
      </c>
      <c r="V204" s="63">
        <v>193767</v>
      </c>
      <c r="W204" s="217">
        <v>1007</v>
      </c>
      <c r="X204" s="217">
        <v>1049</v>
      </c>
    </row>
    <row r="205" spans="1:24" x14ac:dyDescent="0.25">
      <c r="A205" s="31">
        <v>39164</v>
      </c>
      <c r="B205" s="62">
        <v>2449969.1</v>
      </c>
      <c r="C205" s="236">
        <v>0</v>
      </c>
      <c r="D205" s="236">
        <v>0</v>
      </c>
      <c r="E205" s="236">
        <v>0</v>
      </c>
      <c r="F205" s="236">
        <v>2670</v>
      </c>
      <c r="G205" s="236">
        <v>0</v>
      </c>
      <c r="H205" s="236">
        <v>0</v>
      </c>
      <c r="I205" s="236">
        <v>0</v>
      </c>
      <c r="J205" s="91">
        <v>2447299.1</v>
      </c>
      <c r="K205" s="217">
        <v>1007</v>
      </c>
      <c r="L205" s="217">
        <v>1058</v>
      </c>
      <c r="M205" s="217"/>
      <c r="N205" s="232">
        <v>1033</v>
      </c>
      <c r="O205" s="90">
        <v>193767</v>
      </c>
      <c r="P205" s="236">
        <v>0</v>
      </c>
      <c r="Q205" s="236">
        <v>0</v>
      </c>
      <c r="R205" s="236">
        <v>208</v>
      </c>
      <c r="S205" s="236">
        <v>0</v>
      </c>
      <c r="T205" s="236">
        <v>0</v>
      </c>
      <c r="U205" s="236">
        <v>0</v>
      </c>
      <c r="V205" s="63">
        <v>193559</v>
      </c>
      <c r="W205" s="217">
        <v>1007</v>
      </c>
      <c r="X205" s="217">
        <v>1049</v>
      </c>
    </row>
    <row r="206" spans="1:24" x14ac:dyDescent="0.25">
      <c r="A206" s="31">
        <v>39165</v>
      </c>
      <c r="B206" s="62">
        <v>2447299.1</v>
      </c>
      <c r="C206" s="236">
        <v>0</v>
      </c>
      <c r="D206" s="236">
        <v>0</v>
      </c>
      <c r="E206" s="236">
        <v>0</v>
      </c>
      <c r="F206" s="236">
        <v>1601</v>
      </c>
      <c r="G206" s="236">
        <v>0</v>
      </c>
      <c r="H206" s="236">
        <v>0</v>
      </c>
      <c r="I206" s="236">
        <v>0</v>
      </c>
      <c r="J206" s="91">
        <v>2445698.1</v>
      </c>
      <c r="K206" s="217">
        <v>1007</v>
      </c>
      <c r="L206" s="217">
        <v>1058</v>
      </c>
      <c r="M206" s="217"/>
      <c r="N206" s="232">
        <v>1037</v>
      </c>
      <c r="O206" s="90">
        <v>193559</v>
      </c>
      <c r="P206" s="236">
        <v>0</v>
      </c>
      <c r="Q206" s="236">
        <v>0</v>
      </c>
      <c r="R206" s="236">
        <v>276</v>
      </c>
      <c r="S206" s="236">
        <v>0</v>
      </c>
      <c r="T206" s="236">
        <v>0</v>
      </c>
      <c r="U206" s="236">
        <v>0</v>
      </c>
      <c r="V206" s="63">
        <v>193283</v>
      </c>
      <c r="W206" s="217">
        <v>1007</v>
      </c>
      <c r="X206" s="217">
        <v>1049</v>
      </c>
    </row>
    <row r="207" spans="1:24" x14ac:dyDescent="0.25">
      <c r="A207" s="31">
        <v>39166</v>
      </c>
      <c r="B207" s="62">
        <v>2445698.1</v>
      </c>
      <c r="C207" s="236">
        <v>0</v>
      </c>
      <c r="D207" s="236">
        <v>0</v>
      </c>
      <c r="E207" s="236">
        <v>0</v>
      </c>
      <c r="F207" s="236">
        <v>1601</v>
      </c>
      <c r="G207" s="236">
        <v>0</v>
      </c>
      <c r="H207" s="236">
        <v>0</v>
      </c>
      <c r="I207" s="236">
        <v>0</v>
      </c>
      <c r="J207" s="91">
        <v>2444097.1</v>
      </c>
      <c r="K207" s="217">
        <v>1007</v>
      </c>
      <c r="L207" s="217">
        <v>1058</v>
      </c>
      <c r="M207" s="217"/>
      <c r="N207" s="232">
        <v>1035</v>
      </c>
      <c r="O207" s="90">
        <v>193283</v>
      </c>
      <c r="P207" s="236">
        <v>0</v>
      </c>
      <c r="Q207" s="236">
        <v>0</v>
      </c>
      <c r="R207" s="236">
        <v>70</v>
      </c>
      <c r="S207" s="236">
        <v>0</v>
      </c>
      <c r="T207" s="236">
        <v>0</v>
      </c>
      <c r="U207" s="236">
        <v>0</v>
      </c>
      <c r="V207" s="63">
        <v>193213</v>
      </c>
      <c r="W207" s="217">
        <v>1007</v>
      </c>
      <c r="X207" s="217">
        <v>1049</v>
      </c>
    </row>
    <row r="208" spans="1:24" x14ac:dyDescent="0.25">
      <c r="A208" s="31">
        <v>39167</v>
      </c>
      <c r="B208" s="62">
        <v>2444097.1</v>
      </c>
      <c r="C208" s="236">
        <v>0</v>
      </c>
      <c r="D208" s="236">
        <v>0</v>
      </c>
      <c r="E208" s="236">
        <v>0</v>
      </c>
      <c r="F208" s="236">
        <v>4801</v>
      </c>
      <c r="G208" s="236">
        <v>0</v>
      </c>
      <c r="H208" s="236">
        <v>0</v>
      </c>
      <c r="I208" s="236">
        <v>0</v>
      </c>
      <c r="J208" s="91">
        <v>2439296.1</v>
      </c>
      <c r="K208" s="217">
        <v>1007</v>
      </c>
      <c r="L208" s="217">
        <v>1058</v>
      </c>
      <c r="M208" s="217"/>
      <c r="N208" s="232">
        <v>1035</v>
      </c>
      <c r="O208" s="90">
        <v>193213</v>
      </c>
      <c r="P208" s="236">
        <v>0</v>
      </c>
      <c r="Q208" s="236">
        <v>0</v>
      </c>
      <c r="R208" s="236">
        <v>206</v>
      </c>
      <c r="S208" s="236">
        <v>0</v>
      </c>
      <c r="T208" s="236">
        <v>0</v>
      </c>
      <c r="U208" s="236">
        <v>0</v>
      </c>
      <c r="V208" s="63">
        <v>193007</v>
      </c>
      <c r="W208" s="217">
        <v>1007</v>
      </c>
      <c r="X208" s="217">
        <v>1049</v>
      </c>
    </row>
    <row r="209" spans="1:24" x14ac:dyDescent="0.25">
      <c r="A209" s="31">
        <v>39168</v>
      </c>
      <c r="B209" s="62">
        <v>2439296.1</v>
      </c>
      <c r="C209" s="236">
        <v>0</v>
      </c>
      <c r="D209" s="236">
        <v>0</v>
      </c>
      <c r="E209" s="236">
        <v>0</v>
      </c>
      <c r="F209" s="236">
        <v>3734</v>
      </c>
      <c r="G209" s="236">
        <v>0</v>
      </c>
      <c r="H209" s="236">
        <v>0</v>
      </c>
      <c r="I209" s="236">
        <v>0</v>
      </c>
      <c r="J209" s="91">
        <v>2435562.1</v>
      </c>
      <c r="K209" s="217">
        <v>1007</v>
      </c>
      <c r="L209" s="217">
        <v>1058</v>
      </c>
      <c r="M209" s="217"/>
      <c r="N209" s="232">
        <v>1034</v>
      </c>
      <c r="O209" s="90">
        <v>193007</v>
      </c>
      <c r="P209" s="236">
        <v>0</v>
      </c>
      <c r="Q209" s="236">
        <v>0</v>
      </c>
      <c r="R209" s="236">
        <v>277</v>
      </c>
      <c r="S209" s="236">
        <v>0</v>
      </c>
      <c r="T209" s="236">
        <v>0</v>
      </c>
      <c r="U209" s="236">
        <v>0</v>
      </c>
      <c r="V209" s="63">
        <v>192730</v>
      </c>
      <c r="W209" s="217">
        <v>1007</v>
      </c>
      <c r="X209" s="217">
        <v>1049</v>
      </c>
    </row>
    <row r="210" spans="1:24" x14ac:dyDescent="0.25">
      <c r="A210" s="31">
        <v>39169</v>
      </c>
      <c r="B210" s="62">
        <v>2435562.1</v>
      </c>
      <c r="C210" s="236">
        <v>0</v>
      </c>
      <c r="D210" s="236">
        <v>0</v>
      </c>
      <c r="E210" s="236">
        <v>0</v>
      </c>
      <c r="F210" s="236">
        <v>1066</v>
      </c>
      <c r="G210" s="236">
        <v>0</v>
      </c>
      <c r="H210" s="236">
        <v>0</v>
      </c>
      <c r="I210" s="236">
        <v>0</v>
      </c>
      <c r="J210" s="91">
        <v>2434496.1</v>
      </c>
      <c r="K210" s="217">
        <v>1007</v>
      </c>
      <c r="L210" s="217">
        <v>1058</v>
      </c>
      <c r="M210" s="217"/>
      <c r="N210" s="232">
        <v>1034</v>
      </c>
      <c r="O210" s="90">
        <v>192730</v>
      </c>
      <c r="P210" s="236">
        <v>0</v>
      </c>
      <c r="Q210" s="236">
        <v>0</v>
      </c>
      <c r="R210" s="236">
        <v>276</v>
      </c>
      <c r="S210" s="236">
        <v>0</v>
      </c>
      <c r="T210" s="236">
        <v>0</v>
      </c>
      <c r="U210" s="236">
        <v>0</v>
      </c>
      <c r="V210" s="63">
        <v>192454</v>
      </c>
      <c r="W210" s="217">
        <v>1007</v>
      </c>
      <c r="X210" s="217">
        <v>1049</v>
      </c>
    </row>
    <row r="211" spans="1:24" x14ac:dyDescent="0.25">
      <c r="A211" s="31">
        <v>39170</v>
      </c>
      <c r="B211" s="62">
        <v>2434496.1</v>
      </c>
      <c r="C211" s="236">
        <v>0</v>
      </c>
      <c r="D211" s="236">
        <v>0</v>
      </c>
      <c r="E211" s="236">
        <v>0</v>
      </c>
      <c r="F211" s="236">
        <v>1866</v>
      </c>
      <c r="G211" s="236">
        <v>0</v>
      </c>
      <c r="H211" s="236">
        <v>0</v>
      </c>
      <c r="I211" s="236">
        <v>0</v>
      </c>
      <c r="J211" s="91">
        <v>2432630.1</v>
      </c>
      <c r="K211" s="217">
        <v>1007</v>
      </c>
      <c r="L211" s="217">
        <v>1058</v>
      </c>
      <c r="M211" s="217"/>
      <c r="N211" s="232">
        <v>1034</v>
      </c>
      <c r="O211" s="90">
        <v>192454</v>
      </c>
      <c r="P211" s="236">
        <v>0</v>
      </c>
      <c r="Q211" s="236">
        <v>0</v>
      </c>
      <c r="R211" s="236">
        <v>0</v>
      </c>
      <c r="S211" s="236">
        <v>0</v>
      </c>
      <c r="T211" s="236">
        <v>0</v>
      </c>
      <c r="U211" s="236">
        <v>0</v>
      </c>
      <c r="V211" s="63">
        <v>192454</v>
      </c>
      <c r="W211" s="217">
        <v>1007</v>
      </c>
      <c r="X211" s="217">
        <v>1049</v>
      </c>
    </row>
    <row r="212" spans="1:24" x14ac:dyDescent="0.25">
      <c r="A212" s="31">
        <v>39171</v>
      </c>
      <c r="B212" s="62">
        <v>2432630.1</v>
      </c>
      <c r="C212" s="236">
        <v>0</v>
      </c>
      <c r="D212" s="236">
        <v>0</v>
      </c>
      <c r="E212" s="236">
        <v>0</v>
      </c>
      <c r="F212" s="236">
        <v>3199</v>
      </c>
      <c r="G212" s="236">
        <v>0</v>
      </c>
      <c r="H212" s="236">
        <v>0</v>
      </c>
      <c r="I212" s="236">
        <v>0</v>
      </c>
      <c r="J212" s="91">
        <v>2429431.1</v>
      </c>
      <c r="K212" s="217">
        <v>1007</v>
      </c>
      <c r="L212" s="217">
        <v>1058</v>
      </c>
      <c r="M212" s="217"/>
      <c r="N212" s="232">
        <v>1033</v>
      </c>
      <c r="O212" s="90">
        <v>192454</v>
      </c>
      <c r="P212" s="236">
        <v>0</v>
      </c>
      <c r="Q212" s="236">
        <v>0</v>
      </c>
      <c r="R212" s="236">
        <v>62</v>
      </c>
      <c r="S212" s="236">
        <v>0</v>
      </c>
      <c r="T212" s="236">
        <v>0</v>
      </c>
      <c r="U212" s="236">
        <v>0</v>
      </c>
      <c r="V212" s="63">
        <v>192392</v>
      </c>
      <c r="W212" s="217">
        <v>1007</v>
      </c>
      <c r="X212" s="217">
        <v>1049</v>
      </c>
    </row>
    <row r="213" spans="1:24" x14ac:dyDescent="0.25">
      <c r="A213" s="31">
        <v>39172</v>
      </c>
      <c r="B213" s="62">
        <v>2429431.1</v>
      </c>
      <c r="C213" s="236">
        <v>0</v>
      </c>
      <c r="D213" s="236">
        <v>0</v>
      </c>
      <c r="E213" s="236">
        <v>0</v>
      </c>
      <c r="F213" s="236">
        <v>2399</v>
      </c>
      <c r="G213" s="236">
        <v>0</v>
      </c>
      <c r="H213" s="236">
        <v>0</v>
      </c>
      <c r="I213" s="236">
        <v>0</v>
      </c>
      <c r="J213" s="91">
        <v>2427032.1</v>
      </c>
      <c r="K213" s="217">
        <v>1007</v>
      </c>
      <c r="L213" s="217">
        <v>1058</v>
      </c>
      <c r="M213" s="217"/>
      <c r="N213" s="232">
        <v>1031</v>
      </c>
      <c r="O213" s="90">
        <v>192392</v>
      </c>
      <c r="P213" s="236">
        <v>0</v>
      </c>
      <c r="Q213" s="236">
        <v>0</v>
      </c>
      <c r="R213" s="236">
        <v>216</v>
      </c>
      <c r="S213" s="236">
        <v>0</v>
      </c>
      <c r="T213" s="236">
        <v>0</v>
      </c>
      <c r="U213" s="236">
        <v>0</v>
      </c>
      <c r="V213" s="63">
        <v>192176</v>
      </c>
      <c r="W213" s="217">
        <v>1007</v>
      </c>
      <c r="X213" s="217">
        <v>1049</v>
      </c>
    </row>
    <row r="214" spans="1:24" x14ac:dyDescent="0.25">
      <c r="A214" s="31">
        <v>39173</v>
      </c>
      <c r="B214" s="62">
        <v>2427032.1</v>
      </c>
      <c r="C214" s="236">
        <v>0</v>
      </c>
      <c r="D214" s="236">
        <v>0</v>
      </c>
      <c r="E214" s="236">
        <v>0</v>
      </c>
      <c r="F214" s="236">
        <v>3200</v>
      </c>
      <c r="G214" s="236">
        <v>0</v>
      </c>
      <c r="H214" s="236">
        <v>0</v>
      </c>
      <c r="I214" s="236">
        <v>0</v>
      </c>
      <c r="J214" s="91">
        <v>2423832.1</v>
      </c>
      <c r="K214" s="217">
        <v>1007</v>
      </c>
      <c r="L214" s="217">
        <v>1058</v>
      </c>
      <c r="M214" s="217"/>
      <c r="N214" s="232">
        <v>1031</v>
      </c>
      <c r="O214" s="90">
        <v>192176</v>
      </c>
      <c r="P214" s="236">
        <v>0</v>
      </c>
      <c r="Q214" s="236">
        <v>0</v>
      </c>
      <c r="R214" s="236">
        <v>65</v>
      </c>
      <c r="S214" s="236">
        <v>0</v>
      </c>
      <c r="T214" s="236">
        <v>0</v>
      </c>
      <c r="U214" s="236">
        <v>0</v>
      </c>
      <c r="V214" s="63">
        <v>192111</v>
      </c>
      <c r="W214" s="217">
        <v>1007</v>
      </c>
      <c r="X214" s="217">
        <v>1049</v>
      </c>
    </row>
    <row r="215" spans="1:24" x14ac:dyDescent="0.25">
      <c r="A215" s="31">
        <v>39174</v>
      </c>
      <c r="B215" s="62">
        <v>2423832.1</v>
      </c>
      <c r="C215" s="236">
        <v>0</v>
      </c>
      <c r="D215" s="236">
        <v>0</v>
      </c>
      <c r="E215" s="236">
        <v>0</v>
      </c>
      <c r="F215" s="236">
        <v>2667</v>
      </c>
      <c r="G215" s="236">
        <v>0</v>
      </c>
      <c r="H215" s="236">
        <v>0</v>
      </c>
      <c r="I215" s="236">
        <v>0</v>
      </c>
      <c r="J215" s="91">
        <v>2421165.1</v>
      </c>
      <c r="K215" s="217">
        <v>1007</v>
      </c>
      <c r="L215" s="217">
        <v>1058</v>
      </c>
      <c r="M215" s="217"/>
      <c r="N215" s="232">
        <v>1034</v>
      </c>
      <c r="O215" s="90">
        <v>192111</v>
      </c>
      <c r="P215" s="236">
        <v>0</v>
      </c>
      <c r="Q215" s="236">
        <v>0</v>
      </c>
      <c r="R215" s="236">
        <v>211</v>
      </c>
      <c r="S215" s="236">
        <v>0</v>
      </c>
      <c r="T215" s="236">
        <v>0</v>
      </c>
      <c r="U215" s="236">
        <v>0</v>
      </c>
      <c r="V215" s="63">
        <v>191900</v>
      </c>
      <c r="W215" s="217">
        <v>1007</v>
      </c>
      <c r="X215" s="217">
        <v>1049</v>
      </c>
    </row>
    <row r="216" spans="1:24" x14ac:dyDescent="0.25">
      <c r="A216" s="31">
        <v>39175</v>
      </c>
      <c r="B216" s="62">
        <v>2421165.1</v>
      </c>
      <c r="C216" s="236">
        <v>0</v>
      </c>
      <c r="D216" s="236">
        <v>0</v>
      </c>
      <c r="E216" s="236">
        <v>0</v>
      </c>
      <c r="F216" s="236">
        <v>1601</v>
      </c>
      <c r="G216" s="236">
        <v>0</v>
      </c>
      <c r="H216" s="236">
        <v>0</v>
      </c>
      <c r="I216" s="236">
        <v>0</v>
      </c>
      <c r="J216" s="91">
        <v>2419564.1</v>
      </c>
      <c r="K216" s="217">
        <v>1007</v>
      </c>
      <c r="L216" s="217">
        <v>1058</v>
      </c>
      <c r="M216" s="217"/>
      <c r="N216" s="232">
        <v>1032</v>
      </c>
      <c r="O216" s="90">
        <v>191900</v>
      </c>
      <c r="P216" s="236">
        <v>0</v>
      </c>
      <c r="Q216" s="236">
        <v>0</v>
      </c>
      <c r="R216" s="236">
        <v>67</v>
      </c>
      <c r="S216" s="236">
        <v>0</v>
      </c>
      <c r="T216" s="236">
        <v>0</v>
      </c>
      <c r="U216" s="236">
        <v>0</v>
      </c>
      <c r="V216" s="63">
        <v>191833</v>
      </c>
      <c r="W216" s="217">
        <v>1007</v>
      </c>
      <c r="X216" s="217">
        <v>1049</v>
      </c>
    </row>
    <row r="217" spans="1:24" x14ac:dyDescent="0.25">
      <c r="A217" s="31">
        <v>39176</v>
      </c>
      <c r="B217" s="62">
        <v>2419564.1</v>
      </c>
      <c r="C217" s="236">
        <v>0</v>
      </c>
      <c r="D217" s="236">
        <v>0</v>
      </c>
      <c r="E217" s="236">
        <v>0</v>
      </c>
      <c r="F217" s="236">
        <v>4001</v>
      </c>
      <c r="G217" s="236">
        <v>0</v>
      </c>
      <c r="H217" s="236">
        <v>0</v>
      </c>
      <c r="I217" s="236">
        <v>0</v>
      </c>
      <c r="J217" s="91">
        <v>2415563.1</v>
      </c>
      <c r="K217" s="217">
        <v>1007</v>
      </c>
      <c r="L217" s="217">
        <v>1058</v>
      </c>
      <c r="M217" s="217"/>
      <c r="N217" s="232">
        <v>1032</v>
      </c>
      <c r="O217" s="90">
        <v>191833</v>
      </c>
      <c r="P217" s="236">
        <v>0</v>
      </c>
      <c r="Q217" s="236">
        <v>0</v>
      </c>
      <c r="R217" s="236">
        <v>209</v>
      </c>
      <c r="S217" s="236">
        <v>0</v>
      </c>
      <c r="T217" s="236">
        <v>0</v>
      </c>
      <c r="U217" s="236">
        <v>0</v>
      </c>
      <c r="V217" s="63">
        <v>191624</v>
      </c>
      <c r="W217" s="217">
        <v>1007</v>
      </c>
      <c r="X217" s="217">
        <v>1049</v>
      </c>
    </row>
    <row r="218" spans="1:24" x14ac:dyDescent="0.25">
      <c r="A218" s="31">
        <v>39177</v>
      </c>
      <c r="B218" s="62">
        <v>2415563.1</v>
      </c>
      <c r="C218" s="236">
        <v>0</v>
      </c>
      <c r="D218" s="236">
        <v>0</v>
      </c>
      <c r="E218" s="236">
        <v>0</v>
      </c>
      <c r="F218" s="236">
        <v>1867</v>
      </c>
      <c r="G218" s="236">
        <v>0</v>
      </c>
      <c r="H218" s="236">
        <v>0</v>
      </c>
      <c r="I218" s="236">
        <v>0</v>
      </c>
      <c r="J218" s="91">
        <v>2413696.1</v>
      </c>
      <c r="K218" s="217">
        <v>1007</v>
      </c>
      <c r="L218" s="217">
        <v>1058</v>
      </c>
      <c r="M218" s="217"/>
      <c r="N218" s="232">
        <v>1036</v>
      </c>
      <c r="O218" s="90">
        <v>191624</v>
      </c>
      <c r="P218" s="236">
        <v>0</v>
      </c>
      <c r="Q218" s="236">
        <v>0</v>
      </c>
      <c r="R218" s="236">
        <v>276</v>
      </c>
      <c r="S218" s="236">
        <v>0</v>
      </c>
      <c r="T218" s="236">
        <v>0</v>
      </c>
      <c r="U218" s="236">
        <v>0</v>
      </c>
      <c r="V218" s="63">
        <v>191348</v>
      </c>
      <c r="W218" s="217">
        <v>1007</v>
      </c>
      <c r="X218" s="217">
        <v>1049</v>
      </c>
    </row>
    <row r="219" spans="1:24" x14ac:dyDescent="0.25">
      <c r="A219" s="31">
        <v>39178</v>
      </c>
      <c r="B219" s="62">
        <v>2413696.1</v>
      </c>
      <c r="C219" s="236">
        <v>0</v>
      </c>
      <c r="D219" s="236">
        <v>0</v>
      </c>
      <c r="E219" s="236">
        <v>0</v>
      </c>
      <c r="F219" s="236">
        <v>2134</v>
      </c>
      <c r="G219" s="236">
        <v>0</v>
      </c>
      <c r="H219" s="236">
        <v>0</v>
      </c>
      <c r="I219" s="236">
        <v>0</v>
      </c>
      <c r="J219" s="91">
        <v>2411562.1</v>
      </c>
      <c r="K219" s="217">
        <v>1007</v>
      </c>
      <c r="L219" s="217">
        <v>1058</v>
      </c>
      <c r="M219" s="217"/>
      <c r="N219" s="232">
        <v>1040</v>
      </c>
      <c r="O219" s="90">
        <v>191348</v>
      </c>
      <c r="P219" s="236">
        <v>0</v>
      </c>
      <c r="Q219" s="236">
        <v>0</v>
      </c>
      <c r="R219" s="236">
        <v>276</v>
      </c>
      <c r="S219" s="236">
        <v>0</v>
      </c>
      <c r="T219" s="236">
        <v>0</v>
      </c>
      <c r="U219" s="236">
        <v>0</v>
      </c>
      <c r="V219" s="63">
        <v>191072</v>
      </c>
      <c r="W219" s="217">
        <v>1007</v>
      </c>
      <c r="X219" s="217">
        <v>1049</v>
      </c>
    </row>
    <row r="220" spans="1:24" x14ac:dyDescent="0.25">
      <c r="A220" s="31">
        <v>39179</v>
      </c>
      <c r="B220" s="62">
        <v>2411562.1</v>
      </c>
      <c r="C220" s="236">
        <v>0</v>
      </c>
      <c r="D220" s="236">
        <v>0</v>
      </c>
      <c r="E220" s="236">
        <v>0</v>
      </c>
      <c r="F220" s="236">
        <v>1334</v>
      </c>
      <c r="G220" s="236">
        <v>0</v>
      </c>
      <c r="H220" s="236">
        <v>0</v>
      </c>
      <c r="I220" s="236">
        <v>0</v>
      </c>
      <c r="J220" s="91">
        <v>2410228.1</v>
      </c>
      <c r="K220" s="217">
        <v>1007</v>
      </c>
      <c r="L220" s="217">
        <v>1058</v>
      </c>
      <c r="M220" s="217"/>
      <c r="N220" s="232">
        <v>1039</v>
      </c>
      <c r="O220" s="90">
        <v>191072</v>
      </c>
      <c r="P220" s="236">
        <v>0</v>
      </c>
      <c r="Q220" s="236">
        <v>0</v>
      </c>
      <c r="R220" s="236">
        <v>276</v>
      </c>
      <c r="S220" s="236">
        <v>0</v>
      </c>
      <c r="T220" s="236">
        <v>0</v>
      </c>
      <c r="U220" s="236">
        <v>0</v>
      </c>
      <c r="V220" s="63">
        <v>190796</v>
      </c>
      <c r="W220" s="217">
        <v>1007</v>
      </c>
      <c r="X220" s="217">
        <v>1049</v>
      </c>
    </row>
    <row r="221" spans="1:24" x14ac:dyDescent="0.25">
      <c r="A221" s="31">
        <v>39180</v>
      </c>
      <c r="B221" s="62">
        <v>2410228.1</v>
      </c>
      <c r="C221" s="236">
        <v>0</v>
      </c>
      <c r="D221" s="236">
        <v>0</v>
      </c>
      <c r="E221" s="236">
        <v>0</v>
      </c>
      <c r="F221" s="236">
        <v>800</v>
      </c>
      <c r="G221" s="236">
        <v>0</v>
      </c>
      <c r="H221" s="236">
        <v>0</v>
      </c>
      <c r="I221" s="236">
        <v>0</v>
      </c>
      <c r="J221" s="91">
        <v>2409428.1</v>
      </c>
      <c r="K221" s="217">
        <v>1007</v>
      </c>
      <c r="L221" s="217">
        <v>1058</v>
      </c>
      <c r="M221" s="217"/>
      <c r="N221" s="232">
        <v>1040</v>
      </c>
      <c r="O221" s="90">
        <v>190796</v>
      </c>
      <c r="P221" s="236">
        <v>0</v>
      </c>
      <c r="Q221" s="236">
        <v>0</v>
      </c>
      <c r="R221" s="236">
        <v>65</v>
      </c>
      <c r="S221" s="236">
        <v>0</v>
      </c>
      <c r="T221" s="236">
        <v>0</v>
      </c>
      <c r="U221" s="236">
        <v>0</v>
      </c>
      <c r="V221" s="63">
        <v>190731</v>
      </c>
      <c r="W221" s="217">
        <v>1007</v>
      </c>
      <c r="X221" s="217">
        <v>1049</v>
      </c>
    </row>
    <row r="222" spans="1:24" x14ac:dyDescent="0.25">
      <c r="A222" s="31">
        <v>39181</v>
      </c>
      <c r="B222" s="62">
        <v>2409428.1</v>
      </c>
      <c r="C222" s="236">
        <v>0</v>
      </c>
      <c r="D222" s="236">
        <v>0</v>
      </c>
      <c r="E222" s="236">
        <v>0</v>
      </c>
      <c r="F222" s="236">
        <v>1066</v>
      </c>
      <c r="G222" s="236">
        <v>0</v>
      </c>
      <c r="H222" s="236">
        <v>0</v>
      </c>
      <c r="I222" s="236">
        <v>0</v>
      </c>
      <c r="J222" s="91">
        <v>2408362.1</v>
      </c>
      <c r="K222" s="217">
        <v>1007</v>
      </c>
      <c r="L222" s="217">
        <v>1058</v>
      </c>
      <c r="M222" s="217"/>
      <c r="N222" s="232">
        <v>1039</v>
      </c>
      <c r="O222" s="90">
        <v>190731</v>
      </c>
      <c r="P222" s="236">
        <v>0</v>
      </c>
      <c r="Q222" s="236">
        <v>0</v>
      </c>
      <c r="R222" s="236">
        <v>211</v>
      </c>
      <c r="S222" s="236">
        <v>0</v>
      </c>
      <c r="T222" s="236">
        <v>0</v>
      </c>
      <c r="U222" s="236">
        <v>0</v>
      </c>
      <c r="V222" s="63">
        <v>190520</v>
      </c>
      <c r="W222" s="217">
        <v>1007</v>
      </c>
      <c r="X222" s="217">
        <v>1049</v>
      </c>
    </row>
    <row r="223" spans="1:24" x14ac:dyDescent="0.25">
      <c r="A223" s="31">
        <v>39182</v>
      </c>
      <c r="B223" s="62">
        <v>2408362.1</v>
      </c>
      <c r="C223" s="236">
        <v>0</v>
      </c>
      <c r="D223" s="236">
        <v>0</v>
      </c>
      <c r="E223" s="236">
        <v>0</v>
      </c>
      <c r="F223" s="236">
        <v>801</v>
      </c>
      <c r="G223" s="236">
        <v>0</v>
      </c>
      <c r="H223" s="236">
        <v>0</v>
      </c>
      <c r="I223" s="236">
        <v>0</v>
      </c>
      <c r="J223" s="91">
        <v>2407561.1</v>
      </c>
      <c r="K223" s="217">
        <v>1007</v>
      </c>
      <c r="L223" s="217">
        <v>1058</v>
      </c>
      <c r="M223" s="217"/>
      <c r="N223" s="232">
        <v>1041</v>
      </c>
      <c r="O223" s="90">
        <v>190520</v>
      </c>
      <c r="P223" s="236">
        <v>0</v>
      </c>
      <c r="Q223" s="236">
        <v>0</v>
      </c>
      <c r="R223" s="236">
        <v>75</v>
      </c>
      <c r="S223" s="236">
        <v>0</v>
      </c>
      <c r="T223" s="236">
        <v>0</v>
      </c>
      <c r="U223" s="236">
        <v>0</v>
      </c>
      <c r="V223" s="63">
        <v>190445</v>
      </c>
      <c r="W223" s="217">
        <v>1007</v>
      </c>
      <c r="X223" s="217">
        <v>1049</v>
      </c>
    </row>
    <row r="224" spans="1:24" x14ac:dyDescent="0.25">
      <c r="A224" s="31">
        <v>39183</v>
      </c>
      <c r="B224" s="62">
        <v>2407561.1</v>
      </c>
      <c r="C224" s="236">
        <v>0</v>
      </c>
      <c r="D224" s="236">
        <v>0</v>
      </c>
      <c r="E224" s="236">
        <v>0</v>
      </c>
      <c r="F224" s="236">
        <v>2134</v>
      </c>
      <c r="G224" s="236">
        <v>0</v>
      </c>
      <c r="H224" s="236">
        <v>0</v>
      </c>
      <c r="I224" s="236">
        <v>0</v>
      </c>
      <c r="J224" s="91">
        <v>2405427.1</v>
      </c>
      <c r="K224" s="217">
        <v>1007</v>
      </c>
      <c r="L224" s="217">
        <v>1058</v>
      </c>
      <c r="M224" s="217"/>
      <c r="N224" s="232">
        <v>1041</v>
      </c>
      <c r="O224" s="90">
        <v>190445</v>
      </c>
      <c r="P224" s="236">
        <v>0</v>
      </c>
      <c r="Q224" s="236">
        <v>0</v>
      </c>
      <c r="R224" s="236">
        <v>200</v>
      </c>
      <c r="S224" s="236">
        <v>0</v>
      </c>
      <c r="T224" s="236">
        <v>0</v>
      </c>
      <c r="U224" s="236">
        <v>0</v>
      </c>
      <c r="V224" s="63">
        <v>190245</v>
      </c>
      <c r="W224" s="217">
        <v>1007</v>
      </c>
      <c r="X224" s="217">
        <v>1049</v>
      </c>
    </row>
    <row r="225" spans="1:24" x14ac:dyDescent="0.25">
      <c r="A225" s="31">
        <v>39184</v>
      </c>
      <c r="B225" s="62">
        <v>2405427.1</v>
      </c>
      <c r="C225" s="236">
        <v>0</v>
      </c>
      <c r="D225" s="236">
        <v>0</v>
      </c>
      <c r="E225" s="236">
        <v>0</v>
      </c>
      <c r="F225" s="236">
        <v>533</v>
      </c>
      <c r="G225" s="236">
        <v>0</v>
      </c>
      <c r="H225" s="236">
        <v>0</v>
      </c>
      <c r="I225" s="236">
        <v>0</v>
      </c>
      <c r="J225" s="91">
        <v>2404894.1</v>
      </c>
      <c r="K225" s="217">
        <v>1007</v>
      </c>
      <c r="L225" s="217">
        <v>1058</v>
      </c>
      <c r="M225" s="217"/>
      <c r="N225" s="232">
        <v>1040</v>
      </c>
      <c r="O225" s="90">
        <v>190245</v>
      </c>
      <c r="P225" s="236">
        <v>0</v>
      </c>
      <c r="Q225" s="236">
        <v>0</v>
      </c>
      <c r="R225" s="236">
        <v>277</v>
      </c>
      <c r="S225" s="236">
        <v>0</v>
      </c>
      <c r="T225" s="236">
        <v>0</v>
      </c>
      <c r="U225" s="236">
        <v>0</v>
      </c>
      <c r="V225" s="63">
        <v>189968</v>
      </c>
      <c r="W225" s="217">
        <v>1007</v>
      </c>
      <c r="X225" s="217">
        <v>1049</v>
      </c>
    </row>
    <row r="226" spans="1:24" x14ac:dyDescent="0.25">
      <c r="A226" s="31">
        <v>39185</v>
      </c>
      <c r="B226" s="62">
        <v>2404894.1</v>
      </c>
      <c r="C226" s="236">
        <v>14232</v>
      </c>
      <c r="D226" s="236">
        <v>0</v>
      </c>
      <c r="E226" s="236">
        <v>0</v>
      </c>
      <c r="F226" s="236">
        <v>2230</v>
      </c>
      <c r="G226" s="236">
        <v>0</v>
      </c>
      <c r="H226" s="236">
        <v>0</v>
      </c>
      <c r="I226" s="236">
        <v>0</v>
      </c>
      <c r="J226" s="91">
        <v>2416896.1</v>
      </c>
      <c r="K226" s="217">
        <v>1007</v>
      </c>
      <c r="L226" s="217">
        <v>1058</v>
      </c>
      <c r="M226" s="217"/>
      <c r="N226" s="232">
        <v>1038</v>
      </c>
      <c r="O226" s="90">
        <v>189968</v>
      </c>
      <c r="P226" s="236">
        <v>0</v>
      </c>
      <c r="Q226" s="236">
        <v>0</v>
      </c>
      <c r="R226" s="236">
        <v>72</v>
      </c>
      <c r="S226" s="236">
        <v>0</v>
      </c>
      <c r="T226" s="236">
        <v>0</v>
      </c>
      <c r="U226" s="236">
        <v>0</v>
      </c>
      <c r="V226" s="63">
        <v>189896</v>
      </c>
      <c r="W226" s="217">
        <v>1007</v>
      </c>
      <c r="X226" s="217">
        <v>1049</v>
      </c>
    </row>
    <row r="227" spans="1:24" x14ac:dyDescent="0.25">
      <c r="A227" s="31">
        <v>39186</v>
      </c>
      <c r="B227" s="62">
        <v>2416896.1</v>
      </c>
      <c r="C227" s="236">
        <v>12270</v>
      </c>
      <c r="D227" s="236">
        <v>0</v>
      </c>
      <c r="E227" s="236">
        <v>0</v>
      </c>
      <c r="F227" s="236">
        <v>2136</v>
      </c>
      <c r="G227" s="236">
        <v>0</v>
      </c>
      <c r="H227" s="236">
        <v>0</v>
      </c>
      <c r="I227" s="236">
        <v>0</v>
      </c>
      <c r="J227" s="91">
        <v>2427030.1</v>
      </c>
      <c r="K227" s="217">
        <v>1007</v>
      </c>
      <c r="L227" s="217">
        <v>1058</v>
      </c>
      <c r="M227" s="217"/>
      <c r="N227" s="232">
        <v>1039</v>
      </c>
      <c r="O227" s="90">
        <v>189896</v>
      </c>
      <c r="P227" s="236">
        <v>0</v>
      </c>
      <c r="Q227" s="236">
        <v>0</v>
      </c>
      <c r="R227" s="236">
        <v>205</v>
      </c>
      <c r="S227" s="236">
        <v>0</v>
      </c>
      <c r="T227" s="236">
        <v>0</v>
      </c>
      <c r="U227" s="236">
        <v>0</v>
      </c>
      <c r="V227" s="63">
        <v>189691</v>
      </c>
      <c r="W227" s="217">
        <v>1007</v>
      </c>
      <c r="X227" s="217">
        <v>1049</v>
      </c>
    </row>
    <row r="228" spans="1:24" x14ac:dyDescent="0.25">
      <c r="A228" s="31">
        <v>39187</v>
      </c>
      <c r="B228" s="62">
        <v>2427030.1</v>
      </c>
      <c r="C228" s="236">
        <v>10307</v>
      </c>
      <c r="D228" s="236">
        <v>0</v>
      </c>
      <c r="E228" s="236">
        <v>0</v>
      </c>
      <c r="F228" s="236">
        <v>2040</v>
      </c>
      <c r="G228" s="236">
        <v>0</v>
      </c>
      <c r="H228" s="236">
        <v>0</v>
      </c>
      <c r="I228" s="236">
        <v>0</v>
      </c>
      <c r="J228" s="91">
        <v>2435297.1</v>
      </c>
      <c r="K228" s="217">
        <v>1007</v>
      </c>
      <c r="L228" s="217">
        <v>1058</v>
      </c>
      <c r="M228" s="217"/>
      <c r="N228" s="232">
        <v>1034</v>
      </c>
      <c r="O228" s="90">
        <v>189691</v>
      </c>
      <c r="P228" s="236">
        <v>0</v>
      </c>
      <c r="Q228" s="236">
        <v>0</v>
      </c>
      <c r="R228" s="236">
        <v>276</v>
      </c>
      <c r="S228" s="236">
        <v>0</v>
      </c>
      <c r="T228" s="236">
        <v>0</v>
      </c>
      <c r="U228" s="236">
        <v>0</v>
      </c>
      <c r="V228" s="63">
        <v>189415</v>
      </c>
      <c r="W228" s="217">
        <v>1007</v>
      </c>
      <c r="X228" s="217">
        <v>1049</v>
      </c>
    </row>
    <row r="229" spans="1:24" x14ac:dyDescent="0.25">
      <c r="A229" s="31">
        <v>39188</v>
      </c>
      <c r="B229" s="62">
        <v>2435297.1</v>
      </c>
      <c r="C229" s="236">
        <v>2447</v>
      </c>
      <c r="D229" s="236">
        <v>0</v>
      </c>
      <c r="E229" s="236">
        <v>0</v>
      </c>
      <c r="F229" s="236">
        <v>1644</v>
      </c>
      <c r="G229" s="236">
        <v>0</v>
      </c>
      <c r="H229" s="236">
        <v>0</v>
      </c>
      <c r="I229" s="236">
        <v>0</v>
      </c>
      <c r="J229" s="91">
        <v>2436100.1</v>
      </c>
      <c r="K229" s="217">
        <v>1007</v>
      </c>
      <c r="L229" s="217">
        <v>1058</v>
      </c>
      <c r="M229" s="217"/>
      <c r="N229" s="232">
        <v>1044</v>
      </c>
      <c r="O229" s="90">
        <v>189415</v>
      </c>
      <c r="P229" s="236">
        <v>0</v>
      </c>
      <c r="Q229" s="236">
        <v>0</v>
      </c>
      <c r="R229" s="236">
        <v>150</v>
      </c>
      <c r="S229" s="236">
        <v>9790</v>
      </c>
      <c r="T229" s="236">
        <v>0</v>
      </c>
      <c r="U229" s="236">
        <v>0</v>
      </c>
      <c r="V229" s="63">
        <v>179475</v>
      </c>
      <c r="W229" s="217">
        <v>1007</v>
      </c>
      <c r="X229" s="217">
        <v>1049</v>
      </c>
    </row>
    <row r="230" spans="1:24" x14ac:dyDescent="0.25">
      <c r="A230" s="31">
        <v>39189</v>
      </c>
      <c r="B230" s="62">
        <v>2436100.1</v>
      </c>
      <c r="C230" s="236">
        <v>10591</v>
      </c>
      <c r="D230" s="236">
        <v>0</v>
      </c>
      <c r="E230" s="236">
        <v>0</v>
      </c>
      <c r="F230" s="236">
        <v>2056</v>
      </c>
      <c r="G230" s="236">
        <v>0</v>
      </c>
      <c r="H230" s="236">
        <v>0</v>
      </c>
      <c r="I230" s="236">
        <v>0</v>
      </c>
      <c r="J230" s="91">
        <v>2444635.1</v>
      </c>
      <c r="K230" s="217">
        <v>1007</v>
      </c>
      <c r="L230" s="217">
        <v>1058</v>
      </c>
      <c r="M230" s="217"/>
      <c r="N230" s="232">
        <v>1034</v>
      </c>
      <c r="O230" s="90">
        <v>179475</v>
      </c>
      <c r="P230" s="236">
        <v>0</v>
      </c>
      <c r="Q230" s="236">
        <v>0</v>
      </c>
      <c r="R230" s="236">
        <v>85</v>
      </c>
      <c r="S230" s="236">
        <v>3226</v>
      </c>
      <c r="T230" s="236">
        <v>0</v>
      </c>
      <c r="U230" s="236">
        <v>0</v>
      </c>
      <c r="V230" s="63">
        <v>176164</v>
      </c>
      <c r="W230" s="217">
        <v>1007</v>
      </c>
      <c r="X230" s="217">
        <v>1049</v>
      </c>
    </row>
    <row r="231" spans="1:24" x14ac:dyDescent="0.25">
      <c r="A231" s="31">
        <v>39190</v>
      </c>
      <c r="B231" s="63">
        <v>2444635.1</v>
      </c>
      <c r="C231" s="236">
        <v>13684</v>
      </c>
      <c r="D231" s="236">
        <v>0</v>
      </c>
      <c r="E231" s="236">
        <v>0</v>
      </c>
      <c r="F231" s="236">
        <v>2215</v>
      </c>
      <c r="G231" s="236">
        <v>0</v>
      </c>
      <c r="H231" s="236">
        <v>0</v>
      </c>
      <c r="I231" s="236">
        <v>0</v>
      </c>
      <c r="J231" s="91">
        <v>2456104.1</v>
      </c>
      <c r="K231" s="217">
        <v>1007</v>
      </c>
      <c r="L231" s="217">
        <v>1058</v>
      </c>
      <c r="M231" s="217"/>
      <c r="N231" s="232">
        <v>1030</v>
      </c>
      <c r="O231" s="90">
        <v>176164</v>
      </c>
      <c r="P231" s="236">
        <v>0</v>
      </c>
      <c r="Q231" s="236">
        <v>0</v>
      </c>
      <c r="R231" s="236">
        <v>82</v>
      </c>
      <c r="S231" s="236">
        <v>0</v>
      </c>
      <c r="T231" s="236">
        <v>0</v>
      </c>
      <c r="U231" s="236">
        <v>0</v>
      </c>
      <c r="V231" s="63">
        <v>176082</v>
      </c>
      <c r="W231" s="217">
        <v>1007</v>
      </c>
      <c r="X231" s="217">
        <v>1049</v>
      </c>
    </row>
    <row r="232" spans="1:24" x14ac:dyDescent="0.25">
      <c r="A232" s="31">
        <v>39191</v>
      </c>
      <c r="B232" s="62">
        <v>2456104.1</v>
      </c>
      <c r="C232" s="236">
        <v>15934</v>
      </c>
      <c r="D232" s="236">
        <v>0</v>
      </c>
      <c r="E232" s="236">
        <v>0</v>
      </c>
      <c r="F232" s="236">
        <v>2331</v>
      </c>
      <c r="G232" s="236">
        <v>0</v>
      </c>
      <c r="H232" s="236">
        <v>0</v>
      </c>
      <c r="I232" s="236">
        <v>0</v>
      </c>
      <c r="J232" s="91">
        <v>2469707.1</v>
      </c>
      <c r="K232" s="217">
        <v>1007</v>
      </c>
      <c r="L232" s="217">
        <v>1058</v>
      </c>
      <c r="M232" s="217"/>
      <c r="N232" s="232">
        <v>1035</v>
      </c>
      <c r="O232" s="90">
        <v>176082</v>
      </c>
      <c r="P232" s="236">
        <v>0</v>
      </c>
      <c r="Q232" s="236">
        <v>0</v>
      </c>
      <c r="R232" s="236">
        <v>85</v>
      </c>
      <c r="S232" s="236">
        <v>0</v>
      </c>
      <c r="T232" s="236">
        <v>0</v>
      </c>
      <c r="U232" s="236">
        <v>0</v>
      </c>
      <c r="V232" s="63">
        <v>175997</v>
      </c>
      <c r="W232" s="217">
        <v>1007</v>
      </c>
      <c r="X232" s="217">
        <v>1049</v>
      </c>
    </row>
    <row r="233" spans="1:24" x14ac:dyDescent="0.25">
      <c r="A233" s="31">
        <v>39192</v>
      </c>
      <c r="B233" s="62">
        <v>2469707.1</v>
      </c>
      <c r="C233" s="236">
        <v>9479</v>
      </c>
      <c r="D233" s="236">
        <v>0</v>
      </c>
      <c r="E233" s="236">
        <v>0</v>
      </c>
      <c r="F233" s="236">
        <v>2011</v>
      </c>
      <c r="G233" s="236">
        <v>0</v>
      </c>
      <c r="H233" s="236">
        <v>0</v>
      </c>
      <c r="I233" s="236">
        <v>0</v>
      </c>
      <c r="J233" s="91">
        <v>2477175.1</v>
      </c>
      <c r="K233" s="217">
        <v>1007</v>
      </c>
      <c r="L233" s="217">
        <v>1058</v>
      </c>
      <c r="M233" s="217"/>
      <c r="N233" s="232">
        <v>1033</v>
      </c>
      <c r="O233" s="90">
        <v>175997</v>
      </c>
      <c r="P233" s="236">
        <v>0</v>
      </c>
      <c r="Q233" s="236">
        <v>0</v>
      </c>
      <c r="R233" s="236">
        <v>109</v>
      </c>
      <c r="S233" s="236">
        <v>0</v>
      </c>
      <c r="T233" s="236">
        <v>0</v>
      </c>
      <c r="U233" s="236">
        <v>0</v>
      </c>
      <c r="V233" s="63">
        <v>175888</v>
      </c>
      <c r="W233" s="217">
        <v>1007</v>
      </c>
      <c r="X233" s="217">
        <v>1049</v>
      </c>
    </row>
    <row r="234" spans="1:24" x14ac:dyDescent="0.25">
      <c r="A234" s="31">
        <v>39193</v>
      </c>
      <c r="B234" s="62">
        <v>2477175.1</v>
      </c>
      <c r="C234" s="236">
        <v>6954</v>
      </c>
      <c r="D234" s="236">
        <v>0</v>
      </c>
      <c r="E234" s="236">
        <v>0</v>
      </c>
      <c r="F234" s="236">
        <v>1886</v>
      </c>
      <c r="G234" s="236">
        <v>0</v>
      </c>
      <c r="H234" s="236">
        <v>0</v>
      </c>
      <c r="I234" s="236">
        <v>0</v>
      </c>
      <c r="J234" s="91">
        <v>2482243.1</v>
      </c>
      <c r="K234" s="217">
        <v>1007</v>
      </c>
      <c r="L234" s="217">
        <v>1058</v>
      </c>
      <c r="M234" s="217"/>
      <c r="N234" s="232">
        <v>1032</v>
      </c>
      <c r="O234" s="90">
        <v>175888</v>
      </c>
      <c r="P234" s="236">
        <v>0</v>
      </c>
      <c r="Q234" s="236">
        <v>0</v>
      </c>
      <c r="R234" s="236">
        <v>276</v>
      </c>
      <c r="S234" s="236">
        <v>0</v>
      </c>
      <c r="T234" s="236">
        <v>0</v>
      </c>
      <c r="U234" s="236">
        <v>0</v>
      </c>
      <c r="V234" s="63">
        <v>175612</v>
      </c>
      <c r="W234" s="217">
        <v>1007</v>
      </c>
      <c r="X234" s="217">
        <v>1049</v>
      </c>
    </row>
    <row r="235" spans="1:24" x14ac:dyDescent="0.25">
      <c r="A235" s="31">
        <v>39194</v>
      </c>
      <c r="B235" s="62">
        <v>2482243.1</v>
      </c>
      <c r="C235" s="236">
        <v>4708</v>
      </c>
      <c r="D235" s="236">
        <v>0</v>
      </c>
      <c r="E235" s="236">
        <v>0</v>
      </c>
      <c r="F235" s="236">
        <v>1774</v>
      </c>
      <c r="G235" s="236">
        <v>0</v>
      </c>
      <c r="H235" s="236">
        <v>0</v>
      </c>
      <c r="I235" s="236">
        <v>0</v>
      </c>
      <c r="J235" s="91">
        <v>2485177.1</v>
      </c>
      <c r="K235" s="217">
        <v>1007</v>
      </c>
      <c r="L235" s="217">
        <v>1058</v>
      </c>
      <c r="M235" s="217"/>
      <c r="N235" s="232">
        <v>1039</v>
      </c>
      <c r="O235" s="90">
        <v>175612</v>
      </c>
      <c r="P235" s="236">
        <v>0</v>
      </c>
      <c r="Q235" s="236">
        <v>0</v>
      </c>
      <c r="R235" s="236">
        <v>276</v>
      </c>
      <c r="S235" s="236">
        <v>0</v>
      </c>
      <c r="T235" s="236">
        <v>0</v>
      </c>
      <c r="U235" s="236">
        <v>0</v>
      </c>
      <c r="V235" s="63">
        <v>175336</v>
      </c>
      <c r="W235" s="217">
        <v>1007</v>
      </c>
      <c r="X235" s="217">
        <v>1049</v>
      </c>
    </row>
    <row r="236" spans="1:24" x14ac:dyDescent="0.25">
      <c r="A236" s="31">
        <v>39195</v>
      </c>
      <c r="B236" s="62">
        <v>2485177.1</v>
      </c>
      <c r="C236" s="236">
        <v>3586</v>
      </c>
      <c r="D236" s="236">
        <v>0</v>
      </c>
      <c r="E236" s="236">
        <v>0</v>
      </c>
      <c r="F236" s="236">
        <v>1718</v>
      </c>
      <c r="G236" s="236">
        <v>0</v>
      </c>
      <c r="H236" s="236">
        <v>0</v>
      </c>
      <c r="I236" s="236">
        <v>0</v>
      </c>
      <c r="J236" s="91">
        <v>2487045.1</v>
      </c>
      <c r="K236" s="217">
        <v>1007</v>
      </c>
      <c r="L236" s="217">
        <v>1058</v>
      </c>
      <c r="M236" s="217"/>
      <c r="N236" s="232">
        <v>1039</v>
      </c>
      <c r="O236" s="90">
        <v>175336</v>
      </c>
      <c r="P236" s="236">
        <v>0</v>
      </c>
      <c r="Q236" s="236">
        <v>0</v>
      </c>
      <c r="R236" s="236">
        <v>81</v>
      </c>
      <c r="S236" s="236">
        <v>0</v>
      </c>
      <c r="T236" s="236">
        <v>0</v>
      </c>
      <c r="U236" s="236">
        <v>0</v>
      </c>
      <c r="V236" s="63">
        <v>175255</v>
      </c>
      <c r="W236" s="217">
        <v>1007</v>
      </c>
      <c r="X236" s="217">
        <v>1049</v>
      </c>
    </row>
    <row r="237" spans="1:24" x14ac:dyDescent="0.25">
      <c r="A237" s="31">
        <v>39196</v>
      </c>
      <c r="B237" s="62">
        <v>2487045.1</v>
      </c>
      <c r="C237" s="236">
        <v>5271</v>
      </c>
      <c r="D237" s="236">
        <v>0</v>
      </c>
      <c r="E237" s="236">
        <v>0</v>
      </c>
      <c r="F237" s="236">
        <v>1804</v>
      </c>
      <c r="G237" s="236">
        <v>0</v>
      </c>
      <c r="H237" s="236">
        <v>0</v>
      </c>
      <c r="I237" s="236">
        <v>0</v>
      </c>
      <c r="J237" s="91">
        <v>2490512.1</v>
      </c>
      <c r="K237" s="217">
        <v>1007</v>
      </c>
      <c r="L237" s="217">
        <v>1058</v>
      </c>
      <c r="M237" s="217"/>
      <c r="N237" s="232">
        <v>1034</v>
      </c>
      <c r="O237" s="90">
        <v>175255</v>
      </c>
      <c r="P237" s="236">
        <v>0</v>
      </c>
      <c r="Q237" s="236">
        <v>0</v>
      </c>
      <c r="R237" s="236">
        <v>195</v>
      </c>
      <c r="S237" s="236">
        <v>0</v>
      </c>
      <c r="T237" s="236">
        <v>0</v>
      </c>
      <c r="U237" s="236">
        <v>0</v>
      </c>
      <c r="V237" s="63">
        <v>175060</v>
      </c>
      <c r="W237" s="217">
        <v>1007</v>
      </c>
      <c r="X237" s="217">
        <v>1049</v>
      </c>
    </row>
    <row r="238" spans="1:24" x14ac:dyDescent="0.25">
      <c r="A238" s="31">
        <v>39197</v>
      </c>
      <c r="B238" s="62">
        <v>2490512.1</v>
      </c>
      <c r="C238" s="236">
        <v>8362</v>
      </c>
      <c r="D238" s="236">
        <v>0</v>
      </c>
      <c r="E238" s="236">
        <v>0</v>
      </c>
      <c r="F238" s="236">
        <v>1960</v>
      </c>
      <c r="G238" s="236">
        <v>0</v>
      </c>
      <c r="H238" s="236">
        <v>0</v>
      </c>
      <c r="I238" s="236">
        <v>0</v>
      </c>
      <c r="J238" s="91">
        <v>2496914.1</v>
      </c>
      <c r="K238" s="217">
        <v>1007</v>
      </c>
      <c r="L238" s="217">
        <v>1058</v>
      </c>
      <c r="M238" s="217"/>
      <c r="N238" s="232">
        <v>1034</v>
      </c>
      <c r="O238" s="90">
        <v>175060</v>
      </c>
      <c r="P238" s="236">
        <v>0</v>
      </c>
      <c r="Q238" s="236">
        <v>0</v>
      </c>
      <c r="R238" s="236">
        <v>0</v>
      </c>
      <c r="S238" s="236">
        <v>0</v>
      </c>
      <c r="T238" s="236">
        <v>0</v>
      </c>
      <c r="U238" s="236">
        <v>0</v>
      </c>
      <c r="V238" s="63">
        <v>175060</v>
      </c>
      <c r="W238" s="217">
        <v>1007</v>
      </c>
      <c r="X238" s="217">
        <v>1049</v>
      </c>
    </row>
    <row r="239" spans="1:24" x14ac:dyDescent="0.25">
      <c r="A239" s="31">
        <v>39198</v>
      </c>
      <c r="B239" s="62">
        <v>2496914.1</v>
      </c>
      <c r="C239" s="236">
        <v>10611</v>
      </c>
      <c r="D239" s="236">
        <v>0</v>
      </c>
      <c r="E239" s="236">
        <v>0</v>
      </c>
      <c r="F239" s="236">
        <v>2076</v>
      </c>
      <c r="G239" s="236">
        <v>0</v>
      </c>
      <c r="H239" s="236">
        <v>0</v>
      </c>
      <c r="I239" s="236">
        <v>0</v>
      </c>
      <c r="J239" s="91">
        <v>2505449.1</v>
      </c>
      <c r="K239" s="217">
        <v>1007</v>
      </c>
      <c r="L239" s="217">
        <v>1058</v>
      </c>
      <c r="M239" s="217"/>
      <c r="N239" s="232">
        <v>1034</v>
      </c>
      <c r="O239" s="90">
        <v>175060</v>
      </c>
      <c r="P239" s="236">
        <v>0</v>
      </c>
      <c r="Q239" s="236">
        <v>0</v>
      </c>
      <c r="R239" s="236">
        <v>0</v>
      </c>
      <c r="S239" s="236">
        <v>0</v>
      </c>
      <c r="T239" s="236">
        <v>0</v>
      </c>
      <c r="U239" s="236">
        <v>0</v>
      </c>
      <c r="V239" s="63">
        <v>175060</v>
      </c>
      <c r="W239" s="217">
        <v>1007</v>
      </c>
      <c r="X239" s="217">
        <v>1049</v>
      </c>
    </row>
    <row r="240" spans="1:24" x14ac:dyDescent="0.25">
      <c r="A240" s="31">
        <v>39199</v>
      </c>
      <c r="B240" s="62">
        <v>2505449.1</v>
      </c>
      <c r="C240" s="236">
        <v>7525</v>
      </c>
      <c r="D240" s="236">
        <v>0</v>
      </c>
      <c r="E240" s="236">
        <v>0</v>
      </c>
      <c r="F240" s="236">
        <v>1923</v>
      </c>
      <c r="G240" s="236">
        <v>0</v>
      </c>
      <c r="H240" s="236">
        <v>0</v>
      </c>
      <c r="I240" s="236">
        <v>0</v>
      </c>
      <c r="J240" s="91">
        <v>2511051.1</v>
      </c>
      <c r="K240" s="217">
        <v>1007</v>
      </c>
      <c r="L240" s="217">
        <v>1058</v>
      </c>
      <c r="M240" s="217"/>
      <c r="N240" s="232">
        <v>1034</v>
      </c>
      <c r="O240" s="90">
        <v>175060</v>
      </c>
      <c r="P240" s="236">
        <v>0</v>
      </c>
      <c r="Q240" s="236">
        <v>0</v>
      </c>
      <c r="R240" s="236">
        <v>276</v>
      </c>
      <c r="S240" s="236">
        <v>0</v>
      </c>
      <c r="T240" s="236">
        <v>0</v>
      </c>
      <c r="U240" s="236">
        <v>0</v>
      </c>
      <c r="V240" s="63">
        <v>174784</v>
      </c>
      <c r="W240" s="217">
        <v>1007</v>
      </c>
      <c r="X240" s="217">
        <v>1049</v>
      </c>
    </row>
    <row r="241" spans="1:24" x14ac:dyDescent="0.25">
      <c r="A241" s="31">
        <v>39200</v>
      </c>
      <c r="B241" s="62">
        <v>2511051.1</v>
      </c>
      <c r="C241" s="236">
        <v>7526</v>
      </c>
      <c r="D241" s="236">
        <v>0</v>
      </c>
      <c r="E241" s="236">
        <v>0</v>
      </c>
      <c r="F241" s="236">
        <v>1925</v>
      </c>
      <c r="G241" s="236">
        <v>0</v>
      </c>
      <c r="H241" s="236">
        <v>0</v>
      </c>
      <c r="I241" s="236">
        <v>0</v>
      </c>
      <c r="J241" s="91">
        <v>2516652.1</v>
      </c>
      <c r="K241" s="217">
        <v>1007</v>
      </c>
      <c r="L241" s="217">
        <v>1058</v>
      </c>
      <c r="M241" s="217"/>
      <c r="N241" s="232">
        <v>1035</v>
      </c>
      <c r="O241" s="90">
        <v>174784</v>
      </c>
      <c r="P241" s="236">
        <v>0</v>
      </c>
      <c r="Q241" s="236">
        <v>0</v>
      </c>
      <c r="R241" s="236">
        <v>276</v>
      </c>
      <c r="S241" s="236">
        <v>0</v>
      </c>
      <c r="T241" s="236">
        <v>0</v>
      </c>
      <c r="U241" s="236">
        <v>0</v>
      </c>
      <c r="V241" s="63">
        <v>174508</v>
      </c>
      <c r="W241" s="217">
        <v>1007</v>
      </c>
      <c r="X241" s="217">
        <v>1049</v>
      </c>
    </row>
    <row r="242" spans="1:24" x14ac:dyDescent="0.25">
      <c r="A242" s="31">
        <v>39201</v>
      </c>
      <c r="B242" s="62">
        <v>2516652.1</v>
      </c>
      <c r="C242" s="236">
        <v>7247</v>
      </c>
      <c r="D242" s="236">
        <v>0</v>
      </c>
      <c r="E242" s="236">
        <v>0</v>
      </c>
      <c r="F242" s="236">
        <v>1912</v>
      </c>
      <c r="G242" s="236">
        <v>0</v>
      </c>
      <c r="H242" s="236">
        <v>0</v>
      </c>
      <c r="I242" s="236">
        <v>0</v>
      </c>
      <c r="J242" s="91">
        <v>2521987.1</v>
      </c>
      <c r="K242" s="217">
        <v>1007</v>
      </c>
      <c r="L242" s="217">
        <v>1058</v>
      </c>
      <c r="M242" s="217"/>
      <c r="N242" s="232">
        <v>1038</v>
      </c>
      <c r="O242" s="90">
        <v>174508</v>
      </c>
      <c r="P242" s="236">
        <v>0</v>
      </c>
      <c r="Q242" s="236">
        <v>0</v>
      </c>
      <c r="R242" s="236">
        <v>276</v>
      </c>
      <c r="S242" s="236">
        <v>0</v>
      </c>
      <c r="T242" s="236">
        <v>0</v>
      </c>
      <c r="U242" s="236">
        <v>0</v>
      </c>
      <c r="V242" s="63">
        <v>174232</v>
      </c>
      <c r="W242" s="217">
        <v>1007</v>
      </c>
      <c r="X242" s="217">
        <v>1049</v>
      </c>
    </row>
    <row r="243" spans="1:24" x14ac:dyDescent="0.25">
      <c r="A243" s="31">
        <v>39202</v>
      </c>
      <c r="B243" s="62">
        <v>2521987.1</v>
      </c>
      <c r="C243" s="236">
        <v>8654</v>
      </c>
      <c r="D243" s="236">
        <v>0</v>
      </c>
      <c r="E243" s="236">
        <v>0</v>
      </c>
      <c r="F243" s="236">
        <v>1985</v>
      </c>
      <c r="G243" s="236">
        <v>0</v>
      </c>
      <c r="H243" s="236">
        <v>0</v>
      </c>
      <c r="I243" s="236">
        <v>0</v>
      </c>
      <c r="J243" s="91">
        <v>2528656.1</v>
      </c>
      <c r="K243" s="217">
        <v>1007</v>
      </c>
      <c r="L243" s="217">
        <v>1058</v>
      </c>
      <c r="M243" s="217"/>
      <c r="N243" s="232">
        <v>1038</v>
      </c>
      <c r="O243" s="90">
        <v>174232</v>
      </c>
      <c r="P243" s="236">
        <v>0</v>
      </c>
      <c r="Q243" s="236">
        <v>0</v>
      </c>
      <c r="R243" s="236">
        <v>0</v>
      </c>
      <c r="S243" s="236">
        <v>0</v>
      </c>
      <c r="T243" s="236">
        <v>0</v>
      </c>
      <c r="U243" s="236">
        <v>0</v>
      </c>
      <c r="V243" s="63">
        <v>174232</v>
      </c>
      <c r="W243" s="217">
        <v>1007</v>
      </c>
      <c r="X243" s="217">
        <v>1049</v>
      </c>
    </row>
    <row r="244" spans="1:24" x14ac:dyDescent="0.25">
      <c r="A244" s="31">
        <v>39203</v>
      </c>
      <c r="B244" s="62">
        <v>2528656.1</v>
      </c>
      <c r="C244" s="236">
        <v>10341</v>
      </c>
      <c r="D244" s="236">
        <v>0</v>
      </c>
      <c r="E244" s="236">
        <v>0</v>
      </c>
      <c r="F244" s="236">
        <v>2067</v>
      </c>
      <c r="G244" s="236">
        <v>0</v>
      </c>
      <c r="H244" s="236">
        <v>0</v>
      </c>
      <c r="I244" s="236">
        <v>0</v>
      </c>
      <c r="J244" s="91">
        <v>2536930.1</v>
      </c>
      <c r="K244" s="217">
        <v>1007</v>
      </c>
      <c r="L244" s="217">
        <v>1058</v>
      </c>
      <c r="M244" s="217"/>
      <c r="N244" s="232">
        <v>1039</v>
      </c>
      <c r="O244" s="90">
        <v>174232</v>
      </c>
      <c r="P244" s="236">
        <v>0</v>
      </c>
      <c r="Q244" s="236">
        <v>0</v>
      </c>
      <c r="R244" s="236">
        <v>61</v>
      </c>
      <c r="S244" s="236">
        <v>0</v>
      </c>
      <c r="T244" s="236">
        <v>0</v>
      </c>
      <c r="U244" s="236">
        <v>0</v>
      </c>
      <c r="V244" s="63">
        <v>174171</v>
      </c>
      <c r="W244" s="217">
        <v>1007</v>
      </c>
      <c r="X244" s="217">
        <v>1049</v>
      </c>
    </row>
    <row r="245" spans="1:24" x14ac:dyDescent="0.25">
      <c r="A245" s="31">
        <v>39204</v>
      </c>
      <c r="B245" s="62">
        <v>2536930.1</v>
      </c>
      <c r="C245" s="236">
        <v>11186</v>
      </c>
      <c r="D245" s="236">
        <v>0</v>
      </c>
      <c r="E245" s="236">
        <v>0</v>
      </c>
      <c r="F245" s="236">
        <v>2116</v>
      </c>
      <c r="G245" s="236">
        <v>0</v>
      </c>
      <c r="H245" s="236">
        <v>0</v>
      </c>
      <c r="I245" s="236">
        <v>0</v>
      </c>
      <c r="J245" s="91">
        <v>2546000.1</v>
      </c>
      <c r="K245" s="217">
        <v>1007</v>
      </c>
      <c r="L245" s="217">
        <v>1058</v>
      </c>
      <c r="M245" s="217"/>
      <c r="N245" s="232">
        <v>1036</v>
      </c>
      <c r="O245" s="90">
        <v>174171</v>
      </c>
      <c r="P245" s="236">
        <v>0</v>
      </c>
      <c r="Q245" s="236">
        <v>0</v>
      </c>
      <c r="R245" s="236">
        <v>54</v>
      </c>
      <c r="S245" s="236">
        <v>0</v>
      </c>
      <c r="T245" s="236">
        <v>0</v>
      </c>
      <c r="U245" s="236">
        <v>0</v>
      </c>
      <c r="V245" s="63">
        <v>174117</v>
      </c>
      <c r="W245" s="217">
        <v>1007</v>
      </c>
      <c r="X245" s="217">
        <v>1049</v>
      </c>
    </row>
    <row r="246" spans="1:24" x14ac:dyDescent="0.25">
      <c r="A246" s="31">
        <v>39205</v>
      </c>
      <c r="B246" s="62">
        <v>2546000.1</v>
      </c>
      <c r="C246" s="236">
        <v>12032</v>
      </c>
      <c r="D246" s="236">
        <v>0</v>
      </c>
      <c r="E246" s="236">
        <v>0</v>
      </c>
      <c r="F246" s="236">
        <v>2162</v>
      </c>
      <c r="G246" s="236">
        <v>0</v>
      </c>
      <c r="H246" s="236">
        <v>0</v>
      </c>
      <c r="I246" s="236">
        <v>0</v>
      </c>
      <c r="J246" s="91">
        <v>2555870.1</v>
      </c>
      <c r="K246" s="217">
        <v>1007</v>
      </c>
      <c r="L246" s="217">
        <v>1058</v>
      </c>
      <c r="M246" s="217"/>
      <c r="N246" s="232">
        <v>1036</v>
      </c>
      <c r="O246" s="90">
        <v>174117</v>
      </c>
      <c r="P246" s="236">
        <v>0</v>
      </c>
      <c r="Q246" s="236">
        <v>0</v>
      </c>
      <c r="R246" s="236">
        <v>161</v>
      </c>
      <c r="S246" s="236">
        <v>0</v>
      </c>
      <c r="T246" s="236">
        <v>0</v>
      </c>
      <c r="U246" s="236">
        <v>0</v>
      </c>
      <c r="V246" s="63">
        <v>173956</v>
      </c>
      <c r="W246" s="217">
        <v>1007</v>
      </c>
      <c r="X246" s="217">
        <v>1049</v>
      </c>
    </row>
    <row r="247" spans="1:24" x14ac:dyDescent="0.25">
      <c r="A247" s="31">
        <v>39206</v>
      </c>
      <c r="B247" s="62">
        <v>2555870.1</v>
      </c>
      <c r="C247" s="236">
        <v>5855</v>
      </c>
      <c r="D247" s="236">
        <v>0</v>
      </c>
      <c r="E247" s="236">
        <v>0</v>
      </c>
      <c r="F247" s="236">
        <v>1854</v>
      </c>
      <c r="G247" s="236">
        <v>0</v>
      </c>
      <c r="H247" s="236">
        <v>0</v>
      </c>
      <c r="I247" s="236">
        <v>0</v>
      </c>
      <c r="J247" s="91">
        <v>2559871.1</v>
      </c>
      <c r="K247" s="217">
        <v>1007</v>
      </c>
      <c r="L247" s="217">
        <v>1058</v>
      </c>
      <c r="M247" s="217"/>
      <c r="N247" s="232">
        <v>1039</v>
      </c>
      <c r="O247" s="90">
        <v>173956</v>
      </c>
      <c r="P247" s="236">
        <v>0</v>
      </c>
      <c r="Q247" s="236">
        <v>0</v>
      </c>
      <c r="R247" s="236">
        <v>276</v>
      </c>
      <c r="S247" s="236">
        <v>0</v>
      </c>
      <c r="T247" s="236">
        <v>0</v>
      </c>
      <c r="U247" s="236">
        <v>0</v>
      </c>
      <c r="V247" s="63">
        <v>173680</v>
      </c>
      <c r="W247" s="217">
        <v>1007</v>
      </c>
      <c r="X247" s="217">
        <v>1049</v>
      </c>
    </row>
    <row r="248" spans="1:24" x14ac:dyDescent="0.25">
      <c r="A248" s="31">
        <v>39207</v>
      </c>
      <c r="B248" s="62">
        <v>2559871.1</v>
      </c>
      <c r="C248" s="236">
        <v>7823</v>
      </c>
      <c r="D248" s="236">
        <v>0</v>
      </c>
      <c r="E248" s="236">
        <v>0</v>
      </c>
      <c r="F248" s="236">
        <v>1954</v>
      </c>
      <c r="G248" s="236">
        <v>0</v>
      </c>
      <c r="H248" s="236">
        <v>0</v>
      </c>
      <c r="I248" s="236">
        <v>0</v>
      </c>
      <c r="J248" s="91">
        <v>2565740.1</v>
      </c>
      <c r="K248" s="217">
        <v>1007</v>
      </c>
      <c r="L248" s="217">
        <v>1058</v>
      </c>
      <c r="M248" s="217"/>
      <c r="N248" s="232">
        <v>1044</v>
      </c>
      <c r="O248" s="90">
        <v>173680</v>
      </c>
      <c r="P248" s="236">
        <v>0</v>
      </c>
      <c r="Q248" s="236">
        <v>0</v>
      </c>
      <c r="R248" s="236">
        <v>276</v>
      </c>
      <c r="S248" s="236">
        <v>0</v>
      </c>
      <c r="T248" s="236">
        <v>0</v>
      </c>
      <c r="U248" s="236">
        <v>0</v>
      </c>
      <c r="V248" s="63">
        <v>173404</v>
      </c>
      <c r="W248" s="217">
        <v>1007</v>
      </c>
      <c r="X248" s="217">
        <v>1049</v>
      </c>
    </row>
    <row r="249" spans="1:24" x14ac:dyDescent="0.25">
      <c r="A249" s="31">
        <v>39208</v>
      </c>
      <c r="B249" s="62">
        <v>2565740.1</v>
      </c>
      <c r="C249" s="236">
        <v>13162</v>
      </c>
      <c r="D249" s="236">
        <v>0</v>
      </c>
      <c r="E249" s="236">
        <v>0</v>
      </c>
      <c r="F249" s="236">
        <v>2224</v>
      </c>
      <c r="G249" s="236">
        <v>0</v>
      </c>
      <c r="H249" s="236">
        <v>0</v>
      </c>
      <c r="I249" s="236">
        <v>0</v>
      </c>
      <c r="J249" s="91">
        <v>2576678.1</v>
      </c>
      <c r="K249" s="217">
        <v>1007</v>
      </c>
      <c r="L249" s="217">
        <v>1058</v>
      </c>
      <c r="M249" s="217"/>
      <c r="N249" s="232">
        <v>1041</v>
      </c>
      <c r="O249" s="90">
        <v>173404</v>
      </c>
      <c r="P249" s="236">
        <v>0</v>
      </c>
      <c r="Q249" s="236">
        <v>0</v>
      </c>
      <c r="R249" s="236">
        <v>276</v>
      </c>
      <c r="S249" s="236">
        <v>0</v>
      </c>
      <c r="T249" s="236">
        <v>0</v>
      </c>
      <c r="U249" s="236">
        <v>0</v>
      </c>
      <c r="V249" s="63">
        <v>173128</v>
      </c>
      <c r="W249" s="217">
        <v>1007</v>
      </c>
      <c r="X249" s="217">
        <v>1049</v>
      </c>
    </row>
    <row r="250" spans="1:24" x14ac:dyDescent="0.25">
      <c r="A250" s="31">
        <v>39209</v>
      </c>
      <c r="B250" s="62">
        <v>2576678.1</v>
      </c>
      <c r="C250" s="236">
        <v>11761</v>
      </c>
      <c r="D250" s="236">
        <v>0</v>
      </c>
      <c r="E250" s="236">
        <v>0</v>
      </c>
      <c r="F250" s="236">
        <v>2157</v>
      </c>
      <c r="G250" s="236">
        <v>0</v>
      </c>
      <c r="H250" s="236">
        <v>0</v>
      </c>
      <c r="I250" s="236">
        <v>0</v>
      </c>
      <c r="J250" s="91">
        <v>2586282.1</v>
      </c>
      <c r="K250" s="217">
        <v>1007</v>
      </c>
      <c r="L250" s="217">
        <v>1058</v>
      </c>
      <c r="M250" s="217"/>
      <c r="N250" s="232">
        <v>1047</v>
      </c>
      <c r="O250" s="90">
        <v>173128</v>
      </c>
      <c r="P250" s="236">
        <v>0</v>
      </c>
      <c r="Q250" s="236">
        <v>0</v>
      </c>
      <c r="R250" s="236">
        <v>64</v>
      </c>
      <c r="S250" s="236">
        <v>0</v>
      </c>
      <c r="T250" s="236">
        <v>0</v>
      </c>
      <c r="U250" s="236">
        <v>0</v>
      </c>
      <c r="V250" s="63">
        <v>173064</v>
      </c>
      <c r="W250" s="217">
        <v>1007</v>
      </c>
      <c r="X250" s="217">
        <v>1049</v>
      </c>
    </row>
    <row r="251" spans="1:24" x14ac:dyDescent="0.25">
      <c r="A251" s="31">
        <v>39210</v>
      </c>
      <c r="B251" s="62">
        <v>2586282.1</v>
      </c>
      <c r="C251" s="236">
        <v>10079</v>
      </c>
      <c r="D251" s="236">
        <v>0</v>
      </c>
      <c r="E251" s="236">
        <v>0</v>
      </c>
      <c r="F251" s="236">
        <v>2073</v>
      </c>
      <c r="G251" s="236">
        <v>0</v>
      </c>
      <c r="H251" s="236">
        <v>0</v>
      </c>
      <c r="I251" s="236">
        <v>0</v>
      </c>
      <c r="J251" s="91">
        <v>2594288.1</v>
      </c>
      <c r="K251" s="217">
        <v>1007</v>
      </c>
      <c r="L251" s="217">
        <v>1058</v>
      </c>
      <c r="M251" s="217"/>
      <c r="N251" s="232">
        <v>1048</v>
      </c>
      <c r="O251" s="90">
        <v>173064</v>
      </c>
      <c r="P251" s="236">
        <v>0</v>
      </c>
      <c r="Q251" s="236">
        <v>0</v>
      </c>
      <c r="R251" s="236">
        <v>212</v>
      </c>
      <c r="S251" s="236">
        <v>0</v>
      </c>
      <c r="T251" s="236">
        <v>0</v>
      </c>
      <c r="U251" s="236">
        <v>0</v>
      </c>
      <c r="V251" s="63">
        <v>172852</v>
      </c>
      <c r="W251" s="217">
        <v>1007</v>
      </c>
      <c r="X251" s="217">
        <v>1049</v>
      </c>
    </row>
    <row r="252" spans="1:24" x14ac:dyDescent="0.25">
      <c r="A252" s="31">
        <v>39211</v>
      </c>
      <c r="B252" s="62">
        <v>2594288.1</v>
      </c>
      <c r="C252" s="236">
        <v>6430</v>
      </c>
      <c r="D252" s="236">
        <v>0</v>
      </c>
      <c r="E252" s="236">
        <v>0</v>
      </c>
      <c r="F252" s="236">
        <v>1894</v>
      </c>
      <c r="G252" s="236">
        <v>0</v>
      </c>
      <c r="H252" s="236">
        <v>0</v>
      </c>
      <c r="I252" s="236">
        <v>0</v>
      </c>
      <c r="J252" s="91">
        <v>2598824.1</v>
      </c>
      <c r="K252" s="217">
        <v>1007</v>
      </c>
      <c r="L252" s="217">
        <v>1058</v>
      </c>
      <c r="M252" s="217"/>
      <c r="N252" s="232">
        <v>1046</v>
      </c>
      <c r="O252" s="90">
        <v>172852</v>
      </c>
      <c r="P252" s="236">
        <v>0</v>
      </c>
      <c r="Q252" s="236">
        <v>0</v>
      </c>
      <c r="R252" s="236">
        <v>61</v>
      </c>
      <c r="S252" s="236">
        <v>0</v>
      </c>
      <c r="T252" s="236">
        <v>0</v>
      </c>
      <c r="U252" s="236">
        <v>0</v>
      </c>
      <c r="V252" s="63">
        <v>172791</v>
      </c>
      <c r="W252" s="217">
        <v>1007</v>
      </c>
      <c r="X252" s="217">
        <v>1049</v>
      </c>
    </row>
    <row r="253" spans="1:24" x14ac:dyDescent="0.25">
      <c r="A253" s="31">
        <v>39212</v>
      </c>
      <c r="B253" s="62">
        <v>2598824.1</v>
      </c>
      <c r="C253" s="236">
        <v>6712</v>
      </c>
      <c r="D253" s="236">
        <v>0</v>
      </c>
      <c r="E253" s="236">
        <v>0</v>
      </c>
      <c r="F253" s="236">
        <v>1910</v>
      </c>
      <c r="G253" s="236">
        <v>0</v>
      </c>
      <c r="H253" s="236">
        <v>0</v>
      </c>
      <c r="I253" s="236">
        <v>0</v>
      </c>
      <c r="J253" s="91">
        <v>2603626.1</v>
      </c>
      <c r="K253" s="217">
        <v>1007</v>
      </c>
      <c r="L253" s="217">
        <v>1058</v>
      </c>
      <c r="M253" s="217"/>
      <c r="N253" s="232">
        <v>1046</v>
      </c>
      <c r="O253" s="90">
        <v>172791</v>
      </c>
      <c r="P253" s="236">
        <v>0</v>
      </c>
      <c r="Q253" s="236">
        <v>0</v>
      </c>
      <c r="R253" s="236">
        <v>214</v>
      </c>
      <c r="S253" s="236">
        <v>0</v>
      </c>
      <c r="T253" s="236">
        <v>0</v>
      </c>
      <c r="U253" s="236">
        <v>0</v>
      </c>
      <c r="V253" s="63">
        <v>172577</v>
      </c>
      <c r="W253" s="217">
        <v>1007</v>
      </c>
      <c r="X253" s="217">
        <v>1049</v>
      </c>
    </row>
    <row r="254" spans="1:24" x14ac:dyDescent="0.25">
      <c r="A254" s="31">
        <v>39213</v>
      </c>
      <c r="B254" s="62">
        <v>2603626.1</v>
      </c>
      <c r="C254" s="236">
        <v>7275</v>
      </c>
      <c r="D254" s="236">
        <v>0</v>
      </c>
      <c r="E254" s="236">
        <v>0</v>
      </c>
      <c r="F254" s="236">
        <v>1939</v>
      </c>
      <c r="G254" s="236">
        <v>0</v>
      </c>
      <c r="H254" s="236">
        <v>0</v>
      </c>
      <c r="I254" s="236">
        <v>0</v>
      </c>
      <c r="J254" s="91">
        <v>2608962.1</v>
      </c>
      <c r="K254" s="217">
        <v>1007</v>
      </c>
      <c r="L254" s="217">
        <v>1058</v>
      </c>
      <c r="M254" s="217"/>
      <c r="N254" s="232">
        <v>1046</v>
      </c>
      <c r="O254" s="90">
        <v>172577</v>
      </c>
      <c r="P254" s="236">
        <v>0</v>
      </c>
      <c r="Q254" s="236">
        <v>0</v>
      </c>
      <c r="R254" s="236">
        <v>71</v>
      </c>
      <c r="S254" s="236">
        <v>0</v>
      </c>
      <c r="T254" s="236">
        <v>0</v>
      </c>
      <c r="U254" s="236">
        <v>0</v>
      </c>
      <c r="V254" s="63">
        <v>172506</v>
      </c>
      <c r="W254" s="217">
        <v>1007</v>
      </c>
      <c r="X254" s="217">
        <v>1049</v>
      </c>
    </row>
    <row r="255" spans="1:24" x14ac:dyDescent="0.25">
      <c r="A255" s="31">
        <v>39214</v>
      </c>
      <c r="B255" s="62">
        <v>2608962.1</v>
      </c>
      <c r="C255" s="236">
        <v>9243</v>
      </c>
      <c r="D255" s="236">
        <v>0</v>
      </c>
      <c r="E255" s="236">
        <v>0</v>
      </c>
      <c r="F255" s="236">
        <v>2040</v>
      </c>
      <c r="G255" s="236">
        <v>0</v>
      </c>
      <c r="H255" s="236">
        <v>0</v>
      </c>
      <c r="I255" s="236">
        <v>0</v>
      </c>
      <c r="J255" s="91">
        <v>2616165.1</v>
      </c>
      <c r="K255" s="217">
        <v>1007</v>
      </c>
      <c r="L255" s="217">
        <v>1058</v>
      </c>
      <c r="M255" s="217"/>
      <c r="N255" s="232">
        <v>1040</v>
      </c>
      <c r="O255" s="90">
        <v>172506</v>
      </c>
      <c r="P255" s="236">
        <v>0</v>
      </c>
      <c r="Q255" s="236">
        <v>0</v>
      </c>
      <c r="R255" s="236">
        <v>205</v>
      </c>
      <c r="S255" s="236">
        <v>0</v>
      </c>
      <c r="T255" s="236">
        <v>0</v>
      </c>
      <c r="U255" s="236">
        <v>0</v>
      </c>
      <c r="V255" s="63">
        <v>172301</v>
      </c>
      <c r="W255" s="217">
        <v>1007</v>
      </c>
      <c r="X255" s="217">
        <v>1049</v>
      </c>
    </row>
    <row r="256" spans="1:24" x14ac:dyDescent="0.25">
      <c r="A256" s="31">
        <v>39215</v>
      </c>
      <c r="B256" s="62">
        <v>2616165.1</v>
      </c>
      <c r="C256" s="236">
        <v>12055</v>
      </c>
      <c r="D256" s="236">
        <v>0</v>
      </c>
      <c r="E256" s="236">
        <v>0</v>
      </c>
      <c r="F256" s="236">
        <v>2183</v>
      </c>
      <c r="G256" s="236">
        <v>0</v>
      </c>
      <c r="H256" s="236">
        <v>0</v>
      </c>
      <c r="I256" s="236">
        <v>0</v>
      </c>
      <c r="J256" s="91">
        <v>2626037.1</v>
      </c>
      <c r="K256" s="217">
        <v>1007</v>
      </c>
      <c r="L256" s="217">
        <v>1058</v>
      </c>
      <c r="M256" s="217"/>
      <c r="N256" s="232">
        <v>1046</v>
      </c>
      <c r="O256" s="90">
        <v>172301</v>
      </c>
      <c r="P256" s="236">
        <v>0</v>
      </c>
      <c r="Q256" s="236">
        <v>0</v>
      </c>
      <c r="R256" s="236">
        <v>276</v>
      </c>
      <c r="S256" s="236">
        <v>0</v>
      </c>
      <c r="T256" s="236">
        <v>0</v>
      </c>
      <c r="U256" s="236">
        <v>0</v>
      </c>
      <c r="V256" s="63">
        <v>172025</v>
      </c>
      <c r="W256" s="217">
        <v>1007</v>
      </c>
      <c r="X256" s="217">
        <v>1049</v>
      </c>
    </row>
    <row r="257" spans="1:24" x14ac:dyDescent="0.25">
      <c r="A257" s="31">
        <v>39216</v>
      </c>
      <c r="B257" s="62">
        <v>2626037.1</v>
      </c>
      <c r="C257" s="236">
        <v>10934</v>
      </c>
      <c r="D257" s="236">
        <v>0</v>
      </c>
      <c r="E257" s="236">
        <v>0</v>
      </c>
      <c r="F257" s="236">
        <v>2130</v>
      </c>
      <c r="G257" s="236">
        <v>0</v>
      </c>
      <c r="H257" s="236">
        <v>0</v>
      </c>
      <c r="I257" s="236">
        <v>0</v>
      </c>
      <c r="J257" s="91">
        <v>2634841.1</v>
      </c>
      <c r="K257" s="217">
        <v>1007</v>
      </c>
      <c r="L257" s="217">
        <v>1058</v>
      </c>
      <c r="M257" s="217"/>
      <c r="N257" s="232">
        <v>1041</v>
      </c>
      <c r="O257" s="90">
        <v>172025</v>
      </c>
      <c r="P257" s="236">
        <v>0</v>
      </c>
      <c r="Q257" s="236">
        <v>0</v>
      </c>
      <c r="R257" s="236">
        <v>276</v>
      </c>
      <c r="S257" s="236">
        <v>0</v>
      </c>
      <c r="T257" s="236">
        <v>0</v>
      </c>
      <c r="U257" s="236">
        <v>0</v>
      </c>
      <c r="V257" s="63">
        <v>171749</v>
      </c>
      <c r="W257" s="217">
        <v>1007</v>
      </c>
      <c r="X257" s="217">
        <v>1049</v>
      </c>
    </row>
    <row r="258" spans="1:24" x14ac:dyDescent="0.25">
      <c r="A258" s="31">
        <v>39217</v>
      </c>
      <c r="B258" s="62">
        <v>2634841.1</v>
      </c>
      <c r="C258" s="236">
        <v>7005</v>
      </c>
      <c r="D258" s="236">
        <v>0</v>
      </c>
      <c r="E258" s="236">
        <v>0</v>
      </c>
      <c r="F258" s="236">
        <v>1935</v>
      </c>
      <c r="G258" s="236">
        <v>0</v>
      </c>
      <c r="H258" s="236">
        <v>0</v>
      </c>
      <c r="I258" s="236">
        <v>0</v>
      </c>
      <c r="J258" s="91">
        <v>2639911.1</v>
      </c>
      <c r="K258" s="217">
        <v>1007</v>
      </c>
      <c r="L258" s="217">
        <v>1058</v>
      </c>
      <c r="M258" s="217"/>
      <c r="N258" s="232">
        <v>1035</v>
      </c>
      <c r="O258" s="90">
        <v>171749</v>
      </c>
      <c r="P258" s="236">
        <v>0</v>
      </c>
      <c r="Q258" s="236">
        <v>0</v>
      </c>
      <c r="R258" s="236">
        <v>61</v>
      </c>
      <c r="S258" s="236">
        <v>0</v>
      </c>
      <c r="T258" s="236">
        <v>0</v>
      </c>
      <c r="U258" s="236">
        <v>0</v>
      </c>
      <c r="V258" s="63">
        <v>171688</v>
      </c>
      <c r="W258" s="217">
        <v>1007</v>
      </c>
      <c r="X258" s="217">
        <v>1049</v>
      </c>
    </row>
    <row r="259" spans="1:24" x14ac:dyDescent="0.25">
      <c r="A259" s="31">
        <v>39218</v>
      </c>
      <c r="B259" s="62">
        <v>2639911.1</v>
      </c>
      <c r="C259" s="236">
        <v>8410</v>
      </c>
      <c r="D259" s="236">
        <v>0</v>
      </c>
      <c r="E259" s="236">
        <v>0</v>
      </c>
      <c r="F259" s="236">
        <v>2007</v>
      </c>
      <c r="G259" s="236">
        <v>0</v>
      </c>
      <c r="H259" s="236">
        <v>0</v>
      </c>
      <c r="I259" s="236">
        <v>0</v>
      </c>
      <c r="J259" s="91">
        <v>2646314.1</v>
      </c>
      <c r="K259" s="217">
        <v>1007</v>
      </c>
      <c r="L259" s="217">
        <v>1058</v>
      </c>
      <c r="M259" s="217"/>
      <c r="N259" s="232">
        <v>1044</v>
      </c>
      <c r="O259" s="90">
        <v>171688</v>
      </c>
      <c r="P259" s="236">
        <v>0</v>
      </c>
      <c r="Q259" s="236">
        <v>0</v>
      </c>
      <c r="R259" s="236">
        <v>215</v>
      </c>
      <c r="S259" s="236">
        <v>0</v>
      </c>
      <c r="T259" s="236">
        <v>0</v>
      </c>
      <c r="U259" s="236">
        <v>0</v>
      </c>
      <c r="V259" s="63">
        <v>171473</v>
      </c>
      <c r="W259" s="217">
        <v>1007</v>
      </c>
      <c r="X259" s="217">
        <v>1049</v>
      </c>
    </row>
    <row r="260" spans="1:24" x14ac:dyDescent="0.25">
      <c r="A260" s="31">
        <v>39219</v>
      </c>
      <c r="B260" s="62">
        <v>2646314.1</v>
      </c>
      <c r="C260" s="236">
        <v>11222</v>
      </c>
      <c r="D260" s="236">
        <v>0</v>
      </c>
      <c r="E260" s="236">
        <v>0</v>
      </c>
      <c r="F260" s="236">
        <v>2151</v>
      </c>
      <c r="G260" s="236">
        <v>0</v>
      </c>
      <c r="H260" s="236">
        <v>0</v>
      </c>
      <c r="I260" s="236">
        <v>0</v>
      </c>
      <c r="J260" s="91">
        <v>2655385.1</v>
      </c>
      <c r="K260" s="217">
        <v>1007</v>
      </c>
      <c r="L260" s="217">
        <v>1058</v>
      </c>
      <c r="M260" s="217"/>
      <c r="N260" s="232">
        <v>1033</v>
      </c>
      <c r="O260" s="90">
        <v>171473</v>
      </c>
      <c r="P260" s="236">
        <v>0</v>
      </c>
      <c r="Q260" s="236">
        <v>0</v>
      </c>
      <c r="R260" s="236">
        <v>276</v>
      </c>
      <c r="S260" s="236">
        <v>0</v>
      </c>
      <c r="T260" s="236">
        <v>0</v>
      </c>
      <c r="U260" s="236">
        <v>0</v>
      </c>
      <c r="V260" s="63">
        <v>171197</v>
      </c>
      <c r="W260" s="217">
        <v>1007</v>
      </c>
      <c r="X260" s="217">
        <v>1049</v>
      </c>
    </row>
    <row r="261" spans="1:24" x14ac:dyDescent="0.25">
      <c r="A261" s="31">
        <v>39220</v>
      </c>
      <c r="B261" s="62">
        <v>2655385.1</v>
      </c>
      <c r="C261" s="236">
        <v>10383</v>
      </c>
      <c r="D261" s="236">
        <v>0</v>
      </c>
      <c r="E261" s="236">
        <v>0</v>
      </c>
      <c r="F261" s="236">
        <v>2111</v>
      </c>
      <c r="G261" s="236">
        <v>0</v>
      </c>
      <c r="H261" s="236">
        <v>0</v>
      </c>
      <c r="I261" s="236">
        <v>0</v>
      </c>
      <c r="J261" s="91">
        <v>2663657.1</v>
      </c>
      <c r="K261" s="217">
        <v>1007</v>
      </c>
      <c r="L261" s="217">
        <v>1058</v>
      </c>
      <c r="M261" s="217"/>
      <c r="N261" s="232">
        <v>1038</v>
      </c>
      <c r="O261" s="90">
        <v>171197</v>
      </c>
      <c r="P261" s="236">
        <v>0</v>
      </c>
      <c r="Q261" s="236">
        <v>0</v>
      </c>
      <c r="R261" s="236">
        <v>276</v>
      </c>
      <c r="S261" s="236">
        <v>0</v>
      </c>
      <c r="T261" s="236">
        <v>0</v>
      </c>
      <c r="U261" s="236">
        <v>0</v>
      </c>
      <c r="V261" s="63">
        <v>170921</v>
      </c>
      <c r="W261" s="217">
        <v>1007</v>
      </c>
      <c r="X261" s="217">
        <v>1049</v>
      </c>
    </row>
    <row r="262" spans="1:24" x14ac:dyDescent="0.25">
      <c r="A262" s="31">
        <v>39221</v>
      </c>
      <c r="B262" s="62">
        <v>2663657.1</v>
      </c>
      <c r="C262" s="236">
        <v>7856</v>
      </c>
      <c r="D262" s="236">
        <v>0</v>
      </c>
      <c r="E262" s="236">
        <v>0</v>
      </c>
      <c r="F262" s="236">
        <v>1986</v>
      </c>
      <c r="G262" s="236">
        <v>0</v>
      </c>
      <c r="H262" s="236">
        <v>0</v>
      </c>
      <c r="I262" s="236">
        <v>0</v>
      </c>
      <c r="J262" s="91">
        <v>2669527.1</v>
      </c>
      <c r="K262" s="217">
        <v>1007</v>
      </c>
      <c r="L262" s="217">
        <v>1058</v>
      </c>
      <c r="M262" s="217"/>
      <c r="N262" s="232">
        <v>1038</v>
      </c>
      <c r="O262" s="90">
        <v>170921</v>
      </c>
      <c r="P262" s="236">
        <v>0</v>
      </c>
      <c r="Q262" s="236">
        <v>0</v>
      </c>
      <c r="R262" s="236">
        <v>276</v>
      </c>
      <c r="S262" s="236">
        <v>0</v>
      </c>
      <c r="T262" s="236">
        <v>0</v>
      </c>
      <c r="U262" s="236">
        <v>0</v>
      </c>
      <c r="V262" s="63">
        <v>170645</v>
      </c>
      <c r="W262" s="217">
        <v>1007</v>
      </c>
      <c r="X262" s="217">
        <v>1049</v>
      </c>
    </row>
    <row r="263" spans="1:24" x14ac:dyDescent="0.25">
      <c r="A263" s="31">
        <v>39222</v>
      </c>
      <c r="B263" s="62">
        <v>2669527.1</v>
      </c>
      <c r="C263" s="236">
        <v>7578</v>
      </c>
      <c r="D263" s="236">
        <v>0</v>
      </c>
      <c r="E263" s="236">
        <v>0</v>
      </c>
      <c r="F263" s="236">
        <v>1974</v>
      </c>
      <c r="G263" s="236">
        <v>0</v>
      </c>
      <c r="H263" s="236">
        <v>0</v>
      </c>
      <c r="I263" s="236">
        <v>0</v>
      </c>
      <c r="J263" s="91">
        <v>2675131.1</v>
      </c>
      <c r="K263" s="217">
        <v>1007</v>
      </c>
      <c r="L263" s="217">
        <v>1058</v>
      </c>
      <c r="M263" s="217"/>
      <c r="N263" s="232">
        <v>1038</v>
      </c>
      <c r="O263" s="90">
        <v>170645</v>
      </c>
      <c r="P263" s="236">
        <v>0</v>
      </c>
      <c r="Q263" s="236">
        <v>0</v>
      </c>
      <c r="R263" s="236">
        <v>276</v>
      </c>
      <c r="S263" s="236">
        <v>0</v>
      </c>
      <c r="T263" s="236">
        <v>0</v>
      </c>
      <c r="U263" s="236">
        <v>0</v>
      </c>
      <c r="V263" s="63">
        <v>170369</v>
      </c>
      <c r="W263" s="217">
        <v>1007</v>
      </c>
      <c r="X263" s="217">
        <v>1049</v>
      </c>
    </row>
    <row r="264" spans="1:24" x14ac:dyDescent="0.25">
      <c r="A264" s="31">
        <v>39223</v>
      </c>
      <c r="B264" s="62">
        <v>2675131.1</v>
      </c>
      <c r="C264" s="236">
        <v>10389</v>
      </c>
      <c r="D264" s="236">
        <v>0</v>
      </c>
      <c r="E264" s="236">
        <v>0</v>
      </c>
      <c r="F264" s="236">
        <v>2117</v>
      </c>
      <c r="G264" s="236">
        <v>0</v>
      </c>
      <c r="H264" s="236">
        <v>0</v>
      </c>
      <c r="I264" s="236">
        <v>0</v>
      </c>
      <c r="J264" s="91">
        <v>2683403.1</v>
      </c>
      <c r="K264" s="217">
        <v>1007</v>
      </c>
      <c r="L264" s="217">
        <v>1058</v>
      </c>
      <c r="M264" s="217"/>
      <c r="N264" s="232">
        <v>1038</v>
      </c>
      <c r="O264" s="90">
        <v>170369</v>
      </c>
      <c r="P264" s="236">
        <v>0</v>
      </c>
      <c r="Q264" s="236">
        <v>0</v>
      </c>
      <c r="R264" s="236">
        <v>276</v>
      </c>
      <c r="S264" s="236">
        <v>0</v>
      </c>
      <c r="T264" s="236">
        <v>0</v>
      </c>
      <c r="U264" s="236">
        <v>0</v>
      </c>
      <c r="V264" s="63">
        <v>170093</v>
      </c>
      <c r="W264" s="217">
        <v>1007</v>
      </c>
      <c r="X264" s="217">
        <v>1049</v>
      </c>
    </row>
    <row r="265" spans="1:24" x14ac:dyDescent="0.25">
      <c r="A265" s="31">
        <v>39224</v>
      </c>
      <c r="B265" s="62">
        <v>2683403.1</v>
      </c>
      <c r="C265" s="236">
        <v>10954</v>
      </c>
      <c r="D265" s="236">
        <v>0</v>
      </c>
      <c r="E265" s="236">
        <v>0</v>
      </c>
      <c r="F265" s="236">
        <v>2148</v>
      </c>
      <c r="G265" s="236">
        <v>0</v>
      </c>
      <c r="H265" s="236">
        <v>0</v>
      </c>
      <c r="I265" s="236">
        <v>0</v>
      </c>
      <c r="J265" s="91">
        <v>2692209.1</v>
      </c>
      <c r="K265" s="217">
        <v>1007</v>
      </c>
      <c r="L265" s="217">
        <v>1058</v>
      </c>
      <c r="M265" s="217"/>
      <c r="N265" s="232">
        <v>1039</v>
      </c>
      <c r="O265" s="90">
        <v>170093</v>
      </c>
      <c r="P265" s="236">
        <v>0</v>
      </c>
      <c r="Q265" s="236">
        <v>0</v>
      </c>
      <c r="R265" s="236">
        <v>276</v>
      </c>
      <c r="S265" s="236">
        <v>0</v>
      </c>
      <c r="T265" s="236">
        <v>0</v>
      </c>
      <c r="U265" s="236">
        <v>0</v>
      </c>
      <c r="V265" s="63">
        <v>169817</v>
      </c>
      <c r="W265" s="217">
        <v>1007</v>
      </c>
      <c r="X265" s="217">
        <v>1049</v>
      </c>
    </row>
    <row r="266" spans="1:24" x14ac:dyDescent="0.25">
      <c r="A266" s="31">
        <v>39225</v>
      </c>
      <c r="B266" s="62">
        <v>2692209.1</v>
      </c>
      <c r="C266" s="236">
        <v>10394</v>
      </c>
      <c r="D266" s="236">
        <v>0</v>
      </c>
      <c r="E266" s="236">
        <v>0</v>
      </c>
      <c r="F266" s="236">
        <v>2122</v>
      </c>
      <c r="G266" s="236">
        <v>0</v>
      </c>
      <c r="H266" s="236">
        <v>0</v>
      </c>
      <c r="I266" s="236">
        <v>0</v>
      </c>
      <c r="J266" s="91">
        <v>2700481.1</v>
      </c>
      <c r="K266" s="217">
        <v>1007</v>
      </c>
      <c r="L266" s="217">
        <v>1058</v>
      </c>
      <c r="M266" s="217"/>
      <c r="N266" s="232">
        <v>1039</v>
      </c>
      <c r="O266" s="90">
        <v>169817</v>
      </c>
      <c r="P266" s="236">
        <v>0</v>
      </c>
      <c r="Q266" s="236">
        <v>0</v>
      </c>
      <c r="R266" s="236">
        <v>81</v>
      </c>
      <c r="S266" s="236">
        <v>0</v>
      </c>
      <c r="T266" s="236">
        <v>0</v>
      </c>
      <c r="U266" s="236">
        <v>0</v>
      </c>
      <c r="V266" s="63">
        <v>169736</v>
      </c>
      <c r="W266" s="217">
        <v>1007</v>
      </c>
      <c r="X266" s="217">
        <v>1049</v>
      </c>
    </row>
    <row r="267" spans="1:24" x14ac:dyDescent="0.25">
      <c r="A267" s="31">
        <v>39226</v>
      </c>
      <c r="B267" s="62">
        <v>2700481.1</v>
      </c>
      <c r="C267" s="236">
        <v>7869</v>
      </c>
      <c r="D267" s="236">
        <v>0</v>
      </c>
      <c r="E267" s="236">
        <v>0</v>
      </c>
      <c r="F267" s="236">
        <v>1997</v>
      </c>
      <c r="G267" s="236">
        <v>0</v>
      </c>
      <c r="H267" s="236">
        <v>0</v>
      </c>
      <c r="I267" s="236">
        <v>0</v>
      </c>
      <c r="J267" s="91">
        <v>2706353.1</v>
      </c>
      <c r="K267" s="217">
        <v>1007</v>
      </c>
      <c r="L267" s="217">
        <v>1058</v>
      </c>
      <c r="M267" s="217"/>
      <c r="N267" s="232">
        <v>1037</v>
      </c>
      <c r="O267" s="90">
        <v>169736</v>
      </c>
      <c r="P267" s="236">
        <v>0</v>
      </c>
      <c r="Q267" s="236">
        <v>0</v>
      </c>
      <c r="R267" s="236">
        <v>195</v>
      </c>
      <c r="S267" s="236">
        <v>0</v>
      </c>
      <c r="T267" s="236">
        <v>0</v>
      </c>
      <c r="U267" s="236">
        <v>0</v>
      </c>
      <c r="V267" s="63">
        <v>169541</v>
      </c>
      <c r="W267" s="217">
        <v>1007</v>
      </c>
      <c r="X267" s="217">
        <v>1049</v>
      </c>
    </row>
    <row r="268" spans="1:24" x14ac:dyDescent="0.25">
      <c r="A268" s="31">
        <v>39227</v>
      </c>
      <c r="B268" s="62">
        <v>2706353.1</v>
      </c>
      <c r="C268" s="236">
        <v>5341</v>
      </c>
      <c r="D268" s="236">
        <v>0</v>
      </c>
      <c r="E268" s="236">
        <v>0</v>
      </c>
      <c r="F268" s="236">
        <v>1875</v>
      </c>
      <c r="G268" s="236">
        <v>0</v>
      </c>
      <c r="H268" s="236">
        <v>0</v>
      </c>
      <c r="I268" s="236">
        <v>0</v>
      </c>
      <c r="J268" s="91">
        <v>2709819.1</v>
      </c>
      <c r="K268" s="217">
        <v>1007</v>
      </c>
      <c r="L268" s="217">
        <v>1058</v>
      </c>
      <c r="M268" s="217"/>
      <c r="N268" s="232">
        <v>1036</v>
      </c>
      <c r="O268" s="90">
        <v>169541</v>
      </c>
      <c r="P268" s="236">
        <v>0</v>
      </c>
      <c r="Q268" s="236">
        <v>0</v>
      </c>
      <c r="R268" s="236">
        <v>276</v>
      </c>
      <c r="S268" s="236">
        <v>0</v>
      </c>
      <c r="T268" s="236">
        <v>0</v>
      </c>
      <c r="U268" s="236">
        <v>0</v>
      </c>
      <c r="V268" s="63">
        <v>169265</v>
      </c>
      <c r="W268" s="217">
        <v>1007</v>
      </c>
      <c r="X268" s="217">
        <v>1049</v>
      </c>
    </row>
    <row r="269" spans="1:24" x14ac:dyDescent="0.25">
      <c r="A269" s="31">
        <v>39228</v>
      </c>
      <c r="B269" s="62">
        <v>2709819.1</v>
      </c>
      <c r="C269" s="236">
        <v>4780</v>
      </c>
      <c r="D269" s="236">
        <v>0</v>
      </c>
      <c r="E269" s="236">
        <v>0</v>
      </c>
      <c r="F269" s="236">
        <v>1846</v>
      </c>
      <c r="G269" s="236">
        <v>0</v>
      </c>
      <c r="H269" s="236">
        <v>0</v>
      </c>
      <c r="I269" s="236">
        <v>0</v>
      </c>
      <c r="J269" s="91">
        <v>2712753.1</v>
      </c>
      <c r="K269" s="217">
        <v>1007</v>
      </c>
      <c r="L269" s="217">
        <v>1058</v>
      </c>
      <c r="M269" s="217"/>
      <c r="N269" s="232">
        <v>1035</v>
      </c>
      <c r="O269" s="90">
        <v>169265</v>
      </c>
      <c r="P269" s="236">
        <v>0</v>
      </c>
      <c r="Q269" s="236">
        <v>0</v>
      </c>
      <c r="R269" s="236">
        <v>274</v>
      </c>
      <c r="S269" s="236">
        <v>0</v>
      </c>
      <c r="T269" s="236">
        <v>0</v>
      </c>
      <c r="U269" s="236">
        <v>0</v>
      </c>
      <c r="V269" s="63">
        <v>168991</v>
      </c>
      <c r="W269" s="217">
        <v>1007</v>
      </c>
      <c r="X269" s="217">
        <v>1049</v>
      </c>
    </row>
    <row r="270" spans="1:24" x14ac:dyDescent="0.25">
      <c r="A270" s="31">
        <v>39229</v>
      </c>
      <c r="B270" s="62">
        <v>2712753.1</v>
      </c>
      <c r="C270" s="236">
        <v>5344</v>
      </c>
      <c r="D270" s="236">
        <v>0</v>
      </c>
      <c r="E270" s="236">
        <v>0</v>
      </c>
      <c r="F270" s="236">
        <v>1875</v>
      </c>
      <c r="G270" s="236">
        <v>0</v>
      </c>
      <c r="H270" s="236">
        <v>0</v>
      </c>
      <c r="I270" s="236">
        <v>0</v>
      </c>
      <c r="J270" s="91">
        <v>2716222.1</v>
      </c>
      <c r="K270" s="217">
        <v>1007</v>
      </c>
      <c r="L270" s="217">
        <v>1058</v>
      </c>
      <c r="M270" s="217"/>
      <c r="N270" s="232">
        <v>1051</v>
      </c>
      <c r="O270" s="90">
        <v>168991</v>
      </c>
      <c r="P270" s="236">
        <v>0</v>
      </c>
      <c r="Q270" s="236">
        <v>0</v>
      </c>
      <c r="R270" s="236">
        <v>276</v>
      </c>
      <c r="S270" s="236">
        <v>0</v>
      </c>
      <c r="T270" s="236">
        <v>0</v>
      </c>
      <c r="U270" s="236">
        <v>0</v>
      </c>
      <c r="V270" s="63">
        <v>168715</v>
      </c>
      <c r="W270" s="217">
        <v>1007</v>
      </c>
      <c r="X270" s="217">
        <v>1049</v>
      </c>
    </row>
    <row r="271" spans="1:24" x14ac:dyDescent="0.25">
      <c r="A271" s="31">
        <v>39230</v>
      </c>
      <c r="B271" s="62">
        <v>2716222.1</v>
      </c>
      <c r="C271" s="236">
        <v>6750</v>
      </c>
      <c r="D271" s="236">
        <v>0</v>
      </c>
      <c r="E271" s="236">
        <v>0</v>
      </c>
      <c r="F271" s="236">
        <v>1946</v>
      </c>
      <c r="G271" s="236">
        <v>0</v>
      </c>
      <c r="H271" s="236">
        <v>0</v>
      </c>
      <c r="I271" s="236">
        <v>0</v>
      </c>
      <c r="J271" s="91">
        <v>2721026.1</v>
      </c>
      <c r="K271" s="217">
        <v>1007</v>
      </c>
      <c r="L271" s="217">
        <v>1058</v>
      </c>
      <c r="M271" s="217"/>
      <c r="N271" s="232">
        <v>1052</v>
      </c>
      <c r="O271" s="90">
        <v>168715</v>
      </c>
      <c r="P271" s="236">
        <v>0</v>
      </c>
      <c r="Q271" s="236">
        <v>0</v>
      </c>
      <c r="R271" s="236">
        <v>275</v>
      </c>
      <c r="S271" s="236">
        <v>0</v>
      </c>
      <c r="T271" s="236">
        <v>0</v>
      </c>
      <c r="U271" s="236">
        <v>0</v>
      </c>
      <c r="V271" s="63">
        <v>168440</v>
      </c>
      <c r="W271" s="217">
        <v>1007</v>
      </c>
      <c r="X271" s="217">
        <v>1049</v>
      </c>
    </row>
    <row r="272" spans="1:24" x14ac:dyDescent="0.25">
      <c r="A272" s="31">
        <v>39231</v>
      </c>
      <c r="B272" s="62">
        <v>2721026.1</v>
      </c>
      <c r="C272" s="236">
        <v>7875</v>
      </c>
      <c r="D272" s="236">
        <v>0</v>
      </c>
      <c r="E272" s="236">
        <v>0</v>
      </c>
      <c r="F272" s="236">
        <v>2004</v>
      </c>
      <c r="G272" s="236">
        <v>0</v>
      </c>
      <c r="H272" s="236">
        <v>0</v>
      </c>
      <c r="I272" s="236">
        <v>0</v>
      </c>
      <c r="J272" s="91">
        <v>2726897.1</v>
      </c>
      <c r="K272" s="217">
        <v>1007</v>
      </c>
      <c r="L272" s="217">
        <v>1058</v>
      </c>
      <c r="M272" s="217"/>
      <c r="N272" s="232">
        <v>1050</v>
      </c>
      <c r="O272" s="90">
        <v>168440</v>
      </c>
      <c r="P272" s="236">
        <v>0</v>
      </c>
      <c r="Q272" s="236">
        <v>0</v>
      </c>
      <c r="R272" s="236">
        <v>276</v>
      </c>
      <c r="S272" s="236">
        <v>0</v>
      </c>
      <c r="T272" s="236">
        <v>0</v>
      </c>
      <c r="U272" s="236">
        <v>0</v>
      </c>
      <c r="V272" s="63">
        <v>168164</v>
      </c>
      <c r="W272" s="217">
        <v>1007</v>
      </c>
      <c r="X272" s="217">
        <v>1049</v>
      </c>
    </row>
    <row r="273" spans="1:24" x14ac:dyDescent="0.25">
      <c r="A273" s="31">
        <v>39232</v>
      </c>
      <c r="B273" s="62">
        <v>2726897.1</v>
      </c>
      <c r="C273" s="236">
        <v>6753</v>
      </c>
      <c r="D273" s="236">
        <v>0</v>
      </c>
      <c r="E273" s="236">
        <v>0</v>
      </c>
      <c r="F273" s="236">
        <v>1949</v>
      </c>
      <c r="G273" s="236">
        <v>0</v>
      </c>
      <c r="H273" s="236">
        <v>0</v>
      </c>
      <c r="I273" s="236">
        <v>0</v>
      </c>
      <c r="J273" s="91">
        <v>2731701.1</v>
      </c>
      <c r="K273" s="217">
        <v>1007</v>
      </c>
      <c r="L273" s="217">
        <v>1058</v>
      </c>
      <c r="M273" s="217"/>
      <c r="N273" s="232">
        <v>1048</v>
      </c>
      <c r="O273" s="90">
        <v>168164</v>
      </c>
      <c r="P273" s="236">
        <v>0</v>
      </c>
      <c r="Q273" s="236">
        <v>0</v>
      </c>
      <c r="R273" s="236">
        <v>82</v>
      </c>
      <c r="S273" s="236">
        <v>0</v>
      </c>
      <c r="T273" s="236">
        <v>0</v>
      </c>
      <c r="U273" s="236">
        <v>0</v>
      </c>
      <c r="V273" s="63">
        <v>168082</v>
      </c>
      <c r="W273" s="217">
        <v>1007</v>
      </c>
      <c r="X273" s="217">
        <v>1049</v>
      </c>
    </row>
    <row r="274" spans="1:24" x14ac:dyDescent="0.25">
      <c r="A274" s="31">
        <v>39233</v>
      </c>
      <c r="B274" s="62">
        <v>2731701.1</v>
      </c>
      <c r="C274" s="236">
        <v>6474</v>
      </c>
      <c r="D274" s="236">
        <v>0</v>
      </c>
      <c r="E274" s="236">
        <v>0</v>
      </c>
      <c r="F274" s="236">
        <v>1937</v>
      </c>
      <c r="G274" s="236">
        <v>0</v>
      </c>
      <c r="H274" s="236">
        <v>0</v>
      </c>
      <c r="I274" s="236">
        <v>0</v>
      </c>
      <c r="J274" s="91">
        <v>2736238.1</v>
      </c>
      <c r="K274" s="217">
        <v>1007</v>
      </c>
      <c r="L274" s="217">
        <v>1058</v>
      </c>
      <c r="M274" s="217"/>
      <c r="N274" s="232">
        <v>1037</v>
      </c>
      <c r="O274" s="90">
        <v>168082</v>
      </c>
      <c r="P274" s="236">
        <v>0</v>
      </c>
      <c r="Q274" s="236">
        <v>0</v>
      </c>
      <c r="R274" s="236">
        <v>469</v>
      </c>
      <c r="S274" s="236">
        <v>0</v>
      </c>
      <c r="T274" s="236">
        <v>0</v>
      </c>
      <c r="U274" s="236">
        <v>0</v>
      </c>
      <c r="V274" s="63">
        <v>167613</v>
      </c>
      <c r="W274" s="217">
        <v>1007</v>
      </c>
      <c r="X274" s="217">
        <v>1049</v>
      </c>
    </row>
    <row r="275" spans="1:24" x14ac:dyDescent="0.25">
      <c r="A275" s="31">
        <v>39234</v>
      </c>
      <c r="B275" s="62">
        <v>2736238.1</v>
      </c>
      <c r="C275" s="236">
        <v>5913</v>
      </c>
      <c r="D275" s="236">
        <v>0</v>
      </c>
      <c r="E275" s="236">
        <v>0</v>
      </c>
      <c r="F275" s="236">
        <v>1910</v>
      </c>
      <c r="G275" s="236">
        <v>0</v>
      </c>
      <c r="H275" s="236">
        <v>0</v>
      </c>
      <c r="I275" s="236">
        <v>0</v>
      </c>
      <c r="J275" s="91">
        <v>2740241.1</v>
      </c>
      <c r="K275" s="217">
        <v>1007</v>
      </c>
      <c r="L275" s="217">
        <v>1058</v>
      </c>
      <c r="M275" s="217"/>
      <c r="N275" s="232">
        <v>1036</v>
      </c>
      <c r="O275" s="90">
        <v>167613</v>
      </c>
      <c r="P275" s="236">
        <v>0</v>
      </c>
      <c r="Q275" s="236">
        <v>0</v>
      </c>
      <c r="R275" s="236">
        <v>0</v>
      </c>
      <c r="S275" s="236">
        <v>0</v>
      </c>
      <c r="T275" s="236">
        <v>0</v>
      </c>
      <c r="U275" s="236">
        <v>0</v>
      </c>
      <c r="V275" s="63">
        <v>167613</v>
      </c>
      <c r="W275" s="217">
        <v>1007</v>
      </c>
      <c r="X275" s="217">
        <v>1049</v>
      </c>
    </row>
    <row r="276" spans="1:24" x14ac:dyDescent="0.25">
      <c r="A276" s="31">
        <v>39235</v>
      </c>
      <c r="B276" s="62">
        <v>2740241.1</v>
      </c>
      <c r="C276" s="236">
        <v>4229</v>
      </c>
      <c r="D276" s="236">
        <v>0</v>
      </c>
      <c r="E276" s="236">
        <v>0</v>
      </c>
      <c r="F276" s="236">
        <v>1827</v>
      </c>
      <c r="G276" s="236">
        <v>0</v>
      </c>
      <c r="H276" s="236">
        <v>0</v>
      </c>
      <c r="I276" s="236">
        <v>0</v>
      </c>
      <c r="J276" s="91">
        <v>2742643.1</v>
      </c>
      <c r="K276" s="217">
        <v>1007</v>
      </c>
      <c r="L276" s="217">
        <v>1058</v>
      </c>
      <c r="M276" s="217"/>
      <c r="N276" s="232">
        <v>1036</v>
      </c>
      <c r="O276" s="90">
        <v>167613</v>
      </c>
      <c r="P276" s="236">
        <v>0</v>
      </c>
      <c r="Q276" s="236">
        <v>0</v>
      </c>
      <c r="R276" s="236">
        <v>276</v>
      </c>
      <c r="S276" s="236">
        <v>0</v>
      </c>
      <c r="T276" s="236">
        <v>0</v>
      </c>
      <c r="U276" s="236">
        <v>0</v>
      </c>
      <c r="V276" s="63">
        <v>167337</v>
      </c>
      <c r="W276" s="217">
        <v>1007</v>
      </c>
      <c r="X276" s="217">
        <v>1049</v>
      </c>
    </row>
    <row r="277" spans="1:24" x14ac:dyDescent="0.25">
      <c r="A277" s="31">
        <v>39236</v>
      </c>
      <c r="B277" s="62">
        <v>2742643.1</v>
      </c>
      <c r="C277" s="236">
        <v>1601</v>
      </c>
      <c r="D277" s="236">
        <v>0</v>
      </c>
      <c r="E277" s="236">
        <v>0</v>
      </c>
      <c r="F277" s="236">
        <v>267</v>
      </c>
      <c r="G277" s="236">
        <v>0</v>
      </c>
      <c r="H277" s="236">
        <v>0</v>
      </c>
      <c r="I277" s="236">
        <v>0</v>
      </c>
      <c r="J277" s="91">
        <v>2743977.1</v>
      </c>
      <c r="K277" s="217">
        <v>1007</v>
      </c>
      <c r="L277" s="217">
        <v>1058</v>
      </c>
      <c r="M277" s="217"/>
      <c r="N277" s="232">
        <v>1036</v>
      </c>
      <c r="O277" s="90">
        <v>167337</v>
      </c>
      <c r="P277" s="236">
        <v>0</v>
      </c>
      <c r="Q277" s="236">
        <v>0</v>
      </c>
      <c r="R277" s="236">
        <v>0</v>
      </c>
      <c r="S277" s="236">
        <v>0</v>
      </c>
      <c r="T277" s="236">
        <v>0</v>
      </c>
      <c r="U277" s="236">
        <v>0</v>
      </c>
      <c r="V277" s="63">
        <v>167337</v>
      </c>
      <c r="W277" s="217">
        <v>1007</v>
      </c>
      <c r="X277" s="217">
        <v>1049</v>
      </c>
    </row>
    <row r="278" spans="1:24" x14ac:dyDescent="0.25">
      <c r="A278" s="31">
        <v>39237</v>
      </c>
      <c r="B278" s="62">
        <v>2743977.1</v>
      </c>
      <c r="C278" s="236">
        <v>4511</v>
      </c>
      <c r="D278" s="236">
        <v>0</v>
      </c>
      <c r="E278" s="236">
        <v>0</v>
      </c>
      <c r="F278" s="236">
        <v>1842</v>
      </c>
      <c r="G278" s="236">
        <v>0</v>
      </c>
      <c r="H278" s="236">
        <v>0</v>
      </c>
      <c r="I278" s="236">
        <v>0</v>
      </c>
      <c r="J278" s="91">
        <v>2746646.1</v>
      </c>
      <c r="K278" s="217">
        <v>1007</v>
      </c>
      <c r="L278" s="217">
        <v>1058</v>
      </c>
      <c r="M278" s="217"/>
      <c r="N278" s="232">
        <v>1037</v>
      </c>
      <c r="O278" s="90">
        <v>167337</v>
      </c>
      <c r="P278" s="236">
        <v>0</v>
      </c>
      <c r="Q278" s="236">
        <v>0</v>
      </c>
      <c r="R278" s="236">
        <v>275</v>
      </c>
      <c r="S278" s="236">
        <v>0</v>
      </c>
      <c r="T278" s="236">
        <v>0</v>
      </c>
      <c r="U278" s="236">
        <v>0</v>
      </c>
      <c r="V278" s="63">
        <v>167062</v>
      </c>
      <c r="W278" s="217">
        <v>1007</v>
      </c>
      <c r="X278" s="217">
        <v>1049</v>
      </c>
    </row>
    <row r="279" spans="1:24" x14ac:dyDescent="0.25">
      <c r="A279" s="31">
        <v>39238</v>
      </c>
      <c r="B279" s="62">
        <v>2746646.1</v>
      </c>
      <c r="C279" s="236">
        <v>6198</v>
      </c>
      <c r="D279" s="236">
        <v>0</v>
      </c>
      <c r="E279" s="236">
        <v>0</v>
      </c>
      <c r="F279" s="236">
        <v>1927</v>
      </c>
      <c r="G279" s="236">
        <v>0</v>
      </c>
      <c r="H279" s="236">
        <v>0</v>
      </c>
      <c r="I279" s="236">
        <v>0</v>
      </c>
      <c r="J279" s="91">
        <v>2750917.1</v>
      </c>
      <c r="K279" s="217">
        <v>1007</v>
      </c>
      <c r="L279" s="217">
        <v>1058</v>
      </c>
      <c r="M279" s="217"/>
      <c r="N279" s="232">
        <v>1038</v>
      </c>
      <c r="O279" s="90">
        <v>167062</v>
      </c>
      <c r="P279" s="236">
        <v>0</v>
      </c>
      <c r="Q279" s="236">
        <v>0</v>
      </c>
      <c r="R279" s="236">
        <v>276</v>
      </c>
      <c r="S279" s="236">
        <v>0</v>
      </c>
      <c r="T279" s="236">
        <v>0</v>
      </c>
      <c r="U279" s="236">
        <v>0</v>
      </c>
      <c r="V279" s="63">
        <v>166786</v>
      </c>
      <c r="W279" s="217">
        <v>1007</v>
      </c>
      <c r="X279" s="217">
        <v>1049</v>
      </c>
    </row>
    <row r="280" spans="1:24" x14ac:dyDescent="0.25">
      <c r="A280" s="31">
        <v>39239</v>
      </c>
      <c r="B280" s="62">
        <v>2750917.1</v>
      </c>
      <c r="C280" s="236">
        <v>8447</v>
      </c>
      <c r="D280" s="236">
        <v>0</v>
      </c>
      <c r="E280" s="236">
        <v>0</v>
      </c>
      <c r="F280" s="236">
        <v>2042</v>
      </c>
      <c r="G280" s="236">
        <v>0</v>
      </c>
      <c r="H280" s="236">
        <v>0</v>
      </c>
      <c r="I280" s="236">
        <v>0</v>
      </c>
      <c r="J280" s="91">
        <v>2757322.1</v>
      </c>
      <c r="K280" s="217">
        <v>1007</v>
      </c>
      <c r="L280" s="217">
        <v>1058</v>
      </c>
      <c r="M280" s="217"/>
      <c r="N280" s="232">
        <v>1039</v>
      </c>
      <c r="O280" s="90">
        <v>166786</v>
      </c>
      <c r="P280" s="236">
        <v>0</v>
      </c>
      <c r="Q280" s="236">
        <v>0</v>
      </c>
      <c r="R280" s="236">
        <v>276</v>
      </c>
      <c r="S280" s="236">
        <v>0</v>
      </c>
      <c r="T280" s="236">
        <v>0</v>
      </c>
      <c r="U280" s="236">
        <v>0</v>
      </c>
      <c r="V280" s="63">
        <v>166510</v>
      </c>
      <c r="W280" s="217">
        <v>1007</v>
      </c>
      <c r="X280" s="217">
        <v>1049</v>
      </c>
    </row>
    <row r="281" spans="1:24" x14ac:dyDescent="0.25">
      <c r="A281" s="31">
        <v>39240</v>
      </c>
      <c r="B281" s="62">
        <v>2757322.1</v>
      </c>
      <c r="C281" s="236">
        <v>7325</v>
      </c>
      <c r="D281" s="236">
        <v>0</v>
      </c>
      <c r="E281" s="236">
        <v>0</v>
      </c>
      <c r="F281" s="236">
        <v>1987</v>
      </c>
      <c r="G281" s="236">
        <v>0</v>
      </c>
      <c r="H281" s="236">
        <v>0</v>
      </c>
      <c r="I281" s="236">
        <v>0</v>
      </c>
      <c r="J281" s="91">
        <v>2762660.1</v>
      </c>
      <c r="K281" s="217">
        <v>1007</v>
      </c>
      <c r="L281" s="217">
        <v>1058</v>
      </c>
      <c r="M281" s="217"/>
      <c r="N281" s="232">
        <v>1039</v>
      </c>
      <c r="O281" s="90">
        <v>166510</v>
      </c>
      <c r="P281" s="236">
        <v>0</v>
      </c>
      <c r="Q281" s="236">
        <v>0</v>
      </c>
      <c r="R281" s="236">
        <v>276</v>
      </c>
      <c r="S281" s="236">
        <v>0</v>
      </c>
      <c r="T281" s="236">
        <v>0</v>
      </c>
      <c r="U281" s="236">
        <v>0</v>
      </c>
      <c r="V281" s="63">
        <v>166234</v>
      </c>
      <c r="W281" s="217">
        <v>1007</v>
      </c>
      <c r="X281" s="217">
        <v>1049</v>
      </c>
    </row>
    <row r="282" spans="1:24" x14ac:dyDescent="0.25">
      <c r="A282" s="31">
        <v>39241</v>
      </c>
      <c r="B282" s="62">
        <v>2762660.1</v>
      </c>
      <c r="C282" s="236">
        <v>5078</v>
      </c>
      <c r="D282" s="236">
        <v>0</v>
      </c>
      <c r="E282" s="236">
        <v>0</v>
      </c>
      <c r="F282" s="236">
        <v>1877</v>
      </c>
      <c r="G282" s="236">
        <v>0</v>
      </c>
      <c r="H282" s="236">
        <v>0</v>
      </c>
      <c r="I282" s="236">
        <v>0</v>
      </c>
      <c r="J282" s="91">
        <v>2765861.1</v>
      </c>
      <c r="K282" s="217">
        <v>1007</v>
      </c>
      <c r="L282" s="217">
        <v>1058</v>
      </c>
      <c r="M282" s="217"/>
      <c r="N282" s="232">
        <v>1039</v>
      </c>
      <c r="O282" s="90">
        <v>166234</v>
      </c>
      <c r="P282" s="236">
        <v>0</v>
      </c>
      <c r="Q282" s="236">
        <v>0</v>
      </c>
      <c r="R282" s="236">
        <v>63</v>
      </c>
      <c r="S282" s="236">
        <v>0</v>
      </c>
      <c r="T282" s="236">
        <v>0</v>
      </c>
      <c r="U282" s="236">
        <v>0</v>
      </c>
      <c r="V282" s="63">
        <v>166171</v>
      </c>
      <c r="W282" s="217">
        <v>1007</v>
      </c>
      <c r="X282" s="217">
        <v>1049</v>
      </c>
    </row>
    <row r="283" spans="1:24" x14ac:dyDescent="0.25">
      <c r="A283" s="31">
        <v>39242</v>
      </c>
      <c r="B283" s="62">
        <v>2765861.1</v>
      </c>
      <c r="C283" s="236">
        <v>5922</v>
      </c>
      <c r="D283" s="236">
        <v>0</v>
      </c>
      <c r="E283" s="236">
        <v>0</v>
      </c>
      <c r="F283" s="236">
        <v>1920</v>
      </c>
      <c r="G283" s="236">
        <v>0</v>
      </c>
      <c r="H283" s="236">
        <v>0</v>
      </c>
      <c r="I283" s="236">
        <v>0</v>
      </c>
      <c r="J283" s="91">
        <v>2769863.1</v>
      </c>
      <c r="K283" s="217">
        <v>1007</v>
      </c>
      <c r="L283" s="217">
        <v>1058</v>
      </c>
      <c r="M283" s="217"/>
      <c r="N283" s="232">
        <v>1038</v>
      </c>
      <c r="O283" s="90">
        <v>166171</v>
      </c>
      <c r="P283" s="236">
        <v>0</v>
      </c>
      <c r="Q283" s="236">
        <v>0</v>
      </c>
      <c r="R283" s="236">
        <v>53</v>
      </c>
      <c r="S283" s="236">
        <v>0</v>
      </c>
      <c r="T283" s="236">
        <v>0</v>
      </c>
      <c r="U283" s="236">
        <v>0</v>
      </c>
      <c r="V283" s="63">
        <v>166118</v>
      </c>
      <c r="W283" s="217">
        <v>1007</v>
      </c>
      <c r="X283" s="217">
        <v>1049</v>
      </c>
    </row>
    <row r="284" spans="1:24" x14ac:dyDescent="0.25">
      <c r="A284" s="31">
        <v>39243</v>
      </c>
      <c r="B284" s="62">
        <v>2769863.1</v>
      </c>
      <c r="C284" s="236">
        <v>6486</v>
      </c>
      <c r="D284" s="236">
        <v>0</v>
      </c>
      <c r="E284" s="236">
        <v>0</v>
      </c>
      <c r="F284" s="236">
        <v>1949</v>
      </c>
      <c r="G284" s="236">
        <v>0</v>
      </c>
      <c r="H284" s="236">
        <v>0</v>
      </c>
      <c r="I284" s="236">
        <v>0</v>
      </c>
      <c r="J284" s="91">
        <v>2774400.1</v>
      </c>
      <c r="K284" s="217">
        <v>1007</v>
      </c>
      <c r="L284" s="217">
        <v>1058</v>
      </c>
      <c r="M284" s="217"/>
      <c r="N284" s="232">
        <v>1044</v>
      </c>
      <c r="O284" s="90">
        <v>166118</v>
      </c>
      <c r="P284" s="236">
        <v>0</v>
      </c>
      <c r="Q284" s="236">
        <v>0</v>
      </c>
      <c r="R284" s="236">
        <v>58</v>
      </c>
      <c r="S284" s="236">
        <v>0</v>
      </c>
      <c r="T284" s="236">
        <v>0</v>
      </c>
      <c r="U284" s="236">
        <v>0</v>
      </c>
      <c r="V284" s="63">
        <v>166060</v>
      </c>
      <c r="W284" s="217">
        <v>1007</v>
      </c>
      <c r="X284" s="217">
        <v>1049</v>
      </c>
    </row>
    <row r="285" spans="1:24" x14ac:dyDescent="0.25">
      <c r="A285" s="31">
        <v>39244</v>
      </c>
      <c r="B285" s="62">
        <v>2774400.1</v>
      </c>
      <c r="C285" s="236">
        <v>9016</v>
      </c>
      <c r="D285" s="236">
        <v>0</v>
      </c>
      <c r="E285" s="236">
        <v>0</v>
      </c>
      <c r="F285" s="236">
        <v>2077</v>
      </c>
      <c r="G285" s="236">
        <v>0</v>
      </c>
      <c r="H285" s="236">
        <v>0</v>
      </c>
      <c r="I285" s="236">
        <v>0</v>
      </c>
      <c r="J285" s="91">
        <v>2781339.1</v>
      </c>
      <c r="K285" s="217">
        <v>1007</v>
      </c>
      <c r="L285" s="217">
        <v>1058</v>
      </c>
      <c r="M285" s="217"/>
      <c r="N285" s="232">
        <v>1045</v>
      </c>
      <c r="O285" s="90">
        <v>166060</v>
      </c>
      <c r="P285" s="236">
        <v>0</v>
      </c>
      <c r="Q285" s="236">
        <v>0</v>
      </c>
      <c r="R285" s="236">
        <v>175</v>
      </c>
      <c r="S285" s="236">
        <v>0</v>
      </c>
      <c r="T285" s="236">
        <v>0</v>
      </c>
      <c r="U285" s="236">
        <v>0</v>
      </c>
      <c r="V285" s="63">
        <v>165885</v>
      </c>
      <c r="W285" s="217">
        <v>1007</v>
      </c>
      <c r="X285" s="217">
        <v>1049</v>
      </c>
    </row>
    <row r="286" spans="1:24" x14ac:dyDescent="0.25">
      <c r="A286" s="31">
        <v>39245</v>
      </c>
      <c r="B286" s="62">
        <v>2781339.1</v>
      </c>
      <c r="C286" s="236">
        <v>4241</v>
      </c>
      <c r="D286" s="236">
        <v>0</v>
      </c>
      <c r="E286" s="236">
        <v>0</v>
      </c>
      <c r="F286" s="236">
        <v>1839</v>
      </c>
      <c r="G286" s="236">
        <v>0</v>
      </c>
      <c r="H286" s="236">
        <v>0</v>
      </c>
      <c r="I286" s="236">
        <v>0</v>
      </c>
      <c r="J286" s="91">
        <v>2783741.1</v>
      </c>
      <c r="K286" s="217">
        <v>1007</v>
      </c>
      <c r="L286" s="217">
        <v>1058</v>
      </c>
      <c r="M286" s="217"/>
      <c r="N286" s="232">
        <v>1042</v>
      </c>
      <c r="O286" s="90">
        <v>165885</v>
      </c>
      <c r="P286" s="236">
        <v>0</v>
      </c>
      <c r="Q286" s="236">
        <v>0</v>
      </c>
      <c r="R286" s="236">
        <v>50</v>
      </c>
      <c r="S286" s="236">
        <v>0</v>
      </c>
      <c r="T286" s="236">
        <v>0</v>
      </c>
      <c r="U286" s="236">
        <v>0</v>
      </c>
      <c r="V286" s="63">
        <v>165835</v>
      </c>
      <c r="W286" s="217">
        <v>1007</v>
      </c>
      <c r="X286" s="217">
        <v>1049</v>
      </c>
    </row>
    <row r="287" spans="1:24" x14ac:dyDescent="0.25">
      <c r="A287" s="31">
        <v>39246</v>
      </c>
      <c r="B287" s="62">
        <v>2783741.1</v>
      </c>
      <c r="C287" s="236">
        <v>5929</v>
      </c>
      <c r="D287" s="236">
        <v>0</v>
      </c>
      <c r="E287" s="236">
        <v>0</v>
      </c>
      <c r="F287" s="236">
        <v>1925</v>
      </c>
      <c r="G287" s="236">
        <v>0</v>
      </c>
      <c r="H287" s="236">
        <v>0</v>
      </c>
      <c r="I287" s="236">
        <v>0</v>
      </c>
      <c r="J287" s="91">
        <v>2787745.1</v>
      </c>
      <c r="K287" s="217">
        <v>1007</v>
      </c>
      <c r="L287" s="217">
        <v>1058</v>
      </c>
      <c r="M287" s="217"/>
      <c r="N287" s="232">
        <v>1043</v>
      </c>
      <c r="O287" s="90">
        <v>165835</v>
      </c>
      <c r="P287" s="236">
        <v>0</v>
      </c>
      <c r="Q287" s="236">
        <v>0</v>
      </c>
      <c r="R287" s="236">
        <v>64</v>
      </c>
      <c r="S287" s="236">
        <v>0</v>
      </c>
      <c r="T287" s="236">
        <v>0</v>
      </c>
      <c r="U287" s="236">
        <v>0</v>
      </c>
      <c r="V287" s="63">
        <v>165771</v>
      </c>
      <c r="W287" s="217">
        <v>1007</v>
      </c>
      <c r="X287" s="217">
        <v>1049</v>
      </c>
    </row>
    <row r="288" spans="1:24" x14ac:dyDescent="0.25">
      <c r="A288" s="31">
        <v>39247</v>
      </c>
      <c r="B288" s="62">
        <v>2787745.1</v>
      </c>
      <c r="C288" s="236">
        <v>6210</v>
      </c>
      <c r="D288" s="236">
        <v>0</v>
      </c>
      <c r="E288" s="236">
        <v>0</v>
      </c>
      <c r="F288" s="236">
        <v>1940</v>
      </c>
      <c r="G288" s="236">
        <v>0</v>
      </c>
      <c r="H288" s="236">
        <v>0</v>
      </c>
      <c r="I288" s="236">
        <v>0</v>
      </c>
      <c r="J288" s="91">
        <v>2792015.1</v>
      </c>
      <c r="K288" s="217">
        <v>1007</v>
      </c>
      <c r="L288" s="217">
        <v>1058</v>
      </c>
      <c r="M288" s="217"/>
      <c r="N288" s="232">
        <v>1034</v>
      </c>
      <c r="O288" s="90">
        <v>165771</v>
      </c>
      <c r="P288" s="236">
        <v>0</v>
      </c>
      <c r="Q288" s="236">
        <v>0</v>
      </c>
      <c r="R288" s="236">
        <v>64</v>
      </c>
      <c r="S288" s="236">
        <v>0</v>
      </c>
      <c r="T288" s="236">
        <v>0</v>
      </c>
      <c r="U288" s="236">
        <v>0</v>
      </c>
      <c r="V288" s="63">
        <v>165707</v>
      </c>
      <c r="W288" s="217">
        <v>1007</v>
      </c>
      <c r="X288" s="217">
        <v>1049</v>
      </c>
    </row>
    <row r="289" spans="1:24" x14ac:dyDescent="0.25">
      <c r="A289" s="31">
        <v>39248</v>
      </c>
      <c r="B289" s="62">
        <v>2792015.1</v>
      </c>
      <c r="C289" s="236">
        <v>4245</v>
      </c>
      <c r="D289" s="236">
        <v>0</v>
      </c>
      <c r="E289" s="236">
        <v>0</v>
      </c>
      <c r="F289" s="236">
        <v>1843</v>
      </c>
      <c r="G289" s="236">
        <v>0</v>
      </c>
      <c r="H289" s="236">
        <v>0</v>
      </c>
      <c r="I289" s="236">
        <v>0</v>
      </c>
      <c r="J289" s="91">
        <v>2794417.1</v>
      </c>
      <c r="K289" s="217">
        <v>1007</v>
      </c>
      <c r="L289" s="217">
        <v>1058</v>
      </c>
      <c r="M289" s="217"/>
      <c r="N289" s="232">
        <v>1038</v>
      </c>
      <c r="O289" s="90">
        <v>165707</v>
      </c>
      <c r="P289" s="236">
        <v>0</v>
      </c>
      <c r="Q289" s="236">
        <v>0</v>
      </c>
      <c r="R289" s="236">
        <v>23</v>
      </c>
      <c r="S289" s="236">
        <v>0</v>
      </c>
      <c r="T289" s="236">
        <v>0</v>
      </c>
      <c r="U289" s="236">
        <v>0</v>
      </c>
      <c r="V289" s="63">
        <v>165684</v>
      </c>
      <c r="W289" s="217">
        <v>1007</v>
      </c>
      <c r="X289" s="217">
        <v>1049</v>
      </c>
    </row>
    <row r="290" spans="1:24" x14ac:dyDescent="0.25">
      <c r="A290" s="31">
        <v>39249</v>
      </c>
      <c r="B290" s="62">
        <v>2794417.1</v>
      </c>
      <c r="C290" s="236">
        <v>3683</v>
      </c>
      <c r="D290" s="236">
        <v>0</v>
      </c>
      <c r="E290" s="236">
        <v>0</v>
      </c>
      <c r="F290" s="236">
        <v>1815</v>
      </c>
      <c r="G290" s="236">
        <v>0</v>
      </c>
      <c r="H290" s="236">
        <v>0</v>
      </c>
      <c r="I290" s="236">
        <v>0</v>
      </c>
      <c r="J290" s="91">
        <v>2796285.1</v>
      </c>
      <c r="K290" s="217">
        <v>1007</v>
      </c>
      <c r="L290" s="217">
        <v>1058</v>
      </c>
      <c r="M290" s="217"/>
      <c r="N290" s="232">
        <v>1038</v>
      </c>
      <c r="O290" s="90">
        <v>165684</v>
      </c>
      <c r="P290" s="236">
        <v>0</v>
      </c>
      <c r="Q290" s="236">
        <v>0</v>
      </c>
      <c r="R290" s="236">
        <v>68</v>
      </c>
      <c r="S290" s="236">
        <v>0</v>
      </c>
      <c r="T290" s="236">
        <v>0</v>
      </c>
      <c r="U290" s="236">
        <v>0</v>
      </c>
      <c r="V290" s="63">
        <v>165616</v>
      </c>
      <c r="W290" s="217">
        <v>1007</v>
      </c>
      <c r="X290" s="217">
        <v>1049</v>
      </c>
    </row>
    <row r="291" spans="1:24" x14ac:dyDescent="0.25">
      <c r="A291" s="31">
        <v>39250</v>
      </c>
      <c r="B291" s="62">
        <v>2796285.1</v>
      </c>
      <c r="C291" s="236">
        <v>3403</v>
      </c>
      <c r="D291" s="236">
        <v>0</v>
      </c>
      <c r="E291" s="236">
        <v>0</v>
      </c>
      <c r="F291" s="236">
        <v>1802</v>
      </c>
      <c r="G291" s="236">
        <v>0</v>
      </c>
      <c r="H291" s="236">
        <v>0</v>
      </c>
      <c r="I291" s="236">
        <v>0</v>
      </c>
      <c r="J291" s="91">
        <v>2797886.1</v>
      </c>
      <c r="K291" s="217">
        <v>1007</v>
      </c>
      <c r="L291" s="217">
        <v>1058</v>
      </c>
      <c r="M291" s="217"/>
      <c r="N291" s="232">
        <v>1037</v>
      </c>
      <c r="O291" s="90">
        <v>165616</v>
      </c>
      <c r="P291" s="236">
        <v>0</v>
      </c>
      <c r="Q291" s="236">
        <v>0</v>
      </c>
      <c r="R291" s="236">
        <v>208</v>
      </c>
      <c r="S291" s="236">
        <v>0</v>
      </c>
      <c r="T291" s="236">
        <v>0</v>
      </c>
      <c r="U291" s="236">
        <v>0</v>
      </c>
      <c r="V291" s="63">
        <v>165408</v>
      </c>
      <c r="W291" s="217">
        <v>1007</v>
      </c>
      <c r="X291" s="217">
        <v>1049</v>
      </c>
    </row>
    <row r="292" spans="1:24" x14ac:dyDescent="0.25">
      <c r="A292" s="31">
        <v>39251</v>
      </c>
      <c r="B292" s="62">
        <v>2797886.1</v>
      </c>
      <c r="C292" s="236">
        <v>6214</v>
      </c>
      <c r="D292" s="236">
        <v>0</v>
      </c>
      <c r="E292" s="236">
        <v>0</v>
      </c>
      <c r="F292" s="236">
        <v>1944</v>
      </c>
      <c r="G292" s="236">
        <v>0</v>
      </c>
      <c r="H292" s="236">
        <v>0</v>
      </c>
      <c r="I292" s="236">
        <v>0</v>
      </c>
      <c r="J292" s="91">
        <v>2802156.1</v>
      </c>
      <c r="K292" s="217">
        <v>1007</v>
      </c>
      <c r="L292" s="217">
        <v>1058</v>
      </c>
      <c r="M292" s="217"/>
      <c r="N292" s="232">
        <v>1045</v>
      </c>
      <c r="O292" s="90">
        <v>165408</v>
      </c>
      <c r="P292" s="236">
        <v>0</v>
      </c>
      <c r="Q292" s="236">
        <v>0</v>
      </c>
      <c r="R292" s="236">
        <v>68</v>
      </c>
      <c r="S292" s="236">
        <v>0</v>
      </c>
      <c r="T292" s="236">
        <v>0</v>
      </c>
      <c r="U292" s="236">
        <v>0</v>
      </c>
      <c r="V292" s="63">
        <v>165340</v>
      </c>
      <c r="W292" s="217">
        <v>1007</v>
      </c>
      <c r="X292" s="217">
        <v>1049</v>
      </c>
    </row>
    <row r="293" spans="1:24" x14ac:dyDescent="0.25">
      <c r="A293" s="31">
        <v>39252</v>
      </c>
      <c r="B293" s="62">
        <v>2802156.1</v>
      </c>
      <c r="C293" s="236">
        <v>4529</v>
      </c>
      <c r="D293" s="236">
        <v>0</v>
      </c>
      <c r="E293" s="236">
        <v>0</v>
      </c>
      <c r="F293" s="236">
        <v>1858</v>
      </c>
      <c r="G293" s="236">
        <v>0</v>
      </c>
      <c r="H293" s="236">
        <v>0</v>
      </c>
      <c r="I293" s="236">
        <v>0</v>
      </c>
      <c r="J293" s="91">
        <v>2804827.1</v>
      </c>
      <c r="K293" s="217">
        <v>1007</v>
      </c>
      <c r="L293" s="217">
        <v>1058</v>
      </c>
      <c r="M293" s="217"/>
      <c r="N293" s="232">
        <v>1041</v>
      </c>
      <c r="O293" s="90">
        <v>165340</v>
      </c>
      <c r="P293" s="236">
        <v>0</v>
      </c>
      <c r="Q293" s="236">
        <v>0</v>
      </c>
      <c r="R293" s="236">
        <v>207</v>
      </c>
      <c r="S293" s="236">
        <v>0</v>
      </c>
      <c r="T293" s="236">
        <v>0</v>
      </c>
      <c r="U293" s="236">
        <v>0</v>
      </c>
      <c r="V293" s="63">
        <v>165133</v>
      </c>
      <c r="W293" s="217">
        <v>1007</v>
      </c>
      <c r="X293" s="217">
        <v>1049</v>
      </c>
    </row>
    <row r="294" spans="1:24" x14ac:dyDescent="0.25">
      <c r="A294" s="31">
        <v>39253</v>
      </c>
      <c r="B294" s="62">
        <v>2804827.1</v>
      </c>
      <c r="C294" s="236">
        <v>4530</v>
      </c>
      <c r="D294" s="236">
        <v>0</v>
      </c>
      <c r="E294" s="236">
        <v>0</v>
      </c>
      <c r="F294" s="236">
        <v>1861</v>
      </c>
      <c r="G294" s="236">
        <v>0</v>
      </c>
      <c r="H294" s="236">
        <v>0</v>
      </c>
      <c r="I294" s="236">
        <v>0</v>
      </c>
      <c r="J294" s="91">
        <v>2807496.1</v>
      </c>
      <c r="K294" s="217">
        <v>1007</v>
      </c>
      <c r="L294" s="217">
        <v>1058</v>
      </c>
      <c r="M294" s="217"/>
      <c r="N294" s="232">
        <v>1042</v>
      </c>
      <c r="O294" s="90">
        <v>165133</v>
      </c>
      <c r="P294" s="236">
        <v>0</v>
      </c>
      <c r="Q294" s="236">
        <v>0</v>
      </c>
      <c r="R294" s="236">
        <v>65</v>
      </c>
      <c r="S294" s="236">
        <v>0</v>
      </c>
      <c r="T294" s="236">
        <v>0</v>
      </c>
      <c r="U294" s="236">
        <v>0</v>
      </c>
      <c r="V294" s="63">
        <v>165068</v>
      </c>
      <c r="W294" s="217">
        <v>1007</v>
      </c>
      <c r="X294" s="217">
        <v>1049</v>
      </c>
    </row>
    <row r="295" spans="1:24" x14ac:dyDescent="0.25">
      <c r="A295" s="31">
        <v>39254</v>
      </c>
      <c r="B295" s="62">
        <v>2807496.1</v>
      </c>
      <c r="C295" s="236">
        <v>2282</v>
      </c>
      <c r="D295" s="236">
        <v>0</v>
      </c>
      <c r="E295" s="236">
        <v>0</v>
      </c>
      <c r="F295" s="236">
        <v>1749</v>
      </c>
      <c r="G295" s="236">
        <v>0</v>
      </c>
      <c r="H295" s="236">
        <v>0</v>
      </c>
      <c r="I295" s="236">
        <v>0</v>
      </c>
      <c r="J295" s="91">
        <v>2808029.1</v>
      </c>
      <c r="K295" s="217">
        <v>1007</v>
      </c>
      <c r="L295" s="217">
        <v>1058</v>
      </c>
      <c r="M295" s="217"/>
      <c r="N295" s="232">
        <v>1043</v>
      </c>
      <c r="O295" s="90">
        <v>165068</v>
      </c>
      <c r="P295" s="236">
        <v>0</v>
      </c>
      <c r="Q295" s="236">
        <v>0</v>
      </c>
      <c r="R295" s="236">
        <v>59</v>
      </c>
      <c r="S295" s="236">
        <v>0</v>
      </c>
      <c r="T295" s="236">
        <v>0</v>
      </c>
      <c r="U295" s="236">
        <v>0</v>
      </c>
      <c r="V295" s="63">
        <v>165009</v>
      </c>
      <c r="W295" s="217">
        <v>1007</v>
      </c>
      <c r="X295" s="217">
        <v>1049</v>
      </c>
    </row>
    <row r="296" spans="1:24" x14ac:dyDescent="0.25">
      <c r="A296" s="31">
        <v>39255</v>
      </c>
      <c r="B296" s="62">
        <v>2808029.1</v>
      </c>
      <c r="C296" s="236">
        <v>3969</v>
      </c>
      <c r="D296" s="236">
        <v>0</v>
      </c>
      <c r="E296" s="236">
        <v>0</v>
      </c>
      <c r="F296" s="236">
        <v>1834</v>
      </c>
      <c r="G296" s="236">
        <v>0</v>
      </c>
      <c r="H296" s="236">
        <v>0</v>
      </c>
      <c r="I296" s="236">
        <v>0</v>
      </c>
      <c r="J296" s="91">
        <v>2810164.1</v>
      </c>
      <c r="K296" s="217">
        <v>1007</v>
      </c>
      <c r="L296" s="217">
        <v>1058</v>
      </c>
      <c r="M296" s="217"/>
      <c r="N296" s="232">
        <v>1042</v>
      </c>
      <c r="O296" s="90">
        <v>165009</v>
      </c>
      <c r="P296" s="236">
        <v>0</v>
      </c>
      <c r="Q296" s="236">
        <v>0</v>
      </c>
      <c r="R296" s="236">
        <v>152</v>
      </c>
      <c r="S296" s="236">
        <v>0</v>
      </c>
      <c r="T296" s="236">
        <v>0</v>
      </c>
      <c r="U296" s="236">
        <v>0</v>
      </c>
      <c r="V296" s="63">
        <v>164857</v>
      </c>
      <c r="W296" s="217">
        <v>1007</v>
      </c>
      <c r="X296" s="217">
        <v>1049</v>
      </c>
    </row>
    <row r="297" spans="1:24" x14ac:dyDescent="0.25">
      <c r="A297" s="31">
        <v>39256</v>
      </c>
      <c r="B297" s="62">
        <v>2810164.1</v>
      </c>
      <c r="C297" s="236">
        <v>4532</v>
      </c>
      <c r="D297" s="236">
        <v>0</v>
      </c>
      <c r="E297" s="236">
        <v>0</v>
      </c>
      <c r="F297" s="236">
        <v>1863</v>
      </c>
      <c r="G297" s="236">
        <v>0</v>
      </c>
      <c r="H297" s="236">
        <v>0</v>
      </c>
      <c r="I297" s="236">
        <v>0</v>
      </c>
      <c r="J297" s="91">
        <v>2812833.1</v>
      </c>
      <c r="K297" s="217">
        <v>1007</v>
      </c>
      <c r="L297" s="217">
        <v>1058</v>
      </c>
      <c r="M297" s="217"/>
      <c r="N297" s="232">
        <v>1038</v>
      </c>
      <c r="O297" s="90">
        <v>164857</v>
      </c>
      <c r="P297" s="236">
        <v>0</v>
      </c>
      <c r="Q297" s="236">
        <v>0</v>
      </c>
      <c r="R297" s="236">
        <v>276</v>
      </c>
      <c r="S297" s="236">
        <v>0</v>
      </c>
      <c r="T297" s="236">
        <v>0</v>
      </c>
      <c r="U297" s="236">
        <v>0</v>
      </c>
      <c r="V297" s="63">
        <v>164581</v>
      </c>
      <c r="W297" s="217">
        <v>1007</v>
      </c>
      <c r="X297" s="217">
        <v>1049</v>
      </c>
    </row>
    <row r="298" spans="1:24" x14ac:dyDescent="0.25">
      <c r="A298" s="31">
        <v>39257</v>
      </c>
      <c r="B298" s="62">
        <v>2812833.1</v>
      </c>
      <c r="C298" s="236">
        <v>5376</v>
      </c>
      <c r="D298" s="236">
        <v>0</v>
      </c>
      <c r="E298" s="236">
        <v>0</v>
      </c>
      <c r="F298" s="236">
        <v>1906</v>
      </c>
      <c r="G298" s="236">
        <v>0</v>
      </c>
      <c r="H298" s="236">
        <v>0</v>
      </c>
      <c r="I298" s="236">
        <v>0</v>
      </c>
      <c r="J298" s="91">
        <v>2816303.1</v>
      </c>
      <c r="K298" s="217">
        <v>1007</v>
      </c>
      <c r="L298" s="217">
        <v>1058</v>
      </c>
      <c r="M298" s="217"/>
      <c r="N298" s="232">
        <v>1038</v>
      </c>
      <c r="O298" s="90">
        <v>164581</v>
      </c>
      <c r="P298" s="236">
        <v>0</v>
      </c>
      <c r="Q298" s="236">
        <v>0</v>
      </c>
      <c r="R298" s="236">
        <v>61</v>
      </c>
      <c r="S298" s="236">
        <v>0</v>
      </c>
      <c r="T298" s="236">
        <v>0</v>
      </c>
      <c r="U298" s="236">
        <v>0</v>
      </c>
      <c r="V298" s="63">
        <v>164520</v>
      </c>
      <c r="W298" s="217">
        <v>1007</v>
      </c>
      <c r="X298" s="217">
        <v>1049</v>
      </c>
    </row>
    <row r="299" spans="1:24" x14ac:dyDescent="0.25">
      <c r="A299" s="31">
        <v>39258</v>
      </c>
      <c r="B299" s="62">
        <v>2816303.1</v>
      </c>
      <c r="C299" s="236">
        <v>6782</v>
      </c>
      <c r="D299" s="236">
        <v>0</v>
      </c>
      <c r="E299" s="236">
        <v>0</v>
      </c>
      <c r="F299" s="236">
        <v>1978</v>
      </c>
      <c r="G299" s="236">
        <v>0</v>
      </c>
      <c r="H299" s="236">
        <v>0</v>
      </c>
      <c r="I299" s="236">
        <v>0</v>
      </c>
      <c r="J299" s="91">
        <v>2821107.1</v>
      </c>
      <c r="K299" s="217">
        <v>1007</v>
      </c>
      <c r="L299" s="217">
        <v>1058</v>
      </c>
      <c r="M299" s="217"/>
      <c r="N299" s="232">
        <v>1034</v>
      </c>
      <c r="O299" s="90">
        <v>164520</v>
      </c>
      <c r="P299" s="236">
        <v>0</v>
      </c>
      <c r="Q299" s="236">
        <v>0</v>
      </c>
      <c r="R299" s="236">
        <v>67</v>
      </c>
      <c r="S299" s="236">
        <v>0</v>
      </c>
      <c r="T299" s="236">
        <v>0</v>
      </c>
      <c r="U299" s="236">
        <v>0</v>
      </c>
      <c r="V299" s="63">
        <v>164453</v>
      </c>
      <c r="W299" s="217">
        <v>1007</v>
      </c>
      <c r="X299" s="217">
        <v>1049</v>
      </c>
    </row>
    <row r="300" spans="1:24" x14ac:dyDescent="0.25">
      <c r="A300" s="31">
        <v>39259</v>
      </c>
      <c r="B300" s="62">
        <v>2821107.1</v>
      </c>
      <c r="C300" s="236">
        <v>5660</v>
      </c>
      <c r="D300" s="236">
        <v>0</v>
      </c>
      <c r="E300" s="236">
        <v>0</v>
      </c>
      <c r="F300" s="236">
        <v>1920</v>
      </c>
      <c r="G300" s="236">
        <v>0</v>
      </c>
      <c r="H300" s="236">
        <v>0</v>
      </c>
      <c r="I300" s="236">
        <v>0</v>
      </c>
      <c r="J300" s="91">
        <v>2824847.1</v>
      </c>
      <c r="K300" s="217">
        <v>1007</v>
      </c>
      <c r="L300" s="217">
        <v>1058</v>
      </c>
      <c r="M300" s="217"/>
      <c r="N300" s="232">
        <v>1033</v>
      </c>
      <c r="O300" s="90">
        <v>164453</v>
      </c>
      <c r="P300" s="236">
        <v>0</v>
      </c>
      <c r="Q300" s="236">
        <v>0</v>
      </c>
      <c r="R300" s="236">
        <v>146</v>
      </c>
      <c r="S300" s="236">
        <v>0</v>
      </c>
      <c r="T300" s="236">
        <v>0</v>
      </c>
      <c r="U300" s="236">
        <v>0</v>
      </c>
      <c r="V300" s="63">
        <v>164307</v>
      </c>
      <c r="W300" s="217">
        <v>1007</v>
      </c>
      <c r="X300" s="217">
        <v>1049</v>
      </c>
    </row>
    <row r="301" spans="1:24" x14ac:dyDescent="0.25">
      <c r="A301" s="31">
        <v>39260</v>
      </c>
      <c r="B301" s="62">
        <v>2824847.1</v>
      </c>
      <c r="C301" s="236">
        <v>3693</v>
      </c>
      <c r="D301" s="236">
        <v>0</v>
      </c>
      <c r="E301" s="236">
        <v>0</v>
      </c>
      <c r="F301" s="236">
        <v>1825</v>
      </c>
      <c r="G301" s="236">
        <v>0</v>
      </c>
      <c r="H301" s="236">
        <v>0</v>
      </c>
      <c r="I301" s="236">
        <v>0</v>
      </c>
      <c r="J301" s="91">
        <v>2826715.1</v>
      </c>
      <c r="K301" s="217">
        <v>1007</v>
      </c>
      <c r="L301" s="217">
        <v>1058</v>
      </c>
      <c r="M301" s="217"/>
      <c r="N301" s="232">
        <v>1036</v>
      </c>
      <c r="O301" s="90">
        <v>164307</v>
      </c>
      <c r="P301" s="236">
        <v>0</v>
      </c>
      <c r="Q301" s="236">
        <v>0</v>
      </c>
      <c r="R301" s="236">
        <v>71</v>
      </c>
      <c r="S301" s="236">
        <v>0</v>
      </c>
      <c r="T301" s="236">
        <v>0</v>
      </c>
      <c r="U301" s="236">
        <v>0</v>
      </c>
      <c r="V301" s="63">
        <v>164236</v>
      </c>
      <c r="W301" s="217">
        <v>1007</v>
      </c>
      <c r="X301" s="217">
        <v>1049</v>
      </c>
    </row>
    <row r="302" spans="1:24" x14ac:dyDescent="0.25">
      <c r="A302" s="31">
        <v>39261</v>
      </c>
      <c r="B302" s="62">
        <v>2826715.1</v>
      </c>
      <c r="C302" s="236">
        <v>4537</v>
      </c>
      <c r="D302" s="236">
        <v>0</v>
      </c>
      <c r="E302" s="236">
        <v>0</v>
      </c>
      <c r="F302" s="236">
        <v>1868</v>
      </c>
      <c r="G302" s="236">
        <v>0</v>
      </c>
      <c r="H302" s="236">
        <v>0</v>
      </c>
      <c r="I302" s="236">
        <v>0</v>
      </c>
      <c r="J302" s="91">
        <v>2829384.1</v>
      </c>
      <c r="K302" s="217">
        <v>1007</v>
      </c>
      <c r="L302" s="217">
        <v>1058</v>
      </c>
      <c r="M302" s="217"/>
      <c r="N302" s="232">
        <v>1036</v>
      </c>
      <c r="O302" s="90">
        <v>164236</v>
      </c>
      <c r="P302" s="236">
        <v>0</v>
      </c>
      <c r="Q302" s="236">
        <v>0</v>
      </c>
      <c r="R302" s="236">
        <v>205</v>
      </c>
      <c r="S302" s="236">
        <v>0</v>
      </c>
      <c r="T302" s="236">
        <v>0</v>
      </c>
      <c r="U302" s="236">
        <v>0</v>
      </c>
      <c r="V302" s="63">
        <v>164031</v>
      </c>
      <c r="W302" s="217">
        <v>1007</v>
      </c>
      <c r="X302" s="217">
        <v>1049</v>
      </c>
    </row>
    <row r="303" spans="1:24" x14ac:dyDescent="0.25">
      <c r="A303" s="31">
        <v>39262</v>
      </c>
      <c r="B303" s="62">
        <v>2829384.1</v>
      </c>
      <c r="C303" s="236">
        <v>5100</v>
      </c>
      <c r="D303" s="236">
        <v>0</v>
      </c>
      <c r="E303" s="236">
        <v>0</v>
      </c>
      <c r="F303" s="236">
        <v>1898</v>
      </c>
      <c r="G303" s="236">
        <v>0</v>
      </c>
      <c r="H303" s="236">
        <v>0</v>
      </c>
      <c r="I303" s="236">
        <v>0</v>
      </c>
      <c r="J303" s="91">
        <v>2832586.1</v>
      </c>
      <c r="K303" s="217">
        <v>1007</v>
      </c>
      <c r="L303" s="217">
        <v>1058</v>
      </c>
      <c r="M303" s="217"/>
      <c r="N303" s="232">
        <v>1038</v>
      </c>
      <c r="O303" s="90">
        <v>164031</v>
      </c>
      <c r="P303" s="236">
        <v>0</v>
      </c>
      <c r="Q303" s="236">
        <v>0</v>
      </c>
      <c r="R303" s="236">
        <v>74</v>
      </c>
      <c r="S303" s="236">
        <v>0</v>
      </c>
      <c r="T303" s="236">
        <v>0</v>
      </c>
      <c r="U303" s="236">
        <v>0</v>
      </c>
      <c r="V303" s="63">
        <v>163957</v>
      </c>
      <c r="W303" s="217">
        <v>1007</v>
      </c>
      <c r="X303" s="217">
        <v>1049</v>
      </c>
    </row>
    <row r="304" spans="1:24" x14ac:dyDescent="0.25">
      <c r="A304" s="31">
        <v>39263</v>
      </c>
      <c r="B304" s="62">
        <v>2832586.1</v>
      </c>
      <c r="C304" s="236">
        <v>4820</v>
      </c>
      <c r="D304" s="236">
        <v>0</v>
      </c>
      <c r="E304" s="236">
        <v>0</v>
      </c>
      <c r="F304" s="236">
        <v>1884</v>
      </c>
      <c r="G304" s="236">
        <v>0</v>
      </c>
      <c r="H304" s="236">
        <v>0</v>
      </c>
      <c r="I304" s="236">
        <v>0</v>
      </c>
      <c r="J304" s="91">
        <v>2835522.1</v>
      </c>
      <c r="K304" s="217">
        <v>1007</v>
      </c>
      <c r="L304" s="217">
        <v>1058</v>
      </c>
      <c r="M304" s="217"/>
      <c r="N304" s="232">
        <v>1038</v>
      </c>
      <c r="O304" s="90">
        <v>163957</v>
      </c>
      <c r="P304" s="236">
        <v>0</v>
      </c>
      <c r="Q304" s="236">
        <v>0</v>
      </c>
      <c r="R304" s="236">
        <v>68</v>
      </c>
      <c r="S304" s="236">
        <v>0</v>
      </c>
      <c r="T304" s="236">
        <v>0</v>
      </c>
      <c r="U304" s="236">
        <v>0</v>
      </c>
      <c r="V304" s="63">
        <v>163889</v>
      </c>
      <c r="W304" s="217">
        <v>1007</v>
      </c>
      <c r="X304" s="217">
        <v>1049</v>
      </c>
    </row>
    <row r="305" spans="1:24" x14ac:dyDescent="0.25">
      <c r="A305" s="31">
        <v>39264</v>
      </c>
      <c r="B305" s="62">
        <v>2835522.1</v>
      </c>
      <c r="C305" s="236">
        <v>0</v>
      </c>
      <c r="D305" s="236">
        <v>0</v>
      </c>
      <c r="E305" s="236">
        <v>0</v>
      </c>
      <c r="F305" s="236">
        <v>1335</v>
      </c>
      <c r="G305" s="236">
        <v>0</v>
      </c>
      <c r="H305" s="236">
        <v>0</v>
      </c>
      <c r="I305" s="236">
        <v>0</v>
      </c>
      <c r="J305" s="91">
        <v>2834187.1</v>
      </c>
      <c r="K305" s="217">
        <v>1007</v>
      </c>
      <c r="L305" s="217">
        <v>1058</v>
      </c>
      <c r="M305" s="217"/>
      <c r="N305" s="232">
        <v>1039</v>
      </c>
      <c r="O305" s="90">
        <v>163889</v>
      </c>
      <c r="P305" s="236">
        <v>0</v>
      </c>
      <c r="Q305" s="236">
        <v>0</v>
      </c>
      <c r="R305" s="236">
        <v>134</v>
      </c>
      <c r="S305" s="236">
        <v>0</v>
      </c>
      <c r="T305" s="236">
        <v>0</v>
      </c>
      <c r="U305" s="236">
        <v>0</v>
      </c>
      <c r="V305" s="63">
        <v>163755</v>
      </c>
      <c r="W305" s="217">
        <v>1007</v>
      </c>
      <c r="X305" s="217">
        <v>1049</v>
      </c>
    </row>
    <row r="306" spans="1:24" x14ac:dyDescent="0.25">
      <c r="A306" s="31">
        <v>39265</v>
      </c>
      <c r="B306" s="62">
        <v>2834187.1</v>
      </c>
      <c r="C306" s="236">
        <v>0</v>
      </c>
      <c r="D306" s="236">
        <v>0</v>
      </c>
      <c r="E306" s="236">
        <v>0</v>
      </c>
      <c r="F306" s="236">
        <v>1602</v>
      </c>
      <c r="G306" s="236">
        <v>0</v>
      </c>
      <c r="H306" s="236">
        <v>0</v>
      </c>
      <c r="I306" s="236">
        <v>0</v>
      </c>
      <c r="J306" s="91">
        <v>2832585.1</v>
      </c>
      <c r="K306" s="217">
        <v>1007</v>
      </c>
      <c r="L306" s="217">
        <v>1058</v>
      </c>
      <c r="M306" s="217"/>
      <c r="N306" s="232">
        <v>1040</v>
      </c>
      <c r="O306" s="90">
        <v>163755</v>
      </c>
      <c r="P306" s="236">
        <v>0</v>
      </c>
      <c r="Q306" s="236">
        <v>0</v>
      </c>
      <c r="R306" s="236">
        <v>58</v>
      </c>
      <c r="S306" s="236">
        <v>0</v>
      </c>
      <c r="T306" s="236">
        <v>0</v>
      </c>
      <c r="U306" s="236">
        <v>0</v>
      </c>
      <c r="V306" s="63">
        <v>163697</v>
      </c>
      <c r="W306" s="217">
        <v>1007</v>
      </c>
      <c r="X306" s="217">
        <v>1049</v>
      </c>
    </row>
    <row r="307" spans="1:24" x14ac:dyDescent="0.25">
      <c r="A307" s="31">
        <v>39266</v>
      </c>
      <c r="B307" s="62">
        <v>2832585.1</v>
      </c>
      <c r="C307" s="236">
        <v>0</v>
      </c>
      <c r="D307" s="236">
        <v>0</v>
      </c>
      <c r="E307" s="236">
        <v>0</v>
      </c>
      <c r="F307" s="236">
        <v>1602</v>
      </c>
      <c r="G307" s="236">
        <v>0</v>
      </c>
      <c r="H307" s="236">
        <v>0</v>
      </c>
      <c r="I307" s="236">
        <v>0</v>
      </c>
      <c r="J307" s="91">
        <v>2830983.1</v>
      </c>
      <c r="K307" s="217">
        <v>1007</v>
      </c>
      <c r="L307" s="217">
        <v>1058</v>
      </c>
      <c r="M307" s="217"/>
      <c r="N307" s="232">
        <v>1041</v>
      </c>
      <c r="O307" s="90">
        <v>163697</v>
      </c>
      <c r="P307" s="236">
        <v>0</v>
      </c>
      <c r="Q307" s="236">
        <v>0</v>
      </c>
      <c r="R307" s="236">
        <v>218</v>
      </c>
      <c r="S307" s="236">
        <v>0</v>
      </c>
      <c r="T307" s="236">
        <v>0</v>
      </c>
      <c r="U307" s="236">
        <v>0</v>
      </c>
      <c r="V307" s="63">
        <v>163479</v>
      </c>
      <c r="W307" s="217">
        <v>1007</v>
      </c>
      <c r="X307" s="217">
        <v>1049</v>
      </c>
    </row>
    <row r="308" spans="1:24" x14ac:dyDescent="0.25">
      <c r="A308" s="31">
        <v>39267</v>
      </c>
      <c r="B308" s="62">
        <v>2830983.1</v>
      </c>
      <c r="C308" s="236">
        <v>0</v>
      </c>
      <c r="D308" s="236">
        <v>0</v>
      </c>
      <c r="E308" s="236">
        <v>0</v>
      </c>
      <c r="F308" s="236">
        <v>1869</v>
      </c>
      <c r="G308" s="236">
        <v>0</v>
      </c>
      <c r="H308" s="236">
        <v>0</v>
      </c>
      <c r="I308" s="236">
        <v>0</v>
      </c>
      <c r="J308" s="91">
        <v>2829114.1</v>
      </c>
      <c r="K308" s="217">
        <v>1007</v>
      </c>
      <c r="L308" s="217">
        <v>1058</v>
      </c>
      <c r="M308" s="217"/>
      <c r="N308" s="232">
        <v>1038</v>
      </c>
      <c r="O308" s="90">
        <v>163479</v>
      </c>
      <c r="P308" s="236">
        <v>0</v>
      </c>
      <c r="Q308" s="236">
        <v>0</v>
      </c>
      <c r="R308" s="236">
        <v>65</v>
      </c>
      <c r="S308" s="236">
        <v>0</v>
      </c>
      <c r="T308" s="236">
        <v>0</v>
      </c>
      <c r="U308" s="236">
        <v>0</v>
      </c>
      <c r="V308" s="63">
        <v>163414</v>
      </c>
      <c r="W308" s="217">
        <v>1007</v>
      </c>
      <c r="X308" s="217">
        <v>1049</v>
      </c>
    </row>
    <row r="309" spans="1:24" x14ac:dyDescent="0.25">
      <c r="A309" s="31">
        <v>39268</v>
      </c>
      <c r="B309" s="62">
        <v>2829114.1</v>
      </c>
      <c r="C309" s="236">
        <v>0</v>
      </c>
      <c r="D309" s="236">
        <v>0</v>
      </c>
      <c r="E309" s="236">
        <v>0</v>
      </c>
      <c r="F309" s="236">
        <v>2670</v>
      </c>
      <c r="G309" s="236">
        <v>0</v>
      </c>
      <c r="H309" s="236">
        <v>0</v>
      </c>
      <c r="I309" s="236">
        <v>0</v>
      </c>
      <c r="J309" s="91">
        <v>2826444.1</v>
      </c>
      <c r="K309" s="217">
        <v>1007</v>
      </c>
      <c r="L309" s="217">
        <v>1058</v>
      </c>
      <c r="M309" s="217"/>
      <c r="N309" s="232">
        <v>1036</v>
      </c>
      <c r="O309" s="90">
        <v>163414</v>
      </c>
      <c r="P309" s="236">
        <v>0</v>
      </c>
      <c r="Q309" s="236">
        <v>0</v>
      </c>
      <c r="R309" s="236">
        <v>50</v>
      </c>
      <c r="S309" s="236">
        <v>0</v>
      </c>
      <c r="T309" s="236">
        <v>0</v>
      </c>
      <c r="U309" s="236">
        <v>0</v>
      </c>
      <c r="V309" s="63">
        <v>163364</v>
      </c>
      <c r="W309" s="217">
        <v>1007</v>
      </c>
      <c r="X309" s="217">
        <v>1049</v>
      </c>
    </row>
    <row r="310" spans="1:24" x14ac:dyDescent="0.25">
      <c r="A310" s="31">
        <v>39269</v>
      </c>
      <c r="B310" s="62">
        <v>2826444.1</v>
      </c>
      <c r="C310" s="236">
        <v>0</v>
      </c>
      <c r="D310" s="236">
        <v>0</v>
      </c>
      <c r="E310" s="236">
        <v>0</v>
      </c>
      <c r="F310" s="236">
        <v>2403</v>
      </c>
      <c r="G310" s="236">
        <v>0</v>
      </c>
      <c r="H310" s="236">
        <v>0</v>
      </c>
      <c r="I310" s="236">
        <v>0</v>
      </c>
      <c r="J310" s="91">
        <v>2824041.1</v>
      </c>
      <c r="K310" s="217">
        <v>1007</v>
      </c>
      <c r="L310" s="217">
        <v>1058</v>
      </c>
      <c r="M310" s="217"/>
      <c r="N310" s="232">
        <v>1037</v>
      </c>
      <c r="O310" s="90">
        <v>163364</v>
      </c>
      <c r="P310" s="236">
        <v>0</v>
      </c>
      <c r="Q310" s="236">
        <v>0</v>
      </c>
      <c r="R310" s="236">
        <v>161</v>
      </c>
      <c r="S310" s="236">
        <v>0</v>
      </c>
      <c r="T310" s="236">
        <v>0</v>
      </c>
      <c r="U310" s="236">
        <v>0</v>
      </c>
      <c r="V310" s="63">
        <v>163203</v>
      </c>
      <c r="W310" s="217">
        <v>1007</v>
      </c>
      <c r="X310" s="217">
        <v>1049</v>
      </c>
    </row>
    <row r="311" spans="1:24" x14ac:dyDescent="0.25">
      <c r="A311" s="31">
        <v>39270</v>
      </c>
      <c r="B311" s="62">
        <v>2824041.1</v>
      </c>
      <c r="C311" s="236">
        <v>0</v>
      </c>
      <c r="D311" s="236">
        <v>0</v>
      </c>
      <c r="E311" s="236">
        <v>0</v>
      </c>
      <c r="F311" s="236">
        <v>1869</v>
      </c>
      <c r="G311" s="236">
        <v>0</v>
      </c>
      <c r="H311" s="236">
        <v>0</v>
      </c>
      <c r="I311" s="236">
        <v>0</v>
      </c>
      <c r="J311" s="91">
        <v>2822172.1</v>
      </c>
      <c r="K311" s="217">
        <v>1007</v>
      </c>
      <c r="L311" s="217">
        <v>1058</v>
      </c>
      <c r="M311" s="217"/>
      <c r="N311" s="232">
        <v>1036</v>
      </c>
      <c r="O311" s="90">
        <v>163203</v>
      </c>
      <c r="P311" s="236">
        <v>0</v>
      </c>
      <c r="Q311" s="236">
        <v>0</v>
      </c>
      <c r="R311" s="236">
        <v>0</v>
      </c>
      <c r="S311" s="236">
        <v>0</v>
      </c>
      <c r="T311" s="236">
        <v>0</v>
      </c>
      <c r="U311" s="236">
        <v>0</v>
      </c>
      <c r="V311" s="63">
        <v>163203</v>
      </c>
      <c r="W311" s="217">
        <v>1007</v>
      </c>
      <c r="X311" s="217">
        <v>1049</v>
      </c>
    </row>
    <row r="312" spans="1:24" x14ac:dyDescent="0.25">
      <c r="A312" s="31">
        <v>39271</v>
      </c>
      <c r="B312" s="62">
        <v>2822172.1</v>
      </c>
      <c r="C312" s="236">
        <v>0</v>
      </c>
      <c r="D312" s="236">
        <v>0</v>
      </c>
      <c r="E312" s="236">
        <v>0</v>
      </c>
      <c r="F312" s="236">
        <v>2403</v>
      </c>
      <c r="G312" s="236">
        <v>0</v>
      </c>
      <c r="H312" s="236">
        <v>0</v>
      </c>
      <c r="I312" s="236">
        <v>0</v>
      </c>
      <c r="J312" s="91">
        <v>2819769.1</v>
      </c>
      <c r="K312" s="217">
        <v>1007</v>
      </c>
      <c r="L312" s="217">
        <v>1058</v>
      </c>
      <c r="M312" s="217"/>
      <c r="N312" s="232">
        <v>1035</v>
      </c>
      <c r="O312" s="90">
        <v>163203</v>
      </c>
      <c r="P312" s="236">
        <v>0</v>
      </c>
      <c r="Q312" s="236">
        <v>0</v>
      </c>
      <c r="R312" s="236">
        <v>275</v>
      </c>
      <c r="S312" s="236">
        <v>0</v>
      </c>
      <c r="T312" s="236">
        <v>0</v>
      </c>
      <c r="U312" s="236">
        <v>0</v>
      </c>
      <c r="V312" s="63">
        <v>162928</v>
      </c>
      <c r="W312" s="217">
        <v>1007</v>
      </c>
      <c r="X312" s="217">
        <v>1049</v>
      </c>
    </row>
    <row r="313" spans="1:24" x14ac:dyDescent="0.25">
      <c r="A313" s="31">
        <v>39272</v>
      </c>
      <c r="B313" s="62">
        <v>2819769.1</v>
      </c>
      <c r="C313" s="236">
        <v>0</v>
      </c>
      <c r="D313" s="236">
        <v>0</v>
      </c>
      <c r="E313" s="236">
        <v>0</v>
      </c>
      <c r="F313" s="236">
        <v>2136</v>
      </c>
      <c r="G313" s="236">
        <v>0</v>
      </c>
      <c r="H313" s="236">
        <v>0</v>
      </c>
      <c r="I313" s="236">
        <v>0</v>
      </c>
      <c r="J313" s="91">
        <v>2817633.1</v>
      </c>
      <c r="K313" s="217">
        <v>1007</v>
      </c>
      <c r="L313" s="217">
        <v>1058</v>
      </c>
      <c r="M313" s="217"/>
      <c r="N313" s="232">
        <v>1037</v>
      </c>
      <c r="O313" s="90">
        <v>162928</v>
      </c>
      <c r="P313" s="236">
        <v>0</v>
      </c>
      <c r="Q313" s="236">
        <v>0</v>
      </c>
      <c r="R313" s="236">
        <v>276</v>
      </c>
      <c r="S313" s="236">
        <v>0</v>
      </c>
      <c r="T313" s="236">
        <v>0</v>
      </c>
      <c r="U313" s="236">
        <v>0</v>
      </c>
      <c r="V313" s="63">
        <v>162652</v>
      </c>
      <c r="W313" s="217">
        <v>1007</v>
      </c>
      <c r="X313" s="217">
        <v>1049</v>
      </c>
    </row>
    <row r="314" spans="1:24" x14ac:dyDescent="0.25">
      <c r="A314" s="31">
        <v>39273</v>
      </c>
      <c r="B314" s="62">
        <v>2817633.1</v>
      </c>
      <c r="C314" s="236">
        <v>0</v>
      </c>
      <c r="D314" s="236">
        <v>0</v>
      </c>
      <c r="E314" s="236">
        <v>0</v>
      </c>
      <c r="F314" s="236">
        <v>2402</v>
      </c>
      <c r="G314" s="236">
        <v>0</v>
      </c>
      <c r="H314" s="236">
        <v>0</v>
      </c>
      <c r="I314" s="236">
        <v>0</v>
      </c>
      <c r="J314" s="91">
        <v>2815231.1</v>
      </c>
      <c r="K314" s="217">
        <v>1007</v>
      </c>
      <c r="L314" s="217">
        <v>1058</v>
      </c>
      <c r="M314" s="217"/>
      <c r="N314" s="232">
        <v>1036</v>
      </c>
      <c r="O314" s="90">
        <v>162652</v>
      </c>
      <c r="P314" s="236">
        <v>0</v>
      </c>
      <c r="Q314" s="236">
        <v>0</v>
      </c>
      <c r="R314" s="236">
        <v>0</v>
      </c>
      <c r="S314" s="236">
        <v>0</v>
      </c>
      <c r="T314" s="236">
        <v>0</v>
      </c>
      <c r="U314" s="236">
        <v>0</v>
      </c>
      <c r="V314" s="63">
        <v>162652</v>
      </c>
      <c r="W314" s="217">
        <v>1007</v>
      </c>
      <c r="X314" s="217">
        <v>1049</v>
      </c>
    </row>
    <row r="315" spans="1:24" x14ac:dyDescent="0.25">
      <c r="A315" s="31">
        <v>39274</v>
      </c>
      <c r="B315" s="62">
        <v>2815231.1</v>
      </c>
      <c r="C315" s="236">
        <v>0</v>
      </c>
      <c r="D315" s="236">
        <v>0</v>
      </c>
      <c r="E315" s="236">
        <v>0</v>
      </c>
      <c r="F315" s="236">
        <v>2669</v>
      </c>
      <c r="G315" s="236">
        <v>0</v>
      </c>
      <c r="H315" s="236">
        <v>0</v>
      </c>
      <c r="I315" s="236">
        <v>0</v>
      </c>
      <c r="J315" s="91">
        <v>2812562.1</v>
      </c>
      <c r="K315" s="217">
        <v>1007</v>
      </c>
      <c r="L315" s="217">
        <v>1058</v>
      </c>
      <c r="M315" s="217"/>
      <c r="N315" s="232">
        <v>1038</v>
      </c>
      <c r="O315" s="90">
        <v>162652</v>
      </c>
      <c r="P315" s="236">
        <v>0</v>
      </c>
      <c r="Q315" s="236">
        <v>0</v>
      </c>
      <c r="R315" s="236">
        <v>0</v>
      </c>
      <c r="S315" s="236">
        <v>0</v>
      </c>
      <c r="T315" s="236">
        <v>0</v>
      </c>
      <c r="U315" s="236">
        <v>0</v>
      </c>
      <c r="V315" s="63">
        <v>162652</v>
      </c>
      <c r="W315" s="217">
        <v>1007</v>
      </c>
      <c r="X315" s="217">
        <v>1049</v>
      </c>
    </row>
    <row r="316" spans="1:24" x14ac:dyDescent="0.25">
      <c r="A316" s="31">
        <v>39275</v>
      </c>
      <c r="B316" s="62">
        <v>2812562.1</v>
      </c>
      <c r="C316" s="236">
        <v>0</v>
      </c>
      <c r="D316" s="236">
        <v>0</v>
      </c>
      <c r="E316" s="236">
        <v>0</v>
      </c>
      <c r="F316" s="236">
        <v>1335</v>
      </c>
      <c r="G316" s="236">
        <v>0</v>
      </c>
      <c r="H316" s="236">
        <v>0</v>
      </c>
      <c r="I316" s="236">
        <v>0</v>
      </c>
      <c r="J316" s="91">
        <v>2811227.1</v>
      </c>
      <c r="K316" s="217">
        <v>1007</v>
      </c>
      <c r="L316" s="217">
        <v>1058</v>
      </c>
      <c r="M316" s="217"/>
      <c r="N316" s="232">
        <v>1039</v>
      </c>
      <c r="O316" s="90">
        <v>162652</v>
      </c>
      <c r="P316" s="236">
        <v>0</v>
      </c>
      <c r="Q316" s="236">
        <v>0</v>
      </c>
      <c r="R316" s="236">
        <v>276</v>
      </c>
      <c r="S316" s="236">
        <v>0</v>
      </c>
      <c r="T316" s="236">
        <v>0</v>
      </c>
      <c r="U316" s="236">
        <v>0</v>
      </c>
      <c r="V316" s="63">
        <v>162376</v>
      </c>
      <c r="W316" s="217">
        <v>1007</v>
      </c>
      <c r="X316" s="217">
        <v>1049</v>
      </c>
    </row>
    <row r="317" spans="1:24" x14ac:dyDescent="0.25">
      <c r="A317" s="31">
        <v>39276</v>
      </c>
      <c r="B317" s="62">
        <v>2811227.1</v>
      </c>
      <c r="C317" s="236">
        <v>0</v>
      </c>
      <c r="D317" s="236">
        <v>0</v>
      </c>
      <c r="E317" s="236">
        <v>0</v>
      </c>
      <c r="F317" s="236">
        <v>1335</v>
      </c>
      <c r="G317" s="236">
        <v>0</v>
      </c>
      <c r="H317" s="236">
        <v>0</v>
      </c>
      <c r="I317" s="236">
        <v>0</v>
      </c>
      <c r="J317" s="91">
        <v>2809892.1</v>
      </c>
      <c r="K317" s="217">
        <v>1007</v>
      </c>
      <c r="L317" s="217">
        <v>1058</v>
      </c>
      <c r="M317" s="217"/>
      <c r="N317" s="232">
        <v>1037</v>
      </c>
      <c r="O317" s="90">
        <v>162376</v>
      </c>
      <c r="P317" s="236">
        <v>0</v>
      </c>
      <c r="Q317" s="236">
        <v>0</v>
      </c>
      <c r="R317" s="236">
        <v>0</v>
      </c>
      <c r="S317" s="236">
        <v>0</v>
      </c>
      <c r="T317" s="236">
        <v>0</v>
      </c>
      <c r="U317" s="236">
        <v>0</v>
      </c>
      <c r="V317" s="63">
        <v>162376</v>
      </c>
      <c r="W317" s="217">
        <v>1007</v>
      </c>
      <c r="X317" s="217">
        <v>1049</v>
      </c>
    </row>
    <row r="318" spans="1:24" x14ac:dyDescent="0.25">
      <c r="A318" s="31">
        <v>39277</v>
      </c>
      <c r="B318" s="62">
        <v>2809892.1</v>
      </c>
      <c r="C318" s="236">
        <v>0</v>
      </c>
      <c r="D318" s="236">
        <v>0</v>
      </c>
      <c r="E318" s="236">
        <v>0</v>
      </c>
      <c r="F318" s="236">
        <v>1602</v>
      </c>
      <c r="G318" s="236">
        <v>0</v>
      </c>
      <c r="H318" s="236">
        <v>0</v>
      </c>
      <c r="I318" s="236">
        <v>0</v>
      </c>
      <c r="J318" s="91">
        <v>2808290.1</v>
      </c>
      <c r="K318" s="217">
        <v>1007</v>
      </c>
      <c r="L318" s="217">
        <v>1058</v>
      </c>
      <c r="M318" s="217"/>
      <c r="N318" s="232">
        <v>1037</v>
      </c>
      <c r="O318" s="90">
        <v>162376</v>
      </c>
      <c r="P318" s="236">
        <v>0</v>
      </c>
      <c r="Q318" s="236">
        <v>0</v>
      </c>
      <c r="R318" s="236">
        <v>0</v>
      </c>
      <c r="S318" s="236">
        <v>0</v>
      </c>
      <c r="T318" s="236">
        <v>0</v>
      </c>
      <c r="U318" s="236">
        <v>0</v>
      </c>
      <c r="V318" s="63">
        <v>162376</v>
      </c>
      <c r="W318" s="217">
        <v>1007</v>
      </c>
      <c r="X318" s="217">
        <v>1049</v>
      </c>
    </row>
    <row r="319" spans="1:24" x14ac:dyDescent="0.25">
      <c r="A319" s="31">
        <v>39278</v>
      </c>
      <c r="B319" s="62">
        <v>2808290.1</v>
      </c>
      <c r="C319" s="236">
        <v>0</v>
      </c>
      <c r="D319" s="236">
        <v>0</v>
      </c>
      <c r="E319" s="236">
        <v>0</v>
      </c>
      <c r="F319" s="236">
        <v>2669</v>
      </c>
      <c r="G319" s="236">
        <v>0</v>
      </c>
      <c r="H319" s="236">
        <v>0</v>
      </c>
      <c r="I319" s="236">
        <v>0</v>
      </c>
      <c r="J319" s="91">
        <v>2805621.1</v>
      </c>
      <c r="K319" s="217">
        <v>1007</v>
      </c>
      <c r="L319" s="217">
        <v>1058</v>
      </c>
      <c r="M319" s="217"/>
      <c r="N319" s="232">
        <v>1038</v>
      </c>
      <c r="O319" s="90">
        <v>162376</v>
      </c>
      <c r="P319" s="236">
        <v>0</v>
      </c>
      <c r="Q319" s="236">
        <v>0</v>
      </c>
      <c r="R319" s="236">
        <v>276</v>
      </c>
      <c r="S319" s="236">
        <v>0</v>
      </c>
      <c r="T319" s="236">
        <v>0</v>
      </c>
      <c r="U319" s="236">
        <v>0</v>
      </c>
      <c r="V319" s="63">
        <v>162100</v>
      </c>
      <c r="W319" s="217">
        <v>1007</v>
      </c>
      <c r="X319" s="217">
        <v>1049</v>
      </c>
    </row>
    <row r="320" spans="1:24" x14ac:dyDescent="0.25">
      <c r="A320" s="31">
        <v>39279</v>
      </c>
      <c r="B320" s="62">
        <v>2805621.1</v>
      </c>
      <c r="C320" s="236">
        <v>0</v>
      </c>
      <c r="D320" s="236">
        <v>0</v>
      </c>
      <c r="E320" s="236">
        <v>0</v>
      </c>
      <c r="F320" s="236">
        <v>1602</v>
      </c>
      <c r="G320" s="236">
        <v>0</v>
      </c>
      <c r="H320" s="236">
        <v>0</v>
      </c>
      <c r="I320" s="236">
        <v>0</v>
      </c>
      <c r="J320" s="91">
        <v>2804019.1</v>
      </c>
      <c r="K320" s="217">
        <v>1007</v>
      </c>
      <c r="L320" s="217">
        <v>1058</v>
      </c>
      <c r="M320" s="217"/>
      <c r="N320" s="232">
        <v>1038</v>
      </c>
      <c r="O320" s="90">
        <v>162100</v>
      </c>
      <c r="P320" s="236">
        <v>0</v>
      </c>
      <c r="Q320" s="236">
        <v>0</v>
      </c>
      <c r="R320" s="236">
        <v>0</v>
      </c>
      <c r="S320" s="236">
        <v>0</v>
      </c>
      <c r="T320" s="236">
        <v>0</v>
      </c>
      <c r="U320" s="236">
        <v>0</v>
      </c>
      <c r="V320" s="63">
        <v>162100</v>
      </c>
      <c r="W320" s="217">
        <v>1007</v>
      </c>
      <c r="X320" s="217">
        <v>1049</v>
      </c>
    </row>
    <row r="321" spans="1:24" x14ac:dyDescent="0.25">
      <c r="A321" s="31">
        <v>39280</v>
      </c>
      <c r="B321" s="62">
        <v>2804019.1</v>
      </c>
      <c r="C321" s="236">
        <v>0</v>
      </c>
      <c r="D321" s="236">
        <v>0</v>
      </c>
      <c r="E321" s="236">
        <v>0</v>
      </c>
      <c r="F321" s="236">
        <v>1335</v>
      </c>
      <c r="G321" s="236">
        <v>0</v>
      </c>
      <c r="H321" s="236">
        <v>0</v>
      </c>
      <c r="I321" s="236">
        <v>0</v>
      </c>
      <c r="J321" s="91">
        <v>2802684.1</v>
      </c>
      <c r="K321" s="217">
        <v>1007</v>
      </c>
      <c r="L321" s="217">
        <v>1058</v>
      </c>
      <c r="M321" s="217"/>
      <c r="N321" s="232">
        <v>1037</v>
      </c>
      <c r="O321" s="90">
        <v>162100</v>
      </c>
      <c r="P321" s="236">
        <v>0</v>
      </c>
      <c r="Q321" s="236">
        <v>0</v>
      </c>
      <c r="R321" s="236">
        <v>276</v>
      </c>
      <c r="S321" s="236">
        <v>0</v>
      </c>
      <c r="T321" s="236">
        <v>0</v>
      </c>
      <c r="U321" s="236">
        <v>0</v>
      </c>
      <c r="V321" s="63">
        <v>161824</v>
      </c>
      <c r="W321" s="217">
        <v>1007</v>
      </c>
      <c r="X321" s="217">
        <v>1049</v>
      </c>
    </row>
    <row r="322" spans="1:24" x14ac:dyDescent="0.25">
      <c r="A322" s="31">
        <v>39281</v>
      </c>
      <c r="B322" s="62">
        <v>2802684.1</v>
      </c>
      <c r="C322" s="236">
        <v>0</v>
      </c>
      <c r="D322" s="236">
        <v>0</v>
      </c>
      <c r="E322" s="236">
        <v>0</v>
      </c>
      <c r="F322" s="236">
        <v>2135</v>
      </c>
      <c r="G322" s="236">
        <v>0</v>
      </c>
      <c r="H322" s="236">
        <v>0</v>
      </c>
      <c r="I322" s="236">
        <v>0</v>
      </c>
      <c r="J322" s="91">
        <v>2800549.1</v>
      </c>
      <c r="K322" s="217">
        <v>1007</v>
      </c>
      <c r="L322" s="217">
        <v>1058</v>
      </c>
      <c r="M322" s="217"/>
      <c r="N322" s="232">
        <v>1038</v>
      </c>
      <c r="O322" s="90">
        <v>161824</v>
      </c>
      <c r="P322" s="236">
        <v>0</v>
      </c>
      <c r="Q322" s="236">
        <v>0</v>
      </c>
      <c r="R322" s="236">
        <v>0</v>
      </c>
      <c r="S322" s="236">
        <v>0</v>
      </c>
      <c r="T322" s="236">
        <v>0</v>
      </c>
      <c r="U322" s="236">
        <v>0</v>
      </c>
      <c r="V322" s="63">
        <v>161824</v>
      </c>
      <c r="W322" s="217">
        <v>1007</v>
      </c>
      <c r="X322" s="217">
        <v>1049</v>
      </c>
    </row>
    <row r="323" spans="1:24" x14ac:dyDescent="0.25">
      <c r="A323" s="31">
        <v>39282</v>
      </c>
      <c r="B323" s="62">
        <v>2800549.1</v>
      </c>
      <c r="C323" s="236">
        <v>0</v>
      </c>
      <c r="D323" s="236">
        <v>0</v>
      </c>
      <c r="E323" s="236">
        <v>0</v>
      </c>
      <c r="F323" s="236">
        <v>2936</v>
      </c>
      <c r="G323" s="236">
        <v>0</v>
      </c>
      <c r="H323" s="236">
        <v>0</v>
      </c>
      <c r="I323" s="236">
        <v>0</v>
      </c>
      <c r="J323" s="91">
        <v>2797613.1</v>
      </c>
      <c r="K323" s="217">
        <v>1007</v>
      </c>
      <c r="L323" s="217">
        <v>1058</v>
      </c>
      <c r="M323" s="217"/>
      <c r="N323" s="232">
        <v>1037</v>
      </c>
      <c r="O323" s="90">
        <v>161824</v>
      </c>
      <c r="P323" s="236">
        <v>0</v>
      </c>
      <c r="Q323" s="236">
        <v>0</v>
      </c>
      <c r="R323" s="236">
        <v>50</v>
      </c>
      <c r="S323" s="236">
        <v>0</v>
      </c>
      <c r="T323" s="236">
        <v>0</v>
      </c>
      <c r="U323" s="236">
        <v>0</v>
      </c>
      <c r="V323" s="63">
        <v>161774</v>
      </c>
      <c r="W323" s="217">
        <v>1007</v>
      </c>
      <c r="X323" s="217">
        <v>1049</v>
      </c>
    </row>
    <row r="324" spans="1:24" x14ac:dyDescent="0.25">
      <c r="A324" s="31">
        <v>39283</v>
      </c>
      <c r="B324" s="62">
        <v>2797613.1</v>
      </c>
      <c r="C324" s="236">
        <v>0</v>
      </c>
      <c r="D324" s="236">
        <v>0</v>
      </c>
      <c r="E324" s="236">
        <v>0</v>
      </c>
      <c r="F324" s="236">
        <v>1068</v>
      </c>
      <c r="G324" s="236">
        <v>0</v>
      </c>
      <c r="H324" s="236">
        <v>0</v>
      </c>
      <c r="I324" s="236">
        <v>0</v>
      </c>
      <c r="J324" s="91">
        <v>2796545.1</v>
      </c>
      <c r="K324" s="217">
        <v>1007</v>
      </c>
      <c r="L324" s="217">
        <v>1058</v>
      </c>
      <c r="M324" s="217"/>
      <c r="N324" s="232">
        <v>1038</v>
      </c>
      <c r="O324" s="90">
        <v>161774</v>
      </c>
      <c r="P324" s="236">
        <v>0</v>
      </c>
      <c r="Q324" s="236">
        <v>0</v>
      </c>
      <c r="R324" s="236">
        <v>225</v>
      </c>
      <c r="S324" s="236">
        <v>0</v>
      </c>
      <c r="T324" s="236">
        <v>0</v>
      </c>
      <c r="U324" s="236">
        <v>0</v>
      </c>
      <c r="V324" s="63">
        <v>161549</v>
      </c>
      <c r="W324" s="217">
        <v>1007</v>
      </c>
      <c r="X324" s="217">
        <v>1049</v>
      </c>
    </row>
    <row r="325" spans="1:24" x14ac:dyDescent="0.25">
      <c r="A325" s="31">
        <v>39284</v>
      </c>
      <c r="B325" s="62">
        <v>2796545.1</v>
      </c>
      <c r="C325" s="236">
        <v>0</v>
      </c>
      <c r="D325" s="236">
        <v>0</v>
      </c>
      <c r="E325" s="236">
        <v>0</v>
      </c>
      <c r="F325" s="236">
        <v>801</v>
      </c>
      <c r="G325" s="236">
        <v>0</v>
      </c>
      <c r="H325" s="236">
        <v>0</v>
      </c>
      <c r="I325" s="236">
        <v>0</v>
      </c>
      <c r="J325" s="91">
        <v>2795744.1</v>
      </c>
      <c r="K325" s="217">
        <v>1007</v>
      </c>
      <c r="L325" s="217">
        <v>1058</v>
      </c>
      <c r="M325" s="217"/>
      <c r="N325" s="232">
        <v>1036</v>
      </c>
      <c r="O325" s="90">
        <v>161549</v>
      </c>
      <c r="P325" s="236">
        <v>0</v>
      </c>
      <c r="Q325" s="236">
        <v>0</v>
      </c>
      <c r="R325" s="236">
        <v>276</v>
      </c>
      <c r="S325" s="236">
        <v>0</v>
      </c>
      <c r="T325" s="236">
        <v>0</v>
      </c>
      <c r="U325" s="236">
        <v>0</v>
      </c>
      <c r="V325" s="63">
        <v>161273</v>
      </c>
      <c r="W325" s="217">
        <v>1007</v>
      </c>
      <c r="X325" s="217">
        <v>1049</v>
      </c>
    </row>
    <row r="326" spans="1:24" x14ac:dyDescent="0.25">
      <c r="A326" s="31">
        <v>39285</v>
      </c>
      <c r="B326" s="62">
        <v>2795744.1</v>
      </c>
      <c r="C326" s="236">
        <v>0</v>
      </c>
      <c r="D326" s="236">
        <v>0</v>
      </c>
      <c r="E326" s="236">
        <v>0</v>
      </c>
      <c r="F326" s="236">
        <v>801</v>
      </c>
      <c r="G326" s="236">
        <v>0</v>
      </c>
      <c r="H326" s="236">
        <v>0</v>
      </c>
      <c r="I326" s="236">
        <v>0</v>
      </c>
      <c r="J326" s="91">
        <v>2794943.1</v>
      </c>
      <c r="K326" s="217">
        <v>1007</v>
      </c>
      <c r="L326" s="217">
        <v>1058</v>
      </c>
      <c r="M326" s="217"/>
      <c r="N326" s="232">
        <v>1036</v>
      </c>
      <c r="O326" s="90">
        <v>161273</v>
      </c>
      <c r="P326" s="236">
        <v>0</v>
      </c>
      <c r="Q326" s="236">
        <v>0</v>
      </c>
      <c r="R326" s="236">
        <v>0</v>
      </c>
      <c r="S326" s="236">
        <v>0</v>
      </c>
      <c r="T326" s="236">
        <v>0</v>
      </c>
      <c r="U326" s="236">
        <v>0</v>
      </c>
      <c r="V326" s="63">
        <v>161273</v>
      </c>
      <c r="W326" s="217">
        <v>1007</v>
      </c>
      <c r="X326" s="217">
        <v>1049</v>
      </c>
    </row>
    <row r="327" spans="1:24" x14ac:dyDescent="0.25">
      <c r="A327" s="31">
        <v>39286</v>
      </c>
      <c r="B327" s="62">
        <v>2794943.1</v>
      </c>
      <c r="C327" s="236">
        <v>0</v>
      </c>
      <c r="D327" s="236">
        <v>0</v>
      </c>
      <c r="E327" s="236">
        <v>0</v>
      </c>
      <c r="F327" s="236">
        <v>2135</v>
      </c>
      <c r="G327" s="236">
        <v>0</v>
      </c>
      <c r="H327" s="236">
        <v>0</v>
      </c>
      <c r="I327" s="236">
        <v>0</v>
      </c>
      <c r="J327" s="91">
        <v>2792808.1</v>
      </c>
      <c r="K327" s="217">
        <v>1007</v>
      </c>
      <c r="L327" s="217">
        <v>1058</v>
      </c>
      <c r="M327" s="217"/>
      <c r="N327" s="232">
        <v>1035</v>
      </c>
      <c r="O327" s="90">
        <v>161273</v>
      </c>
      <c r="P327" s="236">
        <v>0</v>
      </c>
      <c r="Q327" s="236">
        <v>0</v>
      </c>
      <c r="R327" s="236">
        <v>0</v>
      </c>
      <c r="S327" s="236">
        <v>0</v>
      </c>
      <c r="T327" s="236">
        <v>0</v>
      </c>
      <c r="U327" s="236">
        <v>0</v>
      </c>
      <c r="V327" s="63">
        <v>161273</v>
      </c>
      <c r="W327" s="217">
        <v>1007</v>
      </c>
      <c r="X327" s="217">
        <v>1049</v>
      </c>
    </row>
    <row r="328" spans="1:24" x14ac:dyDescent="0.25">
      <c r="A328" s="31">
        <v>39287</v>
      </c>
      <c r="B328" s="62">
        <v>2792808.1</v>
      </c>
      <c r="C328" s="236">
        <v>0</v>
      </c>
      <c r="D328" s="236">
        <v>0</v>
      </c>
      <c r="E328" s="236">
        <v>0</v>
      </c>
      <c r="F328" s="236">
        <v>1602</v>
      </c>
      <c r="G328" s="236">
        <v>0</v>
      </c>
      <c r="H328" s="236">
        <v>0</v>
      </c>
      <c r="I328" s="236">
        <v>0</v>
      </c>
      <c r="J328" s="91">
        <v>2791206.1</v>
      </c>
      <c r="K328" s="217">
        <v>1007</v>
      </c>
      <c r="L328" s="217">
        <v>1058</v>
      </c>
      <c r="M328" s="217"/>
      <c r="N328" s="232">
        <v>1034</v>
      </c>
      <c r="O328" s="90">
        <v>161273</v>
      </c>
      <c r="P328" s="236">
        <v>0</v>
      </c>
      <c r="Q328" s="236">
        <v>0</v>
      </c>
      <c r="R328" s="236">
        <v>0</v>
      </c>
      <c r="S328" s="236">
        <v>0</v>
      </c>
      <c r="T328" s="236">
        <v>0</v>
      </c>
      <c r="U328" s="236">
        <v>0</v>
      </c>
      <c r="V328" s="63">
        <v>161273</v>
      </c>
      <c r="W328" s="217">
        <v>1007</v>
      </c>
      <c r="X328" s="217">
        <v>1049</v>
      </c>
    </row>
    <row r="329" spans="1:24" x14ac:dyDescent="0.25">
      <c r="A329" s="31">
        <v>39288</v>
      </c>
      <c r="B329" s="62">
        <v>2791206.1</v>
      </c>
      <c r="C329" s="236">
        <v>0</v>
      </c>
      <c r="D329" s="236">
        <v>0</v>
      </c>
      <c r="E329" s="236">
        <v>0</v>
      </c>
      <c r="F329" s="236">
        <v>1602</v>
      </c>
      <c r="G329" s="236">
        <v>0</v>
      </c>
      <c r="H329" s="236">
        <v>0</v>
      </c>
      <c r="I329" s="236">
        <v>0</v>
      </c>
      <c r="J329" s="91">
        <v>2789604.1</v>
      </c>
      <c r="K329" s="217">
        <v>1007</v>
      </c>
      <c r="L329" s="217">
        <v>1058</v>
      </c>
      <c r="M329" s="217"/>
      <c r="N329" s="232">
        <v>1035</v>
      </c>
      <c r="O329" s="90">
        <v>161273</v>
      </c>
      <c r="P329" s="236">
        <v>0</v>
      </c>
      <c r="Q329" s="236">
        <v>0</v>
      </c>
      <c r="R329" s="236">
        <v>276</v>
      </c>
      <c r="S329" s="236">
        <v>0</v>
      </c>
      <c r="T329" s="236">
        <v>0</v>
      </c>
      <c r="U329" s="236">
        <v>0</v>
      </c>
      <c r="V329" s="63">
        <v>160997</v>
      </c>
      <c r="W329" s="217">
        <v>1007</v>
      </c>
      <c r="X329" s="217">
        <v>1049</v>
      </c>
    </row>
    <row r="330" spans="1:24" x14ac:dyDescent="0.25">
      <c r="A330" s="31">
        <v>39289</v>
      </c>
      <c r="B330" s="62">
        <v>2789604.1</v>
      </c>
      <c r="C330" s="236">
        <v>0</v>
      </c>
      <c r="D330" s="236">
        <v>0</v>
      </c>
      <c r="E330" s="236">
        <v>0</v>
      </c>
      <c r="F330" s="236">
        <v>2135</v>
      </c>
      <c r="G330" s="236">
        <v>0</v>
      </c>
      <c r="H330" s="236">
        <v>0</v>
      </c>
      <c r="I330" s="236">
        <v>0</v>
      </c>
      <c r="J330" s="91">
        <v>2787469.1</v>
      </c>
      <c r="K330" s="217">
        <v>1007</v>
      </c>
      <c r="L330" s="217">
        <v>1058</v>
      </c>
      <c r="M330" s="217"/>
      <c r="N330" s="232">
        <v>1034</v>
      </c>
      <c r="O330" s="90">
        <v>160997</v>
      </c>
      <c r="P330" s="236">
        <v>0</v>
      </c>
      <c r="Q330" s="236">
        <v>0</v>
      </c>
      <c r="R330" s="236">
        <v>0</v>
      </c>
      <c r="S330" s="236">
        <v>0</v>
      </c>
      <c r="T330" s="236">
        <v>0</v>
      </c>
      <c r="U330" s="236">
        <v>0</v>
      </c>
      <c r="V330" s="63">
        <v>160997</v>
      </c>
      <c r="W330" s="217">
        <v>1007</v>
      </c>
      <c r="X330" s="217">
        <v>1049</v>
      </c>
    </row>
    <row r="331" spans="1:24" x14ac:dyDescent="0.25">
      <c r="A331" s="31">
        <v>39290</v>
      </c>
      <c r="B331" s="62">
        <v>2787469.1</v>
      </c>
      <c r="C331" s="236">
        <v>0</v>
      </c>
      <c r="D331" s="236">
        <v>0</v>
      </c>
      <c r="E331" s="236">
        <v>0</v>
      </c>
      <c r="F331" s="236">
        <v>3202</v>
      </c>
      <c r="G331" s="236">
        <v>0</v>
      </c>
      <c r="H331" s="236">
        <v>0</v>
      </c>
      <c r="I331" s="236">
        <v>0</v>
      </c>
      <c r="J331" s="91">
        <v>2784267.1</v>
      </c>
      <c r="K331" s="217">
        <v>1007</v>
      </c>
      <c r="L331" s="217">
        <v>1058</v>
      </c>
      <c r="M331" s="217"/>
      <c r="N331" s="232">
        <v>1034</v>
      </c>
      <c r="O331" s="90">
        <v>160997</v>
      </c>
      <c r="P331" s="236">
        <v>0</v>
      </c>
      <c r="Q331" s="236">
        <v>0</v>
      </c>
      <c r="R331" s="236">
        <v>276</v>
      </c>
      <c r="S331" s="236">
        <v>0</v>
      </c>
      <c r="T331" s="236">
        <v>0</v>
      </c>
      <c r="U331" s="236">
        <v>0</v>
      </c>
      <c r="V331" s="63">
        <v>160721</v>
      </c>
      <c r="W331" s="217">
        <v>1007</v>
      </c>
      <c r="X331" s="217">
        <v>1049</v>
      </c>
    </row>
    <row r="332" spans="1:24" x14ac:dyDescent="0.25">
      <c r="A332" s="31">
        <v>39291</v>
      </c>
      <c r="B332" s="62">
        <v>2784267.1</v>
      </c>
      <c r="C332" s="236">
        <v>0</v>
      </c>
      <c r="D332" s="236">
        <v>0</v>
      </c>
      <c r="E332" s="236">
        <v>0</v>
      </c>
      <c r="F332" s="236">
        <v>2670</v>
      </c>
      <c r="G332" s="236">
        <v>0</v>
      </c>
      <c r="H332" s="236">
        <v>0</v>
      </c>
      <c r="I332" s="236">
        <v>0</v>
      </c>
      <c r="J332" s="91">
        <v>2781597.1</v>
      </c>
      <c r="K332" s="217">
        <v>1007</v>
      </c>
      <c r="L332" s="217">
        <v>1058</v>
      </c>
      <c r="M332" s="217"/>
      <c r="N332" s="232">
        <v>1031</v>
      </c>
      <c r="O332" s="90">
        <v>160721</v>
      </c>
      <c r="P332" s="236">
        <v>0</v>
      </c>
      <c r="Q332" s="236">
        <v>0</v>
      </c>
      <c r="R332" s="236">
        <v>276</v>
      </c>
      <c r="S332" s="236">
        <v>0</v>
      </c>
      <c r="T332" s="236">
        <v>0</v>
      </c>
      <c r="U332" s="236">
        <v>0</v>
      </c>
      <c r="V332" s="63">
        <v>160445</v>
      </c>
      <c r="W332" s="217">
        <v>1007</v>
      </c>
      <c r="X332" s="217">
        <v>1049</v>
      </c>
    </row>
    <row r="333" spans="1:24" x14ac:dyDescent="0.25">
      <c r="A333" s="31">
        <v>39292</v>
      </c>
      <c r="B333" s="62">
        <v>2781597.1</v>
      </c>
      <c r="C333" s="236">
        <v>0</v>
      </c>
      <c r="D333" s="236">
        <v>0</v>
      </c>
      <c r="E333" s="236">
        <v>0</v>
      </c>
      <c r="F333" s="236">
        <v>2135</v>
      </c>
      <c r="G333" s="236">
        <v>0</v>
      </c>
      <c r="H333" s="236">
        <v>0</v>
      </c>
      <c r="I333" s="236">
        <v>0</v>
      </c>
      <c r="J333" s="91">
        <v>2779462.1</v>
      </c>
      <c r="K333" s="217">
        <v>1007</v>
      </c>
      <c r="L333" s="217">
        <v>1058</v>
      </c>
      <c r="M333" s="217"/>
      <c r="N333" s="232">
        <v>1035</v>
      </c>
      <c r="O333" s="90">
        <v>160445</v>
      </c>
      <c r="P333" s="236">
        <v>0</v>
      </c>
      <c r="Q333" s="236">
        <v>0</v>
      </c>
      <c r="R333" s="236">
        <v>0</v>
      </c>
      <c r="S333" s="236">
        <v>0</v>
      </c>
      <c r="T333" s="236">
        <v>0</v>
      </c>
      <c r="U333" s="236">
        <v>0</v>
      </c>
      <c r="V333" s="63">
        <v>160445</v>
      </c>
      <c r="W333" s="217">
        <v>1007</v>
      </c>
      <c r="X333" s="217">
        <v>1049</v>
      </c>
    </row>
    <row r="334" spans="1:24" x14ac:dyDescent="0.25">
      <c r="A334" s="31">
        <v>39293</v>
      </c>
      <c r="B334" s="62">
        <v>2779462.1</v>
      </c>
      <c r="C334" s="236">
        <v>0</v>
      </c>
      <c r="D334" s="236">
        <v>0</v>
      </c>
      <c r="E334" s="236">
        <v>0</v>
      </c>
      <c r="F334" s="236">
        <v>1592</v>
      </c>
      <c r="G334" s="236">
        <v>0</v>
      </c>
      <c r="H334" s="236">
        <v>0</v>
      </c>
      <c r="I334" s="236">
        <v>0</v>
      </c>
      <c r="J334" s="91">
        <v>2777870.1</v>
      </c>
      <c r="K334" s="217">
        <v>1007</v>
      </c>
      <c r="L334" s="217">
        <v>1058</v>
      </c>
      <c r="M334" s="217"/>
      <c r="N334" s="232">
        <v>1033</v>
      </c>
      <c r="O334" s="90">
        <v>160445</v>
      </c>
      <c r="P334" s="236">
        <v>0</v>
      </c>
      <c r="Q334" s="236">
        <v>0</v>
      </c>
      <c r="R334" s="236">
        <v>71</v>
      </c>
      <c r="S334" s="236">
        <v>0</v>
      </c>
      <c r="T334" s="236">
        <v>0</v>
      </c>
      <c r="U334" s="236">
        <v>0</v>
      </c>
      <c r="V334" s="63">
        <v>160374</v>
      </c>
      <c r="W334" s="217">
        <v>1007</v>
      </c>
      <c r="X334" s="217">
        <v>1049</v>
      </c>
    </row>
    <row r="335" spans="1:24" x14ac:dyDescent="0.25">
      <c r="A335" s="31">
        <v>39294</v>
      </c>
      <c r="B335" s="62">
        <v>2777870.1</v>
      </c>
      <c r="C335" s="236">
        <v>0</v>
      </c>
      <c r="D335" s="236">
        <v>0</v>
      </c>
      <c r="E335" s="236">
        <v>0</v>
      </c>
      <c r="F335" s="236">
        <v>1869</v>
      </c>
      <c r="G335" s="236">
        <v>0</v>
      </c>
      <c r="H335" s="236">
        <v>0</v>
      </c>
      <c r="I335" s="236">
        <v>0</v>
      </c>
      <c r="J335" s="91">
        <v>2776001.1</v>
      </c>
      <c r="K335" s="217">
        <v>1007</v>
      </c>
      <c r="L335" s="217">
        <v>1058</v>
      </c>
      <c r="M335" s="217"/>
      <c r="N335" s="232">
        <v>1036</v>
      </c>
      <c r="O335" s="90">
        <v>160374</v>
      </c>
      <c r="P335" s="236">
        <v>0</v>
      </c>
      <c r="Q335" s="236">
        <v>0</v>
      </c>
      <c r="R335" s="236">
        <v>201</v>
      </c>
      <c r="S335" s="236">
        <v>0</v>
      </c>
      <c r="T335" s="236">
        <v>0</v>
      </c>
      <c r="U335" s="236">
        <v>0</v>
      </c>
      <c r="V335" s="63">
        <v>160173</v>
      </c>
      <c r="W335" s="217">
        <v>1007</v>
      </c>
      <c r="X335" s="217">
        <v>1049</v>
      </c>
    </row>
    <row r="336" spans="1:24" x14ac:dyDescent="0.25">
      <c r="A336" s="31">
        <v>39295</v>
      </c>
      <c r="B336" s="62">
        <v>2776001.1</v>
      </c>
      <c r="C336" s="236">
        <v>0</v>
      </c>
      <c r="D336" s="236">
        <v>0</v>
      </c>
      <c r="E336" s="236">
        <v>0</v>
      </c>
      <c r="F336" s="236">
        <v>1868</v>
      </c>
      <c r="G336" s="236">
        <v>0</v>
      </c>
      <c r="H336" s="236">
        <v>0</v>
      </c>
      <c r="I336" s="236">
        <v>0</v>
      </c>
      <c r="J336" s="91">
        <v>2774133.1</v>
      </c>
      <c r="K336" s="217">
        <v>1007</v>
      </c>
      <c r="L336" s="217">
        <v>1058</v>
      </c>
      <c r="M336" s="217"/>
      <c r="N336" s="232">
        <v>1035</v>
      </c>
      <c r="O336" s="90">
        <v>160173</v>
      </c>
      <c r="P336" s="236">
        <v>0</v>
      </c>
      <c r="Q336" s="236">
        <v>0</v>
      </c>
      <c r="R336" s="236">
        <v>73</v>
      </c>
      <c r="S336" s="236">
        <v>0</v>
      </c>
      <c r="T336" s="236">
        <v>0</v>
      </c>
      <c r="U336" s="236">
        <v>0</v>
      </c>
      <c r="V336" s="63">
        <v>160100</v>
      </c>
      <c r="W336" s="217">
        <v>1007</v>
      </c>
      <c r="X336" s="217">
        <v>1049</v>
      </c>
    </row>
    <row r="337" spans="1:24" x14ac:dyDescent="0.25">
      <c r="A337" s="31">
        <v>39296</v>
      </c>
      <c r="B337" s="62">
        <v>2774133.1</v>
      </c>
      <c r="C337" s="236">
        <v>0</v>
      </c>
      <c r="D337" s="236">
        <v>0</v>
      </c>
      <c r="E337" s="236">
        <v>0</v>
      </c>
      <c r="F337" s="236">
        <v>1601</v>
      </c>
      <c r="G337" s="236">
        <v>0</v>
      </c>
      <c r="H337" s="236">
        <v>0</v>
      </c>
      <c r="I337" s="236">
        <v>0</v>
      </c>
      <c r="J337" s="91">
        <v>2772532.1</v>
      </c>
      <c r="K337" s="217">
        <v>1007</v>
      </c>
      <c r="L337" s="217">
        <v>1058</v>
      </c>
      <c r="M337" s="217"/>
      <c r="N337" s="232">
        <v>1035</v>
      </c>
      <c r="O337" s="90">
        <v>160100</v>
      </c>
      <c r="P337" s="236">
        <v>0</v>
      </c>
      <c r="Q337" s="236">
        <v>0</v>
      </c>
      <c r="R337" s="236">
        <v>202</v>
      </c>
      <c r="S337" s="236">
        <v>0</v>
      </c>
      <c r="T337" s="236">
        <v>0</v>
      </c>
      <c r="U337" s="236">
        <v>0</v>
      </c>
      <c r="V337" s="63">
        <v>159898</v>
      </c>
      <c r="W337" s="217">
        <v>1007</v>
      </c>
      <c r="X337" s="217">
        <v>1049</v>
      </c>
    </row>
    <row r="338" spans="1:24" x14ac:dyDescent="0.25">
      <c r="A338" s="31">
        <v>39297</v>
      </c>
      <c r="B338" s="62">
        <v>2772532.1</v>
      </c>
      <c r="C338" s="236">
        <v>0</v>
      </c>
      <c r="D338" s="236">
        <v>0</v>
      </c>
      <c r="E338" s="236">
        <v>0</v>
      </c>
      <c r="F338" s="236">
        <v>2136</v>
      </c>
      <c r="G338" s="236">
        <v>0</v>
      </c>
      <c r="H338" s="236">
        <v>0</v>
      </c>
      <c r="I338" s="236">
        <v>0</v>
      </c>
      <c r="J338" s="91">
        <v>2770396.1</v>
      </c>
      <c r="K338" s="217">
        <v>1007</v>
      </c>
      <c r="L338" s="217">
        <v>1058</v>
      </c>
      <c r="M338" s="217"/>
      <c r="N338" s="232">
        <v>1032</v>
      </c>
      <c r="O338" s="90">
        <v>159898</v>
      </c>
      <c r="P338" s="236">
        <v>0</v>
      </c>
      <c r="Q338" s="236">
        <v>0</v>
      </c>
      <c r="R338" s="236">
        <v>84</v>
      </c>
      <c r="S338" s="236">
        <v>0</v>
      </c>
      <c r="T338" s="236">
        <v>0</v>
      </c>
      <c r="U338" s="236">
        <v>0</v>
      </c>
      <c r="V338" s="63">
        <v>159814</v>
      </c>
      <c r="W338" s="217">
        <v>1007</v>
      </c>
      <c r="X338" s="217">
        <v>1049</v>
      </c>
    </row>
    <row r="339" spans="1:24" x14ac:dyDescent="0.25">
      <c r="A339" s="31">
        <v>39298</v>
      </c>
      <c r="B339" s="62">
        <v>2770396.1</v>
      </c>
      <c r="C339" s="236">
        <v>0</v>
      </c>
      <c r="D339" s="236">
        <v>0</v>
      </c>
      <c r="E339" s="236">
        <v>0</v>
      </c>
      <c r="F339" s="236">
        <v>1602</v>
      </c>
      <c r="G339" s="236">
        <v>0</v>
      </c>
      <c r="H339" s="236">
        <v>0</v>
      </c>
      <c r="I339" s="236">
        <v>0</v>
      </c>
      <c r="J339" s="91">
        <v>2768794.1</v>
      </c>
      <c r="K339" s="217">
        <v>1007</v>
      </c>
      <c r="L339" s="217">
        <v>1058</v>
      </c>
      <c r="M339" s="217"/>
      <c r="N339" s="232">
        <v>1036</v>
      </c>
      <c r="O339" s="90">
        <v>159814</v>
      </c>
      <c r="P339" s="236">
        <v>0</v>
      </c>
      <c r="Q339" s="236">
        <v>0</v>
      </c>
      <c r="R339" s="236">
        <v>192</v>
      </c>
      <c r="S339" s="236">
        <v>0</v>
      </c>
      <c r="T339" s="236">
        <v>0</v>
      </c>
      <c r="U339" s="236">
        <v>0</v>
      </c>
      <c r="V339" s="63">
        <v>159622</v>
      </c>
      <c r="W339" s="217">
        <v>1007</v>
      </c>
      <c r="X339" s="217">
        <v>1049</v>
      </c>
    </row>
    <row r="340" spans="1:24" x14ac:dyDescent="0.25">
      <c r="A340" s="31">
        <v>39299</v>
      </c>
      <c r="B340" s="62">
        <v>2768794.1</v>
      </c>
      <c r="C340" s="236">
        <v>0</v>
      </c>
      <c r="D340" s="236">
        <v>0</v>
      </c>
      <c r="E340" s="236">
        <v>0</v>
      </c>
      <c r="F340" s="236">
        <v>2135</v>
      </c>
      <c r="G340" s="236">
        <v>0</v>
      </c>
      <c r="H340" s="236">
        <v>0</v>
      </c>
      <c r="I340" s="236">
        <v>0</v>
      </c>
      <c r="J340" s="91">
        <v>2766659.1</v>
      </c>
      <c r="K340" s="217">
        <v>1007</v>
      </c>
      <c r="L340" s="217">
        <v>1058</v>
      </c>
      <c r="M340" s="217"/>
      <c r="N340" s="232">
        <v>1036</v>
      </c>
      <c r="O340" s="90">
        <v>159622</v>
      </c>
      <c r="P340" s="236">
        <v>0</v>
      </c>
      <c r="Q340" s="236">
        <v>0</v>
      </c>
      <c r="R340" s="236">
        <v>78</v>
      </c>
      <c r="S340" s="236">
        <v>0</v>
      </c>
      <c r="T340" s="236">
        <v>0</v>
      </c>
      <c r="U340" s="236">
        <v>0</v>
      </c>
      <c r="V340" s="63">
        <v>159544</v>
      </c>
      <c r="W340" s="217">
        <v>1007</v>
      </c>
      <c r="X340" s="217">
        <v>1049</v>
      </c>
    </row>
    <row r="341" spans="1:24" x14ac:dyDescent="0.25">
      <c r="A341" s="31">
        <v>39300</v>
      </c>
      <c r="B341" s="62">
        <v>2766659.1</v>
      </c>
      <c r="C341" s="236">
        <v>0</v>
      </c>
      <c r="D341" s="236">
        <v>0</v>
      </c>
      <c r="E341" s="236">
        <v>0</v>
      </c>
      <c r="F341" s="236">
        <v>2134</v>
      </c>
      <c r="G341" s="236">
        <v>0</v>
      </c>
      <c r="H341" s="236">
        <v>0</v>
      </c>
      <c r="I341" s="236">
        <v>0</v>
      </c>
      <c r="J341" s="91">
        <v>2764525.1</v>
      </c>
      <c r="K341" s="217">
        <v>1007</v>
      </c>
      <c r="L341" s="217">
        <v>1058</v>
      </c>
      <c r="M341" s="217"/>
      <c r="N341" s="232">
        <v>1037</v>
      </c>
      <c r="O341" s="90">
        <v>159544</v>
      </c>
      <c r="P341" s="236">
        <v>0</v>
      </c>
      <c r="Q341" s="236">
        <v>0</v>
      </c>
      <c r="R341" s="236">
        <v>84</v>
      </c>
      <c r="S341" s="236">
        <v>0</v>
      </c>
      <c r="T341" s="236">
        <v>0</v>
      </c>
      <c r="U341" s="236">
        <v>0</v>
      </c>
      <c r="V341" s="63">
        <v>159460</v>
      </c>
      <c r="W341" s="217">
        <v>1007</v>
      </c>
      <c r="X341" s="217">
        <v>1049</v>
      </c>
    </row>
    <row r="342" spans="1:24" x14ac:dyDescent="0.25">
      <c r="A342" s="31">
        <v>39301</v>
      </c>
      <c r="B342" s="62">
        <v>2764525.1</v>
      </c>
      <c r="C342" s="236">
        <v>0</v>
      </c>
      <c r="D342" s="236">
        <v>0</v>
      </c>
      <c r="E342" s="236">
        <v>0</v>
      </c>
      <c r="F342" s="236">
        <v>2402</v>
      </c>
      <c r="G342" s="236">
        <v>0</v>
      </c>
      <c r="H342" s="236">
        <v>0</v>
      </c>
      <c r="I342" s="236">
        <v>0</v>
      </c>
      <c r="J342" s="91">
        <v>2762123.1</v>
      </c>
      <c r="K342" s="217">
        <v>1007</v>
      </c>
      <c r="L342" s="217">
        <v>1058</v>
      </c>
      <c r="M342" s="217"/>
      <c r="N342" s="232">
        <v>1036</v>
      </c>
      <c r="O342" s="90">
        <v>159460</v>
      </c>
      <c r="P342" s="236">
        <v>0</v>
      </c>
      <c r="Q342" s="236">
        <v>0</v>
      </c>
      <c r="R342" s="236">
        <v>114</v>
      </c>
      <c r="S342" s="236">
        <v>0</v>
      </c>
      <c r="T342" s="236">
        <v>0</v>
      </c>
      <c r="U342" s="236">
        <v>0</v>
      </c>
      <c r="V342" s="63">
        <v>159346</v>
      </c>
      <c r="W342" s="217">
        <v>1007</v>
      </c>
      <c r="X342" s="217">
        <v>1049</v>
      </c>
    </row>
    <row r="343" spans="1:24" x14ac:dyDescent="0.25">
      <c r="A343" s="31">
        <v>39302</v>
      </c>
      <c r="B343" s="62">
        <v>2762123.1</v>
      </c>
      <c r="C343" s="236">
        <v>0</v>
      </c>
      <c r="D343" s="236">
        <v>0</v>
      </c>
      <c r="E343" s="236">
        <v>0</v>
      </c>
      <c r="F343" s="236">
        <v>2668</v>
      </c>
      <c r="G343" s="236">
        <v>0</v>
      </c>
      <c r="H343" s="236">
        <v>0</v>
      </c>
      <c r="I343" s="236">
        <v>0</v>
      </c>
      <c r="J343" s="91">
        <v>2759455.1</v>
      </c>
      <c r="K343" s="217">
        <v>1007</v>
      </c>
      <c r="L343" s="217">
        <v>1058</v>
      </c>
      <c r="M343" s="217"/>
      <c r="N343" s="232">
        <v>1038</v>
      </c>
      <c r="O343" s="90">
        <v>159346</v>
      </c>
      <c r="P343" s="236">
        <v>0</v>
      </c>
      <c r="Q343" s="236">
        <v>0</v>
      </c>
      <c r="R343" s="236">
        <v>91</v>
      </c>
      <c r="S343" s="236">
        <v>0</v>
      </c>
      <c r="T343" s="236">
        <v>0</v>
      </c>
      <c r="U343" s="236">
        <v>0</v>
      </c>
      <c r="V343" s="63">
        <v>159255</v>
      </c>
      <c r="W343" s="217">
        <v>1007</v>
      </c>
      <c r="X343" s="217">
        <v>1049</v>
      </c>
    </row>
    <row r="344" spans="1:24" x14ac:dyDescent="0.25">
      <c r="A344" s="31">
        <v>39303</v>
      </c>
      <c r="B344" s="62">
        <v>2759455.1</v>
      </c>
      <c r="C344" s="236">
        <v>0</v>
      </c>
      <c r="D344" s="236">
        <v>0</v>
      </c>
      <c r="E344" s="236">
        <v>0</v>
      </c>
      <c r="F344" s="236">
        <v>1868</v>
      </c>
      <c r="G344" s="236">
        <v>0</v>
      </c>
      <c r="H344" s="236">
        <v>0</v>
      </c>
      <c r="I344" s="236">
        <v>0</v>
      </c>
      <c r="J344" s="91">
        <v>2757587.1</v>
      </c>
      <c r="K344" s="217">
        <v>1007</v>
      </c>
      <c r="L344" s="217">
        <v>1058</v>
      </c>
      <c r="M344" s="217"/>
      <c r="N344" s="232">
        <v>1040</v>
      </c>
      <c r="O344" s="90">
        <v>159255</v>
      </c>
      <c r="P344" s="236">
        <v>0</v>
      </c>
      <c r="Q344" s="236">
        <v>0</v>
      </c>
      <c r="R344" s="236">
        <v>184</v>
      </c>
      <c r="S344" s="236">
        <v>0</v>
      </c>
      <c r="T344" s="236">
        <v>0</v>
      </c>
      <c r="U344" s="236">
        <v>0</v>
      </c>
      <c r="V344" s="63">
        <v>159071</v>
      </c>
      <c r="W344" s="217">
        <v>1007</v>
      </c>
      <c r="X344" s="217">
        <v>1049</v>
      </c>
    </row>
    <row r="345" spans="1:24" x14ac:dyDescent="0.25">
      <c r="A345" s="31">
        <v>39304</v>
      </c>
      <c r="B345" s="62">
        <v>2757587.1</v>
      </c>
      <c r="C345" s="236">
        <v>0</v>
      </c>
      <c r="D345" s="236">
        <v>0</v>
      </c>
      <c r="E345" s="236">
        <v>0</v>
      </c>
      <c r="F345" s="236">
        <v>1868</v>
      </c>
      <c r="G345" s="236">
        <v>0</v>
      </c>
      <c r="H345" s="236">
        <v>0</v>
      </c>
      <c r="I345" s="236">
        <v>0</v>
      </c>
      <c r="J345" s="91">
        <v>2755719.1</v>
      </c>
      <c r="K345" s="217">
        <v>1007</v>
      </c>
      <c r="L345" s="217">
        <v>1058</v>
      </c>
      <c r="M345" s="217"/>
      <c r="N345" s="232">
        <v>1038</v>
      </c>
      <c r="O345" s="90">
        <v>159071</v>
      </c>
      <c r="P345" s="236">
        <v>0</v>
      </c>
      <c r="Q345" s="236">
        <v>0</v>
      </c>
      <c r="R345" s="236">
        <v>73</v>
      </c>
      <c r="S345" s="236">
        <v>0</v>
      </c>
      <c r="T345" s="236">
        <v>0</v>
      </c>
      <c r="U345" s="236">
        <v>0</v>
      </c>
      <c r="V345" s="63">
        <v>158998</v>
      </c>
      <c r="W345" s="217">
        <v>1007</v>
      </c>
      <c r="X345" s="217">
        <v>1049</v>
      </c>
    </row>
    <row r="346" spans="1:24" x14ac:dyDescent="0.25">
      <c r="A346" s="31">
        <v>39305</v>
      </c>
      <c r="B346" s="62">
        <v>2755719.1</v>
      </c>
      <c r="C346" s="236">
        <v>0</v>
      </c>
      <c r="D346" s="236">
        <v>0</v>
      </c>
      <c r="E346" s="236">
        <v>0</v>
      </c>
      <c r="F346" s="236">
        <v>534</v>
      </c>
      <c r="G346" s="236">
        <v>0</v>
      </c>
      <c r="H346" s="236">
        <v>0</v>
      </c>
      <c r="I346" s="236">
        <v>0</v>
      </c>
      <c r="J346" s="91">
        <v>2755185.1</v>
      </c>
      <c r="K346" s="217">
        <v>1007</v>
      </c>
      <c r="L346" s="217">
        <v>1058</v>
      </c>
      <c r="M346" s="217"/>
      <c r="N346" s="232">
        <v>1045</v>
      </c>
      <c r="O346" s="90">
        <v>158998</v>
      </c>
      <c r="P346" s="236">
        <v>0</v>
      </c>
      <c r="Q346" s="236">
        <v>0</v>
      </c>
      <c r="R346" s="236">
        <v>202</v>
      </c>
      <c r="S346" s="236">
        <v>0</v>
      </c>
      <c r="T346" s="236">
        <v>0</v>
      </c>
      <c r="U346" s="236">
        <v>0</v>
      </c>
      <c r="V346" s="63">
        <v>158796</v>
      </c>
      <c r="W346" s="217">
        <v>1007</v>
      </c>
      <c r="X346" s="217">
        <v>1049</v>
      </c>
    </row>
    <row r="347" spans="1:24" x14ac:dyDescent="0.25">
      <c r="A347" s="31">
        <v>39306</v>
      </c>
      <c r="B347" s="62">
        <v>2755185.1</v>
      </c>
      <c r="C347" s="236">
        <v>0</v>
      </c>
      <c r="D347" s="236">
        <v>0</v>
      </c>
      <c r="E347" s="236">
        <v>0</v>
      </c>
      <c r="F347" s="236">
        <v>1868</v>
      </c>
      <c r="G347" s="236">
        <v>0</v>
      </c>
      <c r="H347" s="236">
        <v>0</v>
      </c>
      <c r="I347" s="236">
        <v>0</v>
      </c>
      <c r="J347" s="91">
        <v>2753317.1</v>
      </c>
      <c r="K347" s="217">
        <v>1007</v>
      </c>
      <c r="L347" s="217">
        <v>1058</v>
      </c>
      <c r="M347" s="217"/>
      <c r="N347" s="232">
        <v>1044</v>
      </c>
      <c r="O347" s="90">
        <v>158796</v>
      </c>
      <c r="P347" s="236">
        <v>0</v>
      </c>
      <c r="Q347" s="236">
        <v>0</v>
      </c>
      <c r="R347" s="236">
        <v>81</v>
      </c>
      <c r="S347" s="236">
        <v>0</v>
      </c>
      <c r="T347" s="236">
        <v>0</v>
      </c>
      <c r="U347" s="236">
        <v>0</v>
      </c>
      <c r="V347" s="63">
        <v>158715</v>
      </c>
      <c r="W347" s="217">
        <v>1007</v>
      </c>
      <c r="X347" s="217">
        <v>1049</v>
      </c>
    </row>
    <row r="348" spans="1:24" x14ac:dyDescent="0.25">
      <c r="A348" s="31">
        <v>39307</v>
      </c>
      <c r="B348" s="62">
        <v>2753317.1</v>
      </c>
      <c r="C348" s="236">
        <v>0</v>
      </c>
      <c r="D348" s="236">
        <v>0</v>
      </c>
      <c r="E348" s="236">
        <v>0</v>
      </c>
      <c r="F348" s="236">
        <v>2135</v>
      </c>
      <c r="G348" s="236">
        <v>0</v>
      </c>
      <c r="H348" s="236">
        <v>0</v>
      </c>
      <c r="I348" s="236">
        <v>0</v>
      </c>
      <c r="J348" s="91">
        <v>2751182.1</v>
      </c>
      <c r="K348" s="217">
        <v>1007</v>
      </c>
      <c r="L348" s="217">
        <v>1058</v>
      </c>
      <c r="M348" s="217"/>
      <c r="N348" s="232">
        <v>1046</v>
      </c>
      <c r="O348" s="90">
        <v>158715</v>
      </c>
      <c r="P348" s="236">
        <v>0</v>
      </c>
      <c r="Q348" s="236">
        <v>0</v>
      </c>
      <c r="R348" s="236">
        <v>195</v>
      </c>
      <c r="S348" s="236">
        <v>0</v>
      </c>
      <c r="T348" s="236">
        <v>0</v>
      </c>
      <c r="U348" s="236">
        <v>0</v>
      </c>
      <c r="V348" s="63">
        <v>158520</v>
      </c>
      <c r="W348" s="217">
        <v>1007</v>
      </c>
      <c r="X348" s="217">
        <v>1049</v>
      </c>
    </row>
    <row r="349" spans="1:24" x14ac:dyDescent="0.25">
      <c r="A349" s="31">
        <v>39308</v>
      </c>
      <c r="B349" s="62">
        <v>2751182.1</v>
      </c>
      <c r="C349" s="236">
        <v>0</v>
      </c>
      <c r="D349" s="236">
        <v>0</v>
      </c>
      <c r="E349" s="236">
        <v>0</v>
      </c>
      <c r="F349" s="236">
        <v>1869</v>
      </c>
      <c r="G349" s="236">
        <v>0</v>
      </c>
      <c r="H349" s="236">
        <v>0</v>
      </c>
      <c r="I349" s="236">
        <v>0</v>
      </c>
      <c r="J349" s="91">
        <v>2749313.1</v>
      </c>
      <c r="K349" s="217">
        <v>1007</v>
      </c>
      <c r="L349" s="217">
        <v>1058</v>
      </c>
      <c r="M349" s="217"/>
      <c r="N349" s="232">
        <v>1033</v>
      </c>
      <c r="O349" s="90">
        <v>158520</v>
      </c>
      <c r="P349" s="236">
        <v>0</v>
      </c>
      <c r="Q349" s="236">
        <v>0</v>
      </c>
      <c r="R349" s="236">
        <v>76</v>
      </c>
      <c r="S349" s="236">
        <v>0</v>
      </c>
      <c r="T349" s="236">
        <v>0</v>
      </c>
      <c r="U349" s="236">
        <v>0</v>
      </c>
      <c r="V349" s="63">
        <v>158444</v>
      </c>
      <c r="W349" s="217">
        <v>1007</v>
      </c>
      <c r="X349" s="217">
        <v>1049</v>
      </c>
    </row>
    <row r="350" spans="1:24" x14ac:dyDescent="0.25">
      <c r="A350" s="31">
        <v>39309</v>
      </c>
      <c r="B350" s="62">
        <v>2749313.1</v>
      </c>
      <c r="C350" s="236">
        <v>0</v>
      </c>
      <c r="D350" s="236">
        <v>0</v>
      </c>
      <c r="E350" s="236">
        <v>0</v>
      </c>
      <c r="F350" s="236">
        <v>2135</v>
      </c>
      <c r="G350" s="236">
        <v>0</v>
      </c>
      <c r="H350" s="236">
        <v>0</v>
      </c>
      <c r="I350" s="236">
        <v>0</v>
      </c>
      <c r="J350" s="91">
        <v>2747178.1</v>
      </c>
      <c r="K350" s="217">
        <v>1007</v>
      </c>
      <c r="L350" s="217">
        <v>1058</v>
      </c>
      <c r="M350" s="217"/>
      <c r="N350" s="232">
        <v>1048</v>
      </c>
      <c r="O350" s="90">
        <v>158444</v>
      </c>
      <c r="P350" s="236">
        <v>0</v>
      </c>
      <c r="Q350" s="236">
        <v>0</v>
      </c>
      <c r="R350" s="236">
        <v>83</v>
      </c>
      <c r="S350" s="236">
        <v>0</v>
      </c>
      <c r="T350" s="236">
        <v>0</v>
      </c>
      <c r="U350" s="236">
        <v>0</v>
      </c>
      <c r="V350" s="63">
        <v>158361</v>
      </c>
      <c r="W350" s="217">
        <v>1007</v>
      </c>
      <c r="X350" s="217">
        <v>1049</v>
      </c>
    </row>
    <row r="351" spans="1:24" x14ac:dyDescent="0.25">
      <c r="A351" s="31">
        <v>39310</v>
      </c>
      <c r="B351" s="62">
        <v>2747178.1</v>
      </c>
      <c r="C351" s="236">
        <v>0</v>
      </c>
      <c r="D351" s="236">
        <v>0</v>
      </c>
      <c r="E351" s="236">
        <v>0</v>
      </c>
      <c r="F351" s="236">
        <v>2134</v>
      </c>
      <c r="G351" s="236">
        <v>0</v>
      </c>
      <c r="H351" s="236">
        <v>0</v>
      </c>
      <c r="I351" s="236">
        <v>0</v>
      </c>
      <c r="J351" s="91">
        <v>2745044.1</v>
      </c>
      <c r="K351" s="217">
        <v>1007</v>
      </c>
      <c r="L351" s="217">
        <v>1058</v>
      </c>
      <c r="M351" s="217"/>
      <c r="N351" s="232">
        <v>1032</v>
      </c>
      <c r="O351" s="90">
        <v>158361</v>
      </c>
      <c r="P351" s="236">
        <v>0</v>
      </c>
      <c r="Q351" s="236">
        <v>0</v>
      </c>
      <c r="R351" s="236">
        <v>117</v>
      </c>
      <c r="S351" s="236">
        <v>0</v>
      </c>
      <c r="T351" s="236">
        <v>0</v>
      </c>
      <c r="U351" s="236">
        <v>0</v>
      </c>
      <c r="V351" s="63">
        <v>158244</v>
      </c>
      <c r="W351" s="217">
        <v>1007</v>
      </c>
      <c r="X351" s="217">
        <v>1049</v>
      </c>
    </row>
    <row r="352" spans="1:24" x14ac:dyDescent="0.25">
      <c r="A352" s="31">
        <v>39311</v>
      </c>
      <c r="B352" s="62">
        <v>2745044.1</v>
      </c>
      <c r="C352" s="236">
        <v>0</v>
      </c>
      <c r="D352" s="236">
        <v>0</v>
      </c>
      <c r="E352" s="236">
        <v>0</v>
      </c>
      <c r="F352" s="236">
        <v>1601</v>
      </c>
      <c r="G352" s="236">
        <v>0</v>
      </c>
      <c r="H352" s="236">
        <v>0</v>
      </c>
      <c r="I352" s="236">
        <v>0</v>
      </c>
      <c r="J352" s="91">
        <v>2743443.1</v>
      </c>
      <c r="K352" s="217">
        <v>1007</v>
      </c>
      <c r="L352" s="217">
        <v>1058</v>
      </c>
      <c r="M352" s="217"/>
      <c r="N352" s="232">
        <v>1048</v>
      </c>
      <c r="O352" s="90">
        <v>158244</v>
      </c>
      <c r="P352" s="236">
        <v>0</v>
      </c>
      <c r="Q352" s="236">
        <v>0</v>
      </c>
      <c r="R352" s="236">
        <v>75</v>
      </c>
      <c r="S352" s="236">
        <v>0</v>
      </c>
      <c r="T352" s="236">
        <v>0</v>
      </c>
      <c r="U352" s="236">
        <v>0</v>
      </c>
      <c r="V352" s="63">
        <v>158169</v>
      </c>
      <c r="W352" s="217">
        <v>1007</v>
      </c>
      <c r="X352" s="217">
        <v>1049</v>
      </c>
    </row>
    <row r="353" spans="1:24" x14ac:dyDescent="0.25">
      <c r="A353" s="31">
        <v>39312</v>
      </c>
      <c r="B353" s="62">
        <v>2743443.1</v>
      </c>
      <c r="C353" s="236">
        <v>0</v>
      </c>
      <c r="D353" s="236">
        <v>0</v>
      </c>
      <c r="E353" s="236">
        <v>0</v>
      </c>
      <c r="F353" s="236">
        <v>534</v>
      </c>
      <c r="G353" s="236">
        <v>0</v>
      </c>
      <c r="H353" s="236">
        <v>0</v>
      </c>
      <c r="I353" s="236">
        <v>0</v>
      </c>
      <c r="J353" s="91">
        <v>2742909.1</v>
      </c>
      <c r="K353" s="217">
        <v>1007</v>
      </c>
      <c r="L353" s="217">
        <v>1058</v>
      </c>
      <c r="M353" s="217"/>
      <c r="N353" s="232">
        <v>1035</v>
      </c>
      <c r="O353" s="90">
        <v>158169</v>
      </c>
      <c r="P353" s="236">
        <v>0</v>
      </c>
      <c r="Q353" s="236">
        <v>0</v>
      </c>
      <c r="R353" s="236">
        <v>68</v>
      </c>
      <c r="S353" s="236">
        <v>0</v>
      </c>
      <c r="T353" s="236">
        <v>0</v>
      </c>
      <c r="U353" s="236">
        <v>0</v>
      </c>
      <c r="V353" s="63">
        <v>158101</v>
      </c>
      <c r="W353" s="217">
        <v>1007</v>
      </c>
      <c r="X353" s="217">
        <v>1049</v>
      </c>
    </row>
    <row r="354" spans="1:24" x14ac:dyDescent="0.25">
      <c r="A354" s="31">
        <v>39313</v>
      </c>
      <c r="B354" s="62">
        <v>2742909.1</v>
      </c>
      <c r="C354" s="236">
        <v>0</v>
      </c>
      <c r="D354" s="236">
        <v>0</v>
      </c>
      <c r="E354" s="236">
        <v>0</v>
      </c>
      <c r="F354" s="236">
        <v>1602</v>
      </c>
      <c r="G354" s="236">
        <v>0</v>
      </c>
      <c r="H354" s="236">
        <v>0</v>
      </c>
      <c r="I354" s="236">
        <v>0</v>
      </c>
      <c r="J354" s="91">
        <v>2741307.1</v>
      </c>
      <c r="K354" s="217">
        <v>1007</v>
      </c>
      <c r="L354" s="217">
        <v>1058</v>
      </c>
      <c r="M354" s="217"/>
      <c r="N354" s="232">
        <v>1035</v>
      </c>
      <c r="O354" s="90">
        <v>158101</v>
      </c>
      <c r="P354" s="236">
        <v>0</v>
      </c>
      <c r="Q354" s="236">
        <v>0</v>
      </c>
      <c r="R354" s="236">
        <v>71</v>
      </c>
      <c r="S354" s="236">
        <v>0</v>
      </c>
      <c r="T354" s="236">
        <v>0</v>
      </c>
      <c r="U354" s="236">
        <v>0</v>
      </c>
      <c r="V354" s="63">
        <v>158030</v>
      </c>
      <c r="W354" s="217">
        <v>1007</v>
      </c>
      <c r="X354" s="217">
        <v>1049</v>
      </c>
    </row>
    <row r="355" spans="1:24" x14ac:dyDescent="0.25">
      <c r="A355" s="31">
        <v>39314</v>
      </c>
      <c r="B355" s="62">
        <v>2741307.1</v>
      </c>
      <c r="C355" s="236">
        <v>0</v>
      </c>
      <c r="D355" s="236">
        <v>0</v>
      </c>
      <c r="E355" s="236">
        <v>0</v>
      </c>
      <c r="F355" s="236">
        <v>1601</v>
      </c>
      <c r="G355" s="236">
        <v>0</v>
      </c>
      <c r="H355" s="236">
        <v>0</v>
      </c>
      <c r="I355" s="236">
        <v>0</v>
      </c>
      <c r="J355" s="91">
        <v>2739706.1</v>
      </c>
      <c r="K355" s="217">
        <v>1007</v>
      </c>
      <c r="L355" s="217">
        <v>1058</v>
      </c>
      <c r="M355" s="217"/>
      <c r="N355" s="232">
        <v>1034</v>
      </c>
      <c r="O355" s="90">
        <v>158030</v>
      </c>
      <c r="P355" s="236">
        <v>0</v>
      </c>
      <c r="Q355" s="236">
        <v>0</v>
      </c>
      <c r="R355" s="236">
        <v>62</v>
      </c>
      <c r="S355" s="236">
        <v>0</v>
      </c>
      <c r="T355" s="236">
        <v>0</v>
      </c>
      <c r="U355" s="236">
        <v>0</v>
      </c>
      <c r="V355" s="63">
        <v>157968</v>
      </c>
      <c r="W355" s="217">
        <v>1007</v>
      </c>
      <c r="X355" s="217">
        <v>1049</v>
      </c>
    </row>
    <row r="356" spans="1:24" x14ac:dyDescent="0.25">
      <c r="A356" s="31">
        <v>39315</v>
      </c>
      <c r="B356" s="62">
        <v>2739706.1</v>
      </c>
      <c r="C356" s="236">
        <v>0</v>
      </c>
      <c r="D356" s="236">
        <v>0</v>
      </c>
      <c r="E356" s="236">
        <v>0</v>
      </c>
      <c r="F356" s="236">
        <v>2135</v>
      </c>
      <c r="G356" s="236">
        <v>0</v>
      </c>
      <c r="H356" s="236">
        <v>0</v>
      </c>
      <c r="I356" s="236">
        <v>0</v>
      </c>
      <c r="J356" s="91">
        <v>2737571.1</v>
      </c>
      <c r="K356" s="217">
        <v>1007</v>
      </c>
      <c r="L356" s="217">
        <v>1058</v>
      </c>
      <c r="M356" s="217"/>
      <c r="N356" s="232">
        <v>1038</v>
      </c>
      <c r="O356" s="90">
        <v>157968</v>
      </c>
      <c r="P356" s="236">
        <v>0</v>
      </c>
      <c r="Q356" s="236">
        <v>0</v>
      </c>
      <c r="R356" s="236">
        <v>60</v>
      </c>
      <c r="S356" s="236">
        <v>0</v>
      </c>
      <c r="T356" s="236">
        <v>0</v>
      </c>
      <c r="U356" s="236">
        <v>0</v>
      </c>
      <c r="V356" s="63">
        <v>157908</v>
      </c>
      <c r="W356" s="217">
        <v>1007</v>
      </c>
      <c r="X356" s="217">
        <v>1049</v>
      </c>
    </row>
    <row r="357" spans="1:24" x14ac:dyDescent="0.25">
      <c r="A357" s="31">
        <v>39316</v>
      </c>
      <c r="B357" s="62">
        <v>2737571.1</v>
      </c>
      <c r="C357" s="236">
        <v>0</v>
      </c>
      <c r="D357" s="236">
        <v>0</v>
      </c>
      <c r="E357" s="236">
        <v>0</v>
      </c>
      <c r="F357" s="236">
        <v>1068</v>
      </c>
      <c r="G357" s="236">
        <v>0</v>
      </c>
      <c r="H357" s="236">
        <v>0</v>
      </c>
      <c r="I357" s="236">
        <v>0</v>
      </c>
      <c r="J357" s="91">
        <v>2736503.1</v>
      </c>
      <c r="K357" s="217">
        <v>1007</v>
      </c>
      <c r="L357" s="217">
        <v>1058</v>
      </c>
      <c r="M357" s="217"/>
      <c r="N357" s="232">
        <v>1039</v>
      </c>
      <c r="O357" s="90">
        <v>157908</v>
      </c>
      <c r="P357" s="236">
        <v>0</v>
      </c>
      <c r="Q357" s="236">
        <v>0</v>
      </c>
      <c r="R357" s="236">
        <v>61</v>
      </c>
      <c r="S357" s="236">
        <v>0</v>
      </c>
      <c r="T357" s="236">
        <v>0</v>
      </c>
      <c r="U357" s="236">
        <v>0</v>
      </c>
      <c r="V357" s="63">
        <v>157847</v>
      </c>
      <c r="W357" s="217">
        <v>1007</v>
      </c>
      <c r="X357" s="217">
        <v>1049</v>
      </c>
    </row>
    <row r="358" spans="1:24" x14ac:dyDescent="0.25">
      <c r="A358" s="31">
        <v>39317</v>
      </c>
      <c r="B358" s="62">
        <v>2736503.1</v>
      </c>
      <c r="C358" s="236">
        <v>0</v>
      </c>
      <c r="D358" s="236">
        <v>0</v>
      </c>
      <c r="E358" s="236">
        <v>0</v>
      </c>
      <c r="F358" s="236">
        <v>2135</v>
      </c>
      <c r="G358" s="236">
        <v>0</v>
      </c>
      <c r="H358" s="236">
        <v>0</v>
      </c>
      <c r="I358" s="236">
        <v>0</v>
      </c>
      <c r="J358" s="91">
        <v>2734368.1</v>
      </c>
      <c r="K358" s="217">
        <v>1007</v>
      </c>
      <c r="L358" s="217">
        <v>1058</v>
      </c>
      <c r="M358" s="217"/>
      <c r="N358" s="232">
        <v>1044</v>
      </c>
      <c r="O358" s="90">
        <v>157847</v>
      </c>
      <c r="P358" s="236">
        <v>0</v>
      </c>
      <c r="Q358" s="236">
        <v>0</v>
      </c>
      <c r="R358" s="236">
        <v>154</v>
      </c>
      <c r="S358" s="236">
        <v>0</v>
      </c>
      <c r="T358" s="236">
        <v>0</v>
      </c>
      <c r="U358" s="236">
        <v>0</v>
      </c>
      <c r="V358" s="63">
        <v>157693</v>
      </c>
      <c r="W358" s="217">
        <v>1007</v>
      </c>
      <c r="X358" s="217">
        <v>1049</v>
      </c>
    </row>
    <row r="359" spans="1:24" x14ac:dyDescent="0.25">
      <c r="A359" s="31">
        <v>39318</v>
      </c>
      <c r="B359" s="62">
        <v>2734368.1</v>
      </c>
      <c r="C359" s="236">
        <v>0</v>
      </c>
      <c r="D359" s="236">
        <v>0</v>
      </c>
      <c r="E359" s="236">
        <v>0</v>
      </c>
      <c r="F359" s="236">
        <v>2401</v>
      </c>
      <c r="G359" s="236">
        <v>0</v>
      </c>
      <c r="H359" s="236">
        <v>0</v>
      </c>
      <c r="I359" s="236">
        <v>0</v>
      </c>
      <c r="J359" s="91">
        <v>2731967.1</v>
      </c>
      <c r="K359" s="217">
        <v>1007</v>
      </c>
      <c r="L359" s="217">
        <v>1058</v>
      </c>
      <c r="M359" s="217"/>
      <c r="N359" s="232">
        <v>1037</v>
      </c>
      <c r="O359" s="90">
        <v>157693</v>
      </c>
      <c r="P359" s="236">
        <v>0</v>
      </c>
      <c r="Q359" s="236">
        <v>0</v>
      </c>
      <c r="R359" s="236">
        <v>63</v>
      </c>
      <c r="S359" s="236">
        <v>0</v>
      </c>
      <c r="T359" s="236">
        <v>0</v>
      </c>
      <c r="U359" s="236">
        <v>0</v>
      </c>
      <c r="V359" s="63">
        <v>157630</v>
      </c>
      <c r="W359" s="217">
        <v>1007</v>
      </c>
      <c r="X359" s="217">
        <v>1049</v>
      </c>
    </row>
    <row r="360" spans="1:24" x14ac:dyDescent="0.25">
      <c r="A360" s="31">
        <v>39319</v>
      </c>
      <c r="B360" s="62">
        <v>2731967.1</v>
      </c>
      <c r="C360" s="236">
        <v>0</v>
      </c>
      <c r="D360" s="236">
        <v>0</v>
      </c>
      <c r="E360" s="236">
        <v>0</v>
      </c>
      <c r="F360" s="236">
        <v>3469</v>
      </c>
      <c r="G360" s="236">
        <v>0</v>
      </c>
      <c r="H360" s="236">
        <v>0</v>
      </c>
      <c r="I360" s="236">
        <v>0</v>
      </c>
      <c r="J360" s="91">
        <v>2728498.1</v>
      </c>
      <c r="K360" s="217">
        <v>1007</v>
      </c>
      <c r="L360" s="217">
        <v>1058</v>
      </c>
      <c r="M360" s="217"/>
      <c r="N360" s="232">
        <v>1039</v>
      </c>
      <c r="O360" s="90">
        <v>157630</v>
      </c>
      <c r="P360" s="236">
        <v>0</v>
      </c>
      <c r="Q360" s="236">
        <v>0</v>
      </c>
      <c r="R360" s="236">
        <v>213</v>
      </c>
      <c r="S360" s="236">
        <v>0</v>
      </c>
      <c r="T360" s="236">
        <v>0</v>
      </c>
      <c r="U360" s="236">
        <v>0</v>
      </c>
      <c r="V360" s="63">
        <v>157417</v>
      </c>
      <c r="W360" s="217">
        <v>1007</v>
      </c>
      <c r="X360" s="217">
        <v>1049</v>
      </c>
    </row>
    <row r="361" spans="1:24" x14ac:dyDescent="0.25">
      <c r="A361" s="31">
        <v>39320</v>
      </c>
      <c r="B361" s="62">
        <v>2728498.1</v>
      </c>
      <c r="C361" s="236">
        <v>0</v>
      </c>
      <c r="D361" s="236">
        <v>0</v>
      </c>
      <c r="E361" s="236">
        <v>0</v>
      </c>
      <c r="F361" s="236">
        <v>1601</v>
      </c>
      <c r="G361" s="236">
        <v>0</v>
      </c>
      <c r="H361" s="236">
        <v>0</v>
      </c>
      <c r="I361" s="236">
        <v>0</v>
      </c>
      <c r="J361" s="91">
        <v>2726897.1</v>
      </c>
      <c r="K361" s="217">
        <v>1007</v>
      </c>
      <c r="L361" s="217">
        <v>1058</v>
      </c>
      <c r="M361" s="217"/>
      <c r="N361" s="232">
        <v>1035</v>
      </c>
      <c r="O361" s="90">
        <v>157417</v>
      </c>
      <c r="P361" s="236">
        <v>0</v>
      </c>
      <c r="Q361" s="236">
        <v>0</v>
      </c>
      <c r="R361" s="236">
        <v>71</v>
      </c>
      <c r="S361" s="236">
        <v>0</v>
      </c>
      <c r="T361" s="236">
        <v>0</v>
      </c>
      <c r="U361" s="236">
        <v>0</v>
      </c>
      <c r="V361" s="63">
        <v>157346</v>
      </c>
      <c r="W361" s="217">
        <v>1007</v>
      </c>
      <c r="X361" s="217">
        <v>1049</v>
      </c>
    </row>
    <row r="362" spans="1:24" x14ac:dyDescent="0.25">
      <c r="A362" s="31">
        <v>39321</v>
      </c>
      <c r="B362" s="62">
        <v>2726897.1</v>
      </c>
      <c r="C362" s="236">
        <v>0</v>
      </c>
      <c r="D362" s="236">
        <v>0</v>
      </c>
      <c r="E362" s="236">
        <v>0</v>
      </c>
      <c r="F362" s="236">
        <v>1068</v>
      </c>
      <c r="G362" s="236">
        <v>0</v>
      </c>
      <c r="H362" s="236">
        <v>0</v>
      </c>
      <c r="I362" s="236">
        <v>0</v>
      </c>
      <c r="J362" s="91">
        <v>2725829.1</v>
      </c>
      <c r="K362" s="217">
        <v>1007</v>
      </c>
      <c r="L362" s="217">
        <v>1058</v>
      </c>
      <c r="M362" s="217"/>
      <c r="N362" s="232">
        <v>1036</v>
      </c>
      <c r="O362" s="90">
        <v>157346</v>
      </c>
      <c r="P362" s="236">
        <v>0</v>
      </c>
      <c r="Q362" s="236">
        <v>0</v>
      </c>
      <c r="R362" s="236">
        <v>203</v>
      </c>
      <c r="S362" s="236">
        <v>0</v>
      </c>
      <c r="T362" s="236">
        <v>0</v>
      </c>
      <c r="U362" s="236">
        <v>0</v>
      </c>
      <c r="V362" s="63">
        <v>157143</v>
      </c>
      <c r="W362" s="217">
        <v>1007</v>
      </c>
      <c r="X362" s="217">
        <v>1049</v>
      </c>
    </row>
    <row r="363" spans="1:24" x14ac:dyDescent="0.25">
      <c r="A363" s="31">
        <v>39322</v>
      </c>
      <c r="B363" s="62">
        <v>2725829.1</v>
      </c>
      <c r="C363" s="236">
        <v>0</v>
      </c>
      <c r="D363" s="236">
        <v>0</v>
      </c>
      <c r="E363" s="236">
        <v>0</v>
      </c>
      <c r="F363" s="236">
        <v>1602</v>
      </c>
      <c r="G363" s="236">
        <v>0</v>
      </c>
      <c r="H363" s="236">
        <v>0</v>
      </c>
      <c r="I363" s="236">
        <v>0</v>
      </c>
      <c r="J363" s="91">
        <v>2724227.1</v>
      </c>
      <c r="K363" s="217">
        <v>1007</v>
      </c>
      <c r="L363" s="217">
        <v>1058</v>
      </c>
      <c r="M363" s="217"/>
      <c r="N363" s="232">
        <v>1036</v>
      </c>
      <c r="O363" s="90">
        <v>157143</v>
      </c>
      <c r="P363" s="236">
        <v>0</v>
      </c>
      <c r="Q363" s="236">
        <v>0</v>
      </c>
      <c r="R363" s="236">
        <v>276</v>
      </c>
      <c r="S363" s="236">
        <v>0</v>
      </c>
      <c r="T363" s="236">
        <v>0</v>
      </c>
      <c r="U363" s="236">
        <v>0</v>
      </c>
      <c r="V363" s="63">
        <v>156867</v>
      </c>
      <c r="W363" s="217">
        <v>1007</v>
      </c>
      <c r="X363" s="217">
        <v>1049</v>
      </c>
    </row>
    <row r="364" spans="1:24" x14ac:dyDescent="0.25">
      <c r="A364" s="31">
        <v>39323</v>
      </c>
      <c r="B364" s="62">
        <v>2724227.1</v>
      </c>
      <c r="C364" s="236">
        <v>0</v>
      </c>
      <c r="D364" s="236">
        <v>0</v>
      </c>
      <c r="E364" s="236">
        <v>0</v>
      </c>
      <c r="F364" s="236">
        <v>2134</v>
      </c>
      <c r="G364" s="236">
        <v>0</v>
      </c>
      <c r="H364" s="236">
        <v>0</v>
      </c>
      <c r="I364" s="236">
        <v>0</v>
      </c>
      <c r="J364" s="91">
        <v>2722093.1</v>
      </c>
      <c r="K364" s="217">
        <v>1007</v>
      </c>
      <c r="L364" s="217">
        <v>1058</v>
      </c>
      <c r="M364" s="217"/>
      <c r="N364" s="232">
        <v>1036</v>
      </c>
      <c r="O364" s="90">
        <v>156867</v>
      </c>
      <c r="P364" s="236">
        <v>0</v>
      </c>
      <c r="Q364" s="236">
        <v>0</v>
      </c>
      <c r="R364" s="236">
        <v>71</v>
      </c>
      <c r="S364" s="236">
        <v>0</v>
      </c>
      <c r="T364" s="236">
        <v>0</v>
      </c>
      <c r="U364" s="236">
        <v>0</v>
      </c>
      <c r="V364" s="63">
        <v>156796</v>
      </c>
      <c r="W364" s="217">
        <v>1007</v>
      </c>
      <c r="X364" s="217">
        <v>1049</v>
      </c>
    </row>
    <row r="365" spans="1:24" x14ac:dyDescent="0.25">
      <c r="A365" s="31">
        <v>39324</v>
      </c>
      <c r="B365" s="62">
        <v>2722093.1</v>
      </c>
      <c r="C365" s="236">
        <v>0</v>
      </c>
      <c r="D365" s="236">
        <v>0</v>
      </c>
      <c r="E365" s="236">
        <v>0</v>
      </c>
      <c r="F365" s="236">
        <v>2135</v>
      </c>
      <c r="G365" s="236">
        <v>0</v>
      </c>
      <c r="H365" s="236">
        <v>0</v>
      </c>
      <c r="I365" s="236">
        <v>0</v>
      </c>
      <c r="J365" s="91">
        <v>2719958.1</v>
      </c>
      <c r="K365" s="217">
        <v>1007</v>
      </c>
      <c r="L365" s="217">
        <v>1058</v>
      </c>
      <c r="M365" s="217"/>
      <c r="N365" s="232">
        <v>1036</v>
      </c>
      <c r="O365" s="90">
        <v>156796</v>
      </c>
      <c r="P365" s="236">
        <v>0</v>
      </c>
      <c r="Q365" s="236">
        <v>0</v>
      </c>
      <c r="R365" s="236">
        <v>74</v>
      </c>
      <c r="S365" s="236">
        <v>0</v>
      </c>
      <c r="T365" s="236">
        <v>0</v>
      </c>
      <c r="U365" s="236">
        <v>0</v>
      </c>
      <c r="V365" s="63">
        <v>156722</v>
      </c>
      <c r="W365" s="217">
        <v>1007</v>
      </c>
      <c r="X365" s="217">
        <v>1049</v>
      </c>
    </row>
    <row r="366" spans="1:24" x14ac:dyDescent="0.25">
      <c r="A366" s="214">
        <v>39325</v>
      </c>
      <c r="B366" s="229">
        <v>2719958.1</v>
      </c>
      <c r="C366" s="236">
        <v>0</v>
      </c>
      <c r="D366" s="238">
        <v>0</v>
      </c>
      <c r="E366" s="238">
        <v>0</v>
      </c>
      <c r="F366" s="238">
        <v>2133</v>
      </c>
      <c r="G366" s="238">
        <v>0</v>
      </c>
      <c r="H366" s="238">
        <v>0</v>
      </c>
      <c r="I366" s="238">
        <v>0</v>
      </c>
      <c r="J366" s="166">
        <v>2717825.1</v>
      </c>
      <c r="K366" s="220">
        <v>1007</v>
      </c>
      <c r="L366" s="220">
        <v>1058</v>
      </c>
      <c r="M366" s="220"/>
      <c r="N366" s="233">
        <v>1036</v>
      </c>
      <c r="O366" s="230">
        <v>156722</v>
      </c>
      <c r="P366" s="238">
        <v>0</v>
      </c>
      <c r="Q366" s="238">
        <v>0</v>
      </c>
      <c r="R366" s="238">
        <v>131</v>
      </c>
      <c r="S366" s="238">
        <v>0</v>
      </c>
      <c r="T366" s="238">
        <v>0</v>
      </c>
      <c r="U366" s="238">
        <v>0</v>
      </c>
      <c r="V366" s="231">
        <v>156591</v>
      </c>
      <c r="W366" s="220">
        <v>1007</v>
      </c>
      <c r="X366" s="220">
        <v>1049</v>
      </c>
    </row>
    <row r="367" spans="1:24" x14ac:dyDescent="0.25">
      <c r="A367" s="22"/>
      <c r="B367" s="64"/>
      <c r="D367" s="76"/>
      <c r="E367" s="76"/>
      <c r="F367" s="76"/>
      <c r="G367" s="76"/>
      <c r="H367" s="76"/>
      <c r="I367" s="76"/>
      <c r="J367" s="92"/>
      <c r="K367" s="79"/>
      <c r="L367" s="79"/>
      <c r="M367" s="79"/>
      <c r="N367" s="234"/>
      <c r="O367" s="40"/>
      <c r="V367" s="40"/>
      <c r="W367" s="79"/>
      <c r="X367" s="79"/>
    </row>
    <row r="368" spans="1:24" x14ac:dyDescent="0.25">
      <c r="A368" s="22"/>
      <c r="B368" s="64"/>
      <c r="D368" s="76"/>
      <c r="E368" s="76"/>
      <c r="F368" s="76"/>
      <c r="G368" s="76"/>
      <c r="H368" s="76"/>
      <c r="I368" s="76"/>
      <c r="J368" s="92"/>
      <c r="K368" s="79"/>
      <c r="L368" s="79"/>
      <c r="M368" s="79"/>
      <c r="N368" s="234"/>
      <c r="O368" s="40"/>
      <c r="V368" s="40"/>
      <c r="W368" s="79"/>
      <c r="X368" s="79"/>
    </row>
    <row r="369" spans="1:24" x14ac:dyDescent="0.25">
      <c r="A369" s="22"/>
      <c r="B369" s="64"/>
      <c r="D369" s="76"/>
      <c r="E369" s="76"/>
      <c r="F369" s="76"/>
      <c r="G369" s="76"/>
      <c r="H369" s="76"/>
      <c r="I369" s="76"/>
      <c r="J369" s="92"/>
      <c r="K369" s="79"/>
      <c r="L369" s="79"/>
      <c r="M369" s="79"/>
      <c r="N369" s="234"/>
      <c r="O369" s="40"/>
      <c r="V369" s="40"/>
      <c r="W369" s="79"/>
      <c r="X369" s="79"/>
    </row>
    <row r="370" spans="1:24" x14ac:dyDescent="0.25">
      <c r="A370" s="22"/>
      <c r="B370" s="64"/>
      <c r="D370" s="76"/>
      <c r="E370" s="76"/>
      <c r="F370" s="76"/>
      <c r="G370" s="76"/>
      <c r="H370" s="76"/>
      <c r="I370" s="76"/>
      <c r="J370" s="92"/>
      <c r="K370" s="79"/>
      <c r="L370" s="79"/>
      <c r="M370" s="79"/>
      <c r="N370" s="234"/>
      <c r="O370" s="40"/>
      <c r="V370" s="40"/>
      <c r="W370" s="79"/>
      <c r="X370" s="79"/>
    </row>
    <row r="371" spans="1:24" x14ac:dyDescent="0.25">
      <c r="A371" s="22"/>
      <c r="B371" s="64"/>
      <c r="D371" s="76"/>
      <c r="E371" s="76"/>
      <c r="F371" s="76"/>
      <c r="G371" s="76"/>
      <c r="H371" s="76"/>
      <c r="I371" s="76"/>
      <c r="J371" s="92"/>
      <c r="K371" s="79"/>
      <c r="L371" s="79"/>
      <c r="M371" s="79"/>
      <c r="N371" s="234"/>
      <c r="O371" s="40"/>
      <c r="V371" s="40"/>
      <c r="W371" s="79"/>
      <c r="X371" s="79"/>
    </row>
    <row r="372" spans="1:24" x14ac:dyDescent="0.25">
      <c r="A372" s="22"/>
      <c r="B372" s="64"/>
      <c r="D372" s="76"/>
      <c r="E372" s="76"/>
      <c r="F372" s="76"/>
      <c r="G372" s="76"/>
      <c r="H372" s="76"/>
      <c r="I372" s="76"/>
      <c r="J372" s="92"/>
      <c r="K372" s="79"/>
      <c r="L372" s="79"/>
      <c r="M372" s="79"/>
      <c r="N372" s="234"/>
      <c r="O372" s="40"/>
      <c r="V372" s="40"/>
      <c r="W372" s="79"/>
      <c r="X372" s="79"/>
    </row>
    <row r="373" spans="1:24" x14ac:dyDescent="0.25">
      <c r="A373" s="22"/>
      <c r="B373" s="64"/>
      <c r="D373" s="76"/>
      <c r="E373" s="76"/>
      <c r="F373" s="76"/>
      <c r="G373" s="76"/>
      <c r="H373" s="76"/>
      <c r="I373" s="76"/>
      <c r="J373" s="92"/>
      <c r="K373" s="79"/>
      <c r="L373" s="79"/>
      <c r="M373" s="79"/>
      <c r="N373" s="234"/>
      <c r="O373" s="40"/>
      <c r="V373" s="40"/>
      <c r="W373" s="79"/>
      <c r="X373" s="79"/>
    </row>
    <row r="374" spans="1:24" x14ac:dyDescent="0.25">
      <c r="A374" s="22"/>
      <c r="B374" s="64"/>
      <c r="D374" s="76"/>
      <c r="E374" s="76"/>
      <c r="F374" s="76"/>
      <c r="G374" s="76"/>
      <c r="H374" s="76"/>
      <c r="I374" s="76"/>
      <c r="J374" s="92"/>
      <c r="K374" s="79"/>
      <c r="L374" s="79"/>
      <c r="M374" s="79"/>
      <c r="N374" s="234"/>
      <c r="O374" s="40"/>
      <c r="V374" s="40"/>
      <c r="W374" s="79"/>
      <c r="X374" s="79"/>
    </row>
    <row r="375" spans="1:24" x14ac:dyDescent="0.25">
      <c r="A375" s="22"/>
      <c r="B375" s="64"/>
      <c r="D375" s="76"/>
      <c r="E375" s="76"/>
      <c r="F375" s="76"/>
      <c r="G375" s="76"/>
      <c r="H375" s="76"/>
      <c r="I375" s="76"/>
      <c r="J375" s="92"/>
      <c r="K375" s="79"/>
      <c r="L375" s="79"/>
      <c r="M375" s="79"/>
      <c r="N375" s="234"/>
      <c r="O375" s="40"/>
      <c r="V375" s="40"/>
      <c r="W375" s="79"/>
      <c r="X375" s="79"/>
    </row>
    <row r="376" spans="1:24" x14ac:dyDescent="0.25">
      <c r="A376" s="22"/>
      <c r="B376" s="64"/>
      <c r="D376" s="76"/>
      <c r="E376" s="76"/>
      <c r="F376" s="76"/>
      <c r="G376" s="76"/>
      <c r="H376" s="76"/>
      <c r="I376" s="76"/>
      <c r="J376" s="92"/>
      <c r="K376" s="79"/>
      <c r="L376" s="79"/>
      <c r="M376" s="79"/>
      <c r="N376" s="234"/>
      <c r="O376" s="40"/>
      <c r="V376" s="40"/>
      <c r="W376" s="79"/>
      <c r="X376" s="79"/>
    </row>
    <row r="377" spans="1:24" x14ac:dyDescent="0.25">
      <c r="A377" s="22"/>
      <c r="B377" s="64"/>
      <c r="D377" s="76"/>
      <c r="E377" s="76"/>
      <c r="F377" s="76"/>
      <c r="G377" s="76"/>
      <c r="H377" s="76"/>
      <c r="I377" s="76"/>
      <c r="J377" s="92"/>
      <c r="K377" s="79"/>
      <c r="L377" s="79"/>
      <c r="M377" s="79"/>
      <c r="N377" s="234"/>
      <c r="O377" s="40"/>
      <c r="V377" s="40"/>
      <c r="W377" s="79"/>
      <c r="X377" s="79"/>
    </row>
    <row r="378" spans="1:24" x14ac:dyDescent="0.25">
      <c r="A378" s="22"/>
      <c r="B378" s="64"/>
      <c r="D378" s="76"/>
      <c r="E378" s="76"/>
      <c r="F378" s="76"/>
      <c r="G378" s="76"/>
      <c r="H378" s="76"/>
      <c r="I378" s="76"/>
      <c r="J378" s="92"/>
      <c r="K378" s="79"/>
      <c r="L378" s="79"/>
      <c r="M378" s="79"/>
      <c r="N378" s="234"/>
      <c r="O378" s="40"/>
      <c r="V378" s="40"/>
      <c r="W378" s="79"/>
      <c r="X378" s="79"/>
    </row>
    <row r="379" spans="1:24" x14ac:dyDescent="0.25">
      <c r="A379" s="22"/>
      <c r="B379" s="64"/>
      <c r="D379" s="76"/>
      <c r="E379" s="76"/>
      <c r="F379" s="76"/>
      <c r="G379" s="76"/>
      <c r="H379" s="76"/>
      <c r="I379" s="76"/>
      <c r="J379" s="92"/>
      <c r="K379" s="79"/>
      <c r="L379" s="79"/>
      <c r="M379" s="79"/>
      <c r="N379" s="234"/>
      <c r="O379" s="40"/>
      <c r="V379" s="40"/>
      <c r="W379" s="79"/>
      <c r="X379" s="79"/>
    </row>
    <row r="380" spans="1:24" x14ac:dyDescent="0.25">
      <c r="A380" s="22"/>
      <c r="B380" s="64"/>
      <c r="D380" s="76"/>
      <c r="E380" s="76"/>
      <c r="F380" s="76"/>
      <c r="G380" s="76"/>
      <c r="H380" s="76"/>
      <c r="I380" s="76"/>
      <c r="J380" s="92"/>
      <c r="K380" s="79"/>
      <c r="L380" s="79"/>
      <c r="M380" s="79"/>
      <c r="N380" s="234"/>
      <c r="O380" s="40"/>
      <c r="V380" s="40"/>
      <c r="W380" s="79"/>
      <c r="X380" s="79"/>
    </row>
    <row r="381" spans="1:24" x14ac:dyDescent="0.25">
      <c r="A381" s="22"/>
      <c r="B381" s="64"/>
      <c r="D381" s="76"/>
      <c r="E381" s="76"/>
      <c r="F381" s="76"/>
      <c r="G381" s="76"/>
      <c r="H381" s="76"/>
      <c r="I381" s="76"/>
      <c r="J381" s="92"/>
      <c r="K381" s="79"/>
      <c r="L381" s="79"/>
      <c r="M381" s="79"/>
      <c r="N381" s="234"/>
      <c r="O381" s="40"/>
      <c r="V381" s="40"/>
      <c r="W381" s="79"/>
      <c r="X381" s="79"/>
    </row>
    <row r="382" spans="1:24" x14ac:dyDescent="0.25">
      <c r="A382" s="22"/>
      <c r="B382" s="64"/>
      <c r="D382" s="76"/>
      <c r="E382" s="76"/>
      <c r="F382" s="76"/>
      <c r="G382" s="76"/>
      <c r="H382" s="76"/>
      <c r="I382" s="76"/>
      <c r="J382" s="92"/>
      <c r="K382" s="79"/>
      <c r="L382" s="79"/>
      <c r="M382" s="79"/>
      <c r="N382" s="234"/>
      <c r="O382" s="40"/>
      <c r="V382" s="40"/>
      <c r="W382" s="79"/>
      <c r="X382" s="79"/>
    </row>
    <row r="383" spans="1:24" x14ac:dyDescent="0.25">
      <c r="A383" s="22"/>
      <c r="B383" s="64"/>
      <c r="D383" s="76"/>
      <c r="E383" s="76"/>
      <c r="F383" s="76"/>
      <c r="G383" s="76"/>
      <c r="H383" s="76"/>
      <c r="I383" s="76"/>
      <c r="J383" s="92"/>
      <c r="K383" s="79"/>
      <c r="L383" s="79"/>
      <c r="M383" s="79"/>
      <c r="N383" s="234"/>
      <c r="O383" s="40"/>
      <c r="V383" s="40"/>
      <c r="W383" s="79"/>
      <c r="X383" s="79"/>
    </row>
    <row r="384" spans="1:24" x14ac:dyDescent="0.25">
      <c r="A384" s="22"/>
      <c r="B384" s="64"/>
      <c r="D384" s="76"/>
      <c r="E384" s="76"/>
      <c r="F384" s="76"/>
      <c r="G384" s="76"/>
      <c r="H384" s="76"/>
      <c r="I384" s="76"/>
      <c r="J384" s="92"/>
      <c r="K384" s="79"/>
      <c r="L384" s="79"/>
      <c r="M384" s="79"/>
      <c r="N384" s="234"/>
      <c r="O384" s="40"/>
      <c r="V384" s="40"/>
      <c r="W384" s="79"/>
      <c r="X384" s="79"/>
    </row>
    <row r="385" spans="1:24" x14ac:dyDescent="0.25">
      <c r="A385" s="22"/>
      <c r="B385" s="64"/>
      <c r="D385" s="76"/>
      <c r="E385" s="76"/>
      <c r="F385" s="76"/>
      <c r="G385" s="76"/>
      <c r="H385" s="76"/>
      <c r="I385" s="76"/>
      <c r="J385" s="92"/>
      <c r="K385" s="79"/>
      <c r="L385" s="79"/>
      <c r="M385" s="79"/>
      <c r="N385" s="234"/>
      <c r="O385" s="40"/>
      <c r="V385" s="40"/>
      <c r="W385" s="79"/>
      <c r="X385" s="79"/>
    </row>
    <row r="386" spans="1:24" x14ac:dyDescent="0.25">
      <c r="A386" s="22"/>
      <c r="B386" s="64"/>
      <c r="D386" s="76"/>
      <c r="E386" s="76"/>
      <c r="F386" s="76"/>
      <c r="G386" s="76"/>
      <c r="H386" s="76"/>
      <c r="I386" s="76"/>
      <c r="J386" s="92"/>
      <c r="K386" s="79"/>
      <c r="L386" s="79"/>
      <c r="M386" s="79"/>
      <c r="N386" s="234"/>
      <c r="O386" s="40"/>
      <c r="V386" s="40"/>
      <c r="W386" s="79"/>
      <c r="X386" s="79"/>
    </row>
    <row r="387" spans="1:24" x14ac:dyDescent="0.25">
      <c r="A387" s="22"/>
      <c r="B387" s="64"/>
      <c r="D387" s="76"/>
      <c r="E387" s="76"/>
      <c r="F387" s="76"/>
      <c r="G387" s="76"/>
      <c r="H387" s="76"/>
      <c r="I387" s="76"/>
      <c r="J387" s="92"/>
      <c r="K387" s="79"/>
      <c r="L387" s="79"/>
      <c r="M387" s="79"/>
      <c r="N387" s="234"/>
      <c r="O387" s="40"/>
      <c r="V387" s="40"/>
      <c r="W387" s="79"/>
      <c r="X387" s="79"/>
    </row>
    <row r="388" spans="1:24" x14ac:dyDescent="0.25">
      <c r="A388" s="22"/>
      <c r="B388" s="64"/>
      <c r="D388" s="76"/>
      <c r="E388" s="76"/>
      <c r="F388" s="76"/>
      <c r="G388" s="76"/>
      <c r="H388" s="76"/>
      <c r="I388" s="76"/>
      <c r="J388" s="92"/>
      <c r="K388" s="79"/>
      <c r="L388" s="79"/>
      <c r="M388" s="79"/>
      <c r="N388" s="234"/>
      <c r="O388" s="40"/>
      <c r="V388" s="40"/>
      <c r="W388" s="79"/>
      <c r="X388" s="79"/>
    </row>
    <row r="389" spans="1:24" x14ac:dyDescent="0.25">
      <c r="A389" s="22"/>
      <c r="B389" s="64"/>
      <c r="D389" s="76"/>
      <c r="E389" s="76"/>
      <c r="F389" s="76"/>
      <c r="G389" s="76"/>
      <c r="H389" s="76"/>
      <c r="I389" s="76"/>
      <c r="J389" s="92"/>
      <c r="K389" s="79"/>
      <c r="L389" s="79"/>
      <c r="M389" s="79"/>
      <c r="N389" s="234"/>
      <c r="O389" s="40"/>
      <c r="V389" s="40"/>
      <c r="W389" s="79"/>
      <c r="X389" s="79"/>
    </row>
    <row r="390" spans="1:24" x14ac:dyDescent="0.25">
      <c r="A390" s="22"/>
      <c r="B390" s="64"/>
      <c r="D390" s="76"/>
      <c r="E390" s="76"/>
      <c r="F390" s="76"/>
      <c r="G390" s="76"/>
      <c r="H390" s="76"/>
      <c r="I390" s="76"/>
      <c r="J390" s="92"/>
      <c r="K390" s="79"/>
      <c r="L390" s="79"/>
      <c r="M390" s="79"/>
      <c r="N390" s="234"/>
      <c r="O390" s="40"/>
      <c r="V390" s="40"/>
      <c r="W390" s="79"/>
      <c r="X390" s="79"/>
    </row>
    <row r="391" spans="1:24" x14ac:dyDescent="0.25">
      <c r="A391" s="22"/>
      <c r="B391" s="64"/>
      <c r="D391" s="76"/>
      <c r="E391" s="76"/>
      <c r="F391" s="76"/>
      <c r="G391" s="76"/>
      <c r="H391" s="76"/>
      <c r="I391" s="76"/>
      <c r="J391" s="92"/>
      <c r="K391" s="79"/>
      <c r="L391" s="79"/>
      <c r="M391" s="79"/>
      <c r="N391" s="234"/>
      <c r="O391" s="40"/>
      <c r="V391" s="40"/>
      <c r="W391" s="79"/>
      <c r="X391" s="79"/>
    </row>
    <row r="392" spans="1:24" x14ac:dyDescent="0.25">
      <c r="A392" s="22"/>
      <c r="B392" s="64"/>
      <c r="D392" s="76"/>
      <c r="E392" s="76"/>
      <c r="F392" s="76"/>
      <c r="G392" s="76"/>
      <c r="H392" s="76"/>
      <c r="I392" s="76"/>
      <c r="J392" s="92"/>
      <c r="K392" s="79"/>
      <c r="L392" s="79"/>
      <c r="M392" s="79"/>
      <c r="N392" s="234"/>
      <c r="O392" s="40"/>
      <c r="V392" s="40"/>
      <c r="W392" s="79"/>
      <c r="X392" s="79"/>
    </row>
    <row r="393" spans="1:24" x14ac:dyDescent="0.25">
      <c r="A393" s="22"/>
      <c r="B393" s="64"/>
      <c r="D393" s="76"/>
      <c r="E393" s="76"/>
      <c r="F393" s="76"/>
      <c r="G393" s="76"/>
      <c r="H393" s="76"/>
      <c r="I393" s="76"/>
      <c r="J393" s="92"/>
      <c r="K393" s="79"/>
      <c r="L393" s="79"/>
      <c r="M393" s="79"/>
      <c r="N393" s="234"/>
      <c r="O393" s="40"/>
      <c r="V393" s="40"/>
      <c r="W393" s="79"/>
      <c r="X393" s="79"/>
    </row>
    <row r="394" spans="1:24" x14ac:dyDescent="0.25">
      <c r="A394" s="22"/>
      <c r="B394" s="64"/>
      <c r="D394" s="76"/>
      <c r="E394" s="76"/>
      <c r="F394" s="76"/>
      <c r="G394" s="76"/>
      <c r="H394" s="76"/>
      <c r="I394" s="76"/>
      <c r="J394" s="92"/>
      <c r="K394" s="79"/>
      <c r="L394" s="79"/>
      <c r="M394" s="79"/>
      <c r="N394" s="234"/>
      <c r="O394" s="40"/>
      <c r="V394" s="40"/>
      <c r="W394" s="79"/>
      <c r="X394" s="79"/>
    </row>
    <row r="395" spans="1:24" x14ac:dyDescent="0.25">
      <c r="A395" s="22"/>
      <c r="B395" s="64"/>
      <c r="D395" s="76"/>
      <c r="E395" s="76"/>
      <c r="F395" s="76"/>
      <c r="G395" s="76"/>
      <c r="H395" s="76"/>
      <c r="I395" s="76"/>
      <c r="J395" s="92"/>
      <c r="K395" s="79"/>
      <c r="L395" s="79"/>
      <c r="M395" s="79"/>
      <c r="N395" s="234"/>
      <c r="O395" s="40"/>
      <c r="V395" s="40"/>
      <c r="W395" s="79"/>
      <c r="X395" s="79"/>
    </row>
    <row r="396" spans="1:24" x14ac:dyDescent="0.25">
      <c r="A396" s="22"/>
      <c r="B396" s="64"/>
      <c r="D396" s="76"/>
      <c r="E396" s="76"/>
      <c r="F396" s="76"/>
      <c r="G396" s="76"/>
      <c r="H396" s="76"/>
      <c r="I396" s="76"/>
      <c r="J396" s="92"/>
      <c r="K396" s="79"/>
      <c r="L396" s="79"/>
      <c r="M396" s="79"/>
      <c r="N396" s="234"/>
      <c r="O396" s="40"/>
      <c r="V396" s="40"/>
      <c r="W396" s="79"/>
      <c r="X396" s="79"/>
    </row>
    <row r="397" spans="1:24" x14ac:dyDescent="0.25">
      <c r="A397" s="22"/>
      <c r="B397" s="64"/>
      <c r="D397" s="76"/>
      <c r="E397" s="76"/>
      <c r="F397" s="76"/>
      <c r="G397" s="76"/>
      <c r="H397" s="76"/>
      <c r="I397" s="76"/>
      <c r="J397" s="92"/>
      <c r="K397" s="79"/>
      <c r="L397" s="79"/>
      <c r="M397" s="79"/>
      <c r="N397" s="234"/>
      <c r="O397" s="40"/>
      <c r="V397" s="40"/>
      <c r="W397" s="79"/>
      <c r="X397" s="79"/>
    </row>
    <row r="398" spans="1:24" x14ac:dyDescent="0.25">
      <c r="A398" s="22"/>
      <c r="B398" s="64"/>
      <c r="D398" s="76"/>
      <c r="E398" s="76"/>
      <c r="F398" s="76"/>
      <c r="G398" s="76"/>
      <c r="H398" s="76"/>
      <c r="I398" s="76"/>
      <c r="J398" s="92"/>
      <c r="K398" s="79"/>
      <c r="L398" s="79"/>
      <c r="M398" s="79"/>
      <c r="N398" s="234"/>
      <c r="O398" s="40"/>
      <c r="V398" s="40"/>
      <c r="W398" s="79"/>
      <c r="X398" s="79"/>
    </row>
    <row r="399" spans="1:24" x14ac:dyDescent="0.25">
      <c r="A399" s="22"/>
      <c r="B399" s="64"/>
      <c r="D399" s="76"/>
      <c r="E399" s="76"/>
      <c r="F399" s="76"/>
      <c r="G399" s="76"/>
      <c r="H399" s="76"/>
      <c r="I399" s="76"/>
      <c r="J399" s="92"/>
      <c r="K399" s="79"/>
      <c r="L399" s="79"/>
      <c r="M399" s="79"/>
      <c r="N399" s="234"/>
      <c r="O399" s="40"/>
      <c r="V399" s="40"/>
      <c r="W399" s="79"/>
      <c r="X399" s="79"/>
    </row>
    <row r="400" spans="1:24" x14ac:dyDescent="0.25">
      <c r="A400" s="22"/>
      <c r="B400" s="64"/>
      <c r="D400" s="76"/>
      <c r="E400" s="76"/>
      <c r="F400" s="76"/>
      <c r="G400" s="76"/>
      <c r="H400" s="76"/>
      <c r="I400" s="76"/>
      <c r="J400" s="92"/>
      <c r="K400" s="79"/>
      <c r="L400" s="79"/>
      <c r="M400" s="79"/>
      <c r="N400" s="234"/>
      <c r="O400" s="40"/>
      <c r="V400" s="40"/>
      <c r="W400" s="79"/>
      <c r="X400" s="79"/>
    </row>
    <row r="401" spans="1:24" x14ac:dyDescent="0.25">
      <c r="A401" s="22"/>
      <c r="B401" s="64"/>
      <c r="D401" s="76"/>
      <c r="E401" s="76"/>
      <c r="F401" s="76"/>
      <c r="G401" s="76"/>
      <c r="H401" s="76"/>
      <c r="I401" s="76"/>
      <c r="J401" s="92"/>
      <c r="K401" s="79"/>
      <c r="L401" s="79"/>
      <c r="M401" s="79"/>
      <c r="N401" s="234"/>
      <c r="O401" s="40"/>
      <c r="V401" s="40"/>
      <c r="W401" s="79"/>
      <c r="X401" s="79"/>
    </row>
    <row r="402" spans="1:24" x14ac:dyDescent="0.25">
      <c r="A402" s="22"/>
      <c r="B402" s="64"/>
      <c r="D402" s="76"/>
      <c r="E402" s="76"/>
      <c r="F402" s="76"/>
      <c r="G402" s="76"/>
      <c r="H402" s="76"/>
      <c r="I402" s="76"/>
      <c r="J402" s="92"/>
      <c r="K402" s="79"/>
      <c r="L402" s="79"/>
      <c r="M402" s="79"/>
      <c r="N402" s="234"/>
      <c r="O402" s="40"/>
      <c r="V402" s="40"/>
      <c r="W402" s="79"/>
      <c r="X402" s="79"/>
    </row>
    <row r="403" spans="1:24" x14ac:dyDescent="0.25">
      <c r="A403" s="22"/>
      <c r="B403" s="64"/>
      <c r="D403" s="76"/>
      <c r="E403" s="76"/>
      <c r="F403" s="76"/>
      <c r="G403" s="76"/>
      <c r="H403" s="76"/>
      <c r="I403" s="76"/>
      <c r="J403" s="92"/>
      <c r="K403" s="79"/>
      <c r="L403" s="79"/>
      <c r="M403" s="79"/>
      <c r="N403" s="234"/>
      <c r="O403" s="40"/>
      <c r="V403" s="40"/>
      <c r="W403" s="79"/>
      <c r="X403" s="79"/>
    </row>
    <row r="404" spans="1:24" x14ac:dyDescent="0.25">
      <c r="A404" s="22"/>
      <c r="B404" s="64"/>
      <c r="D404" s="76"/>
      <c r="E404" s="76"/>
      <c r="F404" s="76"/>
      <c r="G404" s="76"/>
      <c r="H404" s="76"/>
      <c r="I404" s="76"/>
      <c r="J404" s="92"/>
      <c r="K404" s="79"/>
      <c r="L404" s="79"/>
      <c r="M404" s="79"/>
      <c r="N404" s="234"/>
      <c r="O404" s="40"/>
      <c r="V404" s="40"/>
      <c r="W404" s="79"/>
      <c r="X404" s="79"/>
    </row>
    <row r="405" spans="1:24" x14ac:dyDescent="0.25">
      <c r="A405" s="22"/>
      <c r="B405" s="64"/>
      <c r="D405" s="76"/>
      <c r="E405" s="76"/>
      <c r="F405" s="76"/>
      <c r="G405" s="76"/>
      <c r="H405" s="76"/>
      <c r="I405" s="76"/>
      <c r="J405" s="92"/>
      <c r="K405" s="79"/>
      <c r="L405" s="79"/>
      <c r="M405" s="79"/>
      <c r="N405" s="234"/>
      <c r="O405" s="40"/>
      <c r="V405" s="40"/>
      <c r="W405" s="79"/>
      <c r="X405" s="79"/>
    </row>
    <row r="406" spans="1:24" x14ac:dyDescent="0.25">
      <c r="A406" s="22"/>
      <c r="B406" s="64"/>
      <c r="D406" s="76"/>
      <c r="E406" s="76"/>
      <c r="F406" s="76"/>
      <c r="G406" s="76"/>
      <c r="H406" s="76"/>
      <c r="I406" s="76"/>
      <c r="J406" s="92"/>
      <c r="K406" s="79"/>
      <c r="L406" s="79"/>
      <c r="M406" s="79"/>
      <c r="N406" s="234"/>
      <c r="O406" s="40"/>
      <c r="V406" s="40"/>
      <c r="W406" s="79"/>
      <c r="X406" s="79"/>
    </row>
    <row r="407" spans="1:24" x14ac:dyDescent="0.25">
      <c r="A407" s="22"/>
      <c r="B407" s="64"/>
      <c r="D407" s="76"/>
      <c r="E407" s="76"/>
      <c r="F407" s="76"/>
      <c r="G407" s="76"/>
      <c r="H407" s="76"/>
      <c r="I407" s="76"/>
      <c r="J407" s="92"/>
      <c r="K407" s="79"/>
      <c r="L407" s="79"/>
      <c r="M407" s="79"/>
      <c r="N407" s="234"/>
      <c r="O407" s="40"/>
      <c r="V407" s="40"/>
      <c r="W407" s="79"/>
      <c r="X407" s="79"/>
    </row>
    <row r="408" spans="1:24" x14ac:dyDescent="0.25">
      <c r="A408" s="22"/>
      <c r="B408" s="64"/>
      <c r="D408" s="76"/>
      <c r="E408" s="76"/>
      <c r="F408" s="76"/>
      <c r="G408" s="76"/>
      <c r="H408" s="76"/>
      <c r="I408" s="76"/>
      <c r="J408" s="92"/>
      <c r="K408" s="79"/>
      <c r="L408" s="79"/>
      <c r="M408" s="79"/>
      <c r="N408" s="234"/>
      <c r="O408" s="40"/>
      <c r="V408" s="40"/>
      <c r="W408" s="79"/>
      <c r="X408" s="79"/>
    </row>
    <row r="409" spans="1:24" x14ac:dyDescent="0.25">
      <c r="A409" s="22"/>
      <c r="B409" s="64"/>
      <c r="D409" s="76"/>
      <c r="E409" s="76"/>
      <c r="F409" s="76"/>
      <c r="G409" s="76"/>
      <c r="H409" s="76"/>
      <c r="I409" s="76"/>
      <c r="J409" s="92"/>
      <c r="K409" s="79"/>
      <c r="L409" s="79"/>
      <c r="M409" s="79"/>
      <c r="N409" s="234"/>
      <c r="O409" s="40"/>
      <c r="V409" s="40"/>
      <c r="W409" s="79"/>
      <c r="X409" s="79"/>
    </row>
    <row r="410" spans="1:24" x14ac:dyDescent="0.25">
      <c r="A410" s="22"/>
      <c r="B410" s="64"/>
      <c r="D410" s="76"/>
      <c r="E410" s="76"/>
      <c r="F410" s="76"/>
      <c r="G410" s="76"/>
      <c r="H410" s="76"/>
      <c r="I410" s="76"/>
      <c r="J410" s="92"/>
      <c r="K410" s="79"/>
      <c r="L410" s="79"/>
      <c r="M410" s="79"/>
      <c r="N410" s="234"/>
      <c r="O410" s="40"/>
      <c r="V410" s="40"/>
      <c r="W410" s="79"/>
      <c r="X410" s="79"/>
    </row>
    <row r="411" spans="1:24" x14ac:dyDescent="0.25">
      <c r="A411" s="22"/>
      <c r="B411" s="64"/>
      <c r="D411" s="76"/>
      <c r="E411" s="76"/>
      <c r="F411" s="76"/>
      <c r="G411" s="76"/>
      <c r="H411" s="76"/>
      <c r="I411" s="76"/>
      <c r="J411" s="92"/>
      <c r="K411" s="79"/>
      <c r="L411" s="79"/>
      <c r="M411" s="79"/>
      <c r="N411" s="234"/>
      <c r="O411" s="40"/>
      <c r="V411" s="40"/>
      <c r="W411" s="79"/>
      <c r="X411" s="79"/>
    </row>
    <row r="412" spans="1:24" x14ac:dyDescent="0.25">
      <c r="A412" s="22"/>
      <c r="B412" s="64"/>
      <c r="D412" s="76"/>
      <c r="E412" s="76"/>
      <c r="F412" s="76"/>
      <c r="G412" s="76"/>
      <c r="H412" s="76"/>
      <c r="I412" s="76"/>
      <c r="J412" s="92"/>
      <c r="K412" s="79"/>
      <c r="L412" s="79"/>
      <c r="M412" s="79"/>
      <c r="N412" s="234"/>
      <c r="O412" s="40"/>
      <c r="V412" s="40"/>
      <c r="W412" s="79"/>
      <c r="X412" s="79"/>
    </row>
    <row r="413" spans="1:24" x14ac:dyDescent="0.25">
      <c r="A413" s="22"/>
      <c r="B413" s="64"/>
      <c r="D413" s="76"/>
      <c r="E413" s="76"/>
      <c r="F413" s="76"/>
      <c r="G413" s="76"/>
      <c r="H413" s="76"/>
      <c r="I413" s="76"/>
      <c r="J413" s="92"/>
      <c r="K413" s="79"/>
      <c r="L413" s="79"/>
      <c r="M413" s="79"/>
      <c r="N413" s="234"/>
      <c r="O413" s="40"/>
      <c r="V413" s="40"/>
      <c r="W413" s="79"/>
      <c r="X413" s="79"/>
    </row>
    <row r="414" spans="1:24" x14ac:dyDescent="0.25">
      <c r="A414" s="22"/>
      <c r="B414" s="64"/>
      <c r="D414" s="76"/>
      <c r="E414" s="76"/>
      <c r="F414" s="76"/>
      <c r="G414" s="76"/>
      <c r="H414" s="76"/>
      <c r="I414" s="76"/>
      <c r="J414" s="92"/>
      <c r="K414" s="79"/>
      <c r="L414" s="79"/>
      <c r="M414" s="79"/>
      <c r="N414" s="234"/>
      <c r="O414" s="40"/>
      <c r="V414" s="40"/>
      <c r="W414" s="79"/>
      <c r="X414" s="79"/>
    </row>
    <row r="415" spans="1:24" x14ac:dyDescent="0.25">
      <c r="A415" s="22"/>
      <c r="B415" s="64"/>
      <c r="D415" s="76"/>
      <c r="E415" s="76"/>
      <c r="F415" s="76"/>
      <c r="G415" s="76"/>
      <c r="H415" s="76"/>
      <c r="I415" s="76"/>
      <c r="J415" s="92"/>
      <c r="K415" s="79"/>
      <c r="L415" s="79"/>
      <c r="M415" s="79"/>
      <c r="N415" s="234"/>
      <c r="O415" s="40"/>
      <c r="V415" s="40"/>
      <c r="W415" s="79"/>
      <c r="X415" s="79"/>
    </row>
    <row r="416" spans="1:24" x14ac:dyDescent="0.25">
      <c r="A416" s="22"/>
      <c r="B416" s="64"/>
      <c r="D416" s="76"/>
      <c r="E416" s="76"/>
      <c r="F416" s="76"/>
      <c r="G416" s="76"/>
      <c r="H416" s="76"/>
      <c r="I416" s="76"/>
      <c r="J416" s="92"/>
      <c r="K416" s="79"/>
      <c r="L416" s="79"/>
      <c r="M416" s="79"/>
      <c r="N416" s="234"/>
      <c r="O416" s="40"/>
      <c r="V416" s="40"/>
      <c r="W416" s="79"/>
      <c r="X416" s="79"/>
    </row>
    <row r="417" spans="1:24" x14ac:dyDescent="0.25">
      <c r="A417" s="22"/>
      <c r="B417" s="64"/>
      <c r="D417" s="76"/>
      <c r="E417" s="76"/>
      <c r="F417" s="76"/>
      <c r="G417" s="76"/>
      <c r="H417" s="76"/>
      <c r="I417" s="76"/>
      <c r="J417" s="92"/>
      <c r="K417" s="79"/>
      <c r="L417" s="79"/>
      <c r="M417" s="79"/>
      <c r="N417" s="234"/>
      <c r="O417" s="40"/>
      <c r="V417" s="40"/>
      <c r="W417" s="79"/>
      <c r="X417" s="79"/>
    </row>
    <row r="418" spans="1:24" x14ac:dyDescent="0.25">
      <c r="A418" s="22"/>
      <c r="B418" s="64"/>
      <c r="D418" s="76"/>
      <c r="E418" s="76"/>
      <c r="F418" s="76"/>
      <c r="G418" s="76"/>
      <c r="H418" s="76"/>
      <c r="I418" s="76"/>
      <c r="J418" s="92"/>
      <c r="K418" s="79"/>
      <c r="L418" s="79"/>
      <c r="M418" s="79"/>
      <c r="N418" s="234"/>
      <c r="O418" s="40"/>
      <c r="V418" s="40"/>
      <c r="W418" s="79"/>
      <c r="X418" s="79"/>
    </row>
    <row r="419" spans="1:24" x14ac:dyDescent="0.25">
      <c r="A419" s="22"/>
      <c r="B419" s="64"/>
      <c r="D419" s="76"/>
      <c r="E419" s="76"/>
      <c r="F419" s="76"/>
      <c r="G419" s="76"/>
      <c r="H419" s="76"/>
      <c r="I419" s="76"/>
      <c r="J419" s="92"/>
      <c r="K419" s="79"/>
      <c r="L419" s="79"/>
      <c r="M419" s="79"/>
      <c r="N419" s="234"/>
      <c r="O419" s="40"/>
      <c r="V419" s="40"/>
      <c r="W419" s="79"/>
      <c r="X419" s="79"/>
    </row>
    <row r="420" spans="1:24" x14ac:dyDescent="0.25">
      <c r="A420" s="22"/>
      <c r="B420" s="64"/>
      <c r="D420" s="76"/>
      <c r="E420" s="76"/>
      <c r="F420" s="76"/>
      <c r="G420" s="76"/>
      <c r="H420" s="76"/>
      <c r="I420" s="76"/>
      <c r="J420" s="92"/>
      <c r="K420" s="79"/>
      <c r="L420" s="79"/>
      <c r="M420" s="79"/>
      <c r="N420" s="234"/>
      <c r="O420" s="40"/>
      <c r="V420" s="40"/>
      <c r="W420" s="79"/>
      <c r="X420" s="79"/>
    </row>
    <row r="421" spans="1:24" x14ac:dyDescent="0.25">
      <c r="A421" s="22"/>
      <c r="B421" s="64"/>
      <c r="D421" s="76"/>
      <c r="E421" s="76"/>
      <c r="F421" s="76"/>
      <c r="G421" s="76"/>
      <c r="H421" s="76"/>
      <c r="I421" s="76"/>
      <c r="J421" s="92"/>
      <c r="K421" s="79"/>
      <c r="L421" s="79"/>
      <c r="M421" s="79"/>
      <c r="N421" s="234"/>
      <c r="O421" s="40"/>
      <c r="V421" s="40"/>
      <c r="W421" s="79"/>
      <c r="X421" s="79"/>
    </row>
    <row r="422" spans="1:24" x14ac:dyDescent="0.25">
      <c r="A422" s="22"/>
      <c r="B422" s="64"/>
      <c r="D422" s="76"/>
      <c r="E422" s="76"/>
      <c r="F422" s="76"/>
      <c r="G422" s="76"/>
      <c r="H422" s="76"/>
      <c r="I422" s="76"/>
      <c r="J422" s="92"/>
      <c r="K422" s="79"/>
      <c r="L422" s="79"/>
      <c r="M422" s="79"/>
      <c r="N422" s="234"/>
      <c r="O422" s="40"/>
      <c r="V422" s="40"/>
      <c r="W422" s="79"/>
      <c r="X422" s="79"/>
    </row>
    <row r="423" spans="1:24" x14ac:dyDescent="0.25">
      <c r="A423" s="22"/>
      <c r="B423" s="64"/>
      <c r="D423" s="76"/>
      <c r="E423" s="76"/>
      <c r="F423" s="76"/>
      <c r="G423" s="76"/>
      <c r="H423" s="76"/>
      <c r="I423" s="76"/>
      <c r="J423" s="92"/>
      <c r="K423" s="79"/>
      <c r="L423" s="79"/>
      <c r="M423" s="79"/>
      <c r="N423" s="234"/>
      <c r="O423" s="40"/>
      <c r="V423" s="40"/>
      <c r="W423" s="79"/>
      <c r="X423" s="79"/>
    </row>
    <row r="424" spans="1:24" x14ac:dyDescent="0.25">
      <c r="A424" s="22"/>
      <c r="B424" s="64"/>
      <c r="D424" s="76"/>
      <c r="E424" s="76"/>
      <c r="F424" s="76"/>
      <c r="G424" s="76"/>
      <c r="H424" s="76"/>
      <c r="I424" s="76"/>
      <c r="J424" s="92"/>
      <c r="K424" s="79"/>
      <c r="L424" s="79"/>
      <c r="M424" s="79"/>
      <c r="N424" s="234"/>
      <c r="O424" s="40"/>
      <c r="V424" s="40"/>
      <c r="W424" s="79"/>
      <c r="X424" s="79"/>
    </row>
    <row r="425" spans="1:24" x14ac:dyDescent="0.25">
      <c r="A425" s="22"/>
      <c r="B425" s="64"/>
      <c r="D425" s="76"/>
      <c r="E425" s="76"/>
      <c r="F425" s="76"/>
      <c r="G425" s="76"/>
      <c r="H425" s="76"/>
      <c r="I425" s="76"/>
      <c r="J425" s="92"/>
      <c r="K425" s="79"/>
      <c r="L425" s="79"/>
      <c r="M425" s="79"/>
      <c r="N425" s="234"/>
      <c r="O425" s="40"/>
      <c r="V425" s="40"/>
      <c r="W425" s="79"/>
      <c r="X425" s="79"/>
    </row>
    <row r="426" spans="1:24" x14ac:dyDescent="0.25">
      <c r="A426" s="22"/>
      <c r="B426" s="64"/>
      <c r="D426" s="76"/>
      <c r="E426" s="76"/>
      <c r="F426" s="76"/>
      <c r="G426" s="76"/>
      <c r="H426" s="76"/>
      <c r="I426" s="76"/>
      <c r="J426" s="92"/>
      <c r="K426" s="79"/>
      <c r="L426" s="79"/>
      <c r="M426" s="79"/>
      <c r="N426" s="234"/>
      <c r="O426" s="40"/>
      <c r="V426" s="40"/>
      <c r="W426" s="79"/>
      <c r="X426" s="79"/>
    </row>
    <row r="427" spans="1:24" x14ac:dyDescent="0.25">
      <c r="A427" s="22"/>
      <c r="B427" s="64"/>
      <c r="D427" s="76"/>
      <c r="E427" s="76"/>
      <c r="F427" s="76"/>
      <c r="G427" s="76"/>
      <c r="H427" s="76"/>
      <c r="I427" s="76"/>
      <c r="J427" s="92"/>
      <c r="K427" s="79"/>
      <c r="L427" s="79"/>
      <c r="M427" s="79"/>
      <c r="N427" s="234"/>
      <c r="O427" s="40"/>
      <c r="V427" s="40"/>
      <c r="W427" s="79"/>
      <c r="X427" s="79"/>
    </row>
    <row r="428" spans="1:24" x14ac:dyDescent="0.25">
      <c r="A428" s="22"/>
      <c r="B428" s="64"/>
      <c r="D428" s="76"/>
      <c r="E428" s="76"/>
      <c r="F428" s="76"/>
      <c r="G428" s="76"/>
      <c r="H428" s="76"/>
      <c r="I428" s="76"/>
      <c r="J428" s="92"/>
      <c r="K428" s="79"/>
      <c r="L428" s="79"/>
      <c r="M428" s="79"/>
      <c r="N428" s="234"/>
      <c r="O428" s="40"/>
      <c r="V428" s="40"/>
      <c r="W428" s="79"/>
      <c r="X428" s="79"/>
    </row>
    <row r="429" spans="1:24" x14ac:dyDescent="0.25">
      <c r="A429" s="22"/>
      <c r="B429" s="64"/>
      <c r="D429" s="76"/>
      <c r="E429" s="76"/>
      <c r="F429" s="76"/>
      <c r="G429" s="76"/>
      <c r="H429" s="76"/>
      <c r="I429" s="76"/>
      <c r="J429" s="92"/>
      <c r="K429" s="79"/>
      <c r="L429" s="79"/>
      <c r="M429" s="79"/>
      <c r="N429" s="234"/>
      <c r="O429" s="40"/>
      <c r="V429" s="40"/>
      <c r="W429" s="79"/>
      <c r="X429" s="79"/>
    </row>
    <row r="430" spans="1:24" x14ac:dyDescent="0.25">
      <c r="A430" s="22"/>
      <c r="B430" s="64"/>
      <c r="D430" s="76"/>
      <c r="E430" s="76"/>
      <c r="F430" s="76"/>
      <c r="G430" s="76"/>
      <c r="H430" s="76"/>
      <c r="I430" s="76"/>
      <c r="J430" s="92"/>
      <c r="K430" s="79"/>
      <c r="L430" s="79"/>
      <c r="M430" s="79"/>
      <c r="N430" s="234"/>
      <c r="O430" s="40"/>
      <c r="V430" s="40"/>
      <c r="W430" s="79"/>
      <c r="X430" s="79"/>
    </row>
    <row r="431" spans="1:24" x14ac:dyDescent="0.25">
      <c r="A431" s="22"/>
      <c r="B431" s="64"/>
      <c r="D431" s="76"/>
      <c r="E431" s="76"/>
      <c r="F431" s="76"/>
      <c r="G431" s="76"/>
      <c r="H431" s="76"/>
      <c r="I431" s="76"/>
      <c r="J431" s="92"/>
      <c r="K431" s="79"/>
      <c r="L431" s="79"/>
      <c r="M431" s="79"/>
      <c r="N431" s="234"/>
      <c r="O431" s="40"/>
      <c r="V431" s="40"/>
      <c r="W431" s="79"/>
      <c r="X431" s="79"/>
    </row>
    <row r="432" spans="1:24" x14ac:dyDescent="0.25">
      <c r="A432" s="22"/>
      <c r="B432" s="64"/>
      <c r="D432" s="76"/>
      <c r="E432" s="76"/>
      <c r="F432" s="76"/>
      <c r="G432" s="76"/>
      <c r="H432" s="76"/>
      <c r="I432" s="76"/>
      <c r="J432" s="92"/>
      <c r="K432" s="79"/>
      <c r="L432" s="79"/>
      <c r="M432" s="79"/>
      <c r="N432" s="234"/>
      <c r="O432" s="40"/>
      <c r="V432" s="40"/>
      <c r="W432" s="79"/>
      <c r="X432" s="79"/>
    </row>
    <row r="433" spans="1:24" x14ac:dyDescent="0.25">
      <c r="A433" s="22"/>
      <c r="B433" s="64"/>
      <c r="D433" s="76"/>
      <c r="E433" s="76"/>
      <c r="F433" s="76"/>
      <c r="G433" s="76"/>
      <c r="H433" s="76"/>
      <c r="I433" s="76"/>
      <c r="J433" s="92"/>
      <c r="K433" s="79"/>
      <c r="L433" s="79"/>
      <c r="M433" s="79"/>
      <c r="N433" s="234"/>
      <c r="O433" s="40"/>
      <c r="V433" s="40"/>
      <c r="W433" s="79"/>
      <c r="X433" s="79"/>
    </row>
    <row r="434" spans="1:24" x14ac:dyDescent="0.25">
      <c r="A434" s="22"/>
      <c r="B434" s="64"/>
      <c r="D434" s="76"/>
      <c r="E434" s="76"/>
      <c r="F434" s="76"/>
      <c r="G434" s="76"/>
      <c r="H434" s="76"/>
      <c r="I434" s="76"/>
      <c r="J434" s="92"/>
      <c r="K434" s="79"/>
      <c r="L434" s="79"/>
      <c r="M434" s="79"/>
      <c r="N434" s="234"/>
      <c r="O434" s="40"/>
      <c r="V434" s="40"/>
      <c r="W434" s="79"/>
      <c r="X434" s="79"/>
    </row>
    <row r="435" spans="1:24" x14ac:dyDescent="0.25">
      <c r="A435" s="22"/>
      <c r="B435" s="64"/>
      <c r="D435" s="76"/>
      <c r="E435" s="76"/>
      <c r="F435" s="76"/>
      <c r="G435" s="76"/>
      <c r="H435" s="76"/>
      <c r="I435" s="76"/>
      <c r="J435" s="92"/>
      <c r="K435" s="79"/>
      <c r="L435" s="79"/>
      <c r="M435" s="79"/>
      <c r="N435" s="234"/>
      <c r="O435" s="40"/>
      <c r="V435" s="40"/>
      <c r="W435" s="79"/>
      <c r="X435" s="79"/>
    </row>
    <row r="436" spans="1:24" x14ac:dyDescent="0.25">
      <c r="A436" s="22"/>
      <c r="B436" s="64"/>
      <c r="D436" s="76"/>
      <c r="E436" s="76"/>
      <c r="F436" s="76"/>
      <c r="G436" s="76"/>
      <c r="H436" s="76"/>
      <c r="I436" s="76"/>
      <c r="J436" s="92"/>
      <c r="K436" s="79"/>
      <c r="L436" s="79"/>
      <c r="M436" s="79"/>
      <c r="N436" s="234"/>
      <c r="O436" s="40"/>
      <c r="V436" s="40"/>
      <c r="W436" s="79"/>
      <c r="X436" s="79"/>
    </row>
    <row r="437" spans="1:24" x14ac:dyDescent="0.25">
      <c r="A437" s="22"/>
      <c r="B437" s="64"/>
      <c r="D437" s="76"/>
      <c r="E437" s="76"/>
      <c r="F437" s="76"/>
      <c r="G437" s="76"/>
      <c r="H437" s="76"/>
      <c r="I437" s="76"/>
      <c r="J437" s="92"/>
      <c r="K437" s="79"/>
      <c r="L437" s="79"/>
      <c r="M437" s="79"/>
      <c r="N437" s="234"/>
      <c r="O437" s="40"/>
      <c r="V437" s="40"/>
      <c r="W437" s="79"/>
      <c r="X437" s="79"/>
    </row>
    <row r="438" spans="1:24" x14ac:dyDescent="0.25">
      <c r="A438" s="22"/>
      <c r="B438" s="64"/>
      <c r="D438" s="76"/>
      <c r="E438" s="76"/>
      <c r="F438" s="76"/>
      <c r="G438" s="76"/>
      <c r="H438" s="76"/>
      <c r="I438" s="76"/>
      <c r="J438" s="92"/>
      <c r="K438" s="79"/>
      <c r="L438" s="79"/>
      <c r="M438" s="79"/>
      <c r="N438" s="234"/>
      <c r="O438" s="40"/>
      <c r="V438" s="40"/>
      <c r="W438" s="79"/>
      <c r="X438" s="79"/>
    </row>
    <row r="439" spans="1:24" x14ac:dyDescent="0.25">
      <c r="A439" s="22"/>
      <c r="B439" s="64"/>
      <c r="D439" s="76"/>
      <c r="E439" s="76"/>
      <c r="F439" s="76"/>
      <c r="G439" s="76"/>
      <c r="H439" s="76"/>
      <c r="I439" s="76"/>
      <c r="J439" s="92"/>
      <c r="K439" s="79"/>
      <c r="L439" s="79"/>
      <c r="M439" s="79"/>
      <c r="N439" s="234"/>
      <c r="O439" s="40"/>
      <c r="V439" s="40"/>
      <c r="W439" s="79"/>
      <c r="X439" s="79"/>
    </row>
    <row r="440" spans="1:24" x14ac:dyDescent="0.25">
      <c r="A440" s="22"/>
      <c r="B440" s="64"/>
      <c r="D440" s="76"/>
      <c r="E440" s="76"/>
      <c r="F440" s="76"/>
      <c r="G440" s="76"/>
      <c r="H440" s="76"/>
      <c r="I440" s="76"/>
      <c r="J440" s="92"/>
      <c r="K440" s="79"/>
      <c r="L440" s="79"/>
      <c r="M440" s="79"/>
      <c r="N440" s="234"/>
      <c r="O440" s="40"/>
      <c r="V440" s="40"/>
      <c r="W440" s="79"/>
      <c r="X440" s="79"/>
    </row>
    <row r="441" spans="1:24" x14ac:dyDescent="0.25">
      <c r="A441" s="22"/>
      <c r="B441" s="64"/>
      <c r="D441" s="76"/>
      <c r="E441" s="76"/>
      <c r="F441" s="76"/>
      <c r="G441" s="76"/>
      <c r="H441" s="76"/>
      <c r="I441" s="76"/>
      <c r="J441" s="92"/>
      <c r="K441" s="79"/>
      <c r="L441" s="79"/>
      <c r="M441" s="79"/>
      <c r="N441" s="234"/>
      <c r="O441" s="41"/>
      <c r="V441" s="40"/>
      <c r="W441" s="79"/>
      <c r="X441" s="79"/>
    </row>
    <row r="442" spans="1:24" x14ac:dyDescent="0.25">
      <c r="A442" s="22"/>
      <c r="B442" s="64"/>
      <c r="D442" s="76"/>
      <c r="E442" s="76"/>
      <c r="F442" s="76"/>
      <c r="G442" s="76"/>
      <c r="H442" s="76"/>
      <c r="I442" s="76"/>
      <c r="J442" s="92"/>
      <c r="K442" s="79"/>
      <c r="L442" s="79"/>
      <c r="M442" s="79"/>
      <c r="N442" s="234"/>
      <c r="O442" s="41"/>
      <c r="V442" s="40"/>
      <c r="W442" s="79"/>
      <c r="X442" s="79"/>
    </row>
    <row r="443" spans="1:24" x14ac:dyDescent="0.25">
      <c r="A443" s="22"/>
      <c r="B443" s="64"/>
      <c r="D443" s="76"/>
      <c r="E443" s="76"/>
      <c r="F443" s="76"/>
      <c r="G443" s="76"/>
      <c r="H443" s="76"/>
      <c r="I443" s="76"/>
      <c r="J443" s="92"/>
      <c r="K443" s="79"/>
      <c r="L443" s="79"/>
      <c r="M443" s="79"/>
      <c r="N443" s="234"/>
      <c r="O443" s="41"/>
      <c r="V443" s="40"/>
      <c r="W443" s="79"/>
      <c r="X443" s="79"/>
    </row>
    <row r="444" spans="1:24" x14ac:dyDescent="0.25">
      <c r="A444" s="22"/>
      <c r="B444" s="64"/>
      <c r="D444" s="76"/>
      <c r="E444" s="76"/>
      <c r="F444" s="76"/>
      <c r="G444" s="76"/>
      <c r="H444" s="76"/>
      <c r="I444" s="76"/>
      <c r="J444" s="92"/>
      <c r="K444" s="79"/>
      <c r="L444" s="79"/>
      <c r="M444" s="79"/>
      <c r="N444" s="234"/>
      <c r="O444" s="41"/>
      <c r="V444" s="40"/>
      <c r="W444" s="79"/>
      <c r="X444" s="79"/>
    </row>
    <row r="445" spans="1:24" x14ac:dyDescent="0.25">
      <c r="A445" s="22"/>
      <c r="B445" s="64"/>
      <c r="D445" s="76"/>
      <c r="E445" s="76"/>
      <c r="F445" s="76"/>
      <c r="G445" s="76"/>
      <c r="H445" s="76"/>
      <c r="I445" s="76"/>
      <c r="J445" s="92"/>
      <c r="K445" s="79"/>
      <c r="L445" s="79"/>
      <c r="M445" s="79"/>
      <c r="N445" s="234"/>
      <c r="O445" s="41"/>
      <c r="V445" s="40"/>
      <c r="W445" s="79"/>
      <c r="X445" s="79"/>
    </row>
    <row r="446" spans="1:24" x14ac:dyDescent="0.25">
      <c r="A446" s="22"/>
      <c r="B446" s="64"/>
      <c r="D446" s="76"/>
      <c r="E446" s="76"/>
      <c r="F446" s="76"/>
      <c r="G446" s="76"/>
      <c r="H446" s="76"/>
      <c r="I446" s="76"/>
      <c r="J446" s="92"/>
      <c r="K446" s="79"/>
      <c r="L446" s="79"/>
      <c r="M446" s="79"/>
      <c r="N446" s="234"/>
      <c r="O446" s="41"/>
      <c r="V446" s="40"/>
      <c r="W446" s="79"/>
      <c r="X446" s="79"/>
    </row>
    <row r="447" spans="1:24" x14ac:dyDescent="0.25">
      <c r="A447" s="22"/>
      <c r="B447" s="64"/>
      <c r="D447" s="76"/>
      <c r="E447" s="76"/>
      <c r="F447" s="76"/>
      <c r="G447" s="76"/>
      <c r="H447" s="76"/>
      <c r="I447" s="76"/>
      <c r="J447" s="92"/>
      <c r="K447" s="79"/>
      <c r="L447" s="79"/>
      <c r="M447" s="79"/>
      <c r="N447" s="234"/>
      <c r="O447" s="41"/>
      <c r="V447" s="40"/>
      <c r="W447" s="79"/>
      <c r="X447" s="79"/>
    </row>
    <row r="448" spans="1:24" x14ac:dyDescent="0.25">
      <c r="A448" s="22"/>
      <c r="B448" s="64"/>
      <c r="D448" s="76"/>
      <c r="E448" s="76"/>
      <c r="F448" s="76"/>
      <c r="G448" s="76"/>
      <c r="H448" s="76"/>
      <c r="I448" s="76"/>
      <c r="J448" s="92"/>
      <c r="K448" s="79"/>
      <c r="L448" s="79"/>
      <c r="M448" s="79"/>
      <c r="N448" s="234"/>
      <c r="O448" s="41"/>
      <c r="V448" s="40"/>
      <c r="W448" s="79"/>
      <c r="X448" s="79"/>
    </row>
    <row r="449" spans="1:24" x14ac:dyDescent="0.25">
      <c r="A449" s="22"/>
      <c r="B449" s="64"/>
      <c r="D449" s="76"/>
      <c r="E449" s="76"/>
      <c r="F449" s="76"/>
      <c r="G449" s="76"/>
      <c r="H449" s="76"/>
      <c r="I449" s="76"/>
      <c r="J449" s="92"/>
      <c r="K449" s="79"/>
      <c r="L449" s="79"/>
      <c r="M449" s="79"/>
      <c r="N449" s="234"/>
      <c r="O449" s="41"/>
      <c r="V449" s="40"/>
      <c r="W449" s="79"/>
      <c r="X449" s="79"/>
    </row>
    <row r="450" spans="1:24" x14ac:dyDescent="0.25">
      <c r="A450" s="22"/>
      <c r="B450" s="64"/>
      <c r="D450" s="76"/>
      <c r="E450" s="76"/>
      <c r="F450" s="76"/>
      <c r="G450" s="76"/>
      <c r="H450" s="76"/>
      <c r="I450" s="76"/>
      <c r="J450" s="65"/>
      <c r="K450" s="79"/>
      <c r="L450" s="79"/>
      <c r="M450" s="79"/>
      <c r="N450" s="234"/>
      <c r="O450" s="41"/>
      <c r="V450" s="40"/>
      <c r="W450" s="79"/>
      <c r="X450" s="79"/>
    </row>
    <row r="451" spans="1:24" x14ac:dyDescent="0.25">
      <c r="A451" s="22"/>
      <c r="B451" s="64"/>
      <c r="D451" s="76"/>
      <c r="E451" s="76"/>
      <c r="F451" s="76"/>
      <c r="G451" s="76"/>
      <c r="H451" s="76"/>
      <c r="I451" s="76"/>
      <c r="J451" s="65"/>
      <c r="K451" s="79"/>
      <c r="L451" s="79"/>
      <c r="M451" s="79"/>
      <c r="N451" s="234"/>
      <c r="O451" s="41"/>
      <c r="V451" s="40"/>
      <c r="W451" s="79"/>
      <c r="X451" s="79"/>
    </row>
    <row r="452" spans="1:24" x14ac:dyDescent="0.25">
      <c r="A452" s="22"/>
      <c r="B452" s="64"/>
      <c r="D452" s="76"/>
      <c r="E452" s="76"/>
      <c r="F452" s="76"/>
      <c r="G452" s="76"/>
      <c r="H452" s="76"/>
      <c r="I452" s="76"/>
      <c r="J452" s="65"/>
      <c r="K452" s="79"/>
      <c r="L452" s="79"/>
      <c r="M452" s="79"/>
      <c r="N452" s="234"/>
      <c r="O452" s="41"/>
      <c r="V452" s="40"/>
      <c r="W452" s="79"/>
      <c r="X452" s="79"/>
    </row>
    <row r="453" spans="1:24" x14ac:dyDescent="0.25">
      <c r="A453" s="22"/>
      <c r="B453" s="64"/>
      <c r="D453" s="76"/>
      <c r="E453" s="76"/>
      <c r="F453" s="76"/>
      <c r="G453" s="76"/>
      <c r="H453" s="76"/>
      <c r="I453" s="76"/>
      <c r="J453" s="65"/>
      <c r="K453" s="79"/>
      <c r="L453" s="79"/>
      <c r="M453" s="79"/>
      <c r="N453" s="234"/>
      <c r="O453" s="41"/>
      <c r="V453" s="40"/>
      <c r="W453" s="79"/>
      <c r="X453" s="79"/>
    </row>
    <row r="454" spans="1:24" x14ac:dyDescent="0.25">
      <c r="A454" s="22"/>
      <c r="B454" s="64"/>
      <c r="D454" s="76"/>
      <c r="E454" s="76"/>
      <c r="F454" s="76"/>
      <c r="G454" s="76"/>
      <c r="H454" s="76"/>
      <c r="I454" s="76"/>
      <c r="J454" s="65"/>
      <c r="K454" s="79"/>
      <c r="L454" s="79"/>
      <c r="M454" s="79"/>
      <c r="N454" s="234"/>
      <c r="O454" s="41"/>
      <c r="V454" s="40"/>
      <c r="W454" s="79"/>
      <c r="X454" s="79"/>
    </row>
    <row r="455" spans="1:24" x14ac:dyDescent="0.25">
      <c r="A455" s="22"/>
      <c r="B455" s="64"/>
      <c r="D455" s="76"/>
      <c r="E455" s="76"/>
      <c r="F455" s="76"/>
      <c r="G455" s="76"/>
      <c r="H455" s="76"/>
      <c r="I455" s="76"/>
      <c r="J455" s="65"/>
      <c r="K455" s="79"/>
      <c r="L455" s="79"/>
      <c r="M455" s="79"/>
      <c r="N455" s="234"/>
      <c r="O455" s="41"/>
      <c r="V455" s="40"/>
      <c r="W455" s="79"/>
      <c r="X455" s="79"/>
    </row>
    <row r="456" spans="1:24" x14ac:dyDescent="0.25">
      <c r="A456" s="22"/>
      <c r="B456" s="64"/>
      <c r="D456" s="76"/>
      <c r="E456" s="76"/>
      <c r="F456" s="76"/>
      <c r="G456" s="76"/>
      <c r="H456" s="76"/>
      <c r="I456" s="76"/>
      <c r="J456" s="65"/>
      <c r="K456" s="79"/>
      <c r="L456" s="79"/>
      <c r="M456" s="79"/>
      <c r="N456" s="234"/>
      <c r="O456" s="41"/>
      <c r="V456" s="40"/>
      <c r="W456" s="79"/>
      <c r="X456" s="79"/>
    </row>
    <row r="457" spans="1:24" x14ac:dyDescent="0.25">
      <c r="A457" s="22"/>
      <c r="B457" s="64"/>
      <c r="D457" s="76"/>
      <c r="E457" s="76"/>
      <c r="F457" s="76"/>
      <c r="G457" s="76"/>
      <c r="H457" s="76"/>
      <c r="I457" s="76"/>
      <c r="J457" s="65"/>
      <c r="K457" s="79"/>
      <c r="L457" s="79"/>
      <c r="M457" s="79"/>
      <c r="N457" s="234"/>
      <c r="O457" s="41"/>
      <c r="V457" s="40"/>
      <c r="W457" s="79"/>
      <c r="X457" s="79"/>
    </row>
    <row r="458" spans="1:24" x14ac:dyDescent="0.25">
      <c r="A458" s="22"/>
      <c r="B458" s="64"/>
      <c r="D458" s="76"/>
      <c r="E458" s="76"/>
      <c r="F458" s="76"/>
      <c r="G458" s="76"/>
      <c r="H458" s="76"/>
      <c r="I458" s="76"/>
      <c r="J458" s="65"/>
      <c r="K458" s="79"/>
      <c r="L458" s="79"/>
      <c r="M458" s="79"/>
      <c r="N458" s="234"/>
      <c r="O458" s="41"/>
      <c r="V458" s="40"/>
      <c r="W458" s="79"/>
      <c r="X458" s="79"/>
    </row>
    <row r="459" spans="1:24" x14ac:dyDescent="0.25">
      <c r="A459" s="22"/>
      <c r="B459" s="64"/>
      <c r="D459" s="76"/>
      <c r="E459" s="76"/>
      <c r="F459" s="76"/>
      <c r="G459" s="76"/>
      <c r="H459" s="76"/>
      <c r="I459" s="76"/>
      <c r="J459" s="65"/>
      <c r="K459" s="79"/>
      <c r="L459" s="79"/>
      <c r="M459" s="79"/>
      <c r="N459" s="234"/>
      <c r="O459" s="41"/>
      <c r="V459" s="40"/>
      <c r="W459" s="79"/>
      <c r="X459" s="79"/>
    </row>
    <row r="460" spans="1:24" x14ac:dyDescent="0.25">
      <c r="A460" s="22"/>
      <c r="B460" s="64"/>
      <c r="D460" s="76"/>
      <c r="E460" s="76"/>
      <c r="F460" s="76"/>
      <c r="G460" s="76"/>
      <c r="H460" s="76"/>
      <c r="I460" s="76"/>
      <c r="J460" s="65"/>
      <c r="K460" s="79"/>
      <c r="L460" s="79"/>
      <c r="M460" s="79"/>
      <c r="N460" s="234"/>
      <c r="O460" s="41"/>
      <c r="V460" s="40"/>
      <c r="W460" s="79"/>
      <c r="X460" s="79"/>
    </row>
    <row r="461" spans="1:24" x14ac:dyDescent="0.25">
      <c r="A461" s="22"/>
      <c r="B461" s="64"/>
      <c r="D461" s="76"/>
      <c r="E461" s="76"/>
      <c r="F461" s="76"/>
      <c r="G461" s="76"/>
      <c r="H461" s="76"/>
      <c r="I461" s="76"/>
      <c r="J461" s="65"/>
      <c r="K461" s="79"/>
      <c r="L461" s="79"/>
      <c r="M461" s="79"/>
      <c r="N461" s="234"/>
      <c r="O461" s="41"/>
      <c r="V461" s="40"/>
      <c r="W461" s="79"/>
      <c r="X461" s="79"/>
    </row>
    <row r="462" spans="1:24" x14ac:dyDescent="0.25">
      <c r="A462" s="22"/>
      <c r="B462" s="64"/>
      <c r="D462" s="76"/>
      <c r="E462" s="76"/>
      <c r="F462" s="76"/>
      <c r="G462" s="76"/>
      <c r="H462" s="76"/>
      <c r="I462" s="76"/>
      <c r="J462" s="65"/>
      <c r="K462" s="79"/>
      <c r="L462" s="79"/>
      <c r="M462" s="79"/>
      <c r="N462" s="234"/>
      <c r="O462" s="41"/>
      <c r="V462" s="40"/>
      <c r="W462" s="79"/>
      <c r="X462" s="79"/>
    </row>
    <row r="463" spans="1:24" x14ac:dyDescent="0.25">
      <c r="A463" s="22"/>
      <c r="B463" s="64"/>
      <c r="D463" s="76"/>
      <c r="E463" s="76"/>
      <c r="F463" s="76"/>
      <c r="G463" s="76"/>
      <c r="H463" s="76"/>
      <c r="I463" s="76"/>
      <c r="J463" s="65"/>
      <c r="K463" s="79"/>
      <c r="L463" s="79"/>
      <c r="M463" s="79"/>
      <c r="N463" s="234"/>
      <c r="O463" s="41"/>
      <c r="V463" s="40"/>
      <c r="W463" s="79"/>
      <c r="X463" s="79"/>
    </row>
    <row r="464" spans="1:24" x14ac:dyDescent="0.25">
      <c r="A464" s="22"/>
      <c r="B464" s="64"/>
      <c r="D464" s="76"/>
      <c r="E464" s="76"/>
      <c r="F464" s="76"/>
      <c r="G464" s="76"/>
      <c r="H464" s="76"/>
      <c r="I464" s="76"/>
      <c r="J464" s="65"/>
      <c r="K464" s="79"/>
      <c r="L464" s="79"/>
      <c r="M464" s="79"/>
      <c r="N464" s="234"/>
      <c r="O464" s="41"/>
      <c r="V464" s="40"/>
      <c r="W464" s="79"/>
      <c r="X464" s="79"/>
    </row>
    <row r="465" spans="1:24" x14ac:dyDescent="0.25">
      <c r="A465" s="22"/>
      <c r="B465" s="64"/>
      <c r="D465" s="76"/>
      <c r="E465" s="76"/>
      <c r="F465" s="76"/>
      <c r="G465" s="76"/>
      <c r="H465" s="76"/>
      <c r="I465" s="76"/>
      <c r="J465" s="65"/>
      <c r="K465" s="79"/>
      <c r="L465" s="79"/>
      <c r="M465" s="79"/>
      <c r="N465" s="234"/>
      <c r="O465" s="41"/>
      <c r="V465" s="40"/>
      <c r="W465" s="79"/>
      <c r="X465" s="79"/>
    </row>
    <row r="466" spans="1:24" x14ac:dyDescent="0.25">
      <c r="A466" s="22"/>
      <c r="B466" s="64"/>
      <c r="D466" s="76"/>
      <c r="E466" s="76"/>
      <c r="F466" s="76"/>
      <c r="G466" s="76"/>
      <c r="H466" s="76"/>
      <c r="I466" s="76"/>
      <c r="J466" s="65"/>
      <c r="K466" s="79"/>
      <c r="L466" s="79"/>
      <c r="M466" s="79"/>
      <c r="N466" s="234"/>
      <c r="O466" s="41"/>
      <c r="V466" s="40"/>
      <c r="W466" s="79"/>
      <c r="X466" s="79"/>
    </row>
    <row r="467" spans="1:24" x14ac:dyDescent="0.25">
      <c r="A467" s="22"/>
      <c r="B467" s="64"/>
      <c r="D467" s="76"/>
      <c r="E467" s="76"/>
      <c r="F467" s="76"/>
      <c r="G467" s="76"/>
      <c r="H467" s="76"/>
      <c r="I467" s="76"/>
      <c r="J467" s="65"/>
      <c r="K467" s="79"/>
      <c r="L467" s="79"/>
      <c r="M467" s="79"/>
      <c r="N467" s="234"/>
      <c r="O467" s="41"/>
      <c r="V467" s="40"/>
      <c r="W467" s="79"/>
      <c r="X467" s="79"/>
    </row>
    <row r="468" spans="1:24" x14ac:dyDescent="0.25">
      <c r="A468" s="22"/>
      <c r="B468" s="64"/>
      <c r="D468" s="76"/>
      <c r="E468" s="76"/>
      <c r="F468" s="76"/>
      <c r="G468" s="76"/>
      <c r="H468" s="76"/>
      <c r="I468" s="76"/>
      <c r="J468" s="65"/>
      <c r="K468" s="79"/>
      <c r="L468" s="79"/>
      <c r="M468" s="79"/>
      <c r="N468" s="234"/>
      <c r="O468" s="41"/>
      <c r="V468" s="40"/>
      <c r="W468" s="79"/>
      <c r="X468" s="79"/>
    </row>
    <row r="469" spans="1:24" x14ac:dyDescent="0.25">
      <c r="A469" s="22"/>
      <c r="B469" s="64"/>
      <c r="D469" s="76"/>
      <c r="E469" s="76"/>
      <c r="F469" s="76"/>
      <c r="G469" s="76"/>
      <c r="H469" s="76"/>
      <c r="I469" s="76"/>
      <c r="J469" s="65"/>
      <c r="K469" s="79"/>
      <c r="L469" s="79"/>
      <c r="M469" s="79"/>
      <c r="N469" s="234"/>
      <c r="O469" s="41"/>
      <c r="V469" s="40"/>
      <c r="W469" s="79"/>
      <c r="X469" s="79"/>
    </row>
    <row r="470" spans="1:24" x14ac:dyDescent="0.25">
      <c r="A470" s="22"/>
      <c r="B470" s="64"/>
      <c r="D470" s="76"/>
      <c r="E470" s="76"/>
      <c r="F470" s="76"/>
      <c r="G470" s="76"/>
      <c r="H470" s="76"/>
      <c r="I470" s="76"/>
      <c r="J470" s="65"/>
      <c r="K470" s="79"/>
      <c r="L470" s="79"/>
      <c r="M470" s="79"/>
      <c r="N470" s="234"/>
      <c r="O470" s="41"/>
      <c r="V470" s="40"/>
      <c r="W470" s="79"/>
      <c r="X470" s="79"/>
    </row>
    <row r="471" spans="1:24" x14ac:dyDescent="0.25">
      <c r="A471" s="22"/>
      <c r="B471" s="64"/>
      <c r="D471" s="76"/>
      <c r="E471" s="76"/>
      <c r="F471" s="76"/>
      <c r="G471" s="76"/>
      <c r="H471" s="76"/>
      <c r="I471" s="76"/>
      <c r="J471" s="65"/>
      <c r="K471" s="79"/>
      <c r="L471" s="79"/>
      <c r="M471" s="79"/>
      <c r="N471" s="234"/>
      <c r="O471" s="41"/>
      <c r="V471" s="40"/>
      <c r="W471" s="79"/>
      <c r="X471" s="79"/>
    </row>
    <row r="472" spans="1:24" x14ac:dyDescent="0.25">
      <c r="A472" s="22"/>
      <c r="B472" s="64"/>
      <c r="D472" s="76"/>
      <c r="E472" s="76"/>
      <c r="F472" s="76"/>
      <c r="G472" s="76"/>
      <c r="H472" s="76"/>
      <c r="I472" s="76"/>
      <c r="J472" s="65"/>
      <c r="K472" s="79"/>
      <c r="L472" s="79"/>
      <c r="M472" s="79"/>
      <c r="N472" s="234"/>
      <c r="O472" s="41"/>
      <c r="V472" s="40"/>
      <c r="W472" s="79"/>
      <c r="X472" s="79"/>
    </row>
    <row r="473" spans="1:24" x14ac:dyDescent="0.25">
      <c r="A473" s="22"/>
      <c r="B473" s="64"/>
      <c r="D473" s="76"/>
      <c r="E473" s="76"/>
      <c r="F473" s="76"/>
      <c r="G473" s="76"/>
      <c r="H473" s="76"/>
      <c r="I473" s="76"/>
      <c r="J473" s="65"/>
      <c r="K473" s="79"/>
      <c r="L473" s="79"/>
      <c r="M473" s="79"/>
      <c r="N473" s="234"/>
      <c r="O473" s="41"/>
      <c r="V473" s="40"/>
      <c r="W473" s="79"/>
      <c r="X473" s="79"/>
    </row>
    <row r="474" spans="1:24" x14ac:dyDescent="0.25">
      <c r="A474" s="22"/>
      <c r="B474" s="64"/>
      <c r="D474" s="76"/>
      <c r="E474" s="76"/>
      <c r="F474" s="76"/>
      <c r="G474" s="76"/>
      <c r="H474" s="76"/>
      <c r="I474" s="76"/>
      <c r="J474" s="65"/>
      <c r="K474" s="79"/>
      <c r="L474" s="79"/>
      <c r="M474" s="79"/>
      <c r="N474" s="234"/>
      <c r="O474" s="41"/>
      <c r="V474" s="40"/>
      <c r="W474" s="79"/>
      <c r="X474" s="79"/>
    </row>
    <row r="475" spans="1:24" x14ac:dyDescent="0.25">
      <c r="A475" s="22"/>
      <c r="B475" s="64"/>
      <c r="D475" s="76"/>
      <c r="E475" s="76"/>
      <c r="F475" s="76"/>
      <c r="G475" s="76"/>
      <c r="H475" s="76"/>
      <c r="I475" s="76"/>
      <c r="J475" s="65"/>
      <c r="K475" s="79"/>
      <c r="L475" s="79"/>
      <c r="M475" s="79"/>
      <c r="N475" s="234"/>
      <c r="O475" s="41"/>
      <c r="V475" s="40"/>
      <c r="W475" s="79"/>
      <c r="X475" s="79"/>
    </row>
    <row r="476" spans="1:24" x14ac:dyDescent="0.25">
      <c r="A476" s="22"/>
      <c r="B476" s="64"/>
      <c r="D476" s="76"/>
      <c r="E476" s="76"/>
      <c r="F476" s="76"/>
      <c r="G476" s="76"/>
      <c r="H476" s="76"/>
      <c r="I476" s="76"/>
      <c r="J476" s="65"/>
      <c r="K476" s="79"/>
      <c r="L476" s="79"/>
      <c r="M476" s="79"/>
      <c r="N476" s="234"/>
      <c r="O476" s="41"/>
      <c r="V476" s="40"/>
      <c r="W476" s="79"/>
      <c r="X476" s="79"/>
    </row>
    <row r="477" spans="1:24" x14ac:dyDescent="0.25">
      <c r="A477" s="22"/>
      <c r="B477" s="64"/>
      <c r="D477" s="76"/>
      <c r="E477" s="76"/>
      <c r="F477" s="76"/>
      <c r="G477" s="76"/>
      <c r="H477" s="76"/>
      <c r="I477" s="76"/>
      <c r="J477" s="65"/>
      <c r="K477" s="79"/>
      <c r="L477" s="79"/>
      <c r="M477" s="79"/>
      <c r="N477" s="234"/>
      <c r="O477" s="41"/>
      <c r="V477" s="40"/>
      <c r="W477" s="79"/>
      <c r="X477" s="79"/>
    </row>
    <row r="478" spans="1:24" x14ac:dyDescent="0.25">
      <c r="A478" s="22"/>
      <c r="B478" s="64"/>
      <c r="D478" s="76"/>
      <c r="E478" s="76"/>
      <c r="F478" s="76"/>
      <c r="G478" s="76"/>
      <c r="H478" s="76"/>
      <c r="I478" s="76"/>
      <c r="J478" s="65"/>
      <c r="K478" s="79"/>
      <c r="L478" s="79"/>
      <c r="M478" s="79"/>
      <c r="N478" s="234"/>
      <c r="O478" s="41"/>
      <c r="V478" s="40"/>
      <c r="W478" s="79"/>
      <c r="X478" s="79"/>
    </row>
    <row r="479" spans="1:24" x14ac:dyDescent="0.25">
      <c r="A479" s="22"/>
      <c r="B479" s="64"/>
      <c r="D479" s="76"/>
      <c r="E479" s="76"/>
      <c r="F479" s="76"/>
      <c r="G479" s="76"/>
      <c r="H479" s="76"/>
      <c r="I479" s="76"/>
      <c r="J479" s="65"/>
      <c r="K479" s="79"/>
      <c r="L479" s="79"/>
      <c r="M479" s="79"/>
      <c r="N479" s="234"/>
      <c r="O479" s="41"/>
      <c r="V479" s="40"/>
      <c r="W479" s="79"/>
      <c r="X479" s="79"/>
    </row>
    <row r="480" spans="1:24" x14ac:dyDescent="0.25">
      <c r="A480" s="22"/>
      <c r="B480" s="64"/>
      <c r="D480" s="76"/>
      <c r="E480" s="76"/>
      <c r="F480" s="76"/>
      <c r="G480" s="76"/>
      <c r="H480" s="76"/>
      <c r="I480" s="76"/>
      <c r="J480" s="65"/>
      <c r="K480" s="79"/>
      <c r="L480" s="79"/>
      <c r="M480" s="79"/>
      <c r="N480" s="234"/>
      <c r="O480" s="41"/>
      <c r="V480" s="40"/>
      <c r="W480" s="79"/>
      <c r="X480" s="79"/>
    </row>
    <row r="481" spans="1:24" x14ac:dyDescent="0.25">
      <c r="A481" s="22"/>
      <c r="B481" s="64"/>
      <c r="D481" s="76"/>
      <c r="E481" s="76"/>
      <c r="F481" s="76"/>
      <c r="G481" s="76"/>
      <c r="H481" s="76"/>
      <c r="I481" s="76"/>
      <c r="J481" s="65"/>
      <c r="K481" s="79"/>
      <c r="L481" s="79"/>
      <c r="M481" s="79"/>
      <c r="N481" s="234"/>
      <c r="O481" s="41"/>
      <c r="V481" s="40"/>
      <c r="W481" s="79"/>
      <c r="X481" s="79"/>
    </row>
    <row r="482" spans="1:24" x14ac:dyDescent="0.25">
      <c r="A482" s="22"/>
      <c r="B482" s="64"/>
      <c r="D482" s="76"/>
      <c r="E482" s="76"/>
      <c r="F482" s="76"/>
      <c r="G482" s="76"/>
      <c r="H482" s="76"/>
      <c r="I482" s="76"/>
      <c r="J482" s="65"/>
      <c r="K482" s="79"/>
      <c r="L482" s="79"/>
      <c r="M482" s="79"/>
      <c r="N482" s="234"/>
      <c r="O482" s="41"/>
      <c r="V482" s="40"/>
      <c r="W482" s="79"/>
      <c r="X482" s="79"/>
    </row>
    <row r="483" spans="1:24" x14ac:dyDescent="0.25">
      <c r="A483" s="22"/>
      <c r="B483" s="64"/>
      <c r="D483" s="76"/>
      <c r="E483" s="76"/>
      <c r="F483" s="76"/>
      <c r="G483" s="76"/>
      <c r="H483" s="76"/>
      <c r="I483" s="76"/>
      <c r="J483" s="65"/>
      <c r="K483" s="79"/>
      <c r="L483" s="79"/>
      <c r="M483" s="79"/>
      <c r="N483" s="234"/>
      <c r="O483" s="41"/>
      <c r="V483" s="40"/>
      <c r="W483" s="79"/>
      <c r="X483" s="79"/>
    </row>
    <row r="484" spans="1:24" x14ac:dyDescent="0.25">
      <c r="A484" s="22"/>
      <c r="B484" s="64"/>
      <c r="D484" s="76"/>
      <c r="E484" s="76"/>
      <c r="F484" s="76"/>
      <c r="G484" s="76"/>
      <c r="H484" s="76"/>
      <c r="I484" s="76"/>
      <c r="J484" s="65"/>
      <c r="K484" s="79"/>
      <c r="L484" s="79"/>
      <c r="M484" s="79"/>
      <c r="N484" s="234"/>
      <c r="O484" s="41"/>
      <c r="V484" s="40"/>
      <c r="W484" s="79"/>
      <c r="X484" s="79"/>
    </row>
    <row r="485" spans="1:24" x14ac:dyDescent="0.25">
      <c r="A485" s="22"/>
      <c r="B485" s="64"/>
      <c r="D485" s="76"/>
      <c r="E485" s="76"/>
      <c r="F485" s="76"/>
      <c r="G485" s="76"/>
      <c r="H485" s="76"/>
      <c r="I485" s="76"/>
      <c r="J485" s="65"/>
      <c r="K485" s="79"/>
      <c r="L485" s="79"/>
      <c r="M485" s="79"/>
      <c r="N485" s="234"/>
      <c r="O485" s="41"/>
      <c r="V485" s="40"/>
      <c r="W485" s="79"/>
      <c r="X485" s="79"/>
    </row>
    <row r="486" spans="1:24" x14ac:dyDescent="0.25">
      <c r="A486" s="22"/>
      <c r="B486" s="64"/>
      <c r="D486" s="76"/>
      <c r="E486" s="76"/>
      <c r="F486" s="76"/>
      <c r="G486" s="76"/>
      <c r="H486" s="76"/>
      <c r="I486" s="76"/>
      <c r="J486" s="65"/>
      <c r="K486" s="79"/>
      <c r="L486" s="79"/>
      <c r="M486" s="79"/>
      <c r="N486" s="234"/>
      <c r="O486" s="41"/>
      <c r="V486" s="40"/>
      <c r="W486" s="79"/>
      <c r="X486" s="79"/>
    </row>
    <row r="487" spans="1:24" x14ac:dyDescent="0.25">
      <c r="A487" s="22"/>
      <c r="B487" s="64"/>
      <c r="D487" s="76"/>
      <c r="E487" s="76"/>
      <c r="F487" s="76"/>
      <c r="G487" s="76"/>
      <c r="H487" s="76"/>
      <c r="I487" s="76"/>
      <c r="J487" s="65"/>
      <c r="K487" s="79"/>
      <c r="L487" s="79"/>
      <c r="M487" s="79"/>
      <c r="N487" s="234"/>
      <c r="O487" s="41"/>
      <c r="V487" s="40"/>
      <c r="W487" s="79"/>
      <c r="X487" s="79"/>
    </row>
    <row r="488" spans="1:24" x14ac:dyDescent="0.25">
      <c r="A488" s="22"/>
      <c r="B488" s="64"/>
      <c r="D488" s="76"/>
      <c r="E488" s="76"/>
      <c r="F488" s="76"/>
      <c r="G488" s="76"/>
      <c r="H488" s="76"/>
      <c r="I488" s="76"/>
      <c r="J488" s="65"/>
      <c r="K488" s="79"/>
      <c r="L488" s="79"/>
      <c r="M488" s="79"/>
      <c r="N488" s="234"/>
      <c r="O488" s="41"/>
      <c r="V488" s="40"/>
      <c r="W488" s="79"/>
      <c r="X488" s="79"/>
    </row>
    <row r="489" spans="1:24" x14ac:dyDescent="0.25">
      <c r="A489" s="22"/>
      <c r="B489" s="64"/>
      <c r="D489" s="76"/>
      <c r="E489" s="76"/>
      <c r="F489" s="76"/>
      <c r="G489" s="76"/>
      <c r="H489" s="76"/>
      <c r="I489" s="76"/>
      <c r="J489" s="65"/>
      <c r="K489" s="79"/>
      <c r="L489" s="79"/>
      <c r="M489" s="79"/>
      <c r="N489" s="234"/>
      <c r="O489" s="41"/>
      <c r="V489" s="40"/>
      <c r="W489" s="79"/>
      <c r="X489" s="79"/>
    </row>
    <row r="490" spans="1:24" x14ac:dyDescent="0.25">
      <c r="A490" s="22"/>
      <c r="B490" s="64"/>
      <c r="D490" s="76"/>
      <c r="E490" s="76"/>
      <c r="F490" s="76"/>
      <c r="G490" s="76"/>
      <c r="H490" s="76"/>
      <c r="I490" s="76"/>
      <c r="J490" s="65"/>
      <c r="K490" s="79"/>
      <c r="L490" s="79"/>
      <c r="M490" s="79"/>
      <c r="N490" s="234"/>
      <c r="O490" s="41"/>
      <c r="V490" s="40"/>
      <c r="W490" s="79"/>
      <c r="X490" s="79"/>
    </row>
    <row r="491" spans="1:24" x14ac:dyDescent="0.25">
      <c r="A491" s="22"/>
      <c r="B491" s="64"/>
      <c r="D491" s="76"/>
      <c r="E491" s="76"/>
      <c r="F491" s="76"/>
      <c r="G491" s="76"/>
      <c r="H491" s="76"/>
      <c r="I491" s="76"/>
      <c r="J491" s="65"/>
      <c r="K491" s="79"/>
      <c r="L491" s="79"/>
      <c r="M491" s="79"/>
      <c r="N491" s="234"/>
      <c r="O491" s="41"/>
      <c r="V491" s="40"/>
      <c r="W491" s="79"/>
      <c r="X491" s="79"/>
    </row>
    <row r="492" spans="1:24" x14ac:dyDescent="0.25">
      <c r="A492" s="22"/>
      <c r="B492" s="64"/>
      <c r="D492" s="76"/>
      <c r="E492" s="76"/>
      <c r="F492" s="76"/>
      <c r="G492" s="76"/>
      <c r="H492" s="76"/>
      <c r="I492" s="76"/>
      <c r="J492" s="65"/>
      <c r="K492" s="79"/>
      <c r="L492" s="79"/>
      <c r="M492" s="79"/>
      <c r="N492" s="234"/>
      <c r="O492" s="41"/>
      <c r="V492" s="40"/>
      <c r="W492" s="79"/>
      <c r="X492" s="79"/>
    </row>
    <row r="493" spans="1:24" x14ac:dyDescent="0.25">
      <c r="A493" s="22"/>
      <c r="B493" s="64"/>
      <c r="D493" s="76"/>
      <c r="E493" s="76"/>
      <c r="F493" s="76"/>
      <c r="G493" s="76"/>
      <c r="H493" s="76"/>
      <c r="I493" s="76"/>
      <c r="J493" s="65"/>
      <c r="K493" s="79"/>
      <c r="L493" s="79"/>
      <c r="M493" s="79"/>
      <c r="N493" s="234"/>
      <c r="O493" s="41"/>
      <c r="V493" s="40"/>
      <c r="W493" s="79"/>
      <c r="X493" s="79"/>
    </row>
    <row r="494" spans="1:24" x14ac:dyDescent="0.25">
      <c r="A494" s="22"/>
      <c r="B494" s="64"/>
      <c r="D494" s="76"/>
      <c r="E494" s="76"/>
      <c r="F494" s="76"/>
      <c r="G494" s="76"/>
      <c r="H494" s="76"/>
      <c r="I494" s="76"/>
      <c r="J494" s="65"/>
      <c r="K494" s="79"/>
      <c r="L494" s="79"/>
      <c r="M494" s="79"/>
      <c r="N494" s="234"/>
      <c r="O494" s="41"/>
      <c r="V494" s="40"/>
      <c r="W494" s="79"/>
      <c r="X494" s="79"/>
    </row>
    <row r="495" spans="1:24" x14ac:dyDescent="0.25">
      <c r="A495" s="22"/>
      <c r="B495" s="64"/>
      <c r="D495" s="76"/>
      <c r="E495" s="76"/>
      <c r="F495" s="76"/>
      <c r="G495" s="76"/>
      <c r="H495" s="76"/>
      <c r="I495" s="76"/>
      <c r="J495" s="65"/>
      <c r="K495" s="79"/>
      <c r="L495" s="79"/>
      <c r="M495" s="79"/>
      <c r="N495" s="234"/>
      <c r="O495" s="41"/>
      <c r="V495" s="40"/>
      <c r="W495" s="79"/>
      <c r="X495" s="79"/>
    </row>
    <row r="496" spans="1:24" x14ac:dyDescent="0.25">
      <c r="A496" s="22"/>
      <c r="B496" s="64"/>
      <c r="D496" s="76"/>
      <c r="E496" s="76"/>
      <c r="F496" s="76"/>
      <c r="G496" s="76"/>
      <c r="H496" s="76"/>
      <c r="I496" s="76"/>
      <c r="J496" s="65"/>
      <c r="K496" s="79"/>
      <c r="L496" s="79"/>
      <c r="M496" s="79"/>
      <c r="N496" s="234"/>
      <c r="O496" s="41"/>
      <c r="V496" s="40"/>
      <c r="W496" s="79"/>
      <c r="X496" s="79"/>
    </row>
    <row r="497" spans="1:24" x14ac:dyDescent="0.25">
      <c r="A497" s="22"/>
      <c r="B497" s="64"/>
      <c r="D497" s="76"/>
      <c r="E497" s="76"/>
      <c r="F497" s="76"/>
      <c r="G497" s="76"/>
      <c r="H497" s="76"/>
      <c r="I497" s="76"/>
      <c r="J497" s="65"/>
      <c r="K497" s="79"/>
      <c r="L497" s="79"/>
      <c r="M497" s="79"/>
      <c r="N497" s="234"/>
      <c r="O497" s="41"/>
      <c r="V497" s="40"/>
      <c r="W497" s="79"/>
      <c r="X497" s="79"/>
    </row>
    <row r="498" spans="1:24" x14ac:dyDescent="0.25">
      <c r="A498" s="22"/>
      <c r="B498" s="64"/>
      <c r="D498" s="76"/>
      <c r="E498" s="76"/>
      <c r="F498" s="76"/>
      <c r="G498" s="76"/>
      <c r="H498" s="76"/>
      <c r="I498" s="76"/>
      <c r="J498" s="65"/>
      <c r="K498" s="79"/>
      <c r="L498" s="79"/>
      <c r="M498" s="79"/>
      <c r="N498" s="234"/>
      <c r="O498" s="41"/>
      <c r="V498" s="40"/>
      <c r="W498" s="79"/>
      <c r="X498" s="79"/>
    </row>
    <row r="499" spans="1:24" x14ac:dyDescent="0.25">
      <c r="A499" s="22"/>
      <c r="B499" s="64"/>
      <c r="D499" s="76"/>
      <c r="E499" s="76"/>
      <c r="F499" s="76"/>
      <c r="G499" s="76"/>
      <c r="H499" s="76"/>
      <c r="I499" s="76"/>
      <c r="J499" s="65"/>
      <c r="K499" s="79"/>
      <c r="L499" s="79"/>
      <c r="M499" s="79"/>
      <c r="N499" s="234"/>
      <c r="O499" s="41"/>
      <c r="V499" s="40"/>
      <c r="W499" s="79"/>
      <c r="X499" s="79"/>
    </row>
    <row r="500" spans="1:24" x14ac:dyDescent="0.25">
      <c r="A500" s="22"/>
      <c r="B500" s="64"/>
      <c r="D500" s="76"/>
      <c r="E500" s="76"/>
      <c r="F500" s="76"/>
      <c r="G500" s="76"/>
      <c r="H500" s="76"/>
      <c r="I500" s="76"/>
      <c r="J500" s="65"/>
      <c r="K500" s="79"/>
      <c r="L500" s="79"/>
      <c r="M500" s="79"/>
      <c r="N500" s="234"/>
      <c r="O500" s="41"/>
      <c r="V500" s="40"/>
      <c r="W500" s="79"/>
      <c r="X500" s="79"/>
    </row>
    <row r="501" spans="1:24" x14ac:dyDescent="0.25">
      <c r="A501" s="22"/>
      <c r="B501" s="64"/>
      <c r="D501" s="76"/>
      <c r="E501" s="76"/>
      <c r="F501" s="76"/>
      <c r="G501" s="76"/>
      <c r="H501" s="76"/>
      <c r="I501" s="76"/>
      <c r="J501" s="65"/>
      <c r="K501" s="79"/>
      <c r="L501" s="79"/>
      <c r="M501" s="79"/>
      <c r="N501" s="234"/>
      <c r="O501" s="41"/>
      <c r="V501" s="40"/>
      <c r="W501" s="79"/>
      <c r="X501" s="79"/>
    </row>
    <row r="502" spans="1:24" x14ac:dyDescent="0.25">
      <c r="A502" s="22"/>
      <c r="B502" s="64"/>
      <c r="D502" s="76"/>
      <c r="E502" s="76"/>
      <c r="F502" s="76"/>
      <c r="G502" s="76"/>
      <c r="H502" s="76"/>
      <c r="I502" s="76"/>
      <c r="J502" s="65"/>
      <c r="K502" s="79"/>
      <c r="L502" s="79"/>
      <c r="M502" s="79"/>
      <c r="N502" s="234"/>
      <c r="O502" s="41"/>
      <c r="V502" s="40"/>
      <c r="W502" s="79"/>
      <c r="X502" s="79"/>
    </row>
    <row r="503" spans="1:24" x14ac:dyDescent="0.25">
      <c r="A503" s="22"/>
      <c r="B503" s="64"/>
      <c r="D503" s="76"/>
      <c r="E503" s="76"/>
      <c r="F503" s="76"/>
      <c r="G503" s="76"/>
      <c r="H503" s="76"/>
      <c r="I503" s="76"/>
      <c r="J503" s="65"/>
      <c r="K503" s="79"/>
      <c r="L503" s="79"/>
      <c r="M503" s="79"/>
      <c r="N503" s="234"/>
      <c r="O503" s="41"/>
      <c r="V503" s="40"/>
      <c r="W503" s="79"/>
      <c r="X503" s="79"/>
    </row>
    <row r="504" spans="1:24" x14ac:dyDescent="0.25">
      <c r="A504" s="22"/>
      <c r="B504" s="64"/>
      <c r="D504" s="76"/>
      <c r="E504" s="76"/>
      <c r="F504" s="76"/>
      <c r="G504" s="76"/>
      <c r="H504" s="76"/>
      <c r="I504" s="76"/>
      <c r="J504" s="65"/>
      <c r="K504" s="79"/>
      <c r="L504" s="79"/>
      <c r="M504" s="79"/>
      <c r="N504" s="234"/>
      <c r="O504" s="41"/>
      <c r="V504" s="40"/>
      <c r="W504" s="79"/>
      <c r="X504" s="79"/>
    </row>
    <row r="505" spans="1:24" x14ac:dyDescent="0.25">
      <c r="A505" s="22"/>
      <c r="B505" s="64"/>
      <c r="D505" s="76"/>
      <c r="E505" s="76"/>
      <c r="F505" s="76"/>
      <c r="G505" s="76"/>
      <c r="H505" s="76"/>
      <c r="I505" s="76"/>
      <c r="J505" s="65"/>
      <c r="K505" s="79"/>
      <c r="L505" s="79"/>
      <c r="M505" s="79"/>
      <c r="N505" s="234"/>
      <c r="O505" s="41"/>
      <c r="V505" s="40"/>
      <c r="W505" s="79"/>
      <c r="X505" s="79"/>
    </row>
    <row r="506" spans="1:24" x14ac:dyDescent="0.25">
      <c r="A506" s="22"/>
      <c r="B506" s="64"/>
      <c r="D506" s="76"/>
      <c r="E506" s="76"/>
      <c r="F506" s="76"/>
      <c r="G506" s="76"/>
      <c r="H506" s="76"/>
      <c r="I506" s="76"/>
      <c r="J506" s="65"/>
      <c r="K506" s="79"/>
      <c r="L506" s="79"/>
      <c r="M506" s="79"/>
      <c r="N506" s="234"/>
      <c r="O506" s="41"/>
      <c r="V506" s="40"/>
      <c r="W506" s="79"/>
      <c r="X506" s="79"/>
    </row>
    <row r="507" spans="1:24" x14ac:dyDescent="0.25">
      <c r="A507" s="22"/>
      <c r="B507" s="64"/>
      <c r="D507" s="76"/>
      <c r="E507" s="76"/>
      <c r="F507" s="76"/>
      <c r="G507" s="76"/>
      <c r="H507" s="76"/>
      <c r="I507" s="76"/>
      <c r="J507" s="65"/>
      <c r="K507" s="79"/>
      <c r="L507" s="79"/>
      <c r="M507" s="79"/>
      <c r="N507" s="234"/>
      <c r="O507" s="41"/>
      <c r="V507" s="40"/>
      <c r="W507" s="79"/>
      <c r="X507" s="79"/>
    </row>
    <row r="508" spans="1:24" x14ac:dyDescent="0.25">
      <c r="A508" s="22"/>
      <c r="B508" s="64"/>
      <c r="D508" s="76"/>
      <c r="E508" s="76"/>
      <c r="F508" s="76"/>
      <c r="G508" s="76"/>
      <c r="H508" s="76"/>
      <c r="I508" s="76"/>
      <c r="J508" s="65"/>
      <c r="K508" s="79"/>
      <c r="L508" s="79"/>
      <c r="M508" s="79"/>
      <c r="N508" s="234"/>
      <c r="O508" s="41"/>
      <c r="V508" s="40"/>
      <c r="W508" s="79"/>
      <c r="X508" s="79"/>
    </row>
    <row r="509" spans="1:24" x14ac:dyDescent="0.25">
      <c r="A509" s="22"/>
      <c r="B509" s="64"/>
      <c r="D509" s="76"/>
      <c r="E509" s="76"/>
      <c r="F509" s="76"/>
      <c r="G509" s="76"/>
      <c r="H509" s="76"/>
      <c r="I509" s="76"/>
      <c r="J509" s="65"/>
      <c r="K509" s="79"/>
      <c r="L509" s="79"/>
      <c r="M509" s="79"/>
      <c r="N509" s="234"/>
      <c r="O509" s="41"/>
      <c r="V509" s="40"/>
      <c r="W509" s="79"/>
      <c r="X509" s="79"/>
    </row>
    <row r="510" spans="1:24" x14ac:dyDescent="0.25">
      <c r="A510" s="22"/>
      <c r="B510" s="64"/>
      <c r="D510" s="76"/>
      <c r="E510" s="76"/>
      <c r="F510" s="76"/>
      <c r="G510" s="76"/>
      <c r="H510" s="76"/>
      <c r="I510" s="76"/>
      <c r="J510" s="65"/>
      <c r="K510" s="79"/>
      <c r="L510" s="79"/>
      <c r="M510" s="79"/>
      <c r="N510" s="234"/>
      <c r="O510" s="41"/>
      <c r="V510" s="40"/>
      <c r="W510" s="79"/>
      <c r="X510" s="79"/>
    </row>
    <row r="511" spans="1:24" x14ac:dyDescent="0.25">
      <c r="A511" s="22"/>
      <c r="B511" s="64"/>
      <c r="D511" s="76"/>
      <c r="E511" s="76"/>
      <c r="F511" s="76"/>
      <c r="G511" s="76"/>
      <c r="H511" s="76"/>
      <c r="I511" s="76"/>
      <c r="J511" s="65"/>
      <c r="K511" s="79"/>
      <c r="L511" s="79"/>
      <c r="M511" s="79"/>
      <c r="N511" s="234"/>
      <c r="O511" s="41"/>
      <c r="V511" s="40"/>
      <c r="W511" s="79"/>
      <c r="X511" s="79"/>
    </row>
    <row r="512" spans="1:24" x14ac:dyDescent="0.25">
      <c r="A512" s="22"/>
      <c r="B512" s="64"/>
      <c r="D512" s="76"/>
      <c r="E512" s="76"/>
      <c r="F512" s="76"/>
      <c r="G512" s="76"/>
      <c r="H512" s="76"/>
      <c r="I512" s="76"/>
      <c r="J512" s="65"/>
      <c r="K512" s="79"/>
      <c r="L512" s="79"/>
      <c r="M512" s="79"/>
      <c r="N512" s="234"/>
      <c r="O512" s="41"/>
      <c r="V512" s="40"/>
      <c r="W512" s="79"/>
      <c r="X512" s="79"/>
    </row>
    <row r="513" spans="1:24" x14ac:dyDescent="0.25">
      <c r="A513" s="22"/>
      <c r="B513" s="64"/>
      <c r="D513" s="76"/>
      <c r="E513" s="76"/>
      <c r="F513" s="76"/>
      <c r="G513" s="76"/>
      <c r="H513" s="76"/>
      <c r="I513" s="76"/>
      <c r="J513" s="65"/>
      <c r="K513" s="79"/>
      <c r="L513" s="79"/>
      <c r="M513" s="79"/>
      <c r="N513" s="234"/>
      <c r="O513" s="41"/>
      <c r="V513" s="40"/>
      <c r="W513" s="79"/>
      <c r="X513" s="79"/>
    </row>
    <row r="514" spans="1:24" x14ac:dyDescent="0.25">
      <c r="A514" s="22"/>
      <c r="B514" s="64"/>
      <c r="D514" s="76"/>
      <c r="E514" s="76"/>
      <c r="F514" s="76"/>
      <c r="G514" s="76"/>
      <c r="H514" s="76"/>
      <c r="I514" s="76"/>
      <c r="J514" s="65"/>
      <c r="K514" s="79"/>
      <c r="L514" s="79"/>
      <c r="M514" s="79"/>
      <c r="N514" s="234"/>
      <c r="O514" s="41"/>
      <c r="V514" s="40"/>
      <c r="W514" s="79"/>
      <c r="X514" s="79"/>
    </row>
    <row r="515" spans="1:24" x14ac:dyDescent="0.25">
      <c r="A515" s="22"/>
      <c r="B515" s="64"/>
      <c r="D515" s="76"/>
      <c r="E515" s="76"/>
      <c r="F515" s="76"/>
      <c r="G515" s="76"/>
      <c r="H515" s="76"/>
      <c r="I515" s="76"/>
      <c r="J515" s="65"/>
      <c r="K515" s="79"/>
      <c r="L515" s="79"/>
      <c r="M515" s="79"/>
      <c r="N515" s="234"/>
      <c r="O515" s="41"/>
      <c r="V515" s="40"/>
      <c r="W515" s="79"/>
      <c r="X515" s="79"/>
    </row>
    <row r="516" spans="1:24" x14ac:dyDescent="0.25">
      <c r="A516" s="22"/>
      <c r="B516" s="64"/>
      <c r="D516" s="76"/>
      <c r="E516" s="76"/>
      <c r="F516" s="76"/>
      <c r="G516" s="76"/>
      <c r="H516" s="76"/>
      <c r="I516" s="76"/>
      <c r="J516" s="65"/>
      <c r="K516" s="79"/>
      <c r="L516" s="79"/>
      <c r="M516" s="79"/>
      <c r="N516" s="234"/>
      <c r="O516" s="41"/>
      <c r="V516" s="40"/>
      <c r="W516" s="79"/>
      <c r="X516" s="79"/>
    </row>
    <row r="517" spans="1:24" x14ac:dyDescent="0.25">
      <c r="A517" s="22"/>
      <c r="B517" s="64"/>
      <c r="D517" s="76"/>
      <c r="E517" s="76"/>
      <c r="F517" s="76"/>
      <c r="G517" s="76"/>
      <c r="H517" s="76"/>
      <c r="I517" s="76"/>
      <c r="J517" s="65"/>
      <c r="K517" s="79"/>
      <c r="L517" s="79"/>
      <c r="M517" s="79"/>
      <c r="N517" s="234"/>
      <c r="O517" s="41"/>
      <c r="V517" s="40"/>
      <c r="W517" s="79"/>
      <c r="X517" s="79"/>
    </row>
    <row r="518" spans="1:24" x14ac:dyDescent="0.25">
      <c r="A518" s="22"/>
      <c r="B518" s="64"/>
      <c r="D518" s="76"/>
      <c r="E518" s="76"/>
      <c r="F518" s="76"/>
      <c r="G518" s="76"/>
      <c r="H518" s="76"/>
      <c r="I518" s="76"/>
      <c r="J518" s="65"/>
      <c r="K518" s="79"/>
      <c r="L518" s="79"/>
      <c r="M518" s="79"/>
      <c r="N518" s="234"/>
      <c r="O518" s="41"/>
      <c r="V518" s="40"/>
      <c r="W518" s="79"/>
      <c r="X518" s="79"/>
    </row>
    <row r="519" spans="1:24" x14ac:dyDescent="0.25">
      <c r="A519" s="22"/>
      <c r="B519" s="64"/>
      <c r="D519" s="76"/>
      <c r="E519" s="76"/>
      <c r="F519" s="76"/>
      <c r="G519" s="76"/>
      <c r="H519" s="76"/>
      <c r="I519" s="76"/>
      <c r="J519" s="65"/>
      <c r="K519" s="79"/>
      <c r="L519" s="79"/>
      <c r="M519" s="79"/>
      <c r="N519" s="234"/>
      <c r="O519" s="41"/>
      <c r="V519" s="40"/>
      <c r="W519" s="79"/>
      <c r="X519" s="79"/>
    </row>
    <row r="520" spans="1:24" x14ac:dyDescent="0.25">
      <c r="A520" s="22"/>
      <c r="B520" s="64"/>
      <c r="D520" s="76"/>
      <c r="E520" s="76"/>
      <c r="F520" s="76"/>
      <c r="G520" s="76"/>
      <c r="H520" s="76"/>
      <c r="I520" s="76"/>
      <c r="J520" s="65"/>
      <c r="K520" s="79"/>
      <c r="L520" s="79"/>
      <c r="M520" s="79"/>
      <c r="N520" s="234"/>
      <c r="O520" s="41"/>
      <c r="V520" s="40"/>
      <c r="W520" s="79"/>
      <c r="X520" s="79"/>
    </row>
    <row r="521" spans="1:24" x14ac:dyDescent="0.25">
      <c r="A521" s="22"/>
      <c r="B521" s="64"/>
      <c r="D521" s="76"/>
      <c r="E521" s="76"/>
      <c r="F521" s="76"/>
      <c r="G521" s="76"/>
      <c r="H521" s="76"/>
      <c r="I521" s="76"/>
      <c r="J521" s="65"/>
      <c r="K521" s="79"/>
      <c r="L521" s="79"/>
      <c r="M521" s="79"/>
      <c r="N521" s="234"/>
      <c r="O521" s="41"/>
      <c r="V521" s="40"/>
      <c r="W521" s="79"/>
      <c r="X521" s="79"/>
    </row>
    <row r="522" spans="1:24" x14ac:dyDescent="0.25">
      <c r="A522" s="22"/>
      <c r="B522" s="64"/>
      <c r="D522" s="76"/>
      <c r="E522" s="76"/>
      <c r="F522" s="76"/>
      <c r="G522" s="76"/>
      <c r="H522" s="76"/>
      <c r="I522" s="76"/>
      <c r="J522" s="65"/>
      <c r="K522" s="79"/>
      <c r="L522" s="79"/>
      <c r="M522" s="79"/>
      <c r="N522" s="234"/>
      <c r="O522" s="41"/>
      <c r="V522" s="40"/>
      <c r="W522" s="79"/>
      <c r="X522" s="79"/>
    </row>
    <row r="523" spans="1:24" x14ac:dyDescent="0.25">
      <c r="A523" s="22"/>
      <c r="B523" s="64"/>
      <c r="D523" s="76"/>
      <c r="E523" s="76"/>
      <c r="F523" s="76"/>
      <c r="G523" s="76"/>
      <c r="H523" s="76"/>
      <c r="I523" s="76"/>
      <c r="J523" s="65"/>
      <c r="K523" s="79"/>
      <c r="L523" s="79"/>
      <c r="M523" s="79"/>
      <c r="N523" s="234"/>
      <c r="O523" s="41"/>
      <c r="V523" s="40"/>
      <c r="W523" s="79"/>
      <c r="X523" s="79"/>
    </row>
    <row r="524" spans="1:24" x14ac:dyDescent="0.25">
      <c r="A524" s="22"/>
      <c r="B524" s="64"/>
      <c r="D524" s="76"/>
      <c r="E524" s="76"/>
      <c r="F524" s="76"/>
      <c r="G524" s="76"/>
      <c r="H524" s="76"/>
      <c r="I524" s="76"/>
      <c r="J524" s="65"/>
      <c r="K524" s="79"/>
      <c r="L524" s="79"/>
      <c r="M524" s="79"/>
      <c r="N524" s="234"/>
      <c r="O524" s="41"/>
      <c r="V524" s="40"/>
      <c r="W524" s="79"/>
      <c r="X524" s="79"/>
    </row>
    <row r="525" spans="1:24" x14ac:dyDescent="0.25">
      <c r="A525" s="22"/>
      <c r="B525" s="64"/>
      <c r="D525" s="76"/>
      <c r="E525" s="76"/>
      <c r="F525" s="76"/>
      <c r="G525" s="76"/>
      <c r="H525" s="76"/>
      <c r="I525" s="76"/>
      <c r="J525" s="65"/>
      <c r="K525" s="79"/>
      <c r="L525" s="79"/>
      <c r="M525" s="79"/>
      <c r="N525" s="234"/>
      <c r="O525" s="41"/>
      <c r="V525" s="40"/>
      <c r="W525" s="79"/>
      <c r="X525" s="79"/>
    </row>
    <row r="526" spans="1:24" x14ac:dyDescent="0.25">
      <c r="A526" s="22"/>
      <c r="B526" s="64"/>
      <c r="D526" s="76"/>
      <c r="E526" s="76"/>
      <c r="F526" s="76"/>
      <c r="G526" s="76"/>
      <c r="H526" s="76"/>
      <c r="I526" s="76"/>
      <c r="J526" s="65"/>
      <c r="K526" s="79"/>
      <c r="L526" s="79"/>
      <c r="M526" s="79"/>
      <c r="N526" s="234"/>
      <c r="O526" s="41"/>
      <c r="V526" s="40"/>
      <c r="W526" s="79"/>
      <c r="X526" s="79"/>
    </row>
    <row r="527" spans="1:24" x14ac:dyDescent="0.25">
      <c r="A527" s="22"/>
      <c r="B527" s="64"/>
      <c r="D527" s="76"/>
      <c r="E527" s="76"/>
      <c r="F527" s="76"/>
      <c r="G527" s="76"/>
      <c r="H527" s="76"/>
      <c r="I527" s="76"/>
      <c r="J527" s="65"/>
      <c r="K527" s="79"/>
      <c r="L527" s="79"/>
      <c r="M527" s="79"/>
      <c r="N527" s="234"/>
      <c r="O527" s="41"/>
      <c r="V527" s="40"/>
      <c r="W527" s="79"/>
      <c r="X527" s="79"/>
    </row>
    <row r="528" spans="1:24" x14ac:dyDescent="0.25">
      <c r="A528" s="22"/>
      <c r="B528" s="64"/>
      <c r="D528" s="76"/>
      <c r="E528" s="76"/>
      <c r="F528" s="76"/>
      <c r="G528" s="76"/>
      <c r="H528" s="76"/>
      <c r="I528" s="76"/>
      <c r="J528" s="65"/>
      <c r="K528" s="79"/>
      <c r="L528" s="79"/>
      <c r="M528" s="79"/>
      <c r="N528" s="234"/>
      <c r="O528" s="41"/>
      <c r="V528" s="40"/>
      <c r="W528" s="79"/>
      <c r="X528" s="79"/>
    </row>
    <row r="529" spans="1:24" x14ac:dyDescent="0.25">
      <c r="A529" s="22"/>
      <c r="B529" s="64"/>
      <c r="D529" s="76"/>
      <c r="E529" s="76"/>
      <c r="F529" s="76"/>
      <c r="G529" s="76"/>
      <c r="H529" s="76"/>
      <c r="I529" s="76"/>
      <c r="J529" s="65"/>
      <c r="K529" s="79"/>
      <c r="L529" s="79"/>
      <c r="M529" s="79"/>
      <c r="N529" s="234"/>
      <c r="O529" s="41"/>
      <c r="V529" s="40"/>
      <c r="W529" s="79"/>
      <c r="X529" s="79"/>
    </row>
    <row r="530" spans="1:24" x14ac:dyDescent="0.25">
      <c r="A530" s="22"/>
      <c r="B530" s="64"/>
      <c r="D530" s="76"/>
      <c r="E530" s="76"/>
      <c r="F530" s="76"/>
      <c r="G530" s="76"/>
      <c r="H530" s="76"/>
      <c r="I530" s="76"/>
      <c r="J530" s="65"/>
      <c r="K530" s="79"/>
      <c r="L530" s="79"/>
      <c r="M530" s="79"/>
      <c r="N530" s="234"/>
      <c r="O530" s="41"/>
      <c r="V530" s="40"/>
      <c r="W530" s="79"/>
      <c r="X530" s="79"/>
    </row>
    <row r="531" spans="1:24" x14ac:dyDescent="0.25">
      <c r="A531" s="22"/>
      <c r="B531" s="64"/>
      <c r="D531" s="76"/>
      <c r="E531" s="76"/>
      <c r="F531" s="76"/>
      <c r="G531" s="76"/>
      <c r="H531" s="76"/>
      <c r="I531" s="76"/>
      <c r="J531" s="65"/>
      <c r="K531" s="79"/>
      <c r="L531" s="79"/>
      <c r="M531" s="79"/>
      <c r="N531" s="234"/>
      <c r="O531" s="41"/>
      <c r="V531" s="40"/>
      <c r="W531" s="79"/>
      <c r="X531" s="79"/>
    </row>
    <row r="532" spans="1:24" x14ac:dyDescent="0.25">
      <c r="A532" s="22"/>
      <c r="B532" s="64"/>
      <c r="D532" s="76"/>
      <c r="E532" s="76"/>
      <c r="F532" s="76"/>
      <c r="G532" s="76"/>
      <c r="H532" s="76"/>
      <c r="I532" s="76"/>
      <c r="J532" s="65"/>
      <c r="K532" s="79"/>
      <c r="L532" s="79"/>
      <c r="M532" s="79"/>
      <c r="N532" s="234"/>
      <c r="O532" s="41"/>
      <c r="V532" s="40"/>
      <c r="W532" s="79"/>
      <c r="X532" s="79"/>
    </row>
    <row r="533" spans="1:24" x14ac:dyDescent="0.25">
      <c r="A533" s="22"/>
      <c r="B533" s="64"/>
      <c r="D533" s="76"/>
      <c r="E533" s="76"/>
      <c r="F533" s="76"/>
      <c r="G533" s="76"/>
      <c r="H533" s="76"/>
      <c r="I533" s="76"/>
      <c r="J533" s="65"/>
      <c r="K533" s="79"/>
      <c r="L533" s="79"/>
      <c r="M533" s="79"/>
      <c r="N533" s="234"/>
      <c r="O533" s="41"/>
      <c r="V533" s="40"/>
      <c r="W533" s="79"/>
      <c r="X533" s="79"/>
    </row>
    <row r="534" spans="1:24" x14ac:dyDescent="0.25">
      <c r="A534" s="22"/>
      <c r="B534" s="64"/>
      <c r="D534" s="76"/>
      <c r="E534" s="76"/>
      <c r="F534" s="76"/>
      <c r="G534" s="76"/>
      <c r="H534" s="76"/>
      <c r="I534" s="76"/>
      <c r="J534" s="65"/>
      <c r="K534" s="79"/>
      <c r="L534" s="79"/>
      <c r="M534" s="79"/>
      <c r="N534" s="234"/>
      <c r="O534" s="41"/>
      <c r="V534" s="40"/>
      <c r="W534" s="79"/>
      <c r="X534" s="79"/>
    </row>
    <row r="535" spans="1:24" x14ac:dyDescent="0.25">
      <c r="A535" s="22"/>
      <c r="B535" s="64"/>
      <c r="D535" s="76"/>
      <c r="E535" s="76"/>
      <c r="F535" s="76"/>
      <c r="G535" s="76"/>
      <c r="H535" s="76"/>
      <c r="I535" s="76"/>
      <c r="J535" s="65"/>
      <c r="K535" s="79"/>
      <c r="L535" s="79"/>
      <c r="M535" s="79"/>
      <c r="N535" s="234"/>
      <c r="O535" s="41"/>
      <c r="V535" s="40"/>
      <c r="W535" s="79"/>
      <c r="X535" s="79"/>
    </row>
    <row r="536" spans="1:24" x14ac:dyDescent="0.25">
      <c r="A536" s="22"/>
      <c r="B536" s="64"/>
      <c r="D536" s="76"/>
      <c r="E536" s="76"/>
      <c r="F536" s="76"/>
      <c r="G536" s="76"/>
      <c r="H536" s="76"/>
      <c r="I536" s="76"/>
      <c r="J536" s="65"/>
      <c r="K536" s="79"/>
      <c r="L536" s="79"/>
      <c r="M536" s="79"/>
      <c r="N536" s="234"/>
      <c r="O536" s="41"/>
      <c r="V536" s="40"/>
      <c r="W536" s="79"/>
      <c r="X536" s="79"/>
    </row>
    <row r="537" spans="1:24" x14ac:dyDescent="0.25">
      <c r="A537" s="22"/>
      <c r="B537" s="64"/>
      <c r="D537" s="76"/>
      <c r="E537" s="76"/>
      <c r="F537" s="76"/>
      <c r="G537" s="76"/>
      <c r="H537" s="76"/>
      <c r="I537" s="76"/>
      <c r="J537" s="65"/>
      <c r="K537" s="79"/>
      <c r="L537" s="79"/>
      <c r="M537" s="79"/>
      <c r="N537" s="234"/>
      <c r="O537" s="41"/>
      <c r="V537" s="40"/>
      <c r="W537" s="79"/>
      <c r="X537" s="79"/>
    </row>
    <row r="538" spans="1:24" x14ac:dyDescent="0.25">
      <c r="A538" s="22"/>
      <c r="B538" s="64"/>
      <c r="D538" s="76"/>
      <c r="E538" s="76"/>
      <c r="F538" s="76"/>
      <c r="G538" s="76"/>
      <c r="H538" s="76"/>
      <c r="I538" s="76"/>
      <c r="J538" s="65"/>
      <c r="K538" s="79"/>
      <c r="L538" s="79"/>
      <c r="M538" s="79"/>
      <c r="N538" s="234"/>
      <c r="O538" s="41"/>
      <c r="V538" s="40"/>
      <c r="W538" s="79"/>
      <c r="X538" s="79"/>
    </row>
    <row r="539" spans="1:24" x14ac:dyDescent="0.25">
      <c r="A539" s="22"/>
      <c r="B539" s="64"/>
      <c r="D539" s="76"/>
      <c r="E539" s="76"/>
      <c r="F539" s="76"/>
      <c r="G539" s="76"/>
      <c r="H539" s="76"/>
      <c r="I539" s="76"/>
      <c r="J539" s="65"/>
      <c r="K539" s="79"/>
      <c r="L539" s="79"/>
      <c r="M539" s="79"/>
      <c r="N539" s="234"/>
      <c r="O539" s="41"/>
      <c r="V539" s="40"/>
      <c r="W539" s="79"/>
      <c r="X539" s="79"/>
    </row>
    <row r="540" spans="1:24" x14ac:dyDescent="0.25">
      <c r="A540" s="22"/>
      <c r="B540" s="61"/>
      <c r="D540" s="77"/>
      <c r="E540" s="77"/>
      <c r="F540" s="77"/>
      <c r="G540" s="77"/>
      <c r="H540" s="77"/>
      <c r="I540" s="77"/>
      <c r="J540" s="55"/>
      <c r="K540" s="79"/>
      <c r="L540" s="79"/>
      <c r="M540" s="79"/>
      <c r="N540" s="234"/>
      <c r="O540" s="41"/>
      <c r="V540" s="40"/>
      <c r="W540" s="79"/>
      <c r="X540" s="79"/>
    </row>
    <row r="541" spans="1:24" x14ac:dyDescent="0.25">
      <c r="A541" s="22"/>
      <c r="B541" s="61"/>
      <c r="D541" s="77"/>
      <c r="E541" s="77"/>
      <c r="F541" s="77"/>
      <c r="G541" s="77"/>
      <c r="H541" s="77"/>
      <c r="I541" s="77"/>
      <c r="J541" s="55"/>
      <c r="K541" s="79"/>
      <c r="L541" s="79"/>
      <c r="M541" s="79"/>
      <c r="N541" s="234"/>
      <c r="O541" s="41"/>
      <c r="V541" s="40"/>
      <c r="W541" s="79"/>
      <c r="X541" s="79"/>
    </row>
    <row r="542" spans="1:24" x14ac:dyDescent="0.25">
      <c r="A542" s="22"/>
      <c r="B542" s="61"/>
      <c r="D542" s="77"/>
      <c r="E542" s="77"/>
      <c r="F542" s="77"/>
      <c r="G542" s="77"/>
      <c r="H542" s="77"/>
      <c r="I542" s="77"/>
      <c r="J542" s="55"/>
      <c r="K542" s="79"/>
      <c r="L542" s="79"/>
      <c r="M542" s="79"/>
      <c r="N542" s="234"/>
      <c r="O542" s="41"/>
      <c r="V542" s="40"/>
      <c r="W542" s="79"/>
      <c r="X542" s="79"/>
    </row>
    <row r="543" spans="1:24" x14ac:dyDescent="0.25">
      <c r="A543" s="22"/>
      <c r="B543" s="61"/>
      <c r="D543" s="77"/>
      <c r="E543" s="77"/>
      <c r="F543" s="77"/>
      <c r="G543" s="77"/>
      <c r="H543" s="77"/>
      <c r="I543" s="77"/>
      <c r="J543" s="55"/>
      <c r="K543" s="79"/>
      <c r="L543" s="79"/>
      <c r="M543" s="79"/>
      <c r="N543" s="234"/>
      <c r="O543" s="41"/>
      <c r="V543" s="40"/>
      <c r="W543" s="79"/>
      <c r="X543" s="79"/>
    </row>
    <row r="544" spans="1:24" x14ac:dyDescent="0.25">
      <c r="A544" s="22"/>
      <c r="B544" s="61"/>
      <c r="D544" s="77"/>
      <c r="E544" s="77"/>
      <c r="F544" s="77"/>
      <c r="G544" s="77"/>
      <c r="H544" s="77"/>
      <c r="I544" s="77"/>
      <c r="J544" s="55"/>
      <c r="K544" s="79"/>
      <c r="L544" s="79"/>
      <c r="M544" s="79"/>
      <c r="N544" s="234"/>
      <c r="O544" s="41"/>
      <c r="V544" s="40"/>
      <c r="W544" s="79"/>
      <c r="X544" s="79"/>
    </row>
    <row r="545" spans="1:24" x14ac:dyDescent="0.25">
      <c r="A545" s="22"/>
      <c r="B545" s="61"/>
      <c r="D545" s="77"/>
      <c r="E545" s="77"/>
      <c r="F545" s="77"/>
      <c r="G545" s="77"/>
      <c r="H545" s="77"/>
      <c r="I545" s="77"/>
      <c r="J545" s="55"/>
      <c r="K545" s="79"/>
      <c r="L545" s="79"/>
      <c r="M545" s="79"/>
      <c r="N545" s="234"/>
      <c r="O545" s="41"/>
      <c r="V545" s="40"/>
      <c r="W545" s="79"/>
      <c r="X545" s="79"/>
    </row>
    <row r="546" spans="1:24" x14ac:dyDescent="0.25">
      <c r="A546" s="22"/>
      <c r="B546" s="61"/>
      <c r="D546" s="77"/>
      <c r="E546" s="77"/>
      <c r="F546" s="77"/>
      <c r="G546" s="77"/>
      <c r="H546" s="77"/>
      <c r="I546" s="77"/>
      <c r="J546" s="55"/>
      <c r="K546" s="79"/>
      <c r="L546" s="79"/>
      <c r="M546" s="79"/>
      <c r="N546" s="234"/>
      <c r="O546" s="41"/>
      <c r="V546" s="40"/>
      <c r="W546" s="79"/>
      <c r="X546" s="79"/>
    </row>
    <row r="547" spans="1:24" x14ac:dyDescent="0.25">
      <c r="A547" s="22"/>
      <c r="B547" s="61"/>
      <c r="D547" s="77"/>
      <c r="E547" s="77"/>
      <c r="F547" s="77"/>
      <c r="G547" s="77"/>
      <c r="H547" s="77"/>
      <c r="I547" s="77"/>
      <c r="J547" s="55"/>
      <c r="K547" s="79"/>
      <c r="L547" s="79"/>
      <c r="M547" s="79"/>
      <c r="N547" s="234"/>
      <c r="O547" s="41"/>
      <c r="V547" s="40"/>
      <c r="W547" s="79"/>
      <c r="X547" s="79"/>
    </row>
    <row r="548" spans="1:24" x14ac:dyDescent="0.25">
      <c r="A548" s="22"/>
      <c r="B548" s="61"/>
      <c r="D548" s="77"/>
      <c r="E548" s="77"/>
      <c r="F548" s="77"/>
      <c r="G548" s="77"/>
      <c r="H548" s="77"/>
      <c r="I548" s="77"/>
      <c r="J548" s="55"/>
      <c r="K548" s="79"/>
      <c r="L548" s="79"/>
      <c r="M548" s="79"/>
      <c r="N548" s="234"/>
      <c r="O548" s="41"/>
      <c r="V548" s="40"/>
      <c r="W548" s="79"/>
      <c r="X548" s="79"/>
    </row>
    <row r="549" spans="1:24" x14ac:dyDescent="0.25">
      <c r="A549" s="22"/>
      <c r="B549" s="61"/>
      <c r="D549" s="77"/>
      <c r="E549" s="77"/>
      <c r="F549" s="77"/>
      <c r="G549" s="77"/>
      <c r="H549" s="77"/>
      <c r="I549" s="77"/>
      <c r="J549" s="55"/>
      <c r="K549" s="79"/>
      <c r="L549" s="79"/>
      <c r="M549" s="79"/>
      <c r="N549" s="234"/>
      <c r="O549" s="41"/>
      <c r="V549" s="40"/>
      <c r="W549" s="79"/>
      <c r="X549" s="79"/>
    </row>
    <row r="550" spans="1:24" x14ac:dyDescent="0.25">
      <c r="A550" s="22"/>
      <c r="B550" s="61"/>
      <c r="D550" s="77"/>
      <c r="E550" s="77"/>
      <c r="F550" s="77"/>
      <c r="G550" s="77"/>
      <c r="H550" s="77"/>
      <c r="I550" s="77"/>
      <c r="J550" s="55"/>
      <c r="K550" s="79"/>
      <c r="L550" s="79"/>
      <c r="M550" s="79"/>
      <c r="N550" s="234"/>
      <c r="O550" s="41"/>
      <c r="V550" s="40"/>
      <c r="W550" s="79"/>
      <c r="X550" s="79"/>
    </row>
    <row r="551" spans="1:24" x14ac:dyDescent="0.25">
      <c r="A551" s="22"/>
      <c r="B551" s="61"/>
      <c r="D551" s="77"/>
      <c r="E551" s="77"/>
      <c r="F551" s="77"/>
      <c r="G551" s="77"/>
      <c r="H551" s="77"/>
      <c r="I551" s="77"/>
      <c r="J551" s="55"/>
      <c r="K551" s="79"/>
      <c r="L551" s="79"/>
      <c r="M551" s="79"/>
      <c r="N551" s="234"/>
      <c r="O551" s="41"/>
      <c r="V551" s="40"/>
      <c r="W551" s="79"/>
      <c r="X551" s="79"/>
    </row>
    <row r="552" spans="1:24" x14ac:dyDescent="0.25">
      <c r="A552" s="22"/>
      <c r="B552" s="61"/>
      <c r="D552" s="77"/>
      <c r="E552" s="77"/>
      <c r="F552" s="77"/>
      <c r="G552" s="77"/>
      <c r="H552" s="77"/>
      <c r="I552" s="77"/>
      <c r="J552" s="55"/>
      <c r="K552" s="79"/>
      <c r="L552" s="79"/>
      <c r="M552" s="79"/>
      <c r="N552" s="234"/>
      <c r="O552" s="41"/>
      <c r="V552" s="40"/>
      <c r="W552" s="79"/>
      <c r="X552" s="79"/>
    </row>
    <row r="553" spans="1:24" x14ac:dyDescent="0.25">
      <c r="A553" s="22"/>
      <c r="B553" s="61"/>
      <c r="D553" s="77"/>
      <c r="E553" s="77"/>
      <c r="F553" s="77"/>
      <c r="G553" s="77"/>
      <c r="H553" s="77"/>
      <c r="I553" s="77"/>
      <c r="J553" s="55"/>
      <c r="K553" s="79"/>
      <c r="L553" s="79"/>
      <c r="M553" s="79"/>
      <c r="N553" s="234"/>
      <c r="O553" s="41"/>
      <c r="V553" s="40"/>
      <c r="W553" s="79"/>
      <c r="X553" s="79"/>
    </row>
    <row r="554" spans="1:24" x14ac:dyDescent="0.25">
      <c r="A554" s="22"/>
      <c r="B554" s="61"/>
      <c r="D554" s="77"/>
      <c r="E554" s="77"/>
      <c r="F554" s="77"/>
      <c r="G554" s="77"/>
      <c r="H554" s="77"/>
      <c r="I554" s="77"/>
      <c r="J554" s="55"/>
      <c r="K554" s="79"/>
      <c r="L554" s="79"/>
      <c r="M554" s="79"/>
      <c r="N554" s="234"/>
      <c r="O554" s="41"/>
      <c r="V554" s="40"/>
      <c r="W554" s="79"/>
      <c r="X554" s="79"/>
    </row>
    <row r="555" spans="1:24" x14ac:dyDescent="0.25">
      <c r="A555" s="22"/>
      <c r="B555" s="61"/>
      <c r="D555" s="77"/>
      <c r="E555" s="77"/>
      <c r="F555" s="77"/>
      <c r="G555" s="77"/>
      <c r="H555" s="77"/>
      <c r="I555" s="77"/>
      <c r="J555" s="55"/>
      <c r="K555" s="79"/>
      <c r="L555" s="79"/>
      <c r="M555" s="79"/>
      <c r="N555" s="234"/>
      <c r="O555" s="41"/>
      <c r="V555" s="40"/>
      <c r="W555" s="79"/>
      <c r="X555" s="79"/>
    </row>
    <row r="556" spans="1:24" x14ac:dyDescent="0.25">
      <c r="A556" s="22"/>
      <c r="B556" s="61"/>
      <c r="D556" s="77"/>
      <c r="E556" s="77"/>
      <c r="F556" s="77"/>
      <c r="G556" s="77"/>
      <c r="H556" s="77"/>
      <c r="I556" s="77"/>
      <c r="J556" s="55"/>
      <c r="K556" s="79"/>
      <c r="L556" s="79"/>
      <c r="M556" s="79"/>
      <c r="N556" s="234"/>
      <c r="O556" s="41"/>
      <c r="V556" s="40"/>
      <c r="W556" s="79"/>
      <c r="X556" s="79"/>
    </row>
    <row r="557" spans="1:24" x14ac:dyDescent="0.25">
      <c r="A557" s="22"/>
      <c r="B557" s="61"/>
      <c r="D557" s="77"/>
      <c r="E557" s="77"/>
      <c r="F557" s="77"/>
      <c r="G557" s="77"/>
      <c r="H557" s="77"/>
      <c r="I557" s="77"/>
      <c r="J557" s="55"/>
      <c r="K557" s="79"/>
      <c r="L557" s="79"/>
      <c r="M557" s="79"/>
      <c r="N557" s="234"/>
      <c r="O557" s="41"/>
      <c r="V557" s="40"/>
      <c r="W557" s="79"/>
      <c r="X557" s="79"/>
    </row>
    <row r="558" spans="1:24" x14ac:dyDescent="0.25">
      <c r="A558" s="22"/>
      <c r="B558" s="61"/>
      <c r="D558" s="77"/>
      <c r="E558" s="77"/>
      <c r="F558" s="77"/>
      <c r="G558" s="77"/>
      <c r="H558" s="77"/>
      <c r="I558" s="77"/>
      <c r="J558" s="55"/>
      <c r="K558" s="79"/>
      <c r="L558" s="79"/>
      <c r="M558" s="79"/>
      <c r="N558" s="234"/>
      <c r="O558" s="41"/>
      <c r="V558" s="40"/>
      <c r="W558" s="79"/>
      <c r="X558" s="79"/>
    </row>
    <row r="559" spans="1:24" x14ac:dyDescent="0.25">
      <c r="A559" s="22"/>
      <c r="B559" s="61"/>
      <c r="D559" s="77"/>
      <c r="E559" s="77"/>
      <c r="F559" s="77"/>
      <c r="G559" s="77"/>
      <c r="H559" s="77"/>
      <c r="I559" s="77"/>
      <c r="J559" s="55"/>
      <c r="K559" s="79"/>
      <c r="L559" s="79"/>
      <c r="M559" s="79"/>
      <c r="N559" s="234"/>
      <c r="O559" s="41"/>
      <c r="V559" s="40"/>
      <c r="W559" s="79"/>
      <c r="X559" s="79"/>
    </row>
    <row r="560" spans="1:24" x14ac:dyDescent="0.25">
      <c r="A560" s="22"/>
      <c r="B560" s="61"/>
      <c r="D560" s="77"/>
      <c r="E560" s="77"/>
      <c r="F560" s="77"/>
      <c r="G560" s="77"/>
      <c r="H560" s="77"/>
      <c r="I560" s="77"/>
      <c r="J560" s="55"/>
      <c r="K560" s="79"/>
      <c r="L560" s="79"/>
      <c r="M560" s="79"/>
      <c r="N560" s="234"/>
      <c r="O560" s="41"/>
      <c r="V560" s="40"/>
      <c r="W560" s="79"/>
      <c r="X560" s="79"/>
    </row>
    <row r="561" spans="1:24" x14ac:dyDescent="0.25">
      <c r="A561" s="22"/>
      <c r="B561" s="61"/>
      <c r="D561" s="77"/>
      <c r="E561" s="77"/>
      <c r="F561" s="77"/>
      <c r="G561" s="77"/>
      <c r="H561" s="77"/>
      <c r="I561" s="77"/>
      <c r="J561" s="55"/>
      <c r="K561" s="79"/>
      <c r="L561" s="79"/>
      <c r="M561" s="79"/>
      <c r="N561" s="234"/>
      <c r="O561" s="41"/>
      <c r="V561" s="40"/>
      <c r="W561" s="79"/>
      <c r="X561" s="79"/>
    </row>
    <row r="562" spans="1:24" x14ac:dyDescent="0.25">
      <c r="A562" s="22"/>
      <c r="B562" s="61"/>
      <c r="D562" s="77"/>
      <c r="E562" s="77"/>
      <c r="F562" s="77"/>
      <c r="G562" s="77"/>
      <c r="H562" s="77"/>
      <c r="I562" s="77"/>
      <c r="J562" s="55"/>
      <c r="K562" s="79"/>
      <c r="L562" s="79"/>
      <c r="M562" s="79"/>
      <c r="N562" s="234"/>
      <c r="O562" s="41"/>
      <c r="V562" s="40"/>
      <c r="W562" s="79"/>
      <c r="X562" s="79"/>
    </row>
    <row r="563" spans="1:24" x14ac:dyDescent="0.25">
      <c r="A563" s="22"/>
      <c r="B563" s="61"/>
      <c r="D563" s="77"/>
      <c r="E563" s="77"/>
      <c r="F563" s="77"/>
      <c r="G563" s="77"/>
      <c r="H563" s="77"/>
      <c r="I563" s="77"/>
      <c r="J563" s="55"/>
      <c r="K563" s="79"/>
      <c r="L563" s="79"/>
      <c r="M563" s="79"/>
      <c r="N563" s="234"/>
      <c r="O563" s="41"/>
      <c r="V563" s="40"/>
      <c r="W563" s="79"/>
      <c r="X563" s="79"/>
    </row>
    <row r="564" spans="1:24" x14ac:dyDescent="0.25">
      <c r="A564" s="22"/>
      <c r="B564" s="61"/>
      <c r="D564" s="77"/>
      <c r="E564" s="77"/>
      <c r="F564" s="77"/>
      <c r="G564" s="77"/>
      <c r="H564" s="77"/>
      <c r="I564" s="77"/>
      <c r="J564" s="55"/>
      <c r="K564" s="79"/>
      <c r="L564" s="79"/>
      <c r="M564" s="79"/>
      <c r="N564" s="234"/>
      <c r="O564" s="41"/>
      <c r="V564" s="40"/>
      <c r="W564" s="79"/>
      <c r="X564" s="79"/>
    </row>
    <row r="565" spans="1:24" x14ac:dyDescent="0.25">
      <c r="A565" s="22"/>
      <c r="B565" s="61"/>
      <c r="D565" s="77"/>
      <c r="E565" s="77"/>
      <c r="F565" s="77"/>
      <c r="G565" s="77"/>
      <c r="H565" s="77"/>
      <c r="I565" s="77"/>
      <c r="J565" s="55"/>
      <c r="K565" s="79"/>
      <c r="L565" s="79"/>
      <c r="M565" s="79"/>
      <c r="N565" s="234"/>
      <c r="O565" s="41"/>
      <c r="V565" s="40"/>
      <c r="W565" s="79"/>
      <c r="X565" s="79"/>
    </row>
    <row r="566" spans="1:24" x14ac:dyDescent="0.25">
      <c r="A566" s="22"/>
      <c r="B566" s="61"/>
      <c r="D566" s="77"/>
      <c r="E566" s="77"/>
      <c r="F566" s="77"/>
      <c r="G566" s="77"/>
      <c r="H566" s="77"/>
      <c r="I566" s="77"/>
      <c r="J566" s="55"/>
      <c r="K566" s="79"/>
      <c r="L566" s="79"/>
      <c r="M566" s="79"/>
      <c r="N566" s="234"/>
      <c r="O566" s="41"/>
      <c r="V566" s="40"/>
      <c r="W566" s="79"/>
      <c r="X566" s="79"/>
    </row>
    <row r="567" spans="1:24" x14ac:dyDescent="0.25">
      <c r="A567" s="22"/>
      <c r="B567" s="61"/>
      <c r="D567" s="77"/>
      <c r="E567" s="77"/>
      <c r="F567" s="77"/>
      <c r="G567" s="77"/>
      <c r="H567" s="77"/>
      <c r="I567" s="77"/>
      <c r="J567" s="55"/>
      <c r="K567" s="79"/>
      <c r="L567" s="79"/>
      <c r="M567" s="79"/>
      <c r="N567" s="234"/>
      <c r="O567" s="41"/>
      <c r="V567" s="40"/>
      <c r="W567" s="79"/>
      <c r="X567" s="79"/>
    </row>
    <row r="568" spans="1:24" x14ac:dyDescent="0.25">
      <c r="A568" s="22"/>
      <c r="B568" s="61"/>
      <c r="D568" s="77"/>
      <c r="E568" s="77"/>
      <c r="F568" s="77"/>
      <c r="G568" s="77"/>
      <c r="H568" s="77"/>
      <c r="I568" s="77"/>
      <c r="J568" s="55"/>
      <c r="K568" s="79"/>
      <c r="L568" s="79"/>
      <c r="M568" s="79"/>
      <c r="N568" s="234"/>
      <c r="O568" s="41"/>
      <c r="V568" s="40"/>
      <c r="W568" s="79"/>
      <c r="X568" s="79"/>
    </row>
    <row r="569" spans="1:24" x14ac:dyDescent="0.25">
      <c r="A569" s="22"/>
      <c r="B569" s="61"/>
      <c r="D569" s="77"/>
      <c r="E569" s="77"/>
      <c r="F569" s="77"/>
      <c r="G569" s="77"/>
      <c r="H569" s="77"/>
      <c r="I569" s="77"/>
      <c r="J569" s="55"/>
      <c r="K569" s="79"/>
      <c r="L569" s="79"/>
      <c r="M569" s="79"/>
      <c r="N569" s="234"/>
      <c r="O569" s="41"/>
      <c r="V569" s="40"/>
      <c r="W569" s="79"/>
      <c r="X569" s="79"/>
    </row>
    <row r="570" spans="1:24" x14ac:dyDescent="0.25">
      <c r="A570" s="22"/>
      <c r="B570" s="61"/>
      <c r="D570" s="77"/>
      <c r="E570" s="77"/>
      <c r="F570" s="77"/>
      <c r="G570" s="77"/>
      <c r="H570" s="77"/>
      <c r="I570" s="77"/>
      <c r="J570" s="55"/>
      <c r="K570" s="79"/>
      <c r="L570" s="79"/>
      <c r="M570" s="79"/>
      <c r="N570" s="234"/>
      <c r="O570" s="41"/>
      <c r="V570" s="40"/>
      <c r="W570" s="79"/>
      <c r="X570" s="79"/>
    </row>
    <row r="571" spans="1:24" x14ac:dyDescent="0.25">
      <c r="A571" s="22"/>
      <c r="B571" s="61"/>
      <c r="D571" s="77"/>
      <c r="E571" s="77"/>
      <c r="F571" s="77"/>
      <c r="G571" s="77"/>
      <c r="H571" s="77"/>
      <c r="I571" s="77"/>
      <c r="J571" s="55"/>
      <c r="K571" s="79"/>
      <c r="L571" s="79"/>
      <c r="M571" s="79"/>
      <c r="N571" s="234"/>
      <c r="O571" s="41"/>
      <c r="V571" s="40"/>
      <c r="W571" s="79"/>
      <c r="X571" s="79"/>
    </row>
    <row r="572" spans="1:24" x14ac:dyDescent="0.25">
      <c r="A572" s="22"/>
      <c r="B572" s="61"/>
      <c r="D572" s="77"/>
      <c r="E572" s="77"/>
      <c r="F572" s="77"/>
      <c r="G572" s="77"/>
      <c r="H572" s="77"/>
      <c r="I572" s="77"/>
      <c r="J572" s="55"/>
      <c r="K572" s="79"/>
      <c r="L572" s="79"/>
      <c r="M572" s="79"/>
      <c r="N572" s="234"/>
      <c r="O572" s="41"/>
      <c r="V572" s="40"/>
      <c r="W572" s="79"/>
      <c r="X572" s="79"/>
    </row>
    <row r="573" spans="1:24" x14ac:dyDescent="0.25">
      <c r="A573" s="22"/>
      <c r="B573" s="61"/>
      <c r="D573" s="77"/>
      <c r="E573" s="77"/>
      <c r="F573" s="77"/>
      <c r="G573" s="77"/>
      <c r="H573" s="77"/>
      <c r="I573" s="77"/>
      <c r="J573" s="55"/>
      <c r="K573" s="79"/>
      <c r="L573" s="79"/>
      <c r="M573" s="79"/>
      <c r="N573" s="234"/>
      <c r="O573" s="41"/>
      <c r="V573" s="40"/>
      <c r="W573" s="79"/>
      <c r="X573" s="79"/>
    </row>
    <row r="574" spans="1:24" x14ac:dyDescent="0.25">
      <c r="A574" s="22"/>
      <c r="B574" s="61"/>
      <c r="D574" s="77"/>
      <c r="E574" s="77"/>
      <c r="F574" s="77"/>
      <c r="G574" s="77"/>
      <c r="H574" s="77"/>
      <c r="I574" s="77"/>
      <c r="J574" s="55"/>
      <c r="K574" s="79"/>
      <c r="L574" s="79"/>
      <c r="M574" s="79"/>
      <c r="N574" s="234"/>
      <c r="O574" s="41"/>
      <c r="V574" s="40"/>
      <c r="W574" s="79"/>
      <c r="X574" s="79"/>
    </row>
    <row r="575" spans="1:24" x14ac:dyDescent="0.25">
      <c r="A575" s="22"/>
      <c r="B575" s="61"/>
      <c r="D575" s="77"/>
      <c r="E575" s="77"/>
      <c r="F575" s="77"/>
      <c r="G575" s="77"/>
      <c r="H575" s="77"/>
      <c r="I575" s="77"/>
      <c r="J575" s="55"/>
      <c r="K575" s="79"/>
      <c r="L575" s="79"/>
      <c r="M575" s="79"/>
      <c r="N575" s="234"/>
      <c r="O575" s="41"/>
      <c r="V575" s="40"/>
      <c r="W575" s="79"/>
      <c r="X575" s="79"/>
    </row>
    <row r="576" spans="1:24" x14ac:dyDescent="0.25">
      <c r="A576" s="22"/>
      <c r="B576" s="61"/>
      <c r="D576" s="77"/>
      <c r="E576" s="77"/>
      <c r="F576" s="77"/>
      <c r="G576" s="77"/>
      <c r="H576" s="77"/>
      <c r="I576" s="77"/>
      <c r="J576" s="55"/>
      <c r="K576" s="79"/>
      <c r="L576" s="79"/>
      <c r="M576" s="79"/>
      <c r="N576" s="234"/>
      <c r="O576" s="41"/>
      <c r="V576" s="40"/>
      <c r="W576" s="79"/>
      <c r="X576" s="79"/>
    </row>
    <row r="577" spans="1:24" x14ac:dyDescent="0.25">
      <c r="A577" s="22"/>
      <c r="B577" s="61"/>
      <c r="D577" s="77"/>
      <c r="E577" s="77"/>
      <c r="F577" s="77"/>
      <c r="G577" s="77"/>
      <c r="H577" s="77"/>
      <c r="I577" s="77"/>
      <c r="J577" s="55"/>
      <c r="K577" s="79"/>
      <c r="L577" s="79"/>
      <c r="M577" s="79"/>
      <c r="N577" s="234"/>
      <c r="O577" s="41"/>
      <c r="V577" s="40"/>
      <c r="W577" s="79"/>
      <c r="X577" s="79"/>
    </row>
    <row r="578" spans="1:24" x14ac:dyDescent="0.25">
      <c r="A578" s="22"/>
      <c r="B578" s="61"/>
      <c r="D578" s="77"/>
      <c r="E578" s="77"/>
      <c r="F578" s="77"/>
      <c r="G578" s="77"/>
      <c r="H578" s="77"/>
      <c r="I578" s="77"/>
      <c r="J578" s="55"/>
      <c r="K578" s="79"/>
      <c r="L578" s="79"/>
      <c r="M578" s="79"/>
      <c r="N578" s="234"/>
      <c r="O578" s="41"/>
      <c r="V578" s="40"/>
      <c r="W578" s="79"/>
      <c r="X578" s="79"/>
    </row>
    <row r="579" spans="1:24" x14ac:dyDescent="0.25">
      <c r="A579" s="22"/>
      <c r="B579" s="61"/>
      <c r="D579" s="77"/>
      <c r="E579" s="77"/>
      <c r="F579" s="77"/>
      <c r="G579" s="77"/>
      <c r="H579" s="77"/>
      <c r="I579" s="77"/>
      <c r="J579" s="55"/>
      <c r="K579" s="79"/>
      <c r="L579" s="79"/>
      <c r="M579" s="79"/>
      <c r="N579" s="234"/>
      <c r="O579" s="41"/>
      <c r="V579" s="40"/>
      <c r="W579" s="79"/>
      <c r="X579" s="79"/>
    </row>
    <row r="580" spans="1:24" x14ac:dyDescent="0.25">
      <c r="A580" s="22"/>
      <c r="B580" s="61"/>
      <c r="D580" s="77"/>
      <c r="E580" s="77"/>
      <c r="F580" s="77"/>
      <c r="G580" s="77"/>
      <c r="H580" s="77"/>
      <c r="I580" s="77"/>
      <c r="J580" s="55"/>
      <c r="K580" s="79"/>
      <c r="L580" s="79"/>
      <c r="M580" s="79"/>
      <c r="N580" s="234"/>
      <c r="O580" s="41"/>
      <c r="V580" s="40"/>
      <c r="W580" s="79"/>
      <c r="X580" s="79"/>
    </row>
    <row r="581" spans="1:24" x14ac:dyDescent="0.25">
      <c r="A581" s="22"/>
      <c r="B581" s="61"/>
      <c r="D581" s="77"/>
      <c r="E581" s="77"/>
      <c r="F581" s="77"/>
      <c r="G581" s="77"/>
      <c r="H581" s="77"/>
      <c r="I581" s="77"/>
      <c r="J581" s="55"/>
      <c r="K581" s="79"/>
      <c r="L581" s="79"/>
      <c r="M581" s="79"/>
      <c r="N581" s="234"/>
      <c r="O581" s="41"/>
      <c r="V581" s="40"/>
      <c r="W581" s="79"/>
      <c r="X581" s="79"/>
    </row>
    <row r="582" spans="1:24" x14ac:dyDescent="0.25">
      <c r="A582" s="22"/>
      <c r="B582" s="61"/>
      <c r="D582" s="77"/>
      <c r="E582" s="77"/>
      <c r="F582" s="77"/>
      <c r="G582" s="77"/>
      <c r="H582" s="77"/>
      <c r="I582" s="77"/>
      <c r="J582" s="55"/>
      <c r="K582" s="79"/>
      <c r="L582" s="79"/>
      <c r="M582" s="79"/>
      <c r="N582" s="234"/>
      <c r="O582" s="41"/>
      <c r="V582" s="40"/>
      <c r="W582" s="79"/>
      <c r="X582" s="79"/>
    </row>
    <row r="583" spans="1:24" x14ac:dyDescent="0.25">
      <c r="A583" s="22"/>
      <c r="B583" s="61"/>
      <c r="D583" s="77"/>
      <c r="E583" s="77"/>
      <c r="F583" s="77"/>
      <c r="G583" s="77"/>
      <c r="H583" s="77"/>
      <c r="I583" s="77"/>
      <c r="J583" s="55"/>
      <c r="K583" s="79"/>
      <c r="L583" s="79"/>
      <c r="M583" s="79"/>
      <c r="N583" s="234"/>
      <c r="O583" s="41"/>
      <c r="V583" s="40"/>
      <c r="W583" s="79"/>
      <c r="X583" s="79"/>
    </row>
    <row r="584" spans="1:24" x14ac:dyDescent="0.25">
      <c r="A584" s="22"/>
      <c r="B584" s="61"/>
      <c r="D584" s="77"/>
      <c r="E584" s="77"/>
      <c r="F584" s="77"/>
      <c r="G584" s="77"/>
      <c r="H584" s="77"/>
      <c r="I584" s="77"/>
      <c r="J584" s="55"/>
      <c r="K584" s="79"/>
      <c r="L584" s="79"/>
      <c r="M584" s="79"/>
      <c r="N584" s="234"/>
      <c r="O584" s="41"/>
      <c r="V584" s="40"/>
      <c r="W584" s="79"/>
      <c r="X584" s="79"/>
    </row>
    <row r="585" spans="1:24" x14ac:dyDescent="0.25">
      <c r="A585" s="22"/>
      <c r="B585" s="61"/>
      <c r="D585" s="77"/>
      <c r="E585" s="77"/>
      <c r="F585" s="77"/>
      <c r="G585" s="77"/>
      <c r="H585" s="77"/>
      <c r="I585" s="77"/>
      <c r="J585" s="55"/>
      <c r="K585" s="79"/>
      <c r="L585" s="79"/>
      <c r="M585" s="79"/>
      <c r="N585" s="234"/>
      <c r="O585" s="41"/>
      <c r="V585" s="40"/>
      <c r="W585" s="79"/>
      <c r="X585" s="79"/>
    </row>
    <row r="586" spans="1:24" x14ac:dyDescent="0.25">
      <c r="A586" s="22"/>
      <c r="B586" s="61"/>
      <c r="D586" s="77"/>
      <c r="E586" s="77"/>
      <c r="F586" s="77"/>
      <c r="G586" s="77"/>
      <c r="H586" s="77"/>
      <c r="I586" s="77"/>
      <c r="J586" s="55"/>
      <c r="K586" s="79"/>
      <c r="L586" s="79"/>
      <c r="M586" s="79"/>
      <c r="N586" s="234"/>
      <c r="O586" s="41"/>
      <c r="V586" s="40"/>
      <c r="W586" s="79"/>
      <c r="X586" s="79"/>
    </row>
    <row r="587" spans="1:24" x14ac:dyDescent="0.25">
      <c r="A587" s="22"/>
      <c r="B587" s="61"/>
      <c r="D587" s="77"/>
      <c r="E587" s="77"/>
      <c r="F587" s="77"/>
      <c r="G587" s="77"/>
      <c r="H587" s="77"/>
      <c r="I587" s="77"/>
      <c r="J587" s="55"/>
      <c r="K587" s="79"/>
      <c r="L587" s="79"/>
      <c r="M587" s="79"/>
      <c r="N587" s="234"/>
      <c r="O587" s="41"/>
      <c r="V587" s="40"/>
      <c r="W587" s="79"/>
      <c r="X587" s="79"/>
    </row>
    <row r="588" spans="1:24" x14ac:dyDescent="0.25">
      <c r="A588" s="22"/>
      <c r="B588" s="61"/>
      <c r="D588" s="77"/>
      <c r="E588" s="77"/>
      <c r="F588" s="77"/>
      <c r="G588" s="77"/>
      <c r="H588" s="77"/>
      <c r="I588" s="77"/>
      <c r="J588" s="55"/>
      <c r="K588" s="79"/>
      <c r="L588" s="79"/>
      <c r="M588" s="79"/>
      <c r="N588" s="234"/>
      <c r="O588" s="41"/>
      <c r="V588" s="40"/>
      <c r="W588" s="79"/>
      <c r="X588" s="79"/>
    </row>
    <row r="589" spans="1:24" x14ac:dyDescent="0.25">
      <c r="A589" s="22"/>
      <c r="B589" s="61"/>
      <c r="D589" s="77"/>
      <c r="E589" s="77"/>
      <c r="F589" s="77"/>
      <c r="G589" s="77"/>
      <c r="H589" s="77"/>
      <c r="I589" s="77"/>
      <c r="J589" s="55"/>
      <c r="K589" s="79"/>
      <c r="L589" s="79"/>
      <c r="M589" s="79"/>
      <c r="N589" s="234"/>
      <c r="O589" s="41"/>
      <c r="V589" s="40"/>
      <c r="W589" s="79"/>
      <c r="X589" s="79"/>
    </row>
    <row r="590" spans="1:24" x14ac:dyDescent="0.25">
      <c r="A590" s="22"/>
      <c r="B590" s="61"/>
      <c r="D590" s="77"/>
      <c r="E590" s="77"/>
      <c r="F590" s="77"/>
      <c r="G590" s="77"/>
      <c r="H590" s="77"/>
      <c r="I590" s="77"/>
      <c r="J590" s="55"/>
      <c r="K590" s="79"/>
      <c r="L590" s="79"/>
      <c r="M590" s="79"/>
      <c r="N590" s="234"/>
      <c r="O590" s="41"/>
      <c r="V590" s="40"/>
      <c r="W590" s="79"/>
      <c r="X590" s="79"/>
    </row>
    <row r="591" spans="1:24" x14ac:dyDescent="0.25">
      <c r="A591" s="22"/>
      <c r="B591" s="61"/>
      <c r="D591" s="77"/>
      <c r="E591" s="77"/>
      <c r="F591" s="77"/>
      <c r="G591" s="77"/>
      <c r="H591" s="77"/>
      <c r="I591" s="77"/>
      <c r="J591" s="55"/>
      <c r="K591" s="79"/>
      <c r="L591" s="79"/>
      <c r="M591" s="79"/>
      <c r="N591" s="234"/>
      <c r="O591" s="41"/>
      <c r="V591" s="40"/>
      <c r="W591" s="79"/>
      <c r="X591" s="79"/>
    </row>
    <row r="592" spans="1:24" x14ac:dyDescent="0.25">
      <c r="A592" s="22"/>
      <c r="B592" s="61"/>
      <c r="D592" s="77"/>
      <c r="E592" s="77"/>
      <c r="F592" s="77"/>
      <c r="G592" s="77"/>
      <c r="H592" s="77"/>
      <c r="I592" s="77"/>
      <c r="J592" s="55"/>
      <c r="K592" s="79"/>
      <c r="L592" s="79"/>
      <c r="M592" s="79"/>
      <c r="N592" s="234"/>
      <c r="O592" s="41"/>
      <c r="V592" s="40"/>
      <c r="W592" s="79"/>
      <c r="X592" s="79"/>
    </row>
    <row r="593" spans="1:24" x14ac:dyDescent="0.25">
      <c r="A593" s="22"/>
      <c r="B593" s="61"/>
      <c r="D593" s="77"/>
      <c r="E593" s="77"/>
      <c r="F593" s="77"/>
      <c r="G593" s="77"/>
      <c r="H593" s="77"/>
      <c r="I593" s="77"/>
      <c r="J593" s="55"/>
      <c r="K593" s="79"/>
      <c r="L593" s="79"/>
      <c r="M593" s="79"/>
      <c r="N593" s="234"/>
      <c r="O593" s="41"/>
      <c r="V593" s="40"/>
      <c r="W593" s="79"/>
      <c r="X593" s="79"/>
    </row>
    <row r="594" spans="1:24" x14ac:dyDescent="0.25">
      <c r="A594" s="22"/>
      <c r="B594" s="61"/>
      <c r="D594" s="77"/>
      <c r="E594" s="77"/>
      <c r="F594" s="77"/>
      <c r="G594" s="77"/>
      <c r="H594" s="77"/>
      <c r="I594" s="77"/>
      <c r="J594" s="55"/>
      <c r="K594" s="79"/>
      <c r="L594" s="79"/>
      <c r="M594" s="79"/>
      <c r="N594" s="234"/>
      <c r="O594" s="41"/>
      <c r="V594" s="40"/>
      <c r="W594" s="79"/>
      <c r="X594" s="79"/>
    </row>
    <row r="595" spans="1:24" x14ac:dyDescent="0.25">
      <c r="A595" s="22"/>
      <c r="B595" s="61"/>
      <c r="D595" s="77"/>
      <c r="E595" s="77"/>
      <c r="F595" s="77"/>
      <c r="G595" s="77"/>
      <c r="H595" s="77"/>
      <c r="I595" s="77"/>
      <c r="J595" s="55"/>
      <c r="K595" s="79"/>
      <c r="L595" s="79"/>
      <c r="M595" s="79"/>
      <c r="N595" s="234"/>
      <c r="O595" s="41"/>
      <c r="V595" s="40"/>
      <c r="W595" s="79"/>
      <c r="X595" s="79"/>
    </row>
    <row r="596" spans="1:24" x14ac:dyDescent="0.25">
      <c r="A596" s="22"/>
      <c r="B596" s="61"/>
      <c r="D596" s="77"/>
      <c r="E596" s="77"/>
      <c r="F596" s="77"/>
      <c r="G596" s="77"/>
      <c r="H596" s="77"/>
      <c r="I596" s="77"/>
      <c r="J596" s="55"/>
      <c r="K596" s="79"/>
      <c r="L596" s="79"/>
      <c r="M596" s="79"/>
      <c r="N596" s="234"/>
      <c r="O596" s="41"/>
      <c r="V596" s="40"/>
      <c r="W596" s="79"/>
      <c r="X596" s="79"/>
    </row>
    <row r="597" spans="1:24" x14ac:dyDescent="0.25">
      <c r="A597" s="22"/>
      <c r="B597" s="61"/>
      <c r="D597" s="78"/>
      <c r="E597" s="78"/>
      <c r="F597" s="78"/>
      <c r="G597" s="78"/>
      <c r="H597" s="78"/>
      <c r="I597" s="77"/>
      <c r="J597" s="61"/>
      <c r="K597" s="80"/>
      <c r="L597" s="80"/>
      <c r="M597" s="80"/>
      <c r="N597" s="234"/>
      <c r="O597" s="41"/>
      <c r="V597" s="40"/>
      <c r="W597" s="80"/>
      <c r="X597" s="80"/>
    </row>
    <row r="598" spans="1:24" x14ac:dyDescent="0.25">
      <c r="A598" s="22"/>
      <c r="B598" s="61"/>
      <c r="D598" s="78"/>
      <c r="E598" s="78"/>
      <c r="F598" s="78"/>
      <c r="G598" s="78"/>
      <c r="H598" s="78"/>
      <c r="I598" s="77"/>
      <c r="J598" s="61"/>
      <c r="K598" s="80"/>
      <c r="L598" s="80"/>
      <c r="M598" s="80"/>
      <c r="N598" s="234"/>
      <c r="O598" s="41"/>
      <c r="V598" s="40"/>
      <c r="W598" s="80"/>
      <c r="X598" s="80"/>
    </row>
    <row r="599" spans="1:24" x14ac:dyDescent="0.25">
      <c r="A599" s="22"/>
      <c r="B599" s="61"/>
      <c r="D599" s="78"/>
      <c r="E599" s="78"/>
      <c r="F599" s="78"/>
      <c r="G599" s="78"/>
      <c r="H599" s="78"/>
      <c r="I599" s="77"/>
      <c r="J599" s="61"/>
      <c r="K599" s="80"/>
      <c r="L599" s="80"/>
      <c r="M599" s="80"/>
      <c r="N599" s="234"/>
      <c r="O599" s="41"/>
      <c r="V599" s="40"/>
      <c r="W599" s="80"/>
      <c r="X599" s="80"/>
    </row>
    <row r="600" spans="1:24" x14ac:dyDescent="0.25">
      <c r="A600" s="22"/>
      <c r="B600" s="61"/>
      <c r="D600" s="78"/>
      <c r="E600" s="78"/>
      <c r="F600" s="78"/>
      <c r="G600" s="78"/>
      <c r="H600" s="78"/>
      <c r="I600" s="77"/>
      <c r="J600" s="61"/>
      <c r="K600" s="80"/>
      <c r="L600" s="80"/>
      <c r="M600" s="80"/>
      <c r="N600" s="234"/>
      <c r="O600" s="41"/>
      <c r="V600" s="40"/>
      <c r="W600" s="80"/>
      <c r="X600" s="80"/>
    </row>
    <row r="601" spans="1:24" x14ac:dyDescent="0.25">
      <c r="A601" s="22"/>
      <c r="B601" s="61"/>
      <c r="D601" s="78"/>
      <c r="E601" s="78"/>
      <c r="F601" s="78"/>
      <c r="G601" s="78"/>
      <c r="H601" s="78"/>
      <c r="I601" s="77"/>
      <c r="J601" s="61"/>
      <c r="K601" s="80"/>
      <c r="L601" s="80"/>
      <c r="M601" s="80"/>
      <c r="N601" s="234"/>
      <c r="O601" s="41"/>
      <c r="V601" s="40"/>
      <c r="W601" s="80"/>
      <c r="X601" s="80"/>
    </row>
    <row r="602" spans="1:24" x14ac:dyDescent="0.25">
      <c r="A602" s="22"/>
      <c r="D602" s="53"/>
      <c r="E602" s="53"/>
      <c r="F602" s="53"/>
      <c r="G602" s="53"/>
      <c r="H602" s="53"/>
      <c r="I602" s="52"/>
      <c r="J602" s="41"/>
      <c r="K602" s="80"/>
      <c r="L602" s="80"/>
      <c r="M602" s="80"/>
      <c r="N602" s="234"/>
      <c r="O602" s="41"/>
      <c r="V602" s="40"/>
      <c r="W602" s="80"/>
      <c r="X602" s="80"/>
    </row>
    <row r="603" spans="1:24" x14ac:dyDescent="0.25">
      <c r="A603" s="22"/>
      <c r="D603" s="53"/>
      <c r="E603" s="53"/>
      <c r="F603" s="53"/>
      <c r="G603" s="53"/>
      <c r="H603" s="53"/>
      <c r="I603" s="52"/>
      <c r="J603" s="41"/>
      <c r="K603" s="80"/>
      <c r="L603" s="80"/>
      <c r="M603" s="80"/>
      <c r="N603" s="234"/>
      <c r="O603" s="41"/>
      <c r="V603" s="40"/>
      <c r="W603" s="80"/>
      <c r="X603" s="80"/>
    </row>
    <row r="604" spans="1:24" x14ac:dyDescent="0.25">
      <c r="A604" s="22"/>
      <c r="D604" s="53"/>
      <c r="E604" s="53"/>
      <c r="F604" s="53"/>
      <c r="G604" s="53"/>
      <c r="H604" s="53"/>
      <c r="I604" s="52"/>
      <c r="J604" s="41"/>
      <c r="K604" s="80"/>
      <c r="L604" s="80"/>
      <c r="M604" s="80"/>
      <c r="N604" s="234"/>
      <c r="O604" s="41"/>
      <c r="V604" s="40"/>
      <c r="W604" s="80"/>
      <c r="X604" s="80"/>
    </row>
    <row r="605" spans="1:24" x14ac:dyDescent="0.25">
      <c r="A605" s="22"/>
      <c r="D605" s="53"/>
      <c r="E605" s="53"/>
      <c r="F605" s="53"/>
      <c r="G605" s="53"/>
      <c r="H605" s="53"/>
      <c r="I605" s="52"/>
      <c r="J605" s="41"/>
      <c r="K605" s="80"/>
      <c r="L605" s="80"/>
      <c r="M605" s="80"/>
      <c r="N605" s="234"/>
      <c r="O605" s="41"/>
      <c r="V605" s="40"/>
      <c r="W605" s="80"/>
      <c r="X605" s="80"/>
    </row>
    <row r="606" spans="1:24" x14ac:dyDescent="0.25">
      <c r="A606" s="22"/>
      <c r="D606" s="53"/>
      <c r="E606" s="53"/>
      <c r="F606" s="53"/>
      <c r="G606" s="53"/>
      <c r="H606" s="53"/>
      <c r="I606" s="52"/>
      <c r="J606" s="41"/>
      <c r="K606" s="80"/>
      <c r="L606" s="80"/>
      <c r="M606" s="80"/>
      <c r="N606" s="234"/>
      <c r="O606" s="41"/>
      <c r="V606" s="40"/>
      <c r="W606" s="80"/>
      <c r="X606" s="80"/>
    </row>
    <row r="607" spans="1:24" x14ac:dyDescent="0.25">
      <c r="A607" s="22"/>
      <c r="D607" s="53"/>
      <c r="E607" s="53"/>
      <c r="F607" s="53"/>
      <c r="G607" s="53"/>
      <c r="H607" s="53"/>
      <c r="I607" s="52"/>
      <c r="J607" s="41"/>
      <c r="K607" s="80"/>
      <c r="L607" s="80"/>
      <c r="M607" s="80"/>
      <c r="N607" s="234"/>
      <c r="O607" s="41"/>
      <c r="V607" s="40"/>
      <c r="W607" s="80"/>
      <c r="X607" s="80"/>
    </row>
    <row r="608" spans="1:24" x14ac:dyDescent="0.25">
      <c r="A608" s="22"/>
      <c r="D608" s="53"/>
      <c r="E608" s="53"/>
      <c r="F608" s="53"/>
      <c r="G608" s="53"/>
      <c r="H608" s="53"/>
      <c r="I608" s="52"/>
      <c r="J608" s="41"/>
      <c r="K608" s="80"/>
      <c r="L608" s="80"/>
      <c r="M608" s="80"/>
      <c r="N608" s="234"/>
      <c r="O608" s="41"/>
      <c r="V608" s="40"/>
      <c r="W608" s="80"/>
      <c r="X608" s="80"/>
    </row>
    <row r="609" spans="1:24" x14ac:dyDescent="0.25">
      <c r="A609" s="22"/>
      <c r="D609" s="53"/>
      <c r="E609" s="53"/>
      <c r="F609" s="53"/>
      <c r="G609" s="53"/>
      <c r="H609" s="53"/>
      <c r="I609" s="52"/>
      <c r="J609" s="41"/>
      <c r="K609" s="80"/>
      <c r="L609" s="80"/>
      <c r="M609" s="80"/>
      <c r="N609" s="234"/>
      <c r="O609" s="41"/>
      <c r="V609" s="40"/>
      <c r="W609" s="80"/>
      <c r="X609" s="80"/>
    </row>
    <row r="610" spans="1:24" x14ac:dyDescent="0.25">
      <c r="A610" s="22"/>
      <c r="D610" s="53"/>
      <c r="E610" s="53"/>
      <c r="F610" s="53"/>
      <c r="G610" s="53"/>
      <c r="H610" s="53"/>
      <c r="I610" s="52"/>
      <c r="J610" s="41"/>
      <c r="K610" s="80"/>
      <c r="L610" s="80"/>
      <c r="M610" s="80"/>
      <c r="N610" s="234"/>
      <c r="O610" s="41"/>
      <c r="V610" s="40"/>
      <c r="W610" s="80"/>
      <c r="X610" s="80"/>
    </row>
    <row r="611" spans="1:24" x14ac:dyDescent="0.25">
      <c r="A611" s="22"/>
      <c r="D611" s="53"/>
      <c r="E611" s="53"/>
      <c r="F611" s="53"/>
      <c r="G611" s="53"/>
      <c r="H611" s="53"/>
      <c r="I611" s="52"/>
      <c r="J611" s="41"/>
      <c r="K611" s="80"/>
      <c r="L611" s="80"/>
      <c r="M611" s="80"/>
      <c r="N611" s="234"/>
      <c r="O611" s="41"/>
      <c r="V611" s="40"/>
      <c r="W611" s="80"/>
      <c r="X611" s="80"/>
    </row>
    <row r="612" spans="1:24" x14ac:dyDescent="0.25">
      <c r="A612" s="22"/>
      <c r="D612" s="53"/>
      <c r="E612" s="53"/>
      <c r="F612" s="53"/>
      <c r="G612" s="53"/>
      <c r="H612" s="53"/>
      <c r="I612" s="52"/>
      <c r="J612" s="41"/>
      <c r="K612" s="80"/>
      <c r="L612" s="80"/>
      <c r="M612" s="80"/>
      <c r="N612" s="234"/>
      <c r="O612" s="41"/>
      <c r="V612" s="40"/>
      <c r="W612" s="80"/>
      <c r="X612" s="80"/>
    </row>
    <row r="613" spans="1:24" x14ac:dyDescent="0.25">
      <c r="A613" s="22"/>
      <c r="D613" s="53"/>
      <c r="E613" s="53"/>
      <c r="F613" s="53"/>
      <c r="G613" s="53"/>
      <c r="H613" s="53"/>
      <c r="I613" s="52"/>
      <c r="J613" s="41"/>
      <c r="K613" s="80"/>
      <c r="L613" s="80"/>
      <c r="M613" s="80"/>
      <c r="N613" s="234"/>
      <c r="O613" s="41"/>
      <c r="V613" s="40"/>
      <c r="W613" s="80"/>
      <c r="X613" s="80"/>
    </row>
    <row r="614" spans="1:24" x14ac:dyDescent="0.25">
      <c r="A614" s="22"/>
      <c r="D614" s="53"/>
      <c r="E614" s="53"/>
      <c r="F614" s="53"/>
      <c r="G614" s="53"/>
      <c r="H614" s="53"/>
      <c r="I614" s="52"/>
      <c r="J614" s="41"/>
      <c r="K614" s="80"/>
      <c r="L614" s="80"/>
      <c r="M614" s="80"/>
      <c r="N614" s="234"/>
      <c r="O614" s="41"/>
      <c r="V614" s="40"/>
      <c r="W614" s="80"/>
      <c r="X614" s="80"/>
    </row>
    <row r="615" spans="1:24" x14ac:dyDescent="0.25">
      <c r="A615" s="22"/>
      <c r="D615" s="53"/>
      <c r="E615" s="53"/>
      <c r="F615" s="53"/>
      <c r="G615" s="53"/>
      <c r="H615" s="53"/>
      <c r="I615" s="52"/>
      <c r="J615" s="41"/>
      <c r="K615" s="80"/>
      <c r="L615" s="80"/>
      <c r="M615" s="80"/>
      <c r="N615" s="234"/>
      <c r="O615" s="41"/>
      <c r="V615" s="40"/>
      <c r="W615" s="80"/>
      <c r="X615" s="80"/>
    </row>
    <row r="616" spans="1:24" x14ac:dyDescent="0.25">
      <c r="A616" s="22"/>
      <c r="D616" s="53"/>
      <c r="E616" s="53"/>
      <c r="F616" s="53"/>
      <c r="G616" s="53"/>
      <c r="H616" s="53"/>
      <c r="I616" s="52"/>
      <c r="J616" s="41"/>
      <c r="K616" s="80"/>
      <c r="L616" s="80"/>
      <c r="M616" s="80"/>
      <c r="N616" s="234"/>
      <c r="O616" s="41"/>
      <c r="V616" s="40"/>
      <c r="W616" s="80"/>
      <c r="X616" s="80"/>
    </row>
    <row r="617" spans="1:24" x14ac:dyDescent="0.25">
      <c r="A617" s="22"/>
      <c r="D617" s="53"/>
      <c r="E617" s="53"/>
      <c r="F617" s="53"/>
      <c r="G617" s="53"/>
      <c r="H617" s="53"/>
      <c r="I617" s="52"/>
      <c r="J617" s="41"/>
      <c r="K617" s="80"/>
      <c r="L617" s="80"/>
      <c r="M617" s="80"/>
      <c r="N617" s="234"/>
      <c r="O617" s="41"/>
      <c r="V617" s="40"/>
      <c r="W617" s="80"/>
      <c r="X617" s="80"/>
    </row>
    <row r="618" spans="1:24" x14ac:dyDescent="0.25">
      <c r="A618" s="22"/>
      <c r="D618" s="53"/>
      <c r="E618" s="53"/>
      <c r="F618" s="53"/>
      <c r="G618" s="53"/>
      <c r="H618" s="53"/>
      <c r="I618" s="52"/>
      <c r="J618" s="41"/>
      <c r="K618" s="80"/>
      <c r="L618" s="80"/>
      <c r="M618" s="80"/>
      <c r="N618" s="234"/>
      <c r="O618" s="41"/>
      <c r="V618" s="40"/>
      <c r="W618" s="80"/>
      <c r="X618" s="80"/>
    </row>
    <row r="619" spans="1:24" x14ac:dyDescent="0.25">
      <c r="A619" s="22"/>
      <c r="D619" s="53"/>
      <c r="E619" s="53"/>
      <c r="F619" s="53"/>
      <c r="G619" s="53"/>
      <c r="H619" s="53"/>
      <c r="I619" s="52"/>
      <c r="J619" s="41"/>
      <c r="K619" s="80"/>
      <c r="L619" s="80"/>
      <c r="M619" s="80"/>
      <c r="N619" s="234"/>
      <c r="O619" s="41"/>
      <c r="V619" s="40"/>
      <c r="W619" s="80"/>
      <c r="X619" s="80"/>
    </row>
    <row r="620" spans="1:24" x14ac:dyDescent="0.25">
      <c r="A620" s="22"/>
      <c r="D620" s="53"/>
      <c r="E620" s="53"/>
      <c r="F620" s="53"/>
      <c r="G620" s="53"/>
      <c r="H620" s="53"/>
      <c r="I620" s="52"/>
      <c r="J620" s="41"/>
      <c r="K620" s="80"/>
      <c r="L620" s="80"/>
      <c r="M620" s="80"/>
      <c r="N620" s="234"/>
      <c r="O620" s="41"/>
      <c r="V620" s="40"/>
      <c r="W620" s="80"/>
      <c r="X620" s="80"/>
    </row>
    <row r="621" spans="1:24" x14ac:dyDescent="0.25">
      <c r="A621" s="22"/>
      <c r="D621" s="53"/>
      <c r="E621" s="53"/>
      <c r="F621" s="53"/>
      <c r="G621" s="53"/>
      <c r="H621" s="53"/>
      <c r="I621" s="52"/>
      <c r="J621" s="41"/>
      <c r="K621" s="80"/>
      <c r="L621" s="80"/>
      <c r="M621" s="80"/>
      <c r="N621" s="234"/>
      <c r="O621" s="41"/>
      <c r="V621" s="40"/>
      <c r="W621" s="80"/>
      <c r="X621" s="80"/>
    </row>
    <row r="622" spans="1:24" x14ac:dyDescent="0.25">
      <c r="A622" s="22"/>
      <c r="D622" s="53"/>
      <c r="E622" s="53"/>
      <c r="F622" s="53"/>
      <c r="G622" s="53"/>
      <c r="H622" s="53"/>
      <c r="I622" s="52"/>
      <c r="J622" s="41"/>
      <c r="K622" s="80"/>
      <c r="L622" s="80"/>
      <c r="M622" s="80"/>
      <c r="N622" s="234"/>
      <c r="O622" s="41"/>
      <c r="V622" s="40"/>
      <c r="W622" s="80"/>
      <c r="X622" s="80"/>
    </row>
    <row r="623" spans="1:24" x14ac:dyDescent="0.25">
      <c r="A623" s="22"/>
      <c r="D623" s="53"/>
      <c r="E623" s="53"/>
      <c r="F623" s="53"/>
      <c r="G623" s="53"/>
      <c r="H623" s="53"/>
      <c r="I623" s="52"/>
      <c r="J623" s="41"/>
      <c r="K623" s="80"/>
      <c r="L623" s="80"/>
      <c r="M623" s="80"/>
      <c r="N623" s="234"/>
      <c r="O623" s="41"/>
      <c r="V623" s="40"/>
      <c r="W623" s="80"/>
      <c r="X623" s="80"/>
    </row>
    <row r="624" spans="1:24" x14ac:dyDescent="0.25">
      <c r="A624" s="22"/>
      <c r="D624" s="53"/>
      <c r="E624" s="53"/>
      <c r="F624" s="53"/>
      <c r="G624" s="53"/>
      <c r="H624" s="53"/>
      <c r="I624" s="52"/>
      <c r="J624" s="41"/>
      <c r="K624" s="80"/>
      <c r="L624" s="80"/>
      <c r="M624" s="80"/>
      <c r="N624" s="234"/>
      <c r="O624" s="41"/>
      <c r="V624" s="40"/>
      <c r="W624" s="80"/>
      <c r="X624" s="80"/>
    </row>
    <row r="625" spans="1:24" x14ac:dyDescent="0.25">
      <c r="A625" s="22"/>
      <c r="D625" s="53"/>
      <c r="E625" s="53"/>
      <c r="F625" s="53"/>
      <c r="G625" s="53"/>
      <c r="H625" s="53"/>
      <c r="I625" s="52"/>
      <c r="J625" s="41"/>
      <c r="K625" s="80"/>
      <c r="L625" s="80"/>
      <c r="M625" s="80"/>
      <c r="N625" s="234"/>
      <c r="O625" s="41"/>
      <c r="V625" s="40"/>
      <c r="W625" s="80"/>
      <c r="X625" s="80"/>
    </row>
    <row r="626" spans="1:24" x14ac:dyDescent="0.25">
      <c r="A626" s="22"/>
      <c r="D626" s="53"/>
      <c r="E626" s="53"/>
      <c r="F626" s="53"/>
      <c r="G626" s="53"/>
      <c r="H626" s="53"/>
      <c r="I626" s="52"/>
      <c r="J626" s="41"/>
      <c r="K626" s="80"/>
      <c r="L626" s="80"/>
      <c r="M626" s="80"/>
      <c r="N626" s="234"/>
      <c r="O626" s="41"/>
      <c r="V626" s="40"/>
      <c r="W626" s="80"/>
      <c r="X626" s="80"/>
    </row>
    <row r="627" spans="1:24" x14ac:dyDescent="0.25">
      <c r="A627" s="22"/>
      <c r="D627" s="53"/>
      <c r="E627" s="53"/>
      <c r="F627" s="53"/>
      <c r="G627" s="53"/>
      <c r="H627" s="53"/>
      <c r="I627" s="52"/>
      <c r="J627" s="41"/>
      <c r="K627" s="80"/>
      <c r="L627" s="80"/>
      <c r="M627" s="80"/>
      <c r="N627" s="234"/>
      <c r="O627" s="41"/>
      <c r="V627" s="40"/>
      <c r="W627" s="80"/>
      <c r="X627" s="80"/>
    </row>
    <row r="628" spans="1:24" x14ac:dyDescent="0.25">
      <c r="A628" s="22"/>
      <c r="D628" s="53"/>
      <c r="E628" s="53"/>
      <c r="F628" s="53"/>
      <c r="G628" s="53"/>
      <c r="H628" s="53"/>
      <c r="I628" s="52"/>
      <c r="J628" s="41"/>
      <c r="K628" s="80"/>
      <c r="L628" s="80"/>
      <c r="M628" s="80"/>
      <c r="N628" s="234"/>
      <c r="O628" s="41"/>
      <c r="V628" s="40"/>
      <c r="W628" s="80"/>
      <c r="X628" s="80"/>
    </row>
    <row r="629" spans="1:24" x14ac:dyDescent="0.25">
      <c r="A629" s="22"/>
      <c r="D629" s="53"/>
      <c r="E629" s="53"/>
      <c r="F629" s="53"/>
      <c r="G629" s="53"/>
      <c r="H629" s="53"/>
      <c r="I629" s="52"/>
      <c r="J629" s="41"/>
      <c r="K629" s="80"/>
      <c r="L629" s="80"/>
      <c r="M629" s="80"/>
      <c r="N629" s="234"/>
      <c r="O629" s="41"/>
      <c r="V629" s="40"/>
      <c r="W629" s="80"/>
      <c r="X629" s="80"/>
    </row>
    <row r="630" spans="1:24" x14ac:dyDescent="0.25">
      <c r="A630" s="22"/>
      <c r="D630" s="53"/>
      <c r="E630" s="53"/>
      <c r="F630" s="53"/>
      <c r="G630" s="53"/>
      <c r="H630" s="53"/>
      <c r="I630" s="52"/>
      <c r="J630" s="41"/>
      <c r="K630" s="80"/>
      <c r="L630" s="80"/>
      <c r="M630" s="80"/>
      <c r="N630" s="234"/>
      <c r="O630" s="41"/>
      <c r="V630" s="40"/>
      <c r="W630" s="80"/>
      <c r="X630" s="80"/>
    </row>
    <row r="631" spans="1:24" x14ac:dyDescent="0.25">
      <c r="A631" s="22"/>
      <c r="D631" s="53"/>
      <c r="E631" s="53"/>
      <c r="F631" s="53"/>
      <c r="G631" s="53"/>
      <c r="H631" s="53"/>
      <c r="I631" s="52"/>
      <c r="J631" s="41"/>
      <c r="K631" s="80"/>
      <c r="L631" s="80"/>
      <c r="M631" s="80"/>
      <c r="N631" s="234"/>
      <c r="O631" s="41"/>
      <c r="V631" s="40"/>
      <c r="W631" s="80"/>
      <c r="X631" s="80"/>
    </row>
    <row r="632" spans="1:24" x14ac:dyDescent="0.25">
      <c r="A632" s="22"/>
      <c r="D632" s="53"/>
      <c r="E632" s="53"/>
      <c r="F632" s="53"/>
      <c r="G632" s="53"/>
      <c r="H632" s="53"/>
      <c r="I632" s="52"/>
      <c r="J632" s="41"/>
      <c r="K632" s="80"/>
      <c r="L632" s="80"/>
      <c r="M632" s="80"/>
      <c r="N632" s="234"/>
      <c r="O632" s="41"/>
      <c r="V632" s="40"/>
      <c r="W632" s="80"/>
      <c r="X632" s="80"/>
    </row>
    <row r="633" spans="1:24" x14ac:dyDescent="0.25">
      <c r="A633" s="22"/>
      <c r="D633" s="53"/>
      <c r="E633" s="53"/>
      <c r="F633" s="53"/>
      <c r="G633" s="53"/>
      <c r="H633" s="53"/>
      <c r="I633" s="52"/>
      <c r="J633" s="41"/>
      <c r="K633" s="80"/>
      <c r="L633" s="80"/>
      <c r="M633" s="80"/>
      <c r="N633" s="234"/>
      <c r="O633" s="41"/>
      <c r="V633" s="40"/>
      <c r="W633" s="80"/>
      <c r="X633" s="80"/>
    </row>
    <row r="634" spans="1:24" x14ac:dyDescent="0.25">
      <c r="A634" s="22"/>
      <c r="D634" s="53"/>
      <c r="E634" s="53"/>
      <c r="F634" s="53"/>
      <c r="G634" s="53"/>
      <c r="H634" s="53"/>
      <c r="I634" s="52"/>
      <c r="J634" s="41"/>
      <c r="K634" s="80"/>
      <c r="L634" s="80"/>
      <c r="M634" s="80"/>
      <c r="N634" s="234"/>
      <c r="O634" s="41"/>
      <c r="V634" s="40"/>
      <c r="W634" s="80"/>
      <c r="X634" s="80"/>
    </row>
    <row r="635" spans="1:24" x14ac:dyDescent="0.25">
      <c r="A635" s="22"/>
      <c r="D635" s="53"/>
      <c r="E635" s="53"/>
      <c r="F635" s="53"/>
      <c r="G635" s="53"/>
      <c r="H635" s="53"/>
      <c r="I635" s="52"/>
      <c r="J635" s="41"/>
      <c r="K635" s="80"/>
      <c r="L635" s="80"/>
      <c r="M635" s="80"/>
      <c r="N635" s="234"/>
      <c r="O635" s="41"/>
      <c r="V635" s="40"/>
      <c r="W635" s="80"/>
      <c r="X635" s="80"/>
    </row>
    <row r="636" spans="1:24" x14ac:dyDescent="0.25">
      <c r="A636" s="22"/>
      <c r="D636" s="53"/>
      <c r="E636" s="53"/>
      <c r="F636" s="53"/>
      <c r="G636" s="53"/>
      <c r="H636" s="53"/>
      <c r="I636" s="52"/>
      <c r="J636" s="41"/>
      <c r="K636" s="80"/>
      <c r="L636" s="80"/>
      <c r="M636" s="80"/>
      <c r="N636" s="234"/>
      <c r="O636" s="41"/>
      <c r="V636" s="40"/>
      <c r="W636" s="80"/>
      <c r="X636" s="80"/>
    </row>
    <row r="637" spans="1:24" x14ac:dyDescent="0.25">
      <c r="A637" s="22"/>
      <c r="D637" s="53"/>
      <c r="E637" s="53"/>
      <c r="F637" s="53"/>
      <c r="G637" s="53"/>
      <c r="H637" s="53"/>
      <c r="I637" s="52"/>
      <c r="J637" s="41"/>
      <c r="K637" s="80"/>
      <c r="L637" s="80"/>
      <c r="M637" s="80"/>
      <c r="N637" s="234"/>
      <c r="O637" s="41"/>
      <c r="V637" s="40"/>
      <c r="W637" s="80"/>
      <c r="X637" s="80"/>
    </row>
    <row r="638" spans="1:24" x14ac:dyDescent="0.25">
      <c r="A638" s="22"/>
      <c r="D638" s="53"/>
      <c r="E638" s="53"/>
      <c r="F638" s="53"/>
      <c r="G638" s="53"/>
      <c r="H638" s="53"/>
      <c r="I638" s="52"/>
      <c r="J638" s="41"/>
      <c r="K638" s="80"/>
      <c r="L638" s="80"/>
      <c r="M638" s="80"/>
      <c r="N638" s="234"/>
      <c r="O638" s="41"/>
      <c r="V638" s="40"/>
      <c r="W638" s="80"/>
      <c r="X638" s="80"/>
    </row>
    <row r="639" spans="1:24" x14ac:dyDescent="0.25">
      <c r="A639" s="22"/>
      <c r="D639" s="53"/>
      <c r="E639" s="53"/>
      <c r="F639" s="53"/>
      <c r="G639" s="53"/>
      <c r="H639" s="53"/>
      <c r="I639" s="52"/>
      <c r="J639" s="41"/>
      <c r="K639" s="80"/>
      <c r="L639" s="80"/>
      <c r="M639" s="80"/>
      <c r="N639" s="234"/>
      <c r="O639" s="41"/>
      <c r="V639" s="40"/>
      <c r="W639" s="80"/>
      <c r="X639" s="80"/>
    </row>
    <row r="640" spans="1:24" x14ac:dyDescent="0.25">
      <c r="A640" s="22"/>
      <c r="D640" s="53"/>
      <c r="E640" s="53"/>
      <c r="F640" s="53"/>
      <c r="G640" s="53"/>
      <c r="H640" s="53"/>
      <c r="I640" s="52"/>
      <c r="J640" s="41"/>
      <c r="K640" s="69"/>
      <c r="L640" s="69"/>
      <c r="M640" s="69"/>
      <c r="N640" s="234"/>
      <c r="O640" s="41"/>
      <c r="V640" s="40"/>
      <c r="W640" s="69"/>
      <c r="X640" s="69"/>
    </row>
    <row r="641" spans="1:24" x14ac:dyDescent="0.25">
      <c r="A641" s="22"/>
      <c r="D641" s="53"/>
      <c r="E641" s="53"/>
      <c r="F641" s="53"/>
      <c r="G641" s="53"/>
      <c r="H641" s="53"/>
      <c r="I641" s="52"/>
      <c r="J641" s="41"/>
      <c r="K641" s="69"/>
      <c r="L641" s="69"/>
      <c r="M641" s="69"/>
      <c r="N641" s="234"/>
      <c r="O641" s="41"/>
      <c r="V641" s="40"/>
      <c r="W641" s="69"/>
      <c r="X641" s="69"/>
    </row>
    <row r="642" spans="1:24" x14ac:dyDescent="0.25">
      <c r="A642" s="22"/>
      <c r="D642" s="53"/>
      <c r="E642" s="53"/>
      <c r="F642" s="53"/>
      <c r="G642" s="53"/>
      <c r="H642" s="53"/>
      <c r="I642" s="52"/>
      <c r="J642" s="41"/>
      <c r="K642" s="69"/>
      <c r="L642" s="69"/>
      <c r="M642" s="69"/>
      <c r="N642" s="234"/>
      <c r="O642" s="41"/>
      <c r="V642" s="40"/>
      <c r="W642" s="69"/>
      <c r="X642" s="69"/>
    </row>
    <row r="643" spans="1:24" x14ac:dyDescent="0.25">
      <c r="A643" s="22"/>
      <c r="D643" s="53"/>
      <c r="E643" s="53"/>
      <c r="F643" s="53"/>
      <c r="G643" s="53"/>
      <c r="H643" s="53"/>
      <c r="I643" s="52"/>
      <c r="J643" s="41"/>
      <c r="K643" s="69"/>
      <c r="L643" s="69"/>
      <c r="M643" s="69"/>
      <c r="N643" s="234"/>
      <c r="O643" s="41"/>
      <c r="V643" s="40"/>
      <c r="W643" s="69"/>
      <c r="X643" s="69"/>
    </row>
    <row r="644" spans="1:24" x14ac:dyDescent="0.25">
      <c r="A644" s="22"/>
      <c r="D644" s="53"/>
      <c r="E644" s="53"/>
      <c r="F644" s="53"/>
      <c r="G644" s="53"/>
      <c r="H644" s="53"/>
      <c r="I644" s="52"/>
      <c r="J644" s="41"/>
      <c r="K644" s="69"/>
      <c r="L644" s="69"/>
      <c r="M644" s="69"/>
      <c r="N644" s="234"/>
      <c r="O644" s="41"/>
      <c r="V644" s="40"/>
      <c r="W644" s="69"/>
      <c r="X644" s="69"/>
    </row>
    <row r="645" spans="1:24" x14ac:dyDescent="0.25">
      <c r="A645" s="22"/>
      <c r="D645" s="53"/>
      <c r="E645" s="53"/>
      <c r="F645" s="53"/>
      <c r="G645" s="53"/>
      <c r="H645" s="53"/>
      <c r="I645" s="52"/>
      <c r="J645" s="41"/>
      <c r="K645" s="69"/>
      <c r="L645" s="69"/>
      <c r="M645" s="69"/>
      <c r="N645" s="234"/>
      <c r="O645" s="41"/>
      <c r="V645" s="40"/>
      <c r="W645" s="69"/>
      <c r="X645" s="69"/>
    </row>
    <row r="646" spans="1:24" x14ac:dyDescent="0.25">
      <c r="A646" s="22"/>
      <c r="D646" s="53"/>
      <c r="E646" s="53"/>
      <c r="F646" s="53"/>
      <c r="G646" s="53"/>
      <c r="H646" s="53"/>
      <c r="I646" s="52"/>
      <c r="J646" s="41"/>
      <c r="K646" s="69"/>
      <c r="L646" s="69"/>
      <c r="M646" s="69"/>
      <c r="N646" s="234"/>
      <c r="O646" s="41"/>
      <c r="V646" s="40"/>
      <c r="W646" s="69"/>
      <c r="X646" s="69"/>
    </row>
    <row r="647" spans="1:24" x14ac:dyDescent="0.25">
      <c r="A647" s="22"/>
      <c r="D647" s="53"/>
      <c r="E647" s="53"/>
      <c r="F647" s="53"/>
      <c r="G647" s="53"/>
      <c r="H647" s="53"/>
      <c r="I647" s="52"/>
      <c r="J647" s="41"/>
      <c r="K647" s="69"/>
      <c r="L647" s="69"/>
      <c r="M647" s="69"/>
      <c r="N647" s="234"/>
      <c r="O647" s="41"/>
      <c r="V647" s="40"/>
      <c r="W647" s="69"/>
      <c r="X647" s="69"/>
    </row>
    <row r="648" spans="1:24" x14ac:dyDescent="0.25">
      <c r="A648" s="22"/>
      <c r="D648" s="53"/>
      <c r="E648" s="53"/>
      <c r="F648" s="53"/>
      <c r="G648" s="53"/>
      <c r="H648" s="53"/>
      <c r="I648" s="52"/>
      <c r="J648" s="41"/>
      <c r="K648" s="69"/>
      <c r="L648" s="69"/>
      <c r="M648" s="69"/>
      <c r="N648" s="234"/>
      <c r="O648" s="41"/>
      <c r="V648" s="40"/>
      <c r="W648" s="69"/>
      <c r="X648" s="69"/>
    </row>
    <row r="649" spans="1:24" x14ac:dyDescent="0.25">
      <c r="A649" s="22"/>
      <c r="D649" s="53"/>
      <c r="E649" s="53"/>
      <c r="F649" s="53"/>
      <c r="G649" s="53"/>
      <c r="H649" s="53"/>
      <c r="I649" s="52"/>
      <c r="J649" s="41"/>
      <c r="K649" s="69"/>
      <c r="L649" s="69"/>
      <c r="M649" s="69"/>
      <c r="N649" s="234"/>
      <c r="O649" s="41"/>
      <c r="V649" s="40"/>
      <c r="W649" s="69"/>
      <c r="X649" s="69"/>
    </row>
    <row r="650" spans="1:24" x14ac:dyDescent="0.25">
      <c r="A650" s="22"/>
      <c r="D650" s="53"/>
      <c r="E650" s="53"/>
      <c r="F650" s="53"/>
      <c r="G650" s="53"/>
      <c r="H650" s="53"/>
      <c r="I650" s="52"/>
      <c r="J650" s="41"/>
      <c r="K650" s="69"/>
      <c r="L650" s="69"/>
      <c r="M650" s="69"/>
      <c r="N650" s="234"/>
      <c r="O650" s="41"/>
      <c r="V650" s="40"/>
      <c r="W650" s="69"/>
      <c r="X650" s="69"/>
    </row>
    <row r="651" spans="1:24" x14ac:dyDescent="0.25">
      <c r="A651" s="22"/>
      <c r="D651" s="53"/>
      <c r="E651" s="53"/>
      <c r="F651" s="53"/>
      <c r="G651" s="53"/>
      <c r="H651" s="53"/>
      <c r="I651" s="52"/>
      <c r="J651" s="41"/>
      <c r="K651" s="69"/>
      <c r="L651" s="69"/>
      <c r="M651" s="69"/>
      <c r="N651" s="234"/>
      <c r="O651" s="41"/>
      <c r="V651" s="40"/>
      <c r="W651" s="69"/>
      <c r="X651" s="69"/>
    </row>
    <row r="652" spans="1:24" x14ac:dyDescent="0.25">
      <c r="A652" s="22"/>
      <c r="D652" s="53"/>
      <c r="E652" s="53"/>
      <c r="F652" s="53"/>
      <c r="G652" s="53"/>
      <c r="H652" s="53"/>
      <c r="I652" s="52"/>
      <c r="J652" s="41"/>
      <c r="K652" s="69"/>
      <c r="L652" s="69"/>
      <c r="M652" s="69"/>
      <c r="N652" s="234"/>
      <c r="O652" s="41"/>
      <c r="V652" s="40"/>
      <c r="W652" s="69"/>
      <c r="X652" s="69"/>
    </row>
    <row r="653" spans="1:24" x14ac:dyDescent="0.25">
      <c r="A653" s="22"/>
      <c r="D653" s="53"/>
      <c r="E653" s="53"/>
      <c r="F653" s="53"/>
      <c r="G653" s="53"/>
      <c r="H653" s="53"/>
      <c r="I653" s="52"/>
      <c r="J653" s="41"/>
      <c r="K653" s="69"/>
      <c r="L653" s="69"/>
      <c r="M653" s="69"/>
      <c r="N653" s="234"/>
      <c r="O653" s="41"/>
      <c r="V653" s="40"/>
      <c r="W653" s="69"/>
      <c r="X653" s="69"/>
    </row>
    <row r="654" spans="1:24" x14ac:dyDescent="0.25">
      <c r="A654" s="22"/>
      <c r="D654" s="53"/>
      <c r="E654" s="53"/>
      <c r="F654" s="53"/>
      <c r="G654" s="53"/>
      <c r="H654" s="53"/>
      <c r="I654" s="52"/>
      <c r="J654" s="41"/>
      <c r="K654" s="69"/>
      <c r="L654" s="69"/>
      <c r="M654" s="69"/>
      <c r="N654" s="234"/>
      <c r="O654" s="41"/>
      <c r="V654" s="40"/>
      <c r="W654" s="69"/>
      <c r="X654" s="69"/>
    </row>
    <row r="655" spans="1:24" x14ac:dyDescent="0.25">
      <c r="A655" s="22"/>
      <c r="D655" s="53"/>
      <c r="E655" s="53"/>
      <c r="F655" s="53"/>
      <c r="G655" s="53"/>
      <c r="H655" s="53"/>
      <c r="I655" s="52"/>
      <c r="J655" s="41"/>
      <c r="K655" s="69"/>
      <c r="L655" s="69"/>
      <c r="M655" s="69"/>
      <c r="N655" s="234"/>
      <c r="O655" s="41"/>
      <c r="V655" s="40"/>
      <c r="W655" s="69"/>
      <c r="X655" s="69"/>
    </row>
    <row r="656" spans="1:24" x14ac:dyDescent="0.25">
      <c r="A656" s="22"/>
      <c r="D656" s="53"/>
      <c r="E656" s="53"/>
      <c r="F656" s="53"/>
      <c r="G656" s="53"/>
      <c r="H656" s="53"/>
      <c r="I656" s="52"/>
      <c r="J656" s="41"/>
      <c r="K656" s="69"/>
      <c r="L656" s="69"/>
      <c r="M656" s="69"/>
      <c r="N656" s="234"/>
      <c r="O656" s="41"/>
      <c r="V656" s="40"/>
      <c r="W656" s="69"/>
      <c r="X656" s="69"/>
    </row>
    <row r="657" spans="1:24" x14ac:dyDescent="0.25">
      <c r="A657" s="22"/>
      <c r="D657" s="53"/>
      <c r="E657" s="53"/>
      <c r="F657" s="53"/>
      <c r="G657" s="53"/>
      <c r="H657" s="53"/>
      <c r="I657" s="52"/>
      <c r="J657" s="41"/>
      <c r="K657" s="69"/>
      <c r="L657" s="69"/>
      <c r="M657" s="69"/>
      <c r="N657" s="234"/>
      <c r="O657" s="41"/>
      <c r="V657" s="40"/>
      <c r="W657" s="69"/>
      <c r="X657" s="69"/>
    </row>
    <row r="658" spans="1:24" x14ac:dyDescent="0.25">
      <c r="A658" s="22"/>
      <c r="D658" s="53"/>
      <c r="E658" s="53"/>
      <c r="F658" s="53"/>
      <c r="G658" s="53"/>
      <c r="H658" s="53"/>
      <c r="I658" s="52"/>
      <c r="J658" s="41"/>
      <c r="K658" s="69"/>
      <c r="L658" s="69"/>
      <c r="M658" s="69"/>
      <c r="N658" s="234"/>
      <c r="O658" s="41"/>
      <c r="V658" s="40"/>
      <c r="W658" s="69"/>
      <c r="X658" s="69"/>
    </row>
    <row r="659" spans="1:24" x14ac:dyDescent="0.25">
      <c r="A659" s="22"/>
      <c r="D659" s="53"/>
      <c r="E659" s="53"/>
      <c r="F659" s="53"/>
      <c r="G659" s="53"/>
      <c r="H659" s="53"/>
      <c r="I659" s="52"/>
      <c r="J659" s="41"/>
      <c r="K659" s="69"/>
      <c r="L659" s="69"/>
      <c r="M659" s="69"/>
      <c r="N659" s="234"/>
      <c r="O659" s="41"/>
      <c r="V659" s="40"/>
      <c r="W659" s="69"/>
      <c r="X659" s="69"/>
    </row>
    <row r="660" spans="1:24" x14ac:dyDescent="0.25">
      <c r="A660" s="22"/>
      <c r="D660" s="53"/>
      <c r="E660" s="53"/>
      <c r="F660" s="53"/>
      <c r="G660" s="53"/>
      <c r="H660" s="53"/>
      <c r="I660" s="52"/>
      <c r="J660" s="41"/>
      <c r="K660" s="69"/>
      <c r="L660" s="69"/>
      <c r="M660" s="69"/>
      <c r="N660" s="234"/>
      <c r="O660" s="41"/>
      <c r="V660" s="40"/>
      <c r="W660" s="69"/>
      <c r="X660" s="69"/>
    </row>
    <row r="661" spans="1:24" x14ac:dyDescent="0.25">
      <c r="A661" s="22"/>
      <c r="D661" s="53"/>
      <c r="E661" s="53"/>
      <c r="F661" s="53"/>
      <c r="G661" s="53"/>
      <c r="H661" s="53"/>
      <c r="I661" s="52"/>
      <c r="J661" s="41"/>
      <c r="K661" s="69"/>
      <c r="L661" s="69"/>
      <c r="M661" s="69"/>
      <c r="N661" s="234"/>
      <c r="O661" s="41"/>
      <c r="V661" s="40"/>
      <c r="W661" s="69"/>
      <c r="X661" s="69"/>
    </row>
    <row r="662" spans="1:24" x14ac:dyDescent="0.25">
      <c r="A662" s="22"/>
      <c r="D662" s="53"/>
      <c r="E662" s="53"/>
      <c r="F662" s="53"/>
      <c r="G662" s="53"/>
      <c r="H662" s="53"/>
      <c r="I662" s="52"/>
      <c r="J662" s="41"/>
      <c r="K662" s="69"/>
      <c r="L662" s="69"/>
      <c r="M662" s="69"/>
      <c r="N662" s="234"/>
      <c r="O662" s="41"/>
      <c r="V662" s="40"/>
      <c r="W662" s="69"/>
      <c r="X662" s="69"/>
    </row>
    <row r="663" spans="1:24" x14ac:dyDescent="0.25">
      <c r="A663" s="22"/>
      <c r="D663" s="53"/>
      <c r="E663" s="53"/>
      <c r="F663" s="53"/>
      <c r="G663" s="53"/>
      <c r="H663" s="53"/>
      <c r="I663" s="52"/>
      <c r="J663" s="41"/>
      <c r="K663" s="69"/>
      <c r="L663" s="69"/>
      <c r="M663" s="69"/>
      <c r="N663" s="234"/>
      <c r="O663" s="41"/>
      <c r="V663" s="40"/>
      <c r="W663" s="69"/>
      <c r="X663" s="69"/>
    </row>
    <row r="664" spans="1:24" x14ac:dyDescent="0.25">
      <c r="A664" s="22"/>
      <c r="D664" s="53"/>
      <c r="E664" s="53"/>
      <c r="F664" s="53"/>
      <c r="G664" s="53"/>
      <c r="H664" s="53"/>
      <c r="I664" s="52"/>
      <c r="J664" s="41"/>
      <c r="K664" s="69"/>
      <c r="L664" s="69"/>
      <c r="M664" s="69"/>
      <c r="N664" s="234"/>
      <c r="O664" s="41"/>
      <c r="V664" s="40"/>
      <c r="W664" s="69"/>
      <c r="X664" s="69"/>
    </row>
    <row r="665" spans="1:24" x14ac:dyDescent="0.25">
      <c r="A665" s="22"/>
      <c r="D665" s="53"/>
      <c r="E665" s="53"/>
      <c r="F665" s="53"/>
      <c r="G665" s="53"/>
      <c r="H665" s="53"/>
      <c r="I665" s="52"/>
      <c r="J665" s="41"/>
      <c r="K665" s="69"/>
      <c r="L665" s="69"/>
      <c r="M665" s="69"/>
      <c r="N665" s="234"/>
      <c r="O665" s="41"/>
      <c r="V665" s="40"/>
      <c r="W665" s="69"/>
      <c r="X665" s="69"/>
    </row>
    <row r="666" spans="1:24" x14ac:dyDescent="0.25">
      <c r="A666" s="22"/>
      <c r="D666" s="53"/>
      <c r="E666" s="53"/>
      <c r="F666" s="53"/>
      <c r="G666" s="53"/>
      <c r="H666" s="53"/>
      <c r="I666" s="52"/>
      <c r="J666" s="41"/>
      <c r="K666" s="69"/>
      <c r="L666" s="69"/>
      <c r="M666" s="69"/>
      <c r="N666" s="234"/>
      <c r="O666" s="41"/>
      <c r="V666" s="40"/>
      <c r="W666" s="69"/>
      <c r="X666" s="69"/>
    </row>
    <row r="667" spans="1:24" x14ac:dyDescent="0.25">
      <c r="A667" s="22"/>
      <c r="D667" s="53"/>
      <c r="E667" s="53"/>
      <c r="F667" s="53"/>
      <c r="G667" s="53"/>
      <c r="H667" s="53"/>
      <c r="I667" s="52"/>
      <c r="J667" s="41"/>
      <c r="K667" s="69"/>
      <c r="L667" s="69"/>
      <c r="M667" s="69"/>
      <c r="N667" s="234"/>
      <c r="O667" s="41"/>
      <c r="V667" s="40"/>
      <c r="W667" s="69"/>
      <c r="X667" s="69"/>
    </row>
    <row r="668" spans="1:24" x14ac:dyDescent="0.25">
      <c r="A668" s="22"/>
      <c r="D668" s="53"/>
      <c r="E668" s="53"/>
      <c r="F668" s="53"/>
      <c r="G668" s="53"/>
      <c r="H668" s="53"/>
      <c r="I668" s="52"/>
      <c r="J668" s="41"/>
      <c r="K668" s="69"/>
      <c r="L668" s="69"/>
      <c r="M668" s="69"/>
      <c r="N668" s="234"/>
      <c r="O668" s="41"/>
      <c r="V668" s="40"/>
      <c r="W668" s="69"/>
      <c r="X668" s="69"/>
    </row>
    <row r="669" spans="1:24" x14ac:dyDescent="0.25">
      <c r="A669" s="22"/>
      <c r="D669" s="53"/>
      <c r="E669" s="53"/>
      <c r="F669" s="53"/>
      <c r="G669" s="53"/>
      <c r="H669" s="53"/>
      <c r="I669" s="52"/>
      <c r="J669" s="41"/>
      <c r="K669" s="69"/>
      <c r="L669" s="69"/>
      <c r="M669" s="69"/>
      <c r="N669" s="234"/>
      <c r="O669" s="41"/>
      <c r="V669" s="40"/>
      <c r="W669" s="69"/>
      <c r="X669" s="69"/>
    </row>
    <row r="670" spans="1:24" x14ac:dyDescent="0.25">
      <c r="A670" s="22"/>
      <c r="D670" s="53"/>
      <c r="E670" s="53"/>
      <c r="F670" s="53"/>
      <c r="G670" s="53"/>
      <c r="H670" s="53"/>
      <c r="I670" s="52"/>
      <c r="J670" s="41"/>
      <c r="K670" s="69"/>
      <c r="L670" s="69"/>
      <c r="M670" s="69"/>
      <c r="N670" s="234"/>
      <c r="O670" s="41"/>
      <c r="V670" s="40"/>
      <c r="W670" s="69"/>
      <c r="X670" s="69"/>
    </row>
    <row r="671" spans="1:24" x14ac:dyDescent="0.25">
      <c r="A671" s="22"/>
      <c r="D671" s="53"/>
      <c r="E671" s="53"/>
      <c r="F671" s="53"/>
      <c r="G671" s="53"/>
      <c r="H671" s="53"/>
      <c r="I671" s="52"/>
      <c r="J671" s="41"/>
      <c r="K671" s="69"/>
      <c r="L671" s="69"/>
      <c r="M671" s="69"/>
      <c r="N671" s="234"/>
      <c r="O671" s="41"/>
      <c r="V671" s="40"/>
      <c r="W671" s="69"/>
      <c r="X671" s="69"/>
    </row>
    <row r="672" spans="1:24" x14ac:dyDescent="0.25">
      <c r="A672" s="22"/>
      <c r="D672" s="53"/>
      <c r="E672" s="53"/>
      <c r="F672" s="53"/>
      <c r="G672" s="53"/>
      <c r="H672" s="53"/>
      <c r="I672" s="52"/>
      <c r="J672" s="41"/>
      <c r="K672" s="69"/>
      <c r="L672" s="69"/>
      <c r="M672" s="69"/>
      <c r="N672" s="234"/>
      <c r="O672" s="41"/>
      <c r="V672" s="40"/>
      <c r="W672" s="69"/>
      <c r="X672" s="69"/>
    </row>
    <row r="673" spans="1:24" x14ac:dyDescent="0.25">
      <c r="A673" s="22"/>
      <c r="D673" s="53"/>
      <c r="E673" s="53"/>
      <c r="F673" s="53"/>
      <c r="G673" s="53"/>
      <c r="H673" s="53"/>
      <c r="I673" s="52"/>
      <c r="J673" s="41"/>
      <c r="K673" s="69"/>
      <c r="L673" s="69"/>
      <c r="M673" s="69"/>
      <c r="N673" s="234"/>
      <c r="O673" s="41"/>
      <c r="V673" s="40"/>
      <c r="W673" s="69"/>
      <c r="X673" s="69"/>
    </row>
    <row r="674" spans="1:24" x14ac:dyDescent="0.25">
      <c r="A674" s="22"/>
      <c r="D674" s="53"/>
      <c r="E674" s="53"/>
      <c r="F674" s="53"/>
      <c r="G674" s="53"/>
      <c r="H674" s="53"/>
      <c r="I674" s="52"/>
      <c r="J674" s="41"/>
      <c r="K674" s="69"/>
      <c r="L674" s="69"/>
      <c r="M674" s="69"/>
      <c r="N674" s="234"/>
      <c r="O674" s="41"/>
      <c r="V674" s="40"/>
      <c r="W674" s="69"/>
      <c r="X674" s="69"/>
    </row>
    <row r="675" spans="1:24" x14ac:dyDescent="0.25">
      <c r="A675" s="22"/>
      <c r="D675" s="53"/>
      <c r="E675" s="53"/>
      <c r="F675" s="53"/>
      <c r="G675" s="53"/>
      <c r="H675" s="53"/>
      <c r="I675" s="52"/>
      <c r="J675" s="41"/>
      <c r="K675" s="69"/>
      <c r="L675" s="69"/>
      <c r="M675" s="69"/>
      <c r="N675" s="234"/>
      <c r="O675" s="41"/>
      <c r="V675" s="40"/>
      <c r="W675" s="69"/>
      <c r="X675" s="69"/>
    </row>
    <row r="676" spans="1:24" x14ac:dyDescent="0.25">
      <c r="A676" s="22"/>
      <c r="D676" s="53"/>
      <c r="E676" s="53"/>
      <c r="F676" s="53"/>
      <c r="G676" s="53"/>
      <c r="H676" s="53"/>
      <c r="I676" s="52"/>
      <c r="J676" s="41"/>
      <c r="K676" s="69"/>
      <c r="L676" s="69"/>
      <c r="M676" s="69"/>
      <c r="N676" s="234"/>
      <c r="O676" s="41"/>
      <c r="V676" s="40"/>
      <c r="W676" s="69"/>
      <c r="X676" s="69"/>
    </row>
    <row r="677" spans="1:24" x14ac:dyDescent="0.25">
      <c r="A677" s="22"/>
      <c r="D677" s="53"/>
      <c r="E677" s="53"/>
      <c r="F677" s="53"/>
      <c r="G677" s="53"/>
      <c r="H677" s="53"/>
      <c r="I677" s="52"/>
      <c r="J677" s="41"/>
      <c r="K677" s="69"/>
      <c r="L677" s="69"/>
      <c r="M677" s="69"/>
      <c r="N677" s="234"/>
      <c r="O677" s="41"/>
      <c r="V677" s="40"/>
      <c r="W677" s="69"/>
      <c r="X677" s="69"/>
    </row>
    <row r="678" spans="1:24" x14ac:dyDescent="0.25">
      <c r="A678" s="22"/>
      <c r="D678" s="53"/>
      <c r="E678" s="53"/>
      <c r="F678" s="53"/>
      <c r="G678" s="53"/>
      <c r="H678" s="53"/>
      <c r="I678" s="52"/>
      <c r="J678" s="41"/>
      <c r="K678" s="69"/>
      <c r="L678" s="69"/>
      <c r="M678" s="69"/>
      <c r="N678" s="234"/>
      <c r="O678" s="41"/>
      <c r="V678" s="40"/>
      <c r="W678" s="69"/>
      <c r="X678" s="69"/>
    </row>
    <row r="679" spans="1:24" x14ac:dyDescent="0.25">
      <c r="A679" s="22"/>
      <c r="D679" s="53"/>
      <c r="E679" s="53"/>
      <c r="F679" s="53"/>
      <c r="G679" s="53"/>
      <c r="H679" s="53"/>
      <c r="I679" s="52"/>
      <c r="J679" s="41"/>
      <c r="K679" s="69"/>
      <c r="L679" s="69"/>
      <c r="M679" s="69"/>
      <c r="N679" s="234"/>
      <c r="O679" s="41"/>
      <c r="V679" s="40"/>
      <c r="W679" s="69"/>
      <c r="X679" s="69"/>
    </row>
    <row r="680" spans="1:24" x14ac:dyDescent="0.25">
      <c r="A680" s="22"/>
      <c r="D680" s="53"/>
      <c r="E680" s="53"/>
      <c r="F680" s="53"/>
      <c r="G680" s="53"/>
      <c r="H680" s="53"/>
      <c r="I680" s="52"/>
      <c r="J680" s="41"/>
      <c r="K680" s="69"/>
      <c r="L680" s="69"/>
      <c r="M680" s="69"/>
      <c r="N680" s="234"/>
      <c r="O680" s="41"/>
      <c r="V680" s="40"/>
      <c r="W680" s="69"/>
      <c r="X680" s="69"/>
    </row>
    <row r="681" spans="1:24" x14ac:dyDescent="0.25">
      <c r="A681" s="22"/>
      <c r="D681" s="53"/>
      <c r="E681" s="53"/>
      <c r="F681" s="53"/>
      <c r="G681" s="53"/>
      <c r="H681" s="53"/>
      <c r="I681" s="52"/>
      <c r="J681" s="41"/>
      <c r="K681" s="69"/>
      <c r="L681" s="69"/>
      <c r="M681" s="69"/>
      <c r="N681" s="234"/>
      <c r="O681" s="41"/>
      <c r="V681" s="40"/>
      <c r="W681" s="69"/>
      <c r="X681" s="69"/>
    </row>
    <row r="682" spans="1:24" x14ac:dyDescent="0.25">
      <c r="A682" s="22"/>
      <c r="D682" s="53"/>
      <c r="E682" s="53"/>
      <c r="F682" s="53"/>
      <c r="G682" s="53"/>
      <c r="H682" s="53"/>
      <c r="I682" s="52"/>
      <c r="J682" s="41"/>
      <c r="K682" s="69"/>
      <c r="L682" s="69"/>
      <c r="M682" s="69"/>
      <c r="N682" s="234"/>
      <c r="O682" s="41"/>
      <c r="V682" s="40"/>
      <c r="W682" s="69"/>
      <c r="X682" s="69"/>
    </row>
    <row r="683" spans="1:24" x14ac:dyDescent="0.25">
      <c r="A683" s="22"/>
      <c r="D683" s="53"/>
      <c r="E683" s="53"/>
      <c r="F683" s="53"/>
      <c r="G683" s="53"/>
      <c r="H683" s="53"/>
      <c r="I683" s="52"/>
      <c r="J683" s="41"/>
      <c r="K683" s="69"/>
      <c r="L683" s="69"/>
      <c r="M683" s="69"/>
      <c r="N683" s="234"/>
      <c r="O683" s="41"/>
      <c r="V683" s="40"/>
      <c r="W683" s="69"/>
      <c r="X683" s="69"/>
    </row>
    <row r="684" spans="1:24" x14ac:dyDescent="0.25">
      <c r="A684" s="22"/>
      <c r="D684" s="53"/>
      <c r="E684" s="53"/>
      <c r="F684" s="53"/>
      <c r="G684" s="53"/>
      <c r="H684" s="53"/>
      <c r="I684" s="52"/>
      <c r="J684" s="41"/>
      <c r="K684" s="69"/>
      <c r="L684" s="69"/>
      <c r="M684" s="69"/>
      <c r="N684" s="234"/>
      <c r="O684" s="41"/>
      <c r="V684" s="40"/>
      <c r="W684" s="69"/>
      <c r="X684" s="69"/>
    </row>
    <row r="685" spans="1:24" x14ac:dyDescent="0.25">
      <c r="A685" s="22"/>
      <c r="D685" s="53"/>
      <c r="E685" s="53"/>
      <c r="F685" s="53"/>
      <c r="G685" s="53"/>
      <c r="H685" s="53"/>
      <c r="I685" s="52"/>
      <c r="J685" s="41"/>
      <c r="K685" s="69"/>
      <c r="L685" s="69"/>
      <c r="M685" s="69"/>
      <c r="N685" s="234"/>
      <c r="O685" s="41"/>
      <c r="V685" s="40"/>
      <c r="W685" s="69"/>
      <c r="X685" s="69"/>
    </row>
    <row r="686" spans="1:24" x14ac:dyDescent="0.25">
      <c r="A686" s="22"/>
      <c r="D686" s="53"/>
      <c r="E686" s="53"/>
      <c r="F686" s="53"/>
      <c r="G686" s="53"/>
      <c r="H686" s="53"/>
      <c r="I686" s="52"/>
      <c r="J686" s="41"/>
      <c r="K686" s="69"/>
      <c r="L686" s="69"/>
      <c r="M686" s="69"/>
      <c r="N686" s="234"/>
      <c r="O686" s="41"/>
      <c r="V686" s="40"/>
      <c r="W686" s="69"/>
      <c r="X686" s="69"/>
    </row>
    <row r="687" spans="1:24" x14ac:dyDescent="0.25">
      <c r="A687" s="22"/>
      <c r="D687" s="53"/>
      <c r="E687" s="53"/>
      <c r="F687" s="53"/>
      <c r="G687" s="53"/>
      <c r="H687" s="53"/>
      <c r="I687" s="52"/>
      <c r="J687" s="41"/>
      <c r="K687" s="69"/>
      <c r="L687" s="69"/>
      <c r="M687" s="69"/>
      <c r="N687" s="234"/>
      <c r="O687" s="41"/>
      <c r="V687" s="40"/>
      <c r="W687" s="69"/>
      <c r="X687" s="69"/>
    </row>
    <row r="688" spans="1:24" x14ac:dyDescent="0.25">
      <c r="A688" s="22"/>
      <c r="D688" s="53"/>
      <c r="E688" s="53"/>
      <c r="F688" s="53"/>
      <c r="G688" s="53"/>
      <c r="H688" s="53"/>
      <c r="I688" s="52"/>
      <c r="J688" s="41"/>
      <c r="K688" s="69"/>
      <c r="L688" s="69"/>
      <c r="M688" s="69"/>
      <c r="N688" s="234"/>
      <c r="O688" s="41"/>
      <c r="V688" s="40"/>
      <c r="W688" s="69"/>
      <c r="X688" s="69"/>
    </row>
    <row r="689" spans="1:24" x14ac:dyDescent="0.25">
      <c r="A689" s="22"/>
      <c r="D689" s="53"/>
      <c r="E689" s="53"/>
      <c r="F689" s="53"/>
      <c r="G689" s="53"/>
      <c r="H689" s="53"/>
      <c r="I689" s="52"/>
      <c r="J689" s="41"/>
      <c r="K689" s="69"/>
      <c r="L689" s="69"/>
      <c r="M689" s="69"/>
      <c r="N689" s="234"/>
      <c r="O689" s="41"/>
      <c r="V689" s="40"/>
      <c r="W689" s="69"/>
      <c r="X689" s="69"/>
    </row>
    <row r="690" spans="1:24" x14ac:dyDescent="0.25">
      <c r="A690" s="22"/>
      <c r="D690" s="53"/>
      <c r="E690" s="53"/>
      <c r="F690" s="53"/>
      <c r="G690" s="53"/>
      <c r="H690" s="53"/>
      <c r="I690" s="52"/>
      <c r="J690" s="41"/>
      <c r="K690" s="69"/>
      <c r="L690" s="69"/>
      <c r="M690" s="69"/>
      <c r="N690" s="234"/>
      <c r="O690" s="41"/>
      <c r="V690" s="40"/>
      <c r="W690" s="69"/>
      <c r="X690" s="69"/>
    </row>
    <row r="691" spans="1:24" x14ac:dyDescent="0.25">
      <c r="A691" s="22"/>
      <c r="D691" s="41"/>
      <c r="E691" s="41"/>
      <c r="F691" s="41"/>
      <c r="G691" s="41"/>
      <c r="H691" s="41"/>
      <c r="I691" s="40"/>
      <c r="J691" s="41"/>
      <c r="K691" s="69"/>
      <c r="L691" s="69"/>
      <c r="M691" s="69"/>
      <c r="N691" s="234"/>
      <c r="O691" s="41"/>
      <c r="V691" s="40"/>
      <c r="W691" s="69"/>
      <c r="X691" s="69"/>
    </row>
    <row r="692" spans="1:24" x14ac:dyDescent="0.25">
      <c r="A692" s="22"/>
      <c r="D692" s="41"/>
      <c r="E692" s="41"/>
      <c r="F692" s="41"/>
      <c r="G692" s="41"/>
      <c r="H692" s="41"/>
      <c r="I692" s="40"/>
      <c r="J692" s="41"/>
      <c r="K692" s="69"/>
      <c r="L692" s="69"/>
      <c r="M692" s="69"/>
      <c r="N692" s="234"/>
      <c r="O692" s="41"/>
      <c r="V692" s="40"/>
      <c r="W692" s="69"/>
      <c r="X692" s="69"/>
    </row>
    <row r="693" spans="1:24" x14ac:dyDescent="0.25">
      <c r="A693" s="22"/>
      <c r="D693" s="41"/>
      <c r="E693" s="41"/>
      <c r="F693" s="41"/>
      <c r="G693" s="41"/>
      <c r="H693" s="41"/>
      <c r="I693" s="40"/>
      <c r="J693" s="41"/>
      <c r="K693" s="69"/>
      <c r="L693" s="69"/>
      <c r="M693" s="69"/>
      <c r="N693" s="234"/>
      <c r="O693" s="41"/>
      <c r="V693" s="40"/>
      <c r="W693" s="69"/>
      <c r="X693" s="69"/>
    </row>
    <row r="694" spans="1:24" x14ac:dyDescent="0.25">
      <c r="A694" s="22"/>
      <c r="D694" s="41"/>
      <c r="E694" s="41"/>
      <c r="F694" s="41"/>
      <c r="G694" s="41"/>
      <c r="H694" s="41"/>
      <c r="I694" s="40"/>
      <c r="J694" s="41"/>
      <c r="K694" s="69"/>
      <c r="L694" s="69"/>
      <c r="M694" s="69"/>
      <c r="N694" s="234"/>
      <c r="O694" s="41"/>
      <c r="V694" s="40"/>
      <c r="W694" s="69"/>
      <c r="X694" s="69"/>
    </row>
    <row r="695" spans="1:24" x14ac:dyDescent="0.25">
      <c r="A695" s="22"/>
      <c r="D695" s="41"/>
      <c r="E695" s="41"/>
      <c r="F695" s="41"/>
      <c r="G695" s="41"/>
      <c r="H695" s="41"/>
      <c r="I695" s="40"/>
      <c r="J695" s="41"/>
      <c r="K695" s="69"/>
      <c r="L695" s="69"/>
      <c r="M695" s="69"/>
      <c r="N695" s="234"/>
      <c r="O695" s="41"/>
      <c r="V695" s="40"/>
      <c r="W695" s="69"/>
      <c r="X695" s="69"/>
    </row>
    <row r="696" spans="1:24" x14ac:dyDescent="0.25">
      <c r="A696" s="22"/>
      <c r="D696" s="41"/>
      <c r="E696" s="41"/>
      <c r="F696" s="41"/>
      <c r="G696" s="41"/>
      <c r="H696" s="41"/>
      <c r="I696" s="40"/>
      <c r="J696" s="41"/>
      <c r="K696" s="69"/>
      <c r="L696" s="69"/>
      <c r="M696" s="69"/>
      <c r="N696" s="234"/>
      <c r="O696" s="41"/>
      <c r="V696" s="40"/>
      <c r="W696" s="69"/>
      <c r="X696" s="69"/>
    </row>
    <row r="697" spans="1:24" x14ac:dyDescent="0.25">
      <c r="A697" s="22"/>
      <c r="D697" s="41"/>
      <c r="E697" s="41"/>
      <c r="F697" s="41"/>
      <c r="G697" s="41"/>
      <c r="H697" s="41"/>
      <c r="I697" s="40"/>
      <c r="J697" s="41"/>
      <c r="K697" s="69"/>
      <c r="L697" s="69"/>
      <c r="M697" s="69"/>
      <c r="N697" s="234"/>
      <c r="O697" s="41"/>
      <c r="V697" s="40"/>
      <c r="W697" s="69"/>
      <c r="X697" s="69"/>
    </row>
    <row r="698" spans="1:24" x14ac:dyDescent="0.25">
      <c r="A698" s="22"/>
      <c r="D698" s="41"/>
      <c r="E698" s="41"/>
      <c r="F698" s="41"/>
      <c r="G698" s="41"/>
      <c r="H698" s="41"/>
      <c r="I698" s="40"/>
      <c r="J698" s="41"/>
      <c r="K698" s="69"/>
      <c r="L698" s="69"/>
      <c r="M698" s="69"/>
      <c r="N698" s="234"/>
      <c r="O698" s="41"/>
      <c r="V698" s="40"/>
      <c r="W698" s="69"/>
      <c r="X698" s="69"/>
    </row>
    <row r="699" spans="1:24" x14ac:dyDescent="0.25">
      <c r="A699" s="22"/>
      <c r="D699" s="41"/>
      <c r="E699" s="41"/>
      <c r="F699" s="41"/>
      <c r="G699" s="41"/>
      <c r="H699" s="41"/>
      <c r="I699" s="40"/>
      <c r="J699" s="41"/>
      <c r="K699" s="69"/>
      <c r="L699" s="69"/>
      <c r="M699" s="69"/>
      <c r="N699" s="234"/>
      <c r="O699" s="41"/>
      <c r="V699" s="40"/>
      <c r="W699" s="69"/>
      <c r="X699" s="69"/>
    </row>
    <row r="700" spans="1:24" x14ac:dyDescent="0.25">
      <c r="A700" s="22"/>
      <c r="D700" s="41"/>
      <c r="E700" s="41"/>
      <c r="F700" s="41"/>
      <c r="G700" s="41"/>
      <c r="H700" s="41"/>
      <c r="I700" s="40"/>
      <c r="J700" s="41"/>
      <c r="K700" s="69"/>
      <c r="L700" s="69"/>
      <c r="M700" s="69"/>
      <c r="N700" s="234"/>
      <c r="O700" s="41"/>
      <c r="V700" s="40"/>
      <c r="W700" s="69"/>
      <c r="X700" s="69"/>
    </row>
    <row r="701" spans="1:24" x14ac:dyDescent="0.25">
      <c r="A701" s="22"/>
      <c r="D701" s="41"/>
      <c r="E701" s="41"/>
      <c r="F701" s="41"/>
      <c r="G701" s="41"/>
      <c r="H701" s="41"/>
      <c r="I701" s="40"/>
      <c r="J701" s="41"/>
      <c r="K701" s="69"/>
      <c r="L701" s="69"/>
      <c r="M701" s="69"/>
      <c r="N701" s="234"/>
      <c r="O701" s="41"/>
      <c r="V701" s="40"/>
      <c r="W701" s="69"/>
      <c r="X701" s="69"/>
    </row>
    <row r="702" spans="1:24" x14ac:dyDescent="0.25">
      <c r="A702" s="22"/>
      <c r="D702" s="41"/>
      <c r="E702" s="41"/>
      <c r="F702" s="41"/>
      <c r="G702" s="41"/>
      <c r="H702" s="41"/>
      <c r="I702" s="40"/>
      <c r="J702" s="41"/>
      <c r="K702" s="69"/>
      <c r="L702" s="69"/>
      <c r="M702" s="69"/>
      <c r="N702" s="234"/>
      <c r="O702" s="41"/>
      <c r="V702" s="40"/>
      <c r="W702" s="69"/>
      <c r="X702" s="69"/>
    </row>
    <row r="703" spans="1:24" x14ac:dyDescent="0.25">
      <c r="A703" s="22"/>
      <c r="D703" s="41"/>
      <c r="E703" s="41"/>
      <c r="F703" s="41"/>
      <c r="G703" s="41"/>
      <c r="H703" s="41"/>
      <c r="I703" s="40"/>
      <c r="J703" s="41"/>
      <c r="K703" s="69"/>
      <c r="L703" s="69"/>
      <c r="M703" s="69"/>
      <c r="N703" s="234"/>
      <c r="O703" s="41"/>
      <c r="V703" s="40"/>
      <c r="W703" s="69"/>
      <c r="X703" s="69"/>
    </row>
    <row r="704" spans="1:24" x14ac:dyDescent="0.25">
      <c r="A704" s="22"/>
      <c r="D704" s="41"/>
      <c r="E704" s="41"/>
      <c r="F704" s="41"/>
      <c r="G704" s="41"/>
      <c r="H704" s="41"/>
      <c r="I704" s="40"/>
      <c r="J704" s="41"/>
      <c r="K704" s="69"/>
      <c r="L704" s="69"/>
      <c r="M704" s="69"/>
      <c r="N704" s="234"/>
      <c r="O704" s="41"/>
      <c r="V704" s="40"/>
      <c r="W704" s="69"/>
      <c r="X704" s="69"/>
    </row>
    <row r="705" spans="1:24" x14ac:dyDescent="0.25">
      <c r="A705" s="22"/>
      <c r="D705" s="41"/>
      <c r="E705" s="41"/>
      <c r="F705" s="41"/>
      <c r="G705" s="41"/>
      <c r="H705" s="41"/>
      <c r="I705" s="40"/>
      <c r="J705" s="41"/>
      <c r="K705" s="69"/>
      <c r="L705" s="69"/>
      <c r="M705" s="69"/>
      <c r="N705" s="234"/>
      <c r="O705" s="41"/>
      <c r="V705" s="40"/>
      <c r="W705" s="69"/>
      <c r="X705" s="69"/>
    </row>
    <row r="706" spans="1:24" x14ac:dyDescent="0.25">
      <c r="A706" s="22"/>
      <c r="D706" s="41"/>
      <c r="E706" s="41"/>
      <c r="F706" s="41"/>
      <c r="G706" s="41"/>
      <c r="H706" s="41"/>
      <c r="I706" s="40"/>
      <c r="J706" s="41"/>
      <c r="K706" s="69"/>
      <c r="L706" s="69"/>
      <c r="M706" s="69"/>
      <c r="N706" s="234"/>
      <c r="O706" s="41"/>
      <c r="V706" s="40"/>
      <c r="W706" s="69"/>
      <c r="X706" s="69"/>
    </row>
    <row r="707" spans="1:24" x14ac:dyDescent="0.25">
      <c r="A707" s="22"/>
      <c r="D707" s="41"/>
      <c r="E707" s="41"/>
      <c r="F707" s="41"/>
      <c r="G707" s="41"/>
      <c r="H707" s="41"/>
      <c r="I707" s="40"/>
      <c r="J707" s="41"/>
      <c r="K707" s="69"/>
      <c r="L707" s="69"/>
      <c r="M707" s="69"/>
      <c r="N707" s="234"/>
      <c r="O707" s="41"/>
      <c r="V707" s="40"/>
      <c r="W707" s="69"/>
      <c r="X707" s="69"/>
    </row>
    <row r="708" spans="1:24" x14ac:dyDescent="0.25">
      <c r="A708" s="22"/>
      <c r="D708" s="41"/>
      <c r="E708" s="41"/>
      <c r="F708" s="41"/>
      <c r="G708" s="41"/>
      <c r="H708" s="41"/>
      <c r="I708" s="40"/>
      <c r="J708" s="41"/>
      <c r="K708" s="69"/>
      <c r="L708" s="69"/>
      <c r="M708" s="69"/>
      <c r="N708" s="234"/>
      <c r="O708" s="41"/>
      <c r="V708" s="40"/>
      <c r="W708" s="69"/>
      <c r="X708" s="69"/>
    </row>
    <row r="709" spans="1:24" x14ac:dyDescent="0.25">
      <c r="A709" s="22"/>
      <c r="D709" s="41"/>
      <c r="E709" s="41"/>
      <c r="F709" s="41"/>
      <c r="G709" s="41"/>
      <c r="H709" s="41"/>
      <c r="I709" s="40"/>
      <c r="J709" s="41"/>
      <c r="K709" s="69"/>
      <c r="L709" s="69"/>
      <c r="M709" s="69"/>
      <c r="N709" s="234"/>
      <c r="O709" s="41"/>
      <c r="V709" s="40"/>
      <c r="W709" s="69"/>
      <c r="X709" s="69"/>
    </row>
    <row r="710" spans="1:24" x14ac:dyDescent="0.25">
      <c r="A710" s="22"/>
      <c r="D710" s="41"/>
      <c r="E710" s="41"/>
      <c r="F710" s="41"/>
      <c r="G710" s="41"/>
      <c r="H710" s="41"/>
      <c r="I710" s="40"/>
      <c r="J710" s="41"/>
      <c r="K710" s="69"/>
      <c r="L710" s="69"/>
      <c r="M710" s="69"/>
      <c r="N710" s="234"/>
      <c r="O710" s="41"/>
      <c r="V710" s="40"/>
      <c r="W710" s="69"/>
      <c r="X710" s="69"/>
    </row>
    <row r="711" spans="1:24" x14ac:dyDescent="0.25">
      <c r="A711" s="22"/>
      <c r="D711" s="41"/>
      <c r="E711" s="41"/>
      <c r="F711" s="41"/>
      <c r="G711" s="41"/>
      <c r="H711" s="41"/>
      <c r="I711" s="40"/>
      <c r="J711" s="41"/>
      <c r="K711" s="69"/>
      <c r="L711" s="69"/>
      <c r="M711" s="69"/>
      <c r="N711" s="234"/>
      <c r="O711" s="41"/>
      <c r="V711" s="40"/>
      <c r="W711" s="69"/>
      <c r="X711" s="69"/>
    </row>
    <row r="712" spans="1:24" x14ac:dyDescent="0.25">
      <c r="A712" s="22"/>
      <c r="D712" s="41"/>
      <c r="E712" s="41"/>
      <c r="F712" s="41"/>
      <c r="G712" s="41"/>
      <c r="H712" s="41"/>
      <c r="I712" s="40"/>
      <c r="J712" s="41"/>
      <c r="K712" s="69"/>
      <c r="L712" s="69"/>
      <c r="M712" s="69"/>
      <c r="N712" s="234"/>
      <c r="O712" s="41"/>
      <c r="V712" s="40"/>
      <c r="W712" s="69"/>
      <c r="X712" s="69"/>
    </row>
    <row r="713" spans="1:24" x14ac:dyDescent="0.25">
      <c r="A713" s="22"/>
      <c r="D713" s="41"/>
      <c r="E713" s="41"/>
      <c r="F713" s="41"/>
      <c r="G713" s="41"/>
      <c r="H713" s="41"/>
      <c r="I713" s="40"/>
      <c r="J713" s="41"/>
      <c r="K713" s="69"/>
      <c r="L713" s="69"/>
      <c r="M713" s="69"/>
      <c r="N713" s="234"/>
      <c r="O713" s="41"/>
      <c r="V713" s="40"/>
      <c r="W713" s="69"/>
      <c r="X713" s="69"/>
    </row>
    <row r="714" spans="1:24" x14ac:dyDescent="0.25">
      <c r="A714" s="22"/>
      <c r="D714" s="41"/>
      <c r="E714" s="41"/>
      <c r="F714" s="41"/>
      <c r="G714" s="41"/>
      <c r="H714" s="41"/>
      <c r="I714" s="40"/>
      <c r="J714" s="41"/>
      <c r="K714" s="69"/>
      <c r="L714" s="69"/>
      <c r="M714" s="69"/>
      <c r="N714" s="234"/>
      <c r="O714" s="41"/>
      <c r="V714" s="40"/>
      <c r="W714" s="69"/>
      <c r="X714" s="69"/>
    </row>
    <row r="715" spans="1:24" x14ac:dyDescent="0.25">
      <c r="A715" s="22"/>
      <c r="D715" s="41"/>
      <c r="E715" s="41"/>
      <c r="F715" s="41"/>
      <c r="G715" s="41"/>
      <c r="H715" s="41"/>
      <c r="I715" s="190"/>
      <c r="J715" s="41"/>
      <c r="K715" s="69"/>
      <c r="L715" s="69"/>
      <c r="M715" s="69"/>
      <c r="N715" s="234"/>
      <c r="O715" s="41"/>
      <c r="V715" s="40"/>
      <c r="W715" s="69"/>
      <c r="X715" s="69"/>
    </row>
    <row r="716" spans="1:24" x14ac:dyDescent="0.25">
      <c r="A716" s="22"/>
      <c r="D716" s="41"/>
      <c r="E716" s="41"/>
      <c r="F716" s="41"/>
      <c r="G716" s="41"/>
      <c r="H716" s="41"/>
      <c r="I716" s="190"/>
      <c r="J716" s="41"/>
      <c r="K716" s="69"/>
      <c r="L716" s="69"/>
      <c r="M716" s="69"/>
      <c r="N716" s="234"/>
      <c r="O716" s="41"/>
      <c r="V716" s="40"/>
      <c r="W716" s="69"/>
      <c r="X716" s="69"/>
    </row>
    <row r="717" spans="1:24" x14ac:dyDescent="0.25">
      <c r="A717" s="22"/>
      <c r="D717" s="41"/>
      <c r="E717" s="41"/>
      <c r="F717" s="41"/>
      <c r="G717" s="41"/>
      <c r="H717" s="41"/>
      <c r="I717" s="190"/>
      <c r="J717" s="41"/>
      <c r="O717" s="41"/>
      <c r="V717" s="40"/>
      <c r="X717" s="32"/>
    </row>
    <row r="718" spans="1:24" x14ac:dyDescent="0.25">
      <c r="A718" s="22"/>
      <c r="D718" s="41"/>
      <c r="E718" s="41"/>
      <c r="F718" s="41"/>
      <c r="G718" s="41"/>
      <c r="H718" s="41"/>
      <c r="I718" s="190"/>
      <c r="J718" s="41"/>
      <c r="O718" s="41"/>
      <c r="V718" s="40"/>
      <c r="X718" s="32"/>
    </row>
    <row r="719" spans="1:24" x14ac:dyDescent="0.25">
      <c r="A719" s="22"/>
      <c r="D719" s="41"/>
      <c r="E719" s="41"/>
      <c r="F719" s="41"/>
      <c r="G719" s="41"/>
      <c r="H719" s="41"/>
      <c r="I719" s="190"/>
      <c r="J719" s="41"/>
      <c r="O719" s="41"/>
      <c r="V719" s="40"/>
      <c r="X719" s="32"/>
    </row>
    <row r="720" spans="1:24" x14ac:dyDescent="0.25">
      <c r="A720" s="22"/>
      <c r="D720" s="41"/>
      <c r="E720" s="41"/>
      <c r="F720" s="41"/>
      <c r="G720" s="41"/>
      <c r="H720" s="41"/>
      <c r="I720" s="190"/>
      <c r="J720" s="41"/>
      <c r="O720" s="41"/>
      <c r="V720" s="40"/>
      <c r="X720" s="32"/>
    </row>
    <row r="721" spans="1:24" x14ac:dyDescent="0.25">
      <c r="A721" s="22"/>
      <c r="D721" s="41"/>
      <c r="E721" s="41"/>
      <c r="F721" s="41"/>
      <c r="G721" s="41"/>
      <c r="H721" s="41"/>
      <c r="I721" s="190"/>
      <c r="J721" s="41"/>
      <c r="O721" s="41"/>
      <c r="V721" s="40"/>
      <c r="X721" s="32"/>
    </row>
    <row r="722" spans="1:24" x14ac:dyDescent="0.25">
      <c r="A722" s="22"/>
      <c r="D722" s="41"/>
      <c r="E722" s="41"/>
      <c r="F722" s="41"/>
      <c r="G722" s="41"/>
      <c r="H722" s="41"/>
      <c r="I722" s="190"/>
      <c r="J722" s="41"/>
      <c r="O722" s="41"/>
      <c r="V722" s="40"/>
      <c r="X722" s="32"/>
    </row>
    <row r="723" spans="1:24" x14ac:dyDescent="0.25">
      <c r="A723" s="22"/>
      <c r="D723" s="41"/>
      <c r="E723" s="41"/>
      <c r="F723" s="41"/>
      <c r="G723" s="41"/>
      <c r="H723" s="41"/>
      <c r="I723" s="190"/>
      <c r="J723" s="41"/>
      <c r="O723" s="41"/>
      <c r="V723" s="40"/>
      <c r="X723" s="32"/>
    </row>
    <row r="724" spans="1:24" x14ac:dyDescent="0.25">
      <c r="A724" s="22"/>
      <c r="D724" s="41"/>
      <c r="E724" s="41"/>
      <c r="F724" s="41"/>
      <c r="G724" s="41"/>
      <c r="H724" s="41"/>
      <c r="I724" s="190"/>
      <c r="J724" s="41"/>
      <c r="O724" s="41"/>
      <c r="V724" s="40"/>
      <c r="X724" s="32"/>
    </row>
    <row r="725" spans="1:24" x14ac:dyDescent="0.25">
      <c r="A725" s="22"/>
      <c r="D725" s="41"/>
      <c r="E725" s="41"/>
      <c r="F725" s="41"/>
      <c r="G725" s="41"/>
      <c r="H725" s="41"/>
      <c r="I725" s="190"/>
      <c r="J725" s="41"/>
      <c r="O725" s="41"/>
      <c r="V725" s="40"/>
      <c r="X725" s="32"/>
    </row>
    <row r="726" spans="1:24" x14ac:dyDescent="0.25">
      <c r="A726" s="22"/>
      <c r="D726" s="41"/>
      <c r="E726" s="41"/>
      <c r="F726" s="41"/>
      <c r="G726" s="41"/>
      <c r="H726" s="41"/>
      <c r="I726" s="190"/>
      <c r="J726" s="41"/>
      <c r="O726" s="41"/>
      <c r="V726" s="40"/>
      <c r="X726" s="32"/>
    </row>
    <row r="727" spans="1:24" x14ac:dyDescent="0.25">
      <c r="A727" s="22"/>
      <c r="D727" s="41"/>
      <c r="E727" s="41"/>
      <c r="F727" s="41"/>
      <c r="G727" s="41"/>
      <c r="H727" s="41"/>
      <c r="I727" s="190"/>
      <c r="J727" s="41"/>
      <c r="O727" s="41"/>
      <c r="V727" s="40"/>
      <c r="X727" s="32"/>
    </row>
    <row r="728" spans="1:24" x14ac:dyDescent="0.25">
      <c r="A728" s="22"/>
      <c r="D728" s="41"/>
      <c r="E728" s="41"/>
      <c r="F728" s="41"/>
      <c r="G728" s="41"/>
      <c r="H728" s="41"/>
      <c r="I728" s="190"/>
      <c r="J728" s="41"/>
      <c r="O728" s="41"/>
      <c r="V728" s="40"/>
      <c r="X728" s="32"/>
    </row>
    <row r="729" spans="1:24" x14ac:dyDescent="0.25">
      <c r="A729" s="22"/>
      <c r="D729" s="41"/>
      <c r="E729" s="41"/>
      <c r="F729" s="41"/>
      <c r="G729" s="41"/>
      <c r="H729" s="41"/>
      <c r="I729" s="190"/>
      <c r="J729" s="41"/>
      <c r="O729" s="41"/>
      <c r="V729" s="40"/>
      <c r="X729" s="32"/>
    </row>
    <row r="730" spans="1:24" x14ac:dyDescent="0.25">
      <c r="A730" s="22"/>
      <c r="D730" s="41"/>
      <c r="E730" s="41"/>
      <c r="F730" s="41"/>
      <c r="G730" s="41"/>
      <c r="H730" s="41"/>
      <c r="I730" s="190"/>
      <c r="J730" s="41"/>
      <c r="O730" s="41"/>
      <c r="V730" s="40"/>
      <c r="X730" s="32"/>
    </row>
    <row r="731" spans="1:24" x14ac:dyDescent="0.25">
      <c r="A731" s="22"/>
      <c r="D731" s="41"/>
      <c r="E731" s="41"/>
      <c r="F731" s="41"/>
      <c r="G731" s="41"/>
      <c r="H731" s="41"/>
      <c r="I731" s="190"/>
      <c r="J731" s="41"/>
      <c r="O731" s="41"/>
      <c r="V731" s="40"/>
      <c r="X731" s="32"/>
    </row>
    <row r="732" spans="1:24" x14ac:dyDescent="0.25">
      <c r="D732" s="41"/>
      <c r="E732" s="41"/>
      <c r="F732" s="41"/>
      <c r="G732" s="41"/>
      <c r="H732" s="41"/>
      <c r="I732" s="190"/>
      <c r="J732" s="41"/>
      <c r="O732" s="41"/>
      <c r="V732" s="40"/>
      <c r="X732" s="32"/>
    </row>
    <row r="733" spans="1:24" x14ac:dyDescent="0.25">
      <c r="D733" s="41"/>
      <c r="E733" s="41"/>
      <c r="F733" s="41"/>
      <c r="G733" s="41"/>
      <c r="H733" s="41"/>
      <c r="I733" s="190"/>
      <c r="J733" s="41"/>
      <c r="O733" s="41"/>
      <c r="V733" s="40"/>
      <c r="X733" s="32"/>
    </row>
    <row r="734" spans="1:24" x14ac:dyDescent="0.25">
      <c r="D734" s="41"/>
      <c r="E734" s="41"/>
      <c r="F734" s="41"/>
      <c r="G734" s="41"/>
      <c r="H734" s="41"/>
      <c r="I734" s="190"/>
      <c r="J734" s="41"/>
      <c r="O734" s="41"/>
      <c r="V734" s="40"/>
      <c r="X734" s="32"/>
    </row>
    <row r="735" spans="1:24" x14ac:dyDescent="0.25">
      <c r="D735" s="41"/>
      <c r="E735" s="41"/>
      <c r="F735" s="41"/>
      <c r="G735" s="41"/>
      <c r="H735" s="41"/>
      <c r="I735" s="190"/>
      <c r="J735" s="41"/>
      <c r="O735" s="41"/>
      <c r="V735" s="40"/>
      <c r="X735" s="32"/>
    </row>
    <row r="736" spans="1:24" x14ac:dyDescent="0.25">
      <c r="D736" s="41"/>
      <c r="E736" s="41"/>
      <c r="F736" s="41"/>
      <c r="G736" s="41"/>
      <c r="H736" s="41"/>
      <c r="I736" s="190"/>
      <c r="J736" s="41"/>
      <c r="O736" s="41"/>
      <c r="V736" s="40"/>
      <c r="X736" s="32"/>
    </row>
    <row r="737" spans="22:24" x14ac:dyDescent="0.25">
      <c r="V737" s="40"/>
      <c r="X737" s="32"/>
    </row>
    <row r="738" spans="22:24" x14ac:dyDescent="0.25">
      <c r="V738" s="40"/>
      <c r="X738" s="32"/>
    </row>
    <row r="739" spans="22:24" x14ac:dyDescent="0.25">
      <c r="V739" s="40"/>
      <c r="X739" s="32"/>
    </row>
    <row r="740" spans="22:24" x14ac:dyDescent="0.25">
      <c r="V740" s="40"/>
      <c r="X740" s="32"/>
    </row>
    <row r="741" spans="22:24" x14ac:dyDescent="0.25">
      <c r="V741" s="40"/>
      <c r="X741" s="32"/>
    </row>
    <row r="742" spans="22:24" x14ac:dyDescent="0.25">
      <c r="V742" s="40"/>
      <c r="X742" s="32"/>
    </row>
    <row r="743" spans="22:24" x14ac:dyDescent="0.25">
      <c r="V743" s="40"/>
      <c r="X743" s="32"/>
    </row>
    <row r="744" spans="22:24" x14ac:dyDescent="0.25">
      <c r="V744" s="40"/>
      <c r="X744" s="32"/>
    </row>
    <row r="745" spans="22:24" x14ac:dyDescent="0.25">
      <c r="V745" s="40"/>
      <c r="X745" s="32"/>
    </row>
    <row r="746" spans="22:24" x14ac:dyDescent="0.25">
      <c r="V746" s="40"/>
      <c r="X746" s="32"/>
    </row>
    <row r="747" spans="22:24" x14ac:dyDescent="0.25">
      <c r="V747" s="40"/>
      <c r="X747" s="32"/>
    </row>
    <row r="748" spans="22:24" x14ac:dyDescent="0.25">
      <c r="V748" s="40"/>
      <c r="X748" s="32"/>
    </row>
    <row r="749" spans="22:24" x14ac:dyDescent="0.25">
      <c r="V749" s="40"/>
      <c r="X749" s="32"/>
    </row>
    <row r="750" spans="22:24" x14ac:dyDescent="0.25">
      <c r="V750" s="40"/>
      <c r="X750" s="32"/>
    </row>
    <row r="751" spans="22:24" x14ac:dyDescent="0.25">
      <c r="V751" s="40"/>
      <c r="X751" s="32"/>
    </row>
    <row r="752" spans="22:24" x14ac:dyDescent="0.25">
      <c r="V752" s="40"/>
      <c r="X752" s="32"/>
    </row>
    <row r="753" spans="22:24" x14ac:dyDescent="0.25">
      <c r="V753" s="40"/>
      <c r="X753" s="32"/>
    </row>
    <row r="754" spans="22:24" x14ac:dyDescent="0.25">
      <c r="V754" s="40"/>
      <c r="X754" s="32"/>
    </row>
    <row r="755" spans="22:24" x14ac:dyDescent="0.25">
      <c r="V755" s="40"/>
      <c r="X755" s="32"/>
    </row>
    <row r="756" spans="22:24" x14ac:dyDescent="0.25">
      <c r="V756" s="40"/>
      <c r="X756" s="32"/>
    </row>
    <row r="757" spans="22:24" x14ac:dyDescent="0.25">
      <c r="V757" s="40"/>
      <c r="X757" s="32"/>
    </row>
    <row r="758" spans="22:24" x14ac:dyDescent="0.25">
      <c r="V758" s="40"/>
      <c r="X758" s="32"/>
    </row>
    <row r="759" spans="22:24" x14ac:dyDescent="0.25">
      <c r="V759" s="40"/>
      <c r="X759" s="32"/>
    </row>
    <row r="760" spans="22:24" x14ac:dyDescent="0.25">
      <c r="V760" s="40"/>
      <c r="X760" s="32"/>
    </row>
    <row r="761" spans="22:24" x14ac:dyDescent="0.25">
      <c r="V761" s="40"/>
      <c r="X761" s="32"/>
    </row>
    <row r="762" spans="22:24" x14ac:dyDescent="0.25">
      <c r="V762" s="40"/>
      <c r="X762" s="32"/>
    </row>
    <row r="763" spans="22:24" x14ac:dyDescent="0.25">
      <c r="V763" s="40"/>
      <c r="X763" s="32"/>
    </row>
    <row r="764" spans="22:24" x14ac:dyDescent="0.25">
      <c r="V764" s="40"/>
      <c r="X764" s="32"/>
    </row>
    <row r="765" spans="22:24" x14ac:dyDescent="0.25">
      <c r="V765" s="40"/>
      <c r="X765" s="32"/>
    </row>
    <row r="766" spans="22:24" x14ac:dyDescent="0.25">
      <c r="V766" s="40"/>
      <c r="X766" s="32"/>
    </row>
    <row r="767" spans="22:24" x14ac:dyDescent="0.25">
      <c r="V767" s="40"/>
      <c r="X767" s="32"/>
    </row>
    <row r="768" spans="22:24" x14ac:dyDescent="0.25">
      <c r="V768" s="40"/>
      <c r="X768" s="32"/>
    </row>
    <row r="769" spans="22:24" x14ac:dyDescent="0.25">
      <c r="V769" s="40"/>
      <c r="X769" s="32"/>
    </row>
    <row r="770" spans="22:24" x14ac:dyDescent="0.25">
      <c r="V770" s="40"/>
      <c r="X770" s="32"/>
    </row>
    <row r="771" spans="22:24" x14ac:dyDescent="0.25">
      <c r="V771" s="40"/>
      <c r="X771" s="32"/>
    </row>
    <row r="772" spans="22:24" x14ac:dyDescent="0.25">
      <c r="V772" s="40"/>
      <c r="X772" s="32"/>
    </row>
    <row r="773" spans="22:24" x14ac:dyDescent="0.25">
      <c r="V773" s="40"/>
      <c r="X773" s="32"/>
    </row>
    <row r="774" spans="22:24" x14ac:dyDescent="0.25">
      <c r="V774" s="40"/>
      <c r="X774" s="32"/>
    </row>
    <row r="775" spans="22:24" x14ac:dyDescent="0.25">
      <c r="V775" s="40"/>
      <c r="X775" s="32"/>
    </row>
    <row r="776" spans="22:24" x14ac:dyDescent="0.25">
      <c r="V776" s="40"/>
      <c r="X776" s="32"/>
    </row>
    <row r="777" spans="22:24" x14ac:dyDescent="0.25">
      <c r="V777" s="40"/>
      <c r="X777" s="32"/>
    </row>
    <row r="778" spans="22:24" x14ac:dyDescent="0.25">
      <c r="V778" s="40"/>
      <c r="X778" s="32"/>
    </row>
    <row r="779" spans="22:24" x14ac:dyDescent="0.25">
      <c r="V779" s="40"/>
      <c r="X779" s="32"/>
    </row>
    <row r="780" spans="22:24" x14ac:dyDescent="0.25">
      <c r="V780" s="40"/>
      <c r="X780" s="32"/>
    </row>
    <row r="781" spans="22:24" x14ac:dyDescent="0.25">
      <c r="V781" s="40"/>
      <c r="X781" s="32"/>
    </row>
    <row r="782" spans="22:24" x14ac:dyDescent="0.25">
      <c r="V782" s="40"/>
      <c r="X782" s="32"/>
    </row>
    <row r="783" spans="22:24" x14ac:dyDescent="0.25">
      <c r="V783" s="40"/>
      <c r="X783" s="32"/>
    </row>
    <row r="784" spans="22:24" x14ac:dyDescent="0.25">
      <c r="V784" s="40"/>
      <c r="X784" s="32"/>
    </row>
    <row r="785" spans="22:24" x14ac:dyDescent="0.25">
      <c r="V785" s="40"/>
      <c r="X785" s="32"/>
    </row>
    <row r="786" spans="22:24" x14ac:dyDescent="0.25">
      <c r="V786" s="40"/>
      <c r="X786" s="32"/>
    </row>
    <row r="787" spans="22:24" x14ac:dyDescent="0.25">
      <c r="V787" s="40"/>
      <c r="X787" s="32"/>
    </row>
    <row r="788" spans="22:24" x14ac:dyDescent="0.25">
      <c r="V788" s="40"/>
      <c r="X788" s="32"/>
    </row>
    <row r="789" spans="22:24" x14ac:dyDescent="0.25">
      <c r="V789" s="40"/>
      <c r="X789" s="32"/>
    </row>
    <row r="790" spans="22:24" x14ac:dyDescent="0.25">
      <c r="V790" s="40"/>
      <c r="X790" s="32"/>
    </row>
    <row r="791" spans="22:24" x14ac:dyDescent="0.25">
      <c r="X791" s="32"/>
    </row>
    <row r="792" spans="22:24" x14ac:dyDescent="0.25">
      <c r="X792" s="32"/>
    </row>
    <row r="793" spans="22:24" x14ac:dyDescent="0.25">
      <c r="X793" s="32"/>
    </row>
    <row r="794" spans="22:24" x14ac:dyDescent="0.25">
      <c r="X794" s="32"/>
    </row>
    <row r="795" spans="22:24" x14ac:dyDescent="0.25">
      <c r="X795" s="32"/>
    </row>
    <row r="796" spans="22:24" x14ac:dyDescent="0.25">
      <c r="X796" s="32"/>
    </row>
    <row r="797" spans="22:24" x14ac:dyDescent="0.25">
      <c r="X797" s="32"/>
    </row>
    <row r="798" spans="22:24" x14ac:dyDescent="0.25">
      <c r="X798" s="32"/>
    </row>
    <row r="799" spans="22:24" x14ac:dyDescent="0.25">
      <c r="X799" s="32"/>
    </row>
    <row r="800" spans="22:24" x14ac:dyDescent="0.25">
      <c r="X800" s="32"/>
    </row>
    <row r="801" spans="24:24" x14ac:dyDescent="0.25">
      <c r="X801" s="32"/>
    </row>
    <row r="802" spans="24:24" x14ac:dyDescent="0.25">
      <c r="X802" s="32"/>
    </row>
    <row r="803" spans="24:24" x14ac:dyDescent="0.25">
      <c r="X803" s="32"/>
    </row>
    <row r="804" spans="24:24" x14ac:dyDescent="0.25">
      <c r="X804" s="32"/>
    </row>
    <row r="805" spans="24:24" x14ac:dyDescent="0.25">
      <c r="X805" s="32"/>
    </row>
    <row r="806" spans="24:24" x14ac:dyDescent="0.25">
      <c r="X806" s="32"/>
    </row>
    <row r="807" spans="24:24" x14ac:dyDescent="0.25">
      <c r="X807" s="32"/>
    </row>
    <row r="808" spans="24:24" x14ac:dyDescent="0.25">
      <c r="X808" s="32"/>
    </row>
    <row r="809" spans="24:24" x14ac:dyDescent="0.25">
      <c r="X809" s="32"/>
    </row>
    <row r="810" spans="24:24" x14ac:dyDescent="0.25">
      <c r="X810" s="32"/>
    </row>
    <row r="811" spans="24:24" x14ac:dyDescent="0.25">
      <c r="X811" s="32"/>
    </row>
    <row r="812" spans="24:24" x14ac:dyDescent="0.25">
      <c r="X812" s="32"/>
    </row>
    <row r="813" spans="24:24" x14ac:dyDescent="0.25">
      <c r="X813" s="32"/>
    </row>
    <row r="814" spans="24:24" x14ac:dyDescent="0.25">
      <c r="X814" s="32"/>
    </row>
    <row r="815" spans="24:24" x14ac:dyDescent="0.25">
      <c r="X815" s="32"/>
    </row>
    <row r="816" spans="24:24" x14ac:dyDescent="0.25">
      <c r="X816" s="32"/>
    </row>
    <row r="817" spans="24:24" x14ac:dyDescent="0.25">
      <c r="X817" s="32"/>
    </row>
    <row r="818" spans="24:24" x14ac:dyDescent="0.25">
      <c r="X818" s="32"/>
    </row>
    <row r="819" spans="24:24" x14ac:dyDescent="0.25">
      <c r="X819" s="32"/>
    </row>
    <row r="820" spans="24:24" x14ac:dyDescent="0.25">
      <c r="X820" s="32"/>
    </row>
    <row r="821" spans="24:24" x14ac:dyDescent="0.25">
      <c r="X821" s="32"/>
    </row>
    <row r="822" spans="24:24" x14ac:dyDescent="0.25">
      <c r="X822" s="32"/>
    </row>
    <row r="823" spans="24:24" x14ac:dyDescent="0.25">
      <c r="X823" s="32"/>
    </row>
    <row r="824" spans="24:24" x14ac:dyDescent="0.25">
      <c r="X824" s="32"/>
    </row>
    <row r="825" spans="24:24" x14ac:dyDescent="0.25">
      <c r="X825" s="32"/>
    </row>
    <row r="826" spans="24:24" x14ac:dyDescent="0.25">
      <c r="X826" s="32"/>
    </row>
    <row r="827" spans="24:24" x14ac:dyDescent="0.25">
      <c r="X827" s="32"/>
    </row>
    <row r="828" spans="24:24" x14ac:dyDescent="0.25">
      <c r="X828" s="32"/>
    </row>
    <row r="829" spans="24:24" x14ac:dyDescent="0.25">
      <c r="X829" s="32"/>
    </row>
    <row r="830" spans="24:24" x14ac:dyDescent="0.25">
      <c r="X830" s="32"/>
    </row>
    <row r="831" spans="24:24" x14ac:dyDescent="0.25">
      <c r="X831" s="32"/>
    </row>
    <row r="832" spans="24:24" x14ac:dyDescent="0.25">
      <c r="X832" s="32"/>
    </row>
    <row r="833" spans="24:24" x14ac:dyDescent="0.25">
      <c r="X833" s="32"/>
    </row>
    <row r="834" spans="24:24" x14ac:dyDescent="0.25">
      <c r="X834" s="32"/>
    </row>
    <row r="835" spans="24:24" x14ac:dyDescent="0.25">
      <c r="X835" s="32"/>
    </row>
    <row r="836" spans="24:24" x14ac:dyDescent="0.25">
      <c r="X836" s="32"/>
    </row>
    <row r="837" spans="24:24" x14ac:dyDescent="0.25">
      <c r="X837" s="32"/>
    </row>
    <row r="838" spans="24:24" x14ac:dyDescent="0.25">
      <c r="X838" s="32"/>
    </row>
    <row r="839" spans="24:24" x14ac:dyDescent="0.25">
      <c r="X839" s="32"/>
    </row>
    <row r="840" spans="24:24" x14ac:dyDescent="0.25">
      <c r="X840" s="32"/>
    </row>
    <row r="841" spans="24:24" x14ac:dyDescent="0.25">
      <c r="X841" s="32"/>
    </row>
    <row r="842" spans="24:24" x14ac:dyDescent="0.25">
      <c r="X842" s="32"/>
    </row>
    <row r="843" spans="24:24" x14ac:dyDescent="0.25">
      <c r="X843" s="32"/>
    </row>
    <row r="844" spans="24:24" x14ac:dyDescent="0.25">
      <c r="X844" s="32"/>
    </row>
    <row r="845" spans="24:24" x14ac:dyDescent="0.25">
      <c r="X845" s="32"/>
    </row>
    <row r="846" spans="24:24" x14ac:dyDescent="0.25">
      <c r="X846" s="32"/>
    </row>
    <row r="847" spans="24:24" x14ac:dyDescent="0.25">
      <c r="X847" s="32"/>
    </row>
    <row r="848" spans="24:24" x14ac:dyDescent="0.25">
      <c r="X848" s="32"/>
    </row>
    <row r="849" spans="24:24" x14ac:dyDescent="0.25">
      <c r="X849" s="32"/>
    </row>
    <row r="850" spans="24:24" x14ac:dyDescent="0.25">
      <c r="X850" s="32"/>
    </row>
    <row r="851" spans="24:24" x14ac:dyDescent="0.25">
      <c r="X851" s="32"/>
    </row>
    <row r="852" spans="24:24" x14ac:dyDescent="0.25">
      <c r="X852" s="32"/>
    </row>
    <row r="853" spans="24:24" x14ac:dyDescent="0.25">
      <c r="X853" s="32"/>
    </row>
    <row r="854" spans="24:24" x14ac:dyDescent="0.25">
      <c r="X854" s="32"/>
    </row>
    <row r="855" spans="24:24" x14ac:dyDescent="0.25">
      <c r="X855" s="32"/>
    </row>
    <row r="856" spans="24:24" x14ac:dyDescent="0.25">
      <c r="X856" s="32"/>
    </row>
    <row r="857" spans="24:24" x14ac:dyDescent="0.25">
      <c r="X857" s="32"/>
    </row>
    <row r="858" spans="24:24" x14ac:dyDescent="0.25">
      <c r="X858" s="32"/>
    </row>
    <row r="859" spans="24:24" x14ac:dyDescent="0.25">
      <c r="X859" s="32"/>
    </row>
    <row r="860" spans="24:24" x14ac:dyDescent="0.25">
      <c r="X860" s="32"/>
    </row>
    <row r="861" spans="24:24" x14ac:dyDescent="0.25">
      <c r="X861" s="32"/>
    </row>
    <row r="862" spans="24:24" x14ac:dyDescent="0.25">
      <c r="X862" s="32"/>
    </row>
    <row r="863" spans="24:24" x14ac:dyDescent="0.25">
      <c r="X863" s="32"/>
    </row>
    <row r="864" spans="24:24" x14ac:dyDescent="0.25">
      <c r="X864" s="32"/>
    </row>
    <row r="865" spans="24:24" x14ac:dyDescent="0.25">
      <c r="X865" s="32"/>
    </row>
    <row r="866" spans="24:24" x14ac:dyDescent="0.25">
      <c r="X866" s="32"/>
    </row>
    <row r="867" spans="24:24" x14ac:dyDescent="0.25">
      <c r="X867" s="32"/>
    </row>
    <row r="868" spans="24:24" x14ac:dyDescent="0.25">
      <c r="X868" s="32"/>
    </row>
    <row r="869" spans="24:24" x14ac:dyDescent="0.25">
      <c r="X869" s="32"/>
    </row>
    <row r="870" spans="24:24" x14ac:dyDescent="0.25">
      <c r="X870" s="32"/>
    </row>
    <row r="871" spans="24:24" x14ac:dyDescent="0.25">
      <c r="X871" s="32"/>
    </row>
    <row r="872" spans="24:24" x14ac:dyDescent="0.25">
      <c r="X872" s="32"/>
    </row>
    <row r="873" spans="24:24" x14ac:dyDescent="0.25">
      <c r="X873" s="32"/>
    </row>
    <row r="874" spans="24:24" x14ac:dyDescent="0.25">
      <c r="X874" s="32"/>
    </row>
    <row r="875" spans="24:24" x14ac:dyDescent="0.25">
      <c r="X875" s="32"/>
    </row>
    <row r="876" spans="24:24" x14ac:dyDescent="0.25">
      <c r="X876" s="32"/>
    </row>
    <row r="877" spans="24:24" x14ac:dyDescent="0.25">
      <c r="X877" s="32"/>
    </row>
    <row r="878" spans="24:24" x14ac:dyDescent="0.25">
      <c r="X878" s="32"/>
    </row>
    <row r="879" spans="24:24" x14ac:dyDescent="0.25">
      <c r="X879" s="32"/>
    </row>
    <row r="880" spans="24:24" x14ac:dyDescent="0.25">
      <c r="X880" s="32"/>
    </row>
    <row r="881" spans="24:24" x14ac:dyDescent="0.25">
      <c r="X881" s="32"/>
    </row>
    <row r="882" spans="24:24" x14ac:dyDescent="0.25">
      <c r="X882" s="32"/>
    </row>
    <row r="883" spans="24:24" x14ac:dyDescent="0.25">
      <c r="X883" s="32"/>
    </row>
    <row r="884" spans="24:24" x14ac:dyDescent="0.25">
      <c r="X884" s="32"/>
    </row>
    <row r="885" spans="24:24" x14ac:dyDescent="0.25">
      <c r="X885" s="32"/>
    </row>
    <row r="886" spans="24:24" x14ac:dyDescent="0.25">
      <c r="X886" s="32"/>
    </row>
    <row r="887" spans="24:24" x14ac:dyDescent="0.25">
      <c r="X887" s="32"/>
    </row>
    <row r="888" spans="24:24" x14ac:dyDescent="0.25">
      <c r="X888" s="32"/>
    </row>
    <row r="889" spans="24:24" x14ac:dyDescent="0.25">
      <c r="X889" s="32"/>
    </row>
    <row r="890" spans="24:24" x14ac:dyDescent="0.25">
      <c r="X890" s="32"/>
    </row>
    <row r="891" spans="24:24" x14ac:dyDescent="0.25">
      <c r="X891" s="32"/>
    </row>
    <row r="892" spans="24:24" x14ac:dyDescent="0.25">
      <c r="X892" s="32"/>
    </row>
    <row r="893" spans="24:24" x14ac:dyDescent="0.25">
      <c r="X893" s="32"/>
    </row>
    <row r="894" spans="24:24" x14ac:dyDescent="0.25">
      <c r="X894" s="32"/>
    </row>
    <row r="895" spans="24:24" x14ac:dyDescent="0.25">
      <c r="X895" s="32"/>
    </row>
    <row r="896" spans="24:24" x14ac:dyDescent="0.25">
      <c r="X896" s="32"/>
    </row>
    <row r="897" spans="24:24" x14ac:dyDescent="0.25">
      <c r="X897" s="32"/>
    </row>
    <row r="898" spans="24:24" x14ac:dyDescent="0.25">
      <c r="X898" s="32"/>
    </row>
    <row r="899" spans="24:24" x14ac:dyDescent="0.25">
      <c r="X899" s="32"/>
    </row>
    <row r="900" spans="24:24" x14ac:dyDescent="0.25">
      <c r="X900" s="32"/>
    </row>
    <row r="901" spans="24:24" x14ac:dyDescent="0.25">
      <c r="X901" s="32"/>
    </row>
    <row r="902" spans="24:24" x14ac:dyDescent="0.25">
      <c r="X902" s="32"/>
    </row>
    <row r="903" spans="24:24" x14ac:dyDescent="0.25">
      <c r="X903" s="32"/>
    </row>
    <row r="904" spans="24:24" x14ac:dyDescent="0.25">
      <c r="X904" s="32"/>
    </row>
    <row r="905" spans="24:24" x14ac:dyDescent="0.25">
      <c r="X905" s="32"/>
    </row>
    <row r="906" spans="24:24" x14ac:dyDescent="0.25">
      <c r="X906" s="32"/>
    </row>
    <row r="907" spans="24:24" x14ac:dyDescent="0.25">
      <c r="X907" s="32"/>
    </row>
    <row r="908" spans="24:24" x14ac:dyDescent="0.25">
      <c r="X908" s="32"/>
    </row>
    <row r="909" spans="24:24" x14ac:dyDescent="0.25">
      <c r="X909" s="32"/>
    </row>
    <row r="910" spans="24:24" x14ac:dyDescent="0.25">
      <c r="X910" s="32"/>
    </row>
    <row r="911" spans="24:24" x14ac:dyDescent="0.25">
      <c r="X911" s="32"/>
    </row>
    <row r="912" spans="24:24" x14ac:dyDescent="0.25">
      <c r="X912" s="32"/>
    </row>
    <row r="913" spans="24:24" x14ac:dyDescent="0.25">
      <c r="X913" s="32"/>
    </row>
    <row r="914" spans="24:24" x14ac:dyDescent="0.25">
      <c r="X914" s="32"/>
    </row>
    <row r="915" spans="24:24" x14ac:dyDescent="0.25">
      <c r="X915" s="32"/>
    </row>
    <row r="916" spans="24:24" x14ac:dyDescent="0.25">
      <c r="X916" s="32"/>
    </row>
    <row r="917" spans="24:24" x14ac:dyDescent="0.25">
      <c r="X917" s="32"/>
    </row>
    <row r="918" spans="24:24" x14ac:dyDescent="0.25">
      <c r="X918" s="32"/>
    </row>
    <row r="919" spans="24:24" x14ac:dyDescent="0.25">
      <c r="X919" s="32"/>
    </row>
    <row r="920" spans="24:24" x14ac:dyDescent="0.25">
      <c r="X920" s="32"/>
    </row>
    <row r="921" spans="24:24" x14ac:dyDescent="0.25">
      <c r="X921" s="32"/>
    </row>
    <row r="922" spans="24:24" x14ac:dyDescent="0.25">
      <c r="X922" s="32"/>
    </row>
    <row r="923" spans="24:24" x14ac:dyDescent="0.25">
      <c r="X923" s="32"/>
    </row>
    <row r="924" spans="24:24" x14ac:dyDescent="0.25">
      <c r="X924" s="32"/>
    </row>
    <row r="925" spans="24:24" x14ac:dyDescent="0.25">
      <c r="X925" s="32"/>
    </row>
    <row r="926" spans="24:24" x14ac:dyDescent="0.25">
      <c r="X926" s="32"/>
    </row>
    <row r="927" spans="24:24" x14ac:dyDescent="0.25">
      <c r="X927" s="32"/>
    </row>
    <row r="928" spans="24:24" x14ac:dyDescent="0.25">
      <c r="X928" s="32"/>
    </row>
    <row r="929" spans="1:24" x14ac:dyDescent="0.25">
      <c r="X929" s="32"/>
    </row>
    <row r="930" spans="1:24" x14ac:dyDescent="0.25">
      <c r="X930" s="32"/>
    </row>
    <row r="931" spans="1:24" x14ac:dyDescent="0.25">
      <c r="X931" s="32"/>
    </row>
    <row r="932" spans="1:24" x14ac:dyDescent="0.25">
      <c r="X932" s="32"/>
    </row>
    <row r="933" spans="1:24" x14ac:dyDescent="0.25">
      <c r="X933" s="32"/>
    </row>
    <row r="934" spans="1:24" x14ac:dyDescent="0.25">
      <c r="X934" s="32"/>
    </row>
    <row r="935" spans="1:24" x14ac:dyDescent="0.25">
      <c r="X935" s="32"/>
    </row>
    <row r="936" spans="1:24" x14ac:dyDescent="0.25">
      <c r="X936" s="32"/>
    </row>
    <row r="937" spans="1:24" x14ac:dyDescent="0.25">
      <c r="X937" s="32"/>
    </row>
    <row r="938" spans="1:24" x14ac:dyDescent="0.25">
      <c r="X938" s="32"/>
    </row>
    <row r="939" spans="1:24" x14ac:dyDescent="0.25">
      <c r="X939" s="32"/>
    </row>
    <row r="940" spans="1:24" x14ac:dyDescent="0.25">
      <c r="X940" s="32"/>
    </row>
    <row r="941" spans="1:24" x14ac:dyDescent="0.25">
      <c r="A941" s="11"/>
      <c r="X941" s="32"/>
    </row>
    <row r="942" spans="1:24" x14ac:dyDescent="0.25">
      <c r="A942" s="11"/>
      <c r="X942" s="32"/>
    </row>
    <row r="943" spans="1:24" x14ac:dyDescent="0.25">
      <c r="A943" s="11"/>
      <c r="X943" s="32"/>
    </row>
    <row r="944" spans="1:24" x14ac:dyDescent="0.25">
      <c r="A944" s="11"/>
      <c r="X944" s="32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</sheetData>
  <phoneticPr fontId="39" type="noConversion"/>
  <pageMargins left="0.75" right="0.75" top="1" bottom="1" header="0.5" footer="0.5"/>
  <pageSetup paperSize="17" scale="6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BE3763"/>
  <sheetViews>
    <sheetView tabSelected="1" topLeftCell="T2" workbookViewId="0">
      <pane ySplit="6" topLeftCell="A370" activePane="bottomLeft" state="frozen"/>
      <selection activeCell="A2" sqref="A2"/>
      <selection pane="bottomLeft" activeCell="AB384" sqref="AB384"/>
    </sheetView>
  </sheetViews>
  <sheetFormatPr defaultColWidth="9" defaultRowHeight="15.75" x14ac:dyDescent="0.25"/>
  <cols>
    <col min="1" max="1" width="10.125" style="11" bestFit="1" customWidth="1"/>
    <col min="2" max="2" width="3.875" style="11" customWidth="1"/>
    <col min="3" max="6" width="14.125" style="11" hidden="1" customWidth="1"/>
    <col min="7" max="7" width="12.625" style="11" hidden="1" customWidth="1"/>
    <col min="8" max="8" width="12.5" style="11" hidden="1" customWidth="1"/>
    <col min="9" max="9" width="5.625" style="11" customWidth="1"/>
    <col min="10" max="10" width="14.625" style="20" bestFit="1" customWidth="1"/>
    <col min="11" max="11" width="10.375" style="11" customWidth="1"/>
    <col min="12" max="12" width="18.5" style="11" customWidth="1"/>
    <col min="13" max="13" width="13.875" style="11" customWidth="1"/>
    <col min="14" max="15" width="16" style="11" bestFit="1" customWidth="1"/>
    <col min="16" max="16" width="15.75" style="11" customWidth="1"/>
    <col min="17" max="17" width="17" style="11" bestFit="1" customWidth="1"/>
    <col min="18" max="18" width="11.75" style="11" customWidth="1"/>
    <col min="19" max="19" width="12.125" style="11" bestFit="1" customWidth="1"/>
    <col min="20" max="21" width="15" style="11" customWidth="1"/>
    <col min="22" max="22" width="11.25" style="11" customWidth="1"/>
    <col min="23" max="23" width="5.75" style="11" customWidth="1"/>
    <col min="24" max="24" width="14.375" style="11" customWidth="1"/>
    <col min="25" max="25" width="13.5" style="11" customWidth="1"/>
    <col min="26" max="26" width="11.625" style="11" bestFit="1" customWidth="1"/>
    <col min="27" max="29" width="14" style="11" bestFit="1" customWidth="1"/>
    <col min="30" max="30" width="15.625" style="11" customWidth="1"/>
    <col min="31" max="31" width="2.625" style="11" customWidth="1"/>
    <col min="32" max="32" width="19.25" style="11" bestFit="1" customWidth="1"/>
    <col min="33" max="34" width="15.5" style="11" bestFit="1" customWidth="1"/>
    <col min="35" max="35" width="18.5" style="11" bestFit="1" customWidth="1"/>
    <col min="36" max="41" width="9" style="11"/>
    <col min="42" max="42" width="18.5" style="11" bestFit="1" customWidth="1"/>
    <col min="43" max="43" width="9" style="11"/>
    <col min="44" max="44" width="11.25" style="11" bestFit="1" customWidth="1"/>
    <col min="45" max="45" width="9" style="11"/>
    <col min="46" max="47" width="10.625" style="11" customWidth="1"/>
    <col min="48" max="52" width="9" style="11"/>
    <col min="53" max="53" width="12" style="11" bestFit="1" customWidth="1"/>
    <col min="54" max="55" width="9" style="11"/>
    <col min="56" max="56" width="13.25" style="11" bestFit="1" customWidth="1"/>
    <col min="57" max="57" width="13.5" style="11" bestFit="1" customWidth="1"/>
    <col min="58" max="16384" width="9" style="11"/>
  </cols>
  <sheetData>
    <row r="1" spans="1:57" ht="18.75" x14ac:dyDescent="0.3">
      <c r="A1" s="1"/>
      <c r="B1" s="26"/>
      <c r="C1" s="286" t="s">
        <v>131</v>
      </c>
      <c r="D1" s="286"/>
      <c r="E1" s="286"/>
      <c r="F1" s="286"/>
      <c r="G1" s="286"/>
      <c r="H1" s="286"/>
      <c r="I1" s="17"/>
      <c r="J1" s="282" t="s">
        <v>96</v>
      </c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51"/>
      <c r="X1" s="285" t="s">
        <v>110</v>
      </c>
      <c r="Y1" s="285"/>
      <c r="Z1" s="285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BA1" s="285"/>
      <c r="BB1" s="286"/>
      <c r="BC1" s="286"/>
      <c r="BD1" s="286"/>
      <c r="BE1" s="286"/>
    </row>
    <row r="2" spans="1:57" x14ac:dyDescent="0.25">
      <c r="A2" s="2"/>
      <c r="B2" s="3"/>
      <c r="C2" s="3"/>
      <c r="D2" s="3"/>
      <c r="E2" s="3"/>
      <c r="F2" s="3"/>
      <c r="G2" s="3"/>
      <c r="H2" s="3"/>
      <c r="I2" s="1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13"/>
      <c r="X2" s="3"/>
      <c r="Y2" s="3"/>
      <c r="Z2" s="3"/>
      <c r="AH2" s="13"/>
      <c r="AI2" s="13"/>
      <c r="AJ2" s="13"/>
      <c r="AK2" s="13"/>
      <c r="AL2" s="13"/>
      <c r="AM2" s="13"/>
      <c r="AN2" s="13"/>
      <c r="AO2" s="13"/>
      <c r="AP2" s="13"/>
    </row>
    <row r="3" spans="1:57" s="38" customFormat="1" ht="18.75" x14ac:dyDescent="0.3">
      <c r="A3" s="47"/>
      <c r="B3" s="35"/>
      <c r="C3" s="48"/>
      <c r="D3" s="48"/>
      <c r="E3" s="48"/>
      <c r="F3" s="93"/>
      <c r="G3" s="93"/>
      <c r="H3" s="93"/>
      <c r="J3" s="48" t="s">
        <v>95</v>
      </c>
      <c r="K3" s="48" t="s">
        <v>95</v>
      </c>
      <c r="L3" s="48" t="s">
        <v>95</v>
      </c>
      <c r="M3" s="48" t="s">
        <v>95</v>
      </c>
      <c r="N3" s="48" t="s">
        <v>95</v>
      </c>
      <c r="O3" s="48" t="s">
        <v>95</v>
      </c>
      <c r="P3" s="48" t="s">
        <v>95</v>
      </c>
      <c r="Q3" s="48" t="s">
        <v>95</v>
      </c>
      <c r="R3" s="48" t="s">
        <v>127</v>
      </c>
      <c r="S3" s="48" t="s">
        <v>103</v>
      </c>
      <c r="T3" s="48" t="s">
        <v>127</v>
      </c>
      <c r="U3" s="48" t="s">
        <v>127</v>
      </c>
      <c r="V3" s="48" t="s">
        <v>103</v>
      </c>
      <c r="W3" s="71"/>
      <c r="X3" s="35" t="s">
        <v>95</v>
      </c>
      <c r="Y3" s="35" t="s">
        <v>103</v>
      </c>
      <c r="Z3" s="48" t="s">
        <v>103</v>
      </c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</row>
    <row r="4" spans="1:57" x14ac:dyDescent="0.25">
      <c r="A4" s="2">
        <v>1</v>
      </c>
      <c r="B4" s="3">
        <f t="shared" ref="B4:Z4" si="0">1+A4</f>
        <v>2</v>
      </c>
      <c r="C4" s="3">
        <f t="shared" si="0"/>
        <v>3</v>
      </c>
      <c r="D4" s="3">
        <f t="shared" si="0"/>
        <v>4</v>
      </c>
      <c r="E4" s="3">
        <f t="shared" si="0"/>
        <v>5</v>
      </c>
      <c r="F4" s="3">
        <f t="shared" si="0"/>
        <v>6</v>
      </c>
      <c r="G4" s="3">
        <f t="shared" si="0"/>
        <v>7</v>
      </c>
      <c r="H4" s="3">
        <f t="shared" si="0"/>
        <v>8</v>
      </c>
      <c r="I4" s="13">
        <f t="shared" si="0"/>
        <v>9</v>
      </c>
      <c r="J4" s="3">
        <f t="shared" si="0"/>
        <v>10</v>
      </c>
      <c r="K4" s="3">
        <f t="shared" si="0"/>
        <v>11</v>
      </c>
      <c r="L4" s="3">
        <f t="shared" si="0"/>
        <v>12</v>
      </c>
      <c r="M4" s="3">
        <f t="shared" si="0"/>
        <v>13</v>
      </c>
      <c r="N4" s="3">
        <f t="shared" si="0"/>
        <v>14</v>
      </c>
      <c r="O4" s="3">
        <f t="shared" si="0"/>
        <v>15</v>
      </c>
      <c r="P4" s="3">
        <f t="shared" si="0"/>
        <v>16</v>
      </c>
      <c r="Q4" s="3">
        <f t="shared" si="0"/>
        <v>17</v>
      </c>
      <c r="R4" s="3">
        <f t="shared" si="0"/>
        <v>18</v>
      </c>
      <c r="S4" s="3">
        <f t="shared" si="0"/>
        <v>19</v>
      </c>
      <c r="T4" s="3">
        <f t="shared" si="0"/>
        <v>20</v>
      </c>
      <c r="U4" s="3">
        <f t="shared" si="0"/>
        <v>21</v>
      </c>
      <c r="V4" s="3">
        <f t="shared" si="0"/>
        <v>22</v>
      </c>
      <c r="W4" s="13">
        <f t="shared" si="0"/>
        <v>23</v>
      </c>
      <c r="X4" s="3">
        <f t="shared" si="0"/>
        <v>24</v>
      </c>
      <c r="Y4" s="3">
        <f t="shared" si="0"/>
        <v>25</v>
      </c>
      <c r="Z4" s="3">
        <f t="shared" si="0"/>
        <v>26</v>
      </c>
      <c r="AH4" s="13"/>
      <c r="AI4" s="13"/>
      <c r="AJ4" s="13"/>
      <c r="AK4" s="13"/>
      <c r="AL4" s="13"/>
      <c r="AM4" s="13"/>
      <c r="AN4" s="13"/>
      <c r="AO4" s="13"/>
      <c r="AP4" s="13"/>
    </row>
    <row r="5" spans="1:57" s="42" customFormat="1" x14ac:dyDescent="0.25">
      <c r="A5" s="35"/>
      <c r="B5" s="35"/>
      <c r="C5" s="25" t="s">
        <v>17</v>
      </c>
      <c r="D5" s="25" t="s">
        <v>17</v>
      </c>
      <c r="E5" s="25" t="s">
        <v>17</v>
      </c>
      <c r="F5" s="25"/>
      <c r="G5" s="25" t="s">
        <v>20</v>
      </c>
      <c r="H5" s="116" t="s">
        <v>19</v>
      </c>
      <c r="I5" s="38"/>
      <c r="J5" s="25" t="s">
        <v>172</v>
      </c>
      <c r="K5" s="25" t="s">
        <v>115</v>
      </c>
      <c r="L5" s="24" t="s">
        <v>195</v>
      </c>
      <c r="M5" s="25" t="s">
        <v>193</v>
      </c>
      <c r="N5" s="25" t="s">
        <v>196</v>
      </c>
      <c r="O5" s="25" t="s">
        <v>197</v>
      </c>
      <c r="P5" s="25"/>
      <c r="Q5" s="25"/>
      <c r="R5" s="226" t="s">
        <v>236</v>
      </c>
      <c r="S5" s="25" t="s">
        <v>103</v>
      </c>
      <c r="T5" s="25" t="s">
        <v>153</v>
      </c>
      <c r="U5" s="24" t="s">
        <v>97</v>
      </c>
      <c r="V5" s="25"/>
      <c r="W5" s="16"/>
      <c r="X5" s="36"/>
      <c r="Y5" s="25" t="s">
        <v>103</v>
      </c>
      <c r="Z5" s="36"/>
      <c r="AH5" s="16"/>
      <c r="AI5" s="16"/>
      <c r="AJ5" s="16"/>
      <c r="AK5" s="16"/>
      <c r="AL5" s="16"/>
      <c r="AM5" s="16"/>
      <c r="AN5" s="16"/>
      <c r="AO5" s="16"/>
      <c r="AP5" s="16"/>
      <c r="AQ5" s="284"/>
      <c r="AR5" s="284"/>
      <c r="AS5" s="284"/>
      <c r="AT5" s="284"/>
      <c r="AU5" s="284"/>
      <c r="AV5" s="287"/>
      <c r="AW5" s="287"/>
      <c r="AX5" s="284"/>
      <c r="AY5" s="284"/>
    </row>
    <row r="6" spans="1:57" s="42" customFormat="1" x14ac:dyDescent="0.25">
      <c r="A6" s="25" t="s">
        <v>104</v>
      </c>
      <c r="B6" s="28"/>
      <c r="C6" s="25" t="s">
        <v>95</v>
      </c>
      <c r="D6" s="25" t="s">
        <v>103</v>
      </c>
      <c r="E6" s="25" t="s">
        <v>130</v>
      </c>
      <c r="F6" s="25" t="s">
        <v>17</v>
      </c>
      <c r="G6" s="25" t="s">
        <v>154</v>
      </c>
      <c r="H6" s="116" t="s">
        <v>154</v>
      </c>
      <c r="I6" s="43"/>
      <c r="J6" s="25" t="s">
        <v>154</v>
      </c>
      <c r="K6" s="25" t="s">
        <v>116</v>
      </c>
      <c r="L6" s="25" t="s">
        <v>25</v>
      </c>
      <c r="M6" s="25" t="s">
        <v>194</v>
      </c>
      <c r="N6" s="25" t="s">
        <v>90</v>
      </c>
      <c r="O6" s="25" t="s">
        <v>90</v>
      </c>
      <c r="P6" s="25" t="s">
        <v>98</v>
      </c>
      <c r="Q6" s="25" t="s">
        <v>112</v>
      </c>
      <c r="R6" s="25" t="s">
        <v>189</v>
      </c>
      <c r="S6" s="25" t="s">
        <v>150</v>
      </c>
      <c r="T6" s="25" t="s">
        <v>152</v>
      </c>
      <c r="U6" s="25" t="s">
        <v>113</v>
      </c>
      <c r="V6" s="25" t="s">
        <v>128</v>
      </c>
      <c r="W6" s="16"/>
      <c r="X6" s="25" t="s">
        <v>109</v>
      </c>
      <c r="Y6" s="25" t="s">
        <v>3</v>
      </c>
      <c r="Z6" s="25" t="s">
        <v>128</v>
      </c>
      <c r="AH6" s="16"/>
      <c r="AI6" s="16"/>
      <c r="AJ6" s="284"/>
      <c r="AK6" s="284"/>
      <c r="AL6" s="284"/>
      <c r="AM6" s="284"/>
      <c r="AN6" s="284"/>
      <c r="AO6" s="284"/>
      <c r="AP6" s="16"/>
      <c r="AQ6" s="16"/>
      <c r="AR6" s="16"/>
      <c r="AS6" s="16"/>
      <c r="AT6" s="284"/>
      <c r="AU6" s="284"/>
      <c r="AV6" s="284"/>
      <c r="AW6" s="284"/>
      <c r="AX6" s="284"/>
      <c r="AY6" s="284"/>
      <c r="BA6" s="16"/>
      <c r="BB6" s="16"/>
      <c r="BC6" s="16"/>
      <c r="BD6" s="16"/>
      <c r="BE6" s="16"/>
    </row>
    <row r="7" spans="1:57" s="42" customFormat="1" x14ac:dyDescent="0.25">
      <c r="A7" s="28" t="s">
        <v>47</v>
      </c>
      <c r="B7" s="36"/>
      <c r="C7" s="28" t="s">
        <v>117</v>
      </c>
      <c r="D7" s="28" t="s">
        <v>117</v>
      </c>
      <c r="E7" s="28" t="s">
        <v>117</v>
      </c>
      <c r="F7" s="28" t="s">
        <v>117</v>
      </c>
      <c r="G7" s="28" t="s">
        <v>155</v>
      </c>
      <c r="H7" s="37" t="s">
        <v>155</v>
      </c>
      <c r="J7" s="29" t="s">
        <v>171</v>
      </c>
      <c r="K7" s="28" t="s">
        <v>99</v>
      </c>
      <c r="L7" s="29" t="s">
        <v>99</v>
      </c>
      <c r="M7" s="29" t="s">
        <v>99</v>
      </c>
      <c r="N7" s="37" t="s">
        <v>102</v>
      </c>
      <c r="O7" s="28" t="s">
        <v>102</v>
      </c>
      <c r="P7" s="28" t="s">
        <v>24</v>
      </c>
      <c r="Q7" s="28" t="s">
        <v>111</v>
      </c>
      <c r="R7" s="28" t="s">
        <v>100</v>
      </c>
      <c r="S7" s="25" t="s">
        <v>101</v>
      </c>
      <c r="T7" s="25" t="s">
        <v>106</v>
      </c>
      <c r="U7" s="28" t="s">
        <v>114</v>
      </c>
      <c r="V7" s="28" t="s">
        <v>129</v>
      </c>
      <c r="W7" s="43"/>
      <c r="X7" s="28" t="s">
        <v>100</v>
      </c>
      <c r="Y7" s="29" t="s">
        <v>101</v>
      </c>
      <c r="Z7" s="28" t="s">
        <v>129</v>
      </c>
      <c r="AH7" s="43"/>
      <c r="AI7" s="43"/>
      <c r="AJ7" s="44"/>
      <c r="AK7" s="44"/>
      <c r="AL7" s="44"/>
      <c r="AM7" s="44"/>
      <c r="AN7" s="44"/>
      <c r="AO7" s="44"/>
      <c r="AP7" s="43"/>
      <c r="AQ7" s="43"/>
      <c r="AR7" s="43"/>
      <c r="AS7" s="43"/>
      <c r="AT7" s="43"/>
      <c r="AU7" s="43"/>
      <c r="AV7" s="43"/>
      <c r="AW7" s="43"/>
      <c r="AX7" s="43"/>
      <c r="AY7" s="43"/>
      <c r="BA7" s="43"/>
      <c r="BB7" s="43"/>
      <c r="BC7" s="43"/>
      <c r="BD7" s="43"/>
      <c r="BE7" s="43"/>
    </row>
    <row r="8" spans="1:57" x14ac:dyDescent="0.25">
      <c r="A8" s="31">
        <f>'M&amp;R Stations'!A2</f>
        <v>38961</v>
      </c>
      <c r="B8"/>
      <c r="C8" s="70">
        <f>IF(J8="","",J8+K8+L8+M8+N8+O8+Q8+P8+X8)</f>
        <v>171</v>
      </c>
      <c r="D8" s="70">
        <f>IF(J8="","",S8+V8+Y8+Z8)</f>
        <v>64</v>
      </c>
      <c r="E8" s="70">
        <f>IF(J8="","",R8+T8+U8)</f>
        <v>0</v>
      </c>
      <c r="F8" s="94">
        <f>IF(J8="","",C8+D8+E8)</f>
        <v>235</v>
      </c>
      <c r="G8" s="109">
        <f>IF(J8="","",SUM(J8:V8))</f>
        <v>204</v>
      </c>
      <c r="H8" s="109">
        <f>IF(J8="","",SUM(X8:Z8))</f>
        <v>31</v>
      </c>
      <c r="J8" s="216">
        <v>0</v>
      </c>
      <c r="K8" s="216">
        <v>10</v>
      </c>
      <c r="L8" s="216">
        <v>2</v>
      </c>
      <c r="M8" s="216">
        <v>92</v>
      </c>
      <c r="N8" s="216">
        <v>14</v>
      </c>
      <c r="O8" s="216">
        <v>0</v>
      </c>
      <c r="P8" s="216">
        <v>0</v>
      </c>
      <c r="Q8" s="216">
        <v>53</v>
      </c>
      <c r="R8" s="216">
        <v>0</v>
      </c>
      <c r="S8" s="216">
        <v>0</v>
      </c>
      <c r="T8" s="216">
        <v>0</v>
      </c>
      <c r="U8" s="216">
        <v>0</v>
      </c>
      <c r="V8" s="216">
        <v>33</v>
      </c>
      <c r="W8" s="52"/>
      <c r="X8" s="216">
        <v>0</v>
      </c>
      <c r="Y8" s="216">
        <v>11</v>
      </c>
      <c r="Z8" s="216">
        <v>20</v>
      </c>
      <c r="AH8" s="46"/>
      <c r="AI8" s="46"/>
    </row>
    <row r="9" spans="1:57" x14ac:dyDescent="0.25">
      <c r="A9" s="31">
        <f>'M&amp;R Stations'!A3</f>
        <v>38962</v>
      </c>
      <c r="B9"/>
      <c r="C9" s="70">
        <f t="shared" ref="C9:C72" si="1">IF(J9="","",J9+K9+L9+M9+N9+O9+Q9+P9+X9)</f>
        <v>253</v>
      </c>
      <c r="D9" s="70">
        <f t="shared" ref="D9:D72" si="2">IF(J9="","",S9+V9+Y9+Z9)</f>
        <v>56</v>
      </c>
      <c r="E9" s="70">
        <f t="shared" ref="E9:E72" si="3">IF(J9="","",R9+T9+U9)</f>
        <v>0</v>
      </c>
      <c r="F9" s="94">
        <f t="shared" ref="F9:F72" si="4">IF(J9="","",C9+D9+E9)</f>
        <v>309</v>
      </c>
      <c r="G9" s="109">
        <f t="shared" ref="G9:G72" si="5">IF(J9="","",SUM(J9:V9))</f>
        <v>282</v>
      </c>
      <c r="H9" s="109">
        <f t="shared" ref="H9:H72" si="6">IF(J9="","",SUM(X9:Z9))</f>
        <v>27</v>
      </c>
      <c r="J9" s="216">
        <v>0</v>
      </c>
      <c r="K9" s="216">
        <v>10</v>
      </c>
      <c r="L9" s="216">
        <v>3</v>
      </c>
      <c r="M9" s="216">
        <v>85</v>
      </c>
      <c r="N9" s="216">
        <v>11</v>
      </c>
      <c r="O9" s="216">
        <v>0</v>
      </c>
      <c r="P9" s="216">
        <v>0</v>
      </c>
      <c r="Q9" s="216">
        <v>144</v>
      </c>
      <c r="R9" s="216">
        <v>0</v>
      </c>
      <c r="S9" s="216">
        <v>0</v>
      </c>
      <c r="T9" s="216">
        <v>0</v>
      </c>
      <c r="U9" s="216">
        <v>0</v>
      </c>
      <c r="V9" s="216">
        <v>29</v>
      </c>
      <c r="W9" s="52"/>
      <c r="X9" s="216">
        <v>0</v>
      </c>
      <c r="Y9" s="216">
        <v>6</v>
      </c>
      <c r="Z9" s="216">
        <v>21</v>
      </c>
      <c r="AH9" s="46"/>
      <c r="AI9" s="46"/>
    </row>
    <row r="10" spans="1:57" x14ac:dyDescent="0.25">
      <c r="A10" s="31">
        <f>'M&amp;R Stations'!A4</f>
        <v>38963</v>
      </c>
      <c r="B10"/>
      <c r="C10" s="70">
        <f t="shared" si="1"/>
        <v>485</v>
      </c>
      <c r="D10" s="70">
        <f t="shared" si="2"/>
        <v>69</v>
      </c>
      <c r="E10" s="70">
        <f t="shared" si="3"/>
        <v>0</v>
      </c>
      <c r="F10" s="94">
        <f t="shared" si="4"/>
        <v>554</v>
      </c>
      <c r="G10" s="109">
        <f t="shared" si="5"/>
        <v>511</v>
      </c>
      <c r="H10" s="109">
        <f t="shared" si="6"/>
        <v>43</v>
      </c>
      <c r="J10" s="216">
        <v>0</v>
      </c>
      <c r="K10" s="216">
        <v>9</v>
      </c>
      <c r="L10" s="216">
        <v>2</v>
      </c>
      <c r="M10" s="216">
        <v>83</v>
      </c>
      <c r="N10" s="216">
        <v>11</v>
      </c>
      <c r="O10" s="216">
        <v>0</v>
      </c>
      <c r="P10" s="216">
        <v>0</v>
      </c>
      <c r="Q10" s="216">
        <v>380</v>
      </c>
      <c r="R10" s="216">
        <v>0</v>
      </c>
      <c r="S10" s="216">
        <v>0</v>
      </c>
      <c r="T10" s="216">
        <v>0</v>
      </c>
      <c r="U10" s="216">
        <v>0</v>
      </c>
      <c r="V10" s="216">
        <v>26</v>
      </c>
      <c r="W10" s="52"/>
      <c r="X10" s="216">
        <v>0</v>
      </c>
      <c r="Y10" s="216">
        <v>19</v>
      </c>
      <c r="Z10" s="216">
        <v>24</v>
      </c>
      <c r="AH10" s="46"/>
      <c r="AI10" s="46"/>
    </row>
    <row r="11" spans="1:57" x14ac:dyDescent="0.25">
      <c r="A11" s="31">
        <f>'M&amp;R Stations'!A5</f>
        <v>38964</v>
      </c>
      <c r="B11"/>
      <c r="C11" s="70">
        <f t="shared" si="1"/>
        <v>514</v>
      </c>
      <c r="D11" s="70">
        <f t="shared" si="2"/>
        <v>66</v>
      </c>
      <c r="E11" s="70">
        <f t="shared" si="3"/>
        <v>0</v>
      </c>
      <c r="F11" s="94">
        <f t="shared" si="4"/>
        <v>580</v>
      </c>
      <c r="G11" s="109">
        <f t="shared" si="5"/>
        <v>542</v>
      </c>
      <c r="H11" s="109">
        <f t="shared" si="6"/>
        <v>38</v>
      </c>
      <c r="J11" s="216">
        <v>0</v>
      </c>
      <c r="K11" s="216">
        <v>10</v>
      </c>
      <c r="L11" s="216">
        <v>2</v>
      </c>
      <c r="M11" s="216">
        <v>93</v>
      </c>
      <c r="N11" s="216">
        <v>23</v>
      </c>
      <c r="O11" s="216">
        <v>0</v>
      </c>
      <c r="P11" s="216">
        <v>0</v>
      </c>
      <c r="Q11" s="216">
        <v>386</v>
      </c>
      <c r="R11" s="216">
        <v>0</v>
      </c>
      <c r="S11" s="216">
        <v>0</v>
      </c>
      <c r="T11" s="216">
        <v>0</v>
      </c>
      <c r="U11" s="216">
        <v>0</v>
      </c>
      <c r="V11" s="216">
        <v>28</v>
      </c>
      <c r="W11" s="52"/>
      <c r="X11" s="216">
        <v>0</v>
      </c>
      <c r="Y11" s="216">
        <v>11</v>
      </c>
      <c r="Z11" s="216">
        <v>27</v>
      </c>
      <c r="AH11" s="46"/>
      <c r="AI11" s="46"/>
    </row>
    <row r="12" spans="1:57" x14ac:dyDescent="0.25">
      <c r="A12" s="31">
        <f>'M&amp;R Stations'!A6</f>
        <v>38965</v>
      </c>
      <c r="B12"/>
      <c r="C12" s="70">
        <f t="shared" si="1"/>
        <v>520</v>
      </c>
      <c r="D12" s="70">
        <f t="shared" si="2"/>
        <v>104</v>
      </c>
      <c r="E12" s="70">
        <f t="shared" si="3"/>
        <v>7</v>
      </c>
      <c r="F12" s="94">
        <f t="shared" si="4"/>
        <v>631</v>
      </c>
      <c r="G12" s="109">
        <f t="shared" si="5"/>
        <v>564</v>
      </c>
      <c r="H12" s="109">
        <f t="shared" si="6"/>
        <v>67</v>
      </c>
      <c r="J12" s="216">
        <v>0</v>
      </c>
      <c r="K12" s="216">
        <v>10</v>
      </c>
      <c r="L12" s="216">
        <v>3</v>
      </c>
      <c r="M12" s="216">
        <v>85</v>
      </c>
      <c r="N12" s="216">
        <v>43</v>
      </c>
      <c r="O12" s="216">
        <v>0</v>
      </c>
      <c r="P12" s="216">
        <v>0</v>
      </c>
      <c r="Q12" s="216">
        <v>379</v>
      </c>
      <c r="R12" s="216">
        <v>0</v>
      </c>
      <c r="S12" s="216">
        <v>0</v>
      </c>
      <c r="T12" s="216">
        <v>0</v>
      </c>
      <c r="U12" s="216">
        <v>7</v>
      </c>
      <c r="V12" s="216">
        <v>37</v>
      </c>
      <c r="W12" s="52"/>
      <c r="X12" s="216">
        <v>0</v>
      </c>
      <c r="Y12" s="216">
        <v>34</v>
      </c>
      <c r="Z12" s="216">
        <v>33</v>
      </c>
      <c r="AH12" s="46"/>
      <c r="AI12" s="46"/>
    </row>
    <row r="13" spans="1:57" x14ac:dyDescent="0.25">
      <c r="A13" s="31">
        <f>'M&amp;R Stations'!A7</f>
        <v>38966</v>
      </c>
      <c r="B13"/>
      <c r="C13" s="70">
        <f t="shared" si="1"/>
        <v>495</v>
      </c>
      <c r="D13" s="70">
        <f t="shared" si="2"/>
        <v>80</v>
      </c>
      <c r="E13" s="70">
        <f t="shared" si="3"/>
        <v>0</v>
      </c>
      <c r="F13" s="94">
        <f t="shared" si="4"/>
        <v>575</v>
      </c>
      <c r="G13" s="109">
        <f t="shared" si="5"/>
        <v>529</v>
      </c>
      <c r="H13" s="109">
        <f t="shared" si="6"/>
        <v>46</v>
      </c>
      <c r="J13" s="216">
        <v>0</v>
      </c>
      <c r="K13" s="216">
        <v>9</v>
      </c>
      <c r="L13" s="216">
        <v>2</v>
      </c>
      <c r="M13" s="216">
        <v>88</v>
      </c>
      <c r="N13" s="216">
        <v>14</v>
      </c>
      <c r="O13" s="216">
        <v>0</v>
      </c>
      <c r="P13" s="216">
        <v>0</v>
      </c>
      <c r="Q13" s="216">
        <v>382</v>
      </c>
      <c r="R13" s="216">
        <v>0</v>
      </c>
      <c r="S13" s="216">
        <v>0</v>
      </c>
      <c r="T13" s="216">
        <v>0</v>
      </c>
      <c r="U13" s="216">
        <v>0</v>
      </c>
      <c r="V13" s="216">
        <v>34</v>
      </c>
      <c r="W13" s="52"/>
      <c r="X13" s="216">
        <v>0</v>
      </c>
      <c r="Y13" s="216">
        <v>7</v>
      </c>
      <c r="Z13" s="216">
        <v>39</v>
      </c>
      <c r="AH13" s="46"/>
      <c r="AI13" s="46"/>
    </row>
    <row r="14" spans="1:57" x14ac:dyDescent="0.25">
      <c r="A14" s="31">
        <f>'M&amp;R Stations'!A8</f>
        <v>38967</v>
      </c>
      <c r="B14"/>
      <c r="C14" s="70">
        <f t="shared" si="1"/>
        <v>493</v>
      </c>
      <c r="D14" s="70">
        <f t="shared" si="2"/>
        <v>76</v>
      </c>
      <c r="E14" s="70">
        <f t="shared" si="3"/>
        <v>8</v>
      </c>
      <c r="F14" s="94">
        <f t="shared" si="4"/>
        <v>577</v>
      </c>
      <c r="G14" s="109">
        <f t="shared" si="5"/>
        <v>539</v>
      </c>
      <c r="H14" s="109">
        <f t="shared" si="6"/>
        <v>38</v>
      </c>
      <c r="J14" s="216">
        <v>0</v>
      </c>
      <c r="K14" s="216">
        <v>10</v>
      </c>
      <c r="L14" s="216">
        <v>1</v>
      </c>
      <c r="M14" s="216">
        <v>92</v>
      </c>
      <c r="N14" s="216">
        <v>16</v>
      </c>
      <c r="O14" s="216">
        <v>0</v>
      </c>
      <c r="P14" s="216">
        <v>0</v>
      </c>
      <c r="Q14" s="216">
        <v>374</v>
      </c>
      <c r="R14" s="216">
        <v>0</v>
      </c>
      <c r="S14" s="216">
        <v>0</v>
      </c>
      <c r="T14" s="216">
        <v>0</v>
      </c>
      <c r="U14" s="216">
        <v>8</v>
      </c>
      <c r="V14" s="216">
        <v>38</v>
      </c>
      <c r="W14" s="52"/>
      <c r="X14" s="216">
        <v>0</v>
      </c>
      <c r="Y14" s="216">
        <v>7</v>
      </c>
      <c r="Z14" s="216">
        <v>31</v>
      </c>
      <c r="AH14" s="46"/>
      <c r="AI14" s="46"/>
    </row>
    <row r="15" spans="1:57" x14ac:dyDescent="0.25">
      <c r="A15" s="31">
        <f>'M&amp;R Stations'!A9</f>
        <v>38968</v>
      </c>
      <c r="B15"/>
      <c r="C15" s="70">
        <f t="shared" si="1"/>
        <v>636</v>
      </c>
      <c r="D15" s="70">
        <f t="shared" si="2"/>
        <v>74</v>
      </c>
      <c r="E15" s="70">
        <f t="shared" si="3"/>
        <v>0</v>
      </c>
      <c r="F15" s="94">
        <f t="shared" si="4"/>
        <v>710</v>
      </c>
      <c r="G15" s="109">
        <f t="shared" si="5"/>
        <v>674</v>
      </c>
      <c r="H15" s="109">
        <f t="shared" si="6"/>
        <v>36</v>
      </c>
      <c r="J15" s="216">
        <v>0</v>
      </c>
      <c r="K15" s="216">
        <v>9</v>
      </c>
      <c r="L15" s="216">
        <v>2</v>
      </c>
      <c r="M15" s="216">
        <v>57</v>
      </c>
      <c r="N15" s="216">
        <v>13</v>
      </c>
      <c r="O15" s="216">
        <v>0</v>
      </c>
      <c r="P15" s="216">
        <v>0</v>
      </c>
      <c r="Q15" s="216">
        <v>555</v>
      </c>
      <c r="R15" s="216">
        <v>0</v>
      </c>
      <c r="S15" s="216">
        <v>0</v>
      </c>
      <c r="T15" s="216">
        <v>0</v>
      </c>
      <c r="U15" s="216">
        <v>0</v>
      </c>
      <c r="V15" s="216">
        <v>38</v>
      </c>
      <c r="W15" s="52"/>
      <c r="X15" s="216">
        <v>0</v>
      </c>
      <c r="Y15" s="216">
        <v>7</v>
      </c>
      <c r="Z15" s="216">
        <v>29</v>
      </c>
      <c r="AH15" s="46"/>
      <c r="AI15" s="46"/>
    </row>
    <row r="16" spans="1:57" x14ac:dyDescent="0.25">
      <c r="A16" s="31">
        <f>'M&amp;R Stations'!A10</f>
        <v>38969</v>
      </c>
      <c r="B16"/>
      <c r="C16" s="70">
        <f t="shared" si="1"/>
        <v>1013</v>
      </c>
      <c r="D16" s="70">
        <f t="shared" si="2"/>
        <v>73</v>
      </c>
      <c r="E16" s="70">
        <f t="shared" si="3"/>
        <v>0</v>
      </c>
      <c r="F16" s="94">
        <f t="shared" si="4"/>
        <v>1086</v>
      </c>
      <c r="G16" s="109">
        <f t="shared" si="5"/>
        <v>1053</v>
      </c>
      <c r="H16" s="109">
        <f t="shared" si="6"/>
        <v>33</v>
      </c>
      <c r="J16" s="216">
        <v>0</v>
      </c>
      <c r="K16" s="216">
        <v>10</v>
      </c>
      <c r="L16" s="216">
        <v>2</v>
      </c>
      <c r="M16" s="216">
        <v>46</v>
      </c>
      <c r="N16" s="216">
        <v>23</v>
      </c>
      <c r="O16" s="216">
        <v>0</v>
      </c>
      <c r="P16" s="216">
        <v>0</v>
      </c>
      <c r="Q16" s="216">
        <v>932</v>
      </c>
      <c r="R16" s="216">
        <v>0</v>
      </c>
      <c r="S16" s="216">
        <v>0</v>
      </c>
      <c r="T16" s="216">
        <v>0</v>
      </c>
      <c r="U16" s="216">
        <v>0</v>
      </c>
      <c r="V16" s="216">
        <v>40</v>
      </c>
      <c r="W16" s="52"/>
      <c r="X16" s="216">
        <v>0</v>
      </c>
      <c r="Y16" s="216">
        <v>7</v>
      </c>
      <c r="Z16" s="216">
        <v>26</v>
      </c>
      <c r="AH16" s="46"/>
      <c r="AI16" s="46"/>
    </row>
    <row r="17" spans="1:35" x14ac:dyDescent="0.25">
      <c r="A17" s="31">
        <f>'M&amp;R Stations'!A11</f>
        <v>38970</v>
      </c>
      <c r="B17"/>
      <c r="C17" s="70">
        <f t="shared" si="1"/>
        <v>1340</v>
      </c>
      <c r="D17" s="70">
        <f t="shared" si="2"/>
        <v>79</v>
      </c>
      <c r="E17" s="70">
        <f t="shared" si="3"/>
        <v>0</v>
      </c>
      <c r="F17" s="94">
        <f t="shared" si="4"/>
        <v>1419</v>
      </c>
      <c r="G17" s="109">
        <f t="shared" si="5"/>
        <v>1381</v>
      </c>
      <c r="H17" s="109">
        <f t="shared" si="6"/>
        <v>38</v>
      </c>
      <c r="J17" s="216">
        <v>0</v>
      </c>
      <c r="K17" s="216">
        <v>10</v>
      </c>
      <c r="L17" s="216">
        <v>2</v>
      </c>
      <c r="M17" s="216">
        <v>44</v>
      </c>
      <c r="N17" s="216">
        <v>20</v>
      </c>
      <c r="O17" s="216">
        <v>0</v>
      </c>
      <c r="P17" s="216">
        <v>0</v>
      </c>
      <c r="Q17" s="216">
        <v>1264</v>
      </c>
      <c r="R17" s="216">
        <v>0</v>
      </c>
      <c r="S17" s="216">
        <v>0</v>
      </c>
      <c r="T17" s="216">
        <v>0</v>
      </c>
      <c r="U17" s="216">
        <v>0</v>
      </c>
      <c r="V17" s="216">
        <v>41</v>
      </c>
      <c r="W17" s="52"/>
      <c r="X17" s="216">
        <v>0</v>
      </c>
      <c r="Y17" s="216">
        <v>7</v>
      </c>
      <c r="Z17" s="216">
        <v>31</v>
      </c>
      <c r="AH17" s="46"/>
      <c r="AI17" s="46"/>
    </row>
    <row r="18" spans="1:35" x14ac:dyDescent="0.25">
      <c r="A18" s="31">
        <f>'M&amp;R Stations'!A12</f>
        <v>38971</v>
      </c>
      <c r="B18"/>
      <c r="C18" s="70">
        <f t="shared" si="1"/>
        <v>1402</v>
      </c>
      <c r="D18" s="70">
        <f t="shared" si="2"/>
        <v>79</v>
      </c>
      <c r="E18" s="70">
        <f t="shared" si="3"/>
        <v>0</v>
      </c>
      <c r="F18" s="94">
        <f t="shared" si="4"/>
        <v>1481</v>
      </c>
      <c r="G18" s="109">
        <f t="shared" si="5"/>
        <v>1438</v>
      </c>
      <c r="H18" s="109">
        <f t="shared" si="6"/>
        <v>43</v>
      </c>
      <c r="J18" s="216">
        <v>0</v>
      </c>
      <c r="K18" s="216">
        <v>10</v>
      </c>
      <c r="L18" s="216">
        <v>2</v>
      </c>
      <c r="M18" s="216">
        <v>57</v>
      </c>
      <c r="N18" s="216">
        <v>21</v>
      </c>
      <c r="O18" s="216">
        <v>0</v>
      </c>
      <c r="P18" s="216">
        <v>0</v>
      </c>
      <c r="Q18" s="216">
        <v>1312</v>
      </c>
      <c r="R18" s="216">
        <v>0</v>
      </c>
      <c r="S18" s="216">
        <v>0</v>
      </c>
      <c r="T18" s="216">
        <v>0</v>
      </c>
      <c r="U18" s="216">
        <v>0</v>
      </c>
      <c r="V18" s="216">
        <v>36</v>
      </c>
      <c r="W18" s="52"/>
      <c r="X18" s="216">
        <v>0</v>
      </c>
      <c r="Y18" s="216">
        <v>11</v>
      </c>
      <c r="Z18" s="216">
        <v>32</v>
      </c>
      <c r="AH18" s="46"/>
      <c r="AI18" s="46"/>
    </row>
    <row r="19" spans="1:35" x14ac:dyDescent="0.25">
      <c r="A19" s="31">
        <f>'M&amp;R Stations'!A13</f>
        <v>38972</v>
      </c>
      <c r="B19"/>
      <c r="C19" s="70">
        <f t="shared" si="1"/>
        <v>1124</v>
      </c>
      <c r="D19" s="70">
        <f t="shared" si="2"/>
        <v>95</v>
      </c>
      <c r="E19" s="70">
        <f t="shared" si="3"/>
        <v>0</v>
      </c>
      <c r="F19" s="94">
        <f t="shared" si="4"/>
        <v>1219</v>
      </c>
      <c r="G19" s="109">
        <f t="shared" si="5"/>
        <v>1166</v>
      </c>
      <c r="H19" s="109">
        <f t="shared" si="6"/>
        <v>53</v>
      </c>
      <c r="J19" s="216">
        <v>0</v>
      </c>
      <c r="K19" s="216">
        <v>9</v>
      </c>
      <c r="L19" s="216">
        <v>2</v>
      </c>
      <c r="M19" s="216">
        <v>55</v>
      </c>
      <c r="N19" s="216">
        <v>8</v>
      </c>
      <c r="O19" s="216">
        <v>0</v>
      </c>
      <c r="P19" s="216">
        <v>0</v>
      </c>
      <c r="Q19" s="216">
        <v>1050</v>
      </c>
      <c r="R19" s="216">
        <v>0</v>
      </c>
      <c r="S19" s="216">
        <v>0</v>
      </c>
      <c r="T19" s="216">
        <v>0</v>
      </c>
      <c r="U19" s="216">
        <v>0</v>
      </c>
      <c r="V19" s="216">
        <v>42</v>
      </c>
      <c r="W19" s="52"/>
      <c r="X19" s="216">
        <v>0</v>
      </c>
      <c r="Y19" s="216">
        <v>17</v>
      </c>
      <c r="Z19" s="216">
        <v>36</v>
      </c>
      <c r="AH19" s="46"/>
      <c r="AI19" s="46"/>
    </row>
    <row r="20" spans="1:35" x14ac:dyDescent="0.25">
      <c r="A20" s="31">
        <f>'M&amp;R Stations'!A14</f>
        <v>38973</v>
      </c>
      <c r="B20"/>
      <c r="C20" s="70">
        <f t="shared" si="1"/>
        <v>1271</v>
      </c>
      <c r="D20" s="70">
        <f t="shared" si="2"/>
        <v>94</v>
      </c>
      <c r="E20" s="70">
        <f t="shared" si="3"/>
        <v>0</v>
      </c>
      <c r="F20" s="94">
        <f t="shared" si="4"/>
        <v>1365</v>
      </c>
      <c r="G20" s="109">
        <f t="shared" si="5"/>
        <v>1315</v>
      </c>
      <c r="H20" s="109">
        <f t="shared" si="6"/>
        <v>50</v>
      </c>
      <c r="J20" s="216">
        <v>0</v>
      </c>
      <c r="K20" s="216">
        <v>10</v>
      </c>
      <c r="L20" s="216">
        <v>3</v>
      </c>
      <c r="M20" s="216">
        <v>48</v>
      </c>
      <c r="N20" s="216">
        <v>16</v>
      </c>
      <c r="O20" s="216">
        <v>0</v>
      </c>
      <c r="P20" s="216">
        <v>0</v>
      </c>
      <c r="Q20" s="216">
        <v>1194</v>
      </c>
      <c r="R20" s="216">
        <v>0</v>
      </c>
      <c r="S20" s="216">
        <v>0</v>
      </c>
      <c r="T20" s="216">
        <v>0</v>
      </c>
      <c r="U20" s="216">
        <v>0</v>
      </c>
      <c r="V20" s="216">
        <v>44</v>
      </c>
      <c r="W20" s="52"/>
      <c r="X20" s="216">
        <v>0</v>
      </c>
      <c r="Y20" s="216">
        <v>18</v>
      </c>
      <c r="Z20" s="216">
        <v>32</v>
      </c>
      <c r="AH20" s="46"/>
      <c r="AI20" s="46"/>
    </row>
    <row r="21" spans="1:35" x14ac:dyDescent="0.25">
      <c r="A21" s="31">
        <f>'M&amp;R Stations'!A15</f>
        <v>38974</v>
      </c>
      <c r="B21"/>
      <c r="C21" s="70">
        <f t="shared" si="1"/>
        <v>692</v>
      </c>
      <c r="D21" s="70">
        <f t="shared" si="2"/>
        <v>90</v>
      </c>
      <c r="E21" s="70">
        <f t="shared" si="3"/>
        <v>0</v>
      </c>
      <c r="F21" s="94">
        <f t="shared" si="4"/>
        <v>782</v>
      </c>
      <c r="G21" s="109">
        <f t="shared" si="5"/>
        <v>735</v>
      </c>
      <c r="H21" s="109">
        <f t="shared" si="6"/>
        <v>47</v>
      </c>
      <c r="J21" s="216">
        <v>0</v>
      </c>
      <c r="K21" s="216">
        <v>10</v>
      </c>
      <c r="L21" s="216">
        <v>3</v>
      </c>
      <c r="M21" s="216">
        <v>53</v>
      </c>
      <c r="N21" s="216">
        <v>20</v>
      </c>
      <c r="O21" s="216">
        <v>0</v>
      </c>
      <c r="P21" s="216">
        <v>0</v>
      </c>
      <c r="Q21" s="216">
        <v>606</v>
      </c>
      <c r="R21" s="216">
        <v>0</v>
      </c>
      <c r="S21" s="216">
        <v>0</v>
      </c>
      <c r="T21" s="216">
        <v>0</v>
      </c>
      <c r="U21" s="216">
        <v>0</v>
      </c>
      <c r="V21" s="216">
        <v>43</v>
      </c>
      <c r="W21" s="52"/>
      <c r="X21" s="216">
        <v>0</v>
      </c>
      <c r="Y21" s="216">
        <v>15</v>
      </c>
      <c r="Z21" s="216">
        <v>32</v>
      </c>
      <c r="AH21" s="46"/>
      <c r="AI21" s="46"/>
    </row>
    <row r="22" spans="1:35" x14ac:dyDescent="0.25">
      <c r="A22" s="31">
        <f>'M&amp;R Stations'!A16</f>
        <v>38975</v>
      </c>
      <c r="B22"/>
      <c r="C22" s="70">
        <f t="shared" si="1"/>
        <v>1402</v>
      </c>
      <c r="D22" s="70">
        <f t="shared" si="2"/>
        <v>92</v>
      </c>
      <c r="E22" s="70">
        <f t="shared" si="3"/>
        <v>0</v>
      </c>
      <c r="F22" s="94">
        <f t="shared" si="4"/>
        <v>1494</v>
      </c>
      <c r="G22" s="109">
        <f t="shared" si="5"/>
        <v>1446</v>
      </c>
      <c r="H22" s="109">
        <f t="shared" si="6"/>
        <v>48</v>
      </c>
      <c r="J22" s="216">
        <v>0</v>
      </c>
      <c r="K22" s="216">
        <v>10</v>
      </c>
      <c r="L22" s="216">
        <v>3</v>
      </c>
      <c r="M22" s="216">
        <v>45</v>
      </c>
      <c r="N22" s="216">
        <v>22</v>
      </c>
      <c r="O22" s="216">
        <v>0</v>
      </c>
      <c r="P22" s="216">
        <v>0</v>
      </c>
      <c r="Q22" s="216">
        <v>1322</v>
      </c>
      <c r="R22" s="216">
        <v>0</v>
      </c>
      <c r="S22" s="216">
        <v>0</v>
      </c>
      <c r="T22" s="216">
        <v>0</v>
      </c>
      <c r="U22" s="216">
        <v>0</v>
      </c>
      <c r="V22" s="216">
        <v>44</v>
      </c>
      <c r="W22" s="52"/>
      <c r="X22" s="216">
        <v>0</v>
      </c>
      <c r="Y22" s="216">
        <v>14</v>
      </c>
      <c r="Z22" s="216">
        <v>34</v>
      </c>
      <c r="AH22" s="46"/>
      <c r="AI22" s="46"/>
    </row>
    <row r="23" spans="1:35" x14ac:dyDescent="0.25">
      <c r="A23" s="31">
        <f>'M&amp;R Stations'!A17</f>
        <v>38976</v>
      </c>
      <c r="B23"/>
      <c r="C23" s="70">
        <f t="shared" si="1"/>
        <v>1406</v>
      </c>
      <c r="D23" s="70">
        <f t="shared" si="2"/>
        <v>93</v>
      </c>
      <c r="E23" s="70">
        <f t="shared" si="3"/>
        <v>0</v>
      </c>
      <c r="F23" s="94">
        <f t="shared" si="4"/>
        <v>1499</v>
      </c>
      <c r="G23" s="109">
        <f t="shared" si="5"/>
        <v>1450</v>
      </c>
      <c r="H23" s="109">
        <f t="shared" si="6"/>
        <v>49</v>
      </c>
      <c r="J23" s="216">
        <v>0</v>
      </c>
      <c r="K23" s="216">
        <v>10</v>
      </c>
      <c r="L23" s="216">
        <v>3</v>
      </c>
      <c r="M23" s="216">
        <v>52</v>
      </c>
      <c r="N23" s="216">
        <v>21</v>
      </c>
      <c r="O23" s="216">
        <v>0</v>
      </c>
      <c r="P23" s="216">
        <v>0</v>
      </c>
      <c r="Q23" s="216">
        <v>1320</v>
      </c>
      <c r="R23" s="216">
        <v>0</v>
      </c>
      <c r="S23" s="216">
        <v>0</v>
      </c>
      <c r="T23" s="216">
        <v>0</v>
      </c>
      <c r="U23" s="216">
        <v>0</v>
      </c>
      <c r="V23" s="216">
        <v>44</v>
      </c>
      <c r="W23" s="52"/>
      <c r="X23" s="216">
        <v>0</v>
      </c>
      <c r="Y23" s="216">
        <v>14</v>
      </c>
      <c r="Z23" s="216">
        <v>35</v>
      </c>
      <c r="AH23" s="46"/>
      <c r="AI23" s="46"/>
    </row>
    <row r="24" spans="1:35" x14ac:dyDescent="0.25">
      <c r="A24" s="31">
        <f>'M&amp;R Stations'!A18</f>
        <v>38977</v>
      </c>
      <c r="B24"/>
      <c r="C24" s="70">
        <f t="shared" si="1"/>
        <v>1421</v>
      </c>
      <c r="D24" s="70">
        <f t="shared" si="2"/>
        <v>91</v>
      </c>
      <c r="E24" s="70">
        <f t="shared" si="3"/>
        <v>0</v>
      </c>
      <c r="F24" s="94">
        <f t="shared" si="4"/>
        <v>1512</v>
      </c>
      <c r="G24" s="109">
        <f t="shared" si="5"/>
        <v>1463</v>
      </c>
      <c r="H24" s="109">
        <f t="shared" si="6"/>
        <v>49</v>
      </c>
      <c r="J24" s="216">
        <v>0</v>
      </c>
      <c r="K24" s="216">
        <v>10</v>
      </c>
      <c r="L24" s="216">
        <v>3</v>
      </c>
      <c r="M24" s="216">
        <v>49</v>
      </c>
      <c r="N24" s="216">
        <v>21</v>
      </c>
      <c r="O24" s="216">
        <v>0</v>
      </c>
      <c r="P24" s="216">
        <v>0</v>
      </c>
      <c r="Q24" s="216">
        <v>1338</v>
      </c>
      <c r="R24" s="216">
        <v>0</v>
      </c>
      <c r="S24" s="216">
        <v>0</v>
      </c>
      <c r="T24" s="216">
        <v>0</v>
      </c>
      <c r="U24" s="216">
        <v>0</v>
      </c>
      <c r="V24" s="216">
        <v>42</v>
      </c>
      <c r="W24" s="52"/>
      <c r="X24" s="216">
        <v>0</v>
      </c>
      <c r="Y24" s="216">
        <v>12</v>
      </c>
      <c r="Z24" s="216">
        <v>37</v>
      </c>
      <c r="AH24" s="46"/>
      <c r="AI24" s="46"/>
    </row>
    <row r="25" spans="1:35" x14ac:dyDescent="0.25">
      <c r="A25" s="31">
        <f>'M&amp;R Stations'!A19</f>
        <v>38978</v>
      </c>
      <c r="B25"/>
      <c r="C25" s="70">
        <f t="shared" si="1"/>
        <v>1404</v>
      </c>
      <c r="D25" s="70">
        <f t="shared" si="2"/>
        <v>89</v>
      </c>
      <c r="E25" s="70">
        <f t="shared" si="3"/>
        <v>0</v>
      </c>
      <c r="F25" s="94">
        <f t="shared" si="4"/>
        <v>1493</v>
      </c>
      <c r="G25" s="109">
        <f t="shared" si="5"/>
        <v>1445</v>
      </c>
      <c r="H25" s="109">
        <f t="shared" si="6"/>
        <v>48</v>
      </c>
      <c r="J25" s="216">
        <v>0</v>
      </c>
      <c r="K25" s="216">
        <v>10</v>
      </c>
      <c r="L25" s="216">
        <v>3</v>
      </c>
      <c r="M25" s="216">
        <v>46</v>
      </c>
      <c r="N25" s="216">
        <v>22</v>
      </c>
      <c r="O25" s="216">
        <v>0</v>
      </c>
      <c r="P25" s="216">
        <v>0</v>
      </c>
      <c r="Q25" s="216">
        <v>1323</v>
      </c>
      <c r="R25" s="216">
        <v>0</v>
      </c>
      <c r="S25" s="216">
        <v>0</v>
      </c>
      <c r="T25" s="216">
        <v>0</v>
      </c>
      <c r="U25" s="216">
        <v>0</v>
      </c>
      <c r="V25" s="216">
        <v>41</v>
      </c>
      <c r="W25" s="52"/>
      <c r="X25" s="216">
        <v>0</v>
      </c>
      <c r="Y25" s="216">
        <v>12</v>
      </c>
      <c r="Z25" s="216">
        <v>36</v>
      </c>
      <c r="AH25" s="46"/>
      <c r="AI25" s="46"/>
    </row>
    <row r="26" spans="1:35" x14ac:dyDescent="0.25">
      <c r="A26" s="31">
        <f>'M&amp;R Stations'!A20</f>
        <v>38979</v>
      </c>
      <c r="B26"/>
      <c r="C26" s="70">
        <f t="shared" si="1"/>
        <v>1403</v>
      </c>
      <c r="D26" s="70">
        <f t="shared" si="2"/>
        <v>86</v>
      </c>
      <c r="E26" s="70">
        <f t="shared" si="3"/>
        <v>0</v>
      </c>
      <c r="F26" s="94">
        <f t="shared" si="4"/>
        <v>1489</v>
      </c>
      <c r="G26" s="109">
        <f t="shared" si="5"/>
        <v>1443</v>
      </c>
      <c r="H26" s="109">
        <f t="shared" si="6"/>
        <v>46</v>
      </c>
      <c r="J26" s="216">
        <v>0</v>
      </c>
      <c r="K26" s="216">
        <v>10</v>
      </c>
      <c r="L26" s="216">
        <v>3</v>
      </c>
      <c r="M26" s="216">
        <v>48</v>
      </c>
      <c r="N26" s="216">
        <v>20</v>
      </c>
      <c r="O26" s="216">
        <v>0</v>
      </c>
      <c r="P26" s="216">
        <v>0</v>
      </c>
      <c r="Q26" s="216">
        <v>1322</v>
      </c>
      <c r="R26" s="216">
        <v>0</v>
      </c>
      <c r="S26" s="216">
        <v>0</v>
      </c>
      <c r="T26" s="216">
        <v>0</v>
      </c>
      <c r="U26" s="216">
        <v>0</v>
      </c>
      <c r="V26" s="216">
        <v>40</v>
      </c>
      <c r="W26" s="52"/>
      <c r="X26" s="216">
        <v>0</v>
      </c>
      <c r="Y26" s="216">
        <v>10</v>
      </c>
      <c r="Z26" s="216">
        <v>36</v>
      </c>
      <c r="AH26" s="46"/>
      <c r="AI26" s="46"/>
    </row>
    <row r="27" spans="1:35" x14ac:dyDescent="0.25">
      <c r="A27" s="31">
        <f>'M&amp;R Stations'!A21</f>
        <v>38980</v>
      </c>
      <c r="B27"/>
      <c r="C27" s="70">
        <f t="shared" si="1"/>
        <v>1223</v>
      </c>
      <c r="D27" s="70">
        <f t="shared" si="2"/>
        <v>87</v>
      </c>
      <c r="E27" s="70">
        <f t="shared" si="3"/>
        <v>9</v>
      </c>
      <c r="F27" s="94">
        <f t="shared" si="4"/>
        <v>1319</v>
      </c>
      <c r="G27" s="109">
        <f t="shared" si="5"/>
        <v>1279</v>
      </c>
      <c r="H27" s="109">
        <f t="shared" si="6"/>
        <v>40</v>
      </c>
      <c r="J27" s="216">
        <v>0</v>
      </c>
      <c r="K27" s="216">
        <v>10</v>
      </c>
      <c r="L27" s="216">
        <v>3</v>
      </c>
      <c r="M27" s="216">
        <v>49</v>
      </c>
      <c r="N27" s="216">
        <v>9</v>
      </c>
      <c r="O27" s="216">
        <v>0</v>
      </c>
      <c r="P27" s="216">
        <v>0</v>
      </c>
      <c r="Q27" s="216">
        <v>1152</v>
      </c>
      <c r="R27" s="216">
        <v>0</v>
      </c>
      <c r="S27" s="216">
        <v>0</v>
      </c>
      <c r="T27" s="216">
        <v>0</v>
      </c>
      <c r="U27" s="216">
        <v>9</v>
      </c>
      <c r="V27" s="216">
        <v>47</v>
      </c>
      <c r="W27" s="52"/>
      <c r="X27" s="216">
        <v>0</v>
      </c>
      <c r="Y27" s="216">
        <v>9</v>
      </c>
      <c r="Z27" s="216">
        <v>31</v>
      </c>
      <c r="AH27" s="46"/>
      <c r="AI27" s="46"/>
    </row>
    <row r="28" spans="1:35" x14ac:dyDescent="0.25">
      <c r="A28" s="31">
        <f>'M&amp;R Stations'!A22</f>
        <v>38981</v>
      </c>
      <c r="B28"/>
      <c r="C28" s="70">
        <f t="shared" si="1"/>
        <v>1273</v>
      </c>
      <c r="D28" s="70">
        <f t="shared" si="2"/>
        <v>104</v>
      </c>
      <c r="E28" s="70">
        <f t="shared" si="3"/>
        <v>10</v>
      </c>
      <c r="F28" s="94">
        <f t="shared" si="4"/>
        <v>1387</v>
      </c>
      <c r="G28" s="109">
        <f t="shared" si="5"/>
        <v>1333</v>
      </c>
      <c r="H28" s="109">
        <f t="shared" si="6"/>
        <v>54</v>
      </c>
      <c r="J28" s="216">
        <v>0</v>
      </c>
      <c r="K28" s="216">
        <v>11</v>
      </c>
      <c r="L28" s="216">
        <v>2</v>
      </c>
      <c r="M28" s="216">
        <v>55</v>
      </c>
      <c r="N28" s="216">
        <v>33</v>
      </c>
      <c r="O28" s="216">
        <v>0</v>
      </c>
      <c r="P28" s="216">
        <v>0</v>
      </c>
      <c r="Q28" s="216">
        <v>1172</v>
      </c>
      <c r="R28" s="216">
        <v>0</v>
      </c>
      <c r="S28" s="216">
        <v>0</v>
      </c>
      <c r="T28" s="216">
        <v>0</v>
      </c>
      <c r="U28" s="216">
        <v>10</v>
      </c>
      <c r="V28" s="216">
        <v>50</v>
      </c>
      <c r="W28" s="52"/>
      <c r="X28" s="216">
        <v>0</v>
      </c>
      <c r="Y28" s="216">
        <v>23</v>
      </c>
      <c r="Z28" s="216">
        <v>31</v>
      </c>
      <c r="AH28" s="46"/>
      <c r="AI28" s="46"/>
    </row>
    <row r="29" spans="1:35" x14ac:dyDescent="0.25">
      <c r="A29" s="31">
        <f>'M&amp;R Stations'!A23</f>
        <v>38982</v>
      </c>
      <c r="B29"/>
      <c r="C29" s="70">
        <f t="shared" si="1"/>
        <v>1415</v>
      </c>
      <c r="D29" s="70">
        <f t="shared" si="2"/>
        <v>83</v>
      </c>
      <c r="E29" s="70">
        <f t="shared" si="3"/>
        <v>1</v>
      </c>
      <c r="F29" s="94">
        <f t="shared" si="4"/>
        <v>1499</v>
      </c>
      <c r="G29" s="109">
        <f t="shared" si="5"/>
        <v>1460</v>
      </c>
      <c r="H29" s="109">
        <f t="shared" si="6"/>
        <v>39</v>
      </c>
      <c r="J29" s="216">
        <v>0</v>
      </c>
      <c r="K29" s="216">
        <v>10</v>
      </c>
      <c r="L29" s="216">
        <v>3</v>
      </c>
      <c r="M29" s="216">
        <v>54</v>
      </c>
      <c r="N29" s="216">
        <v>22</v>
      </c>
      <c r="O29" s="216">
        <v>0</v>
      </c>
      <c r="P29" s="216">
        <v>0</v>
      </c>
      <c r="Q29" s="216">
        <v>1326</v>
      </c>
      <c r="R29" s="216">
        <v>0</v>
      </c>
      <c r="S29" s="216">
        <v>0</v>
      </c>
      <c r="T29" s="216">
        <v>0</v>
      </c>
      <c r="U29" s="216">
        <v>1</v>
      </c>
      <c r="V29" s="216">
        <v>44</v>
      </c>
      <c r="W29" s="52"/>
      <c r="X29" s="216">
        <v>0</v>
      </c>
      <c r="Y29" s="216">
        <v>8</v>
      </c>
      <c r="Z29" s="216">
        <v>31</v>
      </c>
      <c r="AH29" s="46"/>
      <c r="AI29" s="46"/>
    </row>
    <row r="30" spans="1:35" x14ac:dyDescent="0.25">
      <c r="A30" s="31">
        <f>'M&amp;R Stations'!A24</f>
        <v>38983</v>
      </c>
      <c r="B30"/>
      <c r="C30" s="70">
        <f t="shared" si="1"/>
        <v>1367</v>
      </c>
      <c r="D30" s="70">
        <f t="shared" si="2"/>
        <v>81</v>
      </c>
      <c r="E30" s="70">
        <f t="shared" si="3"/>
        <v>0</v>
      </c>
      <c r="F30" s="94">
        <f t="shared" si="4"/>
        <v>1448</v>
      </c>
      <c r="G30" s="109">
        <f t="shared" si="5"/>
        <v>1406</v>
      </c>
      <c r="H30" s="109">
        <f t="shared" si="6"/>
        <v>42</v>
      </c>
      <c r="J30" s="216">
        <v>0</v>
      </c>
      <c r="K30" s="216">
        <v>11</v>
      </c>
      <c r="L30" s="216">
        <v>3</v>
      </c>
      <c r="M30" s="216">
        <v>43</v>
      </c>
      <c r="N30" s="216">
        <v>24</v>
      </c>
      <c r="O30" s="216">
        <v>0</v>
      </c>
      <c r="P30" s="216">
        <v>0</v>
      </c>
      <c r="Q30" s="216">
        <v>1286</v>
      </c>
      <c r="R30" s="216">
        <v>0</v>
      </c>
      <c r="S30" s="216">
        <v>0</v>
      </c>
      <c r="T30" s="216">
        <v>0</v>
      </c>
      <c r="U30" s="216">
        <v>0</v>
      </c>
      <c r="V30" s="216">
        <v>39</v>
      </c>
      <c r="W30" s="52"/>
      <c r="X30" s="216">
        <v>0</v>
      </c>
      <c r="Y30" s="216">
        <v>10</v>
      </c>
      <c r="Z30" s="216">
        <v>32</v>
      </c>
      <c r="AH30" s="46"/>
      <c r="AI30" s="46"/>
    </row>
    <row r="31" spans="1:35" x14ac:dyDescent="0.25">
      <c r="A31" s="31">
        <f>'M&amp;R Stations'!A25</f>
        <v>38984</v>
      </c>
      <c r="B31"/>
      <c r="C31" s="70">
        <f t="shared" si="1"/>
        <v>1379</v>
      </c>
      <c r="D31" s="70">
        <f t="shared" si="2"/>
        <v>75</v>
      </c>
      <c r="E31" s="70">
        <f t="shared" si="3"/>
        <v>0</v>
      </c>
      <c r="F31" s="94">
        <f t="shared" si="4"/>
        <v>1454</v>
      </c>
      <c r="G31" s="109">
        <f t="shared" si="5"/>
        <v>1427</v>
      </c>
      <c r="H31" s="109">
        <f t="shared" si="6"/>
        <v>27</v>
      </c>
      <c r="J31" s="216">
        <v>0</v>
      </c>
      <c r="K31" s="216">
        <v>10</v>
      </c>
      <c r="L31" s="216">
        <v>3</v>
      </c>
      <c r="M31" s="216">
        <v>49</v>
      </c>
      <c r="N31" s="216">
        <v>19</v>
      </c>
      <c r="O31" s="216">
        <v>0</v>
      </c>
      <c r="P31" s="216">
        <v>0</v>
      </c>
      <c r="Q31" s="216">
        <v>1298</v>
      </c>
      <c r="R31" s="216">
        <v>0</v>
      </c>
      <c r="S31" s="216">
        <v>0</v>
      </c>
      <c r="T31" s="216">
        <v>0</v>
      </c>
      <c r="U31" s="216">
        <v>0</v>
      </c>
      <c r="V31" s="216">
        <v>48</v>
      </c>
      <c r="W31" s="52"/>
      <c r="X31" s="216">
        <v>0</v>
      </c>
      <c r="Y31" s="216">
        <v>2</v>
      </c>
      <c r="Z31" s="216">
        <v>25</v>
      </c>
      <c r="AH31" s="46"/>
      <c r="AI31" s="46"/>
    </row>
    <row r="32" spans="1:35" x14ac:dyDescent="0.25">
      <c r="A32" s="31">
        <f>'M&amp;R Stations'!A26</f>
        <v>38985</v>
      </c>
      <c r="B32"/>
      <c r="C32" s="70">
        <f t="shared" si="1"/>
        <v>1384</v>
      </c>
      <c r="D32" s="70">
        <f t="shared" si="2"/>
        <v>81</v>
      </c>
      <c r="E32" s="70">
        <f t="shared" si="3"/>
        <v>0</v>
      </c>
      <c r="F32" s="94">
        <f t="shared" si="4"/>
        <v>1465</v>
      </c>
      <c r="G32" s="109">
        <f t="shared" si="5"/>
        <v>1431</v>
      </c>
      <c r="H32" s="109">
        <f t="shared" si="6"/>
        <v>34</v>
      </c>
      <c r="J32" s="216">
        <v>0</v>
      </c>
      <c r="K32" s="216">
        <v>11</v>
      </c>
      <c r="L32" s="216">
        <v>3</v>
      </c>
      <c r="M32" s="216">
        <v>50</v>
      </c>
      <c r="N32" s="216">
        <v>19</v>
      </c>
      <c r="O32" s="216">
        <v>0</v>
      </c>
      <c r="P32" s="216">
        <v>0</v>
      </c>
      <c r="Q32" s="216">
        <v>1301</v>
      </c>
      <c r="R32" s="216">
        <v>0</v>
      </c>
      <c r="S32" s="216">
        <v>0</v>
      </c>
      <c r="T32" s="216">
        <v>0</v>
      </c>
      <c r="U32" s="216">
        <v>0</v>
      </c>
      <c r="V32" s="216">
        <v>47</v>
      </c>
      <c r="W32" s="52"/>
      <c r="X32" s="216">
        <v>0</v>
      </c>
      <c r="Y32" s="216">
        <v>5</v>
      </c>
      <c r="Z32" s="216">
        <v>29</v>
      </c>
      <c r="AH32" s="46"/>
      <c r="AI32" s="46"/>
    </row>
    <row r="33" spans="1:35" x14ac:dyDescent="0.25">
      <c r="A33" s="31">
        <f>'M&amp;R Stations'!A27</f>
        <v>38986</v>
      </c>
      <c r="B33"/>
      <c r="C33" s="70">
        <f t="shared" si="1"/>
        <v>1388</v>
      </c>
      <c r="D33" s="70">
        <f t="shared" si="2"/>
        <v>87</v>
      </c>
      <c r="E33" s="70">
        <f t="shared" si="3"/>
        <v>0</v>
      </c>
      <c r="F33" s="94">
        <f t="shared" si="4"/>
        <v>1475</v>
      </c>
      <c r="G33" s="109">
        <f t="shared" si="5"/>
        <v>1439</v>
      </c>
      <c r="H33" s="109">
        <f t="shared" si="6"/>
        <v>36</v>
      </c>
      <c r="J33" s="216">
        <v>0</v>
      </c>
      <c r="K33" s="216">
        <v>10</v>
      </c>
      <c r="L33" s="216">
        <v>2</v>
      </c>
      <c r="M33" s="216">
        <v>54</v>
      </c>
      <c r="N33" s="216">
        <v>20</v>
      </c>
      <c r="O33" s="216">
        <v>0</v>
      </c>
      <c r="P33" s="216">
        <v>0</v>
      </c>
      <c r="Q33" s="216">
        <v>1302</v>
      </c>
      <c r="R33" s="216">
        <v>0</v>
      </c>
      <c r="S33" s="216">
        <v>0</v>
      </c>
      <c r="T33" s="216">
        <v>0</v>
      </c>
      <c r="U33" s="216">
        <v>0</v>
      </c>
      <c r="V33" s="216">
        <v>51</v>
      </c>
      <c r="W33" s="52"/>
      <c r="X33" s="216">
        <v>0</v>
      </c>
      <c r="Y33" s="216">
        <v>8</v>
      </c>
      <c r="Z33" s="216">
        <v>28</v>
      </c>
      <c r="AH33" s="46"/>
      <c r="AI33" s="46"/>
    </row>
    <row r="34" spans="1:35" x14ac:dyDescent="0.25">
      <c r="A34" s="31">
        <f>'M&amp;R Stations'!A28</f>
        <v>38987</v>
      </c>
      <c r="B34" s="30"/>
      <c r="C34" s="70">
        <f t="shared" si="1"/>
        <v>1393</v>
      </c>
      <c r="D34" s="70">
        <f t="shared" si="2"/>
        <v>87</v>
      </c>
      <c r="E34" s="70">
        <f t="shared" si="3"/>
        <v>0</v>
      </c>
      <c r="F34" s="94">
        <f t="shared" si="4"/>
        <v>1480</v>
      </c>
      <c r="G34" s="109">
        <f t="shared" si="5"/>
        <v>1441</v>
      </c>
      <c r="H34" s="109">
        <f t="shared" si="6"/>
        <v>39</v>
      </c>
      <c r="I34" s="20"/>
      <c r="J34" s="216">
        <v>0</v>
      </c>
      <c r="K34" s="216">
        <v>10</v>
      </c>
      <c r="L34" s="216">
        <v>3</v>
      </c>
      <c r="M34" s="216">
        <v>53</v>
      </c>
      <c r="N34" s="216">
        <v>22</v>
      </c>
      <c r="O34" s="216">
        <v>0</v>
      </c>
      <c r="P34" s="216">
        <v>0</v>
      </c>
      <c r="Q34" s="216">
        <v>1305</v>
      </c>
      <c r="R34" s="216">
        <v>0</v>
      </c>
      <c r="S34" s="216">
        <v>0</v>
      </c>
      <c r="T34" s="216">
        <v>0</v>
      </c>
      <c r="U34" s="216">
        <v>0</v>
      </c>
      <c r="V34" s="216">
        <v>48</v>
      </c>
      <c r="W34" s="52"/>
      <c r="X34" s="216">
        <v>0</v>
      </c>
      <c r="Y34" s="216">
        <v>7</v>
      </c>
      <c r="Z34" s="216">
        <v>32</v>
      </c>
      <c r="AH34" s="46"/>
      <c r="AI34" s="46"/>
    </row>
    <row r="35" spans="1:35" x14ac:dyDescent="0.25">
      <c r="A35" s="31">
        <f>'M&amp;R Stations'!A29</f>
        <v>38988</v>
      </c>
      <c r="B35" s="30"/>
      <c r="C35" s="70">
        <f t="shared" si="1"/>
        <v>1559</v>
      </c>
      <c r="D35" s="70">
        <f t="shared" si="2"/>
        <v>88</v>
      </c>
      <c r="E35" s="70">
        <f t="shared" si="3"/>
        <v>0</v>
      </c>
      <c r="F35" s="94">
        <f t="shared" si="4"/>
        <v>1647</v>
      </c>
      <c r="G35" s="109">
        <f t="shared" si="5"/>
        <v>1606</v>
      </c>
      <c r="H35" s="109">
        <f t="shared" si="6"/>
        <v>41</v>
      </c>
      <c r="I35" s="20"/>
      <c r="J35" s="216">
        <v>133</v>
      </c>
      <c r="K35" s="216">
        <v>11</v>
      </c>
      <c r="L35" s="216">
        <v>4</v>
      </c>
      <c r="M35" s="216">
        <v>49</v>
      </c>
      <c r="N35" s="216">
        <v>20</v>
      </c>
      <c r="O35" s="216">
        <v>0</v>
      </c>
      <c r="P35" s="216">
        <v>0</v>
      </c>
      <c r="Q35" s="216">
        <v>1342</v>
      </c>
      <c r="R35" s="216">
        <v>0</v>
      </c>
      <c r="S35" s="216">
        <v>0</v>
      </c>
      <c r="T35" s="216">
        <v>0</v>
      </c>
      <c r="U35" s="216">
        <v>0</v>
      </c>
      <c r="V35" s="216">
        <v>47</v>
      </c>
      <c r="W35" s="52"/>
      <c r="X35" s="216">
        <v>0</v>
      </c>
      <c r="Y35" s="216">
        <v>12</v>
      </c>
      <c r="Z35" s="216">
        <v>29</v>
      </c>
      <c r="AH35" s="46"/>
      <c r="AI35" s="46"/>
    </row>
    <row r="36" spans="1:35" x14ac:dyDescent="0.25">
      <c r="A36" s="31">
        <f>'M&amp;R Stations'!A30</f>
        <v>38989</v>
      </c>
      <c r="B36" s="30"/>
      <c r="C36" s="70">
        <f t="shared" si="1"/>
        <v>1468</v>
      </c>
      <c r="D36" s="70">
        <f t="shared" si="2"/>
        <v>87</v>
      </c>
      <c r="E36" s="70">
        <f t="shared" si="3"/>
        <v>0</v>
      </c>
      <c r="F36" s="94">
        <f t="shared" si="4"/>
        <v>1555</v>
      </c>
      <c r="G36" s="109">
        <f t="shared" si="5"/>
        <v>1525</v>
      </c>
      <c r="H36" s="109">
        <f t="shared" si="6"/>
        <v>30</v>
      </c>
      <c r="I36" s="20"/>
      <c r="J36" s="216">
        <v>109</v>
      </c>
      <c r="K36" s="216">
        <v>11</v>
      </c>
      <c r="L36" s="216">
        <v>3</v>
      </c>
      <c r="M36" s="216">
        <v>52</v>
      </c>
      <c r="N36" s="216">
        <v>21</v>
      </c>
      <c r="O36" s="216">
        <v>0</v>
      </c>
      <c r="P36" s="216">
        <v>0</v>
      </c>
      <c r="Q36" s="216">
        <v>1272</v>
      </c>
      <c r="R36" s="216">
        <v>0</v>
      </c>
      <c r="S36" s="216">
        <v>0</v>
      </c>
      <c r="T36" s="216">
        <v>0</v>
      </c>
      <c r="U36" s="216">
        <v>0</v>
      </c>
      <c r="V36" s="216">
        <v>57</v>
      </c>
      <c r="W36" s="52"/>
      <c r="X36" s="216">
        <v>0</v>
      </c>
      <c r="Y36" s="216">
        <v>6</v>
      </c>
      <c r="Z36" s="216">
        <v>24</v>
      </c>
      <c r="AH36" s="46"/>
      <c r="AI36" s="46"/>
    </row>
    <row r="37" spans="1:35" x14ac:dyDescent="0.25">
      <c r="A37" s="31">
        <f>'M&amp;R Stations'!A31</f>
        <v>38990</v>
      </c>
      <c r="B37" s="30"/>
      <c r="C37" s="70">
        <f t="shared" si="1"/>
        <v>1164</v>
      </c>
      <c r="D37" s="70">
        <f t="shared" si="2"/>
        <v>84</v>
      </c>
      <c r="E37" s="70">
        <f t="shared" si="3"/>
        <v>1</v>
      </c>
      <c r="F37" s="94">
        <f t="shared" si="4"/>
        <v>1249</v>
      </c>
      <c r="G37" s="109">
        <f t="shared" si="5"/>
        <v>1213</v>
      </c>
      <c r="H37" s="109">
        <f t="shared" si="6"/>
        <v>36</v>
      </c>
      <c r="I37" s="20"/>
      <c r="J37" s="216">
        <v>134</v>
      </c>
      <c r="K37" s="216">
        <v>11</v>
      </c>
      <c r="L37" s="216">
        <v>2</v>
      </c>
      <c r="M37" s="216">
        <v>54</v>
      </c>
      <c r="N37" s="216">
        <v>23</v>
      </c>
      <c r="O37" s="216">
        <v>0</v>
      </c>
      <c r="P37" s="216">
        <v>0</v>
      </c>
      <c r="Q37" s="216">
        <v>940</v>
      </c>
      <c r="R37" s="216">
        <v>0</v>
      </c>
      <c r="S37" s="216">
        <v>0</v>
      </c>
      <c r="T37" s="216">
        <v>0</v>
      </c>
      <c r="U37" s="216">
        <v>1</v>
      </c>
      <c r="V37" s="216">
        <v>48</v>
      </c>
      <c r="W37" s="52"/>
      <c r="X37" s="216">
        <v>0</v>
      </c>
      <c r="Y37" s="216">
        <v>7</v>
      </c>
      <c r="Z37" s="216">
        <v>29</v>
      </c>
      <c r="AH37" s="46"/>
      <c r="AI37" s="46"/>
    </row>
    <row r="38" spans="1:35" x14ac:dyDescent="0.25">
      <c r="A38" s="96"/>
      <c r="B38" s="97"/>
      <c r="C38" s="98"/>
      <c r="D38" s="98"/>
      <c r="E38" s="98"/>
      <c r="F38" s="98"/>
      <c r="G38" s="98" t="str">
        <f t="shared" si="5"/>
        <v/>
      </c>
      <c r="H38" s="98" t="str">
        <f t="shared" si="6"/>
        <v/>
      </c>
      <c r="J38" s="95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255"/>
      <c r="X38" s="98"/>
      <c r="Y38" s="98"/>
      <c r="Z38" s="98"/>
      <c r="AH38" s="46"/>
      <c r="AI38" s="46"/>
    </row>
    <row r="39" spans="1:35" x14ac:dyDescent="0.25">
      <c r="A39" s="31">
        <f>'M&amp;R Stations'!A32</f>
        <v>38991</v>
      </c>
      <c r="B39"/>
      <c r="C39" s="70">
        <f t="shared" si="1"/>
        <v>1073</v>
      </c>
      <c r="D39" s="70">
        <f t="shared" si="2"/>
        <v>75</v>
      </c>
      <c r="E39" s="70">
        <f t="shared" si="3"/>
        <v>0</v>
      </c>
      <c r="F39" s="94">
        <f t="shared" si="4"/>
        <v>1148</v>
      </c>
      <c r="G39" s="109">
        <f t="shared" si="5"/>
        <v>1121</v>
      </c>
      <c r="H39" s="109">
        <f t="shared" si="6"/>
        <v>27</v>
      </c>
      <c r="J39" s="216">
        <v>129</v>
      </c>
      <c r="K39" s="216">
        <v>11</v>
      </c>
      <c r="L39" s="216">
        <v>3</v>
      </c>
      <c r="M39" s="216">
        <v>47</v>
      </c>
      <c r="N39" s="216">
        <v>20</v>
      </c>
      <c r="O39" s="216">
        <v>0</v>
      </c>
      <c r="P39" s="216">
        <v>0</v>
      </c>
      <c r="Q39" s="216">
        <v>863</v>
      </c>
      <c r="R39" s="216">
        <v>0</v>
      </c>
      <c r="S39" s="216">
        <v>0</v>
      </c>
      <c r="T39" s="216">
        <v>0</v>
      </c>
      <c r="U39" s="216">
        <v>0</v>
      </c>
      <c r="V39" s="216">
        <v>48</v>
      </c>
      <c r="W39" s="52"/>
      <c r="X39" s="216">
        <v>0</v>
      </c>
      <c r="Y39" s="216">
        <v>5</v>
      </c>
      <c r="Z39" s="216">
        <v>22</v>
      </c>
      <c r="AH39" s="46"/>
      <c r="AI39" s="46"/>
    </row>
    <row r="40" spans="1:35" x14ac:dyDescent="0.25">
      <c r="A40" s="31">
        <f>'M&amp;R Stations'!A33</f>
        <v>38992</v>
      </c>
      <c r="B40"/>
      <c r="C40" s="70">
        <f t="shared" si="1"/>
        <v>1155</v>
      </c>
      <c r="D40" s="70">
        <f t="shared" si="2"/>
        <v>77</v>
      </c>
      <c r="E40" s="70">
        <f t="shared" si="3"/>
        <v>0</v>
      </c>
      <c r="F40" s="94">
        <f t="shared" si="4"/>
        <v>1232</v>
      </c>
      <c r="G40" s="109">
        <f t="shared" si="5"/>
        <v>1202</v>
      </c>
      <c r="H40" s="109">
        <f t="shared" si="6"/>
        <v>30</v>
      </c>
      <c r="J40" s="216">
        <v>124</v>
      </c>
      <c r="K40" s="216">
        <v>10</v>
      </c>
      <c r="L40" s="216">
        <v>3</v>
      </c>
      <c r="M40" s="216">
        <v>55</v>
      </c>
      <c r="N40" s="216">
        <v>20</v>
      </c>
      <c r="O40" s="216">
        <v>0</v>
      </c>
      <c r="P40" s="216">
        <v>0</v>
      </c>
      <c r="Q40" s="216">
        <v>943</v>
      </c>
      <c r="R40" s="216">
        <v>0</v>
      </c>
      <c r="S40" s="216">
        <v>0</v>
      </c>
      <c r="T40" s="216">
        <v>0</v>
      </c>
      <c r="U40" s="216">
        <v>0</v>
      </c>
      <c r="V40" s="216">
        <v>47</v>
      </c>
      <c r="W40" s="52"/>
      <c r="X40" s="216">
        <v>0</v>
      </c>
      <c r="Y40" s="216">
        <v>7</v>
      </c>
      <c r="Z40" s="216">
        <v>23</v>
      </c>
      <c r="AH40" s="46"/>
      <c r="AI40" s="46"/>
    </row>
    <row r="41" spans="1:35" x14ac:dyDescent="0.25">
      <c r="A41" s="31">
        <f>'M&amp;R Stations'!A34</f>
        <v>38993</v>
      </c>
      <c r="B41"/>
      <c r="C41" s="70">
        <f t="shared" si="1"/>
        <v>1128</v>
      </c>
      <c r="D41" s="70">
        <f t="shared" si="2"/>
        <v>69</v>
      </c>
      <c r="E41" s="70">
        <f t="shared" si="3"/>
        <v>6</v>
      </c>
      <c r="F41" s="94">
        <f t="shared" si="4"/>
        <v>1203</v>
      </c>
      <c r="G41" s="109">
        <f t="shared" si="5"/>
        <v>1178</v>
      </c>
      <c r="H41" s="109">
        <f t="shared" si="6"/>
        <v>25</v>
      </c>
      <c r="J41" s="216">
        <v>132</v>
      </c>
      <c r="K41" s="216">
        <v>10</v>
      </c>
      <c r="L41" s="216">
        <v>3</v>
      </c>
      <c r="M41" s="216">
        <v>44</v>
      </c>
      <c r="N41" s="216">
        <v>22</v>
      </c>
      <c r="O41" s="216">
        <v>0</v>
      </c>
      <c r="P41" s="216">
        <v>0</v>
      </c>
      <c r="Q41" s="216">
        <v>917</v>
      </c>
      <c r="R41" s="216">
        <v>0</v>
      </c>
      <c r="S41" s="216">
        <v>0</v>
      </c>
      <c r="T41" s="216">
        <v>0</v>
      </c>
      <c r="U41" s="216">
        <v>6</v>
      </c>
      <c r="V41" s="216">
        <v>44</v>
      </c>
      <c r="W41" s="52"/>
      <c r="X41" s="216">
        <v>0</v>
      </c>
      <c r="Y41" s="216">
        <v>5</v>
      </c>
      <c r="Z41" s="216">
        <v>20</v>
      </c>
      <c r="AH41" s="46"/>
      <c r="AI41" s="46"/>
    </row>
    <row r="42" spans="1:35" x14ac:dyDescent="0.25">
      <c r="A42" s="31">
        <f>'M&amp;R Stations'!A35</f>
        <v>38994</v>
      </c>
      <c r="B42"/>
      <c r="C42" s="70">
        <f t="shared" si="1"/>
        <v>1134</v>
      </c>
      <c r="D42" s="70">
        <f t="shared" si="2"/>
        <v>71</v>
      </c>
      <c r="E42" s="70">
        <f t="shared" si="3"/>
        <v>0</v>
      </c>
      <c r="F42" s="94">
        <f t="shared" si="4"/>
        <v>1205</v>
      </c>
      <c r="G42" s="109">
        <f t="shared" si="5"/>
        <v>1178</v>
      </c>
      <c r="H42" s="109">
        <f t="shared" si="6"/>
        <v>27</v>
      </c>
      <c r="J42" s="216">
        <v>131</v>
      </c>
      <c r="K42" s="216">
        <v>9</v>
      </c>
      <c r="L42" s="216">
        <v>4</v>
      </c>
      <c r="M42" s="216">
        <v>50</v>
      </c>
      <c r="N42" s="216">
        <v>20</v>
      </c>
      <c r="O42" s="216">
        <v>0</v>
      </c>
      <c r="P42" s="216">
        <v>0</v>
      </c>
      <c r="Q42" s="216">
        <v>920</v>
      </c>
      <c r="R42" s="216">
        <v>0</v>
      </c>
      <c r="S42" s="216">
        <v>0</v>
      </c>
      <c r="T42" s="216">
        <v>0</v>
      </c>
      <c r="U42" s="216">
        <v>0</v>
      </c>
      <c r="V42" s="216">
        <v>44</v>
      </c>
      <c r="W42" s="52"/>
      <c r="X42" s="216">
        <v>0</v>
      </c>
      <c r="Y42" s="216">
        <v>6</v>
      </c>
      <c r="Z42" s="216">
        <v>21</v>
      </c>
      <c r="AH42" s="46"/>
      <c r="AI42" s="46"/>
    </row>
    <row r="43" spans="1:35" x14ac:dyDescent="0.25">
      <c r="A43" s="31">
        <f>'M&amp;R Stations'!A36</f>
        <v>38995</v>
      </c>
      <c r="B43"/>
      <c r="C43" s="70">
        <f t="shared" si="1"/>
        <v>1215</v>
      </c>
      <c r="D43" s="70">
        <f t="shared" si="2"/>
        <v>76</v>
      </c>
      <c r="E43" s="70">
        <f t="shared" si="3"/>
        <v>12</v>
      </c>
      <c r="F43" s="94">
        <f t="shared" si="4"/>
        <v>1303</v>
      </c>
      <c r="G43" s="109">
        <f t="shared" si="5"/>
        <v>1285</v>
      </c>
      <c r="H43" s="109">
        <f t="shared" si="6"/>
        <v>18</v>
      </c>
      <c r="J43" s="216">
        <v>109</v>
      </c>
      <c r="K43" s="216">
        <v>7</v>
      </c>
      <c r="L43" s="216">
        <v>3</v>
      </c>
      <c r="M43" s="216">
        <v>53</v>
      </c>
      <c r="N43" s="216">
        <v>20</v>
      </c>
      <c r="O43" s="216">
        <v>0</v>
      </c>
      <c r="P43" s="216">
        <v>0</v>
      </c>
      <c r="Q43" s="216">
        <v>1023</v>
      </c>
      <c r="R43" s="216">
        <v>0</v>
      </c>
      <c r="S43" s="216">
        <v>0</v>
      </c>
      <c r="T43" s="216">
        <v>0</v>
      </c>
      <c r="U43" s="216">
        <v>12</v>
      </c>
      <c r="V43" s="216">
        <v>58</v>
      </c>
      <c r="W43" s="52"/>
      <c r="X43" s="216">
        <v>0</v>
      </c>
      <c r="Y43" s="216">
        <v>3</v>
      </c>
      <c r="Z43" s="216">
        <v>15</v>
      </c>
      <c r="AH43" s="46"/>
      <c r="AI43" s="46"/>
    </row>
    <row r="44" spans="1:35" x14ac:dyDescent="0.25">
      <c r="A44" s="31">
        <f>'M&amp;R Stations'!A37</f>
        <v>38996</v>
      </c>
      <c r="B44"/>
      <c r="C44" s="70">
        <f t="shared" si="1"/>
        <v>1034</v>
      </c>
      <c r="D44" s="70">
        <f t="shared" si="2"/>
        <v>98</v>
      </c>
      <c r="E44" s="70">
        <f t="shared" si="3"/>
        <v>0</v>
      </c>
      <c r="F44" s="94">
        <f t="shared" si="4"/>
        <v>1132</v>
      </c>
      <c r="G44" s="109">
        <f t="shared" si="5"/>
        <v>1101</v>
      </c>
      <c r="H44" s="109">
        <f t="shared" si="6"/>
        <v>31</v>
      </c>
      <c r="J44" s="216">
        <v>103</v>
      </c>
      <c r="K44" s="216">
        <v>10</v>
      </c>
      <c r="L44" s="216">
        <v>3</v>
      </c>
      <c r="M44" s="216">
        <v>47</v>
      </c>
      <c r="N44" s="216">
        <v>22</v>
      </c>
      <c r="O44" s="216">
        <v>0</v>
      </c>
      <c r="P44" s="216">
        <v>0</v>
      </c>
      <c r="Q44" s="216">
        <v>849</v>
      </c>
      <c r="R44" s="216">
        <v>0</v>
      </c>
      <c r="S44" s="216">
        <v>0</v>
      </c>
      <c r="T44" s="216">
        <v>0</v>
      </c>
      <c r="U44" s="216">
        <v>0</v>
      </c>
      <c r="V44" s="216">
        <v>67</v>
      </c>
      <c r="W44" s="52"/>
      <c r="X44" s="216">
        <v>0</v>
      </c>
      <c r="Y44" s="216">
        <v>8</v>
      </c>
      <c r="Z44" s="216">
        <v>23</v>
      </c>
      <c r="AH44" s="46"/>
      <c r="AI44" s="46"/>
    </row>
    <row r="45" spans="1:35" x14ac:dyDescent="0.25">
      <c r="A45" s="31">
        <f>'M&amp;R Stations'!A38</f>
        <v>38997</v>
      </c>
      <c r="B45"/>
      <c r="C45" s="70">
        <f t="shared" si="1"/>
        <v>1148</v>
      </c>
      <c r="D45" s="70">
        <f t="shared" si="2"/>
        <v>98</v>
      </c>
      <c r="E45" s="70">
        <f t="shared" si="3"/>
        <v>0</v>
      </c>
      <c r="F45" s="94">
        <f t="shared" si="4"/>
        <v>1246</v>
      </c>
      <c r="G45" s="109">
        <f t="shared" si="5"/>
        <v>1215</v>
      </c>
      <c r="H45" s="109">
        <f t="shared" si="6"/>
        <v>31</v>
      </c>
      <c r="J45" s="216">
        <v>98</v>
      </c>
      <c r="K45" s="216">
        <v>10</v>
      </c>
      <c r="L45" s="216">
        <v>3</v>
      </c>
      <c r="M45" s="216">
        <v>52</v>
      </c>
      <c r="N45" s="216">
        <v>22</v>
      </c>
      <c r="O45" s="216">
        <v>0</v>
      </c>
      <c r="P45" s="216">
        <v>0</v>
      </c>
      <c r="Q45" s="216">
        <v>963</v>
      </c>
      <c r="R45" s="216">
        <v>0</v>
      </c>
      <c r="S45" s="216">
        <v>0</v>
      </c>
      <c r="T45" s="216">
        <v>0</v>
      </c>
      <c r="U45" s="216">
        <v>0</v>
      </c>
      <c r="V45" s="216">
        <v>67</v>
      </c>
      <c r="W45" s="52"/>
      <c r="X45" s="216">
        <v>0</v>
      </c>
      <c r="Y45" s="216">
        <v>7</v>
      </c>
      <c r="Z45" s="216">
        <v>24</v>
      </c>
      <c r="AH45" s="46"/>
      <c r="AI45" s="46"/>
    </row>
    <row r="46" spans="1:35" x14ac:dyDescent="0.25">
      <c r="A46" s="31">
        <f>'M&amp;R Stations'!A39</f>
        <v>38998</v>
      </c>
      <c r="B46"/>
      <c r="C46" s="70">
        <f t="shared" si="1"/>
        <v>1133</v>
      </c>
      <c r="D46" s="70">
        <f t="shared" si="2"/>
        <v>81</v>
      </c>
      <c r="E46" s="70">
        <f t="shared" si="3"/>
        <v>0</v>
      </c>
      <c r="F46" s="94">
        <f t="shared" si="4"/>
        <v>1214</v>
      </c>
      <c r="G46" s="109">
        <f t="shared" si="5"/>
        <v>1192</v>
      </c>
      <c r="H46" s="109">
        <f t="shared" si="6"/>
        <v>22</v>
      </c>
      <c r="J46" s="216">
        <v>95</v>
      </c>
      <c r="K46" s="216">
        <v>9</v>
      </c>
      <c r="L46" s="216">
        <v>3</v>
      </c>
      <c r="M46" s="216">
        <v>46</v>
      </c>
      <c r="N46" s="216">
        <v>20</v>
      </c>
      <c r="O46" s="216">
        <v>0</v>
      </c>
      <c r="P46" s="216">
        <v>0</v>
      </c>
      <c r="Q46" s="216">
        <v>960</v>
      </c>
      <c r="R46" s="216">
        <v>0</v>
      </c>
      <c r="S46" s="216">
        <v>0</v>
      </c>
      <c r="T46" s="216">
        <v>0</v>
      </c>
      <c r="U46" s="216">
        <v>0</v>
      </c>
      <c r="V46" s="216">
        <v>59</v>
      </c>
      <c r="W46" s="52"/>
      <c r="X46" s="216">
        <v>0</v>
      </c>
      <c r="Y46" s="216">
        <v>4</v>
      </c>
      <c r="Z46" s="216">
        <v>18</v>
      </c>
      <c r="AH46" s="46"/>
      <c r="AI46" s="46"/>
    </row>
    <row r="47" spans="1:35" x14ac:dyDescent="0.25">
      <c r="A47" s="31">
        <f>'M&amp;R Stations'!A40</f>
        <v>38999</v>
      </c>
      <c r="B47"/>
      <c r="C47" s="70">
        <f t="shared" si="1"/>
        <v>1102</v>
      </c>
      <c r="D47" s="70">
        <f t="shared" si="2"/>
        <v>74</v>
      </c>
      <c r="E47" s="70">
        <f t="shared" si="3"/>
        <v>0</v>
      </c>
      <c r="F47" s="94">
        <f t="shared" si="4"/>
        <v>1176</v>
      </c>
      <c r="G47" s="109">
        <f t="shared" si="5"/>
        <v>1156</v>
      </c>
      <c r="H47" s="109">
        <f t="shared" si="6"/>
        <v>20</v>
      </c>
      <c r="J47" s="216">
        <v>100</v>
      </c>
      <c r="K47" s="216">
        <v>10</v>
      </c>
      <c r="L47" s="216">
        <v>4</v>
      </c>
      <c r="M47" s="216">
        <v>49</v>
      </c>
      <c r="N47" s="216">
        <v>21</v>
      </c>
      <c r="O47" s="216">
        <v>0</v>
      </c>
      <c r="P47" s="216">
        <v>0</v>
      </c>
      <c r="Q47" s="216">
        <v>918</v>
      </c>
      <c r="R47" s="216">
        <v>0</v>
      </c>
      <c r="S47" s="216">
        <v>0</v>
      </c>
      <c r="T47" s="216">
        <v>0</v>
      </c>
      <c r="U47" s="216">
        <v>0</v>
      </c>
      <c r="V47" s="216">
        <v>54</v>
      </c>
      <c r="W47" s="52"/>
      <c r="X47" s="216">
        <v>0</v>
      </c>
      <c r="Y47" s="216">
        <v>4</v>
      </c>
      <c r="Z47" s="216">
        <v>16</v>
      </c>
      <c r="AH47" s="46"/>
      <c r="AI47" s="46"/>
    </row>
    <row r="48" spans="1:35" x14ac:dyDescent="0.25">
      <c r="A48" s="31">
        <f>'M&amp;R Stations'!A41</f>
        <v>39000</v>
      </c>
      <c r="B48"/>
      <c r="C48" s="70">
        <f t="shared" si="1"/>
        <v>1054</v>
      </c>
      <c r="D48" s="70">
        <f t="shared" si="2"/>
        <v>68</v>
      </c>
      <c r="E48" s="70">
        <f t="shared" si="3"/>
        <v>0</v>
      </c>
      <c r="F48" s="94">
        <f t="shared" si="4"/>
        <v>1122</v>
      </c>
      <c r="G48" s="109">
        <f t="shared" si="5"/>
        <v>1101</v>
      </c>
      <c r="H48" s="109">
        <f t="shared" si="6"/>
        <v>21</v>
      </c>
      <c r="J48" s="216">
        <v>28</v>
      </c>
      <c r="K48" s="216">
        <v>10</v>
      </c>
      <c r="L48" s="216">
        <v>3</v>
      </c>
      <c r="M48" s="216">
        <v>46</v>
      </c>
      <c r="N48" s="216">
        <v>22</v>
      </c>
      <c r="O48" s="216">
        <v>4</v>
      </c>
      <c r="P48" s="216">
        <v>0</v>
      </c>
      <c r="Q48" s="216">
        <v>941</v>
      </c>
      <c r="R48" s="216">
        <v>0</v>
      </c>
      <c r="S48" s="216">
        <v>0</v>
      </c>
      <c r="T48" s="216">
        <v>0</v>
      </c>
      <c r="U48" s="216">
        <v>0</v>
      </c>
      <c r="V48" s="216">
        <v>47</v>
      </c>
      <c r="W48" s="52"/>
      <c r="X48" s="216">
        <v>0</v>
      </c>
      <c r="Y48" s="216">
        <v>4</v>
      </c>
      <c r="Z48" s="216">
        <v>17</v>
      </c>
      <c r="AH48" s="46"/>
      <c r="AI48" s="46"/>
    </row>
    <row r="49" spans="1:35" x14ac:dyDescent="0.25">
      <c r="A49" s="31">
        <f>'M&amp;R Stations'!A42</f>
        <v>39001</v>
      </c>
      <c r="B49"/>
      <c r="C49" s="70">
        <f t="shared" si="1"/>
        <v>965</v>
      </c>
      <c r="D49" s="70">
        <f t="shared" si="2"/>
        <v>71</v>
      </c>
      <c r="E49" s="70">
        <f t="shared" si="3"/>
        <v>0</v>
      </c>
      <c r="F49" s="94">
        <f t="shared" si="4"/>
        <v>1036</v>
      </c>
      <c r="G49" s="109">
        <f t="shared" si="5"/>
        <v>1020</v>
      </c>
      <c r="H49" s="109">
        <f t="shared" si="6"/>
        <v>16</v>
      </c>
      <c r="J49" s="216">
        <v>125</v>
      </c>
      <c r="K49" s="216">
        <v>10</v>
      </c>
      <c r="L49" s="216">
        <v>5</v>
      </c>
      <c r="M49" s="216">
        <v>49</v>
      </c>
      <c r="N49" s="216">
        <v>18</v>
      </c>
      <c r="O49" s="216">
        <v>0</v>
      </c>
      <c r="P49" s="216">
        <v>0</v>
      </c>
      <c r="Q49" s="216">
        <v>758</v>
      </c>
      <c r="R49" s="216">
        <v>0</v>
      </c>
      <c r="S49" s="216">
        <v>0</v>
      </c>
      <c r="T49" s="216">
        <v>0</v>
      </c>
      <c r="U49" s="216">
        <v>0</v>
      </c>
      <c r="V49" s="216">
        <v>55</v>
      </c>
      <c r="W49" s="52"/>
      <c r="X49" s="216">
        <v>0</v>
      </c>
      <c r="Y49" s="216">
        <v>1</v>
      </c>
      <c r="Z49" s="216">
        <v>15</v>
      </c>
      <c r="AA49" s="11">
        <v>4</v>
      </c>
      <c r="AH49" s="46"/>
      <c r="AI49" s="46"/>
    </row>
    <row r="50" spans="1:35" x14ac:dyDescent="0.25">
      <c r="A50" s="31">
        <f>'M&amp;R Stations'!A43</f>
        <v>39002</v>
      </c>
      <c r="B50"/>
      <c r="C50" s="70">
        <f t="shared" si="1"/>
        <v>1155</v>
      </c>
      <c r="D50" s="70">
        <f t="shared" si="2"/>
        <v>95</v>
      </c>
      <c r="E50" s="70">
        <f t="shared" si="3"/>
        <v>0</v>
      </c>
      <c r="F50" s="94">
        <f t="shared" si="4"/>
        <v>1250</v>
      </c>
      <c r="G50" s="109">
        <f t="shared" si="5"/>
        <v>1223</v>
      </c>
      <c r="H50" s="109">
        <f t="shared" si="6"/>
        <v>27</v>
      </c>
      <c r="J50" s="216">
        <v>110</v>
      </c>
      <c r="K50" s="216">
        <v>10</v>
      </c>
      <c r="L50" s="216">
        <v>4</v>
      </c>
      <c r="M50" s="216">
        <v>49</v>
      </c>
      <c r="N50" s="216">
        <v>23</v>
      </c>
      <c r="O50" s="216">
        <v>0</v>
      </c>
      <c r="P50" s="216">
        <v>0</v>
      </c>
      <c r="Q50" s="216">
        <v>959</v>
      </c>
      <c r="R50" s="216">
        <v>0</v>
      </c>
      <c r="S50" s="216">
        <v>0</v>
      </c>
      <c r="T50" s="216">
        <v>0</v>
      </c>
      <c r="U50" s="216">
        <v>0</v>
      </c>
      <c r="V50" s="216">
        <v>68</v>
      </c>
      <c r="W50" s="52"/>
      <c r="X50" s="216">
        <v>0</v>
      </c>
      <c r="Y50" s="216">
        <v>7</v>
      </c>
      <c r="Z50" s="216">
        <v>20</v>
      </c>
      <c r="AH50" s="46"/>
      <c r="AI50" s="46"/>
    </row>
    <row r="51" spans="1:35" x14ac:dyDescent="0.25">
      <c r="A51" s="31">
        <f>'M&amp;R Stations'!A44</f>
        <v>39003</v>
      </c>
      <c r="B51"/>
      <c r="C51" s="70">
        <f t="shared" si="1"/>
        <v>1158</v>
      </c>
      <c r="D51" s="70">
        <f t="shared" si="2"/>
        <v>127</v>
      </c>
      <c r="E51" s="70">
        <f t="shared" si="3"/>
        <v>0</v>
      </c>
      <c r="F51" s="94">
        <f t="shared" si="4"/>
        <v>1285</v>
      </c>
      <c r="G51" s="109">
        <f t="shared" si="5"/>
        <v>1245</v>
      </c>
      <c r="H51" s="109">
        <f t="shared" si="6"/>
        <v>40</v>
      </c>
      <c r="J51" s="216">
        <v>116</v>
      </c>
      <c r="K51" s="216">
        <v>9</v>
      </c>
      <c r="L51" s="216">
        <v>4</v>
      </c>
      <c r="M51" s="216">
        <v>49</v>
      </c>
      <c r="N51" s="216">
        <v>23</v>
      </c>
      <c r="O51" s="216">
        <v>0</v>
      </c>
      <c r="P51" s="216">
        <v>0</v>
      </c>
      <c r="Q51" s="216">
        <v>957</v>
      </c>
      <c r="R51" s="216">
        <v>0</v>
      </c>
      <c r="S51" s="216">
        <v>0</v>
      </c>
      <c r="T51" s="216">
        <v>0</v>
      </c>
      <c r="U51" s="216">
        <v>0</v>
      </c>
      <c r="V51" s="216">
        <v>87</v>
      </c>
      <c r="W51" s="52"/>
      <c r="X51" s="216">
        <v>0</v>
      </c>
      <c r="Y51" s="216">
        <v>10</v>
      </c>
      <c r="Z51" s="216">
        <v>30</v>
      </c>
      <c r="AH51" s="46"/>
      <c r="AI51" s="46"/>
    </row>
    <row r="52" spans="1:35" x14ac:dyDescent="0.25">
      <c r="A52" s="31">
        <f>'M&amp;R Stations'!A45</f>
        <v>39004</v>
      </c>
      <c r="B52"/>
      <c r="C52" s="70">
        <f t="shared" si="1"/>
        <v>1507</v>
      </c>
      <c r="D52" s="70">
        <f t="shared" si="2"/>
        <v>130</v>
      </c>
      <c r="E52" s="70">
        <f t="shared" si="3"/>
        <v>0</v>
      </c>
      <c r="F52" s="94">
        <f t="shared" si="4"/>
        <v>1637</v>
      </c>
      <c r="G52" s="109">
        <f t="shared" si="5"/>
        <v>1598</v>
      </c>
      <c r="H52" s="109">
        <f t="shared" si="6"/>
        <v>39</v>
      </c>
      <c r="J52" s="216">
        <v>118</v>
      </c>
      <c r="K52" s="216">
        <v>10</v>
      </c>
      <c r="L52" s="216">
        <v>4</v>
      </c>
      <c r="M52" s="216">
        <v>54</v>
      </c>
      <c r="N52" s="216">
        <v>20</v>
      </c>
      <c r="O52" s="216">
        <v>0</v>
      </c>
      <c r="P52" s="216">
        <v>0</v>
      </c>
      <c r="Q52" s="216">
        <v>1301</v>
      </c>
      <c r="R52" s="216">
        <v>0</v>
      </c>
      <c r="S52" s="216">
        <v>0</v>
      </c>
      <c r="T52" s="216">
        <v>0</v>
      </c>
      <c r="U52" s="216">
        <v>0</v>
      </c>
      <c r="V52" s="216">
        <v>91</v>
      </c>
      <c r="W52" s="52"/>
      <c r="X52" s="216">
        <v>0</v>
      </c>
      <c r="Y52" s="216">
        <v>10</v>
      </c>
      <c r="Z52" s="216">
        <v>29</v>
      </c>
      <c r="AH52" s="46"/>
      <c r="AI52" s="46"/>
    </row>
    <row r="53" spans="1:35" x14ac:dyDescent="0.25">
      <c r="A53" s="31">
        <f>'M&amp;R Stations'!A46</f>
        <v>39005</v>
      </c>
      <c r="B53"/>
      <c r="C53" s="70">
        <f t="shared" si="1"/>
        <v>1507</v>
      </c>
      <c r="D53" s="70">
        <f t="shared" si="2"/>
        <v>149</v>
      </c>
      <c r="E53" s="70">
        <f t="shared" si="3"/>
        <v>0</v>
      </c>
      <c r="F53" s="94">
        <f t="shared" si="4"/>
        <v>1656</v>
      </c>
      <c r="G53" s="109">
        <f t="shared" si="5"/>
        <v>1597</v>
      </c>
      <c r="H53" s="109">
        <f t="shared" si="6"/>
        <v>59</v>
      </c>
      <c r="J53" s="216">
        <v>119</v>
      </c>
      <c r="K53" s="216">
        <v>9</v>
      </c>
      <c r="L53" s="216">
        <v>1</v>
      </c>
      <c r="M53" s="216">
        <v>53</v>
      </c>
      <c r="N53" s="216">
        <v>23</v>
      </c>
      <c r="O53" s="216">
        <v>0</v>
      </c>
      <c r="P53" s="216">
        <v>0</v>
      </c>
      <c r="Q53" s="216">
        <v>1302</v>
      </c>
      <c r="R53" s="216">
        <v>0</v>
      </c>
      <c r="S53" s="216">
        <v>0</v>
      </c>
      <c r="T53" s="216">
        <v>0</v>
      </c>
      <c r="U53" s="216">
        <v>0</v>
      </c>
      <c r="V53" s="216">
        <v>90</v>
      </c>
      <c r="W53" s="52"/>
      <c r="X53" s="216">
        <v>0</v>
      </c>
      <c r="Y53" s="216">
        <v>17</v>
      </c>
      <c r="Z53" s="216">
        <v>42</v>
      </c>
      <c r="AH53" s="46"/>
      <c r="AI53" s="46"/>
    </row>
    <row r="54" spans="1:35" x14ac:dyDescent="0.25">
      <c r="A54" s="31">
        <f>'M&amp;R Stations'!A47</f>
        <v>39006</v>
      </c>
      <c r="B54"/>
      <c r="C54" s="70">
        <f t="shared" si="1"/>
        <v>1477</v>
      </c>
      <c r="D54" s="70">
        <f t="shared" si="2"/>
        <v>125</v>
      </c>
      <c r="E54" s="70">
        <f t="shared" si="3"/>
        <v>0</v>
      </c>
      <c r="F54" s="94">
        <f t="shared" si="4"/>
        <v>1602</v>
      </c>
      <c r="G54" s="109">
        <f t="shared" si="5"/>
        <v>1561</v>
      </c>
      <c r="H54" s="109">
        <f t="shared" si="6"/>
        <v>41</v>
      </c>
      <c r="J54" s="216">
        <v>117</v>
      </c>
      <c r="K54" s="216">
        <v>10</v>
      </c>
      <c r="L54" s="216">
        <v>6</v>
      </c>
      <c r="M54" s="216">
        <v>48</v>
      </c>
      <c r="N54" s="216">
        <v>23</v>
      </c>
      <c r="O54" s="216">
        <v>0</v>
      </c>
      <c r="P54" s="216">
        <v>0</v>
      </c>
      <c r="Q54" s="216">
        <v>1273</v>
      </c>
      <c r="R54" s="216">
        <v>0</v>
      </c>
      <c r="S54" s="216">
        <v>0</v>
      </c>
      <c r="T54" s="216">
        <v>0</v>
      </c>
      <c r="U54" s="216">
        <v>0</v>
      </c>
      <c r="V54" s="216">
        <v>84</v>
      </c>
      <c r="W54" s="52"/>
      <c r="X54" s="216">
        <v>0</v>
      </c>
      <c r="Y54" s="216">
        <v>9</v>
      </c>
      <c r="Z54" s="216">
        <v>32</v>
      </c>
      <c r="AH54" s="46"/>
      <c r="AI54" s="46"/>
    </row>
    <row r="55" spans="1:35" x14ac:dyDescent="0.25">
      <c r="A55" s="31">
        <f>'M&amp;R Stations'!A48</f>
        <v>39007</v>
      </c>
      <c r="B55"/>
      <c r="C55" s="70">
        <f t="shared" si="1"/>
        <v>1520</v>
      </c>
      <c r="D55" s="70">
        <f t="shared" si="2"/>
        <v>110</v>
      </c>
      <c r="E55" s="70">
        <f t="shared" si="3"/>
        <v>10</v>
      </c>
      <c r="F55" s="94">
        <f t="shared" si="4"/>
        <v>1640</v>
      </c>
      <c r="G55" s="109">
        <f t="shared" si="5"/>
        <v>1608</v>
      </c>
      <c r="H55" s="109">
        <f t="shared" si="6"/>
        <v>32</v>
      </c>
      <c r="J55" s="216">
        <v>114</v>
      </c>
      <c r="K55" s="216">
        <v>10</v>
      </c>
      <c r="L55" s="216">
        <v>5</v>
      </c>
      <c r="M55" s="216">
        <v>55</v>
      </c>
      <c r="N55" s="216">
        <v>19</v>
      </c>
      <c r="O55" s="216">
        <v>0</v>
      </c>
      <c r="P55" s="216">
        <v>0</v>
      </c>
      <c r="Q55" s="216">
        <v>1317</v>
      </c>
      <c r="R55" s="216">
        <v>0</v>
      </c>
      <c r="S55" s="216">
        <v>0</v>
      </c>
      <c r="T55" s="216">
        <v>0</v>
      </c>
      <c r="U55" s="216">
        <v>10</v>
      </c>
      <c r="V55" s="216">
        <v>78</v>
      </c>
      <c r="W55" s="52"/>
      <c r="X55" s="216">
        <v>0</v>
      </c>
      <c r="Y55" s="216">
        <v>8</v>
      </c>
      <c r="Z55" s="216">
        <v>24</v>
      </c>
      <c r="AH55" s="46"/>
      <c r="AI55" s="46"/>
    </row>
    <row r="56" spans="1:35" x14ac:dyDescent="0.25">
      <c r="A56" s="31">
        <f>'M&amp;R Stations'!A49</f>
        <v>39008</v>
      </c>
      <c r="B56"/>
      <c r="C56" s="70">
        <f t="shared" si="1"/>
        <v>1646</v>
      </c>
      <c r="D56" s="70">
        <f t="shared" si="2"/>
        <v>86</v>
      </c>
      <c r="E56" s="70">
        <f t="shared" si="3"/>
        <v>0</v>
      </c>
      <c r="F56" s="94">
        <f t="shared" si="4"/>
        <v>1732</v>
      </c>
      <c r="G56" s="109">
        <f t="shared" si="5"/>
        <v>1710</v>
      </c>
      <c r="H56" s="109">
        <f t="shared" si="6"/>
        <v>22</v>
      </c>
      <c r="J56" s="216">
        <v>114</v>
      </c>
      <c r="K56" s="216">
        <v>10</v>
      </c>
      <c r="L56" s="216">
        <v>4</v>
      </c>
      <c r="M56" s="216">
        <v>47</v>
      </c>
      <c r="N56" s="216">
        <v>29</v>
      </c>
      <c r="O56" s="216">
        <v>0</v>
      </c>
      <c r="P56" s="216">
        <v>0</v>
      </c>
      <c r="Q56" s="216">
        <v>1442</v>
      </c>
      <c r="R56" s="216">
        <v>0</v>
      </c>
      <c r="S56" s="216">
        <v>0</v>
      </c>
      <c r="T56" s="216">
        <v>0</v>
      </c>
      <c r="U56" s="216">
        <v>0</v>
      </c>
      <c r="V56" s="216">
        <v>64</v>
      </c>
      <c r="W56" s="52"/>
      <c r="X56" s="216">
        <v>0</v>
      </c>
      <c r="Y56" s="216">
        <v>5</v>
      </c>
      <c r="Z56" s="216">
        <v>17</v>
      </c>
      <c r="AH56" s="46"/>
      <c r="AI56" s="46"/>
    </row>
    <row r="57" spans="1:35" x14ac:dyDescent="0.25">
      <c r="A57" s="31">
        <f>'M&amp;R Stations'!A50</f>
        <v>39009</v>
      </c>
      <c r="B57"/>
      <c r="C57" s="70">
        <f t="shared" si="1"/>
        <v>1384</v>
      </c>
      <c r="D57" s="70">
        <f t="shared" si="2"/>
        <v>82</v>
      </c>
      <c r="E57" s="70">
        <f t="shared" si="3"/>
        <v>12</v>
      </c>
      <c r="F57" s="94">
        <f t="shared" si="4"/>
        <v>1478</v>
      </c>
      <c r="G57" s="109">
        <f t="shared" si="5"/>
        <v>1460</v>
      </c>
      <c r="H57" s="109">
        <f t="shared" si="6"/>
        <v>18</v>
      </c>
      <c r="J57" s="216">
        <v>107</v>
      </c>
      <c r="K57" s="216">
        <v>10</v>
      </c>
      <c r="L57" s="216">
        <v>5</v>
      </c>
      <c r="M57" s="216">
        <v>55</v>
      </c>
      <c r="N57" s="216">
        <v>20</v>
      </c>
      <c r="O57" s="216">
        <v>0</v>
      </c>
      <c r="P57" s="216">
        <v>0</v>
      </c>
      <c r="Q57" s="216">
        <v>1187</v>
      </c>
      <c r="R57" s="216">
        <v>0</v>
      </c>
      <c r="S57" s="216">
        <v>0</v>
      </c>
      <c r="T57" s="216">
        <v>0</v>
      </c>
      <c r="U57" s="216">
        <v>12</v>
      </c>
      <c r="V57" s="216">
        <v>64</v>
      </c>
      <c r="W57" s="52"/>
      <c r="X57" s="216">
        <v>0</v>
      </c>
      <c r="Y57" s="216">
        <v>4</v>
      </c>
      <c r="Z57" s="216">
        <v>14</v>
      </c>
      <c r="AH57" s="46"/>
      <c r="AI57" s="46"/>
    </row>
    <row r="58" spans="1:35" x14ac:dyDescent="0.25">
      <c r="A58" s="31">
        <f>'M&amp;R Stations'!A51</f>
        <v>39010</v>
      </c>
      <c r="B58"/>
      <c r="C58" s="70">
        <f t="shared" si="1"/>
        <v>1474</v>
      </c>
      <c r="D58" s="70">
        <f t="shared" si="2"/>
        <v>117</v>
      </c>
      <c r="E58" s="70">
        <f t="shared" si="3"/>
        <v>0</v>
      </c>
      <c r="F58" s="94">
        <f t="shared" si="4"/>
        <v>1591</v>
      </c>
      <c r="G58" s="109">
        <f t="shared" si="5"/>
        <v>1558</v>
      </c>
      <c r="H58" s="109">
        <f t="shared" si="6"/>
        <v>33</v>
      </c>
      <c r="J58" s="216">
        <v>110</v>
      </c>
      <c r="K58" s="216">
        <v>10</v>
      </c>
      <c r="L58" s="216">
        <v>4</v>
      </c>
      <c r="M58" s="216">
        <v>46</v>
      </c>
      <c r="N58" s="216">
        <v>22</v>
      </c>
      <c r="O58" s="216">
        <v>0</v>
      </c>
      <c r="P58" s="216">
        <v>0</v>
      </c>
      <c r="Q58" s="216">
        <v>1282</v>
      </c>
      <c r="R58" s="216">
        <v>0</v>
      </c>
      <c r="S58" s="216">
        <v>0</v>
      </c>
      <c r="T58" s="216">
        <v>0</v>
      </c>
      <c r="U58" s="216">
        <v>0</v>
      </c>
      <c r="V58" s="216">
        <v>84</v>
      </c>
      <c r="W58" s="52"/>
      <c r="X58" s="216">
        <v>0</v>
      </c>
      <c r="Y58" s="216">
        <v>9</v>
      </c>
      <c r="Z58" s="216">
        <v>24</v>
      </c>
      <c r="AH58" s="46"/>
      <c r="AI58" s="46"/>
    </row>
    <row r="59" spans="1:35" x14ac:dyDescent="0.25">
      <c r="A59" s="31">
        <f>'M&amp;R Stations'!A52</f>
        <v>39011</v>
      </c>
      <c r="B59"/>
      <c r="C59" s="70">
        <f t="shared" si="1"/>
        <v>1508</v>
      </c>
      <c r="D59" s="70">
        <f t="shared" si="2"/>
        <v>136</v>
      </c>
      <c r="E59" s="70">
        <f t="shared" si="3"/>
        <v>0</v>
      </c>
      <c r="F59" s="94">
        <f t="shared" si="4"/>
        <v>1644</v>
      </c>
      <c r="G59" s="109">
        <f t="shared" si="5"/>
        <v>1602</v>
      </c>
      <c r="H59" s="109">
        <f t="shared" si="6"/>
        <v>42</v>
      </c>
      <c r="J59" s="216">
        <v>115</v>
      </c>
      <c r="K59" s="216">
        <v>10</v>
      </c>
      <c r="L59" s="216">
        <v>3</v>
      </c>
      <c r="M59" s="216">
        <v>53</v>
      </c>
      <c r="N59" s="216">
        <v>22</v>
      </c>
      <c r="O59" s="216">
        <v>0</v>
      </c>
      <c r="P59" s="216">
        <v>0</v>
      </c>
      <c r="Q59" s="216">
        <v>1305</v>
      </c>
      <c r="R59" s="216">
        <v>0</v>
      </c>
      <c r="S59" s="216">
        <v>0</v>
      </c>
      <c r="T59" s="216">
        <v>0</v>
      </c>
      <c r="U59" s="216">
        <v>0</v>
      </c>
      <c r="V59" s="216">
        <v>94</v>
      </c>
      <c r="W59" s="52"/>
      <c r="X59" s="216">
        <v>0</v>
      </c>
      <c r="Y59" s="216">
        <v>11</v>
      </c>
      <c r="Z59" s="216">
        <v>31</v>
      </c>
      <c r="AH59" s="46"/>
      <c r="AI59" s="46"/>
    </row>
    <row r="60" spans="1:35" x14ac:dyDescent="0.25">
      <c r="A60" s="31">
        <f>'M&amp;R Stations'!A53</f>
        <v>39012</v>
      </c>
      <c r="B60"/>
      <c r="C60" s="70">
        <f t="shared" si="1"/>
        <v>1491</v>
      </c>
      <c r="D60" s="70">
        <f t="shared" si="2"/>
        <v>131</v>
      </c>
      <c r="E60" s="70">
        <f t="shared" si="3"/>
        <v>0</v>
      </c>
      <c r="F60" s="94">
        <f t="shared" si="4"/>
        <v>1622</v>
      </c>
      <c r="G60" s="109">
        <f t="shared" si="5"/>
        <v>1586</v>
      </c>
      <c r="H60" s="109">
        <f t="shared" si="6"/>
        <v>36</v>
      </c>
      <c r="J60" s="216">
        <v>115</v>
      </c>
      <c r="K60" s="216">
        <v>10</v>
      </c>
      <c r="L60" s="216">
        <v>4</v>
      </c>
      <c r="M60" s="216">
        <v>50</v>
      </c>
      <c r="N60" s="216">
        <v>10</v>
      </c>
      <c r="O60" s="216">
        <v>0</v>
      </c>
      <c r="P60" s="216">
        <v>0</v>
      </c>
      <c r="Q60" s="216">
        <v>1302</v>
      </c>
      <c r="R60" s="216">
        <v>0</v>
      </c>
      <c r="S60" s="216">
        <v>0</v>
      </c>
      <c r="T60" s="216">
        <v>0</v>
      </c>
      <c r="U60" s="216">
        <v>0</v>
      </c>
      <c r="V60" s="216">
        <v>95</v>
      </c>
      <c r="W60" s="52"/>
      <c r="X60" s="216">
        <v>0</v>
      </c>
      <c r="Y60" s="216">
        <v>9</v>
      </c>
      <c r="Z60" s="216">
        <v>27</v>
      </c>
      <c r="AH60" s="46"/>
      <c r="AI60" s="46"/>
    </row>
    <row r="61" spans="1:35" x14ac:dyDescent="0.25">
      <c r="A61" s="31">
        <f>'M&amp;R Stations'!A54</f>
        <v>39013</v>
      </c>
      <c r="B61"/>
      <c r="C61" s="70">
        <f t="shared" si="1"/>
        <v>1525</v>
      </c>
      <c r="D61" s="70">
        <f t="shared" si="2"/>
        <v>186</v>
      </c>
      <c r="E61" s="70">
        <f t="shared" si="3"/>
        <v>0</v>
      </c>
      <c r="F61" s="94">
        <f t="shared" si="4"/>
        <v>1711</v>
      </c>
      <c r="G61" s="109">
        <f t="shared" si="5"/>
        <v>1641</v>
      </c>
      <c r="H61" s="109">
        <f t="shared" si="6"/>
        <v>70</v>
      </c>
      <c r="J61" s="216">
        <v>131</v>
      </c>
      <c r="K61" s="216">
        <v>9</v>
      </c>
      <c r="L61" s="216">
        <v>5</v>
      </c>
      <c r="M61" s="216">
        <v>52</v>
      </c>
      <c r="N61" s="216">
        <v>41</v>
      </c>
      <c r="O61" s="216">
        <v>0</v>
      </c>
      <c r="P61" s="216">
        <v>0</v>
      </c>
      <c r="Q61" s="216">
        <v>1287</v>
      </c>
      <c r="R61" s="216">
        <v>0</v>
      </c>
      <c r="S61" s="216">
        <v>0</v>
      </c>
      <c r="T61" s="216">
        <v>0</v>
      </c>
      <c r="U61" s="216">
        <v>0</v>
      </c>
      <c r="V61" s="216">
        <f>13+15+77+11</f>
        <v>116</v>
      </c>
      <c r="W61" s="52"/>
      <c r="X61" s="216">
        <v>0</v>
      </c>
      <c r="Y61" s="216">
        <v>21</v>
      </c>
      <c r="Z61" s="216">
        <v>49</v>
      </c>
      <c r="AH61" s="46"/>
      <c r="AI61" s="46"/>
    </row>
    <row r="62" spans="1:35" x14ac:dyDescent="0.25">
      <c r="A62" s="31">
        <f>'M&amp;R Stations'!A55</f>
        <v>39014</v>
      </c>
      <c r="B62"/>
      <c r="C62" s="70">
        <f t="shared" si="1"/>
        <v>1520</v>
      </c>
      <c r="D62" s="70">
        <f t="shared" si="2"/>
        <v>210</v>
      </c>
      <c r="E62" s="70">
        <f t="shared" si="3"/>
        <v>0</v>
      </c>
      <c r="F62" s="94">
        <f t="shared" si="4"/>
        <v>1730</v>
      </c>
      <c r="G62" s="109">
        <f t="shared" si="5"/>
        <v>1651</v>
      </c>
      <c r="H62" s="109">
        <f t="shared" si="6"/>
        <v>79</v>
      </c>
      <c r="J62" s="216">
        <v>143</v>
      </c>
      <c r="K62" s="216">
        <v>9</v>
      </c>
      <c r="L62" s="216">
        <v>4</v>
      </c>
      <c r="M62" s="216">
        <v>48</v>
      </c>
      <c r="N62" s="216">
        <v>19</v>
      </c>
      <c r="O62" s="216">
        <v>0</v>
      </c>
      <c r="P62" s="216">
        <v>0</v>
      </c>
      <c r="Q62" s="216">
        <v>1297</v>
      </c>
      <c r="R62" s="216">
        <v>0</v>
      </c>
      <c r="S62" s="216">
        <v>0</v>
      </c>
      <c r="T62" s="216">
        <v>0</v>
      </c>
      <c r="U62" s="216">
        <v>0</v>
      </c>
      <c r="V62" s="216">
        <f>18+16+86+11</f>
        <v>131</v>
      </c>
      <c r="W62" s="52"/>
      <c r="X62" s="216">
        <v>0</v>
      </c>
      <c r="Y62" s="216">
        <v>24</v>
      </c>
      <c r="Z62" s="216">
        <f>29+15+11</f>
        <v>55</v>
      </c>
      <c r="AH62" s="46"/>
      <c r="AI62" s="46"/>
    </row>
    <row r="63" spans="1:35" x14ac:dyDescent="0.25">
      <c r="A63" s="31">
        <f>'M&amp;R Stations'!A56</f>
        <v>39015</v>
      </c>
      <c r="B63"/>
      <c r="C63" s="70">
        <f t="shared" si="1"/>
        <v>1523</v>
      </c>
      <c r="D63" s="70">
        <f t="shared" si="2"/>
        <v>208</v>
      </c>
      <c r="E63" s="70">
        <f t="shared" si="3"/>
        <v>0</v>
      </c>
      <c r="F63" s="94">
        <f t="shared" si="4"/>
        <v>1731</v>
      </c>
      <c r="G63" s="109">
        <f t="shared" si="5"/>
        <v>1648</v>
      </c>
      <c r="H63" s="109">
        <f t="shared" si="6"/>
        <v>83</v>
      </c>
      <c r="J63" s="216">
        <v>139</v>
      </c>
      <c r="K63" s="216">
        <v>9</v>
      </c>
      <c r="L63" s="216">
        <v>4</v>
      </c>
      <c r="M63" s="216">
        <v>54</v>
      </c>
      <c r="N63" s="216">
        <v>31</v>
      </c>
      <c r="O63" s="216">
        <v>0</v>
      </c>
      <c r="P63" s="216">
        <v>0</v>
      </c>
      <c r="Q63" s="216">
        <v>1286</v>
      </c>
      <c r="R63" s="216">
        <v>0</v>
      </c>
      <c r="S63" s="216">
        <v>0</v>
      </c>
      <c r="T63" s="216">
        <v>0</v>
      </c>
      <c r="U63" s="216">
        <v>0</v>
      </c>
      <c r="V63" s="216">
        <f>17+16+85+7</f>
        <v>125</v>
      </c>
      <c r="W63" s="52"/>
      <c r="X63" s="216">
        <v>0</v>
      </c>
      <c r="Y63" s="216">
        <v>24</v>
      </c>
      <c r="Z63" s="216">
        <f>24+24+11</f>
        <v>59</v>
      </c>
      <c r="AH63" s="46"/>
      <c r="AI63" s="46"/>
    </row>
    <row r="64" spans="1:35" x14ac:dyDescent="0.25">
      <c r="A64" s="31">
        <f>'M&amp;R Stations'!A57</f>
        <v>39016</v>
      </c>
      <c r="B64"/>
      <c r="C64" s="70">
        <f t="shared" si="1"/>
        <v>1530</v>
      </c>
      <c r="D64" s="70">
        <f t="shared" si="2"/>
        <v>222</v>
      </c>
      <c r="E64" s="70">
        <f t="shared" si="3"/>
        <v>0</v>
      </c>
      <c r="F64" s="94">
        <f t="shared" si="4"/>
        <v>1752</v>
      </c>
      <c r="G64" s="109">
        <f t="shared" si="5"/>
        <v>1660</v>
      </c>
      <c r="H64" s="109">
        <f t="shared" si="6"/>
        <v>92</v>
      </c>
      <c r="J64" s="216">
        <v>139</v>
      </c>
      <c r="K64" s="216">
        <v>10</v>
      </c>
      <c r="L64" s="216">
        <v>4</v>
      </c>
      <c r="M64" s="216">
        <v>55</v>
      </c>
      <c r="N64" s="216">
        <v>20</v>
      </c>
      <c r="O64" s="216">
        <v>0</v>
      </c>
      <c r="P64" s="216">
        <v>0</v>
      </c>
      <c r="Q64" s="216">
        <v>1302</v>
      </c>
      <c r="R64" s="216">
        <v>0</v>
      </c>
      <c r="S64" s="216">
        <v>0</v>
      </c>
      <c r="T64" s="216">
        <v>0</v>
      </c>
      <c r="U64" s="216">
        <v>0</v>
      </c>
      <c r="V64" s="216">
        <f>28+12+90</f>
        <v>130</v>
      </c>
      <c r="W64" s="52"/>
      <c r="X64" s="216">
        <v>0</v>
      </c>
      <c r="Y64" s="216">
        <v>29</v>
      </c>
      <c r="Z64" s="216">
        <f>27+25+11</f>
        <v>63</v>
      </c>
      <c r="AH64" s="46"/>
      <c r="AI64" s="46"/>
    </row>
    <row r="65" spans="1:35" x14ac:dyDescent="0.25">
      <c r="A65" s="31">
        <f>'M&amp;R Stations'!A58</f>
        <v>39017</v>
      </c>
      <c r="B65"/>
      <c r="C65" s="70">
        <f t="shared" si="1"/>
        <v>1528</v>
      </c>
      <c r="D65" s="70">
        <f t="shared" si="2"/>
        <v>192</v>
      </c>
      <c r="E65" s="70">
        <f t="shared" si="3"/>
        <v>0</v>
      </c>
      <c r="F65" s="94">
        <f t="shared" si="4"/>
        <v>1720</v>
      </c>
      <c r="G65" s="109">
        <f t="shared" si="5"/>
        <v>1642</v>
      </c>
      <c r="H65" s="109">
        <f t="shared" si="6"/>
        <v>78</v>
      </c>
      <c r="J65" s="216">
        <v>128</v>
      </c>
      <c r="K65" s="216">
        <v>10</v>
      </c>
      <c r="L65" s="216">
        <v>5</v>
      </c>
      <c r="M65" s="216">
        <v>51</v>
      </c>
      <c r="N65" s="216">
        <v>27</v>
      </c>
      <c r="O65" s="216">
        <v>0</v>
      </c>
      <c r="P65" s="216">
        <v>0</v>
      </c>
      <c r="Q65" s="216">
        <v>1307</v>
      </c>
      <c r="R65" s="216">
        <v>0</v>
      </c>
      <c r="S65" s="216">
        <v>0</v>
      </c>
      <c r="T65" s="216">
        <v>0</v>
      </c>
      <c r="U65" s="216">
        <v>0</v>
      </c>
      <c r="V65" s="216">
        <f>16+16+82</f>
        <v>114</v>
      </c>
      <c r="W65" s="52"/>
      <c r="X65" s="216">
        <v>0</v>
      </c>
      <c r="Y65" s="216">
        <v>23</v>
      </c>
      <c r="Z65" s="216">
        <f>23+21+11</f>
        <v>55</v>
      </c>
      <c r="AH65" s="46"/>
      <c r="AI65" s="46"/>
    </row>
    <row r="66" spans="1:35" x14ac:dyDescent="0.25">
      <c r="A66" s="31">
        <f>'M&amp;R Stations'!A59</f>
        <v>39018</v>
      </c>
      <c r="B66"/>
      <c r="C66" s="70">
        <f t="shared" si="1"/>
        <v>1536</v>
      </c>
      <c r="D66" s="70">
        <f t="shared" si="2"/>
        <v>175</v>
      </c>
      <c r="E66" s="70">
        <f t="shared" si="3"/>
        <v>0</v>
      </c>
      <c r="F66" s="94">
        <f t="shared" si="4"/>
        <v>1711</v>
      </c>
      <c r="G66" s="109">
        <f t="shared" si="5"/>
        <v>1651</v>
      </c>
      <c r="H66" s="109">
        <f t="shared" si="6"/>
        <v>60</v>
      </c>
      <c r="J66" s="216">
        <v>126</v>
      </c>
      <c r="K66" s="216">
        <v>10</v>
      </c>
      <c r="L66" s="216">
        <v>6</v>
      </c>
      <c r="M66" s="216">
        <v>56</v>
      </c>
      <c r="N66" s="216">
        <v>22</v>
      </c>
      <c r="O66" s="216">
        <v>0</v>
      </c>
      <c r="P66" s="216">
        <v>0</v>
      </c>
      <c r="Q66" s="216">
        <v>1316</v>
      </c>
      <c r="R66" s="216">
        <v>0</v>
      </c>
      <c r="S66" s="216">
        <v>0</v>
      </c>
      <c r="T66" s="216">
        <v>0</v>
      </c>
      <c r="U66" s="216">
        <v>0</v>
      </c>
      <c r="V66" s="216">
        <f>14+20+81</f>
        <v>115</v>
      </c>
      <c r="W66" s="52"/>
      <c r="X66" s="216">
        <v>0</v>
      </c>
      <c r="Y66" s="216">
        <v>17</v>
      </c>
      <c r="Z66" s="216">
        <f>21+12+10</f>
        <v>43</v>
      </c>
      <c r="AH66" s="46"/>
      <c r="AI66" s="46"/>
    </row>
    <row r="67" spans="1:35" x14ac:dyDescent="0.25">
      <c r="A67" s="31">
        <f>'M&amp;R Stations'!A60</f>
        <v>39019</v>
      </c>
      <c r="B67"/>
      <c r="C67" s="70">
        <f t="shared" si="1"/>
        <v>1562</v>
      </c>
      <c r="D67" s="70">
        <f t="shared" si="2"/>
        <v>205</v>
      </c>
      <c r="E67" s="70">
        <f t="shared" si="3"/>
        <v>0</v>
      </c>
      <c r="F67" s="94">
        <f t="shared" si="4"/>
        <v>1767</v>
      </c>
      <c r="G67" s="109">
        <f t="shared" si="5"/>
        <v>1691</v>
      </c>
      <c r="H67" s="109">
        <f t="shared" si="6"/>
        <v>76</v>
      </c>
      <c r="J67" s="216">
        <v>137</v>
      </c>
      <c r="K67" s="216">
        <v>11</v>
      </c>
      <c r="L67" s="216">
        <v>5</v>
      </c>
      <c r="M67" s="216">
        <v>60</v>
      </c>
      <c r="N67" s="216">
        <v>29</v>
      </c>
      <c r="O67" s="216">
        <v>0</v>
      </c>
      <c r="P67" s="216">
        <v>0</v>
      </c>
      <c r="Q67" s="216">
        <v>1320</v>
      </c>
      <c r="R67" s="216">
        <v>0</v>
      </c>
      <c r="S67" s="216">
        <v>0</v>
      </c>
      <c r="T67" s="216">
        <v>0</v>
      </c>
      <c r="U67" s="216">
        <v>0</v>
      </c>
      <c r="V67" s="216">
        <f>21+16+92</f>
        <v>129</v>
      </c>
      <c r="W67" s="52"/>
      <c r="X67" s="216">
        <v>0</v>
      </c>
      <c r="Y67" s="216">
        <v>23</v>
      </c>
      <c r="Z67" s="216">
        <f>20+22+11</f>
        <v>53</v>
      </c>
      <c r="AH67" s="46"/>
      <c r="AI67" s="46"/>
    </row>
    <row r="68" spans="1:35" x14ac:dyDescent="0.25">
      <c r="A68" s="31">
        <f>'M&amp;R Stations'!A61</f>
        <v>39020</v>
      </c>
      <c r="B68"/>
      <c r="C68" s="70">
        <f t="shared" si="1"/>
        <v>1504</v>
      </c>
      <c r="D68" s="70">
        <f t="shared" si="2"/>
        <v>140</v>
      </c>
      <c r="E68" s="70">
        <f t="shared" si="3"/>
        <v>0</v>
      </c>
      <c r="F68" s="94">
        <f t="shared" si="4"/>
        <v>1644</v>
      </c>
      <c r="G68" s="109">
        <f t="shared" si="5"/>
        <v>1611</v>
      </c>
      <c r="H68" s="109">
        <f t="shared" si="6"/>
        <v>33</v>
      </c>
      <c r="J68" s="216">
        <v>128</v>
      </c>
      <c r="K68" s="216">
        <v>11</v>
      </c>
      <c r="L68" s="216">
        <v>3</v>
      </c>
      <c r="M68" s="216">
        <v>48</v>
      </c>
      <c r="N68" s="216">
        <v>0</v>
      </c>
      <c r="O68" s="216">
        <v>6</v>
      </c>
      <c r="P68" s="216">
        <v>0</v>
      </c>
      <c r="Q68" s="216">
        <v>1308</v>
      </c>
      <c r="R68" s="216">
        <v>0</v>
      </c>
      <c r="S68" s="216">
        <v>0</v>
      </c>
      <c r="T68" s="216">
        <v>0</v>
      </c>
      <c r="U68" s="216">
        <v>0</v>
      </c>
      <c r="V68" s="216">
        <v>107</v>
      </c>
      <c r="W68" s="52"/>
      <c r="X68" s="216">
        <v>0</v>
      </c>
      <c r="Y68" s="216">
        <v>0</v>
      </c>
      <c r="Z68" s="216">
        <v>33</v>
      </c>
      <c r="AH68" s="46"/>
      <c r="AI68" s="46"/>
    </row>
    <row r="69" spans="1:35" x14ac:dyDescent="0.25">
      <c r="A69" s="31">
        <f>'M&amp;R Stations'!A62</f>
        <v>39021</v>
      </c>
      <c r="B69"/>
      <c r="C69" s="70">
        <f t="shared" si="1"/>
        <v>1520</v>
      </c>
      <c r="D69" s="70">
        <f t="shared" si="2"/>
        <v>120</v>
      </c>
      <c r="E69" s="70">
        <f t="shared" si="3"/>
        <v>0</v>
      </c>
      <c r="F69" s="94">
        <f t="shared" si="4"/>
        <v>1640</v>
      </c>
      <c r="G69" s="109">
        <f t="shared" si="5"/>
        <v>1596</v>
      </c>
      <c r="H69" s="109">
        <f t="shared" si="6"/>
        <v>44</v>
      </c>
      <c r="J69" s="216">
        <v>104</v>
      </c>
      <c r="K69" s="216">
        <v>10</v>
      </c>
      <c r="L69" s="216">
        <v>4</v>
      </c>
      <c r="M69" s="216">
        <v>53</v>
      </c>
      <c r="N69" s="216">
        <v>45</v>
      </c>
      <c r="O69" s="216">
        <v>0</v>
      </c>
      <c r="P69" s="216">
        <v>0</v>
      </c>
      <c r="Q69" s="216">
        <v>1304</v>
      </c>
      <c r="R69" s="216">
        <v>0</v>
      </c>
      <c r="S69" s="216">
        <v>0</v>
      </c>
      <c r="T69" s="216">
        <v>0</v>
      </c>
      <c r="U69" s="216">
        <v>0</v>
      </c>
      <c r="V69" s="216">
        <v>76</v>
      </c>
      <c r="W69" s="52"/>
      <c r="X69" s="216">
        <v>0</v>
      </c>
      <c r="Y69" s="216">
        <v>19</v>
      </c>
      <c r="Z69" s="216">
        <v>25</v>
      </c>
      <c r="AH69" s="46"/>
      <c r="AI69" s="46"/>
    </row>
    <row r="70" spans="1:35" x14ac:dyDescent="0.25">
      <c r="A70" s="96"/>
      <c r="B70" s="97"/>
      <c r="C70" s="98"/>
      <c r="D70" s="98"/>
      <c r="E70" s="98"/>
      <c r="F70" s="98"/>
      <c r="G70" s="98" t="str">
        <f t="shared" si="5"/>
        <v/>
      </c>
      <c r="H70" s="98" t="str">
        <f t="shared" si="6"/>
        <v/>
      </c>
      <c r="J70" s="95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255"/>
      <c r="X70" s="98"/>
      <c r="Y70" s="98"/>
      <c r="Z70" s="98"/>
      <c r="AH70" s="46"/>
      <c r="AI70" s="46"/>
    </row>
    <row r="71" spans="1:35" x14ac:dyDescent="0.25">
      <c r="A71" s="31">
        <f>'M&amp;R Stations'!A63</f>
        <v>39022</v>
      </c>
      <c r="B71"/>
      <c r="C71" s="70">
        <f t="shared" si="1"/>
        <v>1408</v>
      </c>
      <c r="D71" s="70">
        <f t="shared" si="2"/>
        <v>103</v>
      </c>
      <c r="E71" s="70">
        <f t="shared" si="3"/>
        <v>10</v>
      </c>
      <c r="F71" s="94">
        <f t="shared" si="4"/>
        <v>1521</v>
      </c>
      <c r="G71" s="109">
        <f t="shared" si="5"/>
        <v>1478</v>
      </c>
      <c r="H71" s="109">
        <f t="shared" si="6"/>
        <v>43</v>
      </c>
      <c r="J71" s="216">
        <v>24</v>
      </c>
      <c r="K71" s="216">
        <v>9</v>
      </c>
      <c r="L71" s="216">
        <v>4</v>
      </c>
      <c r="M71" s="216">
        <v>53</v>
      </c>
      <c r="N71" s="216">
        <v>21</v>
      </c>
      <c r="O71" s="216">
        <v>2</v>
      </c>
      <c r="P71" s="216">
        <v>0</v>
      </c>
      <c r="Q71" s="216">
        <v>1295</v>
      </c>
      <c r="R71" s="216">
        <v>0</v>
      </c>
      <c r="S71" s="216">
        <v>0</v>
      </c>
      <c r="T71" s="216">
        <v>0</v>
      </c>
      <c r="U71" s="216">
        <v>10</v>
      </c>
      <c r="V71" s="216">
        <f>17+2+41</f>
        <v>60</v>
      </c>
      <c r="W71" s="52"/>
      <c r="X71" s="216">
        <v>0</v>
      </c>
      <c r="Y71" s="216">
        <v>11</v>
      </c>
      <c r="Z71" s="216">
        <v>32</v>
      </c>
      <c r="AH71" s="46"/>
      <c r="AI71" s="46"/>
    </row>
    <row r="72" spans="1:35" x14ac:dyDescent="0.25">
      <c r="A72" s="31">
        <f>'M&amp;R Stations'!A64</f>
        <v>39023</v>
      </c>
      <c r="B72"/>
      <c r="C72" s="70">
        <f t="shared" si="1"/>
        <v>1330</v>
      </c>
      <c r="D72" s="70">
        <f t="shared" si="2"/>
        <v>187</v>
      </c>
      <c r="E72" s="70">
        <f t="shared" si="3"/>
        <v>0</v>
      </c>
      <c r="F72" s="94">
        <f t="shared" si="4"/>
        <v>1517</v>
      </c>
      <c r="G72" s="109">
        <f t="shared" si="5"/>
        <v>1423</v>
      </c>
      <c r="H72" s="109">
        <f t="shared" si="6"/>
        <v>94</v>
      </c>
      <c r="J72" s="216">
        <v>5</v>
      </c>
      <c r="K72" s="216">
        <v>10</v>
      </c>
      <c r="L72" s="216">
        <v>5</v>
      </c>
      <c r="M72" s="216">
        <v>56</v>
      </c>
      <c r="N72" s="216">
        <v>5</v>
      </c>
      <c r="O72" s="216">
        <v>0</v>
      </c>
      <c r="P72" s="216">
        <v>0</v>
      </c>
      <c r="Q72" s="216">
        <v>1249</v>
      </c>
      <c r="R72" s="216">
        <v>0</v>
      </c>
      <c r="S72" s="216">
        <v>0</v>
      </c>
      <c r="T72" s="216">
        <v>0</v>
      </c>
      <c r="U72" s="216">
        <v>0</v>
      </c>
      <c r="V72" s="216">
        <f>34+10+48+1</f>
        <v>93</v>
      </c>
      <c r="W72" s="52"/>
      <c r="X72" s="216">
        <v>0</v>
      </c>
      <c r="Y72" s="216">
        <v>27</v>
      </c>
      <c r="Z72" s="216">
        <f>44+13+10</f>
        <v>67</v>
      </c>
      <c r="AH72" s="46"/>
      <c r="AI72" s="46"/>
    </row>
    <row r="73" spans="1:35" x14ac:dyDescent="0.25">
      <c r="A73" s="31">
        <f>'M&amp;R Stations'!A65</f>
        <v>39024</v>
      </c>
      <c r="B73"/>
      <c r="C73" s="70">
        <f t="shared" ref="C73:C136" si="7">IF(J73="","",J73+K73+L73+M73+N73+O73+Q73+P73+X73)</f>
        <v>1388</v>
      </c>
      <c r="D73" s="70">
        <f t="shared" ref="D73:D136" si="8">IF(J73="","",S73+V73+Y73+Z73)</f>
        <v>259</v>
      </c>
      <c r="E73" s="70">
        <f t="shared" ref="E73:E136" si="9">IF(J73="","",R73+T73+U73)</f>
        <v>0</v>
      </c>
      <c r="F73" s="94">
        <f t="shared" ref="F73:F136" si="10">IF(J73="","",C73+D73+E73)</f>
        <v>1647</v>
      </c>
      <c r="G73" s="109">
        <f t="shared" ref="G73:G136" si="11">IF(J73="","",SUM(J73:V73))</f>
        <v>1496</v>
      </c>
      <c r="H73" s="109">
        <f t="shared" ref="H73:H136" si="12">IF(J73="","",SUM(X73:Z73))</f>
        <v>151</v>
      </c>
      <c r="J73" s="216">
        <v>4</v>
      </c>
      <c r="K73" s="216">
        <v>17</v>
      </c>
      <c r="L73" s="216">
        <v>3</v>
      </c>
      <c r="M73" s="216">
        <v>52</v>
      </c>
      <c r="N73" s="216">
        <v>0</v>
      </c>
      <c r="O73" s="216">
        <v>25</v>
      </c>
      <c r="P73" s="216">
        <v>0</v>
      </c>
      <c r="Q73" s="216">
        <v>1287</v>
      </c>
      <c r="R73" s="216">
        <v>0</v>
      </c>
      <c r="S73" s="216">
        <v>0</v>
      </c>
      <c r="T73" s="216">
        <v>0</v>
      </c>
      <c r="U73" s="216">
        <v>0</v>
      </c>
      <c r="V73" s="216">
        <f>25+11+55+3+14</f>
        <v>108</v>
      </c>
      <c r="W73" s="52"/>
      <c r="X73" s="216">
        <v>0</v>
      </c>
      <c r="Y73" s="216">
        <v>51</v>
      </c>
      <c r="Z73" s="216">
        <f>39+49+12</f>
        <v>100</v>
      </c>
      <c r="AH73" s="46"/>
      <c r="AI73" s="46"/>
    </row>
    <row r="74" spans="1:35" x14ac:dyDescent="0.25">
      <c r="A74" s="31">
        <f>'M&amp;R Stations'!A66</f>
        <v>39025</v>
      </c>
      <c r="B74"/>
      <c r="C74" s="70">
        <f t="shared" si="7"/>
        <v>1367</v>
      </c>
      <c r="D74" s="70">
        <f t="shared" si="8"/>
        <v>249</v>
      </c>
      <c r="E74" s="70">
        <f t="shared" si="9"/>
        <v>0</v>
      </c>
      <c r="F74" s="94">
        <f t="shared" si="10"/>
        <v>1616</v>
      </c>
      <c r="G74" s="109">
        <f t="shared" si="11"/>
        <v>1475</v>
      </c>
      <c r="H74" s="109">
        <f t="shared" si="12"/>
        <v>141</v>
      </c>
      <c r="J74" s="216">
        <v>0</v>
      </c>
      <c r="K74" s="216">
        <v>7</v>
      </c>
      <c r="L74" s="216">
        <v>3</v>
      </c>
      <c r="M74" s="216">
        <v>54</v>
      </c>
      <c r="N74" s="216">
        <v>14</v>
      </c>
      <c r="O74" s="216">
        <v>0</v>
      </c>
      <c r="P74" s="216">
        <v>0</v>
      </c>
      <c r="Q74" s="216">
        <v>1289</v>
      </c>
      <c r="R74" s="216">
        <v>0</v>
      </c>
      <c r="S74" s="216">
        <v>0</v>
      </c>
      <c r="T74" s="216">
        <v>0</v>
      </c>
      <c r="U74" s="216">
        <v>0</v>
      </c>
      <c r="V74" s="216">
        <f>19+21+56+1+11</f>
        <v>108</v>
      </c>
      <c r="W74" s="52"/>
      <c r="X74" s="216">
        <v>0</v>
      </c>
      <c r="Y74" s="216">
        <v>44</v>
      </c>
      <c r="Z74" s="216">
        <f>27+58+12</f>
        <v>97</v>
      </c>
      <c r="AH74" s="46"/>
      <c r="AI74" s="46"/>
    </row>
    <row r="75" spans="1:35" x14ac:dyDescent="0.25">
      <c r="A75" s="31">
        <f>'M&amp;R Stations'!A67</f>
        <v>39026</v>
      </c>
      <c r="B75"/>
      <c r="C75" s="70">
        <f t="shared" si="7"/>
        <v>1412</v>
      </c>
      <c r="D75" s="70">
        <f t="shared" si="8"/>
        <v>237</v>
      </c>
      <c r="E75" s="70">
        <f t="shared" si="9"/>
        <v>0</v>
      </c>
      <c r="F75" s="94">
        <f t="shared" si="10"/>
        <v>1649</v>
      </c>
      <c r="G75" s="109">
        <f t="shared" si="11"/>
        <v>1512</v>
      </c>
      <c r="H75" s="109">
        <f t="shared" si="12"/>
        <v>137</v>
      </c>
      <c r="J75" s="216">
        <v>0</v>
      </c>
      <c r="K75" s="216">
        <v>11</v>
      </c>
      <c r="L75" s="216">
        <v>3</v>
      </c>
      <c r="M75" s="216">
        <v>53</v>
      </c>
      <c r="N75" s="216">
        <v>0</v>
      </c>
      <c r="O75" s="216">
        <v>47</v>
      </c>
      <c r="P75" s="216">
        <v>0</v>
      </c>
      <c r="Q75" s="216">
        <v>1298</v>
      </c>
      <c r="R75" s="216">
        <v>0</v>
      </c>
      <c r="S75" s="216">
        <v>0</v>
      </c>
      <c r="T75" s="216">
        <v>0</v>
      </c>
      <c r="U75" s="216">
        <v>0</v>
      </c>
      <c r="V75" s="216">
        <f>19+20+55+6</f>
        <v>100</v>
      </c>
      <c r="W75" s="52"/>
      <c r="X75" s="216">
        <v>0</v>
      </c>
      <c r="Y75" s="216">
        <v>42</v>
      </c>
      <c r="Z75" s="216">
        <f>31+53+11</f>
        <v>95</v>
      </c>
      <c r="AH75" s="46"/>
      <c r="AI75" s="46"/>
    </row>
    <row r="76" spans="1:35" x14ac:dyDescent="0.25">
      <c r="A76" s="31">
        <f>'M&amp;R Stations'!A68</f>
        <v>39027</v>
      </c>
      <c r="B76"/>
      <c r="C76" s="70">
        <f t="shared" si="7"/>
        <v>1374</v>
      </c>
      <c r="D76" s="70">
        <f t="shared" si="8"/>
        <v>197</v>
      </c>
      <c r="E76" s="70">
        <f t="shared" si="9"/>
        <v>0</v>
      </c>
      <c r="F76" s="94">
        <f t="shared" si="10"/>
        <v>1571</v>
      </c>
      <c r="G76" s="109">
        <f t="shared" si="11"/>
        <v>1453</v>
      </c>
      <c r="H76" s="109">
        <f t="shared" si="12"/>
        <v>118</v>
      </c>
      <c r="J76" s="216">
        <v>0</v>
      </c>
      <c r="K76" s="216">
        <v>12</v>
      </c>
      <c r="L76" s="216">
        <v>4</v>
      </c>
      <c r="M76" s="216">
        <v>52</v>
      </c>
      <c r="N76" s="216">
        <v>0</v>
      </c>
      <c r="O76" s="216">
        <v>17</v>
      </c>
      <c r="P76" s="216">
        <v>0</v>
      </c>
      <c r="Q76" s="216">
        <v>1289</v>
      </c>
      <c r="R76" s="216">
        <v>0</v>
      </c>
      <c r="S76" s="216">
        <v>0</v>
      </c>
      <c r="T76" s="216">
        <v>0</v>
      </c>
      <c r="U76" s="216">
        <v>0</v>
      </c>
      <c r="V76" s="216">
        <f>20+16+41+2</f>
        <v>79</v>
      </c>
      <c r="W76" s="52"/>
      <c r="X76" s="216">
        <v>0</v>
      </c>
      <c r="Y76" s="216">
        <v>37</v>
      </c>
      <c r="Z76" s="216">
        <f>35+36+10</f>
        <v>81</v>
      </c>
      <c r="AH76" s="46"/>
      <c r="AI76" s="46"/>
    </row>
    <row r="77" spans="1:35" x14ac:dyDescent="0.25">
      <c r="A77" s="31">
        <f>'M&amp;R Stations'!A69</f>
        <v>39028</v>
      </c>
      <c r="B77"/>
      <c r="C77" s="70">
        <f t="shared" si="7"/>
        <v>1422</v>
      </c>
      <c r="D77" s="70">
        <f t="shared" si="8"/>
        <v>119</v>
      </c>
      <c r="E77" s="70">
        <f t="shared" si="9"/>
        <v>0</v>
      </c>
      <c r="F77" s="94">
        <f t="shared" si="10"/>
        <v>1541</v>
      </c>
      <c r="G77" s="109">
        <f t="shared" si="11"/>
        <v>1479</v>
      </c>
      <c r="H77" s="109">
        <f t="shared" si="12"/>
        <v>62</v>
      </c>
      <c r="J77" s="216">
        <v>0</v>
      </c>
      <c r="K77" s="216">
        <v>10</v>
      </c>
      <c r="L77" s="216">
        <v>5</v>
      </c>
      <c r="M77" s="216">
        <v>57</v>
      </c>
      <c r="N77" s="216">
        <v>43</v>
      </c>
      <c r="O77" s="216">
        <v>5</v>
      </c>
      <c r="P77" s="216">
        <v>0</v>
      </c>
      <c r="Q77" s="216">
        <v>1302</v>
      </c>
      <c r="R77" s="216">
        <v>0</v>
      </c>
      <c r="S77" s="216">
        <v>0</v>
      </c>
      <c r="T77" s="216">
        <v>0</v>
      </c>
      <c r="U77" s="216">
        <v>0</v>
      </c>
      <c r="V77" s="216">
        <f>13+13+31</f>
        <v>57</v>
      </c>
      <c r="W77" s="52"/>
      <c r="X77" s="216">
        <v>0</v>
      </c>
      <c r="Y77" s="216">
        <v>2</v>
      </c>
      <c r="Z77" s="216">
        <f>37+15+8</f>
        <v>60</v>
      </c>
      <c r="AH77" s="46"/>
      <c r="AI77" s="46"/>
    </row>
    <row r="78" spans="1:35" x14ac:dyDescent="0.25">
      <c r="A78" s="31">
        <f>'M&amp;R Stations'!A70</f>
        <v>39029</v>
      </c>
      <c r="B78"/>
      <c r="C78" s="70">
        <f t="shared" si="7"/>
        <v>1377</v>
      </c>
      <c r="D78" s="70">
        <f t="shared" si="8"/>
        <v>106</v>
      </c>
      <c r="E78" s="70">
        <f t="shared" si="9"/>
        <v>0</v>
      </c>
      <c r="F78" s="94">
        <f t="shared" si="10"/>
        <v>1483</v>
      </c>
      <c r="G78" s="109">
        <f t="shared" si="11"/>
        <v>1429</v>
      </c>
      <c r="H78" s="109">
        <f t="shared" si="12"/>
        <v>54</v>
      </c>
      <c r="J78" s="216">
        <v>0</v>
      </c>
      <c r="K78" s="216">
        <v>10</v>
      </c>
      <c r="L78" s="216">
        <v>6</v>
      </c>
      <c r="M78" s="216">
        <v>50</v>
      </c>
      <c r="N78" s="216">
        <v>0</v>
      </c>
      <c r="O78" s="216">
        <v>0</v>
      </c>
      <c r="P78" s="216">
        <v>0</v>
      </c>
      <c r="Q78" s="216">
        <v>1311</v>
      </c>
      <c r="R78" s="216">
        <v>0</v>
      </c>
      <c r="S78" s="216">
        <v>0</v>
      </c>
      <c r="T78" s="216">
        <v>0</v>
      </c>
      <c r="U78" s="216">
        <v>0</v>
      </c>
      <c r="V78" s="216">
        <f>14+2+36</f>
        <v>52</v>
      </c>
      <c r="W78" s="52"/>
      <c r="X78" s="216">
        <v>0</v>
      </c>
      <c r="Y78" s="216">
        <v>1</v>
      </c>
      <c r="Z78" s="216">
        <f>29+17+7</f>
        <v>53</v>
      </c>
      <c r="AH78" s="46"/>
      <c r="AI78" s="46"/>
    </row>
    <row r="79" spans="1:35" x14ac:dyDescent="0.25">
      <c r="A79" s="31">
        <f>'M&amp;R Stations'!A71</f>
        <v>39030</v>
      </c>
      <c r="B79"/>
      <c r="C79" s="70">
        <f t="shared" si="7"/>
        <v>1362</v>
      </c>
      <c r="D79" s="70">
        <f t="shared" si="8"/>
        <v>95</v>
      </c>
      <c r="E79" s="70">
        <f t="shared" si="9"/>
        <v>0</v>
      </c>
      <c r="F79" s="94">
        <f t="shared" si="10"/>
        <v>1457</v>
      </c>
      <c r="G79" s="109">
        <f t="shared" si="11"/>
        <v>1412</v>
      </c>
      <c r="H79" s="109">
        <f t="shared" si="12"/>
        <v>45</v>
      </c>
      <c r="J79" s="216">
        <v>0</v>
      </c>
      <c r="K79" s="216">
        <v>11</v>
      </c>
      <c r="L79" s="216">
        <v>2</v>
      </c>
      <c r="M79" s="216">
        <v>54</v>
      </c>
      <c r="N79" s="216">
        <v>19</v>
      </c>
      <c r="O79" s="216">
        <v>0</v>
      </c>
      <c r="P79" s="216">
        <v>0</v>
      </c>
      <c r="Q79" s="216">
        <v>1276</v>
      </c>
      <c r="R79" s="216">
        <v>0</v>
      </c>
      <c r="S79" s="216">
        <v>0</v>
      </c>
      <c r="T79" s="216">
        <v>0</v>
      </c>
      <c r="U79" s="216">
        <v>0</v>
      </c>
      <c r="V79" s="216">
        <f>15+35</f>
        <v>50</v>
      </c>
      <c r="W79" s="52"/>
      <c r="X79" s="216">
        <v>0</v>
      </c>
      <c r="Y79" s="216">
        <v>1</v>
      </c>
      <c r="Z79" s="216">
        <f>22+16+6</f>
        <v>44</v>
      </c>
      <c r="AH79" s="46"/>
      <c r="AI79" s="46"/>
    </row>
    <row r="80" spans="1:35" x14ac:dyDescent="0.25">
      <c r="A80" s="31">
        <f>'M&amp;R Stations'!A72</f>
        <v>39031</v>
      </c>
      <c r="B80"/>
      <c r="C80" s="70">
        <f t="shared" si="7"/>
        <v>2413</v>
      </c>
      <c r="D80" s="70">
        <f t="shared" si="8"/>
        <v>103</v>
      </c>
      <c r="E80" s="70">
        <f t="shared" si="9"/>
        <v>0</v>
      </c>
      <c r="F80" s="94">
        <f t="shared" si="10"/>
        <v>2516</v>
      </c>
      <c r="G80" s="109">
        <f t="shared" si="11"/>
        <v>1401</v>
      </c>
      <c r="H80" s="109">
        <f t="shared" si="12"/>
        <v>1115</v>
      </c>
      <c r="J80" s="216">
        <v>0</v>
      </c>
      <c r="K80" s="216">
        <v>11</v>
      </c>
      <c r="L80" s="216">
        <v>4</v>
      </c>
      <c r="M80" s="216">
        <v>50</v>
      </c>
      <c r="N80" s="216">
        <v>21</v>
      </c>
      <c r="O80" s="216">
        <v>0</v>
      </c>
      <c r="P80" s="216">
        <v>0</v>
      </c>
      <c r="Q80" s="216">
        <v>1271</v>
      </c>
      <c r="R80" s="216">
        <v>0</v>
      </c>
      <c r="S80" s="216">
        <v>0</v>
      </c>
      <c r="T80" s="216">
        <v>0</v>
      </c>
      <c r="U80" s="216">
        <v>0</v>
      </c>
      <c r="V80" s="216">
        <f>11+33</f>
        <v>44</v>
      </c>
      <c r="W80" s="52"/>
      <c r="X80" s="216">
        <v>1056</v>
      </c>
      <c r="Y80" s="216">
        <v>2</v>
      </c>
      <c r="Z80" s="216">
        <f>25+26+6</f>
        <v>57</v>
      </c>
      <c r="AH80" s="46"/>
      <c r="AI80" s="46"/>
    </row>
    <row r="81" spans="1:35" x14ac:dyDescent="0.25">
      <c r="A81" s="31">
        <f>'M&amp;R Stations'!A73</f>
        <v>39032</v>
      </c>
      <c r="B81"/>
      <c r="C81" s="70">
        <f t="shared" si="7"/>
        <v>1821</v>
      </c>
      <c r="D81" s="70">
        <f t="shared" si="8"/>
        <v>83</v>
      </c>
      <c r="E81" s="70">
        <f t="shared" si="9"/>
        <v>0</v>
      </c>
      <c r="F81" s="94">
        <f t="shared" si="10"/>
        <v>1904</v>
      </c>
      <c r="G81" s="109">
        <f t="shared" si="11"/>
        <v>1412</v>
      </c>
      <c r="H81" s="109">
        <f t="shared" si="12"/>
        <v>492</v>
      </c>
      <c r="J81" s="216">
        <v>0</v>
      </c>
      <c r="K81" s="216">
        <v>10</v>
      </c>
      <c r="L81" s="216">
        <v>3</v>
      </c>
      <c r="M81" s="216">
        <v>47</v>
      </c>
      <c r="N81" s="216">
        <v>22</v>
      </c>
      <c r="O81" s="216">
        <v>0</v>
      </c>
      <c r="P81" s="216">
        <v>0</v>
      </c>
      <c r="Q81" s="216">
        <v>1291</v>
      </c>
      <c r="R81" s="216">
        <v>0</v>
      </c>
      <c r="S81" s="216">
        <v>0</v>
      </c>
      <c r="T81" s="216">
        <v>0</v>
      </c>
      <c r="U81" s="216">
        <v>0</v>
      </c>
      <c r="V81" s="216">
        <f>10+29</f>
        <v>39</v>
      </c>
      <c r="W81" s="52"/>
      <c r="X81" s="216">
        <v>448</v>
      </c>
      <c r="Y81" s="216">
        <v>1</v>
      </c>
      <c r="Z81" s="216">
        <f>27+12+4</f>
        <v>43</v>
      </c>
      <c r="AH81" s="46"/>
      <c r="AI81" s="46"/>
    </row>
    <row r="82" spans="1:35" x14ac:dyDescent="0.25">
      <c r="A82" s="31">
        <f>'M&amp;R Stations'!A74</f>
        <v>39033</v>
      </c>
      <c r="B82"/>
      <c r="C82" s="70">
        <f t="shared" si="7"/>
        <v>1789</v>
      </c>
      <c r="D82" s="70">
        <f t="shared" si="8"/>
        <v>106</v>
      </c>
      <c r="E82" s="70">
        <f t="shared" si="9"/>
        <v>0</v>
      </c>
      <c r="F82" s="94">
        <f t="shared" si="10"/>
        <v>1895</v>
      </c>
      <c r="G82" s="109">
        <f t="shared" si="11"/>
        <v>1411</v>
      </c>
      <c r="H82" s="109">
        <f t="shared" si="12"/>
        <v>484</v>
      </c>
      <c r="J82" s="216">
        <v>0</v>
      </c>
      <c r="K82" s="216">
        <v>10</v>
      </c>
      <c r="L82" s="216">
        <v>3</v>
      </c>
      <c r="M82" s="216">
        <v>57</v>
      </c>
      <c r="N82" s="216">
        <v>19</v>
      </c>
      <c r="O82" s="216">
        <v>0</v>
      </c>
      <c r="P82" s="216">
        <v>0</v>
      </c>
      <c r="Q82" s="216">
        <v>1261</v>
      </c>
      <c r="R82" s="216">
        <v>0</v>
      </c>
      <c r="S82" s="216">
        <v>0</v>
      </c>
      <c r="T82" s="216">
        <v>0</v>
      </c>
      <c r="U82" s="216">
        <v>0</v>
      </c>
      <c r="V82" s="216">
        <f>32+29</f>
        <v>61</v>
      </c>
      <c r="W82" s="52"/>
      <c r="X82" s="216">
        <v>439</v>
      </c>
      <c r="Y82" s="216">
        <v>2</v>
      </c>
      <c r="Z82" s="216">
        <f>29+6+8</f>
        <v>43</v>
      </c>
      <c r="AH82" s="46"/>
      <c r="AI82" s="46"/>
    </row>
    <row r="83" spans="1:35" x14ac:dyDescent="0.25">
      <c r="A83" s="31">
        <f>'M&amp;R Stations'!A75</f>
        <v>39034</v>
      </c>
      <c r="B83"/>
      <c r="C83" s="70">
        <f t="shared" si="7"/>
        <v>1856</v>
      </c>
      <c r="D83" s="70">
        <f t="shared" si="8"/>
        <v>105</v>
      </c>
      <c r="E83" s="70">
        <f t="shared" si="9"/>
        <v>0</v>
      </c>
      <c r="F83" s="94">
        <f t="shared" si="10"/>
        <v>1961</v>
      </c>
      <c r="G83" s="109">
        <f t="shared" si="11"/>
        <v>1452</v>
      </c>
      <c r="H83" s="109">
        <f t="shared" si="12"/>
        <v>509</v>
      </c>
      <c r="J83" s="216">
        <v>0</v>
      </c>
      <c r="K83" s="216">
        <v>11</v>
      </c>
      <c r="L83" s="216">
        <v>3</v>
      </c>
      <c r="M83" s="216">
        <v>51</v>
      </c>
      <c r="N83" s="216">
        <v>23</v>
      </c>
      <c r="O83" s="216">
        <v>0</v>
      </c>
      <c r="P83" s="216">
        <v>0</v>
      </c>
      <c r="Q83" s="216">
        <v>1307</v>
      </c>
      <c r="R83" s="216">
        <v>0</v>
      </c>
      <c r="S83" s="216">
        <v>0</v>
      </c>
      <c r="T83" s="216">
        <v>0</v>
      </c>
      <c r="U83" s="216">
        <v>0</v>
      </c>
      <c r="V83" s="216">
        <f>20+37</f>
        <v>57</v>
      </c>
      <c r="W83" s="52"/>
      <c r="X83" s="216">
        <v>461</v>
      </c>
      <c r="Y83" s="216">
        <v>1</v>
      </c>
      <c r="Z83" s="216">
        <f>18+21+8</f>
        <v>47</v>
      </c>
      <c r="AH83" s="46"/>
      <c r="AI83" s="46"/>
    </row>
    <row r="84" spans="1:35" x14ac:dyDescent="0.25">
      <c r="A84" s="31">
        <f>'M&amp;R Stations'!A76</f>
        <v>39035</v>
      </c>
      <c r="B84"/>
      <c r="C84" s="70">
        <f t="shared" si="7"/>
        <v>1757</v>
      </c>
      <c r="D84" s="70">
        <f t="shared" si="8"/>
        <v>118</v>
      </c>
      <c r="E84" s="70">
        <f t="shared" si="9"/>
        <v>12</v>
      </c>
      <c r="F84" s="94">
        <f t="shared" si="10"/>
        <v>1887</v>
      </c>
      <c r="G84" s="109">
        <f t="shared" si="11"/>
        <v>1385</v>
      </c>
      <c r="H84" s="109">
        <f t="shared" si="12"/>
        <v>502</v>
      </c>
      <c r="J84" s="216">
        <v>0</v>
      </c>
      <c r="K84" s="216">
        <v>9</v>
      </c>
      <c r="L84" s="216">
        <v>3</v>
      </c>
      <c r="M84" s="216">
        <v>52</v>
      </c>
      <c r="N84" s="216">
        <v>19</v>
      </c>
      <c r="O84" s="216">
        <v>0</v>
      </c>
      <c r="P84" s="216">
        <v>0</v>
      </c>
      <c r="Q84" s="216">
        <v>1235</v>
      </c>
      <c r="R84" s="216">
        <v>0</v>
      </c>
      <c r="S84" s="216">
        <v>0</v>
      </c>
      <c r="T84" s="216">
        <v>0</v>
      </c>
      <c r="U84" s="216">
        <v>12</v>
      </c>
      <c r="V84" s="216">
        <f>19+36</f>
        <v>55</v>
      </c>
      <c r="W84" s="52"/>
      <c r="X84" s="216">
        <v>439</v>
      </c>
      <c r="Y84" s="216">
        <v>17</v>
      </c>
      <c r="Z84" s="216">
        <f>24+15+7</f>
        <v>46</v>
      </c>
      <c r="AH84" s="46"/>
      <c r="AI84" s="46"/>
    </row>
    <row r="85" spans="1:35" x14ac:dyDescent="0.25">
      <c r="A85" s="31">
        <f>'M&amp;R Stations'!A77</f>
        <v>39036</v>
      </c>
      <c r="B85"/>
      <c r="C85" s="70">
        <f t="shared" si="7"/>
        <v>1825</v>
      </c>
      <c r="D85" s="70">
        <f t="shared" si="8"/>
        <v>103</v>
      </c>
      <c r="E85" s="70">
        <f t="shared" si="9"/>
        <v>0</v>
      </c>
      <c r="F85" s="94">
        <f t="shared" si="10"/>
        <v>1928</v>
      </c>
      <c r="G85" s="109">
        <f t="shared" si="11"/>
        <v>1428</v>
      </c>
      <c r="H85" s="109">
        <f t="shared" si="12"/>
        <v>500</v>
      </c>
      <c r="J85" s="216">
        <v>0</v>
      </c>
      <c r="K85" s="216">
        <v>10</v>
      </c>
      <c r="L85" s="216">
        <v>3</v>
      </c>
      <c r="M85" s="216">
        <v>51</v>
      </c>
      <c r="N85" s="216">
        <v>14</v>
      </c>
      <c r="O85" s="216">
        <v>0</v>
      </c>
      <c r="P85" s="216">
        <v>0</v>
      </c>
      <c r="Q85" s="216">
        <v>1303</v>
      </c>
      <c r="R85" s="216">
        <v>0</v>
      </c>
      <c r="S85" s="216">
        <v>0</v>
      </c>
      <c r="T85" s="216">
        <v>0</v>
      </c>
      <c r="U85" s="216">
        <v>0</v>
      </c>
      <c r="V85" s="216">
        <f>31+16</f>
        <v>47</v>
      </c>
      <c r="W85" s="52"/>
      <c r="X85" s="216">
        <v>444</v>
      </c>
      <c r="Y85" s="216">
        <v>17</v>
      </c>
      <c r="Z85" s="216">
        <f>21+12+6</f>
        <v>39</v>
      </c>
      <c r="AH85" s="46"/>
      <c r="AI85" s="46"/>
    </row>
    <row r="86" spans="1:35" x14ac:dyDescent="0.25">
      <c r="A86" s="31">
        <f>'M&amp;R Stations'!A78</f>
        <v>39037</v>
      </c>
      <c r="B86"/>
      <c r="C86" s="70">
        <f t="shared" si="7"/>
        <v>1850</v>
      </c>
      <c r="D86" s="70">
        <f t="shared" si="8"/>
        <v>98</v>
      </c>
      <c r="E86" s="70">
        <f t="shared" si="9"/>
        <v>9</v>
      </c>
      <c r="F86" s="94">
        <f t="shared" si="10"/>
        <v>1957</v>
      </c>
      <c r="G86" s="109">
        <f t="shared" si="11"/>
        <v>1447</v>
      </c>
      <c r="H86" s="109">
        <f t="shared" si="12"/>
        <v>510</v>
      </c>
      <c r="J86" s="216">
        <v>0</v>
      </c>
      <c r="K86" s="216">
        <v>10</v>
      </c>
      <c r="L86" s="216">
        <v>5</v>
      </c>
      <c r="M86" s="216">
        <v>56</v>
      </c>
      <c r="N86" s="216">
        <v>29</v>
      </c>
      <c r="O86" s="216">
        <v>0</v>
      </c>
      <c r="P86" s="216">
        <v>0</v>
      </c>
      <c r="Q86" s="216">
        <v>1293</v>
      </c>
      <c r="R86" s="216">
        <v>0</v>
      </c>
      <c r="S86" s="216">
        <v>0</v>
      </c>
      <c r="T86" s="216">
        <v>0</v>
      </c>
      <c r="U86" s="216">
        <v>9</v>
      </c>
      <c r="V86" s="216">
        <v>45</v>
      </c>
      <c r="W86" s="52"/>
      <c r="X86" s="216">
        <v>457</v>
      </c>
      <c r="Y86" s="216">
        <v>14</v>
      </c>
      <c r="Z86" s="216">
        <v>39</v>
      </c>
      <c r="AH86" s="46"/>
      <c r="AI86" s="46"/>
    </row>
    <row r="87" spans="1:35" x14ac:dyDescent="0.25">
      <c r="A87" s="31">
        <f>'M&amp;R Stations'!A79</f>
        <v>39038</v>
      </c>
      <c r="B87"/>
      <c r="C87" s="70">
        <f t="shared" si="7"/>
        <v>1806</v>
      </c>
      <c r="D87" s="70">
        <f t="shared" si="8"/>
        <v>155</v>
      </c>
      <c r="E87" s="70">
        <f t="shared" si="9"/>
        <v>0</v>
      </c>
      <c r="F87" s="94">
        <f t="shared" si="10"/>
        <v>1961</v>
      </c>
      <c r="G87" s="109">
        <f t="shared" si="11"/>
        <v>1426</v>
      </c>
      <c r="H87" s="109">
        <f t="shared" si="12"/>
        <v>535</v>
      </c>
      <c r="J87" s="216">
        <v>0</v>
      </c>
      <c r="K87" s="216">
        <v>4</v>
      </c>
      <c r="L87" s="216">
        <v>3</v>
      </c>
      <c r="M87" s="216">
        <v>53</v>
      </c>
      <c r="N87" s="216">
        <v>9</v>
      </c>
      <c r="O87" s="216">
        <v>0</v>
      </c>
      <c r="P87" s="216">
        <v>0</v>
      </c>
      <c r="Q87" s="216">
        <v>1286</v>
      </c>
      <c r="R87" s="216">
        <v>0</v>
      </c>
      <c r="S87" s="216">
        <v>0</v>
      </c>
      <c r="T87" s="216">
        <v>0</v>
      </c>
      <c r="U87" s="216">
        <v>0</v>
      </c>
      <c r="V87" s="216">
        <f>21+50</f>
        <v>71</v>
      </c>
      <c r="W87" s="52"/>
      <c r="X87" s="216">
        <v>451</v>
      </c>
      <c r="Y87" s="216">
        <v>26</v>
      </c>
      <c r="Z87" s="216">
        <f>21+28+9</f>
        <v>58</v>
      </c>
      <c r="AH87" s="46"/>
      <c r="AI87" s="46"/>
    </row>
    <row r="88" spans="1:35" x14ac:dyDescent="0.25">
      <c r="A88" s="31">
        <f>'M&amp;R Stations'!A80</f>
        <v>39039</v>
      </c>
      <c r="B88"/>
      <c r="C88" s="70">
        <f t="shared" si="7"/>
        <v>1827</v>
      </c>
      <c r="D88" s="70">
        <f t="shared" si="8"/>
        <v>191</v>
      </c>
      <c r="E88" s="70">
        <f t="shared" si="9"/>
        <v>0</v>
      </c>
      <c r="F88" s="94">
        <f t="shared" si="10"/>
        <v>2018</v>
      </c>
      <c r="G88" s="109">
        <f t="shared" si="11"/>
        <v>1469</v>
      </c>
      <c r="H88" s="109">
        <f t="shared" si="12"/>
        <v>549</v>
      </c>
      <c r="J88" s="216">
        <v>0</v>
      </c>
      <c r="K88" s="216">
        <v>16</v>
      </c>
      <c r="L88" s="216">
        <v>3</v>
      </c>
      <c r="M88" s="216">
        <v>59</v>
      </c>
      <c r="N88" s="216">
        <v>10</v>
      </c>
      <c r="O88" s="216">
        <v>0</v>
      </c>
      <c r="P88" s="216">
        <v>0</v>
      </c>
      <c r="Q88" s="216">
        <v>1287</v>
      </c>
      <c r="R88" s="216">
        <v>0</v>
      </c>
      <c r="S88" s="216">
        <v>0</v>
      </c>
      <c r="T88" s="216">
        <v>0</v>
      </c>
      <c r="U88" s="216">
        <v>0</v>
      </c>
      <c r="V88" s="216">
        <f>34+59+1</f>
        <v>94</v>
      </c>
      <c r="W88" s="52"/>
      <c r="X88" s="216">
        <v>452</v>
      </c>
      <c r="Y88" s="216">
        <v>26</v>
      </c>
      <c r="Z88" s="216">
        <f>33+28+10</f>
        <v>71</v>
      </c>
      <c r="AH88" s="46"/>
      <c r="AI88" s="46"/>
    </row>
    <row r="89" spans="1:35" x14ac:dyDescent="0.25">
      <c r="A89" s="31">
        <f>'M&amp;R Stations'!A81</f>
        <v>39040</v>
      </c>
      <c r="B89"/>
      <c r="C89" s="70">
        <f t="shared" si="7"/>
        <v>1616</v>
      </c>
      <c r="D89" s="70">
        <f t="shared" si="8"/>
        <v>226</v>
      </c>
      <c r="E89" s="70">
        <f t="shared" si="9"/>
        <v>0</v>
      </c>
      <c r="F89" s="94">
        <f t="shared" si="10"/>
        <v>1842</v>
      </c>
      <c r="G89" s="109">
        <f t="shared" si="11"/>
        <v>1272</v>
      </c>
      <c r="H89" s="109">
        <f t="shared" si="12"/>
        <v>570</v>
      </c>
      <c r="J89" s="216">
        <v>0</v>
      </c>
      <c r="K89" s="216">
        <v>9</v>
      </c>
      <c r="L89" s="216">
        <v>3</v>
      </c>
      <c r="M89" s="216">
        <v>48</v>
      </c>
      <c r="N89" s="216">
        <v>18</v>
      </c>
      <c r="O89" s="216">
        <v>0</v>
      </c>
      <c r="P89" s="216">
        <v>0</v>
      </c>
      <c r="Q89" s="216">
        <v>1090</v>
      </c>
      <c r="R89" s="216">
        <v>0</v>
      </c>
      <c r="S89" s="216">
        <v>0</v>
      </c>
      <c r="T89" s="216">
        <v>0</v>
      </c>
      <c r="U89" s="216">
        <v>0</v>
      </c>
      <c r="V89" s="216">
        <f>35+65+4</f>
        <v>104</v>
      </c>
      <c r="W89" s="52"/>
      <c r="X89" s="216">
        <v>448</v>
      </c>
      <c r="Y89" s="216">
        <v>44</v>
      </c>
      <c r="Z89" s="216">
        <f>25+43+10</f>
        <v>78</v>
      </c>
      <c r="AH89" s="46"/>
      <c r="AI89" s="46"/>
    </row>
    <row r="90" spans="1:35" x14ac:dyDescent="0.25">
      <c r="A90" s="31">
        <f>'M&amp;R Stations'!A82</f>
        <v>39041</v>
      </c>
      <c r="B90"/>
      <c r="C90" s="70">
        <f t="shared" si="7"/>
        <v>2064</v>
      </c>
      <c r="D90" s="70">
        <f t="shared" si="8"/>
        <v>251</v>
      </c>
      <c r="E90" s="70">
        <f t="shared" si="9"/>
        <v>0</v>
      </c>
      <c r="F90" s="94">
        <f t="shared" si="10"/>
        <v>2315</v>
      </c>
      <c r="G90" s="109">
        <f t="shared" si="11"/>
        <v>1741</v>
      </c>
      <c r="H90" s="109">
        <f t="shared" si="12"/>
        <v>574</v>
      </c>
      <c r="J90" s="216">
        <v>0</v>
      </c>
      <c r="K90" s="216">
        <v>9</v>
      </c>
      <c r="L90" s="216">
        <v>2</v>
      </c>
      <c r="M90" s="216">
        <v>55</v>
      </c>
      <c r="N90" s="216">
        <v>52</v>
      </c>
      <c r="O90" s="216">
        <v>0</v>
      </c>
      <c r="P90" s="216">
        <v>0</v>
      </c>
      <c r="Q90" s="216">
        <v>1501</v>
      </c>
      <c r="R90" s="216">
        <v>0</v>
      </c>
      <c r="S90" s="216">
        <v>0</v>
      </c>
      <c r="T90" s="216">
        <v>0</v>
      </c>
      <c r="U90" s="216">
        <v>0</v>
      </c>
      <c r="V90" s="216">
        <f>44+65+3+10</f>
        <v>122</v>
      </c>
      <c r="W90" s="52"/>
      <c r="X90" s="216">
        <v>445</v>
      </c>
      <c r="Y90" s="216">
        <v>32</v>
      </c>
      <c r="Z90" s="216">
        <f>34+51+12</f>
        <v>97</v>
      </c>
      <c r="AH90" s="46"/>
      <c r="AI90" s="46"/>
    </row>
    <row r="91" spans="1:35" x14ac:dyDescent="0.25">
      <c r="A91" s="31">
        <f>'M&amp;R Stations'!A83</f>
        <v>39042</v>
      </c>
      <c r="B91"/>
      <c r="C91" s="70">
        <f t="shared" si="7"/>
        <v>1697</v>
      </c>
      <c r="D91" s="70">
        <f t="shared" si="8"/>
        <v>270</v>
      </c>
      <c r="E91" s="70">
        <f t="shared" si="9"/>
        <v>0</v>
      </c>
      <c r="F91" s="94">
        <f t="shared" si="10"/>
        <v>1967</v>
      </c>
      <c r="G91" s="109">
        <f t="shared" si="11"/>
        <v>1382</v>
      </c>
      <c r="H91" s="109">
        <f t="shared" si="12"/>
        <v>585</v>
      </c>
      <c r="J91" s="216">
        <v>0</v>
      </c>
      <c r="K91" s="216">
        <v>9</v>
      </c>
      <c r="L91" s="216">
        <v>2</v>
      </c>
      <c r="M91" s="216">
        <v>52</v>
      </c>
      <c r="N91" s="216">
        <v>22</v>
      </c>
      <c r="O91" s="216">
        <v>0</v>
      </c>
      <c r="P91" s="216">
        <v>16</v>
      </c>
      <c r="Q91" s="216">
        <v>1164</v>
      </c>
      <c r="R91" s="216">
        <v>0</v>
      </c>
      <c r="S91" s="216">
        <v>0</v>
      </c>
      <c r="T91" s="216">
        <v>0</v>
      </c>
      <c r="U91" s="216">
        <v>0</v>
      </c>
      <c r="V91" s="216">
        <f>41+62+14</f>
        <v>117</v>
      </c>
      <c r="W91" s="52"/>
      <c r="X91" s="216">
        <v>432</v>
      </c>
      <c r="Y91" s="216">
        <v>57</v>
      </c>
      <c r="Z91" s="216">
        <f>29+55+12</f>
        <v>96</v>
      </c>
      <c r="AH91" s="46"/>
      <c r="AI91" s="46"/>
    </row>
    <row r="92" spans="1:35" x14ac:dyDescent="0.25">
      <c r="A92" s="31">
        <f>'M&amp;R Stations'!A84</f>
        <v>39043</v>
      </c>
      <c r="B92"/>
      <c r="C92" s="70">
        <f t="shared" si="7"/>
        <v>1861</v>
      </c>
      <c r="D92" s="70">
        <f t="shared" si="8"/>
        <v>280</v>
      </c>
      <c r="E92" s="70">
        <f t="shared" si="9"/>
        <v>0</v>
      </c>
      <c r="F92" s="94">
        <f t="shared" si="10"/>
        <v>2141</v>
      </c>
      <c r="G92" s="109">
        <f t="shared" si="11"/>
        <v>1540</v>
      </c>
      <c r="H92" s="109">
        <f t="shared" si="12"/>
        <v>601</v>
      </c>
      <c r="J92" s="216">
        <v>0</v>
      </c>
      <c r="K92" s="216">
        <v>9</v>
      </c>
      <c r="L92" s="216">
        <v>4</v>
      </c>
      <c r="M92" s="216">
        <v>55</v>
      </c>
      <c r="N92" s="216">
        <v>23</v>
      </c>
      <c r="O92" s="216">
        <v>0</v>
      </c>
      <c r="P92" s="216">
        <v>0</v>
      </c>
      <c r="Q92" s="216">
        <v>1319</v>
      </c>
      <c r="R92" s="216">
        <v>0</v>
      </c>
      <c r="S92" s="216">
        <v>0</v>
      </c>
      <c r="T92" s="216">
        <v>0</v>
      </c>
      <c r="U92" s="216">
        <v>0</v>
      </c>
      <c r="V92" s="216">
        <f>32+18+65+15</f>
        <v>130</v>
      </c>
      <c r="W92" s="52"/>
      <c r="X92" s="216">
        <v>451</v>
      </c>
      <c r="Y92" s="216">
        <v>50</v>
      </c>
      <c r="Z92" s="216">
        <f>38+48+14</f>
        <v>100</v>
      </c>
      <c r="AH92" s="46"/>
      <c r="AI92" s="46"/>
    </row>
    <row r="93" spans="1:35" x14ac:dyDescent="0.25">
      <c r="A93" s="31">
        <f>'M&amp;R Stations'!A85</f>
        <v>39044</v>
      </c>
      <c r="B93"/>
      <c r="C93" s="70">
        <f t="shared" si="7"/>
        <v>1826</v>
      </c>
      <c r="D93" s="70">
        <f t="shared" si="8"/>
        <v>236</v>
      </c>
      <c r="E93" s="70">
        <f t="shared" si="9"/>
        <v>0</v>
      </c>
      <c r="F93" s="94">
        <f t="shared" si="10"/>
        <v>2062</v>
      </c>
      <c r="G93" s="109">
        <f t="shared" si="11"/>
        <v>1483</v>
      </c>
      <c r="H93" s="109">
        <f t="shared" si="12"/>
        <v>579</v>
      </c>
      <c r="J93" s="216">
        <v>0</v>
      </c>
      <c r="K93" s="216">
        <v>10</v>
      </c>
      <c r="L93" s="216">
        <v>4</v>
      </c>
      <c r="M93" s="216">
        <v>52</v>
      </c>
      <c r="N93" s="216">
        <v>23</v>
      </c>
      <c r="O93" s="216">
        <v>0</v>
      </c>
      <c r="P93" s="216">
        <v>0</v>
      </c>
      <c r="Q93" s="216">
        <v>1282</v>
      </c>
      <c r="R93" s="216">
        <v>0</v>
      </c>
      <c r="S93" s="216">
        <v>0</v>
      </c>
      <c r="T93" s="216">
        <v>0</v>
      </c>
      <c r="U93" s="216">
        <v>0</v>
      </c>
      <c r="V93" s="216">
        <f>21+21+55+15</f>
        <v>112</v>
      </c>
      <c r="W93" s="52"/>
      <c r="X93" s="216">
        <v>455</v>
      </c>
      <c r="Y93" s="216">
        <v>36</v>
      </c>
      <c r="Z93" s="216">
        <f>40+37+11</f>
        <v>88</v>
      </c>
      <c r="AH93" s="46"/>
      <c r="AI93" s="46"/>
    </row>
    <row r="94" spans="1:35" x14ac:dyDescent="0.25">
      <c r="A94" s="31">
        <f>'M&amp;R Stations'!A86</f>
        <v>39045</v>
      </c>
      <c r="B94"/>
      <c r="C94" s="70">
        <f t="shared" si="7"/>
        <v>1839</v>
      </c>
      <c r="D94" s="70">
        <f t="shared" si="8"/>
        <v>203</v>
      </c>
      <c r="E94" s="70">
        <f t="shared" si="9"/>
        <v>0</v>
      </c>
      <c r="F94" s="94">
        <f t="shared" si="10"/>
        <v>2042</v>
      </c>
      <c r="G94" s="109">
        <f t="shared" si="11"/>
        <v>1481</v>
      </c>
      <c r="H94" s="109">
        <f t="shared" si="12"/>
        <v>561</v>
      </c>
      <c r="J94" s="216">
        <v>0</v>
      </c>
      <c r="K94" s="216">
        <v>8</v>
      </c>
      <c r="L94" s="216">
        <v>3</v>
      </c>
      <c r="M94" s="216">
        <v>52</v>
      </c>
      <c r="N94" s="216">
        <v>22</v>
      </c>
      <c r="O94" s="216">
        <v>0</v>
      </c>
      <c r="P94" s="216">
        <v>0</v>
      </c>
      <c r="Q94" s="216">
        <v>1310</v>
      </c>
      <c r="R94" s="216">
        <v>0</v>
      </c>
      <c r="S94" s="216">
        <v>0</v>
      </c>
      <c r="T94" s="216">
        <v>0</v>
      </c>
      <c r="U94" s="216">
        <v>0</v>
      </c>
      <c r="V94" s="216">
        <f>24+5+49+8</f>
        <v>86</v>
      </c>
      <c r="W94" s="52"/>
      <c r="X94" s="216">
        <v>444</v>
      </c>
      <c r="Y94" s="216">
        <v>39</v>
      </c>
      <c r="Z94" s="216">
        <f>35+34+9</f>
        <v>78</v>
      </c>
      <c r="AH94" s="46"/>
      <c r="AI94" s="46"/>
    </row>
    <row r="95" spans="1:35" x14ac:dyDescent="0.25">
      <c r="A95" s="31">
        <f>'M&amp;R Stations'!A87</f>
        <v>39046</v>
      </c>
      <c r="B95"/>
      <c r="C95" s="70">
        <f t="shared" si="7"/>
        <v>1826</v>
      </c>
      <c r="D95" s="70">
        <f t="shared" si="8"/>
        <v>199</v>
      </c>
      <c r="E95" s="70">
        <f t="shared" si="9"/>
        <v>0</v>
      </c>
      <c r="F95" s="94">
        <f t="shared" si="10"/>
        <v>2025</v>
      </c>
      <c r="G95" s="109">
        <f t="shared" si="11"/>
        <v>1476</v>
      </c>
      <c r="H95" s="109">
        <f t="shared" si="12"/>
        <v>549</v>
      </c>
      <c r="J95" s="216">
        <v>0</v>
      </c>
      <c r="K95" s="216">
        <v>10</v>
      </c>
      <c r="L95" s="216">
        <v>3</v>
      </c>
      <c r="M95" s="216">
        <v>55</v>
      </c>
      <c r="N95" s="216">
        <v>21</v>
      </c>
      <c r="O95" s="216">
        <v>0</v>
      </c>
      <c r="P95" s="216">
        <v>0</v>
      </c>
      <c r="Q95" s="216">
        <v>1298</v>
      </c>
      <c r="R95" s="216">
        <v>0</v>
      </c>
      <c r="S95" s="216">
        <v>0</v>
      </c>
      <c r="T95" s="216">
        <v>0</v>
      </c>
      <c r="U95" s="216">
        <v>0</v>
      </c>
      <c r="V95" s="216">
        <f>28+1+55+5</f>
        <v>89</v>
      </c>
      <c r="W95" s="52"/>
      <c r="X95" s="216">
        <v>439</v>
      </c>
      <c r="Y95" s="216">
        <v>33</v>
      </c>
      <c r="Z95" s="216">
        <f>38+29+10</f>
        <v>77</v>
      </c>
      <c r="AH95" s="46"/>
      <c r="AI95" s="46"/>
    </row>
    <row r="96" spans="1:35" x14ac:dyDescent="0.25">
      <c r="A96" s="31">
        <f>'M&amp;R Stations'!A88</f>
        <v>39047</v>
      </c>
      <c r="B96"/>
      <c r="C96" s="70">
        <f t="shared" si="7"/>
        <v>1866</v>
      </c>
      <c r="D96" s="70">
        <f t="shared" si="8"/>
        <v>169</v>
      </c>
      <c r="E96" s="70">
        <f t="shared" si="9"/>
        <v>0</v>
      </c>
      <c r="F96" s="94">
        <f t="shared" si="10"/>
        <v>2035</v>
      </c>
      <c r="G96" s="109">
        <f t="shared" si="11"/>
        <v>1508</v>
      </c>
      <c r="H96" s="109">
        <f t="shared" si="12"/>
        <v>527</v>
      </c>
      <c r="J96" s="216">
        <v>0</v>
      </c>
      <c r="K96" s="216">
        <v>9</v>
      </c>
      <c r="L96" s="216">
        <v>3</v>
      </c>
      <c r="M96" s="216">
        <v>54</v>
      </c>
      <c r="N96" s="216">
        <v>22</v>
      </c>
      <c r="O96" s="216">
        <v>0</v>
      </c>
      <c r="P96" s="216">
        <v>0</v>
      </c>
      <c r="Q96" s="216">
        <v>1335</v>
      </c>
      <c r="R96" s="216">
        <v>0</v>
      </c>
      <c r="S96" s="216">
        <v>0</v>
      </c>
      <c r="T96" s="216">
        <v>0</v>
      </c>
      <c r="U96" s="216">
        <v>0</v>
      </c>
      <c r="V96" s="216">
        <f>26+55+4</f>
        <v>85</v>
      </c>
      <c r="W96" s="52"/>
      <c r="X96" s="216">
        <v>443</v>
      </c>
      <c r="Y96" s="216">
        <v>10</v>
      </c>
      <c r="Z96" s="216">
        <f>37+28+9</f>
        <v>74</v>
      </c>
      <c r="AH96" s="46"/>
      <c r="AI96" s="46"/>
    </row>
    <row r="97" spans="1:35" x14ac:dyDescent="0.25">
      <c r="A97" s="31">
        <f>'M&amp;R Stations'!A89</f>
        <v>39048</v>
      </c>
      <c r="B97"/>
      <c r="C97" s="70">
        <f t="shared" si="7"/>
        <v>1831</v>
      </c>
      <c r="D97" s="70">
        <f t="shared" si="8"/>
        <v>208</v>
      </c>
      <c r="E97" s="70">
        <f t="shared" si="9"/>
        <v>0</v>
      </c>
      <c r="F97" s="94">
        <f t="shared" si="10"/>
        <v>2039</v>
      </c>
      <c r="G97" s="109">
        <f t="shared" si="11"/>
        <v>1473</v>
      </c>
      <c r="H97" s="109">
        <f t="shared" si="12"/>
        <v>566</v>
      </c>
      <c r="J97" s="216">
        <v>0</v>
      </c>
      <c r="K97" s="216">
        <v>9</v>
      </c>
      <c r="L97" s="216">
        <v>3</v>
      </c>
      <c r="M97" s="216">
        <v>51</v>
      </c>
      <c r="N97" s="216">
        <v>22</v>
      </c>
      <c r="O97" s="216">
        <v>0</v>
      </c>
      <c r="P97" s="216">
        <v>0</v>
      </c>
      <c r="Q97" s="216">
        <v>1306</v>
      </c>
      <c r="R97" s="216">
        <v>0</v>
      </c>
      <c r="S97" s="216">
        <v>0</v>
      </c>
      <c r="T97" s="216">
        <v>0</v>
      </c>
      <c r="U97" s="216">
        <v>0</v>
      </c>
      <c r="V97" s="216">
        <f>21+7+54</f>
        <v>82</v>
      </c>
      <c r="W97" s="52"/>
      <c r="X97" s="216">
        <v>440</v>
      </c>
      <c r="Y97" s="216">
        <v>55</v>
      </c>
      <c r="Z97" s="216">
        <f>36+26+9</f>
        <v>71</v>
      </c>
      <c r="AH97" s="46"/>
      <c r="AI97" s="46"/>
    </row>
    <row r="98" spans="1:35" x14ac:dyDescent="0.25">
      <c r="A98" s="31">
        <f>'M&amp;R Stations'!A90</f>
        <v>39049</v>
      </c>
      <c r="B98"/>
      <c r="C98" s="70">
        <f t="shared" si="7"/>
        <v>1827</v>
      </c>
      <c r="D98" s="70">
        <f t="shared" si="8"/>
        <v>158</v>
      </c>
      <c r="E98" s="70">
        <f t="shared" si="9"/>
        <v>14</v>
      </c>
      <c r="F98" s="94">
        <f t="shared" si="10"/>
        <v>1999</v>
      </c>
      <c r="G98" s="109">
        <f t="shared" si="11"/>
        <v>1503</v>
      </c>
      <c r="H98" s="109">
        <f t="shared" si="12"/>
        <v>496</v>
      </c>
      <c r="J98" s="216">
        <v>0</v>
      </c>
      <c r="K98" s="216">
        <v>10</v>
      </c>
      <c r="L98" s="216">
        <v>3</v>
      </c>
      <c r="M98" s="216">
        <v>58</v>
      </c>
      <c r="N98" s="216">
        <v>27</v>
      </c>
      <c r="O98" s="216">
        <v>1</v>
      </c>
      <c r="P98" s="216">
        <v>0</v>
      </c>
      <c r="Q98" s="216">
        <v>1323</v>
      </c>
      <c r="R98" s="216">
        <v>0</v>
      </c>
      <c r="S98" s="216">
        <v>0</v>
      </c>
      <c r="T98" s="216">
        <v>0</v>
      </c>
      <c r="U98" s="216">
        <v>14</v>
      </c>
      <c r="V98" s="216">
        <f>20+47</f>
        <v>67</v>
      </c>
      <c r="W98" s="52"/>
      <c r="X98" s="216">
        <v>405</v>
      </c>
      <c r="Y98" s="216">
        <v>27</v>
      </c>
      <c r="Z98" s="216">
        <f>27+28+9</f>
        <v>64</v>
      </c>
      <c r="AH98" s="46"/>
      <c r="AI98" s="46"/>
    </row>
    <row r="99" spans="1:35" x14ac:dyDescent="0.25">
      <c r="A99" s="31">
        <f>'M&amp;R Stations'!A91</f>
        <v>39050</v>
      </c>
      <c r="B99"/>
      <c r="C99" s="70">
        <f t="shared" si="7"/>
        <v>1785</v>
      </c>
      <c r="D99" s="70">
        <f t="shared" si="8"/>
        <v>135</v>
      </c>
      <c r="E99" s="70">
        <f t="shared" si="9"/>
        <v>0</v>
      </c>
      <c r="F99" s="94">
        <f t="shared" si="10"/>
        <v>1920</v>
      </c>
      <c r="G99" s="109">
        <f t="shared" si="11"/>
        <v>1483</v>
      </c>
      <c r="H99" s="109">
        <f t="shared" si="12"/>
        <v>437</v>
      </c>
      <c r="J99" s="216">
        <v>0</v>
      </c>
      <c r="K99" s="216">
        <v>10</v>
      </c>
      <c r="L99" s="216">
        <v>3</v>
      </c>
      <c r="M99" s="216">
        <v>51</v>
      </c>
      <c r="N99" s="216">
        <v>0</v>
      </c>
      <c r="O99" s="216">
        <v>17</v>
      </c>
      <c r="P99" s="216">
        <v>0</v>
      </c>
      <c r="Q99" s="216">
        <v>1350</v>
      </c>
      <c r="R99" s="216">
        <v>0</v>
      </c>
      <c r="S99" s="216">
        <v>0</v>
      </c>
      <c r="T99" s="216">
        <v>0</v>
      </c>
      <c r="U99" s="216">
        <v>0</v>
      </c>
      <c r="V99" s="216">
        <f>17+35</f>
        <v>52</v>
      </c>
      <c r="W99" s="52"/>
      <c r="X99" s="216">
        <v>354</v>
      </c>
      <c r="Y99" s="216">
        <v>25</v>
      </c>
      <c r="Z99" s="216">
        <f>25+26+7</f>
        <v>58</v>
      </c>
      <c r="AH99" s="46"/>
      <c r="AI99" s="46"/>
    </row>
    <row r="100" spans="1:35" x14ac:dyDescent="0.25">
      <c r="A100" s="31">
        <f>'M&amp;R Stations'!A92</f>
        <v>39051</v>
      </c>
      <c r="B100"/>
      <c r="C100" s="70">
        <f t="shared" si="7"/>
        <v>1769</v>
      </c>
      <c r="D100" s="70">
        <f t="shared" si="8"/>
        <v>104</v>
      </c>
      <c r="E100" s="70">
        <f t="shared" si="9"/>
        <v>11</v>
      </c>
      <c r="F100" s="94">
        <f t="shared" si="10"/>
        <v>1884</v>
      </c>
      <c r="G100" s="109">
        <f t="shared" si="11"/>
        <v>1377</v>
      </c>
      <c r="H100" s="109">
        <f t="shared" si="12"/>
        <v>507</v>
      </c>
      <c r="J100" s="216">
        <v>0</v>
      </c>
      <c r="K100" s="216">
        <v>11</v>
      </c>
      <c r="L100" s="216">
        <v>4</v>
      </c>
      <c r="M100" s="216">
        <v>50</v>
      </c>
      <c r="N100" s="216">
        <v>0</v>
      </c>
      <c r="O100" s="216">
        <v>22</v>
      </c>
      <c r="P100" s="216">
        <v>0</v>
      </c>
      <c r="Q100" s="216">
        <v>1238</v>
      </c>
      <c r="R100" s="216">
        <v>0</v>
      </c>
      <c r="S100" s="216">
        <v>0</v>
      </c>
      <c r="T100" s="216">
        <v>0</v>
      </c>
      <c r="U100" s="216">
        <v>11</v>
      </c>
      <c r="V100" s="216">
        <f>32+9</f>
        <v>41</v>
      </c>
      <c r="W100" s="52"/>
      <c r="X100" s="216">
        <v>444</v>
      </c>
      <c r="Y100" s="216">
        <v>18</v>
      </c>
      <c r="Z100" s="216">
        <f>28+13+4</f>
        <v>45</v>
      </c>
      <c r="AH100" s="46"/>
      <c r="AI100" s="46"/>
    </row>
    <row r="101" spans="1:35" x14ac:dyDescent="0.25">
      <c r="A101" s="96"/>
      <c r="B101" s="97"/>
      <c r="C101" s="98"/>
      <c r="D101" s="98"/>
      <c r="E101" s="98"/>
      <c r="F101" s="98"/>
      <c r="G101" s="98" t="str">
        <f t="shared" si="11"/>
        <v/>
      </c>
      <c r="H101" s="98" t="str">
        <f t="shared" si="12"/>
        <v/>
      </c>
      <c r="J101" s="95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255"/>
      <c r="X101" s="98"/>
      <c r="Y101" s="98"/>
      <c r="Z101" s="98"/>
      <c r="AH101" s="46"/>
      <c r="AI101" s="46"/>
    </row>
    <row r="102" spans="1:35" x14ac:dyDescent="0.25">
      <c r="A102" s="31">
        <f>'M&amp;R Stations'!A93</f>
        <v>39052</v>
      </c>
      <c r="B102"/>
      <c r="C102" s="70">
        <f t="shared" si="7"/>
        <v>1831</v>
      </c>
      <c r="D102" s="70">
        <f t="shared" si="8"/>
        <v>139</v>
      </c>
      <c r="E102" s="70">
        <f t="shared" si="9"/>
        <v>0</v>
      </c>
      <c r="F102" s="94">
        <f t="shared" si="10"/>
        <v>1970</v>
      </c>
      <c r="G102" s="109">
        <f t="shared" si="11"/>
        <v>1419</v>
      </c>
      <c r="H102" s="109">
        <f t="shared" si="12"/>
        <v>551</v>
      </c>
      <c r="J102" s="216">
        <v>0</v>
      </c>
      <c r="K102" s="216">
        <v>10</v>
      </c>
      <c r="L102" s="216">
        <v>5</v>
      </c>
      <c r="M102" s="216">
        <v>56</v>
      </c>
      <c r="N102" s="216">
        <v>0</v>
      </c>
      <c r="O102" s="216">
        <v>21</v>
      </c>
      <c r="P102" s="216">
        <v>0</v>
      </c>
      <c r="Q102" s="216">
        <v>1277</v>
      </c>
      <c r="R102" s="216">
        <v>0</v>
      </c>
      <c r="S102" s="216">
        <v>0</v>
      </c>
      <c r="T102" s="216">
        <v>0</v>
      </c>
      <c r="U102" s="216">
        <v>0</v>
      </c>
      <c r="V102" s="216">
        <f>20+30</f>
        <v>50</v>
      </c>
      <c r="W102" s="52"/>
      <c r="X102" s="216">
        <v>462</v>
      </c>
      <c r="Y102" s="216">
        <v>29</v>
      </c>
      <c r="Z102" s="216">
        <f>29+24+7</f>
        <v>60</v>
      </c>
      <c r="AH102" s="46"/>
      <c r="AI102" s="46"/>
    </row>
    <row r="103" spans="1:35" x14ac:dyDescent="0.25">
      <c r="A103" s="31">
        <f>'M&amp;R Stations'!A94</f>
        <v>39053</v>
      </c>
      <c r="B103"/>
      <c r="C103" s="70">
        <f t="shared" si="7"/>
        <v>1882</v>
      </c>
      <c r="D103" s="70">
        <f t="shared" si="8"/>
        <v>246</v>
      </c>
      <c r="E103" s="70">
        <f t="shared" si="9"/>
        <v>0</v>
      </c>
      <c r="F103" s="94">
        <f t="shared" si="10"/>
        <v>2128</v>
      </c>
      <c r="G103" s="109">
        <f t="shared" si="11"/>
        <v>1514</v>
      </c>
      <c r="H103" s="109">
        <f t="shared" si="12"/>
        <v>614</v>
      </c>
      <c r="J103" s="216">
        <v>0</v>
      </c>
      <c r="K103" s="216">
        <v>11</v>
      </c>
      <c r="L103" s="216">
        <v>2</v>
      </c>
      <c r="M103" s="216">
        <v>51</v>
      </c>
      <c r="N103" s="216">
        <v>0</v>
      </c>
      <c r="O103" s="216">
        <v>25</v>
      </c>
      <c r="P103" s="216">
        <v>25</v>
      </c>
      <c r="Q103" s="216">
        <v>1291</v>
      </c>
      <c r="R103" s="216">
        <v>0</v>
      </c>
      <c r="S103" s="216">
        <v>0</v>
      </c>
      <c r="T103" s="216">
        <v>0</v>
      </c>
      <c r="U103" s="216">
        <v>0</v>
      </c>
      <c r="V103" s="216">
        <f>31+4+63+11</f>
        <v>109</v>
      </c>
      <c r="W103" s="52"/>
      <c r="X103" s="216">
        <v>477</v>
      </c>
      <c r="Y103" s="216">
        <v>44</v>
      </c>
      <c r="Z103" s="216">
        <f>40+12+41</f>
        <v>93</v>
      </c>
      <c r="AH103" s="46"/>
      <c r="AI103" s="46"/>
    </row>
    <row r="104" spans="1:35" x14ac:dyDescent="0.25">
      <c r="A104" s="31">
        <f>'M&amp;R Stations'!A95</f>
        <v>39054</v>
      </c>
      <c r="B104"/>
      <c r="C104" s="70">
        <f t="shared" si="7"/>
        <v>1878</v>
      </c>
      <c r="D104" s="70">
        <f t="shared" si="8"/>
        <v>250</v>
      </c>
      <c r="E104" s="70">
        <f t="shared" si="9"/>
        <v>0</v>
      </c>
      <c r="F104" s="94">
        <f t="shared" si="10"/>
        <v>2128</v>
      </c>
      <c r="G104" s="109">
        <f t="shared" si="11"/>
        <v>1525</v>
      </c>
      <c r="H104" s="109">
        <f t="shared" si="12"/>
        <v>603</v>
      </c>
      <c r="J104" s="216">
        <v>0</v>
      </c>
      <c r="K104" s="216">
        <v>9</v>
      </c>
      <c r="L104" s="216">
        <v>3</v>
      </c>
      <c r="M104" s="216">
        <v>58</v>
      </c>
      <c r="N104" s="216">
        <v>0</v>
      </c>
      <c r="O104" s="216">
        <v>21</v>
      </c>
      <c r="P104" s="216">
        <v>13</v>
      </c>
      <c r="Q104" s="216">
        <v>1308</v>
      </c>
      <c r="R104" s="216">
        <v>0</v>
      </c>
      <c r="S104" s="216">
        <v>0</v>
      </c>
      <c r="T104" s="216">
        <v>0</v>
      </c>
      <c r="U104" s="216">
        <v>0</v>
      </c>
      <c r="V104" s="216">
        <f>40+2+54+3+14</f>
        <v>113</v>
      </c>
      <c r="W104" s="52"/>
      <c r="X104" s="216">
        <v>466</v>
      </c>
      <c r="Y104" s="216">
        <v>41</v>
      </c>
      <c r="Z104" s="216">
        <f>27+58+11</f>
        <v>96</v>
      </c>
      <c r="AH104" s="46"/>
      <c r="AI104" s="46"/>
    </row>
    <row r="105" spans="1:35" x14ac:dyDescent="0.25">
      <c r="A105" s="31">
        <f>'M&amp;R Stations'!A96</f>
        <v>39055</v>
      </c>
      <c r="B105"/>
      <c r="C105" s="70">
        <f t="shared" si="7"/>
        <v>1943</v>
      </c>
      <c r="D105" s="70">
        <f t="shared" si="8"/>
        <v>315</v>
      </c>
      <c r="E105" s="70">
        <f t="shared" si="9"/>
        <v>0</v>
      </c>
      <c r="F105" s="94">
        <f t="shared" si="10"/>
        <v>2258</v>
      </c>
      <c r="G105" s="109">
        <f t="shared" si="11"/>
        <v>1580</v>
      </c>
      <c r="H105" s="109">
        <f t="shared" si="12"/>
        <v>678</v>
      </c>
      <c r="J105" s="216">
        <v>0</v>
      </c>
      <c r="K105" s="216">
        <v>10</v>
      </c>
      <c r="L105" s="216">
        <v>4</v>
      </c>
      <c r="M105" s="216">
        <v>73</v>
      </c>
      <c r="N105" s="216">
        <v>14</v>
      </c>
      <c r="O105" s="216">
        <v>25</v>
      </c>
      <c r="P105" s="216">
        <v>18</v>
      </c>
      <c r="Q105" s="216">
        <v>1292</v>
      </c>
      <c r="R105" s="216">
        <v>0</v>
      </c>
      <c r="S105" s="216">
        <v>0</v>
      </c>
      <c r="T105" s="216">
        <v>0</v>
      </c>
      <c r="U105" s="216">
        <v>0</v>
      </c>
      <c r="V105" s="216">
        <f>39+10+63+15+17</f>
        <v>144</v>
      </c>
      <c r="W105" s="52"/>
      <c r="X105" s="216">
        <v>507</v>
      </c>
      <c r="Y105" s="216">
        <v>58</v>
      </c>
      <c r="Z105" s="216">
        <f>42+61+10</f>
        <v>113</v>
      </c>
      <c r="AH105" s="46"/>
      <c r="AI105" s="46"/>
    </row>
    <row r="106" spans="1:35" x14ac:dyDescent="0.25">
      <c r="A106" s="31">
        <f>'M&amp;R Stations'!A97</f>
        <v>39056</v>
      </c>
      <c r="B106"/>
      <c r="C106" s="70">
        <f t="shared" si="7"/>
        <v>629</v>
      </c>
      <c r="D106" s="70">
        <f t="shared" si="8"/>
        <v>321</v>
      </c>
      <c r="E106" s="70">
        <f t="shared" si="9"/>
        <v>0</v>
      </c>
      <c r="F106" s="94">
        <f t="shared" si="10"/>
        <v>950</v>
      </c>
      <c r="G106" s="109">
        <f t="shared" si="11"/>
        <v>262</v>
      </c>
      <c r="H106" s="109">
        <f t="shared" si="12"/>
        <v>688</v>
      </c>
      <c r="J106" s="216">
        <v>0</v>
      </c>
      <c r="K106" s="216">
        <v>10</v>
      </c>
      <c r="L106" s="216">
        <v>4</v>
      </c>
      <c r="M106" s="216">
        <v>86</v>
      </c>
      <c r="N106" s="216">
        <v>0</v>
      </c>
      <c r="O106" s="216">
        <v>0</v>
      </c>
      <c r="P106" s="216">
        <v>17</v>
      </c>
      <c r="Q106" s="216">
        <v>0</v>
      </c>
      <c r="R106" s="216">
        <v>0</v>
      </c>
      <c r="S106" s="216">
        <v>0</v>
      </c>
      <c r="T106" s="216">
        <v>0</v>
      </c>
      <c r="U106" s="216">
        <v>0</v>
      </c>
      <c r="V106" s="216">
        <f>41+13+60+14+17</f>
        <v>145</v>
      </c>
      <c r="W106" s="52"/>
      <c r="X106" s="216">
        <v>512</v>
      </c>
      <c r="Y106" s="216">
        <v>55</v>
      </c>
      <c r="Z106" s="216">
        <f>46+64+11</f>
        <v>121</v>
      </c>
      <c r="AH106" s="46"/>
      <c r="AI106" s="46"/>
    </row>
    <row r="107" spans="1:35" x14ac:dyDescent="0.25">
      <c r="A107" s="31">
        <f>'M&amp;R Stations'!A98</f>
        <v>39057</v>
      </c>
      <c r="B107"/>
      <c r="C107" s="70">
        <f t="shared" si="7"/>
        <v>605</v>
      </c>
      <c r="D107" s="70">
        <f t="shared" si="8"/>
        <v>232</v>
      </c>
      <c r="E107" s="70">
        <f t="shared" si="9"/>
        <v>0</v>
      </c>
      <c r="F107" s="94">
        <f t="shared" si="10"/>
        <v>837</v>
      </c>
      <c r="G107" s="109">
        <f t="shared" si="11"/>
        <v>252</v>
      </c>
      <c r="H107" s="109">
        <f t="shared" si="12"/>
        <v>585</v>
      </c>
      <c r="J107" s="216">
        <v>0</v>
      </c>
      <c r="K107" s="216">
        <v>10</v>
      </c>
      <c r="L107" s="216">
        <v>7</v>
      </c>
      <c r="M107" s="216">
        <v>94</v>
      </c>
      <c r="N107" s="216">
        <v>0</v>
      </c>
      <c r="O107" s="216">
        <v>17</v>
      </c>
      <c r="P107" s="216">
        <v>19</v>
      </c>
      <c r="Q107" s="216">
        <v>0</v>
      </c>
      <c r="R107" s="216">
        <v>0</v>
      </c>
      <c r="S107" s="216">
        <v>0</v>
      </c>
      <c r="T107" s="216">
        <v>0</v>
      </c>
      <c r="U107" s="216">
        <v>0</v>
      </c>
      <c r="V107" s="216">
        <v>105</v>
      </c>
      <c r="W107" s="52"/>
      <c r="X107" s="216">
        <v>458</v>
      </c>
      <c r="Y107" s="216">
        <v>35</v>
      </c>
      <c r="Z107" s="216">
        <v>92</v>
      </c>
      <c r="AH107" s="46"/>
      <c r="AI107" s="46"/>
    </row>
    <row r="108" spans="1:35" x14ac:dyDescent="0.25">
      <c r="A108" s="31">
        <f>'M&amp;R Stations'!A99</f>
        <v>39058</v>
      </c>
      <c r="B108"/>
      <c r="C108" s="70">
        <f t="shared" si="7"/>
        <v>590</v>
      </c>
      <c r="D108" s="70">
        <f t="shared" si="8"/>
        <v>295</v>
      </c>
      <c r="E108" s="70">
        <f t="shared" si="9"/>
        <v>0</v>
      </c>
      <c r="F108" s="94">
        <f t="shared" si="10"/>
        <v>885</v>
      </c>
      <c r="G108" s="109">
        <f t="shared" si="11"/>
        <v>355</v>
      </c>
      <c r="H108" s="109">
        <f t="shared" si="12"/>
        <v>530</v>
      </c>
      <c r="J108" s="216">
        <v>0</v>
      </c>
      <c r="K108" s="216">
        <v>12</v>
      </c>
      <c r="L108" s="216">
        <v>7</v>
      </c>
      <c r="M108" s="216">
        <v>104</v>
      </c>
      <c r="N108" s="216">
        <v>7</v>
      </c>
      <c r="O108" s="216">
        <v>22</v>
      </c>
      <c r="P108" s="216">
        <v>71</v>
      </c>
      <c r="Q108" s="216">
        <v>0</v>
      </c>
      <c r="R108" s="216">
        <v>0</v>
      </c>
      <c r="S108" s="216">
        <v>0</v>
      </c>
      <c r="T108" s="216">
        <v>0</v>
      </c>
      <c r="U108" s="216">
        <v>0</v>
      </c>
      <c r="V108" s="216">
        <f>42+13+58+6+13</f>
        <v>132</v>
      </c>
      <c r="W108" s="52"/>
      <c r="X108" s="216">
        <v>367</v>
      </c>
      <c r="Y108" s="216">
        <v>48</v>
      </c>
      <c r="Z108" s="216">
        <f>52+52+11</f>
        <v>115</v>
      </c>
      <c r="AH108" s="46"/>
      <c r="AI108" s="46"/>
    </row>
    <row r="109" spans="1:35" x14ac:dyDescent="0.25">
      <c r="A109" s="31">
        <f>'M&amp;R Stations'!A100</f>
        <v>39059</v>
      </c>
      <c r="B109"/>
      <c r="C109" s="70">
        <f t="shared" si="7"/>
        <v>791</v>
      </c>
      <c r="D109" s="70">
        <f t="shared" si="8"/>
        <v>369</v>
      </c>
      <c r="E109" s="70">
        <f t="shared" si="9"/>
        <v>0</v>
      </c>
      <c r="F109" s="94">
        <f t="shared" si="10"/>
        <v>1160</v>
      </c>
      <c r="G109" s="109">
        <f t="shared" si="11"/>
        <v>294</v>
      </c>
      <c r="H109" s="109">
        <f t="shared" si="12"/>
        <v>866</v>
      </c>
      <c r="J109" s="216">
        <v>0</v>
      </c>
      <c r="K109" s="216">
        <v>15</v>
      </c>
      <c r="L109" s="216">
        <v>3</v>
      </c>
      <c r="M109" s="216">
        <v>48</v>
      </c>
      <c r="N109" s="216">
        <v>0</v>
      </c>
      <c r="O109" s="216">
        <v>28</v>
      </c>
      <c r="P109" s="216">
        <v>24</v>
      </c>
      <c r="Q109" s="216">
        <v>0</v>
      </c>
      <c r="R109" s="216">
        <v>0</v>
      </c>
      <c r="S109" s="216">
        <v>0</v>
      </c>
      <c r="T109" s="216">
        <v>0</v>
      </c>
      <c r="U109" s="216">
        <v>0</v>
      </c>
      <c r="V109" s="216">
        <f>54+21+66+17+18</f>
        <v>176</v>
      </c>
      <c r="W109" s="52"/>
      <c r="X109" s="216">
        <v>673</v>
      </c>
      <c r="Y109" s="216">
        <v>64</v>
      </c>
      <c r="Z109" s="216">
        <f>49+67+13</f>
        <v>129</v>
      </c>
      <c r="AH109" s="46"/>
      <c r="AI109" s="46"/>
    </row>
    <row r="110" spans="1:35" x14ac:dyDescent="0.25">
      <c r="A110" s="31">
        <f>'M&amp;R Stations'!A101</f>
        <v>39060</v>
      </c>
      <c r="B110"/>
      <c r="C110" s="70">
        <f t="shared" si="7"/>
        <v>623</v>
      </c>
      <c r="D110" s="70">
        <f t="shared" si="8"/>
        <v>305</v>
      </c>
      <c r="E110" s="70">
        <f t="shared" si="9"/>
        <v>0</v>
      </c>
      <c r="F110" s="94">
        <f t="shared" si="10"/>
        <v>928</v>
      </c>
      <c r="G110" s="109">
        <f t="shared" si="11"/>
        <v>267</v>
      </c>
      <c r="H110" s="109">
        <f t="shared" si="12"/>
        <v>661</v>
      </c>
      <c r="J110" s="216">
        <v>0</v>
      </c>
      <c r="K110" s="216">
        <v>13</v>
      </c>
      <c r="L110" s="216">
        <v>4</v>
      </c>
      <c r="M110" s="216">
        <v>61</v>
      </c>
      <c r="N110" s="216">
        <v>9</v>
      </c>
      <c r="O110" s="216">
        <v>5</v>
      </c>
      <c r="P110" s="216">
        <v>27</v>
      </c>
      <c r="Q110" s="216">
        <v>0</v>
      </c>
      <c r="R110" s="216">
        <v>0</v>
      </c>
      <c r="S110" s="216">
        <v>0</v>
      </c>
      <c r="T110" s="216">
        <v>0</v>
      </c>
      <c r="U110" s="216">
        <v>0</v>
      </c>
      <c r="V110" s="216">
        <f>43+20+59+11+15</f>
        <v>148</v>
      </c>
      <c r="W110" s="52"/>
      <c r="X110" s="216">
        <v>504</v>
      </c>
      <c r="Y110" s="216">
        <v>44</v>
      </c>
      <c r="Z110" s="216">
        <f>38+64+11</f>
        <v>113</v>
      </c>
      <c r="AH110" s="46"/>
      <c r="AI110" s="46"/>
    </row>
    <row r="111" spans="1:35" x14ac:dyDescent="0.25">
      <c r="A111" s="31">
        <f>'M&amp;R Stations'!A102</f>
        <v>39061</v>
      </c>
      <c r="B111"/>
      <c r="C111" s="70">
        <f t="shared" si="7"/>
        <v>462</v>
      </c>
      <c r="D111" s="70">
        <f t="shared" si="8"/>
        <v>230</v>
      </c>
      <c r="E111" s="70">
        <f t="shared" si="9"/>
        <v>0</v>
      </c>
      <c r="F111" s="94">
        <f t="shared" si="10"/>
        <v>692</v>
      </c>
      <c r="G111" s="109">
        <f t="shared" si="11"/>
        <v>208</v>
      </c>
      <c r="H111" s="109">
        <f t="shared" si="12"/>
        <v>484</v>
      </c>
      <c r="J111" s="216">
        <v>0</v>
      </c>
      <c r="K111" s="216">
        <v>13</v>
      </c>
      <c r="L111" s="216">
        <v>5</v>
      </c>
      <c r="M111" s="216">
        <v>67</v>
      </c>
      <c r="N111" s="216">
        <v>6</v>
      </c>
      <c r="O111" s="216">
        <v>7</v>
      </c>
      <c r="P111" s="216">
        <v>7</v>
      </c>
      <c r="Q111" s="216">
        <v>0</v>
      </c>
      <c r="R111" s="216">
        <v>0</v>
      </c>
      <c r="S111" s="216">
        <v>0</v>
      </c>
      <c r="T111" s="216">
        <v>0</v>
      </c>
      <c r="U111" s="216">
        <v>0</v>
      </c>
      <c r="V111" s="216">
        <f>34+17+38+14</f>
        <v>103</v>
      </c>
      <c r="W111" s="52"/>
      <c r="X111" s="216">
        <v>357</v>
      </c>
      <c r="Y111" s="216">
        <v>38</v>
      </c>
      <c r="Z111" s="216">
        <f>32+48+9</f>
        <v>89</v>
      </c>
      <c r="AH111" s="46"/>
      <c r="AI111" s="46"/>
    </row>
    <row r="112" spans="1:35" x14ac:dyDescent="0.25">
      <c r="A112" s="31">
        <f>'M&amp;R Stations'!A103</f>
        <v>39062</v>
      </c>
      <c r="B112"/>
      <c r="C112" s="70">
        <f t="shared" si="7"/>
        <v>626</v>
      </c>
      <c r="D112" s="70">
        <f t="shared" si="8"/>
        <v>189</v>
      </c>
      <c r="E112" s="70">
        <f t="shared" si="9"/>
        <v>0</v>
      </c>
      <c r="F112" s="94">
        <f t="shared" si="10"/>
        <v>815</v>
      </c>
      <c r="G112" s="109">
        <f t="shared" si="11"/>
        <v>125</v>
      </c>
      <c r="H112" s="109">
        <f t="shared" si="12"/>
        <v>690</v>
      </c>
      <c r="J112" s="216">
        <v>0</v>
      </c>
      <c r="K112" s="216">
        <v>13</v>
      </c>
      <c r="L112" s="216">
        <v>2</v>
      </c>
      <c r="M112" s="216">
        <v>9</v>
      </c>
      <c r="N112" s="216">
        <v>23</v>
      </c>
      <c r="O112" s="216">
        <v>0</v>
      </c>
      <c r="P112" s="216">
        <v>0</v>
      </c>
      <c r="Q112" s="216">
        <v>0</v>
      </c>
      <c r="R112" s="216">
        <v>0</v>
      </c>
      <c r="S112" s="216">
        <v>0</v>
      </c>
      <c r="T112" s="216">
        <v>0</v>
      </c>
      <c r="U112" s="216">
        <v>0</v>
      </c>
      <c r="V112" s="216">
        <f>35+42+1</f>
        <v>78</v>
      </c>
      <c r="W112" s="52"/>
      <c r="X112" s="216">
        <v>579</v>
      </c>
      <c r="Y112" s="216">
        <v>34</v>
      </c>
      <c r="Z112" s="216">
        <f>37+33+7</f>
        <v>77</v>
      </c>
      <c r="AH112" s="46"/>
      <c r="AI112" s="46"/>
    </row>
    <row r="113" spans="1:35" x14ac:dyDescent="0.25">
      <c r="A113" s="31">
        <f>'M&amp;R Stations'!A104</f>
        <v>39063</v>
      </c>
      <c r="B113"/>
      <c r="C113" s="70">
        <f t="shared" si="7"/>
        <v>483</v>
      </c>
      <c r="D113" s="70">
        <f t="shared" si="8"/>
        <v>195</v>
      </c>
      <c r="E113" s="70">
        <f t="shared" si="9"/>
        <v>84</v>
      </c>
      <c r="F113" s="94">
        <f t="shared" si="10"/>
        <v>762</v>
      </c>
      <c r="G113" s="109">
        <f t="shared" si="11"/>
        <v>184</v>
      </c>
      <c r="H113" s="109">
        <f t="shared" si="12"/>
        <v>578</v>
      </c>
      <c r="J113" s="216">
        <v>0</v>
      </c>
      <c r="K113" s="216">
        <v>11</v>
      </c>
      <c r="L113" s="216">
        <v>2</v>
      </c>
      <c r="M113" s="216">
        <v>0</v>
      </c>
      <c r="N113" s="216">
        <v>0</v>
      </c>
      <c r="O113" s="216">
        <v>0</v>
      </c>
      <c r="P113" s="216">
        <v>0</v>
      </c>
      <c r="Q113" s="216">
        <v>0</v>
      </c>
      <c r="R113" s="216">
        <v>84</v>
      </c>
      <c r="S113" s="216">
        <v>0</v>
      </c>
      <c r="T113" s="216">
        <v>0</v>
      </c>
      <c r="U113" s="216">
        <v>0</v>
      </c>
      <c r="V113" s="216">
        <f>26+12+49</f>
        <v>87</v>
      </c>
      <c r="W113" s="52"/>
      <c r="X113" s="216">
        <v>470</v>
      </c>
      <c r="Y113" s="216">
        <v>34</v>
      </c>
      <c r="Z113" s="216">
        <f>37+29+8</f>
        <v>74</v>
      </c>
      <c r="AH113" s="46"/>
      <c r="AI113" s="46"/>
    </row>
    <row r="114" spans="1:35" x14ac:dyDescent="0.25">
      <c r="A114" s="31">
        <f>'M&amp;R Stations'!A105</f>
        <v>39064</v>
      </c>
      <c r="B114"/>
      <c r="C114" s="70">
        <f t="shared" si="7"/>
        <v>494</v>
      </c>
      <c r="D114" s="70">
        <f t="shared" si="8"/>
        <v>173</v>
      </c>
      <c r="E114" s="70">
        <f t="shared" si="9"/>
        <v>24</v>
      </c>
      <c r="F114" s="94">
        <f t="shared" si="10"/>
        <v>691</v>
      </c>
      <c r="G114" s="109">
        <f t="shared" si="11"/>
        <v>125</v>
      </c>
      <c r="H114" s="109">
        <f t="shared" si="12"/>
        <v>566</v>
      </c>
      <c r="J114" s="216">
        <v>0</v>
      </c>
      <c r="K114" s="216">
        <v>13</v>
      </c>
      <c r="L114" s="216">
        <v>4</v>
      </c>
      <c r="M114" s="216">
        <v>0</v>
      </c>
      <c r="N114" s="216">
        <v>9</v>
      </c>
      <c r="O114" s="216">
        <v>3</v>
      </c>
      <c r="P114" s="216">
        <v>0</v>
      </c>
      <c r="Q114" s="216">
        <v>0</v>
      </c>
      <c r="R114" s="216">
        <v>14</v>
      </c>
      <c r="S114" s="216">
        <v>0</v>
      </c>
      <c r="T114" s="216">
        <v>0</v>
      </c>
      <c r="U114" s="216">
        <v>10</v>
      </c>
      <c r="V114" s="216">
        <f>35+37</f>
        <v>72</v>
      </c>
      <c r="W114" s="52"/>
      <c r="X114" s="216">
        <v>465</v>
      </c>
      <c r="Y114" s="216">
        <v>35</v>
      </c>
      <c r="Z114" s="216">
        <f>28+31+7</f>
        <v>66</v>
      </c>
      <c r="AH114" s="46"/>
      <c r="AI114" s="46"/>
    </row>
    <row r="115" spans="1:35" x14ac:dyDescent="0.25">
      <c r="A115" s="31">
        <f>'M&amp;R Stations'!A106</f>
        <v>39065</v>
      </c>
      <c r="B115"/>
      <c r="C115" s="70">
        <f t="shared" si="7"/>
        <v>506</v>
      </c>
      <c r="D115" s="70">
        <f t="shared" si="8"/>
        <v>180</v>
      </c>
      <c r="E115" s="70">
        <f t="shared" si="9"/>
        <v>28</v>
      </c>
      <c r="F115" s="94">
        <f t="shared" si="10"/>
        <v>714</v>
      </c>
      <c r="G115" s="109">
        <f t="shared" si="11"/>
        <v>131</v>
      </c>
      <c r="H115" s="109">
        <f t="shared" si="12"/>
        <v>583</v>
      </c>
      <c r="J115" s="216">
        <v>0</v>
      </c>
      <c r="K115" s="216">
        <v>12</v>
      </c>
      <c r="L115" s="216">
        <v>4</v>
      </c>
      <c r="M115" s="216">
        <v>0</v>
      </c>
      <c r="N115" s="216">
        <v>15</v>
      </c>
      <c r="O115" s="216">
        <v>0</v>
      </c>
      <c r="P115" s="216">
        <v>0</v>
      </c>
      <c r="Q115" s="216">
        <v>0</v>
      </c>
      <c r="R115" s="216">
        <v>17</v>
      </c>
      <c r="S115" s="216">
        <v>0</v>
      </c>
      <c r="T115" s="216">
        <v>0</v>
      </c>
      <c r="U115" s="216">
        <v>11</v>
      </c>
      <c r="V115" s="216">
        <f>30+3+39</f>
        <v>72</v>
      </c>
      <c r="W115" s="52"/>
      <c r="X115" s="216">
        <v>475</v>
      </c>
      <c r="Y115" s="216">
        <v>35</v>
      </c>
      <c r="Z115" s="216">
        <f>28+37+8</f>
        <v>73</v>
      </c>
      <c r="AH115" s="46"/>
      <c r="AI115" s="46"/>
    </row>
    <row r="116" spans="1:35" x14ac:dyDescent="0.25">
      <c r="A116" s="31">
        <f>'M&amp;R Stations'!A107</f>
        <v>39066</v>
      </c>
      <c r="B116"/>
      <c r="C116" s="70">
        <f t="shared" si="7"/>
        <v>493</v>
      </c>
      <c r="D116" s="70">
        <f t="shared" si="8"/>
        <v>201</v>
      </c>
      <c r="E116" s="70">
        <f t="shared" si="9"/>
        <v>11</v>
      </c>
      <c r="F116" s="94">
        <f t="shared" si="10"/>
        <v>705</v>
      </c>
      <c r="G116" s="109">
        <f t="shared" si="11"/>
        <v>124</v>
      </c>
      <c r="H116" s="109">
        <f t="shared" si="12"/>
        <v>581</v>
      </c>
      <c r="J116" s="216">
        <v>0</v>
      </c>
      <c r="K116" s="216">
        <v>12</v>
      </c>
      <c r="L116" s="216">
        <v>3</v>
      </c>
      <c r="M116" s="216">
        <v>0</v>
      </c>
      <c r="N116" s="216">
        <v>23</v>
      </c>
      <c r="O116" s="216">
        <v>0</v>
      </c>
      <c r="P116" s="216">
        <v>0</v>
      </c>
      <c r="Q116" s="216">
        <v>0</v>
      </c>
      <c r="R116" s="216">
        <v>11</v>
      </c>
      <c r="S116" s="216">
        <v>0</v>
      </c>
      <c r="T116" s="216">
        <v>0</v>
      </c>
      <c r="U116" s="216">
        <v>0</v>
      </c>
      <c r="V116" s="216">
        <f>28+44+3</f>
        <v>75</v>
      </c>
      <c r="W116" s="52"/>
      <c r="X116" s="216">
        <v>455</v>
      </c>
      <c r="Y116" s="216">
        <v>45</v>
      </c>
      <c r="Z116" s="216">
        <f>36+37+8</f>
        <v>81</v>
      </c>
      <c r="AH116" s="46"/>
      <c r="AI116" s="46"/>
    </row>
    <row r="117" spans="1:35" x14ac:dyDescent="0.25">
      <c r="A117" s="31">
        <f>'M&amp;R Stations'!A108</f>
        <v>39067</v>
      </c>
      <c r="B117"/>
      <c r="C117" s="70">
        <f t="shared" si="7"/>
        <v>481</v>
      </c>
      <c r="D117" s="70">
        <f t="shared" si="8"/>
        <v>204</v>
      </c>
      <c r="E117" s="70">
        <f t="shared" si="9"/>
        <v>8</v>
      </c>
      <c r="F117" s="94">
        <f t="shared" si="10"/>
        <v>693</v>
      </c>
      <c r="G117" s="109">
        <f t="shared" si="11"/>
        <v>108</v>
      </c>
      <c r="H117" s="109">
        <f t="shared" si="12"/>
        <v>585</v>
      </c>
      <c r="J117" s="216">
        <v>0</v>
      </c>
      <c r="K117" s="216">
        <v>13</v>
      </c>
      <c r="L117" s="216">
        <v>1</v>
      </c>
      <c r="M117" s="216">
        <v>0</v>
      </c>
      <c r="N117" s="216">
        <v>0</v>
      </c>
      <c r="O117" s="216">
        <v>0</v>
      </c>
      <c r="P117" s="216">
        <v>0</v>
      </c>
      <c r="Q117" s="216">
        <v>0</v>
      </c>
      <c r="R117" s="216">
        <v>8</v>
      </c>
      <c r="S117" s="216">
        <v>0</v>
      </c>
      <c r="T117" s="216">
        <v>0</v>
      </c>
      <c r="U117" s="216">
        <v>0</v>
      </c>
      <c r="V117" s="216">
        <f>35+1+46+4</f>
        <v>86</v>
      </c>
      <c r="W117" s="52"/>
      <c r="X117" s="216">
        <v>467</v>
      </c>
      <c r="Y117" s="216">
        <v>40</v>
      </c>
      <c r="Z117" s="216">
        <f>34+37+7</f>
        <v>78</v>
      </c>
      <c r="AH117" s="46"/>
      <c r="AI117" s="46"/>
    </row>
    <row r="118" spans="1:35" x14ac:dyDescent="0.25">
      <c r="A118" s="31">
        <f>'M&amp;R Stations'!A109</f>
        <v>39068</v>
      </c>
      <c r="B118"/>
      <c r="C118" s="70">
        <f t="shared" si="7"/>
        <v>471</v>
      </c>
      <c r="D118" s="70">
        <f t="shared" si="8"/>
        <v>179</v>
      </c>
      <c r="E118" s="70">
        <f t="shared" si="9"/>
        <v>10</v>
      </c>
      <c r="F118" s="94">
        <f t="shared" si="10"/>
        <v>660</v>
      </c>
      <c r="G118" s="109">
        <f t="shared" si="11"/>
        <v>98</v>
      </c>
      <c r="H118" s="109">
        <f t="shared" si="12"/>
        <v>562</v>
      </c>
      <c r="J118" s="216">
        <v>0</v>
      </c>
      <c r="K118" s="216">
        <v>12</v>
      </c>
      <c r="L118" s="216">
        <v>2</v>
      </c>
      <c r="M118" s="216">
        <v>0</v>
      </c>
      <c r="N118" s="216">
        <v>0</v>
      </c>
      <c r="O118" s="216">
        <v>0</v>
      </c>
      <c r="P118" s="216">
        <v>0</v>
      </c>
      <c r="Q118" s="216">
        <v>0</v>
      </c>
      <c r="R118" s="216">
        <v>10</v>
      </c>
      <c r="S118" s="216">
        <v>0</v>
      </c>
      <c r="T118" s="216">
        <v>0</v>
      </c>
      <c r="U118" s="216">
        <v>0</v>
      </c>
      <c r="V118" s="216">
        <f>27+42+5</f>
        <v>74</v>
      </c>
      <c r="W118" s="52"/>
      <c r="X118" s="216">
        <v>457</v>
      </c>
      <c r="Y118" s="216">
        <v>35</v>
      </c>
      <c r="Z118" s="216">
        <f>26+37+7</f>
        <v>70</v>
      </c>
      <c r="AH118" s="46"/>
      <c r="AI118" s="46"/>
    </row>
    <row r="119" spans="1:35" x14ac:dyDescent="0.25">
      <c r="A119" s="31">
        <f>'M&amp;R Stations'!A110</f>
        <v>39069</v>
      </c>
      <c r="B119"/>
      <c r="C119" s="70">
        <f t="shared" si="7"/>
        <v>375</v>
      </c>
      <c r="D119" s="70">
        <f t="shared" si="8"/>
        <v>166</v>
      </c>
      <c r="E119" s="70">
        <f t="shared" si="9"/>
        <v>9</v>
      </c>
      <c r="F119" s="94">
        <f t="shared" si="10"/>
        <v>550</v>
      </c>
      <c r="G119" s="109">
        <f t="shared" si="11"/>
        <v>95</v>
      </c>
      <c r="H119" s="109">
        <f t="shared" si="12"/>
        <v>455</v>
      </c>
      <c r="J119" s="216">
        <v>0</v>
      </c>
      <c r="K119" s="216">
        <v>13</v>
      </c>
      <c r="L119" s="216">
        <v>2</v>
      </c>
      <c r="M119" s="216">
        <v>0</v>
      </c>
      <c r="N119" s="216">
        <v>0</v>
      </c>
      <c r="O119" s="216">
        <v>0</v>
      </c>
      <c r="P119" s="216">
        <v>0</v>
      </c>
      <c r="Q119" s="216">
        <v>0</v>
      </c>
      <c r="R119" s="216">
        <v>9</v>
      </c>
      <c r="S119" s="216">
        <v>0</v>
      </c>
      <c r="T119" s="216">
        <v>0</v>
      </c>
      <c r="U119" s="216">
        <v>0</v>
      </c>
      <c r="V119" s="216">
        <f>30+38+3</f>
        <v>71</v>
      </c>
      <c r="W119" s="52"/>
      <c r="X119" s="216">
        <v>360</v>
      </c>
      <c r="Y119" s="216">
        <v>29</v>
      </c>
      <c r="Z119" s="216">
        <f>31+28+7</f>
        <v>66</v>
      </c>
      <c r="AH119" s="46"/>
      <c r="AI119" s="46"/>
    </row>
    <row r="120" spans="1:35" x14ac:dyDescent="0.25">
      <c r="A120" s="31">
        <f>'M&amp;R Stations'!A111</f>
        <v>39070</v>
      </c>
      <c r="B120"/>
      <c r="C120" s="70">
        <f t="shared" si="7"/>
        <v>444</v>
      </c>
      <c r="D120" s="70">
        <f t="shared" si="8"/>
        <v>251</v>
      </c>
      <c r="E120" s="70">
        <f t="shared" si="9"/>
        <v>8</v>
      </c>
      <c r="F120" s="94">
        <f t="shared" si="10"/>
        <v>703</v>
      </c>
      <c r="G120" s="109">
        <f t="shared" si="11"/>
        <v>141</v>
      </c>
      <c r="H120" s="109">
        <f t="shared" si="12"/>
        <v>562</v>
      </c>
      <c r="J120" s="216">
        <v>0</v>
      </c>
      <c r="K120" s="216">
        <v>23</v>
      </c>
      <c r="L120" s="216">
        <v>1</v>
      </c>
      <c r="M120" s="216">
        <v>0</v>
      </c>
      <c r="N120" s="216">
        <v>0</v>
      </c>
      <c r="O120" s="216">
        <v>0</v>
      </c>
      <c r="P120" s="216">
        <v>0</v>
      </c>
      <c r="Q120" s="216">
        <v>0</v>
      </c>
      <c r="R120" s="216">
        <v>8</v>
      </c>
      <c r="S120" s="216">
        <v>0</v>
      </c>
      <c r="T120" s="216">
        <v>0</v>
      </c>
      <c r="U120" s="216">
        <v>0</v>
      </c>
      <c r="V120" s="216">
        <f>46+50+3+10</f>
        <v>109</v>
      </c>
      <c r="W120" s="52"/>
      <c r="X120" s="216">
        <v>420</v>
      </c>
      <c r="Y120" s="216">
        <v>48</v>
      </c>
      <c r="Z120" s="216">
        <f>27+56+11</f>
        <v>94</v>
      </c>
      <c r="AH120" s="46"/>
      <c r="AI120" s="46"/>
    </row>
    <row r="121" spans="1:35" x14ac:dyDescent="0.25">
      <c r="A121" s="31">
        <f>'M&amp;R Stations'!A112</f>
        <v>39071</v>
      </c>
      <c r="B121"/>
      <c r="C121" s="70">
        <f t="shared" si="7"/>
        <v>455</v>
      </c>
      <c r="D121" s="70">
        <f t="shared" si="8"/>
        <v>249</v>
      </c>
      <c r="E121" s="70">
        <f t="shared" si="9"/>
        <v>6</v>
      </c>
      <c r="F121" s="94">
        <f t="shared" si="10"/>
        <v>710</v>
      </c>
      <c r="G121" s="109">
        <f t="shared" si="11"/>
        <v>120</v>
      </c>
      <c r="H121" s="109">
        <f t="shared" si="12"/>
        <v>590</v>
      </c>
      <c r="J121" s="216">
        <v>0</v>
      </c>
      <c r="K121" s="216">
        <v>3</v>
      </c>
      <c r="L121" s="216">
        <v>2</v>
      </c>
      <c r="M121" s="216">
        <v>0</v>
      </c>
      <c r="N121" s="216">
        <v>0</v>
      </c>
      <c r="O121" s="216">
        <v>0</v>
      </c>
      <c r="P121" s="216">
        <v>0</v>
      </c>
      <c r="Q121" s="216">
        <v>0</v>
      </c>
      <c r="R121" s="216">
        <v>6</v>
      </c>
      <c r="S121" s="216">
        <v>0</v>
      </c>
      <c r="T121" s="216">
        <v>0</v>
      </c>
      <c r="U121" s="216">
        <v>0</v>
      </c>
      <c r="V121" s="216">
        <f>47+51+2+9</f>
        <v>109</v>
      </c>
      <c r="W121" s="52"/>
      <c r="X121" s="216">
        <v>450</v>
      </c>
      <c r="Y121" s="216">
        <v>46</v>
      </c>
      <c r="Z121" s="216">
        <f>25+60+9</f>
        <v>94</v>
      </c>
      <c r="AH121" s="46"/>
      <c r="AI121" s="46"/>
    </row>
    <row r="122" spans="1:35" x14ac:dyDescent="0.25">
      <c r="A122" s="31">
        <f>'M&amp;R Stations'!A113</f>
        <v>39072</v>
      </c>
      <c r="B122"/>
      <c r="C122" s="70">
        <f t="shared" si="7"/>
        <v>459</v>
      </c>
      <c r="D122" s="70">
        <f t="shared" si="8"/>
        <v>228</v>
      </c>
      <c r="E122" s="70">
        <f t="shared" si="9"/>
        <v>12</v>
      </c>
      <c r="F122" s="94">
        <f t="shared" si="10"/>
        <v>699</v>
      </c>
      <c r="G122" s="109">
        <f t="shared" si="11"/>
        <v>117</v>
      </c>
      <c r="H122" s="109">
        <f t="shared" si="12"/>
        <v>582</v>
      </c>
      <c r="J122" s="216">
        <v>0</v>
      </c>
      <c r="K122" s="216">
        <v>13</v>
      </c>
      <c r="L122" s="216">
        <v>2</v>
      </c>
      <c r="M122" s="216">
        <v>0</v>
      </c>
      <c r="N122" s="216">
        <v>0</v>
      </c>
      <c r="O122" s="216">
        <v>0</v>
      </c>
      <c r="P122" s="216">
        <v>0</v>
      </c>
      <c r="Q122" s="216">
        <v>0</v>
      </c>
      <c r="R122" s="216">
        <v>12</v>
      </c>
      <c r="S122" s="216">
        <v>0</v>
      </c>
      <c r="T122" s="216">
        <v>0</v>
      </c>
      <c r="U122" s="216">
        <v>0</v>
      </c>
      <c r="V122" s="216">
        <f>45+39+6</f>
        <v>90</v>
      </c>
      <c r="W122" s="52"/>
      <c r="X122" s="216">
        <v>444</v>
      </c>
      <c r="Y122" s="216">
        <v>46</v>
      </c>
      <c r="Z122" s="216">
        <f>28+55+9</f>
        <v>92</v>
      </c>
      <c r="AH122" s="46"/>
      <c r="AI122" s="46"/>
    </row>
    <row r="123" spans="1:35" x14ac:dyDescent="0.25">
      <c r="A123" s="31">
        <f>'M&amp;R Stations'!A114</f>
        <v>39073</v>
      </c>
      <c r="B123"/>
      <c r="C123" s="70">
        <f t="shared" si="7"/>
        <v>460</v>
      </c>
      <c r="D123" s="70">
        <f t="shared" si="8"/>
        <v>180</v>
      </c>
      <c r="E123" s="70">
        <f t="shared" si="9"/>
        <v>12</v>
      </c>
      <c r="F123" s="94">
        <f t="shared" si="10"/>
        <v>652</v>
      </c>
      <c r="G123" s="109">
        <f t="shared" si="11"/>
        <v>106</v>
      </c>
      <c r="H123" s="109">
        <f t="shared" si="12"/>
        <v>546</v>
      </c>
      <c r="J123" s="216">
        <v>0</v>
      </c>
      <c r="K123" s="216">
        <v>14</v>
      </c>
      <c r="L123" s="216">
        <v>4</v>
      </c>
      <c r="M123" s="216">
        <v>0</v>
      </c>
      <c r="N123" s="216">
        <v>4</v>
      </c>
      <c r="O123" s="216">
        <v>0</v>
      </c>
      <c r="P123" s="216">
        <v>0</v>
      </c>
      <c r="Q123" s="216">
        <v>0</v>
      </c>
      <c r="R123" s="216">
        <v>12</v>
      </c>
      <c r="S123" s="216">
        <v>0</v>
      </c>
      <c r="T123" s="216">
        <v>0</v>
      </c>
      <c r="U123" s="216">
        <v>0</v>
      </c>
      <c r="V123" s="216">
        <f>30+38+4</f>
        <v>72</v>
      </c>
      <c r="W123" s="52"/>
      <c r="X123" s="216">
        <v>438</v>
      </c>
      <c r="Y123" s="216">
        <v>36</v>
      </c>
      <c r="Z123" s="216">
        <f>25+39+8</f>
        <v>72</v>
      </c>
      <c r="AH123" s="46"/>
      <c r="AI123" s="46"/>
    </row>
    <row r="124" spans="1:35" x14ac:dyDescent="0.25">
      <c r="A124" s="31">
        <f>'M&amp;R Stations'!A115</f>
        <v>39074</v>
      </c>
      <c r="B124"/>
      <c r="C124" s="70">
        <f t="shared" si="7"/>
        <v>483</v>
      </c>
      <c r="D124" s="70">
        <f t="shared" si="8"/>
        <v>167</v>
      </c>
      <c r="E124" s="70">
        <f t="shared" si="9"/>
        <v>11</v>
      </c>
      <c r="F124" s="94">
        <f t="shared" si="10"/>
        <v>661</v>
      </c>
      <c r="G124" s="109">
        <f t="shared" si="11"/>
        <v>104</v>
      </c>
      <c r="H124" s="109">
        <f t="shared" si="12"/>
        <v>557</v>
      </c>
      <c r="J124" s="216">
        <v>0</v>
      </c>
      <c r="K124" s="216">
        <v>13</v>
      </c>
      <c r="L124" s="216">
        <v>4</v>
      </c>
      <c r="M124" s="216">
        <v>0</v>
      </c>
      <c r="N124" s="216">
        <v>15</v>
      </c>
      <c r="O124" s="216">
        <v>1</v>
      </c>
      <c r="P124" s="216">
        <v>0</v>
      </c>
      <c r="Q124" s="216">
        <v>0</v>
      </c>
      <c r="R124" s="216">
        <v>11</v>
      </c>
      <c r="S124" s="216">
        <v>0</v>
      </c>
      <c r="T124" s="216">
        <v>0</v>
      </c>
      <c r="U124" s="216">
        <v>0</v>
      </c>
      <c r="V124" s="216">
        <f>25+33+2</f>
        <v>60</v>
      </c>
      <c r="W124" s="52"/>
      <c r="X124" s="216">
        <v>450</v>
      </c>
      <c r="Y124" s="216">
        <v>38</v>
      </c>
      <c r="Z124" s="216">
        <f>31+32+6</f>
        <v>69</v>
      </c>
      <c r="AH124" s="46"/>
      <c r="AI124" s="46"/>
    </row>
    <row r="125" spans="1:35" x14ac:dyDescent="0.25">
      <c r="A125" s="31">
        <f>'M&amp;R Stations'!A116</f>
        <v>39075</v>
      </c>
      <c r="B125"/>
      <c r="C125" s="70">
        <f t="shared" si="7"/>
        <v>488</v>
      </c>
      <c r="D125" s="70">
        <f t="shared" si="8"/>
        <v>196</v>
      </c>
      <c r="E125" s="70">
        <f t="shared" si="9"/>
        <v>11</v>
      </c>
      <c r="F125" s="94">
        <f t="shared" si="10"/>
        <v>695</v>
      </c>
      <c r="G125" s="109">
        <f t="shared" si="11"/>
        <v>130</v>
      </c>
      <c r="H125" s="109">
        <f t="shared" si="12"/>
        <v>565</v>
      </c>
      <c r="J125" s="216">
        <v>0</v>
      </c>
      <c r="K125" s="216">
        <v>13</v>
      </c>
      <c r="L125" s="216">
        <v>2</v>
      </c>
      <c r="M125" s="216">
        <v>0</v>
      </c>
      <c r="N125" s="216">
        <v>23</v>
      </c>
      <c r="O125" s="216">
        <v>0</v>
      </c>
      <c r="P125" s="216">
        <v>0</v>
      </c>
      <c r="Q125" s="216">
        <v>0</v>
      </c>
      <c r="R125" s="216">
        <v>11</v>
      </c>
      <c r="S125" s="216">
        <v>0</v>
      </c>
      <c r="T125" s="216">
        <v>0</v>
      </c>
      <c r="U125" s="216">
        <v>0</v>
      </c>
      <c r="V125" s="216">
        <f>39+39+3</f>
        <v>81</v>
      </c>
      <c r="W125" s="52"/>
      <c r="X125" s="216">
        <v>450</v>
      </c>
      <c r="Y125" s="216">
        <v>39</v>
      </c>
      <c r="Z125" s="216">
        <f>25+44+7</f>
        <v>76</v>
      </c>
      <c r="AH125" s="46"/>
      <c r="AI125" s="46"/>
    </row>
    <row r="126" spans="1:35" x14ac:dyDescent="0.25">
      <c r="A126" s="31">
        <f>'M&amp;R Stations'!A117</f>
        <v>39076</v>
      </c>
      <c r="B126"/>
      <c r="C126" s="70">
        <f t="shared" si="7"/>
        <v>486</v>
      </c>
      <c r="D126" s="70">
        <f t="shared" si="8"/>
        <v>193</v>
      </c>
      <c r="E126" s="70">
        <f t="shared" si="9"/>
        <v>12</v>
      </c>
      <c r="F126" s="94">
        <f t="shared" si="10"/>
        <v>691</v>
      </c>
      <c r="G126" s="109">
        <f t="shared" si="11"/>
        <v>131</v>
      </c>
      <c r="H126" s="109">
        <f t="shared" si="12"/>
        <v>560</v>
      </c>
      <c r="J126" s="216">
        <v>0</v>
      </c>
      <c r="K126" s="216">
        <v>13</v>
      </c>
      <c r="L126" s="216">
        <v>4</v>
      </c>
      <c r="M126" s="216">
        <v>0</v>
      </c>
      <c r="N126" s="216">
        <v>22</v>
      </c>
      <c r="O126" s="216">
        <v>0</v>
      </c>
      <c r="P126" s="216">
        <v>0</v>
      </c>
      <c r="Q126" s="216">
        <v>0</v>
      </c>
      <c r="R126" s="216">
        <v>12</v>
      </c>
      <c r="S126" s="216">
        <v>0</v>
      </c>
      <c r="T126" s="216">
        <v>0</v>
      </c>
      <c r="U126" s="216">
        <v>0</v>
      </c>
      <c r="V126" s="216">
        <f>38+41+1</f>
        <v>80</v>
      </c>
      <c r="W126" s="52"/>
      <c r="X126" s="216">
        <v>447</v>
      </c>
      <c r="Y126" s="216">
        <v>36</v>
      </c>
      <c r="Z126" s="216">
        <f>28+41+8</f>
        <v>77</v>
      </c>
      <c r="AH126" s="46"/>
      <c r="AI126" s="46"/>
    </row>
    <row r="127" spans="1:35" x14ac:dyDescent="0.25">
      <c r="A127" s="31">
        <f>'M&amp;R Stations'!A118</f>
        <v>39077</v>
      </c>
      <c r="B127"/>
      <c r="C127" s="70">
        <f t="shared" si="7"/>
        <v>478</v>
      </c>
      <c r="D127" s="70">
        <f t="shared" si="8"/>
        <v>182</v>
      </c>
      <c r="E127" s="70">
        <f t="shared" si="9"/>
        <v>12</v>
      </c>
      <c r="F127" s="94">
        <f t="shared" si="10"/>
        <v>672</v>
      </c>
      <c r="G127" s="109">
        <f t="shared" si="11"/>
        <v>118</v>
      </c>
      <c r="H127" s="109">
        <f t="shared" si="12"/>
        <v>554</v>
      </c>
      <c r="J127" s="216">
        <v>0</v>
      </c>
      <c r="K127" s="216">
        <v>14</v>
      </c>
      <c r="L127" s="216">
        <v>5</v>
      </c>
      <c r="M127" s="216">
        <v>0</v>
      </c>
      <c r="N127" s="216">
        <v>13</v>
      </c>
      <c r="O127" s="216">
        <v>0</v>
      </c>
      <c r="P127" s="216">
        <v>0</v>
      </c>
      <c r="Q127" s="216">
        <v>0</v>
      </c>
      <c r="R127" s="216">
        <v>12</v>
      </c>
      <c r="S127" s="216">
        <v>0</v>
      </c>
      <c r="T127" s="216">
        <v>0</v>
      </c>
      <c r="U127" s="216">
        <v>0</v>
      </c>
      <c r="V127" s="216">
        <f>39+32+3</f>
        <v>74</v>
      </c>
      <c r="W127" s="52"/>
      <c r="X127" s="216">
        <v>446</v>
      </c>
      <c r="Y127" s="216">
        <v>24</v>
      </c>
      <c r="Z127" s="216">
        <f>35+41+8</f>
        <v>84</v>
      </c>
      <c r="AH127" s="46"/>
      <c r="AI127" s="46"/>
    </row>
    <row r="128" spans="1:35" x14ac:dyDescent="0.25">
      <c r="A128" s="31">
        <f>'M&amp;R Stations'!A119</f>
        <v>39078</v>
      </c>
      <c r="B128"/>
      <c r="C128" s="70">
        <f t="shared" si="7"/>
        <v>479</v>
      </c>
      <c r="D128" s="70">
        <f t="shared" si="8"/>
        <v>274</v>
      </c>
      <c r="E128" s="70">
        <f t="shared" si="9"/>
        <v>11</v>
      </c>
      <c r="F128" s="94">
        <f t="shared" si="10"/>
        <v>764</v>
      </c>
      <c r="G128" s="109">
        <f t="shared" si="11"/>
        <v>159</v>
      </c>
      <c r="H128" s="109">
        <f t="shared" si="12"/>
        <v>605</v>
      </c>
      <c r="J128" s="216">
        <v>0</v>
      </c>
      <c r="K128" s="216">
        <v>13</v>
      </c>
      <c r="L128" s="216">
        <v>2</v>
      </c>
      <c r="M128" s="216">
        <v>0</v>
      </c>
      <c r="N128" s="216">
        <v>21</v>
      </c>
      <c r="O128" s="216">
        <v>0</v>
      </c>
      <c r="P128" s="216">
        <v>0</v>
      </c>
      <c r="Q128" s="216">
        <v>0</v>
      </c>
      <c r="R128" s="216">
        <v>11</v>
      </c>
      <c r="S128" s="216">
        <v>0</v>
      </c>
      <c r="T128" s="216">
        <v>0</v>
      </c>
      <c r="U128" s="216">
        <v>0</v>
      </c>
      <c r="V128" s="216">
        <f>50+3+45+14</f>
        <v>112</v>
      </c>
      <c r="W128" s="52"/>
      <c r="X128" s="216">
        <v>443</v>
      </c>
      <c r="Y128" s="216">
        <v>63</v>
      </c>
      <c r="Z128" s="216">
        <f>30+59+10</f>
        <v>99</v>
      </c>
      <c r="AH128" s="46"/>
      <c r="AI128" s="46"/>
    </row>
    <row r="129" spans="1:35" x14ac:dyDescent="0.25">
      <c r="A129" s="31">
        <f>'M&amp;R Stations'!A120</f>
        <v>39079</v>
      </c>
      <c r="B129"/>
      <c r="C129" s="70">
        <f t="shared" si="7"/>
        <v>487</v>
      </c>
      <c r="D129" s="70">
        <f t="shared" si="8"/>
        <v>230</v>
      </c>
      <c r="E129" s="70">
        <f t="shared" si="9"/>
        <v>30</v>
      </c>
      <c r="F129" s="94">
        <f t="shared" si="10"/>
        <v>747</v>
      </c>
      <c r="G129" s="109">
        <f t="shared" si="11"/>
        <v>138</v>
      </c>
      <c r="H129" s="109">
        <f t="shared" si="12"/>
        <v>609</v>
      </c>
      <c r="J129" s="216">
        <v>0</v>
      </c>
      <c r="K129" s="216">
        <v>15</v>
      </c>
      <c r="L129" s="216">
        <v>1</v>
      </c>
      <c r="M129" s="216">
        <v>0</v>
      </c>
      <c r="N129" s="216">
        <v>0</v>
      </c>
      <c r="O129" s="216">
        <v>0</v>
      </c>
      <c r="P129" s="216">
        <v>0</v>
      </c>
      <c r="Q129" s="216">
        <v>0</v>
      </c>
      <c r="R129" s="216">
        <v>11</v>
      </c>
      <c r="S129" s="216">
        <v>0</v>
      </c>
      <c r="T129" s="216">
        <v>0</v>
      </c>
      <c r="U129" s="216">
        <v>19</v>
      </c>
      <c r="V129" s="216">
        <f>50+39+3</f>
        <v>92</v>
      </c>
      <c r="W129" s="52"/>
      <c r="X129" s="216">
        <v>471</v>
      </c>
      <c r="Y129" s="216">
        <v>50</v>
      </c>
      <c r="Z129" s="216">
        <f>28+51+9</f>
        <v>88</v>
      </c>
      <c r="AH129" s="46"/>
      <c r="AI129" s="46"/>
    </row>
    <row r="130" spans="1:35" x14ac:dyDescent="0.25">
      <c r="A130" s="31">
        <f>'M&amp;R Stations'!A121</f>
        <v>39080</v>
      </c>
      <c r="B130"/>
      <c r="C130" s="70">
        <f t="shared" si="7"/>
        <v>480</v>
      </c>
      <c r="D130" s="70">
        <f t="shared" si="8"/>
        <v>219</v>
      </c>
      <c r="E130" s="70">
        <f t="shared" si="9"/>
        <v>12</v>
      </c>
      <c r="F130" s="94">
        <f t="shared" si="10"/>
        <v>711</v>
      </c>
      <c r="G130" s="109">
        <f t="shared" si="11"/>
        <v>115</v>
      </c>
      <c r="H130" s="109">
        <f t="shared" si="12"/>
        <v>596</v>
      </c>
      <c r="J130" s="216">
        <v>0</v>
      </c>
      <c r="K130" s="216">
        <v>15</v>
      </c>
      <c r="L130" s="216">
        <v>2</v>
      </c>
      <c r="M130" s="216">
        <v>0</v>
      </c>
      <c r="N130" s="216">
        <v>0</v>
      </c>
      <c r="O130" s="216">
        <v>0</v>
      </c>
      <c r="P130" s="216">
        <v>0</v>
      </c>
      <c r="Q130" s="216">
        <v>0</v>
      </c>
      <c r="R130" s="216">
        <v>12</v>
      </c>
      <c r="S130" s="216">
        <v>0</v>
      </c>
      <c r="T130" s="216">
        <v>0</v>
      </c>
      <c r="U130" s="216">
        <v>0</v>
      </c>
      <c r="V130" s="216">
        <f>44+39+3</f>
        <v>86</v>
      </c>
      <c r="W130" s="52"/>
      <c r="X130" s="216">
        <v>463</v>
      </c>
      <c r="Y130" s="216">
        <v>49</v>
      </c>
      <c r="Z130" s="216">
        <f>28+48+8</f>
        <v>84</v>
      </c>
      <c r="AH130" s="46"/>
      <c r="AI130" s="46"/>
    </row>
    <row r="131" spans="1:35" x14ac:dyDescent="0.25">
      <c r="A131" s="31">
        <f>'M&amp;R Stations'!A122</f>
        <v>39081</v>
      </c>
      <c r="B131"/>
      <c r="C131" s="70">
        <f t="shared" si="7"/>
        <v>489</v>
      </c>
      <c r="D131" s="70">
        <f t="shared" si="8"/>
        <v>218</v>
      </c>
      <c r="E131" s="70">
        <f t="shared" si="9"/>
        <v>11</v>
      </c>
      <c r="F131" s="94">
        <f t="shared" si="10"/>
        <v>718</v>
      </c>
      <c r="G131" s="109">
        <f t="shared" si="11"/>
        <v>114</v>
      </c>
      <c r="H131" s="109">
        <f t="shared" si="12"/>
        <v>604</v>
      </c>
      <c r="J131" s="216">
        <v>0</v>
      </c>
      <c r="K131" s="216">
        <v>13</v>
      </c>
      <c r="L131" s="216">
        <v>2</v>
      </c>
      <c r="M131" s="216">
        <v>0</v>
      </c>
      <c r="N131" s="216">
        <v>0</v>
      </c>
      <c r="O131" s="216">
        <v>0</v>
      </c>
      <c r="P131" s="216">
        <v>0</v>
      </c>
      <c r="Q131" s="216">
        <v>0</v>
      </c>
      <c r="R131" s="216">
        <v>11</v>
      </c>
      <c r="S131" s="216">
        <v>0</v>
      </c>
      <c r="T131" s="216">
        <v>0</v>
      </c>
      <c r="U131" s="216">
        <v>0</v>
      </c>
      <c r="V131" s="216">
        <f>46+39+3</f>
        <v>88</v>
      </c>
      <c r="W131" s="52"/>
      <c r="X131" s="216">
        <v>474</v>
      </c>
      <c r="Y131" s="216">
        <v>47</v>
      </c>
      <c r="Z131" s="216">
        <f>26+50+7</f>
        <v>83</v>
      </c>
      <c r="AH131" s="46"/>
      <c r="AI131" s="46"/>
    </row>
    <row r="132" spans="1:35" x14ac:dyDescent="0.25">
      <c r="A132" s="31">
        <f>'M&amp;R Stations'!A123</f>
        <v>39082</v>
      </c>
      <c r="B132"/>
      <c r="C132" s="70">
        <f t="shared" si="7"/>
        <v>504</v>
      </c>
      <c r="D132" s="70">
        <f t="shared" si="8"/>
        <v>194</v>
      </c>
      <c r="E132" s="70">
        <f t="shared" si="9"/>
        <v>10</v>
      </c>
      <c r="F132" s="94">
        <f t="shared" si="10"/>
        <v>708</v>
      </c>
      <c r="G132" s="109">
        <f t="shared" si="11"/>
        <v>117</v>
      </c>
      <c r="H132" s="109">
        <f t="shared" si="12"/>
        <v>591</v>
      </c>
      <c r="J132" s="216">
        <v>0</v>
      </c>
      <c r="K132" s="216">
        <v>14</v>
      </c>
      <c r="L132" s="216">
        <v>4</v>
      </c>
      <c r="M132" s="216">
        <v>0</v>
      </c>
      <c r="N132" s="216">
        <v>2</v>
      </c>
      <c r="O132" s="216">
        <v>0</v>
      </c>
      <c r="P132" s="216">
        <v>0</v>
      </c>
      <c r="Q132" s="216">
        <v>0</v>
      </c>
      <c r="R132" s="216">
        <v>10</v>
      </c>
      <c r="S132" s="216">
        <v>0</v>
      </c>
      <c r="T132" s="216">
        <v>0</v>
      </c>
      <c r="U132" s="216">
        <v>0</v>
      </c>
      <c r="V132" s="216">
        <f>44+43</f>
        <v>87</v>
      </c>
      <c r="W132" s="52"/>
      <c r="X132" s="216">
        <v>484</v>
      </c>
      <c r="Y132" s="216">
        <v>32</v>
      </c>
      <c r="Z132" s="216">
        <f>26+42+7</f>
        <v>75</v>
      </c>
      <c r="AH132" s="46"/>
      <c r="AI132" s="46"/>
    </row>
    <row r="133" spans="1:35" x14ac:dyDescent="0.25">
      <c r="A133" s="96"/>
      <c r="B133" s="97"/>
      <c r="C133" s="98"/>
      <c r="D133" s="98"/>
      <c r="E133" s="98"/>
      <c r="F133" s="98"/>
      <c r="G133" s="98" t="str">
        <f t="shared" si="11"/>
        <v/>
      </c>
      <c r="H133" s="98" t="str">
        <f t="shared" si="12"/>
        <v/>
      </c>
      <c r="J133" s="95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255"/>
      <c r="X133" s="98"/>
      <c r="Y133" s="98"/>
      <c r="Z133" s="98"/>
      <c r="AH133" s="46"/>
      <c r="AI133" s="46"/>
    </row>
    <row r="134" spans="1:35" x14ac:dyDescent="0.25">
      <c r="A134" s="31">
        <f>'M&amp;R Stations'!A124</f>
        <v>39083</v>
      </c>
      <c r="B134"/>
      <c r="C134" s="70">
        <f t="shared" si="7"/>
        <v>515</v>
      </c>
      <c r="D134" s="70">
        <f t="shared" si="8"/>
        <v>182</v>
      </c>
      <c r="E134" s="70">
        <f t="shared" si="9"/>
        <v>9</v>
      </c>
      <c r="F134" s="94">
        <f t="shared" si="10"/>
        <v>706</v>
      </c>
      <c r="G134" s="109">
        <f t="shared" si="11"/>
        <v>102</v>
      </c>
      <c r="H134" s="109">
        <f t="shared" si="12"/>
        <v>604</v>
      </c>
      <c r="J134" s="216">
        <v>0</v>
      </c>
      <c r="K134" s="216">
        <v>13</v>
      </c>
      <c r="L134" s="216">
        <v>5</v>
      </c>
      <c r="M134" s="216">
        <v>0</v>
      </c>
      <c r="N134" s="216">
        <v>5</v>
      </c>
      <c r="O134" s="216">
        <v>0</v>
      </c>
      <c r="P134" s="216">
        <v>0</v>
      </c>
      <c r="Q134" s="216">
        <v>0</v>
      </c>
      <c r="R134" s="216">
        <v>9</v>
      </c>
      <c r="S134" s="216">
        <v>0</v>
      </c>
      <c r="T134" s="216">
        <v>0</v>
      </c>
      <c r="U134" s="216">
        <v>0</v>
      </c>
      <c r="V134" s="216">
        <f>34+33+3</f>
        <v>70</v>
      </c>
      <c r="W134" s="75"/>
      <c r="X134" s="216">
        <v>492</v>
      </c>
      <c r="Y134" s="216">
        <v>35</v>
      </c>
      <c r="Z134" s="216">
        <f>33+37+7</f>
        <v>77</v>
      </c>
      <c r="AH134" s="46"/>
      <c r="AI134" s="46"/>
    </row>
    <row r="135" spans="1:35" x14ac:dyDescent="0.25">
      <c r="A135" s="31">
        <f>'M&amp;R Stations'!A125</f>
        <v>39084</v>
      </c>
      <c r="B135"/>
      <c r="C135" s="70">
        <f t="shared" si="7"/>
        <v>463</v>
      </c>
      <c r="D135" s="70">
        <f t="shared" si="8"/>
        <v>252</v>
      </c>
      <c r="E135" s="70">
        <f t="shared" si="9"/>
        <v>10</v>
      </c>
      <c r="F135" s="94">
        <f t="shared" si="10"/>
        <v>725</v>
      </c>
      <c r="G135" s="109">
        <f t="shared" si="11"/>
        <v>138</v>
      </c>
      <c r="H135" s="109">
        <f t="shared" si="12"/>
        <v>587</v>
      </c>
      <c r="J135" s="216">
        <v>0</v>
      </c>
      <c r="K135" s="216">
        <v>13</v>
      </c>
      <c r="L135" s="216">
        <v>2</v>
      </c>
      <c r="M135" s="216">
        <v>0</v>
      </c>
      <c r="N135" s="216">
        <v>0</v>
      </c>
      <c r="O135" s="216">
        <v>0</v>
      </c>
      <c r="P135" s="216">
        <v>0</v>
      </c>
      <c r="Q135" s="216">
        <v>0</v>
      </c>
      <c r="R135" s="216">
        <v>10</v>
      </c>
      <c r="S135" s="216">
        <v>0</v>
      </c>
      <c r="T135" s="216">
        <v>0</v>
      </c>
      <c r="U135" s="216">
        <v>0</v>
      </c>
      <c r="V135" s="216">
        <v>113</v>
      </c>
      <c r="W135" s="75"/>
      <c r="X135" s="216">
        <v>448</v>
      </c>
      <c r="Y135" s="216">
        <v>49</v>
      </c>
      <c r="Z135" s="216">
        <v>90</v>
      </c>
      <c r="AH135" s="46"/>
      <c r="AI135" s="46"/>
    </row>
    <row r="136" spans="1:35" x14ac:dyDescent="0.25">
      <c r="A136" s="31">
        <f>'M&amp;R Stations'!A126</f>
        <v>39085</v>
      </c>
      <c r="B136"/>
      <c r="C136" s="70">
        <f t="shared" si="7"/>
        <v>459</v>
      </c>
      <c r="D136" s="70">
        <f t="shared" si="8"/>
        <v>227</v>
      </c>
      <c r="E136" s="70">
        <f t="shared" si="9"/>
        <v>11</v>
      </c>
      <c r="F136" s="94">
        <f t="shared" si="10"/>
        <v>697</v>
      </c>
      <c r="G136" s="109">
        <f t="shared" si="11"/>
        <v>123</v>
      </c>
      <c r="H136" s="109">
        <f t="shared" si="12"/>
        <v>574</v>
      </c>
      <c r="J136" s="216">
        <v>0</v>
      </c>
      <c r="K136" s="216">
        <v>15</v>
      </c>
      <c r="L136" s="216">
        <v>3</v>
      </c>
      <c r="M136" s="216">
        <v>0</v>
      </c>
      <c r="N136" s="216">
        <v>0</v>
      </c>
      <c r="O136" s="216">
        <v>0</v>
      </c>
      <c r="P136" s="216">
        <v>0</v>
      </c>
      <c r="Q136" s="216">
        <v>0</v>
      </c>
      <c r="R136" s="216">
        <v>11</v>
      </c>
      <c r="S136" s="216">
        <v>0</v>
      </c>
      <c r="T136" s="216">
        <v>0</v>
      </c>
      <c r="U136" s="216">
        <v>0</v>
      </c>
      <c r="V136" s="216">
        <v>94</v>
      </c>
      <c r="W136" s="75"/>
      <c r="X136" s="216">
        <v>441</v>
      </c>
      <c r="Y136" s="216">
        <v>41</v>
      </c>
      <c r="Z136" s="216">
        <v>92</v>
      </c>
      <c r="AH136" s="46"/>
      <c r="AI136" s="46"/>
    </row>
    <row r="137" spans="1:35" x14ac:dyDescent="0.25">
      <c r="A137" s="31">
        <f>'M&amp;R Stations'!A127</f>
        <v>39086</v>
      </c>
      <c r="B137"/>
      <c r="C137" s="70">
        <f t="shared" ref="C137:C200" si="13">IF(J137="","",J137+K137+L137+M137+N137+O137+Q137+P137+X137)</f>
        <v>491</v>
      </c>
      <c r="D137" s="70">
        <f t="shared" ref="D137:D200" si="14">IF(J137="","",S137+V137+Y137+Z137)</f>
        <v>167</v>
      </c>
      <c r="E137" s="70">
        <f t="shared" ref="E137:E200" si="15">IF(J137="","",R137+T137+U137)</f>
        <v>12</v>
      </c>
      <c r="F137" s="94">
        <f t="shared" ref="F137:F200" si="16">IF(J137="","",C137+D137+E137)</f>
        <v>670</v>
      </c>
      <c r="G137" s="109">
        <f t="shared" ref="G137:G200" si="17">IF(J137="","",SUM(J137:V137))</f>
        <v>120</v>
      </c>
      <c r="H137" s="109">
        <f t="shared" ref="H137:H200" si="18">IF(J137="","",SUM(X137:Z137))</f>
        <v>550</v>
      </c>
      <c r="J137" s="216">
        <v>0</v>
      </c>
      <c r="K137" s="216">
        <v>28</v>
      </c>
      <c r="L137" s="216">
        <v>3</v>
      </c>
      <c r="M137" s="216">
        <v>0</v>
      </c>
      <c r="N137" s="216">
        <v>13</v>
      </c>
      <c r="O137" s="216">
        <v>2</v>
      </c>
      <c r="P137" s="216">
        <v>0</v>
      </c>
      <c r="Q137" s="216">
        <v>0</v>
      </c>
      <c r="R137" s="216">
        <v>12</v>
      </c>
      <c r="S137" s="216">
        <v>0</v>
      </c>
      <c r="T137" s="216">
        <v>0</v>
      </c>
      <c r="U137" s="216">
        <v>0</v>
      </c>
      <c r="V137" s="216">
        <f>31+30+1</f>
        <v>62</v>
      </c>
      <c r="W137" s="75"/>
      <c r="X137" s="216">
        <v>445</v>
      </c>
      <c r="Y137" s="216">
        <v>34</v>
      </c>
      <c r="Z137" s="216">
        <f>24+37+10</f>
        <v>71</v>
      </c>
      <c r="AH137" s="46"/>
      <c r="AI137" s="46"/>
    </row>
    <row r="138" spans="1:35" x14ac:dyDescent="0.25">
      <c r="A138" s="31">
        <f>'M&amp;R Stations'!A128</f>
        <v>39087</v>
      </c>
      <c r="B138"/>
      <c r="C138" s="70">
        <f t="shared" si="13"/>
        <v>499</v>
      </c>
      <c r="D138" s="70">
        <f t="shared" si="14"/>
        <v>106</v>
      </c>
      <c r="E138" s="70">
        <f t="shared" si="15"/>
        <v>13</v>
      </c>
      <c r="F138" s="94">
        <f t="shared" si="16"/>
        <v>618</v>
      </c>
      <c r="G138" s="109">
        <f t="shared" si="17"/>
        <v>101</v>
      </c>
      <c r="H138" s="109">
        <f t="shared" si="18"/>
        <v>517</v>
      </c>
      <c r="J138" s="216">
        <v>0</v>
      </c>
      <c r="K138" s="216">
        <v>23</v>
      </c>
      <c r="L138" s="216">
        <v>4</v>
      </c>
      <c r="M138" s="216">
        <v>0</v>
      </c>
      <c r="N138" s="216">
        <v>9</v>
      </c>
      <c r="O138" s="216">
        <v>14</v>
      </c>
      <c r="P138" s="216">
        <v>0</v>
      </c>
      <c r="Q138" s="216">
        <v>0</v>
      </c>
      <c r="R138" s="216">
        <v>13</v>
      </c>
      <c r="S138" s="216">
        <v>0</v>
      </c>
      <c r="T138" s="216">
        <v>0</v>
      </c>
      <c r="U138" s="216">
        <v>0</v>
      </c>
      <c r="V138" s="216">
        <f>16+22</f>
        <v>38</v>
      </c>
      <c r="W138" s="75"/>
      <c r="X138" s="216">
        <v>449</v>
      </c>
      <c r="Y138" s="216">
        <v>22</v>
      </c>
      <c r="Z138" s="216">
        <f>19+20+7</f>
        <v>46</v>
      </c>
      <c r="AH138" s="46"/>
      <c r="AI138" s="46"/>
    </row>
    <row r="139" spans="1:35" x14ac:dyDescent="0.25">
      <c r="A139" s="31">
        <f>'M&amp;R Stations'!A129</f>
        <v>39088</v>
      </c>
      <c r="B139"/>
      <c r="C139" s="70">
        <f t="shared" si="13"/>
        <v>507</v>
      </c>
      <c r="D139" s="70">
        <f t="shared" si="14"/>
        <v>112</v>
      </c>
      <c r="E139" s="70">
        <f t="shared" si="15"/>
        <v>11</v>
      </c>
      <c r="F139" s="94">
        <f t="shared" si="16"/>
        <v>630</v>
      </c>
      <c r="G139" s="109">
        <f t="shared" si="17"/>
        <v>94</v>
      </c>
      <c r="H139" s="109">
        <f t="shared" si="18"/>
        <v>536</v>
      </c>
      <c r="J139" s="216">
        <v>0</v>
      </c>
      <c r="K139" s="216">
        <v>24</v>
      </c>
      <c r="L139" s="216">
        <v>3</v>
      </c>
      <c r="M139" s="216">
        <v>0</v>
      </c>
      <c r="N139" s="216">
        <v>0</v>
      </c>
      <c r="O139" s="216">
        <v>20</v>
      </c>
      <c r="P139" s="216">
        <v>0</v>
      </c>
      <c r="Q139" s="216">
        <v>0</v>
      </c>
      <c r="R139" s="216">
        <v>11</v>
      </c>
      <c r="S139" s="216">
        <v>0</v>
      </c>
      <c r="T139" s="216">
        <v>0</v>
      </c>
      <c r="U139" s="216">
        <v>0</v>
      </c>
      <c r="V139" s="216">
        <f>16+20</f>
        <v>36</v>
      </c>
      <c r="W139" s="75"/>
      <c r="X139" s="216">
        <v>460</v>
      </c>
      <c r="Y139" s="216">
        <v>25</v>
      </c>
      <c r="Z139" s="216">
        <f>18+26+7</f>
        <v>51</v>
      </c>
      <c r="AH139" s="46"/>
      <c r="AI139" s="46"/>
    </row>
    <row r="140" spans="1:35" x14ac:dyDescent="0.25">
      <c r="A140" s="31">
        <f>'M&amp;R Stations'!A130</f>
        <v>39089</v>
      </c>
      <c r="B140"/>
      <c r="C140" s="70">
        <f t="shared" si="13"/>
        <v>522</v>
      </c>
      <c r="D140" s="70">
        <f t="shared" si="14"/>
        <v>173</v>
      </c>
      <c r="E140" s="70">
        <f t="shared" si="15"/>
        <v>8</v>
      </c>
      <c r="F140" s="94">
        <f t="shared" si="16"/>
        <v>703</v>
      </c>
      <c r="G140" s="109">
        <f t="shared" si="17"/>
        <v>112</v>
      </c>
      <c r="H140" s="109">
        <f t="shared" si="18"/>
        <v>591</v>
      </c>
      <c r="J140" s="216">
        <v>0</v>
      </c>
      <c r="K140" s="216">
        <v>24</v>
      </c>
      <c r="L140" s="216">
        <v>2</v>
      </c>
      <c r="M140" s="216">
        <v>0</v>
      </c>
      <c r="N140" s="216">
        <v>0</v>
      </c>
      <c r="O140" s="216">
        <v>12</v>
      </c>
      <c r="P140" s="216">
        <v>0</v>
      </c>
      <c r="Q140" s="216">
        <v>0</v>
      </c>
      <c r="R140" s="216">
        <v>8</v>
      </c>
      <c r="S140" s="216">
        <v>0</v>
      </c>
      <c r="T140" s="216">
        <v>0</v>
      </c>
      <c r="U140" s="216">
        <v>0</v>
      </c>
      <c r="V140" s="216">
        <f>27+39</f>
        <v>66</v>
      </c>
      <c r="W140" s="75"/>
      <c r="X140" s="216">
        <v>484</v>
      </c>
      <c r="Y140" s="216">
        <v>35</v>
      </c>
      <c r="Z140" s="216">
        <f>26+36+10</f>
        <v>72</v>
      </c>
      <c r="AH140" s="46"/>
      <c r="AI140" s="46"/>
    </row>
    <row r="141" spans="1:35" x14ac:dyDescent="0.25">
      <c r="A141" s="31">
        <f>'M&amp;R Stations'!A131</f>
        <v>39090</v>
      </c>
      <c r="B141"/>
      <c r="C141" s="70">
        <f t="shared" si="13"/>
        <v>519</v>
      </c>
      <c r="D141" s="70">
        <f t="shared" si="14"/>
        <v>223</v>
      </c>
      <c r="E141" s="70">
        <f t="shared" si="15"/>
        <v>10</v>
      </c>
      <c r="F141" s="94">
        <f t="shared" si="16"/>
        <v>752</v>
      </c>
      <c r="G141" s="109">
        <f t="shared" si="17"/>
        <v>143</v>
      </c>
      <c r="H141" s="109">
        <f t="shared" si="18"/>
        <v>609</v>
      </c>
      <c r="J141" s="216">
        <v>0</v>
      </c>
      <c r="K141" s="216">
        <v>24</v>
      </c>
      <c r="L141" s="216">
        <v>3</v>
      </c>
      <c r="M141" s="216">
        <v>0</v>
      </c>
      <c r="N141" s="216">
        <v>0</v>
      </c>
      <c r="O141" s="216">
        <v>6</v>
      </c>
      <c r="P141" s="216">
        <v>0</v>
      </c>
      <c r="Q141" s="216">
        <v>0</v>
      </c>
      <c r="R141" s="216">
        <v>10</v>
      </c>
      <c r="S141" s="216">
        <v>0</v>
      </c>
      <c r="T141" s="216">
        <v>0</v>
      </c>
      <c r="U141" s="216">
        <v>0</v>
      </c>
      <c r="V141" s="216">
        <f>37+45+7+11</f>
        <v>100</v>
      </c>
      <c r="W141" s="75"/>
      <c r="X141" s="216">
        <v>486</v>
      </c>
      <c r="Y141" s="216">
        <v>29</v>
      </c>
      <c r="Z141" s="216">
        <f>34+47+13</f>
        <v>94</v>
      </c>
      <c r="AH141" s="46"/>
      <c r="AI141" s="46"/>
    </row>
    <row r="142" spans="1:35" x14ac:dyDescent="0.25">
      <c r="A142" s="31">
        <f>'M&amp;R Stations'!A132</f>
        <v>39091</v>
      </c>
      <c r="B142"/>
      <c r="C142" s="70">
        <f t="shared" si="13"/>
        <v>521</v>
      </c>
      <c r="D142" s="70">
        <f t="shared" si="14"/>
        <v>297</v>
      </c>
      <c r="E142" s="70">
        <f t="shared" si="15"/>
        <v>11</v>
      </c>
      <c r="F142" s="94">
        <f t="shared" si="16"/>
        <v>829</v>
      </c>
      <c r="G142" s="109">
        <f t="shared" si="17"/>
        <v>166</v>
      </c>
      <c r="H142" s="109">
        <f t="shared" si="18"/>
        <v>663</v>
      </c>
      <c r="J142" s="216">
        <v>0</v>
      </c>
      <c r="K142" s="216">
        <v>26</v>
      </c>
      <c r="L142" s="216">
        <v>3</v>
      </c>
      <c r="M142" s="216">
        <v>0</v>
      </c>
      <c r="N142" s="216">
        <v>0</v>
      </c>
      <c r="O142" s="216">
        <v>0</v>
      </c>
      <c r="P142" s="216">
        <v>7</v>
      </c>
      <c r="Q142" s="216">
        <v>0</v>
      </c>
      <c r="R142" s="216">
        <v>11</v>
      </c>
      <c r="S142" s="216">
        <v>0</v>
      </c>
      <c r="T142" s="216">
        <v>0</v>
      </c>
      <c r="U142" s="216">
        <v>0</v>
      </c>
      <c r="V142" s="216">
        <f>45+2+53+4+15</f>
        <v>119</v>
      </c>
      <c r="W142" s="75"/>
      <c r="X142" s="216">
        <v>485</v>
      </c>
      <c r="Y142" s="216">
        <v>69</v>
      </c>
      <c r="Z142" s="216">
        <f>37+58+14</f>
        <v>109</v>
      </c>
      <c r="AH142" s="46"/>
      <c r="AI142" s="46"/>
    </row>
    <row r="143" spans="1:35" x14ac:dyDescent="0.25">
      <c r="A143" s="31">
        <f>'M&amp;R Stations'!A133</f>
        <v>39092</v>
      </c>
      <c r="B143"/>
      <c r="C143" s="70">
        <f t="shared" si="13"/>
        <v>511</v>
      </c>
      <c r="D143" s="70">
        <f t="shared" si="14"/>
        <v>379</v>
      </c>
      <c r="E143" s="70">
        <f t="shared" si="15"/>
        <v>32</v>
      </c>
      <c r="F143" s="94">
        <f t="shared" si="16"/>
        <v>922</v>
      </c>
      <c r="G143" s="109">
        <f t="shared" si="17"/>
        <v>243</v>
      </c>
      <c r="H143" s="109">
        <f t="shared" si="18"/>
        <v>679</v>
      </c>
      <c r="J143" s="216">
        <v>0</v>
      </c>
      <c r="K143" s="216">
        <v>19</v>
      </c>
      <c r="L143" s="216">
        <v>2</v>
      </c>
      <c r="M143" s="216">
        <v>0</v>
      </c>
      <c r="N143" s="216">
        <v>0</v>
      </c>
      <c r="O143" s="216">
        <v>0</v>
      </c>
      <c r="P143" s="216">
        <v>33</v>
      </c>
      <c r="Q143" s="216">
        <v>0</v>
      </c>
      <c r="R143" s="216">
        <v>21</v>
      </c>
      <c r="S143" s="216">
        <v>0</v>
      </c>
      <c r="T143" s="216">
        <v>0</v>
      </c>
      <c r="U143" s="216">
        <v>11</v>
      </c>
      <c r="V143" s="216">
        <f>42+21+61+15+18</f>
        <v>157</v>
      </c>
      <c r="W143" s="75"/>
      <c r="X143" s="216">
        <v>457</v>
      </c>
      <c r="Y143" s="216">
        <v>91</v>
      </c>
      <c r="Z143" s="216">
        <f>51+64+16</f>
        <v>131</v>
      </c>
      <c r="AH143" s="46"/>
      <c r="AI143" s="46"/>
    </row>
    <row r="144" spans="1:35" x14ac:dyDescent="0.25">
      <c r="A144" s="31">
        <f>'M&amp;R Stations'!A134</f>
        <v>39093</v>
      </c>
      <c r="B144"/>
      <c r="C144" s="70">
        <f t="shared" si="13"/>
        <v>499</v>
      </c>
      <c r="D144" s="70">
        <f t="shared" si="14"/>
        <v>330</v>
      </c>
      <c r="E144" s="70">
        <f t="shared" si="15"/>
        <v>35</v>
      </c>
      <c r="F144" s="94">
        <f t="shared" si="16"/>
        <v>864</v>
      </c>
      <c r="G144" s="109">
        <f t="shared" si="17"/>
        <v>208</v>
      </c>
      <c r="H144" s="109">
        <f t="shared" si="18"/>
        <v>656</v>
      </c>
      <c r="J144" s="216">
        <v>0</v>
      </c>
      <c r="K144" s="216">
        <v>16</v>
      </c>
      <c r="L144" s="216">
        <v>2</v>
      </c>
      <c r="M144" s="216">
        <v>0</v>
      </c>
      <c r="N144" s="216">
        <v>0</v>
      </c>
      <c r="O144" s="216">
        <v>0</v>
      </c>
      <c r="P144" s="216">
        <v>23</v>
      </c>
      <c r="Q144" s="216">
        <v>0</v>
      </c>
      <c r="R144" s="216">
        <v>24</v>
      </c>
      <c r="S144" s="216">
        <v>0</v>
      </c>
      <c r="T144" s="216">
        <v>0</v>
      </c>
      <c r="U144" s="216">
        <v>11</v>
      </c>
      <c r="V144" s="216">
        <f>45+18+41+13+15</f>
        <v>132</v>
      </c>
      <c r="W144" s="75"/>
      <c r="X144" s="216">
        <v>458</v>
      </c>
      <c r="Y144" s="216">
        <v>82</v>
      </c>
      <c r="Z144" s="216">
        <f>44+58+14</f>
        <v>116</v>
      </c>
      <c r="AH144" s="46"/>
      <c r="AI144" s="46"/>
    </row>
    <row r="145" spans="1:35" x14ac:dyDescent="0.25">
      <c r="A145" s="31">
        <f>'M&amp;R Stations'!A135</f>
        <v>39094</v>
      </c>
      <c r="B145"/>
      <c r="C145" s="70">
        <f t="shared" si="13"/>
        <v>486</v>
      </c>
      <c r="D145" s="70">
        <f t="shared" si="14"/>
        <v>253</v>
      </c>
      <c r="E145" s="70">
        <f t="shared" si="15"/>
        <v>24</v>
      </c>
      <c r="F145" s="94">
        <f t="shared" si="16"/>
        <v>763</v>
      </c>
      <c r="G145" s="109">
        <f t="shared" si="17"/>
        <v>133</v>
      </c>
      <c r="H145" s="109">
        <f t="shared" si="18"/>
        <v>630</v>
      </c>
      <c r="J145" s="216">
        <v>0</v>
      </c>
      <c r="K145" s="216">
        <v>17</v>
      </c>
      <c r="L145" s="216">
        <v>3</v>
      </c>
      <c r="M145" s="216">
        <v>0</v>
      </c>
      <c r="N145" s="216">
        <v>0</v>
      </c>
      <c r="O145" s="216">
        <v>0</v>
      </c>
      <c r="P145" s="216">
        <v>3</v>
      </c>
      <c r="Q145" s="216">
        <v>0</v>
      </c>
      <c r="R145" s="216">
        <v>24</v>
      </c>
      <c r="S145" s="216">
        <v>0</v>
      </c>
      <c r="T145" s="216">
        <v>0</v>
      </c>
      <c r="U145" s="216">
        <v>0</v>
      </c>
      <c r="V145" s="216">
        <f>38+1+32+3+12</f>
        <v>86</v>
      </c>
      <c r="W145" s="75"/>
      <c r="X145" s="216">
        <v>463</v>
      </c>
      <c r="Y145" s="216">
        <v>78</v>
      </c>
      <c r="Z145" s="216">
        <f>28+50+11</f>
        <v>89</v>
      </c>
      <c r="AH145" s="46"/>
      <c r="AI145" s="46"/>
    </row>
    <row r="146" spans="1:35" x14ac:dyDescent="0.25">
      <c r="A146" s="31">
        <f>'M&amp;R Stations'!A136</f>
        <v>39095</v>
      </c>
      <c r="B146"/>
      <c r="C146" s="70">
        <f t="shared" si="13"/>
        <v>486</v>
      </c>
      <c r="D146" s="70">
        <f t="shared" si="14"/>
        <v>177</v>
      </c>
      <c r="E146" s="70">
        <f t="shared" si="15"/>
        <v>10</v>
      </c>
      <c r="F146" s="94">
        <f t="shared" si="16"/>
        <v>673</v>
      </c>
      <c r="G146" s="109">
        <f t="shared" si="17"/>
        <v>99</v>
      </c>
      <c r="H146" s="109">
        <f t="shared" si="18"/>
        <v>574</v>
      </c>
      <c r="J146" s="216">
        <v>0</v>
      </c>
      <c r="K146" s="216">
        <v>18</v>
      </c>
      <c r="L146" s="216">
        <v>3</v>
      </c>
      <c r="M146" s="216">
        <v>0</v>
      </c>
      <c r="N146" s="216">
        <v>0</v>
      </c>
      <c r="O146" s="216">
        <v>15</v>
      </c>
      <c r="P146" s="216">
        <v>0</v>
      </c>
      <c r="Q146" s="216">
        <v>0</v>
      </c>
      <c r="R146" s="216">
        <v>10</v>
      </c>
      <c r="S146" s="216">
        <v>0</v>
      </c>
      <c r="T146" s="216">
        <v>0</v>
      </c>
      <c r="U146" s="216">
        <v>0</v>
      </c>
      <c r="V146" s="216">
        <f>23+30</f>
        <v>53</v>
      </c>
      <c r="W146" s="75"/>
      <c r="X146" s="216">
        <v>450</v>
      </c>
      <c r="Y146" s="216">
        <v>55</v>
      </c>
      <c r="Z146" s="216">
        <f>32+28+9</f>
        <v>69</v>
      </c>
      <c r="AH146" s="46"/>
      <c r="AI146" s="46"/>
    </row>
    <row r="147" spans="1:35" x14ac:dyDescent="0.25">
      <c r="A147" s="31">
        <f>'M&amp;R Stations'!A137</f>
        <v>39096</v>
      </c>
      <c r="B147"/>
      <c r="C147" s="70">
        <f t="shared" si="13"/>
        <v>515</v>
      </c>
      <c r="D147" s="70">
        <f t="shared" si="14"/>
        <v>186</v>
      </c>
      <c r="E147" s="70">
        <f t="shared" si="15"/>
        <v>11</v>
      </c>
      <c r="F147" s="94">
        <f t="shared" si="16"/>
        <v>712</v>
      </c>
      <c r="G147" s="109">
        <f t="shared" si="17"/>
        <v>113</v>
      </c>
      <c r="H147" s="109">
        <f t="shared" si="18"/>
        <v>599</v>
      </c>
      <c r="J147" s="216">
        <v>0</v>
      </c>
      <c r="K147" s="216">
        <v>15</v>
      </c>
      <c r="L147" s="216">
        <v>3</v>
      </c>
      <c r="M147" s="216">
        <v>0</v>
      </c>
      <c r="N147" s="216">
        <v>0</v>
      </c>
      <c r="O147" s="216">
        <v>20</v>
      </c>
      <c r="P147" s="216">
        <v>0</v>
      </c>
      <c r="Q147" s="216">
        <v>0</v>
      </c>
      <c r="R147" s="216">
        <v>11</v>
      </c>
      <c r="S147" s="216">
        <v>0</v>
      </c>
      <c r="T147" s="216">
        <v>0</v>
      </c>
      <c r="U147" s="216">
        <v>0</v>
      </c>
      <c r="V147" s="216">
        <f>29+35</f>
        <v>64</v>
      </c>
      <c r="W147" s="75"/>
      <c r="X147" s="216">
        <v>477</v>
      </c>
      <c r="Y147" s="216">
        <v>45</v>
      </c>
      <c r="Z147" s="216">
        <f>31+36+10</f>
        <v>77</v>
      </c>
      <c r="AH147" s="46"/>
      <c r="AI147" s="46"/>
    </row>
    <row r="148" spans="1:35" x14ac:dyDescent="0.25">
      <c r="A148" s="31">
        <f>'M&amp;R Stations'!A138</f>
        <v>39097</v>
      </c>
      <c r="B148"/>
      <c r="C148" s="70">
        <f t="shared" si="13"/>
        <v>513</v>
      </c>
      <c r="D148" s="70">
        <f t="shared" si="14"/>
        <v>188</v>
      </c>
      <c r="E148" s="70">
        <f t="shared" si="15"/>
        <v>11</v>
      </c>
      <c r="F148" s="94">
        <f t="shared" si="16"/>
        <v>712</v>
      </c>
      <c r="G148" s="109">
        <f t="shared" si="17"/>
        <v>115</v>
      </c>
      <c r="H148" s="109">
        <f t="shared" si="18"/>
        <v>597</v>
      </c>
      <c r="J148" s="216">
        <v>0</v>
      </c>
      <c r="K148" s="216">
        <v>18</v>
      </c>
      <c r="L148" s="216">
        <v>5</v>
      </c>
      <c r="M148" s="216">
        <v>0</v>
      </c>
      <c r="N148" s="216">
        <v>0</v>
      </c>
      <c r="O148" s="216">
        <v>23</v>
      </c>
      <c r="P148" s="216">
        <v>0</v>
      </c>
      <c r="Q148" s="216">
        <v>0</v>
      </c>
      <c r="R148" s="216">
        <v>11</v>
      </c>
      <c r="S148" s="216">
        <v>0</v>
      </c>
      <c r="T148" s="216">
        <v>0</v>
      </c>
      <c r="U148" s="216">
        <v>0</v>
      </c>
      <c r="V148" s="216">
        <f>30+28</f>
        <v>58</v>
      </c>
      <c r="W148" s="75"/>
      <c r="X148" s="216">
        <v>467</v>
      </c>
      <c r="Y148" s="216">
        <v>58</v>
      </c>
      <c r="Z148" s="216">
        <f>19+44+9</f>
        <v>72</v>
      </c>
      <c r="AH148" s="46"/>
      <c r="AI148" s="46"/>
    </row>
    <row r="149" spans="1:35" x14ac:dyDescent="0.25">
      <c r="A149" s="31">
        <f>'M&amp;R Stations'!A139</f>
        <v>39098</v>
      </c>
      <c r="B149"/>
      <c r="C149" s="70">
        <f t="shared" si="13"/>
        <v>582</v>
      </c>
      <c r="D149" s="70">
        <f t="shared" si="14"/>
        <v>356</v>
      </c>
      <c r="E149" s="70">
        <f t="shared" si="15"/>
        <v>19</v>
      </c>
      <c r="F149" s="94">
        <f t="shared" si="16"/>
        <v>957</v>
      </c>
      <c r="G149" s="109">
        <f t="shared" si="17"/>
        <v>218</v>
      </c>
      <c r="H149" s="109">
        <f t="shared" si="18"/>
        <v>739</v>
      </c>
      <c r="J149" s="216">
        <v>0</v>
      </c>
      <c r="K149" s="216">
        <v>15</v>
      </c>
      <c r="L149" s="216">
        <v>2</v>
      </c>
      <c r="M149" s="216">
        <v>0</v>
      </c>
      <c r="N149" s="216">
        <v>0</v>
      </c>
      <c r="O149" s="216">
        <v>0</v>
      </c>
      <c r="P149" s="216">
        <v>43</v>
      </c>
      <c r="Q149" s="216">
        <v>0</v>
      </c>
      <c r="R149" s="216">
        <v>19</v>
      </c>
      <c r="S149" s="216">
        <v>0</v>
      </c>
      <c r="T149" s="216">
        <v>0</v>
      </c>
      <c r="U149" s="216">
        <v>0</v>
      </c>
      <c r="V149" s="216">
        <f>46+15+54+7+17</f>
        <v>139</v>
      </c>
      <c r="W149" s="75"/>
      <c r="X149" s="216">
        <v>522</v>
      </c>
      <c r="Y149" s="216">
        <v>91</v>
      </c>
      <c r="Z149" s="216">
        <f>46+64+16</f>
        <v>126</v>
      </c>
      <c r="AH149" s="46"/>
      <c r="AI149" s="46"/>
    </row>
    <row r="150" spans="1:35" x14ac:dyDescent="0.25">
      <c r="A150" s="31">
        <f>'M&amp;R Stations'!A140</f>
        <v>39099</v>
      </c>
      <c r="B150"/>
      <c r="C150" s="70">
        <f t="shared" si="13"/>
        <v>637</v>
      </c>
      <c r="D150" s="70">
        <f t="shared" si="14"/>
        <v>406</v>
      </c>
      <c r="E150" s="70">
        <f t="shared" si="15"/>
        <v>11</v>
      </c>
      <c r="F150" s="94">
        <f t="shared" si="16"/>
        <v>1054</v>
      </c>
      <c r="G150" s="109">
        <f t="shared" si="17"/>
        <v>292</v>
      </c>
      <c r="H150" s="109">
        <f t="shared" si="18"/>
        <v>762</v>
      </c>
      <c r="J150" s="216">
        <v>0</v>
      </c>
      <c r="K150" s="216">
        <v>17</v>
      </c>
      <c r="L150" s="216">
        <v>2</v>
      </c>
      <c r="M150" s="216">
        <v>0</v>
      </c>
      <c r="N150" s="216">
        <v>0</v>
      </c>
      <c r="O150" s="216">
        <v>0</v>
      </c>
      <c r="P150" s="216">
        <v>110</v>
      </c>
      <c r="Q150" s="216">
        <v>0</v>
      </c>
      <c r="R150" s="216">
        <v>11</v>
      </c>
      <c r="S150" s="216">
        <v>0</v>
      </c>
      <c r="T150" s="216">
        <v>0</v>
      </c>
      <c r="U150" s="216">
        <v>0</v>
      </c>
      <c r="V150" s="216">
        <f>47+19+54+15+17</f>
        <v>152</v>
      </c>
      <c r="W150" s="75"/>
      <c r="X150" s="216">
        <v>508</v>
      </c>
      <c r="Y150" s="216">
        <v>105</v>
      </c>
      <c r="Z150" s="216">
        <f>62+70+17</f>
        <v>149</v>
      </c>
      <c r="AH150" s="46"/>
      <c r="AI150" s="46"/>
    </row>
    <row r="151" spans="1:35" x14ac:dyDescent="0.25">
      <c r="A151" s="31">
        <f>'M&amp;R Stations'!A141</f>
        <v>39100</v>
      </c>
      <c r="B151"/>
      <c r="C151" s="70">
        <f t="shared" si="13"/>
        <v>565</v>
      </c>
      <c r="D151" s="70">
        <f t="shared" si="14"/>
        <v>369</v>
      </c>
      <c r="E151" s="70">
        <f t="shared" si="15"/>
        <v>11</v>
      </c>
      <c r="F151" s="94">
        <f t="shared" si="16"/>
        <v>945</v>
      </c>
      <c r="G151" s="109">
        <f t="shared" si="17"/>
        <v>229</v>
      </c>
      <c r="H151" s="109">
        <f t="shared" si="18"/>
        <v>716</v>
      </c>
      <c r="J151" s="216">
        <v>0</v>
      </c>
      <c r="K151" s="216">
        <v>17</v>
      </c>
      <c r="L151" s="216">
        <v>4</v>
      </c>
      <c r="M151" s="216">
        <v>0</v>
      </c>
      <c r="N151" s="216">
        <v>0</v>
      </c>
      <c r="O151" s="216">
        <v>36</v>
      </c>
      <c r="P151" s="216">
        <v>20</v>
      </c>
      <c r="Q151" s="216">
        <v>0</v>
      </c>
      <c r="R151" s="216">
        <v>11</v>
      </c>
      <c r="S151" s="216">
        <v>0</v>
      </c>
      <c r="T151" s="216">
        <v>0</v>
      </c>
      <c r="U151" s="216">
        <v>0</v>
      </c>
      <c r="V151" s="216">
        <f>49+17+49+11+15</f>
        <v>141</v>
      </c>
      <c r="W151" s="75"/>
      <c r="X151" s="216">
        <v>488</v>
      </c>
      <c r="Y151" s="216">
        <v>96</v>
      </c>
      <c r="Z151" s="216">
        <f>49+67+16</f>
        <v>132</v>
      </c>
      <c r="AH151" s="46"/>
      <c r="AI151" s="46"/>
    </row>
    <row r="152" spans="1:35" x14ac:dyDescent="0.25">
      <c r="A152" s="31">
        <f>'M&amp;R Stations'!A142</f>
        <v>39101</v>
      </c>
      <c r="B152"/>
      <c r="C152" s="70">
        <f t="shared" si="13"/>
        <v>558</v>
      </c>
      <c r="D152" s="70">
        <f t="shared" si="14"/>
        <v>365</v>
      </c>
      <c r="E152" s="70">
        <f t="shared" si="15"/>
        <v>43</v>
      </c>
      <c r="F152" s="106">
        <f t="shared" si="16"/>
        <v>966</v>
      </c>
      <c r="G152" s="109">
        <f t="shared" si="17"/>
        <v>227</v>
      </c>
      <c r="H152" s="109">
        <f t="shared" si="18"/>
        <v>739</v>
      </c>
      <c r="J152" s="216">
        <v>0</v>
      </c>
      <c r="K152" s="216">
        <v>17</v>
      </c>
      <c r="L152" s="216">
        <v>4</v>
      </c>
      <c r="M152" s="216">
        <v>0</v>
      </c>
      <c r="N152" s="216">
        <v>0</v>
      </c>
      <c r="O152" s="216">
        <v>0</v>
      </c>
      <c r="P152" s="216">
        <v>27</v>
      </c>
      <c r="Q152" s="216">
        <v>0</v>
      </c>
      <c r="R152" s="216">
        <v>43</v>
      </c>
      <c r="S152" s="216">
        <v>0</v>
      </c>
      <c r="T152" s="216">
        <v>0</v>
      </c>
      <c r="U152" s="216">
        <v>0</v>
      </c>
      <c r="V152" s="216">
        <f>50+3+57+11+15</f>
        <v>136</v>
      </c>
      <c r="W152" s="75"/>
      <c r="X152" s="216">
        <v>510</v>
      </c>
      <c r="Y152" s="216">
        <v>99</v>
      </c>
      <c r="Z152" s="216">
        <f>44+69+17</f>
        <v>130</v>
      </c>
      <c r="AH152" s="46"/>
      <c r="AI152" s="46"/>
    </row>
    <row r="153" spans="1:35" x14ac:dyDescent="0.25">
      <c r="A153" s="31">
        <f>'M&amp;R Stations'!A143</f>
        <v>39102</v>
      </c>
      <c r="B153"/>
      <c r="C153" s="70">
        <f t="shared" si="13"/>
        <v>631</v>
      </c>
      <c r="D153" s="70">
        <f t="shared" si="14"/>
        <v>427</v>
      </c>
      <c r="E153" s="70">
        <f t="shared" si="15"/>
        <v>23</v>
      </c>
      <c r="F153" s="106">
        <f t="shared" si="16"/>
        <v>1081</v>
      </c>
      <c r="G153" s="109">
        <f t="shared" si="17"/>
        <v>309</v>
      </c>
      <c r="H153" s="109">
        <f t="shared" si="18"/>
        <v>772</v>
      </c>
      <c r="J153" s="216">
        <v>0</v>
      </c>
      <c r="K153" s="216">
        <v>14</v>
      </c>
      <c r="L153" s="216">
        <v>3</v>
      </c>
      <c r="M153" s="216">
        <v>0</v>
      </c>
      <c r="N153" s="216">
        <v>0</v>
      </c>
      <c r="O153" s="216">
        <v>18</v>
      </c>
      <c r="P153" s="216">
        <v>86</v>
      </c>
      <c r="Q153" s="216">
        <v>0</v>
      </c>
      <c r="R153" s="216">
        <v>23</v>
      </c>
      <c r="S153" s="216">
        <v>0</v>
      </c>
      <c r="T153" s="216">
        <v>0</v>
      </c>
      <c r="U153" s="216">
        <v>0</v>
      </c>
      <c r="V153" s="216">
        <f>54+15+62+15+19</f>
        <v>165</v>
      </c>
      <c r="W153" s="75"/>
      <c r="X153" s="216">
        <v>510</v>
      </c>
      <c r="Y153" s="216">
        <v>111</v>
      </c>
      <c r="Z153" s="216">
        <f>53+79+19</f>
        <v>151</v>
      </c>
      <c r="AH153" s="46"/>
      <c r="AI153" s="46"/>
    </row>
    <row r="154" spans="1:35" x14ac:dyDescent="0.25">
      <c r="A154" s="31">
        <f>'M&amp;R Stations'!A144</f>
        <v>39103</v>
      </c>
      <c r="B154"/>
      <c r="C154" s="70">
        <f t="shared" si="13"/>
        <v>691</v>
      </c>
      <c r="D154" s="70">
        <f t="shared" si="14"/>
        <v>411</v>
      </c>
      <c r="E154" s="70">
        <f t="shared" si="15"/>
        <v>21</v>
      </c>
      <c r="F154" s="106">
        <f t="shared" si="16"/>
        <v>1123</v>
      </c>
      <c r="G154" s="109">
        <f t="shared" si="17"/>
        <v>344</v>
      </c>
      <c r="H154" s="109">
        <f t="shared" si="18"/>
        <v>779</v>
      </c>
      <c r="J154" s="216">
        <v>0</v>
      </c>
      <c r="K154" s="216">
        <v>21</v>
      </c>
      <c r="L154" s="216">
        <v>4</v>
      </c>
      <c r="M154" s="216">
        <v>0</v>
      </c>
      <c r="N154" s="216">
        <v>0</v>
      </c>
      <c r="O154" s="216">
        <v>0</v>
      </c>
      <c r="P154" s="216">
        <v>135</v>
      </c>
      <c r="Q154" s="216">
        <v>0</v>
      </c>
      <c r="R154" s="216">
        <v>21</v>
      </c>
      <c r="S154" s="216">
        <v>0</v>
      </c>
      <c r="T154" s="216">
        <v>0</v>
      </c>
      <c r="U154" s="216">
        <v>0</v>
      </c>
      <c r="V154" s="216">
        <f>51+17+61+16+18</f>
        <v>163</v>
      </c>
      <c r="W154" s="75"/>
      <c r="X154" s="216">
        <v>531</v>
      </c>
      <c r="Y154" s="216">
        <v>100</v>
      </c>
      <c r="Z154" s="216">
        <f>49+81+18</f>
        <v>148</v>
      </c>
      <c r="AH154" s="46"/>
      <c r="AI154" s="46"/>
    </row>
    <row r="155" spans="1:35" x14ac:dyDescent="0.25">
      <c r="A155" s="31">
        <f>'M&amp;R Stations'!A145</f>
        <v>39104</v>
      </c>
      <c r="B155"/>
      <c r="C155" s="70">
        <f t="shared" si="13"/>
        <v>548</v>
      </c>
      <c r="D155" s="70">
        <f t="shared" si="14"/>
        <v>382</v>
      </c>
      <c r="E155" s="70">
        <f t="shared" si="15"/>
        <v>23</v>
      </c>
      <c r="F155" s="94">
        <f t="shared" si="16"/>
        <v>953</v>
      </c>
      <c r="G155" s="109">
        <f t="shared" si="17"/>
        <v>254</v>
      </c>
      <c r="H155" s="109">
        <f t="shared" si="18"/>
        <v>699</v>
      </c>
      <c r="J155" s="216">
        <v>0</v>
      </c>
      <c r="K155" s="216">
        <v>18</v>
      </c>
      <c r="L155" s="216">
        <v>5</v>
      </c>
      <c r="M155" s="216">
        <v>0</v>
      </c>
      <c r="N155" s="216">
        <v>0</v>
      </c>
      <c r="O155" s="216">
        <v>21</v>
      </c>
      <c r="P155" s="216">
        <v>34</v>
      </c>
      <c r="Q155" s="216">
        <v>0</v>
      </c>
      <c r="R155" s="216">
        <v>23</v>
      </c>
      <c r="S155" s="216">
        <v>0</v>
      </c>
      <c r="T155" s="216">
        <v>0</v>
      </c>
      <c r="U155" s="216">
        <v>0</v>
      </c>
      <c r="V155" s="216">
        <f>51+17+55+13+17</f>
        <v>153</v>
      </c>
      <c r="W155" s="75"/>
      <c r="X155" s="216">
        <v>470</v>
      </c>
      <c r="Y155" s="216">
        <v>100</v>
      </c>
      <c r="Z155" s="216">
        <f>37+75+17</f>
        <v>129</v>
      </c>
      <c r="AH155" s="46"/>
      <c r="AI155" s="46"/>
    </row>
    <row r="156" spans="1:35" x14ac:dyDescent="0.25">
      <c r="A156" s="31">
        <f>'M&amp;R Stations'!A146</f>
        <v>39105</v>
      </c>
      <c r="B156"/>
      <c r="C156" s="70">
        <f t="shared" si="13"/>
        <v>553</v>
      </c>
      <c r="D156" s="70">
        <f t="shared" si="14"/>
        <v>367</v>
      </c>
      <c r="E156" s="70">
        <f t="shared" si="15"/>
        <v>40</v>
      </c>
      <c r="F156" s="94">
        <f t="shared" si="16"/>
        <v>960</v>
      </c>
      <c r="G156" s="109">
        <f t="shared" si="17"/>
        <v>242</v>
      </c>
      <c r="H156" s="109">
        <f t="shared" si="18"/>
        <v>718</v>
      </c>
      <c r="J156" s="216">
        <v>0</v>
      </c>
      <c r="K156" s="216">
        <v>18</v>
      </c>
      <c r="L156" s="216">
        <v>4</v>
      </c>
      <c r="M156" s="216">
        <v>0</v>
      </c>
      <c r="N156" s="216">
        <v>0</v>
      </c>
      <c r="O156" s="216">
        <v>23</v>
      </c>
      <c r="P156" s="216">
        <v>13</v>
      </c>
      <c r="Q156" s="216">
        <v>0</v>
      </c>
      <c r="R156" s="216">
        <v>22</v>
      </c>
      <c r="S156" s="216">
        <v>0</v>
      </c>
      <c r="T156" s="216">
        <v>0</v>
      </c>
      <c r="U156" s="216">
        <v>18</v>
      </c>
      <c r="V156" s="216">
        <f>50+18+46+13+17</f>
        <v>144</v>
      </c>
      <c r="W156" s="75"/>
      <c r="X156" s="216">
        <v>495</v>
      </c>
      <c r="Y156" s="216">
        <v>95</v>
      </c>
      <c r="Z156" s="216">
        <f>40+72+16</f>
        <v>128</v>
      </c>
      <c r="AH156" s="46"/>
      <c r="AI156" s="46"/>
    </row>
    <row r="157" spans="1:35" x14ac:dyDescent="0.25">
      <c r="A157" s="31">
        <f>'M&amp;R Stations'!A147</f>
        <v>39106</v>
      </c>
      <c r="B157"/>
      <c r="C157" s="70">
        <f t="shared" si="13"/>
        <v>549</v>
      </c>
      <c r="D157" s="70">
        <f t="shared" si="14"/>
        <v>359</v>
      </c>
      <c r="E157" s="70">
        <f t="shared" si="15"/>
        <v>22</v>
      </c>
      <c r="F157" s="94">
        <f t="shared" si="16"/>
        <v>930</v>
      </c>
      <c r="G157" s="109">
        <f t="shared" si="17"/>
        <v>204</v>
      </c>
      <c r="H157" s="109">
        <f t="shared" si="18"/>
        <v>726</v>
      </c>
      <c r="J157" s="216">
        <v>0</v>
      </c>
      <c r="K157" s="216">
        <v>16</v>
      </c>
      <c r="L157" s="216">
        <v>3</v>
      </c>
      <c r="M157" s="216">
        <v>0</v>
      </c>
      <c r="N157" s="216">
        <v>0</v>
      </c>
      <c r="O157" s="216">
        <v>0</v>
      </c>
      <c r="P157" s="216">
        <v>25</v>
      </c>
      <c r="Q157" s="216">
        <v>0</v>
      </c>
      <c r="R157" s="216">
        <v>22</v>
      </c>
      <c r="S157" s="216">
        <v>0</v>
      </c>
      <c r="T157" s="216">
        <v>0</v>
      </c>
      <c r="U157" s="216">
        <v>0</v>
      </c>
      <c r="V157" s="216">
        <f>51+16+44+11+16</f>
        <v>138</v>
      </c>
      <c r="W157" s="75"/>
      <c r="X157" s="216">
        <v>505</v>
      </c>
      <c r="Y157" s="216">
        <v>96</v>
      </c>
      <c r="Z157" s="216">
        <f>46+64+15</f>
        <v>125</v>
      </c>
      <c r="AH157" s="46"/>
      <c r="AI157" s="46"/>
    </row>
    <row r="158" spans="1:35" x14ac:dyDescent="0.25">
      <c r="A158" s="31">
        <f>'M&amp;R Stations'!A148</f>
        <v>39107</v>
      </c>
      <c r="B158"/>
      <c r="C158" s="70">
        <f t="shared" si="13"/>
        <v>736</v>
      </c>
      <c r="D158" s="70">
        <f t="shared" si="14"/>
        <v>425</v>
      </c>
      <c r="E158" s="70">
        <f t="shared" si="15"/>
        <v>31</v>
      </c>
      <c r="F158" s="94">
        <f t="shared" si="16"/>
        <v>1192</v>
      </c>
      <c r="G158" s="109">
        <f t="shared" si="17"/>
        <v>387</v>
      </c>
      <c r="H158" s="109">
        <f t="shared" si="18"/>
        <v>805</v>
      </c>
      <c r="J158" s="216">
        <v>0</v>
      </c>
      <c r="K158" s="216">
        <v>18</v>
      </c>
      <c r="L158" s="216">
        <v>3</v>
      </c>
      <c r="M158" s="216">
        <v>0</v>
      </c>
      <c r="N158" s="216">
        <v>0</v>
      </c>
      <c r="O158" s="216">
        <v>23</v>
      </c>
      <c r="P158" s="216">
        <v>145</v>
      </c>
      <c r="Q158" s="216">
        <v>0</v>
      </c>
      <c r="R158" s="216">
        <v>23</v>
      </c>
      <c r="S158" s="216">
        <v>0</v>
      </c>
      <c r="T158" s="216">
        <v>0</v>
      </c>
      <c r="U158" s="216">
        <v>8</v>
      </c>
      <c r="V158" s="216">
        <f>56+19+60+14+18</f>
        <v>167</v>
      </c>
      <c r="W158" s="75"/>
      <c r="X158" s="216">
        <v>547</v>
      </c>
      <c r="Y158" s="216">
        <v>103</v>
      </c>
      <c r="Z158" s="216">
        <f>58+78+19</f>
        <v>155</v>
      </c>
      <c r="AH158" s="46"/>
      <c r="AI158" s="46"/>
    </row>
    <row r="159" spans="1:35" x14ac:dyDescent="0.25">
      <c r="A159" s="31">
        <f>'M&amp;R Stations'!A149</f>
        <v>39108</v>
      </c>
      <c r="B159"/>
      <c r="C159" s="70">
        <f t="shared" si="13"/>
        <v>963</v>
      </c>
      <c r="D159" s="70">
        <f t="shared" si="14"/>
        <v>430</v>
      </c>
      <c r="E159" s="70">
        <f t="shared" si="15"/>
        <v>24</v>
      </c>
      <c r="F159" s="94">
        <f t="shared" si="16"/>
        <v>1417</v>
      </c>
      <c r="G159" s="109">
        <f t="shared" si="17"/>
        <v>637</v>
      </c>
      <c r="H159" s="109">
        <f t="shared" si="18"/>
        <v>780</v>
      </c>
      <c r="J159" s="216">
        <v>0</v>
      </c>
      <c r="K159" s="216">
        <v>17</v>
      </c>
      <c r="L159" s="216">
        <v>4</v>
      </c>
      <c r="M159" s="216">
        <v>0</v>
      </c>
      <c r="N159" s="216">
        <v>0</v>
      </c>
      <c r="O159" s="216">
        <v>10</v>
      </c>
      <c r="P159" s="216">
        <v>419</v>
      </c>
      <c r="Q159" s="216">
        <v>0</v>
      </c>
      <c r="R159" s="216">
        <v>24</v>
      </c>
      <c r="S159" s="216">
        <v>0</v>
      </c>
      <c r="T159" s="216">
        <v>0</v>
      </c>
      <c r="U159" s="216">
        <v>0</v>
      </c>
      <c r="V159" s="216">
        <v>163</v>
      </c>
      <c r="W159" s="75"/>
      <c r="X159" s="216">
        <v>513</v>
      </c>
      <c r="Y159" s="216">
        <v>108</v>
      </c>
      <c r="Z159" s="216">
        <v>159</v>
      </c>
      <c r="AH159" s="46"/>
      <c r="AI159" s="46"/>
    </row>
    <row r="160" spans="1:35" x14ac:dyDescent="0.25">
      <c r="A160" s="31">
        <f>'M&amp;R Stations'!A150</f>
        <v>39109</v>
      </c>
      <c r="B160"/>
      <c r="C160" s="70">
        <f t="shared" si="13"/>
        <v>522</v>
      </c>
      <c r="D160" s="70">
        <f t="shared" si="14"/>
        <v>336</v>
      </c>
      <c r="E160" s="70">
        <f t="shared" si="15"/>
        <v>25</v>
      </c>
      <c r="F160" s="94">
        <f t="shared" si="16"/>
        <v>883</v>
      </c>
      <c r="G160" s="109">
        <f t="shared" si="17"/>
        <v>171</v>
      </c>
      <c r="H160" s="109">
        <f t="shared" si="18"/>
        <v>712</v>
      </c>
      <c r="J160" s="216">
        <v>0</v>
      </c>
      <c r="K160" s="216">
        <v>17</v>
      </c>
      <c r="L160" s="216">
        <v>4</v>
      </c>
      <c r="M160" s="216">
        <v>0</v>
      </c>
      <c r="N160" s="216">
        <v>0</v>
      </c>
      <c r="O160" s="216">
        <v>4</v>
      </c>
      <c r="P160" s="216">
        <v>0</v>
      </c>
      <c r="Q160" s="216">
        <v>0</v>
      </c>
      <c r="R160" s="216">
        <v>25</v>
      </c>
      <c r="S160" s="216">
        <v>0</v>
      </c>
      <c r="T160" s="216">
        <v>0</v>
      </c>
      <c r="U160" s="216">
        <v>0</v>
      </c>
      <c r="V160" s="216">
        <v>121</v>
      </c>
      <c r="W160" s="75"/>
      <c r="X160" s="216">
        <v>497</v>
      </c>
      <c r="Y160" s="216">
        <v>96</v>
      </c>
      <c r="Z160" s="216">
        <v>119</v>
      </c>
      <c r="AH160" s="46"/>
      <c r="AI160" s="46"/>
    </row>
    <row r="161" spans="1:35" x14ac:dyDescent="0.25">
      <c r="A161" s="31">
        <f>'M&amp;R Stations'!A151</f>
        <v>39110</v>
      </c>
      <c r="B161"/>
      <c r="C161" s="70">
        <f t="shared" si="13"/>
        <v>483</v>
      </c>
      <c r="D161" s="70">
        <f t="shared" si="14"/>
        <v>356</v>
      </c>
      <c r="E161" s="70">
        <f t="shared" si="15"/>
        <v>22</v>
      </c>
      <c r="F161" s="94">
        <f t="shared" si="16"/>
        <v>861</v>
      </c>
      <c r="G161" s="109">
        <f t="shared" si="17"/>
        <v>217</v>
      </c>
      <c r="H161" s="109">
        <f t="shared" si="18"/>
        <v>644</v>
      </c>
      <c r="J161" s="216">
        <v>0</v>
      </c>
      <c r="K161" s="216">
        <v>18</v>
      </c>
      <c r="L161" s="216">
        <v>4</v>
      </c>
      <c r="M161" s="216">
        <v>0</v>
      </c>
      <c r="N161" s="216">
        <v>0</v>
      </c>
      <c r="O161" s="216">
        <v>22</v>
      </c>
      <c r="P161" s="216">
        <v>18</v>
      </c>
      <c r="Q161" s="216">
        <v>0</v>
      </c>
      <c r="R161" s="216">
        <v>22</v>
      </c>
      <c r="S161" s="216">
        <v>0</v>
      </c>
      <c r="T161" s="216">
        <v>0</v>
      </c>
      <c r="U161" s="216">
        <v>0</v>
      </c>
      <c r="V161" s="216">
        <f>58+4+54+4+13</f>
        <v>133</v>
      </c>
      <c r="W161" s="75"/>
      <c r="X161" s="216">
        <v>421</v>
      </c>
      <c r="Y161" s="216">
        <v>93</v>
      </c>
      <c r="Z161" s="216">
        <f>40+74+16</f>
        <v>130</v>
      </c>
      <c r="AH161" s="46"/>
      <c r="AI161" s="46"/>
    </row>
    <row r="162" spans="1:35" x14ac:dyDescent="0.25">
      <c r="A162" s="31">
        <f>'M&amp;R Stations'!A152</f>
        <v>39111</v>
      </c>
      <c r="B162"/>
      <c r="C162" s="70">
        <f t="shared" si="13"/>
        <v>709</v>
      </c>
      <c r="D162" s="70">
        <f t="shared" si="14"/>
        <v>439</v>
      </c>
      <c r="E162" s="70">
        <f t="shared" si="15"/>
        <v>23</v>
      </c>
      <c r="F162" s="94">
        <f t="shared" si="16"/>
        <v>1171</v>
      </c>
      <c r="G162" s="109">
        <f t="shared" si="17"/>
        <v>299</v>
      </c>
      <c r="H162" s="109">
        <f t="shared" si="18"/>
        <v>872</v>
      </c>
      <c r="J162" s="216">
        <v>0</v>
      </c>
      <c r="K162" s="216">
        <v>16</v>
      </c>
      <c r="L162" s="216">
        <v>3</v>
      </c>
      <c r="M162" s="216">
        <v>0</v>
      </c>
      <c r="N162" s="216">
        <v>0</v>
      </c>
      <c r="O162" s="216">
        <v>0</v>
      </c>
      <c r="P162" s="216">
        <v>88</v>
      </c>
      <c r="Q162" s="216">
        <v>0</v>
      </c>
      <c r="R162" s="216">
        <v>23</v>
      </c>
      <c r="S162" s="216">
        <v>0</v>
      </c>
      <c r="T162" s="216">
        <v>0</v>
      </c>
      <c r="U162" s="216">
        <v>0</v>
      </c>
      <c r="V162" s="216">
        <f>54+19+62+16+18</f>
        <v>169</v>
      </c>
      <c r="W162" s="75"/>
      <c r="X162" s="216">
        <v>602</v>
      </c>
      <c r="Y162" s="216">
        <v>113</v>
      </c>
      <c r="Z162" s="216">
        <f>54+84+19</f>
        <v>157</v>
      </c>
      <c r="AH162" s="46"/>
      <c r="AI162" s="46"/>
    </row>
    <row r="163" spans="1:35" x14ac:dyDescent="0.25">
      <c r="A163" s="31">
        <f>'M&amp;R Stations'!A153</f>
        <v>39112</v>
      </c>
      <c r="B163"/>
      <c r="C163" s="70">
        <f t="shared" si="13"/>
        <v>589</v>
      </c>
      <c r="D163" s="70">
        <f t="shared" si="14"/>
        <v>411</v>
      </c>
      <c r="E163" s="70">
        <f t="shared" si="15"/>
        <v>23</v>
      </c>
      <c r="F163" s="94">
        <f t="shared" si="16"/>
        <v>1023</v>
      </c>
      <c r="G163" s="109">
        <f t="shared" si="17"/>
        <v>250</v>
      </c>
      <c r="H163" s="109">
        <f t="shared" si="18"/>
        <v>773</v>
      </c>
      <c r="J163" s="216">
        <v>0</v>
      </c>
      <c r="K163" s="216">
        <v>18</v>
      </c>
      <c r="L163" s="216">
        <v>3</v>
      </c>
      <c r="M163" s="216">
        <v>0</v>
      </c>
      <c r="N163" s="216">
        <v>0</v>
      </c>
      <c r="O163" s="216">
        <v>24</v>
      </c>
      <c r="P163" s="216">
        <v>28</v>
      </c>
      <c r="Q163" s="216">
        <v>0</v>
      </c>
      <c r="R163" s="216">
        <v>23</v>
      </c>
      <c r="S163" s="216">
        <v>0</v>
      </c>
      <c r="T163" s="216">
        <v>0</v>
      </c>
      <c r="U163" s="216">
        <v>0</v>
      </c>
      <c r="V163" s="216">
        <f>54+15+55+14+16</f>
        <v>154</v>
      </c>
      <c r="W163" s="75"/>
      <c r="X163" s="216">
        <v>516</v>
      </c>
      <c r="Y163" s="216">
        <v>111</v>
      </c>
      <c r="Z163" s="216">
        <f>48+81+17</f>
        <v>146</v>
      </c>
      <c r="AH163" s="46"/>
      <c r="AI163" s="46"/>
    </row>
    <row r="164" spans="1:35" x14ac:dyDescent="0.25">
      <c r="A164" s="31">
        <f>'M&amp;R Stations'!A154</f>
        <v>39113</v>
      </c>
      <c r="B164"/>
      <c r="C164" s="70">
        <f t="shared" si="13"/>
        <v>572</v>
      </c>
      <c r="D164" s="70">
        <f t="shared" si="14"/>
        <v>419</v>
      </c>
      <c r="E164" s="70">
        <f t="shared" si="15"/>
        <v>24</v>
      </c>
      <c r="F164" s="94">
        <f t="shared" si="16"/>
        <v>1015</v>
      </c>
      <c r="G164" s="109">
        <f t="shared" si="17"/>
        <v>251</v>
      </c>
      <c r="H164" s="109">
        <f t="shared" si="18"/>
        <v>764</v>
      </c>
      <c r="J164" s="216">
        <v>0</v>
      </c>
      <c r="K164" s="216">
        <v>17</v>
      </c>
      <c r="L164" s="216">
        <v>3</v>
      </c>
      <c r="M164" s="216">
        <v>0</v>
      </c>
      <c r="N164" s="216">
        <v>13</v>
      </c>
      <c r="O164" s="216">
        <v>0</v>
      </c>
      <c r="P164" s="216">
        <v>30</v>
      </c>
      <c r="Q164" s="216">
        <v>0</v>
      </c>
      <c r="R164" s="216">
        <v>24</v>
      </c>
      <c r="S164" s="216">
        <v>0</v>
      </c>
      <c r="T164" s="216">
        <v>0</v>
      </c>
      <c r="U164" s="216">
        <v>0</v>
      </c>
      <c r="V164" s="216">
        <f>51+18+61+16+18</f>
        <v>164</v>
      </c>
      <c r="W164" s="75"/>
      <c r="X164" s="216">
        <v>509</v>
      </c>
      <c r="Y164" s="216">
        <v>106</v>
      </c>
      <c r="Z164" s="216">
        <f>50+81+18</f>
        <v>149</v>
      </c>
      <c r="AH164" s="46"/>
      <c r="AI164" s="46"/>
    </row>
    <row r="165" spans="1:35" x14ac:dyDescent="0.25">
      <c r="A165" s="96"/>
      <c r="B165" s="97"/>
      <c r="C165" s="98"/>
      <c r="D165" s="98"/>
      <c r="E165" s="98"/>
      <c r="F165" s="98"/>
      <c r="G165" s="98" t="str">
        <f t="shared" si="17"/>
        <v/>
      </c>
      <c r="H165" s="98" t="str">
        <f t="shared" si="18"/>
        <v/>
      </c>
      <c r="J165" s="95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255"/>
      <c r="X165" s="98"/>
      <c r="Y165" s="98"/>
      <c r="Z165" s="98"/>
      <c r="AH165" s="46"/>
      <c r="AI165" s="46"/>
    </row>
    <row r="166" spans="1:35" x14ac:dyDescent="0.25">
      <c r="A166" s="31">
        <f>'M&amp;R Stations'!A155</f>
        <v>39114</v>
      </c>
      <c r="B166"/>
      <c r="C166" s="70">
        <f t="shared" si="13"/>
        <v>564</v>
      </c>
      <c r="D166" s="70">
        <f t="shared" si="14"/>
        <v>388</v>
      </c>
      <c r="E166" s="70">
        <f t="shared" si="15"/>
        <v>21</v>
      </c>
      <c r="F166" s="94">
        <f t="shared" si="16"/>
        <v>973</v>
      </c>
      <c r="G166" s="109">
        <f t="shared" si="17"/>
        <v>226</v>
      </c>
      <c r="H166" s="109">
        <f t="shared" si="18"/>
        <v>747</v>
      </c>
      <c r="J166" s="216">
        <v>0</v>
      </c>
      <c r="K166" s="216">
        <v>17</v>
      </c>
      <c r="L166" s="216">
        <v>3</v>
      </c>
      <c r="M166" s="216">
        <v>0</v>
      </c>
      <c r="N166" s="216">
        <v>5</v>
      </c>
      <c r="O166" s="216">
        <v>0</v>
      </c>
      <c r="P166" s="216">
        <v>31</v>
      </c>
      <c r="Q166" s="216">
        <v>0</v>
      </c>
      <c r="R166" s="216">
        <v>21</v>
      </c>
      <c r="S166" s="216">
        <v>0</v>
      </c>
      <c r="T166" s="216">
        <v>0</v>
      </c>
      <c r="U166" s="216">
        <v>0</v>
      </c>
      <c r="V166" s="216">
        <f>43+20+54+15+17</f>
        <v>149</v>
      </c>
      <c r="W166" s="52"/>
      <c r="X166" s="216">
        <v>508</v>
      </c>
      <c r="Y166" s="216">
        <v>103</v>
      </c>
      <c r="Z166" s="216">
        <f>44+74+18</f>
        <v>136</v>
      </c>
      <c r="AH166" s="46"/>
      <c r="AI166" s="46"/>
    </row>
    <row r="167" spans="1:35" x14ac:dyDescent="0.25">
      <c r="A167" s="31">
        <f>'M&amp;R Stations'!A156</f>
        <v>39115</v>
      </c>
      <c r="B167"/>
      <c r="C167" s="70">
        <f t="shared" si="13"/>
        <v>569</v>
      </c>
      <c r="D167" s="70">
        <f t="shared" si="14"/>
        <v>367</v>
      </c>
      <c r="E167" s="70">
        <f t="shared" si="15"/>
        <v>21</v>
      </c>
      <c r="F167" s="94">
        <f t="shared" si="16"/>
        <v>957</v>
      </c>
      <c r="G167" s="109">
        <f t="shared" si="17"/>
        <v>219</v>
      </c>
      <c r="H167" s="109">
        <f t="shared" si="18"/>
        <v>738</v>
      </c>
      <c r="J167" s="216">
        <v>0</v>
      </c>
      <c r="K167" s="216">
        <v>17</v>
      </c>
      <c r="L167" s="216">
        <v>4</v>
      </c>
      <c r="M167" s="216">
        <v>0</v>
      </c>
      <c r="N167" s="216">
        <v>5</v>
      </c>
      <c r="O167" s="216">
        <v>1</v>
      </c>
      <c r="P167" s="216">
        <v>34</v>
      </c>
      <c r="Q167" s="216">
        <v>0</v>
      </c>
      <c r="R167" s="216">
        <v>21</v>
      </c>
      <c r="S167" s="216">
        <v>0</v>
      </c>
      <c r="T167" s="216">
        <v>0</v>
      </c>
      <c r="U167" s="216">
        <v>0</v>
      </c>
      <c r="V167" s="216">
        <f>36+21+55+11+14</f>
        <v>137</v>
      </c>
      <c r="W167" s="52"/>
      <c r="X167" s="216">
        <v>508</v>
      </c>
      <c r="Y167" s="216">
        <v>95</v>
      </c>
      <c r="Z167" s="216">
        <f>54+65+16</f>
        <v>135</v>
      </c>
      <c r="AH167" s="46"/>
      <c r="AI167" s="46"/>
    </row>
    <row r="168" spans="1:35" x14ac:dyDescent="0.25">
      <c r="A168" s="31">
        <f>'M&amp;R Stations'!A157</f>
        <v>39116</v>
      </c>
      <c r="B168"/>
      <c r="C168" s="70">
        <f t="shared" si="13"/>
        <v>565</v>
      </c>
      <c r="D168" s="70">
        <f t="shared" si="14"/>
        <v>444</v>
      </c>
      <c r="E168" s="70">
        <f t="shared" si="15"/>
        <v>24</v>
      </c>
      <c r="F168" s="94">
        <f t="shared" si="16"/>
        <v>1033</v>
      </c>
      <c r="G168" s="109">
        <f t="shared" si="17"/>
        <v>246</v>
      </c>
      <c r="H168" s="109">
        <f t="shared" si="18"/>
        <v>787</v>
      </c>
      <c r="J168" s="216">
        <v>0</v>
      </c>
      <c r="K168" s="216">
        <v>17</v>
      </c>
      <c r="L168" s="216">
        <v>3</v>
      </c>
      <c r="M168" s="216">
        <v>0</v>
      </c>
      <c r="N168" s="216">
        <v>0</v>
      </c>
      <c r="O168" s="216">
        <v>0</v>
      </c>
      <c r="P168" s="216">
        <v>30</v>
      </c>
      <c r="Q168" s="216">
        <v>0</v>
      </c>
      <c r="R168" s="216">
        <v>24</v>
      </c>
      <c r="S168" s="216">
        <v>0</v>
      </c>
      <c r="T168" s="216">
        <v>0</v>
      </c>
      <c r="U168" s="216">
        <v>0</v>
      </c>
      <c r="V168" s="216">
        <f>51+21+68+15+17</f>
        <v>172</v>
      </c>
      <c r="W168" s="52"/>
      <c r="X168" s="216">
        <v>515</v>
      </c>
      <c r="Y168" s="216">
        <v>117</v>
      </c>
      <c r="Z168" s="216">
        <f>55+81+19</f>
        <v>155</v>
      </c>
      <c r="AH168" s="46"/>
      <c r="AI168" s="46"/>
    </row>
    <row r="169" spans="1:35" x14ac:dyDescent="0.25">
      <c r="A169" s="31">
        <f>'M&amp;R Stations'!A158</f>
        <v>39117</v>
      </c>
      <c r="B169"/>
      <c r="C169" s="70">
        <f t="shared" si="13"/>
        <v>876</v>
      </c>
      <c r="D169" s="70">
        <f t="shared" si="14"/>
        <v>446</v>
      </c>
      <c r="E169" s="70">
        <f t="shared" si="15"/>
        <v>26</v>
      </c>
      <c r="F169" s="94">
        <f t="shared" si="16"/>
        <v>1348</v>
      </c>
      <c r="G169" s="109">
        <f t="shared" si="17"/>
        <v>593</v>
      </c>
      <c r="H169" s="109">
        <f t="shared" si="18"/>
        <v>755</v>
      </c>
      <c r="J169" s="216">
        <v>0</v>
      </c>
      <c r="K169" s="216">
        <v>17</v>
      </c>
      <c r="L169" s="216">
        <v>3</v>
      </c>
      <c r="M169" s="216">
        <v>0</v>
      </c>
      <c r="N169" s="216">
        <v>1</v>
      </c>
      <c r="O169" s="216">
        <v>17</v>
      </c>
      <c r="P169" s="216">
        <v>362</v>
      </c>
      <c r="Q169" s="216">
        <v>0</v>
      </c>
      <c r="R169" s="216">
        <v>26</v>
      </c>
      <c r="S169" s="216">
        <v>0</v>
      </c>
      <c r="T169" s="216">
        <v>0</v>
      </c>
      <c r="U169" s="216">
        <v>0</v>
      </c>
      <c r="V169" s="216">
        <f>52+23+57+17+18</f>
        <v>167</v>
      </c>
      <c r="W169" s="52"/>
      <c r="X169" s="216">
        <v>476</v>
      </c>
      <c r="Y169" s="216">
        <v>107</v>
      </c>
      <c r="Z169" s="216">
        <f>68+82+22</f>
        <v>172</v>
      </c>
      <c r="AH169" s="46"/>
      <c r="AI169" s="46"/>
    </row>
    <row r="170" spans="1:35" x14ac:dyDescent="0.25">
      <c r="A170" s="31">
        <f>'M&amp;R Stations'!A159</f>
        <v>39118</v>
      </c>
      <c r="B170"/>
      <c r="C170" s="70">
        <f t="shared" si="13"/>
        <v>1629</v>
      </c>
      <c r="D170" s="70">
        <f t="shared" si="14"/>
        <v>466</v>
      </c>
      <c r="E170" s="70">
        <f t="shared" si="15"/>
        <v>30</v>
      </c>
      <c r="F170" s="94">
        <f t="shared" si="16"/>
        <v>2125</v>
      </c>
      <c r="G170" s="109">
        <f t="shared" si="17"/>
        <v>1369</v>
      </c>
      <c r="H170" s="109">
        <f t="shared" si="18"/>
        <v>756</v>
      </c>
      <c r="J170" s="216">
        <v>0</v>
      </c>
      <c r="K170" s="216">
        <v>18</v>
      </c>
      <c r="L170" s="216">
        <v>3</v>
      </c>
      <c r="M170" s="216">
        <v>0</v>
      </c>
      <c r="N170" s="216">
        <v>0</v>
      </c>
      <c r="O170" s="216">
        <v>0</v>
      </c>
      <c r="P170" s="216">
        <v>1161</v>
      </c>
      <c r="Q170" s="216">
        <v>0</v>
      </c>
      <c r="R170" s="216">
        <v>30</v>
      </c>
      <c r="S170" s="216">
        <v>0</v>
      </c>
      <c r="T170" s="216">
        <v>0</v>
      </c>
      <c r="U170" s="216">
        <v>0</v>
      </c>
      <c r="V170" s="216">
        <f>46+22+50+20+19</f>
        <v>157</v>
      </c>
      <c r="W170" s="52"/>
      <c r="X170" s="216">
        <v>447</v>
      </c>
      <c r="Y170" s="216">
        <v>121</v>
      </c>
      <c r="Z170" s="216">
        <f>74+89+25</f>
        <v>188</v>
      </c>
      <c r="AH170" s="46"/>
      <c r="AI170" s="46"/>
    </row>
    <row r="171" spans="1:35" x14ac:dyDescent="0.25">
      <c r="A171" s="31">
        <f>'M&amp;R Stations'!A160</f>
        <v>39119</v>
      </c>
      <c r="B171"/>
      <c r="C171" s="70">
        <f t="shared" si="13"/>
        <v>1225</v>
      </c>
      <c r="D171" s="70">
        <f t="shared" si="14"/>
        <v>458</v>
      </c>
      <c r="E171" s="70">
        <f t="shared" si="15"/>
        <v>27</v>
      </c>
      <c r="F171" s="94">
        <f t="shared" si="16"/>
        <v>1710</v>
      </c>
      <c r="G171" s="109">
        <f t="shared" si="17"/>
        <v>1038</v>
      </c>
      <c r="H171" s="109">
        <f t="shared" si="18"/>
        <v>672</v>
      </c>
      <c r="J171" s="216">
        <v>0</v>
      </c>
      <c r="K171" s="216">
        <v>16</v>
      </c>
      <c r="L171" s="216">
        <v>4</v>
      </c>
      <c r="M171" s="216">
        <v>0</v>
      </c>
      <c r="N171" s="216">
        <v>0</v>
      </c>
      <c r="O171" s="216">
        <v>0</v>
      </c>
      <c r="P171" s="216">
        <v>831</v>
      </c>
      <c r="Q171" s="216">
        <v>0</v>
      </c>
      <c r="R171" s="216">
        <v>27</v>
      </c>
      <c r="S171" s="216">
        <v>0</v>
      </c>
      <c r="T171" s="216">
        <v>0</v>
      </c>
      <c r="U171" s="216">
        <v>0</v>
      </c>
      <c r="V171" s="216">
        <f>45+22+55+19+19</f>
        <v>160</v>
      </c>
      <c r="W171" s="52"/>
      <c r="X171" s="216">
        <v>374</v>
      </c>
      <c r="Y171" s="216">
        <v>117</v>
      </c>
      <c r="Z171" s="216">
        <f>67+91+23</f>
        <v>181</v>
      </c>
      <c r="AH171" s="46"/>
      <c r="AI171" s="46"/>
    </row>
    <row r="172" spans="1:35" x14ac:dyDescent="0.25">
      <c r="A172" s="31">
        <f>'M&amp;R Stations'!A161</f>
        <v>39120</v>
      </c>
      <c r="B172"/>
      <c r="C172" s="70">
        <f t="shared" si="13"/>
        <v>1139</v>
      </c>
      <c r="D172" s="70">
        <f t="shared" si="14"/>
        <v>465</v>
      </c>
      <c r="E172" s="70">
        <f t="shared" si="15"/>
        <v>27</v>
      </c>
      <c r="F172" s="94">
        <f t="shared" si="16"/>
        <v>1631</v>
      </c>
      <c r="G172" s="109">
        <f t="shared" si="17"/>
        <v>895</v>
      </c>
      <c r="H172" s="109">
        <f t="shared" si="18"/>
        <v>736</v>
      </c>
      <c r="J172" s="216">
        <v>0</v>
      </c>
      <c r="K172" s="216">
        <v>17</v>
      </c>
      <c r="L172" s="216">
        <v>4</v>
      </c>
      <c r="M172" s="216">
        <v>0</v>
      </c>
      <c r="N172" s="216">
        <v>9</v>
      </c>
      <c r="O172" s="216">
        <v>12</v>
      </c>
      <c r="P172" s="216">
        <v>667</v>
      </c>
      <c r="Q172" s="216">
        <v>0</v>
      </c>
      <c r="R172" s="216">
        <v>27</v>
      </c>
      <c r="S172" s="216">
        <v>0</v>
      </c>
      <c r="T172" s="216">
        <v>0</v>
      </c>
      <c r="U172" s="216">
        <v>0</v>
      </c>
      <c r="V172" s="216">
        <f>48+22+53+18+18</f>
        <v>159</v>
      </c>
      <c r="W172" s="52"/>
      <c r="X172" s="216">
        <v>430</v>
      </c>
      <c r="Y172" s="216">
        <v>124</v>
      </c>
      <c r="Z172" s="216">
        <f>72+88+22</f>
        <v>182</v>
      </c>
      <c r="AH172" s="46"/>
      <c r="AI172" s="46"/>
    </row>
    <row r="173" spans="1:35" x14ac:dyDescent="0.25">
      <c r="A173" s="31">
        <f>'M&amp;R Stations'!A162</f>
        <v>39121</v>
      </c>
      <c r="B173"/>
      <c r="C173" s="70">
        <f t="shared" si="13"/>
        <v>908</v>
      </c>
      <c r="D173" s="70">
        <f t="shared" si="14"/>
        <v>463</v>
      </c>
      <c r="E173" s="70">
        <f t="shared" si="15"/>
        <v>28</v>
      </c>
      <c r="F173" s="94">
        <f t="shared" si="16"/>
        <v>1399</v>
      </c>
      <c r="G173" s="109">
        <f t="shared" si="17"/>
        <v>668</v>
      </c>
      <c r="H173" s="109">
        <f t="shared" si="18"/>
        <v>731</v>
      </c>
      <c r="J173" s="216">
        <v>0</v>
      </c>
      <c r="K173" s="216">
        <v>18</v>
      </c>
      <c r="L173" s="216">
        <v>9</v>
      </c>
      <c r="M173" s="216">
        <v>0</v>
      </c>
      <c r="N173" s="216">
        <v>0</v>
      </c>
      <c r="O173" s="216">
        <v>10</v>
      </c>
      <c r="P173" s="216">
        <v>433</v>
      </c>
      <c r="Q173" s="216">
        <v>0</v>
      </c>
      <c r="R173" s="216">
        <v>25</v>
      </c>
      <c r="S173" s="216">
        <v>0</v>
      </c>
      <c r="T173" s="216">
        <v>0</v>
      </c>
      <c r="U173" s="216">
        <v>3</v>
      </c>
      <c r="V173" s="216">
        <f>54+21+58+18+19</f>
        <v>170</v>
      </c>
      <c r="W173" s="52"/>
      <c r="X173" s="216">
        <v>438</v>
      </c>
      <c r="Y173" s="216">
        <v>109</v>
      </c>
      <c r="Z173" s="216">
        <f>67+94+23</f>
        <v>184</v>
      </c>
      <c r="AH173" s="46"/>
      <c r="AI173" s="46"/>
    </row>
    <row r="174" spans="1:35" x14ac:dyDescent="0.25">
      <c r="A174" s="31">
        <f>'M&amp;R Stations'!A163</f>
        <v>39122</v>
      </c>
      <c r="B174"/>
      <c r="C174" s="70">
        <f t="shared" si="13"/>
        <v>421</v>
      </c>
      <c r="D174" s="70">
        <f t="shared" si="14"/>
        <v>455</v>
      </c>
      <c r="E174" s="70">
        <f t="shared" si="15"/>
        <v>25</v>
      </c>
      <c r="F174" s="94">
        <f t="shared" si="16"/>
        <v>901</v>
      </c>
      <c r="G174" s="109">
        <f t="shared" si="17"/>
        <v>349</v>
      </c>
      <c r="H174" s="109">
        <f t="shared" si="18"/>
        <v>552</v>
      </c>
      <c r="J174" s="216">
        <v>0</v>
      </c>
      <c r="K174" s="216">
        <v>16</v>
      </c>
      <c r="L174" s="216">
        <v>5</v>
      </c>
      <c r="M174" s="216">
        <v>0</v>
      </c>
      <c r="N174" s="216">
        <v>0</v>
      </c>
      <c r="O174" s="216">
        <v>19</v>
      </c>
      <c r="P174" s="216">
        <v>104</v>
      </c>
      <c r="Q174" s="216">
        <v>0</v>
      </c>
      <c r="R174" s="216">
        <v>25</v>
      </c>
      <c r="S174" s="216">
        <v>0</v>
      </c>
      <c r="T174" s="216">
        <v>0</v>
      </c>
      <c r="U174" s="216">
        <v>0</v>
      </c>
      <c r="V174" s="216">
        <f>60+20+64+17+19</f>
        <v>180</v>
      </c>
      <c r="W174" s="52"/>
      <c r="X174" s="216">
        <v>277</v>
      </c>
      <c r="Y174" s="216">
        <v>111</v>
      </c>
      <c r="Z174" s="216">
        <f>59+85+20</f>
        <v>164</v>
      </c>
      <c r="AH174" s="46"/>
      <c r="AI174" s="46"/>
    </row>
    <row r="175" spans="1:35" x14ac:dyDescent="0.25">
      <c r="A175" s="31">
        <f>'M&amp;R Stations'!A164</f>
        <v>39123</v>
      </c>
      <c r="B175"/>
      <c r="C175" s="70">
        <f t="shared" si="13"/>
        <v>454</v>
      </c>
      <c r="D175" s="70">
        <f t="shared" si="14"/>
        <v>455</v>
      </c>
      <c r="E175" s="70">
        <f t="shared" si="15"/>
        <v>23</v>
      </c>
      <c r="F175" s="94">
        <f t="shared" si="16"/>
        <v>932</v>
      </c>
      <c r="G175" s="109">
        <f t="shared" si="17"/>
        <v>310</v>
      </c>
      <c r="H175" s="109">
        <f t="shared" si="18"/>
        <v>622</v>
      </c>
      <c r="J175" s="216">
        <v>0</v>
      </c>
      <c r="K175" s="216">
        <v>18</v>
      </c>
      <c r="L175" s="216">
        <v>5</v>
      </c>
      <c r="M175" s="216">
        <v>0</v>
      </c>
      <c r="N175" s="216">
        <v>0</v>
      </c>
      <c r="O175" s="216">
        <v>23</v>
      </c>
      <c r="P175" s="216">
        <v>55</v>
      </c>
      <c r="Q175" s="216">
        <v>0</v>
      </c>
      <c r="R175" s="216">
        <v>23</v>
      </c>
      <c r="S175" s="216">
        <v>0</v>
      </c>
      <c r="T175" s="216">
        <v>0</v>
      </c>
      <c r="U175" s="216">
        <v>0</v>
      </c>
      <c r="V175" s="216">
        <f>60+22+69+16+19</f>
        <v>186</v>
      </c>
      <c r="W175" s="52"/>
      <c r="X175" s="216">
        <v>353</v>
      </c>
      <c r="Y175" s="216">
        <v>111</v>
      </c>
      <c r="Z175" s="216">
        <f>53+86+19</f>
        <v>158</v>
      </c>
      <c r="AH175" s="46"/>
      <c r="AI175" s="46"/>
    </row>
    <row r="176" spans="1:35" x14ac:dyDescent="0.25">
      <c r="A176" s="31">
        <f>'M&amp;R Stations'!A165</f>
        <v>39124</v>
      </c>
      <c r="B176"/>
      <c r="C176" s="70">
        <f t="shared" si="13"/>
        <v>430</v>
      </c>
      <c r="D176" s="70">
        <f t="shared" si="14"/>
        <v>436</v>
      </c>
      <c r="E176" s="70">
        <f t="shared" si="15"/>
        <v>22</v>
      </c>
      <c r="F176" s="94">
        <f t="shared" si="16"/>
        <v>888</v>
      </c>
      <c r="G176" s="109">
        <f t="shared" si="17"/>
        <v>264</v>
      </c>
      <c r="H176" s="109">
        <f t="shared" si="18"/>
        <v>624</v>
      </c>
      <c r="J176" s="216">
        <v>0</v>
      </c>
      <c r="K176" s="216">
        <v>17</v>
      </c>
      <c r="L176" s="216">
        <v>3</v>
      </c>
      <c r="M176" s="216">
        <v>0</v>
      </c>
      <c r="N176" s="216">
        <v>0</v>
      </c>
      <c r="O176" s="216">
        <v>23</v>
      </c>
      <c r="P176" s="216">
        <v>28</v>
      </c>
      <c r="Q176" s="216">
        <v>0</v>
      </c>
      <c r="R176" s="216">
        <v>22</v>
      </c>
      <c r="S176" s="216">
        <v>0</v>
      </c>
      <c r="T176" s="216">
        <v>0</v>
      </c>
      <c r="U176" s="216">
        <v>0</v>
      </c>
      <c r="V176" s="216">
        <f>54+18+65+17+17</f>
        <v>171</v>
      </c>
      <c r="W176" s="52"/>
      <c r="X176" s="216">
        <v>359</v>
      </c>
      <c r="Y176" s="216">
        <v>111</v>
      </c>
      <c r="Z176" s="216">
        <f>57+79+18</f>
        <v>154</v>
      </c>
      <c r="AH176" s="46"/>
      <c r="AI176" s="46"/>
    </row>
    <row r="177" spans="1:35" x14ac:dyDescent="0.25">
      <c r="A177" s="31">
        <f>'M&amp;R Stations'!A166</f>
        <v>39125</v>
      </c>
      <c r="B177"/>
      <c r="C177" s="70">
        <f t="shared" si="13"/>
        <v>427</v>
      </c>
      <c r="D177" s="70">
        <f t="shared" si="14"/>
        <v>371</v>
      </c>
      <c r="E177" s="70">
        <f t="shared" si="15"/>
        <v>24</v>
      </c>
      <c r="F177" s="94">
        <f t="shared" si="16"/>
        <v>822</v>
      </c>
      <c r="G177" s="109">
        <f t="shared" si="17"/>
        <v>201</v>
      </c>
      <c r="H177" s="109">
        <f t="shared" si="18"/>
        <v>621</v>
      </c>
      <c r="J177" s="216">
        <v>0</v>
      </c>
      <c r="K177" s="216">
        <v>19</v>
      </c>
      <c r="L177" s="216">
        <v>3</v>
      </c>
      <c r="M177" s="216">
        <v>0</v>
      </c>
      <c r="N177" s="216">
        <v>0</v>
      </c>
      <c r="O177" s="216">
        <v>0</v>
      </c>
      <c r="P177" s="216">
        <v>19</v>
      </c>
      <c r="Q177" s="216">
        <v>0</v>
      </c>
      <c r="R177" s="216">
        <v>24</v>
      </c>
      <c r="S177" s="216">
        <v>0</v>
      </c>
      <c r="T177" s="216">
        <v>0</v>
      </c>
      <c r="U177" s="216">
        <v>0</v>
      </c>
      <c r="V177" s="216">
        <f>46+16+49+11+14</f>
        <v>136</v>
      </c>
      <c r="W177" s="52"/>
      <c r="X177" s="216">
        <v>386</v>
      </c>
      <c r="Y177" s="216">
        <v>98</v>
      </c>
      <c r="Z177" s="216">
        <f>52+70+15</f>
        <v>137</v>
      </c>
      <c r="AH177" s="46"/>
      <c r="AI177" s="46"/>
    </row>
    <row r="178" spans="1:35" x14ac:dyDescent="0.25">
      <c r="A178" s="31">
        <f>'M&amp;R Stations'!A167</f>
        <v>39126</v>
      </c>
      <c r="B178"/>
      <c r="C178" s="70">
        <f t="shared" si="13"/>
        <v>638</v>
      </c>
      <c r="D178" s="70">
        <f t="shared" si="14"/>
        <v>455</v>
      </c>
      <c r="E178" s="70">
        <f t="shared" si="15"/>
        <v>22</v>
      </c>
      <c r="F178" s="94">
        <f t="shared" si="16"/>
        <v>1115</v>
      </c>
      <c r="G178" s="109">
        <f t="shared" si="17"/>
        <v>287</v>
      </c>
      <c r="H178" s="109">
        <f t="shared" si="18"/>
        <v>828</v>
      </c>
      <c r="J178" s="216">
        <v>0</v>
      </c>
      <c r="K178" s="216">
        <v>16</v>
      </c>
      <c r="L178" s="216">
        <v>4</v>
      </c>
      <c r="M178" s="216">
        <v>0</v>
      </c>
      <c r="N178" s="216">
        <v>0</v>
      </c>
      <c r="O178" s="216">
        <v>10</v>
      </c>
      <c r="P178" s="216">
        <v>49</v>
      </c>
      <c r="Q178" s="216">
        <v>0</v>
      </c>
      <c r="R178" s="216">
        <v>22</v>
      </c>
      <c r="S178" s="216">
        <v>0</v>
      </c>
      <c r="T178" s="216">
        <v>0</v>
      </c>
      <c r="U178" s="216">
        <v>0</v>
      </c>
      <c r="V178" s="216">
        <f>56+23+72+18+17</f>
        <v>186</v>
      </c>
      <c r="W178" s="52"/>
      <c r="X178" s="216">
        <v>559</v>
      </c>
      <c r="Y178" s="216">
        <v>108</v>
      </c>
      <c r="Z178" s="216">
        <f>55+85+21</f>
        <v>161</v>
      </c>
      <c r="AH178" s="46"/>
      <c r="AI178" s="46"/>
    </row>
    <row r="179" spans="1:35" x14ac:dyDescent="0.25">
      <c r="A179" s="31">
        <f>'M&amp;R Stations'!A168</f>
        <v>39127</v>
      </c>
      <c r="B179"/>
      <c r="C179" s="70">
        <f t="shared" si="13"/>
        <v>932</v>
      </c>
      <c r="D179" s="70">
        <f t="shared" si="14"/>
        <v>484</v>
      </c>
      <c r="E179" s="70">
        <f t="shared" si="15"/>
        <v>27</v>
      </c>
      <c r="F179" s="94">
        <f t="shared" si="16"/>
        <v>1443</v>
      </c>
      <c r="G179" s="109">
        <f t="shared" si="17"/>
        <v>535</v>
      </c>
      <c r="H179" s="109">
        <f t="shared" si="18"/>
        <v>908</v>
      </c>
      <c r="J179" s="216">
        <v>0</v>
      </c>
      <c r="K179" s="216">
        <v>16</v>
      </c>
      <c r="L179" s="216">
        <v>13</v>
      </c>
      <c r="M179" s="216">
        <v>0</v>
      </c>
      <c r="N179" s="216">
        <v>0</v>
      </c>
      <c r="O179" s="216">
        <v>13</v>
      </c>
      <c r="P179" s="216">
        <v>289</v>
      </c>
      <c r="Q179" s="216">
        <v>0</v>
      </c>
      <c r="R179" s="216">
        <v>27</v>
      </c>
      <c r="S179" s="216">
        <v>0</v>
      </c>
      <c r="T179" s="216">
        <v>0</v>
      </c>
      <c r="U179" s="216">
        <v>0</v>
      </c>
      <c r="V179" s="216">
        <f>51+24+64+20+18</f>
        <v>177</v>
      </c>
      <c r="W179" s="52"/>
      <c r="X179" s="216">
        <v>601</v>
      </c>
      <c r="Y179" s="216">
        <v>130</v>
      </c>
      <c r="Z179" s="216">
        <f>59+95+23</f>
        <v>177</v>
      </c>
      <c r="AH179" s="46"/>
      <c r="AI179" s="46"/>
    </row>
    <row r="180" spans="1:35" x14ac:dyDescent="0.25">
      <c r="A180" s="31">
        <f>'M&amp;R Stations'!A169</f>
        <v>39128</v>
      </c>
      <c r="B180"/>
      <c r="C180" s="70">
        <f t="shared" si="13"/>
        <v>1150</v>
      </c>
      <c r="D180" s="70">
        <f t="shared" si="14"/>
        <v>474</v>
      </c>
      <c r="E180" s="70">
        <f t="shared" si="15"/>
        <v>25</v>
      </c>
      <c r="F180" s="94">
        <f t="shared" si="16"/>
        <v>1649</v>
      </c>
      <c r="G180" s="109">
        <f t="shared" si="17"/>
        <v>754</v>
      </c>
      <c r="H180" s="109">
        <f t="shared" si="18"/>
        <v>895</v>
      </c>
      <c r="J180" s="216">
        <v>0</v>
      </c>
      <c r="K180" s="216">
        <v>18</v>
      </c>
      <c r="L180" s="216">
        <v>8</v>
      </c>
      <c r="M180" s="216">
        <v>0</v>
      </c>
      <c r="N180" s="216">
        <v>0</v>
      </c>
      <c r="O180" s="216">
        <v>0</v>
      </c>
      <c r="P180" s="216">
        <v>528</v>
      </c>
      <c r="Q180" s="216">
        <v>0</v>
      </c>
      <c r="R180" s="216">
        <v>25</v>
      </c>
      <c r="S180" s="216">
        <v>0</v>
      </c>
      <c r="T180" s="216">
        <v>0</v>
      </c>
      <c r="U180" s="216">
        <v>0</v>
      </c>
      <c r="V180" s="216">
        <f>53+21+63+19+19</f>
        <v>175</v>
      </c>
      <c r="W180" s="52"/>
      <c r="X180" s="216">
        <v>596</v>
      </c>
      <c r="Y180" s="216">
        <v>114</v>
      </c>
      <c r="Z180" s="216">
        <f>66+95+24</f>
        <v>185</v>
      </c>
      <c r="AH180" s="46"/>
      <c r="AI180" s="46"/>
    </row>
    <row r="181" spans="1:35" x14ac:dyDescent="0.25">
      <c r="A181" s="31">
        <f>'M&amp;R Stations'!A170</f>
        <v>39129</v>
      </c>
      <c r="B181"/>
      <c r="C181" s="70">
        <f t="shared" si="13"/>
        <v>867</v>
      </c>
      <c r="D181" s="70">
        <f t="shared" si="14"/>
        <v>473</v>
      </c>
      <c r="E181" s="70">
        <f t="shared" si="15"/>
        <v>23</v>
      </c>
      <c r="F181" s="94">
        <f t="shared" si="16"/>
        <v>1363</v>
      </c>
      <c r="G181" s="109">
        <f t="shared" si="17"/>
        <v>515</v>
      </c>
      <c r="H181" s="109">
        <f t="shared" si="18"/>
        <v>848</v>
      </c>
      <c r="J181" s="216">
        <v>0</v>
      </c>
      <c r="K181" s="216">
        <v>17</v>
      </c>
      <c r="L181" s="216">
        <v>7</v>
      </c>
      <c r="M181" s="216">
        <v>0</v>
      </c>
      <c r="N181" s="216">
        <v>13</v>
      </c>
      <c r="O181" s="216">
        <v>0</v>
      </c>
      <c r="P181" s="216">
        <v>276</v>
      </c>
      <c r="Q181" s="216">
        <v>0</v>
      </c>
      <c r="R181" s="216">
        <v>23</v>
      </c>
      <c r="S181" s="216">
        <v>0</v>
      </c>
      <c r="T181" s="216">
        <v>0</v>
      </c>
      <c r="U181" s="216">
        <v>0</v>
      </c>
      <c r="V181" s="216">
        <f>56+22+67+16+18</f>
        <v>179</v>
      </c>
      <c r="W181" s="52"/>
      <c r="X181" s="216">
        <v>554</v>
      </c>
      <c r="Y181" s="216">
        <v>121</v>
      </c>
      <c r="Z181" s="216">
        <f>60+91+22</f>
        <v>173</v>
      </c>
      <c r="AH181" s="46"/>
      <c r="AI181" s="46"/>
    </row>
    <row r="182" spans="1:35" x14ac:dyDescent="0.25">
      <c r="A182" s="31">
        <f>'M&amp;R Stations'!A171</f>
        <v>39130</v>
      </c>
      <c r="B182"/>
      <c r="C182" s="70">
        <f t="shared" si="13"/>
        <v>599</v>
      </c>
      <c r="D182" s="70">
        <f t="shared" si="14"/>
        <v>402</v>
      </c>
      <c r="E182" s="70">
        <f t="shared" si="15"/>
        <v>26</v>
      </c>
      <c r="F182" s="94">
        <f t="shared" si="16"/>
        <v>1027</v>
      </c>
      <c r="G182" s="109">
        <f t="shared" si="17"/>
        <v>232</v>
      </c>
      <c r="H182" s="109">
        <f t="shared" si="18"/>
        <v>795</v>
      </c>
      <c r="J182" s="216">
        <v>0</v>
      </c>
      <c r="K182" s="216">
        <v>18</v>
      </c>
      <c r="L182" s="216">
        <v>4</v>
      </c>
      <c r="M182" s="216">
        <v>0</v>
      </c>
      <c r="N182" s="216">
        <v>17</v>
      </c>
      <c r="O182" s="216">
        <v>1</v>
      </c>
      <c r="P182" s="216">
        <v>14</v>
      </c>
      <c r="Q182" s="216">
        <v>0</v>
      </c>
      <c r="R182" s="216">
        <v>26</v>
      </c>
      <c r="S182" s="216">
        <v>0</v>
      </c>
      <c r="T182" s="216">
        <v>0</v>
      </c>
      <c r="U182" s="216">
        <v>0</v>
      </c>
      <c r="V182" s="216">
        <f>45+17+58+15+17</f>
        <v>152</v>
      </c>
      <c r="W182" s="52"/>
      <c r="X182" s="216">
        <v>545</v>
      </c>
      <c r="Y182" s="216">
        <v>100</v>
      </c>
      <c r="Z182" s="216">
        <f>52+81+17</f>
        <v>150</v>
      </c>
      <c r="AH182" s="46"/>
      <c r="AI182" s="46"/>
    </row>
    <row r="183" spans="1:35" x14ac:dyDescent="0.25">
      <c r="A183" s="31">
        <f>'M&amp;R Stations'!A172</f>
        <v>39131</v>
      </c>
      <c r="B183"/>
      <c r="C183" s="70">
        <f t="shared" si="13"/>
        <v>726</v>
      </c>
      <c r="D183" s="70">
        <f t="shared" si="14"/>
        <v>459</v>
      </c>
      <c r="E183" s="70">
        <f t="shared" si="15"/>
        <v>23</v>
      </c>
      <c r="F183" s="94">
        <f t="shared" si="16"/>
        <v>1208</v>
      </c>
      <c r="G183" s="109">
        <f t="shared" si="17"/>
        <v>363</v>
      </c>
      <c r="H183" s="109">
        <f t="shared" si="18"/>
        <v>845</v>
      </c>
      <c r="J183" s="216">
        <v>0</v>
      </c>
      <c r="K183" s="216">
        <v>19</v>
      </c>
      <c r="L183" s="216">
        <v>6</v>
      </c>
      <c r="M183" s="216">
        <v>0</v>
      </c>
      <c r="N183" s="216">
        <v>22</v>
      </c>
      <c r="O183" s="216">
        <v>0</v>
      </c>
      <c r="P183" s="216">
        <v>115</v>
      </c>
      <c r="Q183" s="216">
        <v>0</v>
      </c>
      <c r="R183" s="216">
        <v>23</v>
      </c>
      <c r="S183" s="216">
        <v>0</v>
      </c>
      <c r="T183" s="216">
        <v>0</v>
      </c>
      <c r="U183" s="216">
        <v>0</v>
      </c>
      <c r="V183" s="216">
        <f>55+20+68+16+19</f>
        <v>178</v>
      </c>
      <c r="W183" s="52"/>
      <c r="X183" s="216">
        <v>564</v>
      </c>
      <c r="Y183" s="216">
        <v>112</v>
      </c>
      <c r="Z183" s="216">
        <f>59+90+20</f>
        <v>169</v>
      </c>
      <c r="AH183" s="46"/>
      <c r="AI183" s="46"/>
    </row>
    <row r="184" spans="1:35" x14ac:dyDescent="0.25">
      <c r="A184" s="31">
        <f>'M&amp;R Stations'!A173</f>
        <v>39132</v>
      </c>
      <c r="B184"/>
      <c r="C184" s="70">
        <f t="shared" si="13"/>
        <v>641</v>
      </c>
      <c r="D184" s="70">
        <f t="shared" si="14"/>
        <v>445</v>
      </c>
      <c r="E184" s="70">
        <f t="shared" si="15"/>
        <v>24</v>
      </c>
      <c r="F184" s="94">
        <f t="shared" si="16"/>
        <v>1110</v>
      </c>
      <c r="G184" s="109">
        <f t="shared" si="17"/>
        <v>284</v>
      </c>
      <c r="H184" s="109">
        <f t="shared" si="18"/>
        <v>826</v>
      </c>
      <c r="J184" s="216">
        <v>0</v>
      </c>
      <c r="K184" s="216">
        <v>14</v>
      </c>
      <c r="L184" s="216">
        <v>3</v>
      </c>
      <c r="M184" s="216">
        <v>0</v>
      </c>
      <c r="N184" s="216">
        <v>15</v>
      </c>
      <c r="O184" s="216">
        <v>0</v>
      </c>
      <c r="P184" s="216">
        <v>57</v>
      </c>
      <c r="Q184" s="216">
        <v>0</v>
      </c>
      <c r="R184" s="216">
        <v>24</v>
      </c>
      <c r="S184" s="216">
        <v>0</v>
      </c>
      <c r="T184" s="216">
        <v>0</v>
      </c>
      <c r="U184" s="216">
        <v>0</v>
      </c>
      <c r="V184" s="216">
        <f>51+19+68+16+17</f>
        <v>171</v>
      </c>
      <c r="W184" s="52"/>
      <c r="X184" s="216">
        <v>552</v>
      </c>
      <c r="Y184" s="216">
        <v>114</v>
      </c>
      <c r="Z184" s="216">
        <f>58+83+19</f>
        <v>160</v>
      </c>
      <c r="AH184" s="46"/>
      <c r="AI184" s="46"/>
    </row>
    <row r="185" spans="1:35" x14ac:dyDescent="0.25">
      <c r="A185" s="31">
        <f>'M&amp;R Stations'!A174</f>
        <v>39133</v>
      </c>
      <c r="B185"/>
      <c r="C185" s="70">
        <f t="shared" si="13"/>
        <v>505</v>
      </c>
      <c r="D185" s="70">
        <f t="shared" si="14"/>
        <v>325</v>
      </c>
      <c r="E185" s="70">
        <f t="shared" si="15"/>
        <v>31</v>
      </c>
      <c r="F185" s="94">
        <f t="shared" si="16"/>
        <v>861</v>
      </c>
      <c r="G185" s="109">
        <f t="shared" si="17"/>
        <v>166</v>
      </c>
      <c r="H185" s="109">
        <f t="shared" si="18"/>
        <v>695</v>
      </c>
      <c r="J185" s="216">
        <v>0</v>
      </c>
      <c r="K185" s="216">
        <v>18</v>
      </c>
      <c r="L185" s="216">
        <v>4</v>
      </c>
      <c r="M185" s="216">
        <v>0</v>
      </c>
      <c r="N185" s="216">
        <v>0</v>
      </c>
      <c r="O185" s="216">
        <v>7</v>
      </c>
      <c r="P185" s="216">
        <v>0</v>
      </c>
      <c r="Q185" s="216">
        <v>0</v>
      </c>
      <c r="R185" s="216">
        <v>20</v>
      </c>
      <c r="S185" s="216">
        <v>0</v>
      </c>
      <c r="T185" s="216">
        <v>0</v>
      </c>
      <c r="U185" s="216">
        <v>11</v>
      </c>
      <c r="V185" s="216">
        <f>49+1+37+9+10</f>
        <v>106</v>
      </c>
      <c r="W185" s="52"/>
      <c r="X185" s="216">
        <v>476</v>
      </c>
      <c r="Y185" s="216">
        <v>94</v>
      </c>
      <c r="Z185" s="216">
        <f>34+76+15</f>
        <v>125</v>
      </c>
      <c r="AH185" s="46"/>
      <c r="AI185" s="46"/>
    </row>
    <row r="186" spans="1:35" x14ac:dyDescent="0.25">
      <c r="A186" s="31">
        <f>'M&amp;R Stations'!A175</f>
        <v>39134</v>
      </c>
      <c r="B186"/>
      <c r="C186" s="70">
        <f t="shared" si="13"/>
        <v>594</v>
      </c>
      <c r="D186" s="70">
        <f t="shared" si="14"/>
        <v>309</v>
      </c>
      <c r="E186" s="70">
        <f t="shared" si="15"/>
        <v>25</v>
      </c>
      <c r="F186" s="94">
        <f t="shared" si="16"/>
        <v>928</v>
      </c>
      <c r="G186" s="109">
        <f t="shared" si="17"/>
        <v>198</v>
      </c>
      <c r="H186" s="109">
        <f t="shared" si="18"/>
        <v>730</v>
      </c>
      <c r="J186" s="216">
        <v>0</v>
      </c>
      <c r="K186" s="216">
        <v>16</v>
      </c>
      <c r="L186" s="216">
        <v>3</v>
      </c>
      <c r="M186" s="216">
        <v>0</v>
      </c>
      <c r="N186" s="216">
        <v>0</v>
      </c>
      <c r="O186" s="216">
        <v>34</v>
      </c>
      <c r="P186" s="216">
        <v>19</v>
      </c>
      <c r="Q186" s="216">
        <v>0</v>
      </c>
      <c r="R186" s="216">
        <v>17</v>
      </c>
      <c r="S186" s="216">
        <v>0</v>
      </c>
      <c r="T186" s="216">
        <v>0</v>
      </c>
      <c r="U186" s="216">
        <v>8</v>
      </c>
      <c r="V186" s="216">
        <f>36+7+42+2+14</f>
        <v>101</v>
      </c>
      <c r="W186" s="52"/>
      <c r="X186" s="216">
        <v>522</v>
      </c>
      <c r="Y186" s="216">
        <v>94</v>
      </c>
      <c r="Z186" s="216">
        <f>45+55+14</f>
        <v>114</v>
      </c>
      <c r="AH186" s="46"/>
      <c r="AI186" s="46"/>
    </row>
    <row r="187" spans="1:35" x14ac:dyDescent="0.25">
      <c r="A187" s="31">
        <f>'M&amp;R Stations'!A176</f>
        <v>39135</v>
      </c>
      <c r="B187"/>
      <c r="C187" s="70">
        <f t="shared" si="13"/>
        <v>585</v>
      </c>
      <c r="D187" s="70">
        <f t="shared" si="14"/>
        <v>353</v>
      </c>
      <c r="E187" s="70">
        <f t="shared" si="15"/>
        <v>21</v>
      </c>
      <c r="F187" s="94">
        <f t="shared" si="16"/>
        <v>959</v>
      </c>
      <c r="G187" s="109">
        <f t="shared" si="17"/>
        <v>190</v>
      </c>
      <c r="H187" s="109">
        <f t="shared" si="18"/>
        <v>769</v>
      </c>
      <c r="J187" s="216">
        <v>0</v>
      </c>
      <c r="K187" s="216">
        <v>17</v>
      </c>
      <c r="L187" s="216">
        <v>4</v>
      </c>
      <c r="M187" s="216">
        <v>0</v>
      </c>
      <c r="N187" s="216">
        <v>0</v>
      </c>
      <c r="O187" s="216">
        <v>0</v>
      </c>
      <c r="P187" s="216">
        <v>21</v>
      </c>
      <c r="Q187" s="216">
        <v>0</v>
      </c>
      <c r="R187" s="216">
        <v>21</v>
      </c>
      <c r="S187" s="216">
        <v>0</v>
      </c>
      <c r="T187" s="216">
        <v>0</v>
      </c>
      <c r="U187" s="216">
        <v>0</v>
      </c>
      <c r="V187" s="216">
        <f>32+18+51+13+13</f>
        <v>127</v>
      </c>
      <c r="W187" s="52"/>
      <c r="X187" s="216">
        <v>543</v>
      </c>
      <c r="Y187" s="216">
        <v>100</v>
      </c>
      <c r="Z187" s="216">
        <f>48+61+17</f>
        <v>126</v>
      </c>
      <c r="AH187" s="46"/>
      <c r="AI187" s="46"/>
    </row>
    <row r="188" spans="1:35" x14ac:dyDescent="0.25">
      <c r="A188" s="31">
        <f>'M&amp;R Stations'!A177</f>
        <v>39136</v>
      </c>
      <c r="B188"/>
      <c r="C188" s="70">
        <f t="shared" si="13"/>
        <v>674</v>
      </c>
      <c r="D188" s="70">
        <f t="shared" si="14"/>
        <v>434</v>
      </c>
      <c r="E188" s="70">
        <f t="shared" si="15"/>
        <v>21</v>
      </c>
      <c r="F188" s="94">
        <f t="shared" si="16"/>
        <v>1129</v>
      </c>
      <c r="G188" s="109">
        <f t="shared" si="17"/>
        <v>304</v>
      </c>
      <c r="H188" s="109">
        <f t="shared" si="18"/>
        <v>825</v>
      </c>
      <c r="J188" s="216">
        <v>0</v>
      </c>
      <c r="K188" s="216">
        <v>18</v>
      </c>
      <c r="L188" s="216">
        <v>3</v>
      </c>
      <c r="M188" s="216">
        <v>0</v>
      </c>
      <c r="N188" s="216">
        <v>0</v>
      </c>
      <c r="O188" s="216">
        <v>0</v>
      </c>
      <c r="P188" s="216">
        <v>101</v>
      </c>
      <c r="Q188" s="216">
        <v>0</v>
      </c>
      <c r="R188" s="216">
        <v>21</v>
      </c>
      <c r="S188" s="216">
        <v>0</v>
      </c>
      <c r="T188" s="216">
        <v>0</v>
      </c>
      <c r="U188" s="216">
        <v>0</v>
      </c>
      <c r="V188" s="216">
        <f>42+21+65+16+17</f>
        <v>161</v>
      </c>
      <c r="W188" s="52"/>
      <c r="X188" s="216">
        <v>552</v>
      </c>
      <c r="Y188" s="216">
        <v>122</v>
      </c>
      <c r="Z188" s="216">
        <f>65+66+20</f>
        <v>151</v>
      </c>
      <c r="AH188" s="46"/>
      <c r="AI188" s="46"/>
    </row>
    <row r="189" spans="1:35" x14ac:dyDescent="0.25">
      <c r="A189" s="31">
        <f>'M&amp;R Stations'!A178</f>
        <v>39137</v>
      </c>
      <c r="B189"/>
      <c r="C189" s="70">
        <f t="shared" si="13"/>
        <v>638</v>
      </c>
      <c r="D189" s="70">
        <f t="shared" si="14"/>
        <v>389</v>
      </c>
      <c r="E189" s="70">
        <f t="shared" si="15"/>
        <v>22</v>
      </c>
      <c r="F189" s="94">
        <f t="shared" si="16"/>
        <v>1049</v>
      </c>
      <c r="G189" s="109">
        <f t="shared" si="17"/>
        <v>258</v>
      </c>
      <c r="H189" s="109">
        <f t="shared" si="18"/>
        <v>791</v>
      </c>
      <c r="J189" s="216">
        <v>0</v>
      </c>
      <c r="K189" s="216">
        <v>16</v>
      </c>
      <c r="L189" s="216">
        <v>3</v>
      </c>
      <c r="M189" s="216">
        <v>0</v>
      </c>
      <c r="N189" s="216">
        <v>0</v>
      </c>
      <c r="O189" s="216">
        <v>0</v>
      </c>
      <c r="P189" s="216">
        <v>72</v>
      </c>
      <c r="Q189" s="216">
        <v>0</v>
      </c>
      <c r="R189" s="216">
        <v>22</v>
      </c>
      <c r="S189" s="216">
        <v>0</v>
      </c>
      <c r="T189" s="216">
        <v>0</v>
      </c>
      <c r="U189" s="216">
        <v>0</v>
      </c>
      <c r="V189" s="216">
        <f>40+14+61+15+15</f>
        <v>145</v>
      </c>
      <c r="W189" s="52"/>
      <c r="X189" s="216">
        <v>547</v>
      </c>
      <c r="Y189" s="216">
        <v>103</v>
      </c>
      <c r="Z189" s="216">
        <f>54+70+17</f>
        <v>141</v>
      </c>
      <c r="AH189" s="46"/>
      <c r="AI189" s="46"/>
    </row>
    <row r="190" spans="1:35" x14ac:dyDescent="0.25">
      <c r="A190" s="31">
        <f>'M&amp;R Stations'!A179</f>
        <v>39138</v>
      </c>
      <c r="B190"/>
      <c r="C190" s="70">
        <f t="shared" si="13"/>
        <v>609</v>
      </c>
      <c r="D190" s="70">
        <f t="shared" si="14"/>
        <v>390</v>
      </c>
      <c r="E190" s="70">
        <f t="shared" si="15"/>
        <v>21</v>
      </c>
      <c r="F190" s="94">
        <f t="shared" si="16"/>
        <v>1020</v>
      </c>
      <c r="G190" s="109">
        <f t="shared" si="17"/>
        <v>234</v>
      </c>
      <c r="H190" s="109">
        <f t="shared" si="18"/>
        <v>786</v>
      </c>
      <c r="J190" s="216">
        <v>0</v>
      </c>
      <c r="K190" s="216">
        <v>18</v>
      </c>
      <c r="L190" s="216">
        <v>3</v>
      </c>
      <c r="M190" s="216">
        <v>0</v>
      </c>
      <c r="N190" s="216">
        <v>29</v>
      </c>
      <c r="O190" s="216">
        <v>0</v>
      </c>
      <c r="P190" s="216">
        <v>13</v>
      </c>
      <c r="Q190" s="216">
        <v>0</v>
      </c>
      <c r="R190" s="216">
        <v>21</v>
      </c>
      <c r="S190" s="216">
        <v>0</v>
      </c>
      <c r="T190" s="216">
        <v>0</v>
      </c>
      <c r="U190" s="216">
        <v>0</v>
      </c>
      <c r="V190" s="216">
        <f>40+18+61+15+16</f>
        <v>150</v>
      </c>
      <c r="W190" s="52"/>
      <c r="X190" s="216">
        <v>546</v>
      </c>
      <c r="Y190" s="216">
        <v>98</v>
      </c>
      <c r="Z190" s="216">
        <f>56+69+17</f>
        <v>142</v>
      </c>
      <c r="AH190" s="46"/>
      <c r="AI190" s="46"/>
    </row>
    <row r="191" spans="1:35" x14ac:dyDescent="0.25">
      <c r="A191" s="31">
        <f>'M&amp;R Stations'!A180</f>
        <v>39139</v>
      </c>
      <c r="B191"/>
      <c r="C191" s="70">
        <f t="shared" si="13"/>
        <v>587</v>
      </c>
      <c r="D191" s="70">
        <f t="shared" si="14"/>
        <v>365</v>
      </c>
      <c r="E191" s="70">
        <f t="shared" si="15"/>
        <v>21</v>
      </c>
      <c r="F191" s="94">
        <f t="shared" si="16"/>
        <v>973</v>
      </c>
      <c r="G191" s="109">
        <f t="shared" si="17"/>
        <v>202</v>
      </c>
      <c r="H191" s="109">
        <f t="shared" si="18"/>
        <v>771</v>
      </c>
      <c r="J191" s="216">
        <v>0</v>
      </c>
      <c r="K191" s="216">
        <v>17</v>
      </c>
      <c r="L191" s="216">
        <v>3</v>
      </c>
      <c r="M191" s="216">
        <v>0</v>
      </c>
      <c r="N191" s="216">
        <v>0</v>
      </c>
      <c r="O191" s="216">
        <v>2</v>
      </c>
      <c r="P191" s="216">
        <v>22</v>
      </c>
      <c r="Q191" s="216">
        <v>0</v>
      </c>
      <c r="R191" s="216">
        <v>21</v>
      </c>
      <c r="S191" s="216">
        <v>0</v>
      </c>
      <c r="T191" s="216">
        <v>0</v>
      </c>
      <c r="U191" s="216">
        <v>0</v>
      </c>
      <c r="V191" s="216">
        <f>38+16+54+15+14</f>
        <v>137</v>
      </c>
      <c r="W191" s="52"/>
      <c r="X191" s="216">
        <v>543</v>
      </c>
      <c r="Y191" s="216">
        <v>98</v>
      </c>
      <c r="Z191" s="216">
        <f>45+69+16</f>
        <v>130</v>
      </c>
      <c r="AH191" s="46"/>
      <c r="AI191" s="46"/>
    </row>
    <row r="192" spans="1:35" x14ac:dyDescent="0.25">
      <c r="A192" s="31">
        <f>'M&amp;R Stations'!A181</f>
        <v>39140</v>
      </c>
      <c r="B192"/>
      <c r="C192" s="70">
        <f t="shared" si="13"/>
        <v>549</v>
      </c>
      <c r="D192" s="70">
        <f t="shared" si="14"/>
        <v>307</v>
      </c>
      <c r="E192" s="70">
        <f t="shared" si="15"/>
        <v>21</v>
      </c>
      <c r="F192" s="94">
        <f t="shared" si="16"/>
        <v>877</v>
      </c>
      <c r="G192" s="109">
        <f t="shared" si="17"/>
        <v>164</v>
      </c>
      <c r="H192" s="109">
        <f t="shared" si="18"/>
        <v>713</v>
      </c>
      <c r="J192" s="216">
        <v>0</v>
      </c>
      <c r="K192" s="216">
        <v>18</v>
      </c>
      <c r="L192" s="216">
        <v>3</v>
      </c>
      <c r="M192" s="216">
        <v>0</v>
      </c>
      <c r="N192" s="216">
        <v>0</v>
      </c>
      <c r="O192" s="216">
        <v>14</v>
      </c>
      <c r="P192" s="216">
        <v>0</v>
      </c>
      <c r="Q192" s="216">
        <v>0</v>
      </c>
      <c r="R192" s="216">
        <v>21</v>
      </c>
      <c r="S192" s="216">
        <v>0</v>
      </c>
      <c r="T192" s="216">
        <v>0</v>
      </c>
      <c r="U192" s="216">
        <v>0</v>
      </c>
      <c r="V192" s="216">
        <f>40+51+1+16</f>
        <v>108</v>
      </c>
      <c r="W192" s="52"/>
      <c r="X192" s="216">
        <v>514</v>
      </c>
      <c r="Y192" s="216">
        <v>87</v>
      </c>
      <c r="Z192" s="216">
        <f>38+60+14</f>
        <v>112</v>
      </c>
      <c r="AH192" s="46"/>
      <c r="AI192" s="46"/>
    </row>
    <row r="193" spans="1:35" x14ac:dyDescent="0.25">
      <c r="A193" s="31">
        <f>'M&amp;R Stations'!A182</f>
        <v>39141</v>
      </c>
      <c r="B193"/>
      <c r="C193" s="70">
        <f t="shared" si="13"/>
        <v>538</v>
      </c>
      <c r="D193" s="70">
        <f t="shared" si="14"/>
        <v>326</v>
      </c>
      <c r="E193" s="70">
        <f t="shared" si="15"/>
        <v>21</v>
      </c>
      <c r="F193" s="94">
        <f t="shared" si="16"/>
        <v>885</v>
      </c>
      <c r="G193" s="109">
        <f t="shared" si="17"/>
        <v>157</v>
      </c>
      <c r="H193" s="109">
        <f t="shared" si="18"/>
        <v>728</v>
      </c>
      <c r="J193" s="216">
        <v>0</v>
      </c>
      <c r="K193" s="216">
        <v>17</v>
      </c>
      <c r="L193" s="216">
        <v>2</v>
      </c>
      <c r="M193" s="216">
        <v>0</v>
      </c>
      <c r="N193" s="216">
        <v>0</v>
      </c>
      <c r="O193" s="216">
        <v>0</v>
      </c>
      <c r="P193" s="216">
        <v>0</v>
      </c>
      <c r="Q193" s="216">
        <v>0</v>
      </c>
      <c r="R193" s="216">
        <v>21</v>
      </c>
      <c r="S193" s="216">
        <v>0</v>
      </c>
      <c r="T193" s="216">
        <v>0</v>
      </c>
      <c r="U193" s="216">
        <v>0</v>
      </c>
      <c r="V193" s="216">
        <f>45+3+54+15</f>
        <v>117</v>
      </c>
      <c r="W193" s="52"/>
      <c r="X193" s="216">
        <v>519</v>
      </c>
      <c r="Y193" s="216">
        <v>92</v>
      </c>
      <c r="Z193" s="216">
        <f>42+60+15</f>
        <v>117</v>
      </c>
      <c r="AH193" s="46"/>
      <c r="AI193" s="46"/>
    </row>
    <row r="194" spans="1:35" x14ac:dyDescent="0.25">
      <c r="A194" s="210"/>
      <c r="B194"/>
      <c r="C194" s="70" t="str">
        <f t="shared" si="13"/>
        <v/>
      </c>
      <c r="D194" s="70" t="str">
        <f t="shared" si="14"/>
        <v/>
      </c>
      <c r="E194" s="70" t="str">
        <f t="shared" si="15"/>
        <v/>
      </c>
      <c r="F194" s="94" t="str">
        <f t="shared" si="16"/>
        <v/>
      </c>
      <c r="G194" s="109" t="str">
        <f t="shared" si="17"/>
        <v/>
      </c>
      <c r="H194" s="109" t="str">
        <f t="shared" si="18"/>
        <v/>
      </c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52"/>
      <c r="X194" s="216"/>
      <c r="Y194" s="216"/>
      <c r="Z194" s="216"/>
      <c r="AH194" s="46"/>
      <c r="AI194" s="46"/>
    </row>
    <row r="195" spans="1:35" x14ac:dyDescent="0.25">
      <c r="A195" s="96"/>
      <c r="B195" s="97"/>
      <c r="C195" s="98"/>
      <c r="D195" s="98"/>
      <c r="E195" s="98"/>
      <c r="F195" s="98"/>
      <c r="G195" s="98" t="str">
        <f t="shared" si="17"/>
        <v/>
      </c>
      <c r="H195" s="98" t="str">
        <f t="shared" si="18"/>
        <v/>
      </c>
      <c r="J195" s="95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255"/>
      <c r="X195" s="98"/>
      <c r="Y195" s="98"/>
      <c r="Z195" s="98"/>
      <c r="AH195" s="46"/>
      <c r="AI195" s="46"/>
    </row>
    <row r="196" spans="1:35" x14ac:dyDescent="0.25">
      <c r="A196" s="31">
        <f>'M&amp;R Stations'!A183</f>
        <v>39142</v>
      </c>
      <c r="B196"/>
      <c r="C196" s="70">
        <f t="shared" si="13"/>
        <v>591</v>
      </c>
      <c r="D196" s="70">
        <f t="shared" si="14"/>
        <v>267</v>
      </c>
      <c r="E196" s="70">
        <f t="shared" si="15"/>
        <v>22</v>
      </c>
      <c r="F196" s="94">
        <f t="shared" si="16"/>
        <v>880</v>
      </c>
      <c r="G196" s="109">
        <f t="shared" si="17"/>
        <v>145</v>
      </c>
      <c r="H196" s="109">
        <f t="shared" si="18"/>
        <v>735</v>
      </c>
      <c r="J196" s="216">
        <v>0</v>
      </c>
      <c r="K196" s="216">
        <v>18</v>
      </c>
      <c r="L196" s="216">
        <v>4</v>
      </c>
      <c r="M196" s="216">
        <v>0</v>
      </c>
      <c r="N196" s="216">
        <v>0</v>
      </c>
      <c r="O196" s="216">
        <v>14</v>
      </c>
      <c r="P196" s="216">
        <v>0</v>
      </c>
      <c r="Q196" s="216">
        <v>0</v>
      </c>
      <c r="R196" s="216">
        <v>22</v>
      </c>
      <c r="S196" s="216">
        <v>0</v>
      </c>
      <c r="T196" s="216">
        <v>0</v>
      </c>
      <c r="U196" s="216">
        <v>0</v>
      </c>
      <c r="V196" s="216">
        <f>26+1+49+11</f>
        <v>87</v>
      </c>
      <c r="W196" s="52"/>
      <c r="X196" s="216">
        <v>555</v>
      </c>
      <c r="Y196" s="216">
        <v>81</v>
      </c>
      <c r="Z196" s="216">
        <f>40+46+13</f>
        <v>99</v>
      </c>
      <c r="AH196" s="46"/>
      <c r="AI196" s="46"/>
    </row>
    <row r="197" spans="1:35" x14ac:dyDescent="0.25">
      <c r="A197" s="31">
        <f>'M&amp;R Stations'!A184</f>
        <v>39143</v>
      </c>
      <c r="B197"/>
      <c r="C197" s="70">
        <f t="shared" si="13"/>
        <v>564</v>
      </c>
      <c r="D197" s="70">
        <f t="shared" si="14"/>
        <v>217</v>
      </c>
      <c r="E197" s="70">
        <f t="shared" si="15"/>
        <v>20</v>
      </c>
      <c r="F197" s="94">
        <f t="shared" si="16"/>
        <v>801</v>
      </c>
      <c r="G197" s="109">
        <f t="shared" si="17"/>
        <v>124</v>
      </c>
      <c r="H197" s="109">
        <f t="shared" si="18"/>
        <v>677</v>
      </c>
      <c r="J197" s="216">
        <v>0</v>
      </c>
      <c r="K197" s="216">
        <v>18</v>
      </c>
      <c r="L197" s="216">
        <v>4</v>
      </c>
      <c r="M197" s="216">
        <v>0</v>
      </c>
      <c r="N197" s="216">
        <v>0</v>
      </c>
      <c r="O197" s="216">
        <v>3</v>
      </c>
      <c r="P197" s="216">
        <v>0</v>
      </c>
      <c r="Q197" s="216">
        <v>0</v>
      </c>
      <c r="R197" s="216">
        <v>20</v>
      </c>
      <c r="S197" s="216">
        <v>0</v>
      </c>
      <c r="T197" s="216">
        <v>0</v>
      </c>
      <c r="U197" s="216">
        <v>0</v>
      </c>
      <c r="V197" s="216">
        <f>31+45+3</f>
        <v>79</v>
      </c>
      <c r="W197" s="52"/>
      <c r="X197" s="216">
        <v>539</v>
      </c>
      <c r="Y197" s="216">
        <v>60</v>
      </c>
      <c r="Z197" s="216">
        <f>28+39+11</f>
        <v>78</v>
      </c>
      <c r="AH197" s="46"/>
      <c r="AI197" s="46"/>
    </row>
    <row r="198" spans="1:35" x14ac:dyDescent="0.25">
      <c r="A198" s="31">
        <f>'M&amp;R Stations'!A185</f>
        <v>39144</v>
      </c>
      <c r="B198"/>
      <c r="C198" s="70">
        <f t="shared" si="13"/>
        <v>591</v>
      </c>
      <c r="D198" s="70">
        <f t="shared" si="14"/>
        <v>272</v>
      </c>
      <c r="E198" s="70">
        <f t="shared" si="15"/>
        <v>20</v>
      </c>
      <c r="F198" s="94">
        <f t="shared" si="16"/>
        <v>883</v>
      </c>
      <c r="G198" s="109">
        <f t="shared" si="17"/>
        <v>160</v>
      </c>
      <c r="H198" s="109">
        <f t="shared" si="18"/>
        <v>723</v>
      </c>
      <c r="J198" s="216">
        <v>0</v>
      </c>
      <c r="K198" s="216">
        <v>17</v>
      </c>
      <c r="L198" s="216">
        <v>3</v>
      </c>
      <c r="M198" s="216">
        <v>0</v>
      </c>
      <c r="N198" s="216">
        <v>7</v>
      </c>
      <c r="O198" s="216">
        <v>12</v>
      </c>
      <c r="P198" s="216">
        <v>7</v>
      </c>
      <c r="Q198" s="216">
        <v>0</v>
      </c>
      <c r="R198" s="216">
        <v>20</v>
      </c>
      <c r="S198" s="216">
        <v>0</v>
      </c>
      <c r="T198" s="216">
        <v>0</v>
      </c>
      <c r="U198" s="216">
        <v>0</v>
      </c>
      <c r="V198" s="216">
        <f>35+1+53+5</f>
        <v>94</v>
      </c>
      <c r="W198" s="52"/>
      <c r="X198" s="216">
        <v>545</v>
      </c>
      <c r="Y198" s="216">
        <f>88</f>
        <v>88</v>
      </c>
      <c r="Z198" s="216">
        <f>38+40+12</f>
        <v>90</v>
      </c>
      <c r="AH198" s="46"/>
      <c r="AI198" s="46"/>
    </row>
    <row r="199" spans="1:35" x14ac:dyDescent="0.25">
      <c r="A199" s="31">
        <f>'M&amp;R Stations'!A186</f>
        <v>39145</v>
      </c>
      <c r="B199"/>
      <c r="C199" s="70">
        <f t="shared" si="13"/>
        <v>545</v>
      </c>
      <c r="D199" s="70">
        <f t="shared" si="14"/>
        <v>359</v>
      </c>
      <c r="E199" s="70">
        <f t="shared" si="15"/>
        <v>20</v>
      </c>
      <c r="F199" s="94">
        <f t="shared" si="16"/>
        <v>924</v>
      </c>
      <c r="G199" s="109">
        <f t="shared" si="17"/>
        <v>217</v>
      </c>
      <c r="H199" s="109">
        <f t="shared" si="18"/>
        <v>707</v>
      </c>
      <c r="J199" s="216">
        <v>0</v>
      </c>
      <c r="K199" s="216">
        <v>17</v>
      </c>
      <c r="L199" s="216">
        <v>3</v>
      </c>
      <c r="M199" s="216">
        <v>0</v>
      </c>
      <c r="N199" s="216">
        <v>0</v>
      </c>
      <c r="O199" s="216">
        <v>0</v>
      </c>
      <c r="P199" s="216">
        <v>36</v>
      </c>
      <c r="Q199" s="216">
        <v>0</v>
      </c>
      <c r="R199" s="216">
        <v>20</v>
      </c>
      <c r="S199" s="216">
        <v>0</v>
      </c>
      <c r="T199" s="216">
        <v>0</v>
      </c>
      <c r="U199" s="216">
        <v>0</v>
      </c>
      <c r="V199" s="216">
        <f>38+15+68+3+17</f>
        <v>141</v>
      </c>
      <c r="W199" s="52"/>
      <c r="X199" s="216">
        <v>489</v>
      </c>
      <c r="Y199" s="216">
        <v>93</v>
      </c>
      <c r="Z199" s="216">
        <f>49+61+15</f>
        <v>125</v>
      </c>
      <c r="AH199" s="46"/>
      <c r="AI199" s="46"/>
    </row>
    <row r="200" spans="1:35" x14ac:dyDescent="0.25">
      <c r="A200" s="31">
        <f>'M&amp;R Stations'!A187</f>
        <v>39146</v>
      </c>
      <c r="B200"/>
      <c r="C200" s="70">
        <f t="shared" si="13"/>
        <v>718</v>
      </c>
      <c r="D200" s="70">
        <f t="shared" si="14"/>
        <v>409</v>
      </c>
      <c r="E200" s="70">
        <f t="shared" si="15"/>
        <v>23</v>
      </c>
      <c r="F200" s="94">
        <f t="shared" si="16"/>
        <v>1150</v>
      </c>
      <c r="G200" s="109">
        <f t="shared" si="17"/>
        <v>377</v>
      </c>
      <c r="H200" s="109">
        <f t="shared" si="18"/>
        <v>773</v>
      </c>
      <c r="J200" s="216">
        <v>0</v>
      </c>
      <c r="K200" s="216">
        <v>16</v>
      </c>
      <c r="L200" s="216">
        <v>4</v>
      </c>
      <c r="M200" s="216">
        <v>0</v>
      </c>
      <c r="N200" s="216">
        <v>0</v>
      </c>
      <c r="O200" s="216">
        <v>0</v>
      </c>
      <c r="P200" s="216">
        <v>182</v>
      </c>
      <c r="Q200" s="216">
        <v>0</v>
      </c>
      <c r="R200" s="216">
        <v>23</v>
      </c>
      <c r="S200" s="216">
        <v>0</v>
      </c>
      <c r="T200" s="216">
        <v>0</v>
      </c>
      <c r="U200" s="216">
        <v>0</v>
      </c>
      <c r="V200" s="216">
        <v>152</v>
      </c>
      <c r="W200" s="52"/>
      <c r="X200" s="216">
        <v>516</v>
      </c>
      <c r="Y200" s="216">
        <v>119</v>
      </c>
      <c r="Z200" s="216">
        <v>138</v>
      </c>
      <c r="AH200" s="46"/>
      <c r="AI200" s="46"/>
    </row>
    <row r="201" spans="1:35" x14ac:dyDescent="0.25">
      <c r="A201" s="31">
        <f>'M&amp;R Stations'!A188</f>
        <v>39147</v>
      </c>
      <c r="B201"/>
      <c r="C201" s="70">
        <f t="shared" ref="C201:C264" si="19">IF(J201="","",J201+K201+L201+M201+N201+O201+Q201+P201+X201)</f>
        <v>1220</v>
      </c>
      <c r="D201" s="70">
        <f t="shared" ref="D201:D264" si="20">IF(J201="","",S201+V201+Y201+Z201)</f>
        <v>429</v>
      </c>
      <c r="E201" s="70">
        <f t="shared" ref="E201:E264" si="21">IF(J201="","",R201+T201+U201)</f>
        <v>24</v>
      </c>
      <c r="F201" s="94">
        <f t="shared" ref="F201:F264" si="22">IF(J201="","",C201+D201+E201)</f>
        <v>1673</v>
      </c>
      <c r="G201" s="109">
        <f t="shared" ref="G201:G264" si="23">IF(J201="","",SUM(J201:V201))</f>
        <v>821</v>
      </c>
      <c r="H201" s="109">
        <f t="shared" ref="H201:H264" si="24">IF(J201="","",SUM(X201:Z201))</f>
        <v>852</v>
      </c>
      <c r="J201" s="216">
        <v>0</v>
      </c>
      <c r="K201" s="216">
        <v>16</v>
      </c>
      <c r="L201" s="216">
        <v>5</v>
      </c>
      <c r="M201" s="216">
        <v>0</v>
      </c>
      <c r="N201" s="216">
        <v>0</v>
      </c>
      <c r="O201" s="216">
        <v>0</v>
      </c>
      <c r="P201" s="216">
        <v>624</v>
      </c>
      <c r="Q201" s="216">
        <v>0</v>
      </c>
      <c r="R201" s="216">
        <v>24</v>
      </c>
      <c r="S201" s="216">
        <v>0</v>
      </c>
      <c r="T201" s="216">
        <v>0</v>
      </c>
      <c r="U201" s="216">
        <v>0</v>
      </c>
      <c r="V201" s="216">
        <f>46+13+59+15+19</f>
        <v>152</v>
      </c>
      <c r="W201" s="52"/>
      <c r="X201" s="216">
        <v>575</v>
      </c>
      <c r="Y201" s="216">
        <v>112</v>
      </c>
      <c r="Z201" s="216">
        <f>57+93+15</f>
        <v>165</v>
      </c>
      <c r="AH201" s="46"/>
      <c r="AI201" s="46"/>
    </row>
    <row r="202" spans="1:35" x14ac:dyDescent="0.25">
      <c r="A202" s="31">
        <f>'M&amp;R Stations'!A189</f>
        <v>39148</v>
      </c>
      <c r="B202"/>
      <c r="C202" s="70">
        <f t="shared" si="19"/>
        <v>1098</v>
      </c>
      <c r="D202" s="70">
        <f t="shared" si="20"/>
        <v>424</v>
      </c>
      <c r="E202" s="70">
        <f t="shared" si="21"/>
        <v>28</v>
      </c>
      <c r="F202" s="94">
        <f t="shared" si="22"/>
        <v>1550</v>
      </c>
      <c r="G202" s="109">
        <f t="shared" si="23"/>
        <v>730</v>
      </c>
      <c r="H202" s="109">
        <f t="shared" si="24"/>
        <v>820</v>
      </c>
      <c r="J202" s="216">
        <v>0</v>
      </c>
      <c r="K202" s="216">
        <v>16</v>
      </c>
      <c r="L202" s="216">
        <v>10</v>
      </c>
      <c r="M202" s="216">
        <v>0</v>
      </c>
      <c r="N202" s="216">
        <v>4</v>
      </c>
      <c r="O202" s="216">
        <v>24</v>
      </c>
      <c r="P202" s="216">
        <v>494</v>
      </c>
      <c r="Q202" s="216">
        <v>0</v>
      </c>
      <c r="R202" s="216">
        <v>22</v>
      </c>
      <c r="S202" s="216">
        <v>0</v>
      </c>
      <c r="T202" s="216">
        <v>0</v>
      </c>
      <c r="U202" s="216">
        <v>6</v>
      </c>
      <c r="V202" s="216">
        <f>47+16+60+14+17</f>
        <v>154</v>
      </c>
      <c r="W202" s="52"/>
      <c r="X202" s="216">
        <v>550</v>
      </c>
      <c r="Y202" s="216">
        <v>108</v>
      </c>
      <c r="Z202" s="216">
        <f>57+90+15</f>
        <v>162</v>
      </c>
      <c r="AH202" s="46"/>
      <c r="AI202" s="46"/>
    </row>
    <row r="203" spans="1:35" x14ac:dyDescent="0.25">
      <c r="A203" s="31">
        <f>'M&amp;R Stations'!A190</f>
        <v>39149</v>
      </c>
      <c r="B203"/>
      <c r="C203" s="70">
        <f t="shared" si="19"/>
        <v>698</v>
      </c>
      <c r="D203" s="70">
        <f t="shared" si="20"/>
        <v>437</v>
      </c>
      <c r="E203" s="70">
        <f t="shared" si="21"/>
        <v>36</v>
      </c>
      <c r="F203" s="94">
        <f t="shared" si="22"/>
        <v>1171</v>
      </c>
      <c r="G203" s="109">
        <f t="shared" si="23"/>
        <v>345</v>
      </c>
      <c r="H203" s="109">
        <f t="shared" si="24"/>
        <v>826</v>
      </c>
      <c r="J203" s="216">
        <v>0</v>
      </c>
      <c r="K203" s="216">
        <v>18</v>
      </c>
      <c r="L203" s="216">
        <v>3</v>
      </c>
      <c r="M203" s="216">
        <v>0</v>
      </c>
      <c r="N203" s="216">
        <v>0</v>
      </c>
      <c r="O203" s="216">
        <v>0</v>
      </c>
      <c r="P203" s="216">
        <v>131</v>
      </c>
      <c r="Q203" s="216">
        <v>0</v>
      </c>
      <c r="R203" s="216">
        <v>23</v>
      </c>
      <c r="S203" s="216">
        <v>0</v>
      </c>
      <c r="T203" s="216">
        <v>0</v>
      </c>
      <c r="U203" s="216">
        <v>13</v>
      </c>
      <c r="V203" s="216">
        <f>47+15+64+15+16</f>
        <v>157</v>
      </c>
      <c r="W203" s="52"/>
      <c r="X203" s="216">
        <v>546</v>
      </c>
      <c r="Y203" s="216">
        <v>116</v>
      </c>
      <c r="Z203" s="216">
        <f>56+91+17</f>
        <v>164</v>
      </c>
      <c r="AH203" s="46"/>
      <c r="AI203" s="46"/>
    </row>
    <row r="204" spans="1:35" x14ac:dyDescent="0.25">
      <c r="A204" s="31">
        <f>'M&amp;R Stations'!A191</f>
        <v>39150</v>
      </c>
      <c r="B204"/>
      <c r="C204" s="70">
        <f t="shared" si="19"/>
        <v>621</v>
      </c>
      <c r="D204" s="70">
        <f t="shared" si="20"/>
        <v>385</v>
      </c>
      <c r="E204" s="70">
        <f t="shared" si="21"/>
        <v>21</v>
      </c>
      <c r="F204" s="94">
        <f t="shared" si="22"/>
        <v>1027</v>
      </c>
      <c r="G204" s="109">
        <f t="shared" si="23"/>
        <v>231</v>
      </c>
      <c r="H204" s="109">
        <f t="shared" si="24"/>
        <v>796</v>
      </c>
      <c r="J204" s="216">
        <v>0</v>
      </c>
      <c r="K204" s="216">
        <v>14</v>
      </c>
      <c r="L204" s="216">
        <v>3</v>
      </c>
      <c r="M204" s="216">
        <v>0</v>
      </c>
      <c r="N204" s="216">
        <v>0</v>
      </c>
      <c r="O204" s="216">
        <v>0</v>
      </c>
      <c r="P204" s="216">
        <v>52</v>
      </c>
      <c r="Q204" s="216">
        <v>0</v>
      </c>
      <c r="R204" s="216">
        <v>21</v>
      </c>
      <c r="S204" s="216">
        <v>0</v>
      </c>
      <c r="T204" s="216">
        <v>0</v>
      </c>
      <c r="U204" s="216">
        <v>0</v>
      </c>
      <c r="V204" s="216">
        <f>38+12+63+13+15</f>
        <v>141</v>
      </c>
      <c r="W204" s="52"/>
      <c r="X204" s="216">
        <v>552</v>
      </c>
      <c r="Y204" s="216">
        <v>109</v>
      </c>
      <c r="Z204" s="216">
        <f>57+62+16</f>
        <v>135</v>
      </c>
      <c r="AH204" s="46"/>
      <c r="AI204" s="46"/>
    </row>
    <row r="205" spans="1:35" x14ac:dyDescent="0.25">
      <c r="A205" s="31">
        <f>'M&amp;R Stations'!A192</f>
        <v>39151</v>
      </c>
      <c r="B205"/>
      <c r="C205" s="70">
        <f t="shared" si="19"/>
        <v>543</v>
      </c>
      <c r="D205" s="70">
        <f t="shared" si="20"/>
        <v>225</v>
      </c>
      <c r="E205" s="70">
        <f t="shared" si="21"/>
        <v>20</v>
      </c>
      <c r="F205" s="94">
        <f t="shared" si="22"/>
        <v>788</v>
      </c>
      <c r="G205" s="109">
        <f t="shared" si="23"/>
        <v>123</v>
      </c>
      <c r="H205" s="109">
        <f t="shared" si="24"/>
        <v>665</v>
      </c>
      <c r="J205" s="216">
        <v>0</v>
      </c>
      <c r="K205" s="216">
        <v>20</v>
      </c>
      <c r="L205" s="216">
        <v>4</v>
      </c>
      <c r="M205" s="216">
        <v>0</v>
      </c>
      <c r="N205" s="216">
        <v>0</v>
      </c>
      <c r="O205" s="216">
        <v>8</v>
      </c>
      <c r="P205" s="216">
        <v>3</v>
      </c>
      <c r="Q205" s="216">
        <v>0</v>
      </c>
      <c r="R205" s="216">
        <v>20</v>
      </c>
      <c r="S205" s="216">
        <v>0</v>
      </c>
      <c r="T205" s="216">
        <v>0</v>
      </c>
      <c r="U205" s="216">
        <v>0</v>
      </c>
      <c r="V205" s="216">
        <f>28+2+37+1</f>
        <v>68</v>
      </c>
      <c r="W205" s="52"/>
      <c r="X205" s="216">
        <v>508</v>
      </c>
      <c r="Y205" s="216">
        <v>73</v>
      </c>
      <c r="Z205" s="216">
        <f>30+43+11</f>
        <v>84</v>
      </c>
      <c r="AH205" s="46"/>
      <c r="AI205" s="46"/>
    </row>
    <row r="206" spans="1:35" x14ac:dyDescent="0.25">
      <c r="A206" s="31">
        <f>'M&amp;R Stations'!A193</f>
        <v>39152</v>
      </c>
      <c r="B206"/>
      <c r="C206" s="70">
        <f t="shared" si="19"/>
        <v>555</v>
      </c>
      <c r="D206" s="70">
        <f t="shared" si="20"/>
        <v>259</v>
      </c>
      <c r="E206" s="70">
        <f t="shared" si="21"/>
        <v>15</v>
      </c>
      <c r="F206" s="94">
        <f t="shared" si="22"/>
        <v>829</v>
      </c>
      <c r="G206" s="109">
        <f t="shared" si="23"/>
        <v>141</v>
      </c>
      <c r="H206" s="109">
        <f t="shared" si="24"/>
        <v>688</v>
      </c>
      <c r="J206" s="216">
        <v>0</v>
      </c>
      <c r="K206" s="216">
        <v>15</v>
      </c>
      <c r="L206" s="216">
        <v>3</v>
      </c>
      <c r="M206" s="216">
        <v>0</v>
      </c>
      <c r="N206" s="216">
        <v>0</v>
      </c>
      <c r="O206" s="216">
        <v>10</v>
      </c>
      <c r="P206" s="216">
        <v>0</v>
      </c>
      <c r="Q206" s="216">
        <v>0</v>
      </c>
      <c r="R206" s="216">
        <v>15</v>
      </c>
      <c r="S206" s="216">
        <v>0</v>
      </c>
      <c r="T206" s="216">
        <v>0</v>
      </c>
      <c r="U206" s="216">
        <v>0</v>
      </c>
      <c r="V206" s="216">
        <f>30+4+54+10</f>
        <v>98</v>
      </c>
      <c r="W206" s="52"/>
      <c r="X206" s="216">
        <v>527</v>
      </c>
      <c r="Y206" s="216">
        <v>71</v>
      </c>
      <c r="Z206" s="216">
        <f>37+41+12</f>
        <v>90</v>
      </c>
      <c r="AH206" s="46"/>
      <c r="AI206" s="46"/>
    </row>
    <row r="207" spans="1:35" x14ac:dyDescent="0.25">
      <c r="A207" s="31">
        <f>'M&amp;R Stations'!A194</f>
        <v>39153</v>
      </c>
      <c r="B207"/>
      <c r="C207" s="70">
        <f t="shared" si="19"/>
        <v>547</v>
      </c>
      <c r="D207" s="70">
        <f t="shared" si="20"/>
        <v>229</v>
      </c>
      <c r="E207" s="70">
        <f t="shared" si="21"/>
        <v>12</v>
      </c>
      <c r="F207" s="94">
        <f t="shared" si="22"/>
        <v>788</v>
      </c>
      <c r="G207" s="109">
        <f t="shared" si="23"/>
        <v>117</v>
      </c>
      <c r="H207" s="109">
        <f t="shared" si="24"/>
        <v>671</v>
      </c>
      <c r="J207" s="216">
        <v>0</v>
      </c>
      <c r="K207" s="216">
        <v>17</v>
      </c>
      <c r="L207" s="216">
        <v>3</v>
      </c>
      <c r="M207" s="216">
        <v>0</v>
      </c>
      <c r="N207" s="216">
        <v>0</v>
      </c>
      <c r="O207" s="216">
        <v>7</v>
      </c>
      <c r="P207" s="216">
        <v>0</v>
      </c>
      <c r="Q207" s="216">
        <v>0</v>
      </c>
      <c r="R207" s="216">
        <v>12</v>
      </c>
      <c r="S207" s="216">
        <v>0</v>
      </c>
      <c r="T207" s="216">
        <v>0</v>
      </c>
      <c r="U207" s="216">
        <v>0</v>
      </c>
      <c r="V207" s="216">
        <f>31+5+41+1</f>
        <v>78</v>
      </c>
      <c r="W207" s="52"/>
      <c r="X207" s="216">
        <v>520</v>
      </c>
      <c r="Y207" s="216">
        <v>69</v>
      </c>
      <c r="Z207" s="216">
        <f>31+39+12</f>
        <v>82</v>
      </c>
      <c r="AH207" s="46"/>
      <c r="AI207" s="46"/>
    </row>
    <row r="208" spans="1:35" x14ac:dyDescent="0.25">
      <c r="A208" s="31">
        <f>'M&amp;R Stations'!A195</f>
        <v>39154</v>
      </c>
      <c r="B208"/>
      <c r="C208" s="70">
        <f t="shared" si="19"/>
        <v>524</v>
      </c>
      <c r="D208" s="70">
        <f t="shared" si="20"/>
        <v>149</v>
      </c>
      <c r="E208" s="70">
        <f t="shared" si="21"/>
        <v>8</v>
      </c>
      <c r="F208" s="94">
        <f t="shared" si="22"/>
        <v>681</v>
      </c>
      <c r="G208" s="109">
        <f t="shared" si="23"/>
        <v>113</v>
      </c>
      <c r="H208" s="109">
        <f t="shared" si="24"/>
        <v>568</v>
      </c>
      <c r="J208" s="216">
        <v>0</v>
      </c>
      <c r="K208" s="216">
        <v>18</v>
      </c>
      <c r="L208" s="216">
        <v>4</v>
      </c>
      <c r="M208" s="216">
        <v>0</v>
      </c>
      <c r="N208" s="216">
        <v>0</v>
      </c>
      <c r="O208" s="216">
        <v>20</v>
      </c>
      <c r="P208" s="216">
        <v>0</v>
      </c>
      <c r="Q208" s="216">
        <v>0</v>
      </c>
      <c r="R208" s="216">
        <v>8</v>
      </c>
      <c r="S208" s="216">
        <v>0</v>
      </c>
      <c r="T208" s="216">
        <v>0</v>
      </c>
      <c r="U208" s="216">
        <v>0</v>
      </c>
      <c r="V208" s="216">
        <v>63</v>
      </c>
      <c r="W208" s="52"/>
      <c r="X208" s="216">
        <v>482</v>
      </c>
      <c r="Y208" s="216">
        <v>37</v>
      </c>
      <c r="Z208" s="216">
        <v>49</v>
      </c>
      <c r="AH208" s="46"/>
      <c r="AI208" s="46"/>
    </row>
    <row r="209" spans="1:35" x14ac:dyDescent="0.25">
      <c r="A209" s="31">
        <f>'M&amp;R Stations'!A196</f>
        <v>39155</v>
      </c>
      <c r="B209"/>
      <c r="C209" s="70">
        <f t="shared" si="19"/>
        <v>408</v>
      </c>
      <c r="D209" s="70">
        <f t="shared" si="20"/>
        <v>93</v>
      </c>
      <c r="E209" s="70">
        <f t="shared" si="21"/>
        <v>6</v>
      </c>
      <c r="F209" s="94">
        <f t="shared" si="22"/>
        <v>507</v>
      </c>
      <c r="G209" s="109">
        <f t="shared" si="23"/>
        <v>97</v>
      </c>
      <c r="H209" s="109">
        <f t="shared" si="24"/>
        <v>410</v>
      </c>
      <c r="J209" s="216">
        <v>0</v>
      </c>
      <c r="K209" s="216">
        <v>14</v>
      </c>
      <c r="L209" s="216">
        <v>4</v>
      </c>
      <c r="M209" s="216">
        <v>0</v>
      </c>
      <c r="N209" s="216">
        <v>0</v>
      </c>
      <c r="O209" s="216">
        <v>21</v>
      </c>
      <c r="P209" s="216">
        <v>4</v>
      </c>
      <c r="Q209" s="216">
        <v>0</v>
      </c>
      <c r="R209" s="216">
        <v>6</v>
      </c>
      <c r="S209" s="216">
        <v>0</v>
      </c>
      <c r="T209" s="216">
        <v>0</v>
      </c>
      <c r="U209" s="216">
        <v>0</v>
      </c>
      <c r="V209" s="216">
        <v>48</v>
      </c>
      <c r="W209" s="52"/>
      <c r="X209" s="216">
        <v>365</v>
      </c>
      <c r="Y209" s="216">
        <v>19</v>
      </c>
      <c r="Z209" s="216">
        <v>26</v>
      </c>
      <c r="AH209" s="46"/>
      <c r="AI209" s="46"/>
    </row>
    <row r="210" spans="1:35" x14ac:dyDescent="0.25">
      <c r="A210" s="31">
        <f>'M&amp;R Stations'!A197</f>
        <v>39156</v>
      </c>
      <c r="B210"/>
      <c r="C210" s="70">
        <f t="shared" si="19"/>
        <v>447</v>
      </c>
      <c r="D210" s="70">
        <f t="shared" si="20"/>
        <v>222</v>
      </c>
      <c r="E210" s="70">
        <f t="shared" si="21"/>
        <v>7</v>
      </c>
      <c r="F210" s="94">
        <f t="shared" si="22"/>
        <v>676</v>
      </c>
      <c r="G210" s="109">
        <f t="shared" si="23"/>
        <v>96</v>
      </c>
      <c r="H210" s="109">
        <f t="shared" si="24"/>
        <v>580</v>
      </c>
      <c r="J210" s="216">
        <v>0</v>
      </c>
      <c r="K210" s="216">
        <v>15</v>
      </c>
      <c r="L210" s="216">
        <v>3</v>
      </c>
      <c r="M210" s="216">
        <v>0</v>
      </c>
      <c r="N210" s="216">
        <v>0</v>
      </c>
      <c r="O210" s="216">
        <v>0</v>
      </c>
      <c r="P210" s="216">
        <v>0</v>
      </c>
      <c r="Q210" s="216">
        <v>0</v>
      </c>
      <c r="R210" s="216">
        <v>7</v>
      </c>
      <c r="S210" s="216">
        <v>0</v>
      </c>
      <c r="T210" s="216">
        <v>0</v>
      </c>
      <c r="U210" s="216">
        <v>0</v>
      </c>
      <c r="V210" s="216">
        <v>71</v>
      </c>
      <c r="W210" s="52"/>
      <c r="X210" s="216">
        <v>429</v>
      </c>
      <c r="Y210" s="216">
        <v>69</v>
      </c>
      <c r="Z210" s="216">
        <v>82</v>
      </c>
      <c r="AH210" s="46"/>
      <c r="AI210" s="46"/>
    </row>
    <row r="211" spans="1:35" x14ac:dyDescent="0.25">
      <c r="A211" s="31">
        <f>'M&amp;R Stations'!A198</f>
        <v>39157</v>
      </c>
      <c r="B211"/>
      <c r="C211" s="70">
        <f t="shared" si="19"/>
        <v>604</v>
      </c>
      <c r="D211" s="70">
        <f t="shared" si="20"/>
        <v>395</v>
      </c>
      <c r="E211" s="70">
        <f t="shared" si="21"/>
        <v>19</v>
      </c>
      <c r="F211" s="94">
        <f t="shared" si="22"/>
        <v>1018</v>
      </c>
      <c r="G211" s="109">
        <f t="shared" si="23"/>
        <v>242</v>
      </c>
      <c r="H211" s="109">
        <f t="shared" si="24"/>
        <v>776</v>
      </c>
      <c r="J211" s="216">
        <v>0</v>
      </c>
      <c r="K211" s="216">
        <v>16</v>
      </c>
      <c r="L211" s="216">
        <v>11</v>
      </c>
      <c r="M211" s="216">
        <v>0</v>
      </c>
      <c r="N211" s="216">
        <v>13</v>
      </c>
      <c r="O211" s="216">
        <v>9</v>
      </c>
      <c r="P211" s="216">
        <v>25</v>
      </c>
      <c r="Q211" s="216">
        <v>0</v>
      </c>
      <c r="R211" s="216">
        <v>19</v>
      </c>
      <c r="S211" s="216">
        <v>0</v>
      </c>
      <c r="T211" s="216">
        <v>0</v>
      </c>
      <c r="U211" s="216">
        <v>0</v>
      </c>
      <c r="V211" s="216">
        <v>149</v>
      </c>
      <c r="W211" s="52"/>
      <c r="X211" s="216">
        <v>530</v>
      </c>
      <c r="Y211" s="216">
        <v>107</v>
      </c>
      <c r="Z211" s="216">
        <v>139</v>
      </c>
      <c r="AH211" s="46"/>
      <c r="AI211" s="46"/>
    </row>
    <row r="212" spans="1:35" x14ac:dyDescent="0.25">
      <c r="A212" s="31">
        <f>'M&amp;R Stations'!A199</f>
        <v>39158</v>
      </c>
      <c r="B212"/>
      <c r="C212" s="70">
        <f t="shared" si="19"/>
        <v>616</v>
      </c>
      <c r="D212" s="70">
        <f t="shared" si="20"/>
        <v>399</v>
      </c>
      <c r="E212" s="70">
        <f t="shared" si="21"/>
        <v>19</v>
      </c>
      <c r="F212" s="94">
        <f t="shared" si="22"/>
        <v>1034</v>
      </c>
      <c r="G212" s="109">
        <f t="shared" si="23"/>
        <v>254</v>
      </c>
      <c r="H212" s="109">
        <f t="shared" si="24"/>
        <v>780</v>
      </c>
      <c r="J212" s="216">
        <v>0</v>
      </c>
      <c r="K212" s="216">
        <v>17</v>
      </c>
      <c r="L212" s="216">
        <v>7</v>
      </c>
      <c r="M212" s="216">
        <v>0</v>
      </c>
      <c r="N212" s="216">
        <v>7</v>
      </c>
      <c r="O212" s="216">
        <v>12</v>
      </c>
      <c r="P212" s="216">
        <v>45</v>
      </c>
      <c r="Q212" s="216">
        <v>0</v>
      </c>
      <c r="R212" s="216">
        <v>19</v>
      </c>
      <c r="S212" s="216">
        <v>0</v>
      </c>
      <c r="T212" s="216">
        <v>0</v>
      </c>
      <c r="U212" s="216">
        <v>0</v>
      </c>
      <c r="V212" s="216">
        <v>147</v>
      </c>
      <c r="W212" s="52"/>
      <c r="X212" s="216">
        <v>528</v>
      </c>
      <c r="Y212" s="216">
        <v>110</v>
      </c>
      <c r="Z212" s="216">
        <v>142</v>
      </c>
      <c r="AH212" s="46"/>
      <c r="AI212" s="46"/>
    </row>
    <row r="213" spans="1:35" x14ac:dyDescent="0.25">
      <c r="A213" s="31">
        <f>'M&amp;R Stations'!A200</f>
        <v>39159</v>
      </c>
      <c r="B213"/>
      <c r="C213" s="70">
        <f t="shared" si="19"/>
        <v>562</v>
      </c>
      <c r="D213" s="70">
        <f t="shared" si="20"/>
        <v>370</v>
      </c>
      <c r="E213" s="70">
        <f t="shared" si="21"/>
        <v>19</v>
      </c>
      <c r="F213" s="94">
        <f t="shared" si="22"/>
        <v>951</v>
      </c>
      <c r="G213" s="109">
        <f t="shared" si="23"/>
        <v>192</v>
      </c>
      <c r="H213" s="109">
        <f t="shared" si="24"/>
        <v>759</v>
      </c>
      <c r="J213" s="216">
        <v>0</v>
      </c>
      <c r="K213" s="216">
        <v>17</v>
      </c>
      <c r="L213" s="216">
        <v>2</v>
      </c>
      <c r="M213" s="216">
        <v>0</v>
      </c>
      <c r="N213" s="216">
        <v>0</v>
      </c>
      <c r="O213" s="216">
        <v>0</v>
      </c>
      <c r="P213" s="216">
        <v>14</v>
      </c>
      <c r="Q213" s="216">
        <v>0</v>
      </c>
      <c r="R213" s="216">
        <v>19</v>
      </c>
      <c r="S213" s="216">
        <v>0</v>
      </c>
      <c r="T213" s="216">
        <v>0</v>
      </c>
      <c r="U213" s="216">
        <v>0</v>
      </c>
      <c r="V213" s="216">
        <v>140</v>
      </c>
      <c r="W213" s="52"/>
      <c r="X213" s="216">
        <v>529</v>
      </c>
      <c r="Y213" s="216">
        <v>96</v>
      </c>
      <c r="Z213" s="216">
        <v>134</v>
      </c>
      <c r="AH213" s="46"/>
      <c r="AI213" s="46"/>
    </row>
    <row r="214" spans="1:35" x14ac:dyDescent="0.25">
      <c r="A214" s="31">
        <f>'M&amp;R Stations'!A201</f>
        <v>39160</v>
      </c>
      <c r="B214"/>
      <c r="C214" s="70">
        <f t="shared" si="19"/>
        <v>521</v>
      </c>
      <c r="D214" s="70">
        <f t="shared" si="20"/>
        <v>245</v>
      </c>
      <c r="E214" s="70">
        <f t="shared" si="21"/>
        <v>23</v>
      </c>
      <c r="F214" s="94">
        <f t="shared" si="22"/>
        <v>789</v>
      </c>
      <c r="G214" s="109">
        <f t="shared" si="23"/>
        <v>143</v>
      </c>
      <c r="H214" s="109">
        <f t="shared" si="24"/>
        <v>646</v>
      </c>
      <c r="J214" s="216">
        <v>0</v>
      </c>
      <c r="K214" s="216">
        <v>16</v>
      </c>
      <c r="L214" s="216">
        <v>2</v>
      </c>
      <c r="M214" s="216">
        <v>0</v>
      </c>
      <c r="N214" s="216">
        <v>0</v>
      </c>
      <c r="O214" s="216">
        <v>0</v>
      </c>
      <c r="P214" s="216">
        <v>0</v>
      </c>
      <c r="Q214" s="216">
        <v>0</v>
      </c>
      <c r="R214" s="216">
        <v>23</v>
      </c>
      <c r="S214" s="216">
        <v>0</v>
      </c>
      <c r="T214" s="216">
        <v>0</v>
      </c>
      <c r="U214" s="216">
        <v>0</v>
      </c>
      <c r="V214" s="216">
        <v>102</v>
      </c>
      <c r="W214" s="52"/>
      <c r="X214" s="216">
        <v>503</v>
      </c>
      <c r="Y214" s="216">
        <v>29</v>
      </c>
      <c r="Z214" s="216">
        <v>114</v>
      </c>
      <c r="AH214" s="46"/>
      <c r="AI214" s="46"/>
    </row>
    <row r="215" spans="1:35" x14ac:dyDescent="0.25">
      <c r="A215" s="31">
        <f>'M&amp;R Stations'!A202</f>
        <v>39161</v>
      </c>
      <c r="B215"/>
      <c r="C215" s="70">
        <f t="shared" si="19"/>
        <v>568</v>
      </c>
      <c r="D215" s="70">
        <f t="shared" si="20"/>
        <v>361</v>
      </c>
      <c r="E215" s="70">
        <f t="shared" si="21"/>
        <v>9</v>
      </c>
      <c r="F215" s="94">
        <f t="shared" si="22"/>
        <v>938</v>
      </c>
      <c r="G215" s="109">
        <f t="shared" si="23"/>
        <v>146</v>
      </c>
      <c r="H215" s="109">
        <f t="shared" si="24"/>
        <v>792</v>
      </c>
      <c r="J215" s="216">
        <v>0</v>
      </c>
      <c r="K215" s="216">
        <v>18</v>
      </c>
      <c r="L215" s="216">
        <v>2</v>
      </c>
      <c r="M215" s="216">
        <v>0</v>
      </c>
      <c r="N215" s="216">
        <v>0</v>
      </c>
      <c r="O215" s="216">
        <v>0</v>
      </c>
      <c r="P215" s="216">
        <v>14</v>
      </c>
      <c r="Q215" s="216">
        <v>0</v>
      </c>
      <c r="R215" s="216">
        <v>0</v>
      </c>
      <c r="S215" s="216">
        <v>0</v>
      </c>
      <c r="T215" s="216">
        <v>0</v>
      </c>
      <c r="U215" s="216">
        <v>9</v>
      </c>
      <c r="V215" s="216">
        <v>103</v>
      </c>
      <c r="W215" s="52"/>
      <c r="X215" s="216">
        <v>534</v>
      </c>
      <c r="Y215" s="216">
        <v>148</v>
      </c>
      <c r="Z215" s="216">
        <v>110</v>
      </c>
      <c r="AH215" s="46"/>
      <c r="AI215" s="46"/>
    </row>
    <row r="216" spans="1:35" x14ac:dyDescent="0.25">
      <c r="A216" s="31">
        <f>'M&amp;R Stations'!A203</f>
        <v>39162</v>
      </c>
      <c r="B216"/>
      <c r="C216" s="70">
        <f t="shared" si="19"/>
        <v>438</v>
      </c>
      <c r="D216" s="70">
        <f t="shared" si="20"/>
        <v>290</v>
      </c>
      <c r="E216" s="70">
        <f t="shared" si="21"/>
        <v>9</v>
      </c>
      <c r="F216" s="94">
        <f t="shared" si="22"/>
        <v>737</v>
      </c>
      <c r="G216" s="109">
        <f t="shared" si="23"/>
        <v>119</v>
      </c>
      <c r="H216" s="109">
        <f t="shared" si="24"/>
        <v>618</v>
      </c>
      <c r="J216" s="216">
        <v>0</v>
      </c>
      <c r="K216" s="216">
        <v>16</v>
      </c>
      <c r="L216" s="216">
        <v>2</v>
      </c>
      <c r="M216" s="216">
        <v>0</v>
      </c>
      <c r="N216" s="216">
        <v>0</v>
      </c>
      <c r="O216" s="216">
        <v>0</v>
      </c>
      <c r="P216" s="216">
        <v>1</v>
      </c>
      <c r="Q216" s="216">
        <v>0</v>
      </c>
      <c r="R216" s="216">
        <v>0</v>
      </c>
      <c r="S216" s="216">
        <v>0</v>
      </c>
      <c r="T216" s="216">
        <v>0</v>
      </c>
      <c r="U216" s="216">
        <v>9</v>
      </c>
      <c r="V216" s="216">
        <v>91</v>
      </c>
      <c r="W216" s="52"/>
      <c r="X216" s="216">
        <v>419</v>
      </c>
      <c r="Y216" s="216">
        <v>86</v>
      </c>
      <c r="Z216" s="216">
        <v>113</v>
      </c>
      <c r="AH216" s="46"/>
      <c r="AI216" s="46"/>
    </row>
    <row r="217" spans="1:35" x14ac:dyDescent="0.25">
      <c r="A217" s="31">
        <f>'M&amp;R Stations'!A204</f>
        <v>39163</v>
      </c>
      <c r="B217"/>
      <c r="C217" s="70">
        <f t="shared" si="19"/>
        <v>479</v>
      </c>
      <c r="D217" s="70">
        <f t="shared" si="20"/>
        <v>162</v>
      </c>
      <c r="E217" s="70">
        <f t="shared" si="21"/>
        <v>59</v>
      </c>
      <c r="F217" s="94">
        <f t="shared" si="22"/>
        <v>700</v>
      </c>
      <c r="G217" s="109">
        <f t="shared" si="23"/>
        <v>135</v>
      </c>
      <c r="H217" s="109">
        <f t="shared" si="24"/>
        <v>565</v>
      </c>
      <c r="J217" s="216">
        <v>0</v>
      </c>
      <c r="K217" s="216">
        <v>16</v>
      </c>
      <c r="L217" s="216">
        <v>4</v>
      </c>
      <c r="M217" s="216">
        <v>0</v>
      </c>
      <c r="N217" s="216">
        <v>19</v>
      </c>
      <c r="O217" s="216">
        <v>1</v>
      </c>
      <c r="P217" s="216">
        <v>0</v>
      </c>
      <c r="Q217" s="216">
        <v>0</v>
      </c>
      <c r="R217" s="216">
        <v>57</v>
      </c>
      <c r="S217" s="216">
        <v>0</v>
      </c>
      <c r="T217" s="216">
        <v>0</v>
      </c>
      <c r="U217" s="216">
        <v>2</v>
      </c>
      <c r="V217" s="216">
        <f>15+20+1</f>
        <v>36</v>
      </c>
      <c r="W217" s="52"/>
      <c r="X217" s="216">
        <v>439</v>
      </c>
      <c r="Y217" s="216">
        <v>57</v>
      </c>
      <c r="Z217" s="216">
        <f>25+34+10</f>
        <v>69</v>
      </c>
      <c r="AH217" s="46"/>
      <c r="AI217" s="46"/>
    </row>
    <row r="218" spans="1:35" x14ac:dyDescent="0.25">
      <c r="A218" s="31">
        <f>'M&amp;R Stations'!A205</f>
        <v>39164</v>
      </c>
      <c r="B218"/>
      <c r="C218" s="70">
        <f t="shared" si="19"/>
        <v>559</v>
      </c>
      <c r="D218" s="70">
        <f t="shared" si="20"/>
        <v>166</v>
      </c>
      <c r="E218" s="70">
        <f t="shared" si="21"/>
        <v>10</v>
      </c>
      <c r="F218" s="94">
        <f t="shared" si="22"/>
        <v>735</v>
      </c>
      <c r="G218" s="109">
        <f t="shared" si="23"/>
        <v>86</v>
      </c>
      <c r="H218" s="109">
        <f t="shared" si="24"/>
        <v>649</v>
      </c>
      <c r="J218" s="216">
        <v>0</v>
      </c>
      <c r="K218" s="216">
        <v>16</v>
      </c>
      <c r="L218" s="216">
        <v>3</v>
      </c>
      <c r="M218" s="216">
        <v>0</v>
      </c>
      <c r="N218" s="216">
        <v>0</v>
      </c>
      <c r="O218" s="216">
        <v>18</v>
      </c>
      <c r="P218" s="216">
        <v>0</v>
      </c>
      <c r="Q218" s="216">
        <v>0</v>
      </c>
      <c r="R218" s="216">
        <v>10</v>
      </c>
      <c r="S218" s="216">
        <v>0</v>
      </c>
      <c r="T218" s="216">
        <v>0</v>
      </c>
      <c r="U218" s="216">
        <v>0</v>
      </c>
      <c r="V218" s="216">
        <f>18+21</f>
        <v>39</v>
      </c>
      <c r="W218" s="52"/>
      <c r="X218" s="216">
        <v>522</v>
      </c>
      <c r="Y218" s="216">
        <v>59</v>
      </c>
      <c r="Z218" s="216">
        <f>27+31+10</f>
        <v>68</v>
      </c>
      <c r="AH218" s="46"/>
      <c r="AI218" s="46"/>
    </row>
    <row r="219" spans="1:35" x14ac:dyDescent="0.25">
      <c r="A219" s="31">
        <f>'M&amp;R Stations'!A206</f>
        <v>39165</v>
      </c>
      <c r="B219"/>
      <c r="C219" s="70">
        <f t="shared" si="19"/>
        <v>524</v>
      </c>
      <c r="D219" s="70">
        <f t="shared" si="20"/>
        <v>198</v>
      </c>
      <c r="E219" s="70">
        <f t="shared" si="21"/>
        <v>11</v>
      </c>
      <c r="F219" s="94">
        <f t="shared" si="22"/>
        <v>733</v>
      </c>
      <c r="G219" s="109">
        <f t="shared" si="23"/>
        <v>83</v>
      </c>
      <c r="H219" s="109">
        <f t="shared" si="24"/>
        <v>650</v>
      </c>
      <c r="J219" s="216">
        <v>0</v>
      </c>
      <c r="K219" s="216">
        <v>15</v>
      </c>
      <c r="L219" s="216">
        <v>3</v>
      </c>
      <c r="M219" s="216">
        <v>0</v>
      </c>
      <c r="N219" s="216">
        <v>0</v>
      </c>
      <c r="O219" s="216">
        <v>0</v>
      </c>
      <c r="P219" s="216">
        <v>0</v>
      </c>
      <c r="Q219" s="216">
        <v>0</v>
      </c>
      <c r="R219" s="216">
        <v>11</v>
      </c>
      <c r="S219" s="216">
        <v>0</v>
      </c>
      <c r="T219" s="216">
        <v>0</v>
      </c>
      <c r="U219" s="216">
        <v>0</v>
      </c>
      <c r="V219" s="216">
        <f>19+35</f>
        <v>54</v>
      </c>
      <c r="W219" s="52"/>
      <c r="X219" s="216">
        <v>506</v>
      </c>
      <c r="Y219" s="216">
        <v>64</v>
      </c>
      <c r="Z219" s="216">
        <f>38+31+11</f>
        <v>80</v>
      </c>
      <c r="AH219" s="46"/>
      <c r="AI219" s="46"/>
    </row>
    <row r="220" spans="1:35" x14ac:dyDescent="0.25">
      <c r="A220" s="31">
        <f>'M&amp;R Stations'!A207</f>
        <v>39166</v>
      </c>
      <c r="B220"/>
      <c r="C220" s="70">
        <f t="shared" si="19"/>
        <v>555</v>
      </c>
      <c r="D220" s="70">
        <f t="shared" si="20"/>
        <v>209</v>
      </c>
      <c r="E220" s="70">
        <f t="shared" si="21"/>
        <v>32</v>
      </c>
      <c r="F220" s="94">
        <f t="shared" si="22"/>
        <v>796</v>
      </c>
      <c r="G220" s="109">
        <f t="shared" si="23"/>
        <v>117</v>
      </c>
      <c r="H220" s="109">
        <f t="shared" si="24"/>
        <v>679</v>
      </c>
      <c r="J220" s="216">
        <v>0</v>
      </c>
      <c r="K220" s="216">
        <v>17</v>
      </c>
      <c r="L220" s="216">
        <v>2</v>
      </c>
      <c r="M220" s="216">
        <v>0</v>
      </c>
      <c r="N220" s="216">
        <v>0</v>
      </c>
      <c r="O220" s="216">
        <v>0</v>
      </c>
      <c r="P220" s="216">
        <v>0</v>
      </c>
      <c r="Q220" s="216">
        <v>0</v>
      </c>
      <c r="R220" s="216">
        <v>12</v>
      </c>
      <c r="S220" s="216">
        <v>0</v>
      </c>
      <c r="T220" s="216">
        <v>0</v>
      </c>
      <c r="U220" s="216">
        <v>20</v>
      </c>
      <c r="V220" s="216">
        <f>17+3+46</f>
        <v>66</v>
      </c>
      <c r="W220" s="52"/>
      <c r="X220" s="216">
        <v>536</v>
      </c>
      <c r="Y220" s="216">
        <v>60</v>
      </c>
      <c r="Z220" s="216">
        <f>39+33+11</f>
        <v>83</v>
      </c>
      <c r="AH220" s="46"/>
      <c r="AI220" s="46"/>
    </row>
    <row r="221" spans="1:35" x14ac:dyDescent="0.25">
      <c r="A221" s="31">
        <f>'M&amp;R Stations'!A208</f>
        <v>39167</v>
      </c>
      <c r="B221"/>
      <c r="C221" s="70">
        <f t="shared" si="19"/>
        <v>557</v>
      </c>
      <c r="D221" s="70">
        <f t="shared" si="20"/>
        <v>192</v>
      </c>
      <c r="E221" s="70">
        <f t="shared" si="21"/>
        <v>12</v>
      </c>
      <c r="F221" s="94">
        <f t="shared" si="22"/>
        <v>761</v>
      </c>
      <c r="G221" s="109">
        <f t="shared" si="23"/>
        <v>98</v>
      </c>
      <c r="H221" s="109">
        <f t="shared" si="24"/>
        <v>663</v>
      </c>
      <c r="J221" s="216">
        <v>0</v>
      </c>
      <c r="K221" s="216">
        <v>17</v>
      </c>
      <c r="L221" s="216">
        <v>4</v>
      </c>
      <c r="M221" s="216">
        <v>0</v>
      </c>
      <c r="N221" s="216">
        <v>0</v>
      </c>
      <c r="O221" s="216">
        <v>12</v>
      </c>
      <c r="P221" s="216">
        <v>0</v>
      </c>
      <c r="Q221" s="216">
        <v>0</v>
      </c>
      <c r="R221" s="216">
        <v>12</v>
      </c>
      <c r="S221" s="216">
        <v>0</v>
      </c>
      <c r="T221" s="216">
        <v>0</v>
      </c>
      <c r="U221" s="216">
        <v>0</v>
      </c>
      <c r="V221" s="216">
        <f>18+6+29</f>
        <v>53</v>
      </c>
      <c r="W221" s="52"/>
      <c r="X221" s="216">
        <v>524</v>
      </c>
      <c r="Y221" s="216">
        <v>62</v>
      </c>
      <c r="Z221" s="216">
        <f>35+31+11</f>
        <v>77</v>
      </c>
      <c r="AH221" s="46"/>
      <c r="AI221" s="46"/>
    </row>
    <row r="222" spans="1:35" x14ac:dyDescent="0.25">
      <c r="A222" s="31">
        <f>'M&amp;R Stations'!A209</f>
        <v>39168</v>
      </c>
      <c r="B222"/>
      <c r="C222" s="70">
        <f t="shared" si="19"/>
        <v>440</v>
      </c>
      <c r="D222" s="70">
        <f t="shared" si="20"/>
        <v>100</v>
      </c>
      <c r="E222" s="70">
        <f t="shared" si="21"/>
        <v>0</v>
      </c>
      <c r="F222" s="94">
        <f t="shared" si="22"/>
        <v>540</v>
      </c>
      <c r="G222" s="109">
        <f t="shared" si="23"/>
        <v>62</v>
      </c>
      <c r="H222" s="109">
        <f t="shared" si="24"/>
        <v>478</v>
      </c>
      <c r="J222" s="216">
        <v>0</v>
      </c>
      <c r="K222" s="216">
        <v>16</v>
      </c>
      <c r="L222" s="216">
        <v>3</v>
      </c>
      <c r="M222" s="216">
        <v>0</v>
      </c>
      <c r="N222" s="216">
        <v>0</v>
      </c>
      <c r="O222" s="216">
        <v>18</v>
      </c>
      <c r="P222" s="216">
        <v>0</v>
      </c>
      <c r="Q222" s="216">
        <v>0</v>
      </c>
      <c r="R222" s="216">
        <v>0</v>
      </c>
      <c r="S222" s="216">
        <v>0</v>
      </c>
      <c r="T222" s="216">
        <v>0</v>
      </c>
      <c r="U222" s="216">
        <v>0</v>
      </c>
      <c r="V222" s="216">
        <v>25</v>
      </c>
      <c r="W222" s="52"/>
      <c r="X222" s="216">
        <v>403</v>
      </c>
      <c r="Y222" s="216">
        <v>28</v>
      </c>
      <c r="Z222" s="216">
        <f>17+30</f>
        <v>47</v>
      </c>
      <c r="AH222" s="46"/>
      <c r="AI222" s="46"/>
    </row>
    <row r="223" spans="1:35" x14ac:dyDescent="0.25">
      <c r="A223" s="31">
        <f>'M&amp;R Stations'!A210</f>
        <v>39169</v>
      </c>
      <c r="B223"/>
      <c r="C223" s="70">
        <f t="shared" si="19"/>
        <v>133</v>
      </c>
      <c r="D223" s="70">
        <f t="shared" si="20"/>
        <v>157</v>
      </c>
      <c r="E223" s="70">
        <f t="shared" si="21"/>
        <v>0</v>
      </c>
      <c r="F223" s="94">
        <f t="shared" si="22"/>
        <v>290</v>
      </c>
      <c r="G223" s="109">
        <f t="shared" si="23"/>
        <v>82</v>
      </c>
      <c r="H223" s="109">
        <f t="shared" si="24"/>
        <v>208</v>
      </c>
      <c r="J223" s="216">
        <v>0</v>
      </c>
      <c r="K223" s="216">
        <v>13</v>
      </c>
      <c r="L223" s="216">
        <v>2</v>
      </c>
      <c r="M223" s="216">
        <v>0</v>
      </c>
      <c r="N223" s="216">
        <v>0</v>
      </c>
      <c r="O223" s="216">
        <v>21</v>
      </c>
      <c r="P223" s="216">
        <v>0</v>
      </c>
      <c r="Q223" s="216">
        <v>0</v>
      </c>
      <c r="R223" s="216">
        <v>0</v>
      </c>
      <c r="S223" s="216">
        <v>0</v>
      </c>
      <c r="T223" s="216">
        <v>0</v>
      </c>
      <c r="U223" s="216">
        <v>0</v>
      </c>
      <c r="V223" s="216">
        <v>46</v>
      </c>
      <c r="W223" s="52"/>
      <c r="X223" s="216">
        <v>97</v>
      </c>
      <c r="Y223" s="216">
        <v>45</v>
      </c>
      <c r="Z223" s="216">
        <v>66</v>
      </c>
      <c r="AH223" s="46"/>
      <c r="AI223" s="46"/>
    </row>
    <row r="224" spans="1:35" x14ac:dyDescent="0.25">
      <c r="A224" s="31">
        <f>'M&amp;R Stations'!A211</f>
        <v>39170</v>
      </c>
      <c r="B224"/>
      <c r="C224" s="70">
        <f t="shared" si="19"/>
        <v>538</v>
      </c>
      <c r="D224" s="70">
        <f t="shared" si="20"/>
        <v>205</v>
      </c>
      <c r="E224" s="70">
        <f t="shared" si="21"/>
        <v>0</v>
      </c>
      <c r="F224" s="94">
        <f t="shared" si="22"/>
        <v>743</v>
      </c>
      <c r="G224" s="109">
        <f t="shared" si="23"/>
        <v>85</v>
      </c>
      <c r="H224" s="109">
        <f t="shared" si="24"/>
        <v>658</v>
      </c>
      <c r="J224" s="216">
        <v>0</v>
      </c>
      <c r="K224" s="216">
        <v>15</v>
      </c>
      <c r="L224" s="216">
        <v>2</v>
      </c>
      <c r="M224" s="216">
        <v>0</v>
      </c>
      <c r="N224" s="216">
        <v>0</v>
      </c>
      <c r="O224" s="216">
        <v>0</v>
      </c>
      <c r="P224" s="216">
        <v>0</v>
      </c>
      <c r="Q224" s="216">
        <v>0</v>
      </c>
      <c r="R224" s="216">
        <v>0</v>
      </c>
      <c r="S224" s="216">
        <v>0</v>
      </c>
      <c r="T224" s="216">
        <v>0</v>
      </c>
      <c r="U224" s="216">
        <v>0</v>
      </c>
      <c r="V224" s="216">
        <f>27+41</f>
        <v>68</v>
      </c>
      <c r="W224" s="52"/>
      <c r="X224" s="216">
        <v>521</v>
      </c>
      <c r="Y224" s="216">
        <v>57</v>
      </c>
      <c r="Z224" s="216">
        <f>41+29+10</f>
        <v>80</v>
      </c>
      <c r="AH224" s="46"/>
      <c r="AI224" s="46"/>
    </row>
    <row r="225" spans="1:35" x14ac:dyDescent="0.25">
      <c r="A225" s="31">
        <f>'M&amp;R Stations'!A212</f>
        <v>39171</v>
      </c>
      <c r="B225"/>
      <c r="C225" s="70">
        <f t="shared" si="19"/>
        <v>557</v>
      </c>
      <c r="D225" s="70">
        <f t="shared" si="20"/>
        <v>155</v>
      </c>
      <c r="E225" s="70">
        <f t="shared" si="21"/>
        <v>0</v>
      </c>
      <c r="F225" s="94">
        <f t="shared" si="22"/>
        <v>712</v>
      </c>
      <c r="G225" s="109">
        <f t="shared" si="23"/>
        <v>81</v>
      </c>
      <c r="H225" s="109">
        <f t="shared" si="24"/>
        <v>631</v>
      </c>
      <c r="J225" s="216">
        <v>0</v>
      </c>
      <c r="K225" s="216">
        <v>23</v>
      </c>
      <c r="L225" s="216">
        <v>3</v>
      </c>
      <c r="M225" s="216">
        <v>0</v>
      </c>
      <c r="N225" s="216">
        <v>0</v>
      </c>
      <c r="O225" s="216">
        <v>10</v>
      </c>
      <c r="P225" s="216">
        <v>0</v>
      </c>
      <c r="Q225" s="216">
        <v>0</v>
      </c>
      <c r="R225" s="216">
        <v>0</v>
      </c>
      <c r="S225" s="216">
        <v>0</v>
      </c>
      <c r="T225" s="216">
        <v>0</v>
      </c>
      <c r="U225" s="216">
        <v>0</v>
      </c>
      <c r="V225" s="216">
        <f>19+26</f>
        <v>45</v>
      </c>
      <c r="W225" s="52"/>
      <c r="X225" s="216">
        <v>521</v>
      </c>
      <c r="Y225" s="216">
        <v>44</v>
      </c>
      <c r="Z225" s="216">
        <f>28+30+8</f>
        <v>66</v>
      </c>
      <c r="AH225" s="46"/>
      <c r="AI225" s="46"/>
    </row>
    <row r="226" spans="1:35" x14ac:dyDescent="0.25">
      <c r="A226" s="31">
        <f>'M&amp;R Stations'!A213</f>
        <v>39172</v>
      </c>
      <c r="B226"/>
      <c r="C226" s="70">
        <f t="shared" si="19"/>
        <v>559</v>
      </c>
      <c r="D226" s="70">
        <f t="shared" si="20"/>
        <v>198</v>
      </c>
      <c r="E226" s="70">
        <f t="shared" si="21"/>
        <v>0</v>
      </c>
      <c r="F226" s="94">
        <f t="shared" si="22"/>
        <v>757</v>
      </c>
      <c r="G226" s="109">
        <f t="shared" si="23"/>
        <v>94</v>
      </c>
      <c r="H226" s="109">
        <f t="shared" si="24"/>
        <v>663</v>
      </c>
      <c r="J226" s="216">
        <v>0</v>
      </c>
      <c r="K226" s="216">
        <v>23</v>
      </c>
      <c r="L226" s="216">
        <v>3</v>
      </c>
      <c r="M226" s="216">
        <v>0</v>
      </c>
      <c r="N226" s="216">
        <v>0</v>
      </c>
      <c r="O226" s="216">
        <v>10</v>
      </c>
      <c r="P226" s="216">
        <v>0</v>
      </c>
      <c r="Q226" s="216">
        <v>0</v>
      </c>
      <c r="R226" s="216">
        <v>0</v>
      </c>
      <c r="S226" s="216">
        <v>0</v>
      </c>
      <c r="T226" s="216">
        <v>0</v>
      </c>
      <c r="U226" s="216">
        <v>0</v>
      </c>
      <c r="V226" s="216">
        <f>19+37+2</f>
        <v>58</v>
      </c>
      <c r="W226" s="52"/>
      <c r="X226" s="216">
        <v>523</v>
      </c>
      <c r="Y226" s="216">
        <v>63</v>
      </c>
      <c r="Z226" s="216">
        <f>38+30+9</f>
        <v>77</v>
      </c>
      <c r="AH226" s="46"/>
      <c r="AI226" s="46"/>
    </row>
    <row r="227" spans="1:35" x14ac:dyDescent="0.25">
      <c r="A227" s="96"/>
      <c r="B227" s="97"/>
      <c r="C227" s="98"/>
      <c r="D227" s="98"/>
      <c r="E227" s="98"/>
      <c r="F227" s="98"/>
      <c r="G227" s="98" t="str">
        <f t="shared" si="23"/>
        <v/>
      </c>
      <c r="H227" s="98" t="str">
        <f t="shared" si="24"/>
        <v/>
      </c>
      <c r="J227" s="95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255"/>
      <c r="X227" s="98"/>
      <c r="Y227" s="98"/>
      <c r="Z227" s="98"/>
      <c r="AH227" s="46"/>
      <c r="AI227" s="46"/>
    </row>
    <row r="228" spans="1:35" x14ac:dyDescent="0.25">
      <c r="A228" s="31">
        <f>'M&amp;R Stations'!A214</f>
        <v>39173</v>
      </c>
      <c r="B228"/>
      <c r="C228" s="70">
        <f t="shared" si="19"/>
        <v>562</v>
      </c>
      <c r="D228" s="70">
        <f t="shared" si="20"/>
        <v>198</v>
      </c>
      <c r="E228" s="70">
        <f t="shared" si="21"/>
        <v>0</v>
      </c>
      <c r="F228" s="94">
        <f t="shared" si="22"/>
        <v>760</v>
      </c>
      <c r="G228" s="109">
        <f t="shared" si="23"/>
        <v>111</v>
      </c>
      <c r="H228" s="109">
        <f t="shared" si="24"/>
        <v>649</v>
      </c>
      <c r="J228" s="216">
        <v>0</v>
      </c>
      <c r="K228" s="216">
        <v>23</v>
      </c>
      <c r="L228" s="216">
        <v>3</v>
      </c>
      <c r="M228" s="216">
        <v>0</v>
      </c>
      <c r="N228" s="216">
        <v>0</v>
      </c>
      <c r="O228" s="216">
        <v>15</v>
      </c>
      <c r="P228" s="216">
        <v>0</v>
      </c>
      <c r="Q228" s="216">
        <v>0</v>
      </c>
      <c r="R228" s="216">
        <v>0</v>
      </c>
      <c r="S228" s="216">
        <v>0</v>
      </c>
      <c r="T228" s="216">
        <v>0</v>
      </c>
      <c r="U228" s="216">
        <v>0</v>
      </c>
      <c r="V228" s="216">
        <f>17+49+4</f>
        <v>70</v>
      </c>
      <c r="W228" s="52"/>
      <c r="X228" s="216">
        <v>521</v>
      </c>
      <c r="Y228" s="216">
        <v>46</v>
      </c>
      <c r="Z228" s="216">
        <f>46+27+9</f>
        <v>82</v>
      </c>
      <c r="AH228" s="46"/>
      <c r="AI228" s="46"/>
    </row>
    <row r="229" spans="1:35" x14ac:dyDescent="0.25">
      <c r="A229" s="31">
        <f>'M&amp;R Stations'!A215</f>
        <v>39174</v>
      </c>
      <c r="B229"/>
      <c r="C229" s="70">
        <f t="shared" si="19"/>
        <v>569</v>
      </c>
      <c r="D229" s="70">
        <f t="shared" si="20"/>
        <v>153</v>
      </c>
      <c r="E229" s="70">
        <f t="shared" si="21"/>
        <v>0</v>
      </c>
      <c r="F229" s="94">
        <f t="shared" si="22"/>
        <v>722</v>
      </c>
      <c r="G229" s="109">
        <f t="shared" si="23"/>
        <v>96</v>
      </c>
      <c r="H229" s="109">
        <f t="shared" si="24"/>
        <v>626</v>
      </c>
      <c r="J229" s="216">
        <v>0</v>
      </c>
      <c r="K229" s="216">
        <v>21</v>
      </c>
      <c r="L229" s="216">
        <v>3</v>
      </c>
      <c r="M229" s="216">
        <v>0</v>
      </c>
      <c r="N229" s="216">
        <v>0</v>
      </c>
      <c r="O229" s="216">
        <v>22</v>
      </c>
      <c r="P229" s="216">
        <v>0</v>
      </c>
      <c r="Q229" s="216">
        <v>0</v>
      </c>
      <c r="R229" s="216">
        <v>0</v>
      </c>
      <c r="S229" s="216">
        <v>0</v>
      </c>
      <c r="T229" s="216">
        <v>0</v>
      </c>
      <c r="U229" s="216">
        <v>0</v>
      </c>
      <c r="V229" s="216">
        <f>50</f>
        <v>50</v>
      </c>
      <c r="W229" s="52"/>
      <c r="X229" s="216">
        <v>523</v>
      </c>
      <c r="Y229" s="216">
        <v>44</v>
      </c>
      <c r="Z229" s="216">
        <v>59</v>
      </c>
      <c r="AH229" s="46"/>
      <c r="AI229" s="46"/>
    </row>
    <row r="230" spans="1:35" x14ac:dyDescent="0.25">
      <c r="A230" s="31">
        <f>'M&amp;R Stations'!A216</f>
        <v>39175</v>
      </c>
      <c r="B230"/>
      <c r="C230" s="70">
        <f t="shared" si="19"/>
        <v>538</v>
      </c>
      <c r="D230" s="70">
        <f t="shared" si="20"/>
        <v>181</v>
      </c>
      <c r="E230" s="70">
        <f t="shared" si="21"/>
        <v>0</v>
      </c>
      <c r="F230" s="94">
        <f t="shared" si="22"/>
        <v>719</v>
      </c>
      <c r="G230" s="109">
        <f t="shared" si="23"/>
        <v>80</v>
      </c>
      <c r="H230" s="109">
        <f t="shared" si="24"/>
        <v>639</v>
      </c>
      <c r="J230" s="216">
        <v>0</v>
      </c>
      <c r="K230" s="216">
        <v>15</v>
      </c>
      <c r="L230" s="216">
        <v>2</v>
      </c>
      <c r="M230" s="216">
        <v>0</v>
      </c>
      <c r="N230" s="216">
        <v>0</v>
      </c>
      <c r="O230" s="216">
        <v>0</v>
      </c>
      <c r="P230" s="216">
        <v>0</v>
      </c>
      <c r="Q230" s="216">
        <v>0</v>
      </c>
      <c r="R230" s="216">
        <v>0</v>
      </c>
      <c r="S230" s="216">
        <v>0</v>
      </c>
      <c r="T230" s="216">
        <v>0</v>
      </c>
      <c r="U230" s="216">
        <v>0</v>
      </c>
      <c r="V230" s="216">
        <v>63</v>
      </c>
      <c r="W230" s="52"/>
      <c r="X230" s="216">
        <v>521</v>
      </c>
      <c r="Y230" s="216">
        <v>49</v>
      </c>
      <c r="Z230" s="216">
        <v>69</v>
      </c>
      <c r="AH230" s="46"/>
      <c r="AI230" s="46"/>
    </row>
    <row r="231" spans="1:35" x14ac:dyDescent="0.25">
      <c r="A231" s="31">
        <f>'M&amp;R Stations'!A217</f>
        <v>39176</v>
      </c>
      <c r="B231"/>
      <c r="C231" s="70">
        <f t="shared" si="19"/>
        <v>552</v>
      </c>
      <c r="D231" s="70">
        <f t="shared" si="20"/>
        <v>260</v>
      </c>
      <c r="E231" s="70">
        <f t="shared" si="21"/>
        <v>0</v>
      </c>
      <c r="F231" s="94">
        <f t="shared" si="22"/>
        <v>812</v>
      </c>
      <c r="G231" s="109">
        <f t="shared" si="23"/>
        <v>134</v>
      </c>
      <c r="H231" s="109">
        <f t="shared" si="24"/>
        <v>678</v>
      </c>
      <c r="J231" s="216">
        <v>0</v>
      </c>
      <c r="K231" s="216">
        <v>15</v>
      </c>
      <c r="L231" s="216">
        <v>3</v>
      </c>
      <c r="M231" s="216">
        <v>0</v>
      </c>
      <c r="N231" s="216">
        <v>0</v>
      </c>
      <c r="O231" s="216">
        <v>12</v>
      </c>
      <c r="P231" s="216">
        <v>0</v>
      </c>
      <c r="Q231" s="216">
        <v>0</v>
      </c>
      <c r="R231" s="216">
        <v>0</v>
      </c>
      <c r="S231" s="216">
        <v>0</v>
      </c>
      <c r="T231" s="216">
        <v>0</v>
      </c>
      <c r="U231" s="216">
        <v>0</v>
      </c>
      <c r="V231" s="216">
        <f>15+18+65+3+3</f>
        <v>104</v>
      </c>
      <c r="W231" s="52"/>
      <c r="X231" s="216">
        <v>522</v>
      </c>
      <c r="Y231" s="216">
        <v>70</v>
      </c>
      <c r="Z231" s="216">
        <f>46+30+10</f>
        <v>86</v>
      </c>
      <c r="AH231" s="46"/>
      <c r="AI231" s="46"/>
    </row>
    <row r="232" spans="1:35" x14ac:dyDescent="0.25">
      <c r="A232" s="31">
        <f>'M&amp;R Stations'!A218</f>
        <v>39177</v>
      </c>
      <c r="B232"/>
      <c r="C232" s="70">
        <f t="shared" si="19"/>
        <v>544</v>
      </c>
      <c r="D232" s="70">
        <f t="shared" si="20"/>
        <v>311</v>
      </c>
      <c r="E232" s="70">
        <f t="shared" si="21"/>
        <v>0</v>
      </c>
      <c r="F232" s="94">
        <f t="shared" si="22"/>
        <v>855</v>
      </c>
      <c r="G232" s="109">
        <f t="shared" si="23"/>
        <v>170</v>
      </c>
      <c r="H232" s="109">
        <f t="shared" si="24"/>
        <v>685</v>
      </c>
      <c r="J232" s="216">
        <v>0</v>
      </c>
      <c r="K232" s="216">
        <v>16</v>
      </c>
      <c r="L232" s="216">
        <v>3</v>
      </c>
      <c r="M232" s="216">
        <v>0</v>
      </c>
      <c r="N232" s="216">
        <v>0</v>
      </c>
      <c r="O232" s="216">
        <v>18</v>
      </c>
      <c r="P232" s="216">
        <v>0</v>
      </c>
      <c r="Q232" s="216">
        <v>0</v>
      </c>
      <c r="R232" s="216">
        <v>0</v>
      </c>
      <c r="S232" s="216">
        <v>0</v>
      </c>
      <c r="T232" s="216">
        <v>0</v>
      </c>
      <c r="U232" s="216">
        <v>0</v>
      </c>
      <c r="V232" s="216">
        <f>19+20+67+12+15</f>
        <v>133</v>
      </c>
      <c r="W232" s="52"/>
      <c r="X232" s="216">
        <v>507</v>
      </c>
      <c r="Y232" s="216">
        <v>77</v>
      </c>
      <c r="Z232" s="216">
        <f>43+44+14</f>
        <v>101</v>
      </c>
      <c r="AH232" s="46"/>
      <c r="AI232" s="46"/>
    </row>
    <row r="233" spans="1:35" x14ac:dyDescent="0.25">
      <c r="A233" s="31">
        <f>'M&amp;R Stations'!A219</f>
        <v>39178</v>
      </c>
      <c r="B233"/>
      <c r="C233" s="70">
        <f t="shared" si="19"/>
        <v>572</v>
      </c>
      <c r="D233" s="70">
        <f t="shared" si="20"/>
        <v>297</v>
      </c>
      <c r="E233" s="70">
        <f t="shared" si="21"/>
        <v>0</v>
      </c>
      <c r="F233" s="94">
        <f t="shared" si="22"/>
        <v>869</v>
      </c>
      <c r="G233" s="109">
        <f t="shared" si="23"/>
        <v>142</v>
      </c>
      <c r="H233" s="109">
        <f t="shared" si="24"/>
        <v>727</v>
      </c>
      <c r="J233" s="216">
        <v>0</v>
      </c>
      <c r="K233" s="216">
        <v>17</v>
      </c>
      <c r="L233" s="216">
        <v>3</v>
      </c>
      <c r="M233" s="216">
        <v>0</v>
      </c>
      <c r="N233" s="216">
        <v>0</v>
      </c>
      <c r="O233" s="216">
        <v>0</v>
      </c>
      <c r="P233" s="216">
        <v>0</v>
      </c>
      <c r="Q233" s="216">
        <v>0</v>
      </c>
      <c r="R233" s="216">
        <v>0</v>
      </c>
      <c r="S233" s="216">
        <v>0</v>
      </c>
      <c r="T233" s="216">
        <v>0</v>
      </c>
      <c r="U233" s="216">
        <v>0</v>
      </c>
      <c r="V233" s="216">
        <f>24+14+58+12+14</f>
        <v>122</v>
      </c>
      <c r="W233" s="52"/>
      <c r="X233" s="216">
        <v>552</v>
      </c>
      <c r="Y233" s="216">
        <v>77</v>
      </c>
      <c r="Z233" s="216">
        <f>40+45+13</f>
        <v>98</v>
      </c>
      <c r="AH233" s="46"/>
      <c r="AI233" s="46"/>
    </row>
    <row r="234" spans="1:35" x14ac:dyDescent="0.25">
      <c r="A234" s="31">
        <f>'M&amp;R Stations'!A220</f>
        <v>39179</v>
      </c>
      <c r="B234"/>
      <c r="C234" s="70">
        <f t="shared" si="19"/>
        <v>526</v>
      </c>
      <c r="D234" s="70">
        <f t="shared" si="20"/>
        <v>323</v>
      </c>
      <c r="E234" s="70">
        <f t="shared" si="21"/>
        <v>0</v>
      </c>
      <c r="F234" s="94">
        <f t="shared" si="22"/>
        <v>849</v>
      </c>
      <c r="G234" s="109">
        <f t="shared" si="23"/>
        <v>153</v>
      </c>
      <c r="H234" s="109">
        <f t="shared" si="24"/>
        <v>696</v>
      </c>
      <c r="J234" s="216">
        <v>0</v>
      </c>
      <c r="K234" s="216">
        <v>16</v>
      </c>
      <c r="L234" s="216">
        <v>2</v>
      </c>
      <c r="M234" s="216">
        <v>0</v>
      </c>
      <c r="N234" s="216">
        <v>0</v>
      </c>
      <c r="O234" s="216">
        <v>0</v>
      </c>
      <c r="P234" s="216">
        <v>0</v>
      </c>
      <c r="Q234" s="216">
        <v>0</v>
      </c>
      <c r="R234" s="216">
        <v>0</v>
      </c>
      <c r="S234" s="216">
        <v>0</v>
      </c>
      <c r="T234" s="216">
        <v>0</v>
      </c>
      <c r="U234" s="216">
        <v>0</v>
      </c>
      <c r="V234" s="216">
        <f>28+17+67+11+12</f>
        <v>135</v>
      </c>
      <c r="W234" s="52"/>
      <c r="X234" s="216">
        <v>508</v>
      </c>
      <c r="Y234" s="216">
        <v>80</v>
      </c>
      <c r="Z234" s="216">
        <f>53+41+14</f>
        <v>108</v>
      </c>
      <c r="AH234" s="46"/>
      <c r="AI234" s="46"/>
    </row>
    <row r="235" spans="1:35" x14ac:dyDescent="0.25">
      <c r="A235" s="31">
        <f>'M&amp;R Stations'!A221</f>
        <v>39180</v>
      </c>
      <c r="B235"/>
      <c r="C235" s="70">
        <f t="shared" si="19"/>
        <v>539</v>
      </c>
      <c r="D235" s="70">
        <f t="shared" si="20"/>
        <v>313</v>
      </c>
      <c r="E235" s="70">
        <f t="shared" si="21"/>
        <v>0</v>
      </c>
      <c r="F235" s="94">
        <f t="shared" si="22"/>
        <v>852</v>
      </c>
      <c r="G235" s="109">
        <f t="shared" si="23"/>
        <v>148</v>
      </c>
      <c r="H235" s="109">
        <f t="shared" si="24"/>
        <v>704</v>
      </c>
      <c r="J235" s="216">
        <v>0</v>
      </c>
      <c r="K235" s="216">
        <v>16</v>
      </c>
      <c r="L235" s="216">
        <v>2</v>
      </c>
      <c r="M235" s="216">
        <v>0</v>
      </c>
      <c r="N235" s="216">
        <v>0</v>
      </c>
      <c r="O235" s="216">
        <v>0</v>
      </c>
      <c r="P235" s="216">
        <v>0</v>
      </c>
      <c r="Q235" s="216">
        <v>0</v>
      </c>
      <c r="R235" s="216">
        <v>0</v>
      </c>
      <c r="S235" s="216">
        <v>0</v>
      </c>
      <c r="T235" s="216">
        <v>0</v>
      </c>
      <c r="U235" s="216">
        <v>0</v>
      </c>
      <c r="V235" s="216">
        <f>23+17+65+11+14</f>
        <v>130</v>
      </c>
      <c r="W235" s="52"/>
      <c r="X235" s="216">
        <v>521</v>
      </c>
      <c r="Y235" s="216">
        <v>72</v>
      </c>
      <c r="Z235" s="216">
        <f>52+46+13</f>
        <v>111</v>
      </c>
      <c r="AH235" s="46"/>
      <c r="AI235" s="46"/>
    </row>
    <row r="236" spans="1:35" x14ac:dyDescent="0.25">
      <c r="A236" s="31">
        <f>'M&amp;R Stations'!A222</f>
        <v>39181</v>
      </c>
      <c r="B236"/>
      <c r="C236" s="70">
        <f t="shared" si="19"/>
        <v>541</v>
      </c>
      <c r="D236" s="70">
        <f t="shared" si="20"/>
        <v>289</v>
      </c>
      <c r="E236" s="70">
        <f t="shared" si="21"/>
        <v>0</v>
      </c>
      <c r="F236" s="94">
        <f t="shared" si="22"/>
        <v>830</v>
      </c>
      <c r="G236" s="109">
        <f t="shared" si="23"/>
        <v>131</v>
      </c>
      <c r="H236" s="109">
        <f t="shared" si="24"/>
        <v>699</v>
      </c>
      <c r="J236" s="216">
        <v>0</v>
      </c>
      <c r="K236" s="216">
        <v>16</v>
      </c>
      <c r="L236" s="216">
        <v>2</v>
      </c>
      <c r="M236" s="216">
        <v>0</v>
      </c>
      <c r="N236" s="216">
        <v>0</v>
      </c>
      <c r="O236" s="216">
        <v>0</v>
      </c>
      <c r="P236" s="216">
        <v>0</v>
      </c>
      <c r="Q236" s="216">
        <v>0</v>
      </c>
      <c r="R236" s="216">
        <v>0</v>
      </c>
      <c r="S236" s="216">
        <v>0</v>
      </c>
      <c r="T236" s="216">
        <v>0</v>
      </c>
      <c r="U236" s="216">
        <v>0</v>
      </c>
      <c r="V236" s="216">
        <v>113</v>
      </c>
      <c r="W236" s="52"/>
      <c r="X236" s="216">
        <v>523</v>
      </c>
      <c r="Y236" s="216">
        <v>74</v>
      </c>
      <c r="Z236" s="216">
        <v>102</v>
      </c>
      <c r="AH236" s="46"/>
      <c r="AI236" s="46"/>
    </row>
    <row r="237" spans="1:35" x14ac:dyDescent="0.25">
      <c r="A237" s="31">
        <f>'M&amp;R Stations'!A223</f>
        <v>39182</v>
      </c>
      <c r="B237"/>
      <c r="C237" s="70">
        <f t="shared" si="19"/>
        <v>536</v>
      </c>
      <c r="D237" s="70">
        <f t="shared" si="20"/>
        <v>261</v>
      </c>
      <c r="E237" s="70">
        <f t="shared" si="21"/>
        <v>0</v>
      </c>
      <c r="F237" s="94">
        <f t="shared" si="22"/>
        <v>797</v>
      </c>
      <c r="G237" s="109">
        <f t="shared" si="23"/>
        <v>119</v>
      </c>
      <c r="H237" s="109">
        <f t="shared" si="24"/>
        <v>678</v>
      </c>
      <c r="J237" s="216">
        <v>0</v>
      </c>
      <c r="K237" s="216">
        <v>16</v>
      </c>
      <c r="L237" s="216">
        <v>2</v>
      </c>
      <c r="M237" s="216">
        <v>0</v>
      </c>
      <c r="N237" s="216">
        <v>0</v>
      </c>
      <c r="O237" s="216">
        <v>0</v>
      </c>
      <c r="P237" s="216">
        <v>0</v>
      </c>
      <c r="Q237" s="216">
        <v>0</v>
      </c>
      <c r="R237" s="216">
        <v>0</v>
      </c>
      <c r="S237" s="216">
        <v>0</v>
      </c>
      <c r="T237" s="216">
        <v>0</v>
      </c>
      <c r="U237" s="216">
        <v>0</v>
      </c>
      <c r="V237" s="216">
        <v>101</v>
      </c>
      <c r="W237" s="52"/>
      <c r="X237" s="216">
        <v>518</v>
      </c>
      <c r="Y237" s="216">
        <v>65</v>
      </c>
      <c r="Z237" s="216">
        <v>95</v>
      </c>
      <c r="AH237" s="46"/>
      <c r="AI237" s="46"/>
    </row>
    <row r="238" spans="1:35" x14ac:dyDescent="0.25">
      <c r="A238" s="31">
        <f>'M&amp;R Stations'!A224</f>
        <v>39183</v>
      </c>
      <c r="B238"/>
      <c r="C238" s="70">
        <f t="shared" si="19"/>
        <v>456</v>
      </c>
      <c r="D238" s="70">
        <f t="shared" si="20"/>
        <v>227</v>
      </c>
      <c r="E238" s="70">
        <f t="shared" si="21"/>
        <v>0</v>
      </c>
      <c r="F238" s="94">
        <f t="shared" si="22"/>
        <v>683</v>
      </c>
      <c r="G238" s="109">
        <f t="shared" si="23"/>
        <v>146</v>
      </c>
      <c r="H238" s="109">
        <f t="shared" si="24"/>
        <v>537</v>
      </c>
      <c r="J238" s="216">
        <v>22</v>
      </c>
      <c r="K238" s="216">
        <v>17</v>
      </c>
      <c r="L238" s="216">
        <v>3</v>
      </c>
      <c r="M238" s="216">
        <v>0</v>
      </c>
      <c r="N238" s="216">
        <v>0</v>
      </c>
      <c r="O238" s="216">
        <v>11</v>
      </c>
      <c r="P238" s="216">
        <v>0</v>
      </c>
      <c r="Q238" s="216">
        <v>0</v>
      </c>
      <c r="R238" s="216">
        <v>0</v>
      </c>
      <c r="S238" s="216">
        <v>0</v>
      </c>
      <c r="T238" s="216">
        <v>0</v>
      </c>
      <c r="U238" s="216">
        <v>0</v>
      </c>
      <c r="V238" s="216">
        <v>93</v>
      </c>
      <c r="W238" s="52"/>
      <c r="X238" s="216">
        <v>403</v>
      </c>
      <c r="Y238" s="216">
        <v>52</v>
      </c>
      <c r="Z238" s="216">
        <v>82</v>
      </c>
      <c r="AH238" s="46"/>
      <c r="AI238" s="46"/>
    </row>
    <row r="239" spans="1:35" x14ac:dyDescent="0.25">
      <c r="A239" s="31">
        <f>'M&amp;R Stations'!A225</f>
        <v>39184</v>
      </c>
      <c r="B239"/>
      <c r="C239" s="70">
        <f t="shared" si="19"/>
        <v>469.2</v>
      </c>
      <c r="D239" s="70">
        <f t="shared" si="20"/>
        <v>244</v>
      </c>
      <c r="E239" s="70">
        <f t="shared" si="21"/>
        <v>0</v>
      </c>
      <c r="F239" s="94">
        <f t="shared" si="22"/>
        <v>713.2</v>
      </c>
      <c r="G239" s="109">
        <f t="shared" si="23"/>
        <v>206.2</v>
      </c>
      <c r="H239" s="109">
        <f t="shared" si="24"/>
        <v>507</v>
      </c>
      <c r="J239" s="216">
        <v>77.2</v>
      </c>
      <c r="K239" s="216">
        <v>16</v>
      </c>
      <c r="L239" s="216">
        <v>3</v>
      </c>
      <c r="M239" s="216">
        <v>0</v>
      </c>
      <c r="N239" s="216">
        <v>0</v>
      </c>
      <c r="O239" s="216">
        <v>18</v>
      </c>
      <c r="P239" s="216">
        <v>0</v>
      </c>
      <c r="Q239" s="216">
        <v>0</v>
      </c>
      <c r="R239" s="216">
        <v>0</v>
      </c>
      <c r="S239" s="216">
        <v>0</v>
      </c>
      <c r="T239" s="216">
        <v>0</v>
      </c>
      <c r="U239" s="216">
        <v>0</v>
      </c>
      <c r="V239" s="216">
        <v>92</v>
      </c>
      <c r="W239" s="52"/>
      <c r="X239" s="216">
        <v>355</v>
      </c>
      <c r="Y239" s="216">
        <v>62</v>
      </c>
      <c r="Z239" s="216">
        <v>90</v>
      </c>
      <c r="AH239" s="46"/>
      <c r="AI239" s="46"/>
    </row>
    <row r="240" spans="1:35" x14ac:dyDescent="0.25">
      <c r="A240" s="31">
        <f>'M&amp;R Stations'!A226</f>
        <v>39185</v>
      </c>
      <c r="B240"/>
      <c r="C240" s="70">
        <f t="shared" si="19"/>
        <v>538</v>
      </c>
      <c r="D240" s="70">
        <f t="shared" si="20"/>
        <v>252</v>
      </c>
      <c r="E240" s="70">
        <f t="shared" si="21"/>
        <v>0</v>
      </c>
      <c r="F240" s="94">
        <f t="shared" si="22"/>
        <v>790</v>
      </c>
      <c r="G240" s="109">
        <f t="shared" si="23"/>
        <v>281</v>
      </c>
      <c r="H240" s="109">
        <f t="shared" si="24"/>
        <v>509</v>
      </c>
      <c r="J240" s="216">
        <v>119</v>
      </c>
      <c r="K240" s="216">
        <v>20</v>
      </c>
      <c r="L240" s="216">
        <v>2</v>
      </c>
      <c r="M240" s="216">
        <v>0</v>
      </c>
      <c r="N240" s="216">
        <v>18</v>
      </c>
      <c r="O240" s="216">
        <v>3</v>
      </c>
      <c r="P240" s="216">
        <v>0</v>
      </c>
      <c r="Q240" s="216">
        <v>0</v>
      </c>
      <c r="R240" s="216">
        <v>0</v>
      </c>
      <c r="S240" s="216">
        <v>0</v>
      </c>
      <c r="T240" s="216">
        <v>0</v>
      </c>
      <c r="U240" s="216">
        <v>0</v>
      </c>
      <c r="V240" s="216">
        <f>20+84+15</f>
        <v>119</v>
      </c>
      <c r="W240" s="52"/>
      <c r="X240" s="216">
        <v>376</v>
      </c>
      <c r="Y240" s="216">
        <v>58</v>
      </c>
      <c r="Z240" s="216">
        <f>30+33+12</f>
        <v>75</v>
      </c>
      <c r="AH240" s="46"/>
      <c r="AI240" s="46"/>
    </row>
    <row r="241" spans="1:35" x14ac:dyDescent="0.25">
      <c r="A241" s="31">
        <f>'M&amp;R Stations'!A227</f>
        <v>39186</v>
      </c>
      <c r="B241"/>
      <c r="C241" s="70">
        <f t="shared" si="19"/>
        <v>551</v>
      </c>
      <c r="D241" s="70">
        <f t="shared" si="20"/>
        <v>201</v>
      </c>
      <c r="E241" s="70">
        <f t="shared" si="21"/>
        <v>0</v>
      </c>
      <c r="F241" s="94">
        <f t="shared" si="22"/>
        <v>752</v>
      </c>
      <c r="G241" s="109">
        <f t="shared" si="23"/>
        <v>252</v>
      </c>
      <c r="H241" s="109">
        <f t="shared" si="24"/>
        <v>500</v>
      </c>
      <c r="J241" s="216">
        <v>120</v>
      </c>
      <c r="K241" s="216">
        <v>17</v>
      </c>
      <c r="L241" s="216">
        <v>4</v>
      </c>
      <c r="M241" s="216">
        <v>0</v>
      </c>
      <c r="N241" s="216">
        <v>23</v>
      </c>
      <c r="O241" s="216">
        <v>0</v>
      </c>
      <c r="P241" s="216">
        <v>0</v>
      </c>
      <c r="Q241" s="216">
        <v>0</v>
      </c>
      <c r="R241" s="216">
        <v>0</v>
      </c>
      <c r="S241" s="216">
        <v>0</v>
      </c>
      <c r="T241" s="216">
        <v>0</v>
      </c>
      <c r="U241" s="216">
        <v>0</v>
      </c>
      <c r="V241" s="216">
        <f>11+65+12</f>
        <v>88</v>
      </c>
      <c r="W241" s="52"/>
      <c r="X241" s="216">
        <v>387</v>
      </c>
      <c r="Y241" s="216">
        <v>43</v>
      </c>
      <c r="Z241" s="216">
        <f>35+25+10</f>
        <v>70</v>
      </c>
      <c r="AH241" s="46"/>
      <c r="AI241" s="46"/>
    </row>
    <row r="242" spans="1:35" x14ac:dyDescent="0.25">
      <c r="A242" s="31">
        <f>'M&amp;R Stations'!A228</f>
        <v>39187</v>
      </c>
      <c r="B242"/>
      <c r="C242" s="70">
        <f t="shared" si="19"/>
        <v>714</v>
      </c>
      <c r="D242" s="70">
        <f t="shared" si="20"/>
        <v>291</v>
      </c>
      <c r="E242" s="70">
        <f t="shared" si="21"/>
        <v>0</v>
      </c>
      <c r="F242" s="94">
        <f t="shared" si="22"/>
        <v>1005</v>
      </c>
      <c r="G242" s="109">
        <f t="shared" si="23"/>
        <v>302</v>
      </c>
      <c r="H242" s="109">
        <f t="shared" si="24"/>
        <v>703</v>
      </c>
      <c r="J242" s="216">
        <v>133</v>
      </c>
      <c r="K242" s="216">
        <v>15</v>
      </c>
      <c r="L242" s="216">
        <v>7</v>
      </c>
      <c r="M242" s="216">
        <v>0</v>
      </c>
      <c r="N242" s="216">
        <v>23</v>
      </c>
      <c r="O242" s="216">
        <v>0</v>
      </c>
      <c r="P242" s="216">
        <v>0</v>
      </c>
      <c r="Q242" s="216">
        <v>0</v>
      </c>
      <c r="R242" s="216">
        <v>0</v>
      </c>
      <c r="S242" s="216">
        <v>0</v>
      </c>
      <c r="T242" s="216">
        <v>0</v>
      </c>
      <c r="U242" s="216">
        <v>0</v>
      </c>
      <c r="V242" s="216">
        <f>26+83+15</f>
        <v>124</v>
      </c>
      <c r="W242" s="52"/>
      <c r="X242" s="216">
        <v>536</v>
      </c>
      <c r="Y242" s="216">
        <v>77</v>
      </c>
      <c r="Z242" s="216">
        <f>36+41+13</f>
        <v>90</v>
      </c>
      <c r="AH242" s="46"/>
      <c r="AI242" s="46"/>
    </row>
    <row r="243" spans="1:35" x14ac:dyDescent="0.25">
      <c r="A243" s="31">
        <f>'M&amp;R Stations'!A229</f>
        <v>39188</v>
      </c>
      <c r="B243"/>
      <c r="C243" s="70">
        <f t="shared" si="19"/>
        <v>796</v>
      </c>
      <c r="D243" s="70">
        <f t="shared" si="20"/>
        <v>304</v>
      </c>
      <c r="E243" s="70">
        <f t="shared" si="21"/>
        <v>0</v>
      </c>
      <c r="F243" s="94">
        <f t="shared" si="22"/>
        <v>1100</v>
      </c>
      <c r="G243" s="109">
        <f t="shared" si="23"/>
        <v>273</v>
      </c>
      <c r="H243" s="109">
        <f t="shared" si="24"/>
        <v>827</v>
      </c>
      <c r="J243" s="216">
        <v>82</v>
      </c>
      <c r="K243" s="216">
        <v>17</v>
      </c>
      <c r="L243" s="216">
        <v>4</v>
      </c>
      <c r="M243" s="216">
        <v>0</v>
      </c>
      <c r="N243" s="216">
        <v>24</v>
      </c>
      <c r="O243" s="216">
        <v>11</v>
      </c>
      <c r="P243" s="216">
        <v>0</v>
      </c>
      <c r="Q243" s="216">
        <v>0</v>
      </c>
      <c r="R243" s="216">
        <v>0</v>
      </c>
      <c r="S243" s="216">
        <v>0</v>
      </c>
      <c r="T243" s="216">
        <v>0</v>
      </c>
      <c r="U243" s="216">
        <v>0</v>
      </c>
      <c r="V243" s="216">
        <f>29+19+59+12+16</f>
        <v>135</v>
      </c>
      <c r="W243" s="52"/>
      <c r="X243" s="216">
        <v>658</v>
      </c>
      <c r="Y243" s="216">
        <v>77</v>
      </c>
      <c r="Z243" s="216">
        <f>41+37+14</f>
        <v>92</v>
      </c>
      <c r="AH243" s="46"/>
      <c r="AI243" s="46"/>
    </row>
    <row r="244" spans="1:35" x14ac:dyDescent="0.25">
      <c r="A244" s="31">
        <f>'M&amp;R Stations'!A230</f>
        <v>39189</v>
      </c>
      <c r="B244"/>
      <c r="C244" s="70">
        <f t="shared" si="19"/>
        <v>585</v>
      </c>
      <c r="D244" s="70">
        <f t="shared" si="20"/>
        <v>278</v>
      </c>
      <c r="E244" s="70">
        <f t="shared" si="21"/>
        <v>4</v>
      </c>
      <c r="F244" s="94">
        <f t="shared" si="22"/>
        <v>867</v>
      </c>
      <c r="G244" s="109">
        <f t="shared" si="23"/>
        <v>268</v>
      </c>
      <c r="H244" s="109">
        <f t="shared" si="24"/>
        <v>599</v>
      </c>
      <c r="J244" s="216">
        <v>109</v>
      </c>
      <c r="K244" s="216">
        <v>17</v>
      </c>
      <c r="L244" s="216">
        <v>2</v>
      </c>
      <c r="M244" s="216">
        <v>0</v>
      </c>
      <c r="N244" s="216">
        <v>11</v>
      </c>
      <c r="O244" s="216">
        <v>3</v>
      </c>
      <c r="P244" s="216">
        <v>0</v>
      </c>
      <c r="Q244" s="216">
        <v>0</v>
      </c>
      <c r="R244" s="216">
        <v>0</v>
      </c>
      <c r="S244" s="216">
        <v>0</v>
      </c>
      <c r="T244" s="216">
        <v>0</v>
      </c>
      <c r="U244" s="216">
        <v>4</v>
      </c>
      <c r="V244" s="216">
        <f>25+4+68+12+13</f>
        <v>122</v>
      </c>
      <c r="W244" s="52"/>
      <c r="X244" s="216">
        <v>443</v>
      </c>
      <c r="Y244" s="216">
        <v>72</v>
      </c>
      <c r="Z244" s="216">
        <f>33+38+13</f>
        <v>84</v>
      </c>
      <c r="AH244" s="46"/>
      <c r="AI244" s="46"/>
    </row>
    <row r="245" spans="1:35" x14ac:dyDescent="0.25">
      <c r="A245" s="31">
        <f>'M&amp;R Stations'!A231</f>
        <v>39190</v>
      </c>
      <c r="B245"/>
      <c r="C245" s="70">
        <f t="shared" si="19"/>
        <v>510</v>
      </c>
      <c r="D245" s="70">
        <f t="shared" si="20"/>
        <v>213</v>
      </c>
      <c r="E245" s="70">
        <f t="shared" si="21"/>
        <v>0</v>
      </c>
      <c r="F245" s="94">
        <f t="shared" si="22"/>
        <v>723</v>
      </c>
      <c r="G245" s="109">
        <f t="shared" si="23"/>
        <v>261</v>
      </c>
      <c r="H245" s="109">
        <f t="shared" si="24"/>
        <v>462</v>
      </c>
      <c r="J245" s="216">
        <v>117</v>
      </c>
      <c r="K245" s="216">
        <v>16</v>
      </c>
      <c r="L245" s="216">
        <v>2</v>
      </c>
      <c r="M245" s="216">
        <v>0</v>
      </c>
      <c r="N245" s="216">
        <v>20</v>
      </c>
      <c r="O245" s="216">
        <v>0</v>
      </c>
      <c r="P245" s="216">
        <v>0</v>
      </c>
      <c r="Q245" s="216">
        <v>0</v>
      </c>
      <c r="R245" s="216">
        <v>0</v>
      </c>
      <c r="S245" s="216">
        <v>0</v>
      </c>
      <c r="T245" s="216">
        <v>0</v>
      </c>
      <c r="U245" s="216">
        <v>0</v>
      </c>
      <c r="V245" s="216">
        <f>18+8+68+12</f>
        <v>106</v>
      </c>
      <c r="W245" s="52"/>
      <c r="X245" s="216">
        <v>355</v>
      </c>
      <c r="Y245" s="216">
        <v>41</v>
      </c>
      <c r="Z245" s="216">
        <f>31+24+11</f>
        <v>66</v>
      </c>
      <c r="AH245" s="46"/>
      <c r="AI245" s="46"/>
    </row>
    <row r="246" spans="1:35" x14ac:dyDescent="0.25">
      <c r="A246" s="31">
        <f>'M&amp;R Stations'!A232</f>
        <v>39191</v>
      </c>
      <c r="B246"/>
      <c r="C246" s="70">
        <f t="shared" si="19"/>
        <v>508</v>
      </c>
      <c r="D246" s="70">
        <f t="shared" si="20"/>
        <v>191</v>
      </c>
      <c r="E246" s="70">
        <f t="shared" si="21"/>
        <v>0</v>
      </c>
      <c r="F246" s="94">
        <f t="shared" si="22"/>
        <v>699</v>
      </c>
      <c r="G246" s="109">
        <f t="shared" si="23"/>
        <v>268</v>
      </c>
      <c r="H246" s="109">
        <f t="shared" si="24"/>
        <v>431</v>
      </c>
      <c r="J246" s="216">
        <v>127</v>
      </c>
      <c r="K246" s="216">
        <v>16</v>
      </c>
      <c r="L246" s="216">
        <v>2</v>
      </c>
      <c r="M246" s="216">
        <v>0</v>
      </c>
      <c r="N246" s="216">
        <v>22</v>
      </c>
      <c r="O246" s="216">
        <v>0</v>
      </c>
      <c r="P246" s="216">
        <v>0</v>
      </c>
      <c r="Q246" s="216">
        <v>0</v>
      </c>
      <c r="R246" s="216">
        <v>0</v>
      </c>
      <c r="S246" s="216">
        <v>0</v>
      </c>
      <c r="T246" s="216">
        <v>0</v>
      </c>
      <c r="U246" s="216">
        <v>0</v>
      </c>
      <c r="V246" s="216">
        <f>21+2+76+2</f>
        <v>101</v>
      </c>
      <c r="W246" s="52"/>
      <c r="X246" s="216">
        <v>341</v>
      </c>
      <c r="Y246" s="216">
        <v>40</v>
      </c>
      <c r="Z246" s="216">
        <f>21+19+10</f>
        <v>50</v>
      </c>
      <c r="AH246" s="46"/>
      <c r="AI246" s="46"/>
    </row>
    <row r="247" spans="1:35" x14ac:dyDescent="0.25">
      <c r="A247" s="31">
        <f>'M&amp;R Stations'!A233</f>
        <v>39192</v>
      </c>
      <c r="B247"/>
      <c r="C247" s="70">
        <f t="shared" si="19"/>
        <v>140</v>
      </c>
      <c r="D247" s="70">
        <f t="shared" si="20"/>
        <v>124</v>
      </c>
      <c r="E247" s="70">
        <f t="shared" si="21"/>
        <v>0</v>
      </c>
      <c r="F247" s="94">
        <f t="shared" si="22"/>
        <v>264</v>
      </c>
      <c r="G247" s="109">
        <f t="shared" si="23"/>
        <v>204</v>
      </c>
      <c r="H247" s="109">
        <f t="shared" si="24"/>
        <v>60</v>
      </c>
      <c r="J247" s="216">
        <v>95</v>
      </c>
      <c r="K247" s="216">
        <v>15</v>
      </c>
      <c r="L247" s="216">
        <v>2</v>
      </c>
      <c r="M247" s="216">
        <v>0</v>
      </c>
      <c r="N247" s="216">
        <v>24</v>
      </c>
      <c r="O247" s="216">
        <v>0</v>
      </c>
      <c r="P247" s="216">
        <v>0</v>
      </c>
      <c r="Q247" s="216">
        <v>0</v>
      </c>
      <c r="R247" s="216">
        <v>0</v>
      </c>
      <c r="S247" s="216">
        <v>0</v>
      </c>
      <c r="T247" s="216">
        <v>0</v>
      </c>
      <c r="U247" s="216">
        <v>0</v>
      </c>
      <c r="V247" s="216">
        <f>68</f>
        <v>68</v>
      </c>
      <c r="W247" s="52"/>
      <c r="X247" s="216">
        <v>4</v>
      </c>
      <c r="Y247" s="216">
        <v>22</v>
      </c>
      <c r="Z247" s="216">
        <v>34</v>
      </c>
      <c r="AH247" s="46"/>
      <c r="AI247" s="46"/>
    </row>
    <row r="248" spans="1:35" x14ac:dyDescent="0.25">
      <c r="A248" s="31">
        <f>'M&amp;R Stations'!A234</f>
        <v>39193</v>
      </c>
      <c r="B248"/>
      <c r="C248" s="70">
        <f t="shared" si="19"/>
        <v>125</v>
      </c>
      <c r="D248" s="70">
        <f t="shared" si="20"/>
        <v>103</v>
      </c>
      <c r="E248" s="70">
        <f t="shared" si="21"/>
        <v>2</v>
      </c>
      <c r="F248" s="94">
        <f t="shared" si="22"/>
        <v>230</v>
      </c>
      <c r="G248" s="109">
        <f t="shared" si="23"/>
        <v>179</v>
      </c>
      <c r="H248" s="109">
        <f t="shared" si="24"/>
        <v>51</v>
      </c>
      <c r="J248" s="216">
        <v>86</v>
      </c>
      <c r="K248" s="216">
        <v>15</v>
      </c>
      <c r="L248" s="216">
        <v>2</v>
      </c>
      <c r="M248" s="216">
        <v>0</v>
      </c>
      <c r="N248" s="216">
        <v>22</v>
      </c>
      <c r="O248" s="216">
        <v>0</v>
      </c>
      <c r="P248" s="216">
        <v>0</v>
      </c>
      <c r="Q248" s="216">
        <v>0</v>
      </c>
      <c r="R248" s="216">
        <v>0</v>
      </c>
      <c r="S248" s="216">
        <v>0</v>
      </c>
      <c r="T248" s="216">
        <v>0</v>
      </c>
      <c r="U248" s="216">
        <v>2</v>
      </c>
      <c r="V248" s="216">
        <v>52</v>
      </c>
      <c r="W248" s="52"/>
      <c r="X248" s="216">
        <v>0</v>
      </c>
      <c r="Y248" s="216">
        <v>20</v>
      </c>
      <c r="Z248" s="216">
        <v>31</v>
      </c>
      <c r="AH248" s="46"/>
      <c r="AI248" s="46"/>
    </row>
    <row r="249" spans="1:35" x14ac:dyDescent="0.25">
      <c r="A249" s="31">
        <f>'M&amp;R Stations'!A235</f>
        <v>39194</v>
      </c>
      <c r="B249"/>
      <c r="C249" s="70">
        <f t="shared" si="19"/>
        <v>128</v>
      </c>
      <c r="D249" s="70">
        <f t="shared" si="20"/>
        <v>96</v>
      </c>
      <c r="E249" s="70">
        <f t="shared" si="21"/>
        <v>8</v>
      </c>
      <c r="F249" s="94">
        <f t="shared" si="22"/>
        <v>232</v>
      </c>
      <c r="G249" s="109">
        <f t="shared" si="23"/>
        <v>181</v>
      </c>
      <c r="H249" s="109">
        <f t="shared" si="24"/>
        <v>51</v>
      </c>
      <c r="J249" s="216">
        <v>91</v>
      </c>
      <c r="K249" s="216">
        <v>14</v>
      </c>
      <c r="L249" s="216">
        <v>2</v>
      </c>
      <c r="M249" s="216">
        <v>0</v>
      </c>
      <c r="N249" s="216">
        <v>21</v>
      </c>
      <c r="O249" s="216">
        <v>0</v>
      </c>
      <c r="P249" s="216">
        <v>0</v>
      </c>
      <c r="Q249" s="216">
        <v>0</v>
      </c>
      <c r="R249" s="216">
        <v>0</v>
      </c>
      <c r="S249" s="216">
        <v>0</v>
      </c>
      <c r="T249" s="216">
        <v>0</v>
      </c>
      <c r="U249" s="216">
        <v>8</v>
      </c>
      <c r="V249" s="216">
        <v>45</v>
      </c>
      <c r="W249" s="52"/>
      <c r="X249" s="216">
        <v>0</v>
      </c>
      <c r="Y249" s="216">
        <v>19</v>
      </c>
      <c r="Z249" s="216">
        <v>32</v>
      </c>
      <c r="AH249" s="46"/>
      <c r="AI249" s="46"/>
    </row>
    <row r="250" spans="1:35" x14ac:dyDescent="0.25">
      <c r="A250" s="31">
        <f>'M&amp;R Stations'!A236</f>
        <v>39195</v>
      </c>
      <c r="B250"/>
      <c r="C250" s="70">
        <f t="shared" si="19"/>
        <v>147</v>
      </c>
      <c r="D250" s="70">
        <f t="shared" si="20"/>
        <v>82</v>
      </c>
      <c r="E250" s="70">
        <f t="shared" si="21"/>
        <v>0</v>
      </c>
      <c r="F250" s="94">
        <f t="shared" si="22"/>
        <v>229</v>
      </c>
      <c r="G250" s="109">
        <f t="shared" si="23"/>
        <v>187</v>
      </c>
      <c r="H250" s="109">
        <f t="shared" si="24"/>
        <v>42</v>
      </c>
      <c r="J250" s="216">
        <v>110</v>
      </c>
      <c r="K250" s="216">
        <v>13</v>
      </c>
      <c r="L250" s="216">
        <v>3</v>
      </c>
      <c r="M250" s="216">
        <v>0</v>
      </c>
      <c r="N250" s="216">
        <v>21</v>
      </c>
      <c r="O250" s="216">
        <v>0</v>
      </c>
      <c r="P250" s="216">
        <v>0</v>
      </c>
      <c r="Q250" s="216">
        <v>0</v>
      </c>
      <c r="R250" s="216">
        <v>0</v>
      </c>
      <c r="S250" s="216">
        <v>0</v>
      </c>
      <c r="T250" s="216">
        <v>0</v>
      </c>
      <c r="U250" s="216">
        <v>0</v>
      </c>
      <c r="V250" s="216">
        <v>40</v>
      </c>
      <c r="W250" s="52"/>
      <c r="X250" s="216">
        <v>0</v>
      </c>
      <c r="Y250" s="216">
        <v>15</v>
      </c>
      <c r="Z250" s="216">
        <v>27</v>
      </c>
      <c r="AH250" s="46"/>
      <c r="AI250" s="46"/>
    </row>
    <row r="251" spans="1:35" x14ac:dyDescent="0.25">
      <c r="A251" s="31">
        <f>'M&amp;R Stations'!A237</f>
        <v>39196</v>
      </c>
      <c r="B251"/>
      <c r="C251" s="70">
        <f t="shared" si="19"/>
        <v>140</v>
      </c>
      <c r="D251" s="70">
        <f t="shared" si="20"/>
        <v>86</v>
      </c>
      <c r="E251" s="70">
        <f t="shared" si="21"/>
        <v>0</v>
      </c>
      <c r="F251" s="94">
        <f t="shared" si="22"/>
        <v>226</v>
      </c>
      <c r="G251" s="109">
        <f t="shared" si="23"/>
        <v>185</v>
      </c>
      <c r="H251" s="109">
        <f t="shared" si="24"/>
        <v>41</v>
      </c>
      <c r="J251" s="216">
        <v>116</v>
      </c>
      <c r="K251" s="216">
        <v>0</v>
      </c>
      <c r="L251" s="216">
        <v>3</v>
      </c>
      <c r="M251" s="216">
        <v>0</v>
      </c>
      <c r="N251" s="216">
        <v>21</v>
      </c>
      <c r="O251" s="216">
        <v>0</v>
      </c>
      <c r="P251" s="216">
        <v>0</v>
      </c>
      <c r="Q251" s="216">
        <v>0</v>
      </c>
      <c r="R251" s="216">
        <v>0</v>
      </c>
      <c r="S251" s="216">
        <v>0</v>
      </c>
      <c r="T251" s="216">
        <v>0</v>
      </c>
      <c r="U251" s="216">
        <v>0</v>
      </c>
      <c r="V251" s="216">
        <v>45</v>
      </c>
      <c r="W251" s="52"/>
      <c r="X251" s="216">
        <v>0</v>
      </c>
      <c r="Y251" s="216">
        <v>14</v>
      </c>
      <c r="Z251" s="216">
        <v>27</v>
      </c>
      <c r="AH251" s="46"/>
      <c r="AI251" s="46"/>
    </row>
    <row r="252" spans="1:35" x14ac:dyDescent="0.25">
      <c r="A252" s="31">
        <f>'M&amp;R Stations'!A238</f>
        <v>39197</v>
      </c>
      <c r="B252"/>
      <c r="C252" s="70">
        <f t="shared" si="19"/>
        <v>155</v>
      </c>
      <c r="D252" s="70">
        <f t="shared" si="20"/>
        <v>99</v>
      </c>
      <c r="E252" s="70">
        <f t="shared" si="21"/>
        <v>0</v>
      </c>
      <c r="F252" s="94">
        <f t="shared" si="22"/>
        <v>254</v>
      </c>
      <c r="G252" s="109">
        <f t="shared" si="23"/>
        <v>212</v>
      </c>
      <c r="H252" s="109">
        <f t="shared" si="24"/>
        <v>42</v>
      </c>
      <c r="J252" s="216">
        <v>105</v>
      </c>
      <c r="K252" s="216">
        <v>26</v>
      </c>
      <c r="L252" s="216">
        <v>3</v>
      </c>
      <c r="M252" s="216">
        <v>0</v>
      </c>
      <c r="N252" s="216">
        <v>21</v>
      </c>
      <c r="O252" s="216">
        <v>0</v>
      </c>
      <c r="P252" s="216">
        <v>0</v>
      </c>
      <c r="Q252" s="216">
        <v>0</v>
      </c>
      <c r="R252" s="216">
        <v>0</v>
      </c>
      <c r="S252" s="216">
        <v>0</v>
      </c>
      <c r="T252" s="216">
        <v>0</v>
      </c>
      <c r="U252" s="216">
        <v>0</v>
      </c>
      <c r="V252" s="216">
        <v>57</v>
      </c>
      <c r="W252" s="52"/>
      <c r="X252" s="216">
        <v>0</v>
      </c>
      <c r="Y252" s="216">
        <v>15</v>
      </c>
      <c r="Z252" s="216">
        <v>27</v>
      </c>
      <c r="AH252" s="46"/>
      <c r="AI252" s="46"/>
    </row>
    <row r="253" spans="1:35" x14ac:dyDescent="0.25">
      <c r="A253" s="31">
        <f>'M&amp;R Stations'!A239</f>
        <v>39198</v>
      </c>
      <c r="B253"/>
      <c r="C253" s="70">
        <f t="shared" si="19"/>
        <v>159</v>
      </c>
      <c r="D253" s="70">
        <f t="shared" si="20"/>
        <v>129</v>
      </c>
      <c r="E253" s="70">
        <f t="shared" si="21"/>
        <v>0</v>
      </c>
      <c r="F253" s="94">
        <f t="shared" si="22"/>
        <v>288</v>
      </c>
      <c r="G253" s="109">
        <f t="shared" si="23"/>
        <v>223</v>
      </c>
      <c r="H253" s="109">
        <f t="shared" si="24"/>
        <v>65</v>
      </c>
      <c r="J253" s="216">
        <v>115</v>
      </c>
      <c r="K253" s="216">
        <v>15</v>
      </c>
      <c r="L253" s="216">
        <v>3</v>
      </c>
      <c r="M253" s="216">
        <v>0</v>
      </c>
      <c r="N253" s="216">
        <v>22</v>
      </c>
      <c r="O253" s="216">
        <v>0</v>
      </c>
      <c r="P253" s="216">
        <v>0</v>
      </c>
      <c r="Q253" s="216">
        <v>0</v>
      </c>
      <c r="R253" s="216">
        <v>0</v>
      </c>
      <c r="S253" s="216">
        <v>0</v>
      </c>
      <c r="T253" s="216">
        <v>0</v>
      </c>
      <c r="U253" s="216">
        <v>0</v>
      </c>
      <c r="V253" s="216">
        <v>68</v>
      </c>
      <c r="W253" s="52"/>
      <c r="X253" s="216">
        <v>4</v>
      </c>
      <c r="Y253" s="216">
        <v>24</v>
      </c>
      <c r="Z253" s="216">
        <v>37</v>
      </c>
      <c r="AH253" s="46"/>
      <c r="AI253" s="46"/>
    </row>
    <row r="254" spans="1:35" x14ac:dyDescent="0.25">
      <c r="A254" s="31">
        <f>'M&amp;R Stations'!A240</f>
        <v>39199</v>
      </c>
      <c r="B254"/>
      <c r="C254" s="70">
        <f t="shared" si="19"/>
        <v>43</v>
      </c>
      <c r="D254" s="70">
        <f t="shared" si="20"/>
        <v>107</v>
      </c>
      <c r="E254" s="70">
        <f t="shared" si="21"/>
        <v>0</v>
      </c>
      <c r="F254" s="94">
        <f t="shared" si="22"/>
        <v>150</v>
      </c>
      <c r="G254" s="109">
        <f t="shared" si="23"/>
        <v>105</v>
      </c>
      <c r="H254" s="109">
        <f t="shared" si="24"/>
        <v>45</v>
      </c>
      <c r="J254" s="216">
        <v>0</v>
      </c>
      <c r="K254" s="216">
        <v>15</v>
      </c>
      <c r="L254" s="216">
        <v>4</v>
      </c>
      <c r="M254" s="216">
        <v>0</v>
      </c>
      <c r="N254" s="216">
        <v>22</v>
      </c>
      <c r="O254" s="216">
        <v>0</v>
      </c>
      <c r="P254" s="216">
        <v>0</v>
      </c>
      <c r="Q254" s="216">
        <v>0</v>
      </c>
      <c r="R254" s="216">
        <v>0</v>
      </c>
      <c r="S254" s="216">
        <v>0</v>
      </c>
      <c r="T254" s="216">
        <v>0</v>
      </c>
      <c r="U254" s="216">
        <v>0</v>
      </c>
      <c r="V254" s="216">
        <v>64</v>
      </c>
      <c r="W254" s="52"/>
      <c r="X254" s="216">
        <v>2</v>
      </c>
      <c r="Y254" s="216">
        <v>15</v>
      </c>
      <c r="Z254" s="216">
        <v>28</v>
      </c>
      <c r="AH254" s="46"/>
      <c r="AI254" s="46"/>
    </row>
    <row r="255" spans="1:35" x14ac:dyDescent="0.25">
      <c r="A255" s="31">
        <f>'M&amp;R Stations'!A241</f>
        <v>39200</v>
      </c>
      <c r="B255"/>
      <c r="C255" s="70">
        <f t="shared" si="19"/>
        <v>40</v>
      </c>
      <c r="D255" s="70">
        <f t="shared" si="20"/>
        <v>97</v>
      </c>
      <c r="E255" s="70">
        <f t="shared" si="21"/>
        <v>0</v>
      </c>
      <c r="F255" s="94">
        <f t="shared" si="22"/>
        <v>137</v>
      </c>
      <c r="G255" s="109">
        <f t="shared" si="23"/>
        <v>95</v>
      </c>
      <c r="H255" s="109">
        <f t="shared" si="24"/>
        <v>42</v>
      </c>
      <c r="J255" s="216">
        <v>0</v>
      </c>
      <c r="K255" s="216">
        <v>14</v>
      </c>
      <c r="L255" s="216">
        <v>3</v>
      </c>
      <c r="M255" s="216">
        <v>0</v>
      </c>
      <c r="N255" s="216">
        <v>23</v>
      </c>
      <c r="O255" s="216">
        <v>0</v>
      </c>
      <c r="P255" s="216">
        <v>0</v>
      </c>
      <c r="Q255" s="216">
        <v>0</v>
      </c>
      <c r="R255" s="216">
        <v>0</v>
      </c>
      <c r="S255" s="216">
        <v>0</v>
      </c>
      <c r="T255" s="216">
        <v>0</v>
      </c>
      <c r="U255" s="216">
        <v>0</v>
      </c>
      <c r="V255" s="216">
        <v>55</v>
      </c>
      <c r="W255" s="52"/>
      <c r="X255" s="216">
        <v>0</v>
      </c>
      <c r="Y255" s="216">
        <v>15</v>
      </c>
      <c r="Z255" s="216">
        <v>27</v>
      </c>
      <c r="AH255" s="46"/>
      <c r="AI255" s="46"/>
    </row>
    <row r="256" spans="1:35" x14ac:dyDescent="0.25">
      <c r="A256" s="31">
        <f>'M&amp;R Stations'!A242</f>
        <v>39201</v>
      </c>
      <c r="B256"/>
      <c r="C256" s="70">
        <f t="shared" si="19"/>
        <v>143</v>
      </c>
      <c r="D256" s="70">
        <f t="shared" si="20"/>
        <v>91</v>
      </c>
      <c r="E256" s="70">
        <f t="shared" si="21"/>
        <v>0</v>
      </c>
      <c r="F256" s="94">
        <f t="shared" si="22"/>
        <v>234</v>
      </c>
      <c r="G256" s="109">
        <f t="shared" si="23"/>
        <v>200</v>
      </c>
      <c r="H256" s="109">
        <f t="shared" si="24"/>
        <v>34</v>
      </c>
      <c r="J256" s="216">
        <v>102</v>
      </c>
      <c r="K256" s="216">
        <v>16</v>
      </c>
      <c r="L256" s="216">
        <v>3</v>
      </c>
      <c r="M256" s="216">
        <v>0</v>
      </c>
      <c r="N256" s="216">
        <v>22</v>
      </c>
      <c r="O256" s="216">
        <v>0</v>
      </c>
      <c r="P256" s="216">
        <v>0</v>
      </c>
      <c r="Q256" s="216">
        <v>0</v>
      </c>
      <c r="R256" s="216">
        <v>0</v>
      </c>
      <c r="S256" s="216">
        <v>0</v>
      </c>
      <c r="T256" s="216">
        <v>0</v>
      </c>
      <c r="U256" s="216">
        <v>0</v>
      </c>
      <c r="V256" s="216">
        <v>57</v>
      </c>
      <c r="W256" s="52"/>
      <c r="X256" s="216">
        <v>0</v>
      </c>
      <c r="Y256" s="216">
        <v>12</v>
      </c>
      <c r="Z256" s="216">
        <v>22</v>
      </c>
      <c r="AH256" s="46"/>
      <c r="AI256" s="46"/>
    </row>
    <row r="257" spans="1:35" x14ac:dyDescent="0.25">
      <c r="A257" s="31">
        <f>'M&amp;R Stations'!A243</f>
        <v>39202</v>
      </c>
      <c r="B257"/>
      <c r="C257" s="70">
        <f t="shared" si="19"/>
        <v>148</v>
      </c>
      <c r="D257" s="70">
        <f t="shared" si="20"/>
        <v>78</v>
      </c>
      <c r="E257" s="70">
        <f t="shared" si="21"/>
        <v>0</v>
      </c>
      <c r="F257" s="94">
        <f t="shared" si="22"/>
        <v>226</v>
      </c>
      <c r="G257" s="109">
        <f t="shared" si="23"/>
        <v>202</v>
      </c>
      <c r="H257" s="109">
        <f t="shared" si="24"/>
        <v>24</v>
      </c>
      <c r="J257" s="216">
        <v>112</v>
      </c>
      <c r="K257" s="216">
        <v>11</v>
      </c>
      <c r="L257" s="216">
        <v>3</v>
      </c>
      <c r="M257" s="216">
        <v>0</v>
      </c>
      <c r="N257" s="216">
        <v>22</v>
      </c>
      <c r="O257" s="216">
        <v>0</v>
      </c>
      <c r="P257" s="216">
        <v>0</v>
      </c>
      <c r="Q257" s="216">
        <v>0</v>
      </c>
      <c r="R257" s="216">
        <v>0</v>
      </c>
      <c r="S257" s="216">
        <v>0</v>
      </c>
      <c r="T257" s="216">
        <v>0</v>
      </c>
      <c r="U257" s="216">
        <v>0</v>
      </c>
      <c r="V257" s="216">
        <v>54</v>
      </c>
      <c r="W257" s="52"/>
      <c r="X257" s="216">
        <v>0</v>
      </c>
      <c r="Y257" s="216">
        <v>7</v>
      </c>
      <c r="Z257" s="216">
        <v>17</v>
      </c>
      <c r="AH257" s="46"/>
      <c r="AI257" s="46"/>
    </row>
    <row r="258" spans="1:35" x14ac:dyDescent="0.25">
      <c r="A258" s="96"/>
      <c r="B258" s="97"/>
      <c r="C258" s="98"/>
      <c r="D258" s="98"/>
      <c r="E258" s="98"/>
      <c r="F258" s="98"/>
      <c r="G258" s="98" t="str">
        <f t="shared" si="23"/>
        <v/>
      </c>
      <c r="H258" s="98" t="str">
        <f t="shared" si="24"/>
        <v/>
      </c>
      <c r="J258" s="95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255"/>
      <c r="X258" s="98"/>
      <c r="Y258" s="98"/>
      <c r="Z258" s="98"/>
      <c r="AH258" s="46"/>
      <c r="AI258" s="46"/>
    </row>
    <row r="259" spans="1:35" x14ac:dyDescent="0.25">
      <c r="A259" s="31">
        <f>'M&amp;R Stations'!A244</f>
        <v>39203</v>
      </c>
      <c r="B259"/>
      <c r="C259" s="70">
        <f t="shared" si="19"/>
        <v>152</v>
      </c>
      <c r="D259" s="70">
        <f t="shared" si="20"/>
        <v>92</v>
      </c>
      <c r="E259" s="70">
        <f t="shared" si="21"/>
        <v>0</v>
      </c>
      <c r="F259" s="94">
        <f t="shared" si="22"/>
        <v>244</v>
      </c>
      <c r="G259" s="109">
        <f t="shared" si="23"/>
        <v>212</v>
      </c>
      <c r="H259" s="109">
        <f t="shared" si="24"/>
        <v>32</v>
      </c>
      <c r="J259" s="216">
        <v>115</v>
      </c>
      <c r="K259" s="216">
        <v>13</v>
      </c>
      <c r="L259" s="216">
        <v>3</v>
      </c>
      <c r="M259" s="216">
        <v>0</v>
      </c>
      <c r="N259" s="216">
        <v>21</v>
      </c>
      <c r="O259" s="216">
        <v>0</v>
      </c>
      <c r="P259" s="216">
        <v>0</v>
      </c>
      <c r="Q259" s="216">
        <v>0</v>
      </c>
      <c r="R259" s="216">
        <v>0</v>
      </c>
      <c r="S259" s="216">
        <v>0</v>
      </c>
      <c r="T259" s="216">
        <v>0</v>
      </c>
      <c r="U259" s="216">
        <v>0</v>
      </c>
      <c r="V259" s="216">
        <v>60</v>
      </c>
      <c r="W259" s="52"/>
      <c r="X259" s="216">
        <v>0</v>
      </c>
      <c r="Y259" s="216">
        <v>10</v>
      </c>
      <c r="Z259" s="216">
        <v>22</v>
      </c>
      <c r="AH259" s="46"/>
      <c r="AI259" s="46"/>
    </row>
    <row r="260" spans="1:35" x14ac:dyDescent="0.25">
      <c r="A260" s="31">
        <f>'M&amp;R Stations'!A245</f>
        <v>39204</v>
      </c>
      <c r="B260"/>
      <c r="C260" s="70">
        <f t="shared" si="19"/>
        <v>142</v>
      </c>
      <c r="D260" s="70">
        <f t="shared" si="20"/>
        <v>88</v>
      </c>
      <c r="E260" s="70">
        <f t="shared" si="21"/>
        <v>9</v>
      </c>
      <c r="F260" s="94">
        <f t="shared" si="22"/>
        <v>239</v>
      </c>
      <c r="G260" s="109">
        <f t="shared" si="23"/>
        <v>212</v>
      </c>
      <c r="H260" s="109">
        <f t="shared" si="24"/>
        <v>27</v>
      </c>
      <c r="J260" s="216">
        <v>114</v>
      </c>
      <c r="K260" s="216">
        <v>14</v>
      </c>
      <c r="L260" s="216">
        <v>3</v>
      </c>
      <c r="M260" s="216">
        <v>0</v>
      </c>
      <c r="N260" s="216">
        <v>11</v>
      </c>
      <c r="O260" s="216">
        <v>0</v>
      </c>
      <c r="P260" s="216">
        <v>0</v>
      </c>
      <c r="Q260" s="216">
        <v>0</v>
      </c>
      <c r="R260" s="216">
        <v>0</v>
      </c>
      <c r="S260" s="216">
        <v>0</v>
      </c>
      <c r="T260" s="216">
        <v>0</v>
      </c>
      <c r="U260" s="216">
        <v>9</v>
      </c>
      <c r="V260" s="216">
        <v>61</v>
      </c>
      <c r="W260" s="52"/>
      <c r="X260" s="216">
        <v>0</v>
      </c>
      <c r="Y260" s="216">
        <v>9</v>
      </c>
      <c r="Z260" s="216">
        <v>18</v>
      </c>
      <c r="AH260" s="46"/>
      <c r="AI260" s="46"/>
    </row>
    <row r="261" spans="1:35" x14ac:dyDescent="0.25">
      <c r="A261" s="31">
        <f>'M&amp;R Stations'!A246</f>
        <v>39205</v>
      </c>
      <c r="B261"/>
      <c r="C261" s="70">
        <f t="shared" si="19"/>
        <v>155</v>
      </c>
      <c r="D261" s="70">
        <f t="shared" si="20"/>
        <v>83</v>
      </c>
      <c r="E261" s="70">
        <f t="shared" si="21"/>
        <v>8</v>
      </c>
      <c r="F261" s="94">
        <f t="shared" si="22"/>
        <v>246</v>
      </c>
      <c r="G261" s="109">
        <f t="shared" si="23"/>
        <v>218</v>
      </c>
      <c r="H261" s="109">
        <f t="shared" si="24"/>
        <v>28</v>
      </c>
      <c r="J261" s="216">
        <v>108</v>
      </c>
      <c r="K261" s="216">
        <v>13</v>
      </c>
      <c r="L261" s="216">
        <v>2</v>
      </c>
      <c r="M261" s="216">
        <v>0</v>
      </c>
      <c r="N261" s="216">
        <v>32</v>
      </c>
      <c r="O261" s="216">
        <v>0</v>
      </c>
      <c r="P261" s="216">
        <v>0</v>
      </c>
      <c r="Q261" s="216">
        <v>0</v>
      </c>
      <c r="R261" s="216">
        <v>0</v>
      </c>
      <c r="S261" s="216">
        <v>0</v>
      </c>
      <c r="T261" s="216">
        <v>0</v>
      </c>
      <c r="U261" s="216">
        <v>8</v>
      </c>
      <c r="V261" s="216">
        <v>55</v>
      </c>
      <c r="W261" s="52"/>
      <c r="X261" s="216">
        <v>0</v>
      </c>
      <c r="Y261" s="216">
        <v>8</v>
      </c>
      <c r="Z261" s="216">
        <v>20</v>
      </c>
      <c r="AH261" s="46"/>
      <c r="AI261" s="46"/>
    </row>
    <row r="262" spans="1:35" x14ac:dyDescent="0.25">
      <c r="A262" s="31">
        <f>'M&amp;R Stations'!A247</f>
        <v>39206</v>
      </c>
      <c r="B262"/>
      <c r="C262" s="70">
        <f t="shared" si="19"/>
        <v>132</v>
      </c>
      <c r="D262" s="70">
        <f t="shared" si="20"/>
        <v>83</v>
      </c>
      <c r="E262" s="70">
        <f t="shared" si="21"/>
        <v>0</v>
      </c>
      <c r="F262" s="94">
        <f t="shared" si="22"/>
        <v>215</v>
      </c>
      <c r="G262" s="109">
        <f t="shared" si="23"/>
        <v>190</v>
      </c>
      <c r="H262" s="109">
        <f t="shared" si="24"/>
        <v>25</v>
      </c>
      <c r="J262" s="216">
        <v>93</v>
      </c>
      <c r="K262" s="216">
        <v>14</v>
      </c>
      <c r="L262" s="216">
        <v>3</v>
      </c>
      <c r="M262" s="216">
        <v>0</v>
      </c>
      <c r="N262" s="216">
        <v>22</v>
      </c>
      <c r="O262" s="216">
        <v>0</v>
      </c>
      <c r="P262" s="216">
        <v>0</v>
      </c>
      <c r="Q262" s="216">
        <v>0</v>
      </c>
      <c r="R262" s="216">
        <v>0</v>
      </c>
      <c r="S262" s="216">
        <v>0</v>
      </c>
      <c r="T262" s="216">
        <v>0</v>
      </c>
      <c r="U262" s="216">
        <v>0</v>
      </c>
      <c r="V262" s="216">
        <v>58</v>
      </c>
      <c r="W262" s="52"/>
      <c r="X262" s="216">
        <v>0</v>
      </c>
      <c r="Y262" s="216">
        <v>8</v>
      </c>
      <c r="Z262" s="216">
        <v>17</v>
      </c>
      <c r="AH262" s="46"/>
      <c r="AI262" s="46"/>
    </row>
    <row r="263" spans="1:35" x14ac:dyDescent="0.25">
      <c r="A263" s="31">
        <f>'M&amp;R Stations'!A248</f>
        <v>39207</v>
      </c>
      <c r="B263"/>
      <c r="C263" s="70">
        <f t="shared" si="19"/>
        <v>145</v>
      </c>
      <c r="D263" s="70">
        <f t="shared" si="20"/>
        <v>82</v>
      </c>
      <c r="E263" s="70">
        <f t="shared" si="21"/>
        <v>0</v>
      </c>
      <c r="F263" s="94">
        <f t="shared" si="22"/>
        <v>227</v>
      </c>
      <c r="G263" s="109">
        <f t="shared" si="23"/>
        <v>202</v>
      </c>
      <c r="H263" s="109">
        <f t="shared" si="24"/>
        <v>25</v>
      </c>
      <c r="J263" s="216">
        <v>104</v>
      </c>
      <c r="K263" s="216">
        <v>15</v>
      </c>
      <c r="L263" s="216">
        <v>3</v>
      </c>
      <c r="M263" s="216">
        <v>0</v>
      </c>
      <c r="N263" s="216">
        <v>23</v>
      </c>
      <c r="O263" s="216">
        <v>0</v>
      </c>
      <c r="P263" s="216">
        <v>0</v>
      </c>
      <c r="Q263" s="216">
        <v>0</v>
      </c>
      <c r="R263" s="216">
        <v>0</v>
      </c>
      <c r="S263" s="216">
        <v>0</v>
      </c>
      <c r="T263" s="216">
        <v>0</v>
      </c>
      <c r="U263" s="216">
        <v>0</v>
      </c>
      <c r="V263" s="216">
        <v>57</v>
      </c>
      <c r="W263" s="52"/>
      <c r="X263" s="216">
        <v>0</v>
      </c>
      <c r="Y263" s="216">
        <v>6</v>
      </c>
      <c r="Z263" s="216">
        <v>19</v>
      </c>
      <c r="AH263" s="46"/>
      <c r="AI263" s="46"/>
    </row>
    <row r="264" spans="1:35" x14ac:dyDescent="0.25">
      <c r="A264" s="31">
        <f>'M&amp;R Stations'!A249</f>
        <v>39208</v>
      </c>
      <c r="B264"/>
      <c r="C264" s="70">
        <f t="shared" si="19"/>
        <v>143</v>
      </c>
      <c r="D264" s="70">
        <f t="shared" si="20"/>
        <v>104</v>
      </c>
      <c r="E264" s="70">
        <f t="shared" si="21"/>
        <v>0</v>
      </c>
      <c r="F264" s="94">
        <f t="shared" si="22"/>
        <v>247</v>
      </c>
      <c r="G264" s="109">
        <f t="shared" si="23"/>
        <v>221</v>
      </c>
      <c r="H264" s="109">
        <f t="shared" si="24"/>
        <v>26</v>
      </c>
      <c r="J264" s="216">
        <v>107</v>
      </c>
      <c r="K264" s="216">
        <v>12</v>
      </c>
      <c r="L264" s="216">
        <v>2</v>
      </c>
      <c r="M264" s="216">
        <v>0</v>
      </c>
      <c r="N264" s="216">
        <v>22</v>
      </c>
      <c r="O264" s="216">
        <v>0</v>
      </c>
      <c r="P264" s="216">
        <v>0</v>
      </c>
      <c r="Q264" s="216">
        <v>0</v>
      </c>
      <c r="R264" s="216">
        <v>0</v>
      </c>
      <c r="S264" s="216">
        <v>0</v>
      </c>
      <c r="T264" s="216">
        <v>0</v>
      </c>
      <c r="U264" s="216">
        <v>0</v>
      </c>
      <c r="V264" s="216">
        <v>78</v>
      </c>
      <c r="W264" s="52"/>
      <c r="X264" s="216">
        <v>0</v>
      </c>
      <c r="Y264" s="216">
        <v>6</v>
      </c>
      <c r="Z264" s="216">
        <v>20</v>
      </c>
      <c r="AH264" s="46"/>
      <c r="AI264" s="46"/>
    </row>
    <row r="265" spans="1:35" x14ac:dyDescent="0.25">
      <c r="A265" s="31">
        <f>'M&amp;R Stations'!A250</f>
        <v>39209</v>
      </c>
      <c r="B265"/>
      <c r="C265" s="70">
        <f t="shared" ref="C265:C328" si="25">IF(J265="","",J265+K265+L265+M265+N265+O265+Q265+P265+X265)</f>
        <v>150</v>
      </c>
      <c r="D265" s="70">
        <f t="shared" ref="D265:D328" si="26">IF(J265="","",S265+V265+Y265+Z265)</f>
        <v>95</v>
      </c>
      <c r="E265" s="70">
        <f t="shared" ref="E265:E328" si="27">IF(J265="","",R265+T265+U265)</f>
        <v>0</v>
      </c>
      <c r="F265" s="94">
        <f t="shared" ref="F265:F328" si="28">IF(J265="","",C265+D265+E265)</f>
        <v>245</v>
      </c>
      <c r="G265" s="109">
        <f t="shared" ref="G265:G328" si="29">IF(J265="","",SUM(J265:V265))</f>
        <v>219</v>
      </c>
      <c r="H265" s="109">
        <f t="shared" ref="H265:H328" si="30">IF(J265="","",SUM(X265:Z265))</f>
        <v>26</v>
      </c>
      <c r="J265" s="216">
        <v>113</v>
      </c>
      <c r="K265" s="216">
        <v>14</v>
      </c>
      <c r="L265" s="216">
        <v>3</v>
      </c>
      <c r="M265" s="216">
        <v>0</v>
      </c>
      <c r="N265" s="216">
        <v>20</v>
      </c>
      <c r="O265" s="216">
        <v>0</v>
      </c>
      <c r="P265" s="216">
        <v>0</v>
      </c>
      <c r="Q265" s="216">
        <v>0</v>
      </c>
      <c r="R265" s="216">
        <v>0</v>
      </c>
      <c r="S265" s="216">
        <v>0</v>
      </c>
      <c r="T265" s="216">
        <v>0</v>
      </c>
      <c r="U265" s="216">
        <v>0</v>
      </c>
      <c r="V265" s="216">
        <v>69</v>
      </c>
      <c r="W265" s="52"/>
      <c r="X265" s="216">
        <v>0</v>
      </c>
      <c r="Y265" s="216">
        <v>3</v>
      </c>
      <c r="Z265" s="216">
        <v>23</v>
      </c>
      <c r="AH265" s="46"/>
      <c r="AI265" s="46"/>
    </row>
    <row r="266" spans="1:35" x14ac:dyDescent="0.25">
      <c r="A266" s="31">
        <f>'M&amp;R Stations'!A251</f>
        <v>39210</v>
      </c>
      <c r="B266"/>
      <c r="C266" s="70">
        <f t="shared" si="25"/>
        <v>145</v>
      </c>
      <c r="D266" s="70">
        <f t="shared" si="26"/>
        <v>95</v>
      </c>
      <c r="E266" s="70">
        <f t="shared" si="27"/>
        <v>0</v>
      </c>
      <c r="F266" s="94">
        <f t="shared" si="28"/>
        <v>240</v>
      </c>
      <c r="G266" s="109">
        <f t="shared" si="29"/>
        <v>204</v>
      </c>
      <c r="H266" s="109">
        <f t="shared" si="30"/>
        <v>36</v>
      </c>
      <c r="J266" s="216">
        <v>100</v>
      </c>
      <c r="K266" s="216">
        <v>13</v>
      </c>
      <c r="L266" s="216">
        <v>3</v>
      </c>
      <c r="M266" s="216">
        <v>0</v>
      </c>
      <c r="N266" s="216">
        <v>29</v>
      </c>
      <c r="O266" s="216">
        <v>0</v>
      </c>
      <c r="P266" s="216">
        <v>0</v>
      </c>
      <c r="Q266" s="216">
        <v>0</v>
      </c>
      <c r="R266" s="216">
        <v>0</v>
      </c>
      <c r="S266" s="216">
        <v>0</v>
      </c>
      <c r="T266" s="216">
        <v>0</v>
      </c>
      <c r="U266" s="216">
        <v>0</v>
      </c>
      <c r="V266" s="216">
        <v>59</v>
      </c>
      <c r="W266" s="52"/>
      <c r="X266" s="216">
        <v>0</v>
      </c>
      <c r="Y266" s="216">
        <v>16</v>
      </c>
      <c r="Z266" s="216">
        <v>20</v>
      </c>
      <c r="AH266" s="46"/>
      <c r="AI266" s="46"/>
    </row>
    <row r="267" spans="1:35" x14ac:dyDescent="0.25">
      <c r="A267" s="31">
        <f>'M&amp;R Stations'!A252</f>
        <v>39211</v>
      </c>
      <c r="B267"/>
      <c r="C267" s="70">
        <f t="shared" si="25"/>
        <v>154</v>
      </c>
      <c r="D267" s="70">
        <f t="shared" si="26"/>
        <v>79</v>
      </c>
      <c r="E267" s="70">
        <f t="shared" si="27"/>
        <v>0</v>
      </c>
      <c r="F267" s="94">
        <f t="shared" si="28"/>
        <v>233</v>
      </c>
      <c r="G267" s="109">
        <f t="shared" si="29"/>
        <v>208</v>
      </c>
      <c r="H267" s="109">
        <f t="shared" si="30"/>
        <v>25</v>
      </c>
      <c r="J267" s="216">
        <v>122</v>
      </c>
      <c r="K267" s="216">
        <v>13</v>
      </c>
      <c r="L267" s="216">
        <v>4</v>
      </c>
      <c r="M267" s="216">
        <v>0</v>
      </c>
      <c r="N267" s="216">
        <v>15</v>
      </c>
      <c r="O267" s="216">
        <v>0</v>
      </c>
      <c r="P267" s="216">
        <v>0</v>
      </c>
      <c r="Q267" s="216">
        <v>0</v>
      </c>
      <c r="R267" s="216">
        <v>0</v>
      </c>
      <c r="S267" s="216">
        <v>0</v>
      </c>
      <c r="T267" s="216">
        <v>0</v>
      </c>
      <c r="U267" s="216">
        <v>0</v>
      </c>
      <c r="V267" s="216">
        <v>54</v>
      </c>
      <c r="W267" s="52"/>
      <c r="X267" s="216">
        <v>0</v>
      </c>
      <c r="Y267" s="216">
        <v>6</v>
      </c>
      <c r="Z267" s="216">
        <v>19</v>
      </c>
      <c r="AH267" s="46"/>
      <c r="AI267" s="46"/>
    </row>
    <row r="268" spans="1:35" x14ac:dyDescent="0.25">
      <c r="A268" s="31">
        <f>'M&amp;R Stations'!A253</f>
        <v>39212</v>
      </c>
      <c r="B268"/>
      <c r="C268" s="70">
        <f t="shared" si="25"/>
        <v>157</v>
      </c>
      <c r="D268" s="70">
        <f t="shared" si="26"/>
        <v>77</v>
      </c>
      <c r="E268" s="70">
        <f t="shared" si="27"/>
        <v>0</v>
      </c>
      <c r="F268" s="94">
        <f t="shared" si="28"/>
        <v>234</v>
      </c>
      <c r="G268" s="109">
        <f t="shared" si="29"/>
        <v>211</v>
      </c>
      <c r="H268" s="109">
        <f t="shared" si="30"/>
        <v>23</v>
      </c>
      <c r="J268" s="216">
        <v>120</v>
      </c>
      <c r="K268" s="216">
        <v>12</v>
      </c>
      <c r="L268" s="216">
        <v>3</v>
      </c>
      <c r="M268" s="216">
        <v>0</v>
      </c>
      <c r="N268" s="216">
        <v>22</v>
      </c>
      <c r="O268" s="216">
        <v>0</v>
      </c>
      <c r="P268" s="216">
        <v>0</v>
      </c>
      <c r="Q268" s="216">
        <v>0</v>
      </c>
      <c r="R268" s="216">
        <v>0</v>
      </c>
      <c r="S268" s="216">
        <v>0</v>
      </c>
      <c r="T268" s="216">
        <v>0</v>
      </c>
      <c r="U268" s="216">
        <v>0</v>
      </c>
      <c r="V268" s="216">
        <v>54</v>
      </c>
      <c r="W268" s="52"/>
      <c r="X268" s="216">
        <v>0</v>
      </c>
      <c r="Y268" s="216">
        <v>6</v>
      </c>
      <c r="Z268" s="216">
        <v>17</v>
      </c>
      <c r="AH268" s="46"/>
      <c r="AI268" s="46"/>
    </row>
    <row r="269" spans="1:35" x14ac:dyDescent="0.25">
      <c r="A269" s="31">
        <f>'M&amp;R Stations'!A254</f>
        <v>39213</v>
      </c>
      <c r="B269"/>
      <c r="C269" s="70">
        <f t="shared" si="25"/>
        <v>155</v>
      </c>
      <c r="D269" s="70">
        <f t="shared" si="26"/>
        <v>71</v>
      </c>
      <c r="E269" s="70">
        <f t="shared" si="27"/>
        <v>0</v>
      </c>
      <c r="F269" s="94">
        <f t="shared" si="28"/>
        <v>226</v>
      </c>
      <c r="G269" s="109">
        <f t="shared" si="29"/>
        <v>207</v>
      </c>
      <c r="H269" s="109">
        <f t="shared" si="30"/>
        <v>19</v>
      </c>
      <c r="J269" s="216">
        <v>119</v>
      </c>
      <c r="K269" s="216">
        <v>12</v>
      </c>
      <c r="L269" s="216">
        <v>3</v>
      </c>
      <c r="M269" s="216">
        <v>0</v>
      </c>
      <c r="N269" s="216">
        <v>21</v>
      </c>
      <c r="O269" s="216">
        <v>0</v>
      </c>
      <c r="P269" s="216">
        <v>0</v>
      </c>
      <c r="Q269" s="216">
        <v>0</v>
      </c>
      <c r="R269" s="216">
        <v>0</v>
      </c>
      <c r="S269" s="216">
        <v>0</v>
      </c>
      <c r="T269" s="216">
        <v>0</v>
      </c>
      <c r="U269" s="216">
        <v>0</v>
      </c>
      <c r="V269" s="216">
        <v>52</v>
      </c>
      <c r="W269" s="52"/>
      <c r="X269" s="216">
        <v>0</v>
      </c>
      <c r="Y269" s="216">
        <v>3</v>
      </c>
      <c r="Z269" s="216">
        <v>16</v>
      </c>
      <c r="AH269" s="46"/>
      <c r="AI269" s="46"/>
    </row>
    <row r="270" spans="1:35" x14ac:dyDescent="0.25">
      <c r="A270" s="31">
        <f>'M&amp;R Stations'!A255</f>
        <v>39214</v>
      </c>
      <c r="B270"/>
      <c r="C270" s="70">
        <f t="shared" si="25"/>
        <v>161</v>
      </c>
      <c r="D270" s="70">
        <f t="shared" si="26"/>
        <v>79</v>
      </c>
      <c r="E270" s="70">
        <f t="shared" si="27"/>
        <v>0</v>
      </c>
      <c r="F270" s="94">
        <f t="shared" si="28"/>
        <v>240</v>
      </c>
      <c r="G270" s="109">
        <f t="shared" si="29"/>
        <v>216</v>
      </c>
      <c r="H270" s="109">
        <f t="shared" si="30"/>
        <v>24</v>
      </c>
      <c r="J270" s="216">
        <v>125</v>
      </c>
      <c r="K270" s="216">
        <v>12</v>
      </c>
      <c r="L270" s="216">
        <v>2</v>
      </c>
      <c r="M270" s="216">
        <v>0</v>
      </c>
      <c r="N270" s="216">
        <v>22</v>
      </c>
      <c r="O270" s="216">
        <v>0</v>
      </c>
      <c r="P270" s="216">
        <v>0</v>
      </c>
      <c r="Q270" s="216">
        <v>0</v>
      </c>
      <c r="R270" s="216">
        <v>0</v>
      </c>
      <c r="S270" s="216">
        <v>0</v>
      </c>
      <c r="T270" s="216">
        <v>0</v>
      </c>
      <c r="U270" s="216">
        <v>0</v>
      </c>
      <c r="V270" s="216">
        <v>55</v>
      </c>
      <c r="W270" s="52"/>
      <c r="X270" s="216">
        <v>0</v>
      </c>
      <c r="Y270" s="216">
        <v>5</v>
      </c>
      <c r="Z270" s="216">
        <v>19</v>
      </c>
      <c r="AH270" s="46"/>
      <c r="AI270" s="46"/>
    </row>
    <row r="271" spans="1:35" x14ac:dyDescent="0.25">
      <c r="A271" s="31">
        <f>'M&amp;R Stations'!A256</f>
        <v>39215</v>
      </c>
      <c r="B271"/>
      <c r="C271" s="70">
        <f t="shared" si="25"/>
        <v>151</v>
      </c>
      <c r="D271" s="70">
        <f t="shared" si="26"/>
        <v>90</v>
      </c>
      <c r="E271" s="70">
        <f t="shared" si="27"/>
        <v>0</v>
      </c>
      <c r="F271" s="94">
        <f t="shared" si="28"/>
        <v>241</v>
      </c>
      <c r="G271" s="109">
        <f t="shared" si="29"/>
        <v>216</v>
      </c>
      <c r="H271" s="109">
        <f t="shared" si="30"/>
        <v>25</v>
      </c>
      <c r="J271" s="216">
        <v>116</v>
      </c>
      <c r="K271" s="216">
        <v>13</v>
      </c>
      <c r="L271" s="216">
        <v>2</v>
      </c>
      <c r="M271" s="216">
        <v>0</v>
      </c>
      <c r="N271" s="216">
        <v>20</v>
      </c>
      <c r="O271" s="216">
        <v>0</v>
      </c>
      <c r="P271" s="216">
        <v>0</v>
      </c>
      <c r="Q271" s="216">
        <v>0</v>
      </c>
      <c r="R271" s="216">
        <v>0</v>
      </c>
      <c r="S271" s="216">
        <v>0</v>
      </c>
      <c r="T271" s="216">
        <v>0</v>
      </c>
      <c r="U271" s="216">
        <v>0</v>
      </c>
      <c r="V271" s="216">
        <v>65</v>
      </c>
      <c r="W271" s="52"/>
      <c r="X271" s="216">
        <v>0</v>
      </c>
      <c r="Y271" s="216">
        <v>8</v>
      </c>
      <c r="Z271" s="216">
        <v>17</v>
      </c>
      <c r="AH271" s="46"/>
      <c r="AI271" s="46"/>
    </row>
    <row r="272" spans="1:35" x14ac:dyDescent="0.25">
      <c r="A272" s="31">
        <f>'M&amp;R Stations'!A257</f>
        <v>39216</v>
      </c>
      <c r="B272"/>
      <c r="C272" s="70">
        <f t="shared" si="25"/>
        <v>155</v>
      </c>
      <c r="D272" s="70">
        <f t="shared" si="26"/>
        <v>88</v>
      </c>
      <c r="E272" s="70">
        <f t="shared" si="27"/>
        <v>0</v>
      </c>
      <c r="F272" s="94">
        <f t="shared" si="28"/>
        <v>243</v>
      </c>
      <c r="G272" s="109">
        <f t="shared" si="29"/>
        <v>216</v>
      </c>
      <c r="H272" s="109">
        <f t="shared" si="30"/>
        <v>27</v>
      </c>
      <c r="J272" s="216">
        <v>118</v>
      </c>
      <c r="K272" s="216">
        <v>13</v>
      </c>
      <c r="L272" s="216">
        <v>2</v>
      </c>
      <c r="M272" s="216">
        <v>0</v>
      </c>
      <c r="N272" s="216">
        <v>22</v>
      </c>
      <c r="O272" s="216">
        <v>0</v>
      </c>
      <c r="P272" s="216">
        <v>0</v>
      </c>
      <c r="Q272" s="216">
        <v>0</v>
      </c>
      <c r="R272" s="216">
        <v>0</v>
      </c>
      <c r="S272" s="216">
        <v>0</v>
      </c>
      <c r="T272" s="216">
        <v>0</v>
      </c>
      <c r="U272" s="216">
        <v>0</v>
      </c>
      <c r="V272" s="216">
        <v>61</v>
      </c>
      <c r="W272" s="52"/>
      <c r="X272" s="216">
        <v>0</v>
      </c>
      <c r="Y272" s="216">
        <v>7</v>
      </c>
      <c r="Z272" s="216">
        <v>20</v>
      </c>
      <c r="AH272" s="46"/>
      <c r="AI272" s="46"/>
    </row>
    <row r="273" spans="1:35" x14ac:dyDescent="0.25">
      <c r="A273" s="31">
        <f>'M&amp;R Stations'!A258</f>
        <v>39217</v>
      </c>
      <c r="B273"/>
      <c r="C273" s="70">
        <f t="shared" si="25"/>
        <v>153</v>
      </c>
      <c r="D273" s="70">
        <f t="shared" si="26"/>
        <v>78</v>
      </c>
      <c r="E273" s="70">
        <f t="shared" si="27"/>
        <v>12</v>
      </c>
      <c r="F273" s="94">
        <f t="shared" si="28"/>
        <v>243</v>
      </c>
      <c r="G273" s="109">
        <f t="shared" si="29"/>
        <v>221</v>
      </c>
      <c r="H273" s="109">
        <f t="shared" si="30"/>
        <v>22</v>
      </c>
      <c r="J273" s="216">
        <v>114</v>
      </c>
      <c r="K273" s="216">
        <v>13</v>
      </c>
      <c r="L273" s="216">
        <v>4</v>
      </c>
      <c r="M273" s="216">
        <v>0</v>
      </c>
      <c r="N273" s="216">
        <v>22</v>
      </c>
      <c r="O273" s="216">
        <v>0</v>
      </c>
      <c r="P273" s="216">
        <v>0</v>
      </c>
      <c r="Q273" s="216">
        <v>0</v>
      </c>
      <c r="R273" s="216">
        <v>0</v>
      </c>
      <c r="S273" s="216">
        <v>0</v>
      </c>
      <c r="T273" s="216">
        <v>0</v>
      </c>
      <c r="U273" s="216">
        <v>12</v>
      </c>
      <c r="V273" s="216">
        <v>56</v>
      </c>
      <c r="W273" s="52"/>
      <c r="X273" s="216">
        <v>0</v>
      </c>
      <c r="Y273" s="216">
        <v>5</v>
      </c>
      <c r="Z273" s="216">
        <v>17</v>
      </c>
      <c r="AH273" s="46"/>
      <c r="AI273" s="46"/>
    </row>
    <row r="274" spans="1:35" x14ac:dyDescent="0.25">
      <c r="A274" s="31">
        <f>'M&amp;R Stations'!A259</f>
        <v>39218</v>
      </c>
      <c r="B274"/>
      <c r="C274" s="70">
        <f t="shared" si="25"/>
        <v>161</v>
      </c>
      <c r="D274" s="70">
        <f t="shared" si="26"/>
        <v>78</v>
      </c>
      <c r="E274" s="70">
        <f t="shared" si="27"/>
        <v>0</v>
      </c>
      <c r="F274" s="94">
        <f t="shared" si="28"/>
        <v>239</v>
      </c>
      <c r="G274" s="109">
        <f t="shared" si="29"/>
        <v>218</v>
      </c>
      <c r="H274" s="109">
        <f t="shared" si="30"/>
        <v>21</v>
      </c>
      <c r="J274" s="216">
        <v>123</v>
      </c>
      <c r="K274" s="216">
        <v>12</v>
      </c>
      <c r="L274" s="216">
        <v>4</v>
      </c>
      <c r="M274" s="216">
        <v>0</v>
      </c>
      <c r="N274" s="216">
        <v>22</v>
      </c>
      <c r="O274" s="216">
        <v>0</v>
      </c>
      <c r="P274" s="216">
        <v>0</v>
      </c>
      <c r="Q274" s="216">
        <v>0</v>
      </c>
      <c r="R274" s="216">
        <v>0</v>
      </c>
      <c r="S274" s="216">
        <v>0</v>
      </c>
      <c r="T274" s="216">
        <v>0</v>
      </c>
      <c r="U274" s="216">
        <v>0</v>
      </c>
      <c r="V274" s="216">
        <v>57</v>
      </c>
      <c r="W274" s="52"/>
      <c r="X274" s="216">
        <v>0</v>
      </c>
      <c r="Y274" s="216">
        <v>5</v>
      </c>
      <c r="Z274" s="216">
        <v>16</v>
      </c>
      <c r="AH274" s="46"/>
      <c r="AI274" s="46"/>
    </row>
    <row r="275" spans="1:35" x14ac:dyDescent="0.25">
      <c r="A275" s="31">
        <f>'M&amp;R Stations'!A260</f>
        <v>39219</v>
      </c>
      <c r="B275"/>
      <c r="C275" s="70">
        <f t="shared" si="25"/>
        <v>160</v>
      </c>
      <c r="D275" s="70">
        <f t="shared" si="26"/>
        <v>86</v>
      </c>
      <c r="E275" s="70">
        <f t="shared" si="27"/>
        <v>9</v>
      </c>
      <c r="F275" s="94">
        <f t="shared" si="28"/>
        <v>255</v>
      </c>
      <c r="G275" s="109">
        <f t="shared" si="29"/>
        <v>230</v>
      </c>
      <c r="H275" s="109">
        <f t="shared" si="30"/>
        <v>25</v>
      </c>
      <c r="J275" s="216">
        <v>123</v>
      </c>
      <c r="K275" s="216">
        <v>12</v>
      </c>
      <c r="L275" s="216">
        <v>3</v>
      </c>
      <c r="M275" s="216">
        <v>0</v>
      </c>
      <c r="N275" s="216">
        <v>22</v>
      </c>
      <c r="O275" s="216">
        <v>0</v>
      </c>
      <c r="P275" s="216">
        <v>0</v>
      </c>
      <c r="Q275" s="216">
        <v>0</v>
      </c>
      <c r="R275" s="216">
        <v>0</v>
      </c>
      <c r="S275" s="216">
        <v>0</v>
      </c>
      <c r="T275" s="216">
        <v>0</v>
      </c>
      <c r="U275" s="216">
        <v>9</v>
      </c>
      <c r="V275" s="216">
        <v>61</v>
      </c>
      <c r="W275" s="52"/>
      <c r="X275" s="216">
        <v>0</v>
      </c>
      <c r="Y275" s="216">
        <v>3</v>
      </c>
      <c r="Z275" s="216">
        <v>22</v>
      </c>
      <c r="AH275" s="46"/>
      <c r="AI275" s="46"/>
    </row>
    <row r="276" spans="1:35" x14ac:dyDescent="0.25">
      <c r="A276" s="31">
        <f>'M&amp;R Stations'!A261</f>
        <v>39220</v>
      </c>
      <c r="B276"/>
      <c r="C276" s="70">
        <f t="shared" si="25"/>
        <v>154</v>
      </c>
      <c r="D276" s="70">
        <f t="shared" si="26"/>
        <v>101</v>
      </c>
      <c r="E276" s="70">
        <f t="shared" si="27"/>
        <v>0</v>
      </c>
      <c r="F276" s="94">
        <f t="shared" si="28"/>
        <v>255</v>
      </c>
      <c r="G276" s="109">
        <f t="shared" si="29"/>
        <v>215</v>
      </c>
      <c r="H276" s="109">
        <f t="shared" si="30"/>
        <v>40</v>
      </c>
      <c r="J276" s="216">
        <v>115</v>
      </c>
      <c r="K276" s="216">
        <v>13</v>
      </c>
      <c r="L276" s="216">
        <v>3</v>
      </c>
      <c r="M276" s="216">
        <v>0</v>
      </c>
      <c r="N276" s="216">
        <v>23</v>
      </c>
      <c r="O276" s="216">
        <v>0</v>
      </c>
      <c r="P276" s="216">
        <v>0</v>
      </c>
      <c r="Q276" s="216">
        <v>0</v>
      </c>
      <c r="R276" s="216">
        <v>0</v>
      </c>
      <c r="S276" s="216">
        <v>0</v>
      </c>
      <c r="T276" s="216">
        <v>0</v>
      </c>
      <c r="U276" s="216">
        <v>0</v>
      </c>
      <c r="V276" s="216">
        <v>61</v>
      </c>
      <c r="W276" s="52"/>
      <c r="X276" s="216">
        <v>0</v>
      </c>
      <c r="Y276" s="216">
        <v>18</v>
      </c>
      <c r="Z276" s="216">
        <v>22</v>
      </c>
      <c r="AH276" s="46"/>
      <c r="AI276" s="46"/>
    </row>
    <row r="277" spans="1:35" x14ac:dyDescent="0.25">
      <c r="A277" s="31">
        <f>'M&amp;R Stations'!A262</f>
        <v>39221</v>
      </c>
      <c r="B277"/>
      <c r="C277" s="70">
        <f t="shared" si="25"/>
        <v>159</v>
      </c>
      <c r="D277" s="70">
        <f t="shared" si="26"/>
        <v>83</v>
      </c>
      <c r="E277" s="70">
        <f t="shared" si="27"/>
        <v>1</v>
      </c>
      <c r="F277" s="94">
        <f t="shared" si="28"/>
        <v>243</v>
      </c>
      <c r="G277" s="109">
        <f t="shared" si="29"/>
        <v>216</v>
      </c>
      <c r="H277" s="109">
        <f t="shared" si="30"/>
        <v>27</v>
      </c>
      <c r="J277" s="216">
        <v>120</v>
      </c>
      <c r="K277" s="216">
        <v>14</v>
      </c>
      <c r="L277" s="216">
        <v>4</v>
      </c>
      <c r="M277" s="216">
        <v>0</v>
      </c>
      <c r="N277" s="216">
        <v>21</v>
      </c>
      <c r="O277" s="216">
        <v>0</v>
      </c>
      <c r="P277" s="216">
        <v>0</v>
      </c>
      <c r="Q277" s="216">
        <v>0</v>
      </c>
      <c r="R277" s="216">
        <v>0</v>
      </c>
      <c r="S277" s="216">
        <v>0</v>
      </c>
      <c r="T277" s="216">
        <v>0</v>
      </c>
      <c r="U277" s="216">
        <v>1</v>
      </c>
      <c r="V277" s="216">
        <v>56</v>
      </c>
      <c r="W277" s="52"/>
      <c r="X277" s="216">
        <v>0</v>
      </c>
      <c r="Y277" s="216">
        <v>9</v>
      </c>
      <c r="Z277" s="216">
        <v>18</v>
      </c>
      <c r="AH277" s="46"/>
      <c r="AI277" s="46"/>
    </row>
    <row r="278" spans="1:35" x14ac:dyDescent="0.25">
      <c r="A278" s="31">
        <f>'M&amp;R Stations'!A263</f>
        <v>39222</v>
      </c>
      <c r="B278"/>
      <c r="C278" s="70">
        <f t="shared" si="25"/>
        <v>236</v>
      </c>
      <c r="D278" s="70">
        <f t="shared" si="26"/>
        <v>78</v>
      </c>
      <c r="E278" s="70">
        <f t="shared" si="27"/>
        <v>0</v>
      </c>
      <c r="F278" s="94">
        <f t="shared" si="28"/>
        <v>314</v>
      </c>
      <c r="G278" s="109">
        <f t="shared" si="29"/>
        <v>288</v>
      </c>
      <c r="H278" s="109">
        <f t="shared" si="30"/>
        <v>26</v>
      </c>
      <c r="J278" s="216">
        <v>115</v>
      </c>
      <c r="K278" s="216">
        <v>14</v>
      </c>
      <c r="L278" s="216">
        <v>0</v>
      </c>
      <c r="M278" s="216">
        <v>0</v>
      </c>
      <c r="N278" s="216">
        <v>22</v>
      </c>
      <c r="O278" s="216">
        <v>0</v>
      </c>
      <c r="P278" s="216">
        <v>85</v>
      </c>
      <c r="Q278" s="216">
        <v>0</v>
      </c>
      <c r="R278" s="216">
        <v>0</v>
      </c>
      <c r="S278" s="216">
        <v>0</v>
      </c>
      <c r="T278" s="216">
        <v>0</v>
      </c>
      <c r="U278" s="216">
        <v>0</v>
      </c>
      <c r="V278" s="216">
        <v>52</v>
      </c>
      <c r="W278" s="52"/>
      <c r="X278" s="216">
        <v>0</v>
      </c>
      <c r="Y278" s="216">
        <v>9</v>
      </c>
      <c r="Z278" s="216">
        <v>17</v>
      </c>
      <c r="AH278" s="46"/>
      <c r="AI278" s="46"/>
    </row>
    <row r="279" spans="1:35" x14ac:dyDescent="0.25">
      <c r="A279" s="31">
        <f>'M&amp;R Stations'!A264</f>
        <v>39223</v>
      </c>
      <c r="B279"/>
      <c r="C279" s="70">
        <f t="shared" si="25"/>
        <v>183</v>
      </c>
      <c r="D279" s="70">
        <f t="shared" si="26"/>
        <v>78</v>
      </c>
      <c r="E279" s="70">
        <f t="shared" si="27"/>
        <v>0</v>
      </c>
      <c r="F279" s="94">
        <f t="shared" si="28"/>
        <v>261</v>
      </c>
      <c r="G279" s="109">
        <f t="shared" si="29"/>
        <v>238</v>
      </c>
      <c r="H279" s="109">
        <f t="shared" si="30"/>
        <v>23</v>
      </c>
      <c r="J279" s="216">
        <v>115</v>
      </c>
      <c r="K279" s="216">
        <v>12</v>
      </c>
      <c r="L279" s="216">
        <v>0</v>
      </c>
      <c r="M279" s="216">
        <v>0</v>
      </c>
      <c r="N279" s="216">
        <v>22</v>
      </c>
      <c r="O279" s="216">
        <v>0</v>
      </c>
      <c r="P279" s="216">
        <v>34</v>
      </c>
      <c r="Q279" s="216">
        <v>0</v>
      </c>
      <c r="R279" s="216">
        <v>0</v>
      </c>
      <c r="S279" s="216">
        <v>0</v>
      </c>
      <c r="T279" s="216">
        <v>0</v>
      </c>
      <c r="U279" s="216">
        <v>0</v>
      </c>
      <c r="V279" s="216">
        <v>55</v>
      </c>
      <c r="W279" s="52"/>
      <c r="X279" s="216">
        <v>0</v>
      </c>
      <c r="Y279" s="216">
        <v>8</v>
      </c>
      <c r="Z279" s="216">
        <v>15</v>
      </c>
      <c r="AH279" s="46"/>
      <c r="AI279" s="46"/>
    </row>
    <row r="280" spans="1:35" x14ac:dyDescent="0.25">
      <c r="A280" s="31">
        <f>'M&amp;R Stations'!A265</f>
        <v>39224</v>
      </c>
      <c r="B280"/>
      <c r="C280" s="70">
        <f t="shared" si="25"/>
        <v>178</v>
      </c>
      <c r="D280" s="70">
        <f t="shared" si="26"/>
        <v>69</v>
      </c>
      <c r="E280" s="70">
        <f t="shared" si="27"/>
        <v>0</v>
      </c>
      <c r="F280" s="94">
        <f t="shared" si="28"/>
        <v>247</v>
      </c>
      <c r="G280" s="109">
        <f t="shared" si="29"/>
        <v>235</v>
      </c>
      <c r="H280" s="109">
        <f t="shared" si="30"/>
        <v>12</v>
      </c>
      <c r="J280" s="216">
        <v>115</v>
      </c>
      <c r="K280" s="216">
        <v>13</v>
      </c>
      <c r="L280" s="216">
        <v>0</v>
      </c>
      <c r="M280" s="216">
        <v>0</v>
      </c>
      <c r="N280" s="216">
        <v>22</v>
      </c>
      <c r="O280" s="216">
        <v>0</v>
      </c>
      <c r="P280" s="216">
        <v>28</v>
      </c>
      <c r="Q280" s="216">
        <v>0</v>
      </c>
      <c r="R280" s="216">
        <v>0</v>
      </c>
      <c r="S280" s="216">
        <v>0</v>
      </c>
      <c r="T280" s="216">
        <v>0</v>
      </c>
      <c r="U280" s="216">
        <v>0</v>
      </c>
      <c r="V280" s="216">
        <v>57</v>
      </c>
      <c r="W280" s="52"/>
      <c r="X280" s="216">
        <v>0</v>
      </c>
      <c r="Y280" s="216">
        <v>3</v>
      </c>
      <c r="Z280" s="216">
        <v>9</v>
      </c>
      <c r="AH280" s="46"/>
      <c r="AI280" s="46"/>
    </row>
    <row r="281" spans="1:35" x14ac:dyDescent="0.25">
      <c r="A281" s="31">
        <f>'M&amp;R Stations'!A266</f>
        <v>39225</v>
      </c>
      <c r="B281"/>
      <c r="C281" s="70">
        <f t="shared" si="25"/>
        <v>172</v>
      </c>
      <c r="D281" s="70">
        <f t="shared" si="26"/>
        <v>70</v>
      </c>
      <c r="E281" s="70">
        <f t="shared" si="27"/>
        <v>0</v>
      </c>
      <c r="F281" s="94">
        <f t="shared" si="28"/>
        <v>242</v>
      </c>
      <c r="G281" s="109">
        <f t="shared" si="29"/>
        <v>228</v>
      </c>
      <c r="H281" s="109">
        <f t="shared" si="30"/>
        <v>14</v>
      </c>
      <c r="J281" s="216">
        <v>117</v>
      </c>
      <c r="K281" s="216">
        <v>12</v>
      </c>
      <c r="L281" s="216">
        <v>0</v>
      </c>
      <c r="M281" s="216">
        <v>0</v>
      </c>
      <c r="N281" s="216">
        <v>22</v>
      </c>
      <c r="O281" s="216">
        <v>0</v>
      </c>
      <c r="P281" s="216">
        <v>21</v>
      </c>
      <c r="Q281" s="216">
        <v>0</v>
      </c>
      <c r="R281" s="216">
        <v>0</v>
      </c>
      <c r="S281" s="216">
        <v>0</v>
      </c>
      <c r="T281" s="216">
        <v>0</v>
      </c>
      <c r="U281" s="216">
        <v>0</v>
      </c>
      <c r="V281" s="216">
        <v>56</v>
      </c>
      <c r="W281" s="52"/>
      <c r="X281" s="216">
        <v>0</v>
      </c>
      <c r="Y281" s="216">
        <v>4</v>
      </c>
      <c r="Z281" s="216">
        <v>10</v>
      </c>
      <c r="AA281" s="11">
        <v>2</v>
      </c>
      <c r="AH281" s="46"/>
      <c r="AI281" s="46"/>
    </row>
    <row r="282" spans="1:35" x14ac:dyDescent="0.25">
      <c r="A282" s="31">
        <f>'M&amp;R Stations'!A267</f>
        <v>39226</v>
      </c>
      <c r="B282"/>
      <c r="C282" s="70">
        <f t="shared" si="25"/>
        <v>177</v>
      </c>
      <c r="D282" s="70">
        <f t="shared" si="26"/>
        <v>65</v>
      </c>
      <c r="E282" s="70">
        <f t="shared" si="27"/>
        <v>0</v>
      </c>
      <c r="F282" s="94">
        <f t="shared" si="28"/>
        <v>242</v>
      </c>
      <c r="G282" s="109">
        <f t="shared" si="29"/>
        <v>229</v>
      </c>
      <c r="H282" s="109">
        <f t="shared" si="30"/>
        <v>13</v>
      </c>
      <c r="J282" s="216">
        <v>115</v>
      </c>
      <c r="K282" s="216">
        <v>13</v>
      </c>
      <c r="L282" s="216">
        <v>0</v>
      </c>
      <c r="M282" s="216">
        <v>0</v>
      </c>
      <c r="N282" s="216">
        <v>22</v>
      </c>
      <c r="O282" s="216">
        <v>0</v>
      </c>
      <c r="P282" s="216">
        <v>27</v>
      </c>
      <c r="Q282" s="216">
        <v>0</v>
      </c>
      <c r="R282" s="216">
        <v>0</v>
      </c>
      <c r="S282" s="216">
        <v>0</v>
      </c>
      <c r="T282" s="216">
        <v>0</v>
      </c>
      <c r="U282" s="216">
        <v>0</v>
      </c>
      <c r="V282" s="216">
        <v>52</v>
      </c>
      <c r="W282" s="52"/>
      <c r="X282" s="216">
        <v>0</v>
      </c>
      <c r="Y282" s="216">
        <v>3</v>
      </c>
      <c r="Z282" s="216">
        <v>10</v>
      </c>
      <c r="AH282" s="46"/>
      <c r="AI282" s="46"/>
    </row>
    <row r="283" spans="1:35" x14ac:dyDescent="0.25">
      <c r="A283" s="31">
        <f>'M&amp;R Stations'!A268</f>
        <v>39227</v>
      </c>
      <c r="B283"/>
      <c r="C283" s="70">
        <f t="shared" si="25"/>
        <v>170</v>
      </c>
      <c r="D283" s="70">
        <f t="shared" si="26"/>
        <v>58</v>
      </c>
      <c r="E283" s="70">
        <f t="shared" si="27"/>
        <v>0</v>
      </c>
      <c r="F283" s="94">
        <f t="shared" si="28"/>
        <v>228</v>
      </c>
      <c r="G283" s="109">
        <f t="shared" si="29"/>
        <v>217</v>
      </c>
      <c r="H283" s="109">
        <f t="shared" si="30"/>
        <v>11</v>
      </c>
      <c r="J283" s="216">
        <v>123</v>
      </c>
      <c r="K283" s="216">
        <v>12</v>
      </c>
      <c r="L283" s="216">
        <v>5</v>
      </c>
      <c r="M283" s="216">
        <v>0</v>
      </c>
      <c r="N283" s="216">
        <v>21</v>
      </c>
      <c r="O283" s="216">
        <v>0</v>
      </c>
      <c r="P283" s="216">
        <v>9</v>
      </c>
      <c r="Q283" s="216">
        <v>0</v>
      </c>
      <c r="R283" s="216">
        <v>0</v>
      </c>
      <c r="S283" s="216">
        <v>0</v>
      </c>
      <c r="T283" s="216">
        <v>0</v>
      </c>
      <c r="U283" s="216">
        <v>0</v>
      </c>
      <c r="V283" s="216">
        <v>47</v>
      </c>
      <c r="W283" s="52"/>
      <c r="X283" s="216">
        <v>0</v>
      </c>
      <c r="Y283" s="216">
        <v>3</v>
      </c>
      <c r="Z283" s="216">
        <v>8</v>
      </c>
      <c r="AH283" s="46"/>
      <c r="AI283" s="46"/>
    </row>
    <row r="284" spans="1:35" x14ac:dyDescent="0.25">
      <c r="A284" s="31">
        <f>'M&amp;R Stations'!A269</f>
        <v>39228</v>
      </c>
      <c r="B284"/>
      <c r="C284" s="70">
        <f t="shared" si="25"/>
        <v>144</v>
      </c>
      <c r="D284" s="70">
        <f t="shared" si="26"/>
        <v>56</v>
      </c>
      <c r="E284" s="70">
        <f t="shared" si="27"/>
        <v>0</v>
      </c>
      <c r="F284" s="94">
        <f t="shared" si="28"/>
        <v>200</v>
      </c>
      <c r="G284" s="109">
        <f t="shared" si="29"/>
        <v>188</v>
      </c>
      <c r="H284" s="109">
        <f t="shared" si="30"/>
        <v>12</v>
      </c>
      <c r="J284" s="216">
        <v>110</v>
      </c>
      <c r="K284" s="216">
        <v>12</v>
      </c>
      <c r="L284" s="216">
        <v>3</v>
      </c>
      <c r="M284" s="216">
        <v>0</v>
      </c>
      <c r="N284" s="216">
        <v>19</v>
      </c>
      <c r="O284" s="216">
        <v>0</v>
      </c>
      <c r="P284" s="216">
        <v>0</v>
      </c>
      <c r="Q284" s="216">
        <v>0</v>
      </c>
      <c r="R284" s="216">
        <v>0</v>
      </c>
      <c r="S284" s="216">
        <v>0</v>
      </c>
      <c r="T284" s="216">
        <v>0</v>
      </c>
      <c r="U284" s="216">
        <v>0</v>
      </c>
      <c r="V284" s="216">
        <v>44</v>
      </c>
      <c r="W284" s="52"/>
      <c r="X284" s="216">
        <v>0</v>
      </c>
      <c r="Y284" s="216">
        <v>2</v>
      </c>
      <c r="Z284" s="216">
        <v>10</v>
      </c>
      <c r="AH284" s="46"/>
      <c r="AI284" s="46"/>
    </row>
    <row r="285" spans="1:35" x14ac:dyDescent="0.25">
      <c r="A285" s="31">
        <f>'M&amp;R Stations'!A270</f>
        <v>39229</v>
      </c>
      <c r="B285"/>
      <c r="C285" s="70">
        <f t="shared" si="25"/>
        <v>151</v>
      </c>
      <c r="D285" s="70">
        <f t="shared" si="26"/>
        <v>53</v>
      </c>
      <c r="E285" s="70">
        <f t="shared" si="27"/>
        <v>0</v>
      </c>
      <c r="F285" s="94">
        <f t="shared" si="28"/>
        <v>204</v>
      </c>
      <c r="G285" s="109">
        <f t="shared" si="29"/>
        <v>193</v>
      </c>
      <c r="H285" s="109">
        <f t="shared" si="30"/>
        <v>11</v>
      </c>
      <c r="J285" s="216">
        <v>115</v>
      </c>
      <c r="K285" s="216">
        <v>12</v>
      </c>
      <c r="L285" s="216">
        <v>3</v>
      </c>
      <c r="M285" s="216">
        <v>0</v>
      </c>
      <c r="N285" s="216">
        <v>21</v>
      </c>
      <c r="O285" s="216">
        <v>0</v>
      </c>
      <c r="P285" s="216">
        <v>0</v>
      </c>
      <c r="Q285" s="216">
        <v>0</v>
      </c>
      <c r="R285" s="216">
        <v>0</v>
      </c>
      <c r="S285" s="216">
        <v>0</v>
      </c>
      <c r="T285" s="216">
        <v>0</v>
      </c>
      <c r="U285" s="216">
        <v>0</v>
      </c>
      <c r="V285" s="216">
        <v>42</v>
      </c>
      <c r="W285" s="52"/>
      <c r="X285" s="216">
        <v>0</v>
      </c>
      <c r="Y285" s="216">
        <v>2</v>
      </c>
      <c r="Z285" s="216">
        <v>9</v>
      </c>
      <c r="AH285" s="46"/>
      <c r="AI285" s="46"/>
    </row>
    <row r="286" spans="1:35" x14ac:dyDescent="0.25">
      <c r="A286" s="31">
        <f>'M&amp;R Stations'!A271</f>
        <v>39230</v>
      </c>
      <c r="B286"/>
      <c r="C286" s="70">
        <f t="shared" si="25"/>
        <v>133</v>
      </c>
      <c r="D286" s="70">
        <f t="shared" si="26"/>
        <v>61</v>
      </c>
      <c r="E286" s="70">
        <f t="shared" si="27"/>
        <v>0</v>
      </c>
      <c r="F286" s="94">
        <f t="shared" si="28"/>
        <v>194</v>
      </c>
      <c r="G286" s="109">
        <f t="shared" si="29"/>
        <v>181</v>
      </c>
      <c r="H286" s="109">
        <f t="shared" si="30"/>
        <v>13</v>
      </c>
      <c r="J286" s="216">
        <v>111</v>
      </c>
      <c r="K286" s="216">
        <v>12</v>
      </c>
      <c r="L286" s="216">
        <v>2</v>
      </c>
      <c r="M286" s="216">
        <v>0</v>
      </c>
      <c r="N286" s="216">
        <v>0</v>
      </c>
      <c r="O286" s="216">
        <v>8</v>
      </c>
      <c r="P286" s="216">
        <v>0</v>
      </c>
      <c r="Q286" s="216">
        <v>0</v>
      </c>
      <c r="R286" s="216">
        <v>0</v>
      </c>
      <c r="S286" s="216">
        <v>0</v>
      </c>
      <c r="T286" s="216">
        <v>0</v>
      </c>
      <c r="U286" s="216">
        <v>0</v>
      </c>
      <c r="V286" s="216">
        <v>48</v>
      </c>
      <c r="W286" s="52"/>
      <c r="X286" s="216">
        <v>0</v>
      </c>
      <c r="Y286" s="216">
        <v>2</v>
      </c>
      <c r="Z286" s="216">
        <v>11</v>
      </c>
      <c r="AH286" s="46"/>
      <c r="AI286" s="46"/>
    </row>
    <row r="287" spans="1:35" x14ac:dyDescent="0.25">
      <c r="A287" s="31">
        <f>'M&amp;R Stations'!A272</f>
        <v>39231</v>
      </c>
      <c r="B287"/>
      <c r="C287" s="70">
        <f t="shared" si="25"/>
        <v>161</v>
      </c>
      <c r="D287" s="70">
        <f t="shared" si="26"/>
        <v>65</v>
      </c>
      <c r="E287" s="70">
        <f t="shared" si="27"/>
        <v>7</v>
      </c>
      <c r="F287" s="94">
        <f t="shared" si="28"/>
        <v>233</v>
      </c>
      <c r="G287" s="109">
        <f t="shared" si="29"/>
        <v>217</v>
      </c>
      <c r="H287" s="109">
        <f t="shared" si="30"/>
        <v>16</v>
      </c>
      <c r="J287" s="216">
        <v>111</v>
      </c>
      <c r="K287" s="216">
        <v>11</v>
      </c>
      <c r="L287" s="216">
        <v>3</v>
      </c>
      <c r="M287" s="216">
        <v>0</v>
      </c>
      <c r="N287" s="216">
        <v>17</v>
      </c>
      <c r="O287" s="216">
        <v>19</v>
      </c>
      <c r="P287" s="216">
        <v>0</v>
      </c>
      <c r="Q287" s="216">
        <v>0</v>
      </c>
      <c r="R287" s="216">
        <v>0</v>
      </c>
      <c r="S287" s="216">
        <v>0</v>
      </c>
      <c r="T287" s="216">
        <v>0</v>
      </c>
      <c r="U287" s="216">
        <v>7</v>
      </c>
      <c r="V287" s="216">
        <v>49</v>
      </c>
      <c r="W287" s="52"/>
      <c r="X287" s="216">
        <v>0</v>
      </c>
      <c r="Y287" s="216">
        <v>5</v>
      </c>
      <c r="Z287" s="216">
        <v>11</v>
      </c>
      <c r="AH287" s="46"/>
      <c r="AI287" s="46"/>
    </row>
    <row r="288" spans="1:35" x14ac:dyDescent="0.25">
      <c r="A288" s="31">
        <f>'M&amp;R Stations'!A273</f>
        <v>39232</v>
      </c>
      <c r="B288"/>
      <c r="C288" s="70">
        <f t="shared" si="25"/>
        <v>148</v>
      </c>
      <c r="D288" s="70">
        <f t="shared" si="26"/>
        <v>60</v>
      </c>
      <c r="E288" s="70">
        <f t="shared" si="27"/>
        <v>15</v>
      </c>
      <c r="F288" s="94">
        <f t="shared" si="28"/>
        <v>223</v>
      </c>
      <c r="G288" s="109">
        <f t="shared" si="29"/>
        <v>212</v>
      </c>
      <c r="H288" s="109">
        <f t="shared" si="30"/>
        <v>11</v>
      </c>
      <c r="J288" s="216">
        <v>112</v>
      </c>
      <c r="K288" s="216">
        <v>12</v>
      </c>
      <c r="L288" s="216">
        <v>3</v>
      </c>
      <c r="M288" s="216">
        <v>0</v>
      </c>
      <c r="N288" s="216">
        <v>21</v>
      </c>
      <c r="O288" s="216">
        <v>0</v>
      </c>
      <c r="P288" s="216">
        <v>0</v>
      </c>
      <c r="Q288" s="216">
        <v>0</v>
      </c>
      <c r="R288" s="216">
        <v>0</v>
      </c>
      <c r="S288" s="216">
        <v>0</v>
      </c>
      <c r="T288" s="216">
        <v>0</v>
      </c>
      <c r="U288" s="216">
        <v>15</v>
      </c>
      <c r="V288" s="216">
        <v>49</v>
      </c>
      <c r="W288" s="52"/>
      <c r="X288" s="216">
        <v>0</v>
      </c>
      <c r="Y288" s="216">
        <v>2</v>
      </c>
      <c r="Z288" s="216">
        <v>9</v>
      </c>
      <c r="AH288" s="46"/>
      <c r="AI288" s="46"/>
    </row>
    <row r="289" spans="1:35" x14ac:dyDescent="0.25">
      <c r="A289" s="31">
        <f>'M&amp;R Stations'!A274</f>
        <v>39233</v>
      </c>
      <c r="B289"/>
      <c r="C289" s="70">
        <f t="shared" si="25"/>
        <v>149</v>
      </c>
      <c r="D289" s="70">
        <f t="shared" si="26"/>
        <v>58</v>
      </c>
      <c r="E289" s="70">
        <f t="shared" si="27"/>
        <v>3</v>
      </c>
      <c r="F289" s="94">
        <f t="shared" si="28"/>
        <v>210</v>
      </c>
      <c r="G289" s="109">
        <f t="shared" si="29"/>
        <v>203</v>
      </c>
      <c r="H289" s="109">
        <f t="shared" si="30"/>
        <v>7</v>
      </c>
      <c r="J289" s="216">
        <v>109</v>
      </c>
      <c r="K289" s="216">
        <v>12</v>
      </c>
      <c r="L289" s="216">
        <v>3</v>
      </c>
      <c r="M289" s="216">
        <v>0</v>
      </c>
      <c r="N289" s="216">
        <v>8</v>
      </c>
      <c r="O289" s="216">
        <v>17</v>
      </c>
      <c r="P289" s="216">
        <v>0</v>
      </c>
      <c r="Q289" s="216">
        <v>0</v>
      </c>
      <c r="R289" s="216">
        <v>0</v>
      </c>
      <c r="S289" s="216">
        <v>0</v>
      </c>
      <c r="T289" s="216">
        <v>0</v>
      </c>
      <c r="U289" s="216">
        <v>3</v>
      </c>
      <c r="V289" s="216">
        <v>51</v>
      </c>
      <c r="W289" s="52"/>
      <c r="X289" s="216">
        <v>0</v>
      </c>
      <c r="Y289" s="216">
        <v>2</v>
      </c>
      <c r="Z289" s="216">
        <v>5</v>
      </c>
      <c r="AH289" s="46"/>
      <c r="AI289" s="46"/>
    </row>
    <row r="290" spans="1:35" x14ac:dyDescent="0.25">
      <c r="A290" s="96"/>
      <c r="B290" s="97"/>
      <c r="C290" s="98"/>
      <c r="D290" s="98"/>
      <c r="E290" s="98"/>
      <c r="F290" s="98"/>
      <c r="G290" s="98" t="str">
        <f t="shared" si="29"/>
        <v/>
      </c>
      <c r="H290" s="98" t="str">
        <f t="shared" si="30"/>
        <v/>
      </c>
      <c r="J290" s="95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255"/>
      <c r="X290" s="98"/>
      <c r="Y290" s="98"/>
      <c r="Z290" s="98"/>
      <c r="AH290" s="46"/>
      <c r="AI290" s="46"/>
    </row>
    <row r="291" spans="1:35" x14ac:dyDescent="0.25">
      <c r="A291" s="31">
        <f>'M&amp;R Stations'!A275</f>
        <v>39234</v>
      </c>
      <c r="B291"/>
      <c r="C291" s="70">
        <f t="shared" si="25"/>
        <v>148</v>
      </c>
      <c r="D291" s="70">
        <f t="shared" si="26"/>
        <v>54</v>
      </c>
      <c r="E291" s="70">
        <f t="shared" si="27"/>
        <v>16</v>
      </c>
      <c r="F291" s="94">
        <f t="shared" si="28"/>
        <v>218</v>
      </c>
      <c r="G291" s="109">
        <f t="shared" si="29"/>
        <v>210</v>
      </c>
      <c r="H291" s="109">
        <f t="shared" si="30"/>
        <v>8</v>
      </c>
      <c r="J291" s="216">
        <v>107</v>
      </c>
      <c r="K291" s="216">
        <v>18</v>
      </c>
      <c r="L291" s="216">
        <v>3</v>
      </c>
      <c r="M291" s="216">
        <v>0</v>
      </c>
      <c r="N291" s="216">
        <v>3</v>
      </c>
      <c r="O291" s="216">
        <v>17</v>
      </c>
      <c r="P291" s="216">
        <v>0</v>
      </c>
      <c r="Q291" s="216">
        <v>0</v>
      </c>
      <c r="R291" s="216">
        <v>0</v>
      </c>
      <c r="S291" s="216">
        <v>0</v>
      </c>
      <c r="T291" s="216">
        <v>0</v>
      </c>
      <c r="U291" s="216">
        <v>16</v>
      </c>
      <c r="V291" s="216">
        <v>46</v>
      </c>
      <c r="W291" s="52"/>
      <c r="X291" s="216">
        <v>0</v>
      </c>
      <c r="Y291" s="216">
        <v>1</v>
      </c>
      <c r="Z291" s="216">
        <v>7</v>
      </c>
      <c r="AH291" s="46"/>
      <c r="AI291" s="46"/>
    </row>
    <row r="292" spans="1:35" x14ac:dyDescent="0.25">
      <c r="A292" s="31">
        <f>'M&amp;R Stations'!A276</f>
        <v>39235</v>
      </c>
      <c r="B292"/>
      <c r="C292" s="70">
        <f t="shared" si="25"/>
        <v>134</v>
      </c>
      <c r="D292" s="70">
        <f t="shared" si="26"/>
        <v>51</v>
      </c>
      <c r="E292" s="70">
        <f t="shared" si="27"/>
        <v>16</v>
      </c>
      <c r="F292" s="94">
        <f t="shared" si="28"/>
        <v>201</v>
      </c>
      <c r="G292" s="109">
        <f t="shared" si="29"/>
        <v>193</v>
      </c>
      <c r="H292" s="109">
        <f t="shared" si="30"/>
        <v>8</v>
      </c>
      <c r="J292" s="216">
        <v>104</v>
      </c>
      <c r="K292" s="216">
        <v>11</v>
      </c>
      <c r="L292" s="216">
        <v>3</v>
      </c>
      <c r="M292" s="216">
        <v>0</v>
      </c>
      <c r="N292" s="216">
        <v>6</v>
      </c>
      <c r="O292" s="216">
        <v>10</v>
      </c>
      <c r="P292" s="216">
        <v>0</v>
      </c>
      <c r="Q292" s="216">
        <v>0</v>
      </c>
      <c r="R292" s="216">
        <v>0</v>
      </c>
      <c r="S292" s="216">
        <v>0</v>
      </c>
      <c r="T292" s="216">
        <v>0</v>
      </c>
      <c r="U292" s="216">
        <v>16</v>
      </c>
      <c r="V292" s="216">
        <v>43</v>
      </c>
      <c r="W292" s="52"/>
      <c r="X292" s="216">
        <v>0</v>
      </c>
      <c r="Y292" s="216">
        <v>2</v>
      </c>
      <c r="Z292" s="216">
        <v>6</v>
      </c>
      <c r="AH292" s="46"/>
      <c r="AI292" s="46"/>
    </row>
    <row r="293" spans="1:35" x14ac:dyDescent="0.25">
      <c r="A293" s="31">
        <f>'M&amp;R Stations'!A277</f>
        <v>39236</v>
      </c>
      <c r="B293"/>
      <c r="C293" s="70">
        <f t="shared" si="25"/>
        <v>139</v>
      </c>
      <c r="D293" s="70">
        <f t="shared" si="26"/>
        <v>56</v>
      </c>
      <c r="E293" s="70">
        <f t="shared" si="27"/>
        <v>0</v>
      </c>
      <c r="F293" s="94">
        <f t="shared" si="28"/>
        <v>195</v>
      </c>
      <c r="G293" s="109">
        <f t="shared" si="29"/>
        <v>183</v>
      </c>
      <c r="H293" s="109">
        <f t="shared" si="30"/>
        <v>12</v>
      </c>
      <c r="J293" s="216">
        <v>103</v>
      </c>
      <c r="K293" s="216">
        <v>11</v>
      </c>
      <c r="L293" s="216">
        <v>4</v>
      </c>
      <c r="M293" s="216">
        <v>0</v>
      </c>
      <c r="N293" s="216">
        <v>0</v>
      </c>
      <c r="O293" s="216">
        <v>21</v>
      </c>
      <c r="P293" s="216">
        <v>0</v>
      </c>
      <c r="Q293" s="216">
        <v>0</v>
      </c>
      <c r="R293" s="216">
        <v>0</v>
      </c>
      <c r="S293" s="216">
        <v>0</v>
      </c>
      <c r="T293" s="216">
        <v>0</v>
      </c>
      <c r="U293" s="216">
        <v>0</v>
      </c>
      <c r="V293" s="216">
        <v>44</v>
      </c>
      <c r="W293" s="52"/>
      <c r="X293" s="216">
        <v>0</v>
      </c>
      <c r="Y293" s="216">
        <v>3</v>
      </c>
      <c r="Z293" s="216">
        <v>9</v>
      </c>
      <c r="AH293" s="46"/>
      <c r="AI293" s="46"/>
    </row>
    <row r="294" spans="1:35" x14ac:dyDescent="0.25">
      <c r="A294" s="31">
        <f>'M&amp;R Stations'!A278</f>
        <v>39237</v>
      </c>
      <c r="B294"/>
      <c r="C294" s="70">
        <f t="shared" si="25"/>
        <v>144</v>
      </c>
      <c r="D294" s="70">
        <f t="shared" si="26"/>
        <v>56</v>
      </c>
      <c r="E294" s="70">
        <f t="shared" si="27"/>
        <v>0</v>
      </c>
      <c r="F294" s="94">
        <f t="shared" si="28"/>
        <v>200</v>
      </c>
      <c r="G294" s="109">
        <f t="shared" si="29"/>
        <v>188</v>
      </c>
      <c r="H294" s="109">
        <f t="shared" si="30"/>
        <v>12</v>
      </c>
      <c r="J294" s="216">
        <v>106</v>
      </c>
      <c r="K294" s="216">
        <v>12</v>
      </c>
      <c r="L294" s="216">
        <v>4</v>
      </c>
      <c r="M294" s="216">
        <v>0</v>
      </c>
      <c r="N294" s="216">
        <v>0</v>
      </c>
      <c r="O294" s="216">
        <v>22</v>
      </c>
      <c r="P294" s="216">
        <v>0</v>
      </c>
      <c r="Q294" s="216">
        <v>0</v>
      </c>
      <c r="R294" s="216">
        <v>0</v>
      </c>
      <c r="S294" s="216">
        <v>0</v>
      </c>
      <c r="T294" s="216">
        <v>0</v>
      </c>
      <c r="U294" s="216">
        <v>0</v>
      </c>
      <c r="V294" s="216">
        <v>44</v>
      </c>
      <c r="W294" s="52"/>
      <c r="X294" s="216">
        <v>0</v>
      </c>
      <c r="Y294" s="216">
        <v>2</v>
      </c>
      <c r="Z294" s="216">
        <v>10</v>
      </c>
      <c r="AH294" s="46"/>
      <c r="AI294" s="46"/>
    </row>
    <row r="295" spans="1:35" x14ac:dyDescent="0.25">
      <c r="A295" s="31">
        <f>'M&amp;R Stations'!A279</f>
        <v>39238</v>
      </c>
      <c r="B295"/>
      <c r="C295" s="70">
        <f t="shared" si="25"/>
        <v>142</v>
      </c>
      <c r="D295" s="70">
        <f t="shared" si="26"/>
        <v>59</v>
      </c>
      <c r="E295" s="70">
        <f t="shared" si="27"/>
        <v>0</v>
      </c>
      <c r="F295" s="94">
        <f t="shared" si="28"/>
        <v>201</v>
      </c>
      <c r="G295" s="109">
        <f t="shared" si="29"/>
        <v>187</v>
      </c>
      <c r="H295" s="109">
        <f t="shared" si="30"/>
        <v>14</v>
      </c>
      <c r="J295" s="216">
        <v>109</v>
      </c>
      <c r="K295" s="216">
        <v>11</v>
      </c>
      <c r="L295" s="216">
        <v>3</v>
      </c>
      <c r="M295" s="216">
        <v>0</v>
      </c>
      <c r="N295" s="216">
        <v>17</v>
      </c>
      <c r="O295" s="216">
        <v>2</v>
      </c>
      <c r="P295" s="216">
        <v>0</v>
      </c>
      <c r="Q295" s="216">
        <v>0</v>
      </c>
      <c r="R295" s="216">
        <v>0</v>
      </c>
      <c r="S295" s="216">
        <v>0</v>
      </c>
      <c r="T295" s="216">
        <v>0</v>
      </c>
      <c r="U295" s="216">
        <v>0</v>
      </c>
      <c r="V295" s="216">
        <v>45</v>
      </c>
      <c r="W295" s="52"/>
      <c r="X295" s="216">
        <v>0</v>
      </c>
      <c r="Y295" s="216">
        <v>3</v>
      </c>
      <c r="Z295" s="216">
        <v>11</v>
      </c>
      <c r="AH295" s="46"/>
      <c r="AI295" s="46"/>
    </row>
    <row r="296" spans="1:35" x14ac:dyDescent="0.25">
      <c r="A296" s="31">
        <f>'M&amp;R Stations'!A280</f>
        <v>39239</v>
      </c>
      <c r="B296"/>
      <c r="C296" s="70">
        <f t="shared" si="25"/>
        <v>145</v>
      </c>
      <c r="D296" s="70">
        <f t="shared" si="26"/>
        <v>63</v>
      </c>
      <c r="E296" s="70">
        <f t="shared" si="27"/>
        <v>0</v>
      </c>
      <c r="F296" s="94">
        <f t="shared" si="28"/>
        <v>208</v>
      </c>
      <c r="G296" s="109">
        <f t="shared" si="29"/>
        <v>190</v>
      </c>
      <c r="H296" s="109">
        <f t="shared" si="30"/>
        <v>18</v>
      </c>
      <c r="J296" s="216">
        <v>111</v>
      </c>
      <c r="K296" s="216">
        <v>12</v>
      </c>
      <c r="L296" s="216">
        <v>2</v>
      </c>
      <c r="M296" s="216">
        <v>0</v>
      </c>
      <c r="N296" s="216">
        <v>18</v>
      </c>
      <c r="O296" s="216">
        <v>2</v>
      </c>
      <c r="P296" s="216">
        <v>0</v>
      </c>
      <c r="Q296" s="216">
        <v>0</v>
      </c>
      <c r="R296" s="216">
        <v>0</v>
      </c>
      <c r="S296" s="216">
        <v>0</v>
      </c>
      <c r="T296" s="216">
        <v>0</v>
      </c>
      <c r="U296" s="216">
        <v>0</v>
      </c>
      <c r="V296" s="216">
        <v>45</v>
      </c>
      <c r="W296" s="52"/>
      <c r="X296" s="216">
        <v>0</v>
      </c>
      <c r="Y296" s="216">
        <v>4</v>
      </c>
      <c r="Z296" s="216">
        <v>14</v>
      </c>
      <c r="AH296" s="46"/>
      <c r="AI296" s="46"/>
    </row>
    <row r="297" spans="1:35" x14ac:dyDescent="0.25">
      <c r="A297" s="31">
        <f>'M&amp;R Stations'!A281</f>
        <v>39240</v>
      </c>
      <c r="B297"/>
      <c r="C297" s="70">
        <f t="shared" si="25"/>
        <v>145</v>
      </c>
      <c r="D297" s="70">
        <f t="shared" si="26"/>
        <v>60</v>
      </c>
      <c r="E297" s="70">
        <f t="shared" si="27"/>
        <v>0</v>
      </c>
      <c r="F297" s="94">
        <f t="shared" si="28"/>
        <v>205</v>
      </c>
      <c r="G297" s="109">
        <f t="shared" si="29"/>
        <v>190</v>
      </c>
      <c r="H297" s="109">
        <f t="shared" si="30"/>
        <v>15</v>
      </c>
      <c r="J297" s="216">
        <v>110</v>
      </c>
      <c r="K297" s="216">
        <v>12</v>
      </c>
      <c r="L297" s="216">
        <v>2</v>
      </c>
      <c r="M297" s="216">
        <v>0</v>
      </c>
      <c r="N297" s="216">
        <v>21</v>
      </c>
      <c r="O297" s="216">
        <v>0</v>
      </c>
      <c r="P297" s="216">
        <v>0</v>
      </c>
      <c r="Q297" s="216">
        <v>0</v>
      </c>
      <c r="R297" s="216">
        <v>0</v>
      </c>
      <c r="S297" s="216">
        <v>0</v>
      </c>
      <c r="T297" s="216">
        <v>0</v>
      </c>
      <c r="U297" s="216">
        <v>0</v>
      </c>
      <c r="V297" s="216">
        <v>45</v>
      </c>
      <c r="W297" s="52"/>
      <c r="X297" s="216">
        <v>0</v>
      </c>
      <c r="Y297" s="216">
        <v>3</v>
      </c>
      <c r="Z297" s="216">
        <v>12</v>
      </c>
      <c r="AH297" s="46"/>
      <c r="AI297" s="46"/>
    </row>
    <row r="298" spans="1:35" x14ac:dyDescent="0.25">
      <c r="A298" s="31">
        <f>'M&amp;R Stations'!A282</f>
        <v>39241</v>
      </c>
      <c r="B298"/>
      <c r="C298" s="70">
        <f t="shared" si="25"/>
        <v>137</v>
      </c>
      <c r="D298" s="70">
        <f t="shared" si="26"/>
        <v>52</v>
      </c>
      <c r="E298" s="70">
        <f t="shared" si="27"/>
        <v>0</v>
      </c>
      <c r="F298" s="94">
        <f t="shared" si="28"/>
        <v>189</v>
      </c>
      <c r="G298" s="109">
        <f t="shared" si="29"/>
        <v>181</v>
      </c>
      <c r="H298" s="109">
        <f t="shared" si="30"/>
        <v>8</v>
      </c>
      <c r="J298" s="216">
        <v>101</v>
      </c>
      <c r="K298" s="216">
        <v>11</v>
      </c>
      <c r="L298" s="216">
        <v>3</v>
      </c>
      <c r="M298" s="216">
        <v>0</v>
      </c>
      <c r="N298" s="216">
        <v>22</v>
      </c>
      <c r="O298" s="216">
        <v>0</v>
      </c>
      <c r="P298" s="216">
        <v>0</v>
      </c>
      <c r="Q298" s="216">
        <v>0</v>
      </c>
      <c r="R298" s="216">
        <v>0</v>
      </c>
      <c r="S298" s="216">
        <v>0</v>
      </c>
      <c r="T298" s="216">
        <v>0</v>
      </c>
      <c r="U298" s="216">
        <v>0</v>
      </c>
      <c r="V298" s="216">
        <v>44</v>
      </c>
      <c r="W298" s="52"/>
      <c r="X298" s="216">
        <v>0</v>
      </c>
      <c r="Y298" s="216">
        <v>1</v>
      </c>
      <c r="Z298" s="216">
        <v>7</v>
      </c>
      <c r="AH298" s="46"/>
      <c r="AI298" s="46"/>
    </row>
    <row r="299" spans="1:35" x14ac:dyDescent="0.25">
      <c r="A299" s="31">
        <f>'M&amp;R Stations'!A283</f>
        <v>39242</v>
      </c>
      <c r="B299"/>
      <c r="C299" s="70">
        <f t="shared" si="25"/>
        <v>132</v>
      </c>
      <c r="D299" s="70">
        <f t="shared" si="26"/>
        <v>53</v>
      </c>
      <c r="E299" s="70">
        <f t="shared" si="27"/>
        <v>0</v>
      </c>
      <c r="F299" s="94">
        <f t="shared" si="28"/>
        <v>185</v>
      </c>
      <c r="G299" s="109">
        <f t="shared" si="29"/>
        <v>177</v>
      </c>
      <c r="H299" s="109">
        <f t="shared" si="30"/>
        <v>8</v>
      </c>
      <c r="J299" s="216">
        <v>96</v>
      </c>
      <c r="K299" s="216">
        <v>12</v>
      </c>
      <c r="L299" s="216">
        <v>3</v>
      </c>
      <c r="M299" s="216">
        <v>0</v>
      </c>
      <c r="N299" s="216">
        <v>21</v>
      </c>
      <c r="O299" s="216">
        <v>0</v>
      </c>
      <c r="P299" s="216">
        <v>0</v>
      </c>
      <c r="Q299" s="216">
        <v>0</v>
      </c>
      <c r="R299" s="216">
        <v>0</v>
      </c>
      <c r="S299" s="216">
        <v>0</v>
      </c>
      <c r="T299" s="216">
        <v>0</v>
      </c>
      <c r="U299" s="216">
        <v>0</v>
      </c>
      <c r="V299" s="216">
        <v>45</v>
      </c>
      <c r="W299" s="52"/>
      <c r="X299" s="216">
        <v>0</v>
      </c>
      <c r="Y299" s="216">
        <v>2</v>
      </c>
      <c r="Z299" s="216">
        <v>6</v>
      </c>
      <c r="AH299" s="46"/>
      <c r="AI299" s="46"/>
    </row>
    <row r="300" spans="1:35" x14ac:dyDescent="0.25">
      <c r="A300" s="31">
        <f>'M&amp;R Stations'!A284</f>
        <v>39243</v>
      </c>
      <c r="B300"/>
      <c r="C300" s="70">
        <f t="shared" si="25"/>
        <v>134</v>
      </c>
      <c r="D300" s="70">
        <f t="shared" si="26"/>
        <v>58</v>
      </c>
      <c r="E300" s="70">
        <f t="shared" si="27"/>
        <v>0</v>
      </c>
      <c r="F300" s="94">
        <f t="shared" si="28"/>
        <v>192</v>
      </c>
      <c r="G300" s="109">
        <f t="shared" si="29"/>
        <v>181</v>
      </c>
      <c r="H300" s="109">
        <f t="shared" si="30"/>
        <v>11</v>
      </c>
      <c r="J300" s="216">
        <v>100</v>
      </c>
      <c r="K300" s="216">
        <v>11</v>
      </c>
      <c r="L300" s="216">
        <v>2</v>
      </c>
      <c r="M300" s="216">
        <v>0</v>
      </c>
      <c r="N300" s="216">
        <v>21</v>
      </c>
      <c r="O300" s="216">
        <v>0</v>
      </c>
      <c r="P300" s="216">
        <v>0</v>
      </c>
      <c r="Q300" s="216">
        <v>0</v>
      </c>
      <c r="R300" s="216">
        <v>0</v>
      </c>
      <c r="S300" s="216">
        <v>0</v>
      </c>
      <c r="T300" s="216">
        <v>0</v>
      </c>
      <c r="U300" s="216">
        <v>0</v>
      </c>
      <c r="V300" s="216">
        <v>47</v>
      </c>
      <c r="W300" s="52"/>
      <c r="X300" s="216">
        <v>0</v>
      </c>
      <c r="Y300" s="216">
        <v>2</v>
      </c>
      <c r="Z300" s="216">
        <v>9</v>
      </c>
      <c r="AH300" s="46"/>
      <c r="AI300" s="46"/>
    </row>
    <row r="301" spans="1:35" x14ac:dyDescent="0.25">
      <c r="A301" s="31">
        <f>'M&amp;R Stations'!A285</f>
        <v>39244</v>
      </c>
      <c r="B301"/>
      <c r="C301" s="70">
        <f t="shared" si="25"/>
        <v>136</v>
      </c>
      <c r="D301" s="70">
        <f t="shared" si="26"/>
        <v>58</v>
      </c>
      <c r="E301" s="70">
        <f t="shared" si="27"/>
        <v>0</v>
      </c>
      <c r="F301" s="94">
        <f t="shared" si="28"/>
        <v>194</v>
      </c>
      <c r="G301" s="109">
        <f t="shared" si="29"/>
        <v>182</v>
      </c>
      <c r="H301" s="109">
        <f t="shared" si="30"/>
        <v>12</v>
      </c>
      <c r="J301" s="216">
        <v>101</v>
      </c>
      <c r="K301" s="216">
        <v>11</v>
      </c>
      <c r="L301" s="216">
        <v>3</v>
      </c>
      <c r="M301" s="216">
        <v>0</v>
      </c>
      <c r="N301" s="216">
        <v>21</v>
      </c>
      <c r="O301" s="216">
        <v>0</v>
      </c>
      <c r="P301" s="216">
        <v>0</v>
      </c>
      <c r="Q301" s="216">
        <v>0</v>
      </c>
      <c r="R301" s="216">
        <v>0</v>
      </c>
      <c r="S301" s="216">
        <v>0</v>
      </c>
      <c r="T301" s="216">
        <v>0</v>
      </c>
      <c r="U301" s="216">
        <v>0</v>
      </c>
      <c r="V301" s="216">
        <v>46</v>
      </c>
      <c r="W301" s="52"/>
      <c r="X301" s="216">
        <v>0</v>
      </c>
      <c r="Y301" s="216">
        <v>2</v>
      </c>
      <c r="Z301" s="216">
        <v>10</v>
      </c>
      <c r="AH301" s="46"/>
      <c r="AI301" s="46"/>
    </row>
    <row r="302" spans="1:35" x14ac:dyDescent="0.25">
      <c r="A302" s="31">
        <f>'M&amp;R Stations'!A286</f>
        <v>39245</v>
      </c>
      <c r="B302"/>
      <c r="C302" s="70">
        <f t="shared" si="25"/>
        <v>139</v>
      </c>
      <c r="D302" s="70">
        <f t="shared" si="26"/>
        <v>59</v>
      </c>
      <c r="E302" s="70">
        <f t="shared" si="27"/>
        <v>11</v>
      </c>
      <c r="F302" s="94">
        <f t="shared" si="28"/>
        <v>209</v>
      </c>
      <c r="G302" s="109">
        <f t="shared" si="29"/>
        <v>197</v>
      </c>
      <c r="H302" s="109">
        <f t="shared" si="30"/>
        <v>12</v>
      </c>
      <c r="J302" s="216">
        <v>104</v>
      </c>
      <c r="K302" s="216">
        <v>11</v>
      </c>
      <c r="L302" s="216">
        <v>3</v>
      </c>
      <c r="M302" s="216">
        <v>0</v>
      </c>
      <c r="N302" s="216">
        <v>21</v>
      </c>
      <c r="O302" s="216">
        <v>0</v>
      </c>
      <c r="P302" s="216">
        <v>0</v>
      </c>
      <c r="Q302" s="216">
        <v>0</v>
      </c>
      <c r="R302" s="216">
        <v>0</v>
      </c>
      <c r="S302" s="216">
        <v>0</v>
      </c>
      <c r="T302" s="216">
        <v>0</v>
      </c>
      <c r="U302" s="216">
        <v>11</v>
      </c>
      <c r="V302" s="216">
        <v>47</v>
      </c>
      <c r="W302" s="52"/>
      <c r="X302" s="216">
        <v>0</v>
      </c>
      <c r="Y302" s="216">
        <v>2</v>
      </c>
      <c r="Z302" s="216">
        <v>10</v>
      </c>
      <c r="AH302" s="46"/>
      <c r="AI302" s="46"/>
    </row>
    <row r="303" spans="1:35" x14ac:dyDescent="0.25">
      <c r="A303" s="31">
        <f>'M&amp;R Stations'!A287</f>
        <v>39246</v>
      </c>
      <c r="B303"/>
      <c r="C303" s="70">
        <f t="shared" si="25"/>
        <v>142</v>
      </c>
      <c r="D303" s="70">
        <f t="shared" si="26"/>
        <v>62</v>
      </c>
      <c r="E303" s="70">
        <f t="shared" si="27"/>
        <v>0</v>
      </c>
      <c r="F303" s="94">
        <f t="shared" si="28"/>
        <v>204</v>
      </c>
      <c r="G303" s="109">
        <f t="shared" si="29"/>
        <v>192</v>
      </c>
      <c r="H303" s="109">
        <f t="shared" si="30"/>
        <v>12</v>
      </c>
      <c r="J303" s="216">
        <v>106</v>
      </c>
      <c r="K303" s="216">
        <v>12</v>
      </c>
      <c r="L303" s="216">
        <v>3</v>
      </c>
      <c r="M303" s="216">
        <v>0</v>
      </c>
      <c r="N303" s="216">
        <v>21</v>
      </c>
      <c r="O303" s="216">
        <v>0</v>
      </c>
      <c r="P303" s="216">
        <v>0</v>
      </c>
      <c r="Q303" s="216">
        <v>0</v>
      </c>
      <c r="R303" s="216">
        <v>0</v>
      </c>
      <c r="S303" s="216">
        <v>0</v>
      </c>
      <c r="T303" s="216">
        <v>0</v>
      </c>
      <c r="U303" s="216">
        <v>0</v>
      </c>
      <c r="V303" s="216">
        <v>50</v>
      </c>
      <c r="W303" s="52"/>
      <c r="X303" s="216">
        <v>0</v>
      </c>
      <c r="Y303" s="216">
        <v>2</v>
      </c>
      <c r="Z303" s="216">
        <v>10</v>
      </c>
      <c r="AH303" s="46"/>
      <c r="AI303" s="46"/>
    </row>
    <row r="304" spans="1:35" x14ac:dyDescent="0.25">
      <c r="A304" s="31">
        <f>'M&amp;R Stations'!A288</f>
        <v>39247</v>
      </c>
      <c r="B304"/>
      <c r="C304" s="70">
        <f t="shared" si="25"/>
        <v>139</v>
      </c>
      <c r="D304" s="70">
        <f t="shared" si="26"/>
        <v>62</v>
      </c>
      <c r="E304" s="70">
        <f t="shared" si="27"/>
        <v>20</v>
      </c>
      <c r="F304" s="94">
        <f t="shared" si="28"/>
        <v>221</v>
      </c>
      <c r="G304" s="109">
        <f t="shared" si="29"/>
        <v>208</v>
      </c>
      <c r="H304" s="109">
        <f t="shared" si="30"/>
        <v>13</v>
      </c>
      <c r="J304" s="216">
        <v>102</v>
      </c>
      <c r="K304" s="216">
        <v>12</v>
      </c>
      <c r="L304" s="216">
        <v>3</v>
      </c>
      <c r="M304" s="216">
        <v>0</v>
      </c>
      <c r="N304" s="216">
        <v>22</v>
      </c>
      <c r="O304" s="216">
        <v>0</v>
      </c>
      <c r="P304" s="216">
        <v>0</v>
      </c>
      <c r="Q304" s="216">
        <v>0</v>
      </c>
      <c r="R304" s="216">
        <v>0</v>
      </c>
      <c r="S304" s="216">
        <v>0</v>
      </c>
      <c r="T304" s="216">
        <v>0</v>
      </c>
      <c r="U304" s="216">
        <v>20</v>
      </c>
      <c r="V304" s="216">
        <v>49</v>
      </c>
      <c r="W304" s="52"/>
      <c r="X304" s="216">
        <v>0</v>
      </c>
      <c r="Y304" s="216">
        <v>3</v>
      </c>
      <c r="Z304" s="216">
        <v>10</v>
      </c>
      <c r="AH304" s="46"/>
      <c r="AI304" s="46"/>
    </row>
    <row r="305" spans="1:35" x14ac:dyDescent="0.25">
      <c r="A305" s="31">
        <f>'M&amp;R Stations'!A289</f>
        <v>39248</v>
      </c>
      <c r="B305"/>
      <c r="C305" s="70">
        <f t="shared" si="25"/>
        <v>138</v>
      </c>
      <c r="D305" s="70">
        <f t="shared" si="26"/>
        <v>57</v>
      </c>
      <c r="E305" s="70">
        <f t="shared" si="27"/>
        <v>0</v>
      </c>
      <c r="F305" s="94">
        <f t="shared" si="28"/>
        <v>195</v>
      </c>
      <c r="G305" s="109">
        <f t="shared" si="29"/>
        <v>184</v>
      </c>
      <c r="H305" s="109">
        <f t="shared" si="30"/>
        <v>11</v>
      </c>
      <c r="J305" s="216">
        <v>99</v>
      </c>
      <c r="K305" s="216">
        <v>12</v>
      </c>
      <c r="L305" s="216">
        <v>3</v>
      </c>
      <c r="M305" s="216">
        <v>0</v>
      </c>
      <c r="N305" s="216">
        <v>24</v>
      </c>
      <c r="O305" s="216">
        <v>0</v>
      </c>
      <c r="P305" s="216">
        <v>0</v>
      </c>
      <c r="Q305" s="216">
        <v>0</v>
      </c>
      <c r="R305" s="216">
        <v>0</v>
      </c>
      <c r="S305" s="216">
        <v>0</v>
      </c>
      <c r="T305" s="216">
        <v>0</v>
      </c>
      <c r="U305" s="216">
        <v>0</v>
      </c>
      <c r="V305" s="216">
        <v>46</v>
      </c>
      <c r="W305" s="52"/>
      <c r="X305" s="216">
        <v>0</v>
      </c>
      <c r="Y305" s="216">
        <v>2</v>
      </c>
      <c r="Z305" s="216">
        <v>9</v>
      </c>
      <c r="AH305" s="46"/>
      <c r="AI305" s="46"/>
    </row>
    <row r="306" spans="1:35" x14ac:dyDescent="0.25">
      <c r="A306" s="31">
        <f>'M&amp;R Stations'!A290</f>
        <v>39249</v>
      </c>
      <c r="B306"/>
      <c r="C306" s="70">
        <f t="shared" si="25"/>
        <v>137</v>
      </c>
      <c r="D306" s="70">
        <f t="shared" si="26"/>
        <v>52</v>
      </c>
      <c r="E306" s="70">
        <f t="shared" si="27"/>
        <v>1</v>
      </c>
      <c r="F306" s="94">
        <f t="shared" si="28"/>
        <v>190</v>
      </c>
      <c r="G306" s="109">
        <f t="shared" si="29"/>
        <v>181</v>
      </c>
      <c r="H306" s="109">
        <f t="shared" si="30"/>
        <v>9</v>
      </c>
      <c r="J306" s="216">
        <v>102</v>
      </c>
      <c r="K306" s="216">
        <v>12</v>
      </c>
      <c r="L306" s="216">
        <v>3</v>
      </c>
      <c r="M306" s="216">
        <v>0</v>
      </c>
      <c r="N306" s="216">
        <v>20</v>
      </c>
      <c r="O306" s="216">
        <v>0</v>
      </c>
      <c r="P306" s="216">
        <v>0</v>
      </c>
      <c r="Q306" s="216">
        <v>0</v>
      </c>
      <c r="R306" s="216">
        <v>0</v>
      </c>
      <c r="S306" s="216">
        <v>0</v>
      </c>
      <c r="T306" s="216">
        <v>0</v>
      </c>
      <c r="U306" s="216">
        <v>1</v>
      </c>
      <c r="V306" s="216">
        <v>43</v>
      </c>
      <c r="W306" s="52"/>
      <c r="X306" s="216">
        <v>0</v>
      </c>
      <c r="Y306" s="216">
        <v>2</v>
      </c>
      <c r="Z306" s="216">
        <v>7</v>
      </c>
      <c r="AH306" s="46"/>
      <c r="AI306" s="46"/>
    </row>
    <row r="307" spans="1:35" x14ac:dyDescent="0.25">
      <c r="A307" s="31">
        <f>'M&amp;R Stations'!A291</f>
        <v>39250</v>
      </c>
      <c r="B307"/>
      <c r="C307" s="70">
        <f t="shared" si="25"/>
        <v>133</v>
      </c>
      <c r="D307" s="70">
        <f t="shared" si="26"/>
        <v>54</v>
      </c>
      <c r="E307" s="70">
        <f t="shared" si="27"/>
        <v>0</v>
      </c>
      <c r="F307" s="94">
        <f t="shared" si="28"/>
        <v>187</v>
      </c>
      <c r="G307" s="109">
        <f t="shared" si="29"/>
        <v>176</v>
      </c>
      <c r="H307" s="109">
        <f t="shared" si="30"/>
        <v>11</v>
      </c>
      <c r="J307" s="216">
        <v>97</v>
      </c>
      <c r="K307" s="216">
        <v>11</v>
      </c>
      <c r="L307" s="216">
        <v>3</v>
      </c>
      <c r="M307" s="216">
        <v>0</v>
      </c>
      <c r="N307" s="216">
        <v>22</v>
      </c>
      <c r="O307" s="216">
        <v>0</v>
      </c>
      <c r="P307" s="216">
        <v>0</v>
      </c>
      <c r="Q307" s="216">
        <v>0</v>
      </c>
      <c r="R307" s="216">
        <v>0</v>
      </c>
      <c r="S307" s="216">
        <v>0</v>
      </c>
      <c r="T307" s="216">
        <v>0</v>
      </c>
      <c r="U307" s="216">
        <v>0</v>
      </c>
      <c r="V307" s="216">
        <v>43</v>
      </c>
      <c r="W307" s="52"/>
      <c r="X307" s="216">
        <v>0</v>
      </c>
      <c r="Y307" s="216">
        <v>2</v>
      </c>
      <c r="Z307" s="216">
        <v>9</v>
      </c>
      <c r="AH307" s="46"/>
      <c r="AI307" s="46"/>
    </row>
    <row r="308" spans="1:35" x14ac:dyDescent="0.25">
      <c r="A308" s="31">
        <f>'M&amp;R Stations'!A292</f>
        <v>39251</v>
      </c>
      <c r="B308"/>
      <c r="C308" s="70">
        <f t="shared" si="25"/>
        <v>131</v>
      </c>
      <c r="D308" s="70">
        <f t="shared" si="26"/>
        <v>57</v>
      </c>
      <c r="E308" s="70">
        <f t="shared" si="27"/>
        <v>0</v>
      </c>
      <c r="F308" s="94">
        <f t="shared" si="28"/>
        <v>188</v>
      </c>
      <c r="G308" s="109">
        <f t="shared" si="29"/>
        <v>178</v>
      </c>
      <c r="H308" s="109">
        <f t="shared" si="30"/>
        <v>10</v>
      </c>
      <c r="J308" s="216">
        <v>97</v>
      </c>
      <c r="K308" s="216">
        <v>11</v>
      </c>
      <c r="L308" s="216">
        <v>3</v>
      </c>
      <c r="M308" s="216">
        <v>0</v>
      </c>
      <c r="N308" s="216">
        <v>20</v>
      </c>
      <c r="O308" s="216">
        <v>0</v>
      </c>
      <c r="P308" s="216">
        <v>0</v>
      </c>
      <c r="Q308" s="216">
        <v>0</v>
      </c>
      <c r="R308" s="216">
        <v>0</v>
      </c>
      <c r="S308" s="216">
        <v>0</v>
      </c>
      <c r="T308" s="216">
        <v>0</v>
      </c>
      <c r="U308" s="216">
        <v>0</v>
      </c>
      <c r="V308" s="216">
        <v>47</v>
      </c>
      <c r="W308" s="52"/>
      <c r="X308" s="216">
        <v>0</v>
      </c>
      <c r="Y308" s="216">
        <v>2</v>
      </c>
      <c r="Z308" s="216">
        <v>8</v>
      </c>
      <c r="AH308" s="46"/>
      <c r="AI308" s="46"/>
    </row>
    <row r="309" spans="1:35" x14ac:dyDescent="0.25">
      <c r="A309" s="31">
        <f>'M&amp;R Stations'!A293</f>
        <v>39252</v>
      </c>
      <c r="B309"/>
      <c r="C309" s="70">
        <f t="shared" si="25"/>
        <v>129</v>
      </c>
      <c r="D309" s="70">
        <f t="shared" si="26"/>
        <v>55</v>
      </c>
      <c r="E309" s="70">
        <f t="shared" si="27"/>
        <v>0</v>
      </c>
      <c r="F309" s="94">
        <f t="shared" si="28"/>
        <v>184</v>
      </c>
      <c r="G309" s="109">
        <f t="shared" si="29"/>
        <v>173</v>
      </c>
      <c r="H309" s="109">
        <f t="shared" si="30"/>
        <v>11</v>
      </c>
      <c r="J309" s="216">
        <v>93</v>
      </c>
      <c r="K309" s="216">
        <v>11</v>
      </c>
      <c r="L309" s="216">
        <v>3</v>
      </c>
      <c r="M309" s="216">
        <v>0</v>
      </c>
      <c r="N309" s="216">
        <v>22</v>
      </c>
      <c r="O309" s="216">
        <v>0</v>
      </c>
      <c r="P309" s="216">
        <v>0</v>
      </c>
      <c r="Q309" s="216">
        <v>0</v>
      </c>
      <c r="R309" s="216">
        <v>0</v>
      </c>
      <c r="S309" s="216">
        <v>0</v>
      </c>
      <c r="T309" s="216">
        <v>0</v>
      </c>
      <c r="U309" s="216">
        <v>0</v>
      </c>
      <c r="V309" s="216">
        <v>44</v>
      </c>
      <c r="W309" s="52"/>
      <c r="X309" s="216">
        <v>0</v>
      </c>
      <c r="Y309" s="216">
        <v>2</v>
      </c>
      <c r="Z309" s="216">
        <v>9</v>
      </c>
      <c r="AH309" s="46"/>
      <c r="AI309" s="46"/>
    </row>
    <row r="310" spans="1:35" x14ac:dyDescent="0.25">
      <c r="A310" s="31">
        <f>'M&amp;R Stations'!A294</f>
        <v>39253</v>
      </c>
      <c r="B310"/>
      <c r="C310" s="70">
        <f t="shared" si="25"/>
        <v>146</v>
      </c>
      <c r="D310" s="70">
        <f t="shared" si="26"/>
        <v>55</v>
      </c>
      <c r="E310" s="70">
        <f t="shared" si="27"/>
        <v>0</v>
      </c>
      <c r="F310" s="94">
        <f t="shared" si="28"/>
        <v>201</v>
      </c>
      <c r="G310" s="109">
        <f t="shared" si="29"/>
        <v>192</v>
      </c>
      <c r="H310" s="109">
        <f t="shared" si="30"/>
        <v>9</v>
      </c>
      <c r="J310" s="216">
        <v>112</v>
      </c>
      <c r="K310" s="216">
        <v>11</v>
      </c>
      <c r="L310" s="216">
        <v>3</v>
      </c>
      <c r="M310" s="216">
        <v>0</v>
      </c>
      <c r="N310" s="216">
        <v>20</v>
      </c>
      <c r="O310" s="216">
        <v>0</v>
      </c>
      <c r="P310" s="216">
        <v>0</v>
      </c>
      <c r="Q310" s="216">
        <v>0</v>
      </c>
      <c r="R310" s="216">
        <v>0</v>
      </c>
      <c r="S310" s="216">
        <v>0</v>
      </c>
      <c r="T310" s="216">
        <v>0</v>
      </c>
      <c r="U310" s="216">
        <v>0</v>
      </c>
      <c r="V310" s="216">
        <v>46</v>
      </c>
      <c r="W310" s="52"/>
      <c r="X310" s="216">
        <v>0</v>
      </c>
      <c r="Y310" s="216">
        <v>2</v>
      </c>
      <c r="Z310" s="216">
        <v>7</v>
      </c>
      <c r="AH310" s="46"/>
      <c r="AI310" s="46"/>
    </row>
    <row r="311" spans="1:35" x14ac:dyDescent="0.25">
      <c r="A311" s="31">
        <f>'M&amp;R Stations'!A295</f>
        <v>39254</v>
      </c>
      <c r="B311"/>
      <c r="C311" s="70">
        <f t="shared" si="25"/>
        <v>132</v>
      </c>
      <c r="D311" s="70">
        <f t="shared" si="26"/>
        <v>53</v>
      </c>
      <c r="E311" s="70">
        <f t="shared" si="27"/>
        <v>0</v>
      </c>
      <c r="F311" s="94">
        <f t="shared" si="28"/>
        <v>185</v>
      </c>
      <c r="G311" s="109">
        <f t="shared" si="29"/>
        <v>176</v>
      </c>
      <c r="H311" s="109">
        <f t="shared" si="30"/>
        <v>9</v>
      </c>
      <c r="J311" s="216">
        <v>95</v>
      </c>
      <c r="K311" s="216">
        <v>12</v>
      </c>
      <c r="L311" s="216">
        <v>3</v>
      </c>
      <c r="M311" s="216">
        <v>0</v>
      </c>
      <c r="N311" s="216">
        <v>22</v>
      </c>
      <c r="O311" s="216">
        <v>0</v>
      </c>
      <c r="P311" s="216">
        <v>0</v>
      </c>
      <c r="Q311" s="216">
        <v>0</v>
      </c>
      <c r="R311" s="216">
        <v>0</v>
      </c>
      <c r="S311" s="216">
        <v>0</v>
      </c>
      <c r="T311" s="216">
        <v>0</v>
      </c>
      <c r="U311" s="216">
        <v>0</v>
      </c>
      <c r="V311" s="216">
        <v>44</v>
      </c>
      <c r="W311" s="52"/>
      <c r="X311" s="216">
        <v>0</v>
      </c>
      <c r="Y311" s="216">
        <v>2</v>
      </c>
      <c r="Z311" s="216">
        <v>7</v>
      </c>
      <c r="AH311" s="46"/>
      <c r="AI311" s="46"/>
    </row>
    <row r="312" spans="1:35" x14ac:dyDescent="0.25">
      <c r="A312" s="31">
        <f>'M&amp;R Stations'!A296</f>
        <v>39255</v>
      </c>
      <c r="B312"/>
      <c r="C312" s="70">
        <f t="shared" si="25"/>
        <v>145</v>
      </c>
      <c r="D312" s="70">
        <f t="shared" si="26"/>
        <v>55</v>
      </c>
      <c r="E312" s="70">
        <f t="shared" si="27"/>
        <v>0</v>
      </c>
      <c r="F312" s="94">
        <f t="shared" si="28"/>
        <v>200</v>
      </c>
      <c r="G312" s="109">
        <f t="shared" si="29"/>
        <v>190</v>
      </c>
      <c r="H312" s="109">
        <f t="shared" si="30"/>
        <v>10</v>
      </c>
      <c r="J312" s="216">
        <v>110</v>
      </c>
      <c r="K312" s="216">
        <v>11</v>
      </c>
      <c r="L312" s="216">
        <v>2</v>
      </c>
      <c r="M312" s="216">
        <v>0</v>
      </c>
      <c r="N312" s="216">
        <v>22</v>
      </c>
      <c r="O312" s="216">
        <v>0</v>
      </c>
      <c r="P312" s="216">
        <v>0</v>
      </c>
      <c r="Q312" s="216">
        <v>0</v>
      </c>
      <c r="R312" s="216">
        <v>0</v>
      </c>
      <c r="S312" s="216">
        <v>0</v>
      </c>
      <c r="T312" s="216">
        <v>0</v>
      </c>
      <c r="U312" s="216">
        <v>0</v>
      </c>
      <c r="V312" s="216">
        <v>45</v>
      </c>
      <c r="W312" s="52"/>
      <c r="X312" s="216">
        <v>0</v>
      </c>
      <c r="Y312" s="216">
        <v>2</v>
      </c>
      <c r="Z312" s="216">
        <v>8</v>
      </c>
      <c r="AH312" s="46"/>
      <c r="AI312" s="46"/>
    </row>
    <row r="313" spans="1:35" x14ac:dyDescent="0.25">
      <c r="A313" s="31">
        <f>'M&amp;R Stations'!A297</f>
        <v>39256</v>
      </c>
      <c r="B313"/>
      <c r="C313" s="70">
        <f t="shared" si="25"/>
        <v>139</v>
      </c>
      <c r="D313" s="70">
        <f t="shared" si="26"/>
        <v>54</v>
      </c>
      <c r="E313" s="70">
        <f t="shared" si="27"/>
        <v>0</v>
      </c>
      <c r="F313" s="94">
        <f t="shared" si="28"/>
        <v>193</v>
      </c>
      <c r="G313" s="109">
        <f t="shared" si="29"/>
        <v>183</v>
      </c>
      <c r="H313" s="109">
        <f t="shared" si="30"/>
        <v>10</v>
      </c>
      <c r="J313" s="216">
        <v>105</v>
      </c>
      <c r="K313" s="216">
        <v>12</v>
      </c>
      <c r="L313" s="216">
        <v>2</v>
      </c>
      <c r="M313" s="216">
        <v>0</v>
      </c>
      <c r="N313" s="216">
        <v>20</v>
      </c>
      <c r="O313" s="216">
        <v>0</v>
      </c>
      <c r="P313" s="216">
        <v>0</v>
      </c>
      <c r="Q313" s="216">
        <v>0</v>
      </c>
      <c r="R313" s="216">
        <v>0</v>
      </c>
      <c r="S313" s="216">
        <v>0</v>
      </c>
      <c r="T313" s="216">
        <v>0</v>
      </c>
      <c r="U313" s="216">
        <v>0</v>
      </c>
      <c r="V313" s="216">
        <v>44</v>
      </c>
      <c r="W313" s="52"/>
      <c r="X313" s="216">
        <v>0</v>
      </c>
      <c r="Y313" s="216">
        <v>2</v>
      </c>
      <c r="Z313" s="216">
        <v>8</v>
      </c>
      <c r="AH313" s="46"/>
      <c r="AI313" s="46"/>
    </row>
    <row r="314" spans="1:35" x14ac:dyDescent="0.25">
      <c r="A314" s="31">
        <f>'M&amp;R Stations'!A298</f>
        <v>39257</v>
      </c>
      <c r="B314"/>
      <c r="C314" s="70">
        <f t="shared" si="25"/>
        <v>139</v>
      </c>
      <c r="D314" s="70">
        <f t="shared" si="26"/>
        <v>53</v>
      </c>
      <c r="E314" s="70">
        <f t="shared" si="27"/>
        <v>0</v>
      </c>
      <c r="F314" s="94">
        <f t="shared" si="28"/>
        <v>192</v>
      </c>
      <c r="G314" s="109">
        <f t="shared" si="29"/>
        <v>184</v>
      </c>
      <c r="H314" s="109">
        <f t="shared" si="30"/>
        <v>8</v>
      </c>
      <c r="J314" s="216">
        <v>105</v>
      </c>
      <c r="K314" s="216">
        <v>11</v>
      </c>
      <c r="L314" s="216">
        <v>2</v>
      </c>
      <c r="M314" s="216">
        <v>0</v>
      </c>
      <c r="N314" s="216">
        <v>21</v>
      </c>
      <c r="O314" s="216">
        <v>0</v>
      </c>
      <c r="P314" s="216">
        <v>0</v>
      </c>
      <c r="Q314" s="216">
        <v>0</v>
      </c>
      <c r="R314" s="216">
        <v>0</v>
      </c>
      <c r="S314" s="216">
        <v>0</v>
      </c>
      <c r="T314" s="216">
        <v>0</v>
      </c>
      <c r="U314" s="216">
        <v>0</v>
      </c>
      <c r="V314" s="216">
        <v>45</v>
      </c>
      <c r="W314" s="52"/>
      <c r="X314" s="216">
        <v>0</v>
      </c>
      <c r="Y314" s="216">
        <v>1</v>
      </c>
      <c r="Z314" s="216">
        <v>7</v>
      </c>
      <c r="AH314" s="46"/>
      <c r="AI314" s="46"/>
    </row>
    <row r="315" spans="1:35" x14ac:dyDescent="0.25">
      <c r="A315" s="31">
        <f>'M&amp;R Stations'!A299</f>
        <v>39258</v>
      </c>
      <c r="B315"/>
      <c r="C315" s="70">
        <f t="shared" si="25"/>
        <v>136</v>
      </c>
      <c r="D315" s="70">
        <f t="shared" si="26"/>
        <v>57</v>
      </c>
      <c r="E315" s="70">
        <f t="shared" si="27"/>
        <v>0</v>
      </c>
      <c r="F315" s="94">
        <f t="shared" si="28"/>
        <v>193</v>
      </c>
      <c r="G315" s="109">
        <f t="shared" si="29"/>
        <v>184</v>
      </c>
      <c r="H315" s="109">
        <f t="shared" si="30"/>
        <v>9</v>
      </c>
      <c r="J315" s="216">
        <v>100</v>
      </c>
      <c r="K315" s="216">
        <v>11</v>
      </c>
      <c r="L315" s="216">
        <v>2</v>
      </c>
      <c r="M315" s="216">
        <v>0</v>
      </c>
      <c r="N315" s="216">
        <v>23</v>
      </c>
      <c r="O315" s="216">
        <v>0</v>
      </c>
      <c r="P315" s="216">
        <v>0</v>
      </c>
      <c r="Q315" s="216">
        <v>0</v>
      </c>
      <c r="R315" s="216">
        <v>0</v>
      </c>
      <c r="S315" s="216">
        <v>0</v>
      </c>
      <c r="T315" s="216">
        <v>0</v>
      </c>
      <c r="U315" s="216">
        <v>0</v>
      </c>
      <c r="V315" s="216">
        <v>48</v>
      </c>
      <c r="W315" s="52"/>
      <c r="X315" s="216">
        <v>0</v>
      </c>
      <c r="Y315" s="216">
        <v>2</v>
      </c>
      <c r="Z315" s="216">
        <v>7</v>
      </c>
      <c r="AH315" s="46"/>
      <c r="AI315" s="46"/>
    </row>
    <row r="316" spans="1:35" x14ac:dyDescent="0.25">
      <c r="A316" s="31">
        <f>'M&amp;R Stations'!A300</f>
        <v>39259</v>
      </c>
      <c r="B316"/>
      <c r="C316" s="70">
        <f t="shared" si="25"/>
        <v>130</v>
      </c>
      <c r="D316" s="70">
        <f t="shared" si="26"/>
        <v>54</v>
      </c>
      <c r="E316" s="70">
        <f t="shared" si="27"/>
        <v>0</v>
      </c>
      <c r="F316" s="94">
        <f t="shared" si="28"/>
        <v>184</v>
      </c>
      <c r="G316" s="109">
        <f t="shared" si="29"/>
        <v>176</v>
      </c>
      <c r="H316" s="109">
        <f t="shared" si="30"/>
        <v>8</v>
      </c>
      <c r="J316" s="216">
        <v>96</v>
      </c>
      <c r="K316" s="216">
        <v>11</v>
      </c>
      <c r="L316" s="216">
        <v>3</v>
      </c>
      <c r="M316" s="216">
        <v>0</v>
      </c>
      <c r="N316" s="216">
        <v>20</v>
      </c>
      <c r="O316" s="216">
        <v>0</v>
      </c>
      <c r="P316" s="216">
        <v>0</v>
      </c>
      <c r="Q316" s="216">
        <v>0</v>
      </c>
      <c r="R316" s="216">
        <v>0</v>
      </c>
      <c r="S316" s="216">
        <v>0</v>
      </c>
      <c r="T316" s="216">
        <v>0</v>
      </c>
      <c r="U316" s="216">
        <v>0</v>
      </c>
      <c r="V316" s="216">
        <v>46</v>
      </c>
      <c r="W316" s="52"/>
      <c r="X316" s="216">
        <v>0</v>
      </c>
      <c r="Y316" s="216">
        <v>1</v>
      </c>
      <c r="Z316" s="216">
        <v>7</v>
      </c>
      <c r="AH316" s="46"/>
      <c r="AI316" s="46"/>
    </row>
    <row r="317" spans="1:35" x14ac:dyDescent="0.25">
      <c r="A317" s="31">
        <f>'M&amp;R Stations'!A301</f>
        <v>39260</v>
      </c>
      <c r="B317"/>
      <c r="C317" s="70">
        <f t="shared" si="25"/>
        <v>153</v>
      </c>
      <c r="D317" s="70">
        <f t="shared" si="26"/>
        <v>53</v>
      </c>
      <c r="E317" s="70">
        <f t="shared" si="27"/>
        <v>19</v>
      </c>
      <c r="F317" s="94">
        <f t="shared" si="28"/>
        <v>225</v>
      </c>
      <c r="G317" s="109">
        <f t="shared" si="29"/>
        <v>215</v>
      </c>
      <c r="H317" s="109">
        <f t="shared" si="30"/>
        <v>10</v>
      </c>
      <c r="J317" s="216">
        <v>117</v>
      </c>
      <c r="K317" s="216">
        <v>11</v>
      </c>
      <c r="L317" s="216">
        <v>3</v>
      </c>
      <c r="M317" s="216">
        <v>0</v>
      </c>
      <c r="N317" s="216">
        <v>22</v>
      </c>
      <c r="O317" s="216">
        <v>0</v>
      </c>
      <c r="P317" s="216">
        <v>0</v>
      </c>
      <c r="Q317" s="216">
        <v>0</v>
      </c>
      <c r="R317" s="216">
        <v>0</v>
      </c>
      <c r="S317" s="216">
        <v>0</v>
      </c>
      <c r="T317" s="216">
        <v>0</v>
      </c>
      <c r="U317" s="216">
        <v>19</v>
      </c>
      <c r="V317" s="216">
        <v>43</v>
      </c>
      <c r="W317" s="52"/>
      <c r="X317" s="216">
        <v>0</v>
      </c>
      <c r="Y317" s="216">
        <v>2</v>
      </c>
      <c r="Z317" s="216">
        <v>8</v>
      </c>
      <c r="AH317" s="46"/>
      <c r="AI317" s="46"/>
    </row>
    <row r="318" spans="1:35" x14ac:dyDescent="0.25">
      <c r="A318" s="31">
        <f>'M&amp;R Stations'!A302</f>
        <v>39261</v>
      </c>
      <c r="B318"/>
      <c r="C318" s="70">
        <f t="shared" si="25"/>
        <v>145</v>
      </c>
      <c r="D318" s="70">
        <f t="shared" si="26"/>
        <v>53</v>
      </c>
      <c r="E318" s="70">
        <f t="shared" si="27"/>
        <v>8</v>
      </c>
      <c r="F318" s="94">
        <f t="shared" si="28"/>
        <v>206</v>
      </c>
      <c r="G318" s="109">
        <f t="shared" si="29"/>
        <v>197</v>
      </c>
      <c r="H318" s="109">
        <f t="shared" si="30"/>
        <v>9</v>
      </c>
      <c r="J318" s="216">
        <v>111</v>
      </c>
      <c r="K318" s="216">
        <v>11</v>
      </c>
      <c r="L318" s="216">
        <v>3</v>
      </c>
      <c r="M318" s="216">
        <v>0</v>
      </c>
      <c r="N318" s="216">
        <v>20</v>
      </c>
      <c r="O318" s="216">
        <v>0</v>
      </c>
      <c r="P318" s="216">
        <v>0</v>
      </c>
      <c r="Q318" s="216">
        <v>0</v>
      </c>
      <c r="R318" s="216">
        <v>0</v>
      </c>
      <c r="S318" s="216">
        <v>0</v>
      </c>
      <c r="T318" s="216">
        <v>0</v>
      </c>
      <c r="U318" s="216">
        <v>8</v>
      </c>
      <c r="V318" s="216">
        <v>44</v>
      </c>
      <c r="W318" s="52"/>
      <c r="X318" s="216">
        <v>0</v>
      </c>
      <c r="Y318" s="216">
        <v>1</v>
      </c>
      <c r="Z318" s="216">
        <v>8</v>
      </c>
      <c r="AH318" s="46"/>
      <c r="AI318" s="46"/>
    </row>
    <row r="319" spans="1:35" x14ac:dyDescent="0.25">
      <c r="A319" s="31">
        <f>'M&amp;R Stations'!A303</f>
        <v>39262</v>
      </c>
      <c r="B319"/>
      <c r="C319" s="70">
        <f t="shared" si="25"/>
        <v>142</v>
      </c>
      <c r="D319" s="70">
        <f t="shared" si="26"/>
        <v>54</v>
      </c>
      <c r="E319" s="70">
        <f t="shared" si="27"/>
        <v>0</v>
      </c>
      <c r="F319" s="94">
        <f t="shared" si="28"/>
        <v>196</v>
      </c>
      <c r="G319" s="109">
        <f t="shared" si="29"/>
        <v>186</v>
      </c>
      <c r="H319" s="109">
        <f t="shared" si="30"/>
        <v>10</v>
      </c>
      <c r="J319" s="216">
        <v>107</v>
      </c>
      <c r="K319" s="216">
        <v>11</v>
      </c>
      <c r="L319" s="216">
        <v>3</v>
      </c>
      <c r="M319" s="216">
        <v>0</v>
      </c>
      <c r="N319" s="216">
        <v>21</v>
      </c>
      <c r="O319" s="216">
        <v>0</v>
      </c>
      <c r="P319" s="216">
        <v>0</v>
      </c>
      <c r="Q319" s="216">
        <v>0</v>
      </c>
      <c r="R319" s="216">
        <v>0</v>
      </c>
      <c r="S319" s="216">
        <v>0</v>
      </c>
      <c r="T319" s="216">
        <v>0</v>
      </c>
      <c r="U319" s="216">
        <v>0</v>
      </c>
      <c r="V319" s="216">
        <v>44</v>
      </c>
      <c r="W319" s="52"/>
      <c r="X319" s="216">
        <v>0</v>
      </c>
      <c r="Y319" s="216">
        <v>2</v>
      </c>
      <c r="Z319" s="216">
        <v>8</v>
      </c>
      <c r="AH319" s="46"/>
      <c r="AI319" s="46"/>
    </row>
    <row r="320" spans="1:35" x14ac:dyDescent="0.25">
      <c r="A320" s="31">
        <f>'M&amp;R Stations'!A304</f>
        <v>39263</v>
      </c>
      <c r="B320"/>
      <c r="C320" s="70">
        <f t="shared" si="25"/>
        <v>149</v>
      </c>
      <c r="D320" s="70">
        <f t="shared" si="26"/>
        <v>48</v>
      </c>
      <c r="E320" s="70">
        <f t="shared" si="27"/>
        <v>0</v>
      </c>
      <c r="F320" s="94">
        <f t="shared" si="28"/>
        <v>197</v>
      </c>
      <c r="G320" s="109">
        <f t="shared" si="29"/>
        <v>188</v>
      </c>
      <c r="H320" s="109">
        <f t="shared" si="30"/>
        <v>9</v>
      </c>
      <c r="J320" s="216">
        <v>113</v>
      </c>
      <c r="K320" s="216">
        <v>11</v>
      </c>
      <c r="L320" s="216">
        <v>3</v>
      </c>
      <c r="M320" s="216">
        <v>0</v>
      </c>
      <c r="N320" s="216">
        <v>22</v>
      </c>
      <c r="O320" s="216">
        <v>0</v>
      </c>
      <c r="P320" s="216">
        <v>0</v>
      </c>
      <c r="Q320" s="216">
        <v>0</v>
      </c>
      <c r="R320" s="216">
        <v>0</v>
      </c>
      <c r="S320" s="216">
        <v>0</v>
      </c>
      <c r="T320" s="216">
        <v>0</v>
      </c>
      <c r="U320" s="216">
        <v>0</v>
      </c>
      <c r="V320" s="216">
        <v>39</v>
      </c>
      <c r="W320" s="52"/>
      <c r="X320" s="216">
        <v>0</v>
      </c>
      <c r="Y320" s="216">
        <v>1</v>
      </c>
      <c r="Z320" s="216">
        <v>8</v>
      </c>
      <c r="AH320" s="46"/>
      <c r="AI320" s="46"/>
    </row>
    <row r="321" spans="1:35" x14ac:dyDescent="0.25">
      <c r="A321" s="96"/>
      <c r="B321" s="97"/>
      <c r="C321" s="98"/>
      <c r="D321" s="98"/>
      <c r="E321" s="98"/>
      <c r="F321" s="98"/>
      <c r="G321" s="98" t="str">
        <f t="shared" si="29"/>
        <v/>
      </c>
      <c r="H321" s="98" t="str">
        <f t="shared" si="30"/>
        <v/>
      </c>
      <c r="J321" s="95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255"/>
      <c r="X321" s="98"/>
      <c r="Y321" s="98"/>
      <c r="Z321" s="98"/>
      <c r="AH321" s="46"/>
      <c r="AI321" s="46"/>
    </row>
    <row r="322" spans="1:35" x14ac:dyDescent="0.25">
      <c r="A322" s="31">
        <f>'M&amp;R Stations'!A305</f>
        <v>39264</v>
      </c>
      <c r="B322"/>
      <c r="C322" s="70">
        <f t="shared" si="25"/>
        <v>142</v>
      </c>
      <c r="D322" s="70">
        <f t="shared" si="26"/>
        <v>53</v>
      </c>
      <c r="E322" s="70">
        <f t="shared" si="27"/>
        <v>0</v>
      </c>
      <c r="F322" s="94">
        <f t="shared" si="28"/>
        <v>195</v>
      </c>
      <c r="G322" s="109">
        <f t="shared" si="29"/>
        <v>174</v>
      </c>
      <c r="H322" s="109">
        <f t="shared" si="30"/>
        <v>21</v>
      </c>
      <c r="J322" s="216">
        <v>129</v>
      </c>
      <c r="K322" s="216">
        <v>11</v>
      </c>
      <c r="L322" s="216">
        <v>2</v>
      </c>
      <c r="M322" s="216">
        <v>0</v>
      </c>
      <c r="N322" s="216">
        <v>0</v>
      </c>
      <c r="O322" s="216">
        <v>0</v>
      </c>
      <c r="P322" s="216">
        <v>0</v>
      </c>
      <c r="Q322" s="216">
        <v>0</v>
      </c>
      <c r="R322" s="216">
        <v>0</v>
      </c>
      <c r="S322" s="216">
        <v>0</v>
      </c>
      <c r="T322" s="216">
        <v>0</v>
      </c>
      <c r="U322" s="216">
        <v>0</v>
      </c>
      <c r="V322" s="216">
        <v>32</v>
      </c>
      <c r="W322" s="52"/>
      <c r="X322" s="216">
        <v>0</v>
      </c>
      <c r="Y322" s="216">
        <v>4</v>
      </c>
      <c r="Z322" s="216">
        <v>17</v>
      </c>
      <c r="AH322" s="46"/>
      <c r="AI322" s="46"/>
    </row>
    <row r="323" spans="1:35" x14ac:dyDescent="0.25">
      <c r="A323" s="31">
        <f>'M&amp;R Stations'!A306</f>
        <v>39265</v>
      </c>
      <c r="B323"/>
      <c r="C323" s="70">
        <f t="shared" si="25"/>
        <v>13</v>
      </c>
      <c r="D323" s="70">
        <f t="shared" si="26"/>
        <v>52</v>
      </c>
      <c r="E323" s="70">
        <f t="shared" si="27"/>
        <v>0</v>
      </c>
      <c r="F323" s="94">
        <f t="shared" si="28"/>
        <v>65</v>
      </c>
      <c r="G323" s="109">
        <f t="shared" si="29"/>
        <v>43</v>
      </c>
      <c r="H323" s="109">
        <f t="shared" si="30"/>
        <v>22</v>
      </c>
      <c r="J323" s="216">
        <v>0</v>
      </c>
      <c r="K323" s="216">
        <v>11</v>
      </c>
      <c r="L323" s="216">
        <v>2</v>
      </c>
      <c r="M323" s="216">
        <v>0</v>
      </c>
      <c r="N323" s="216">
        <v>0</v>
      </c>
      <c r="O323" s="216">
        <v>0</v>
      </c>
      <c r="P323" s="216">
        <v>0</v>
      </c>
      <c r="Q323" s="216">
        <v>0</v>
      </c>
      <c r="R323" s="216">
        <v>0</v>
      </c>
      <c r="S323" s="216">
        <v>0</v>
      </c>
      <c r="T323" s="216">
        <v>0</v>
      </c>
      <c r="U323" s="216">
        <v>0</v>
      </c>
      <c r="V323" s="216">
        <v>30</v>
      </c>
      <c r="W323" s="52"/>
      <c r="X323" s="216">
        <v>0</v>
      </c>
      <c r="Y323" s="216">
        <v>5</v>
      </c>
      <c r="Z323" s="216">
        <v>17</v>
      </c>
      <c r="AH323" s="46"/>
      <c r="AI323" s="46"/>
    </row>
    <row r="324" spans="1:35" x14ac:dyDescent="0.25">
      <c r="A324" s="31">
        <f>'M&amp;R Stations'!A307</f>
        <v>39266</v>
      </c>
      <c r="B324"/>
      <c r="C324" s="70">
        <f t="shared" si="25"/>
        <v>13</v>
      </c>
      <c r="D324" s="70">
        <f t="shared" si="26"/>
        <v>48</v>
      </c>
      <c r="E324" s="70">
        <f t="shared" si="27"/>
        <v>0</v>
      </c>
      <c r="F324" s="94">
        <f t="shared" si="28"/>
        <v>61</v>
      </c>
      <c r="G324" s="109">
        <f t="shared" si="29"/>
        <v>40</v>
      </c>
      <c r="H324" s="109">
        <f t="shared" si="30"/>
        <v>21</v>
      </c>
      <c r="J324" s="216">
        <v>0</v>
      </c>
      <c r="K324" s="216">
        <v>11</v>
      </c>
      <c r="L324" s="216">
        <v>2</v>
      </c>
      <c r="M324" s="216">
        <v>0</v>
      </c>
      <c r="N324" s="216">
        <v>0</v>
      </c>
      <c r="O324" s="216">
        <v>0</v>
      </c>
      <c r="P324" s="216">
        <v>0</v>
      </c>
      <c r="Q324" s="216">
        <v>0</v>
      </c>
      <c r="R324" s="216">
        <v>0</v>
      </c>
      <c r="S324" s="216">
        <v>0</v>
      </c>
      <c r="T324" s="216">
        <v>0</v>
      </c>
      <c r="U324" s="216">
        <v>0</v>
      </c>
      <c r="V324" s="216">
        <v>27</v>
      </c>
      <c r="W324" s="52"/>
      <c r="X324" s="216">
        <v>0</v>
      </c>
      <c r="Y324" s="216">
        <v>5</v>
      </c>
      <c r="Z324" s="216">
        <v>16</v>
      </c>
      <c r="AH324" s="46"/>
      <c r="AI324" s="46"/>
    </row>
    <row r="325" spans="1:35" x14ac:dyDescent="0.25">
      <c r="A325" s="31">
        <f>'M&amp;R Stations'!A308</f>
        <v>39267</v>
      </c>
      <c r="B325"/>
      <c r="C325" s="70">
        <f t="shared" si="25"/>
        <v>13</v>
      </c>
      <c r="D325" s="70">
        <f t="shared" si="26"/>
        <v>49</v>
      </c>
      <c r="E325" s="70">
        <f t="shared" si="27"/>
        <v>0</v>
      </c>
      <c r="F325" s="94">
        <f t="shared" si="28"/>
        <v>62</v>
      </c>
      <c r="G325" s="109">
        <f t="shared" si="29"/>
        <v>40</v>
      </c>
      <c r="H325" s="109">
        <f t="shared" si="30"/>
        <v>22</v>
      </c>
      <c r="J325" s="216">
        <v>0</v>
      </c>
      <c r="K325" s="216">
        <v>11</v>
      </c>
      <c r="L325" s="216">
        <v>2</v>
      </c>
      <c r="M325" s="216">
        <v>0</v>
      </c>
      <c r="N325" s="216">
        <v>0</v>
      </c>
      <c r="O325" s="216">
        <v>0</v>
      </c>
      <c r="P325" s="216">
        <v>0</v>
      </c>
      <c r="Q325" s="216">
        <v>0</v>
      </c>
      <c r="R325" s="216">
        <v>0</v>
      </c>
      <c r="S325" s="216">
        <v>0</v>
      </c>
      <c r="T325" s="216">
        <v>0</v>
      </c>
      <c r="U325" s="216">
        <v>0</v>
      </c>
      <c r="V325" s="216">
        <v>27</v>
      </c>
      <c r="W325" s="52"/>
      <c r="X325" s="216">
        <v>0</v>
      </c>
      <c r="Y325" s="216">
        <v>5</v>
      </c>
      <c r="Z325" s="216">
        <v>17</v>
      </c>
      <c r="AH325" s="46"/>
      <c r="AI325" s="46"/>
    </row>
    <row r="326" spans="1:35" x14ac:dyDescent="0.25">
      <c r="A326" s="31">
        <f>'M&amp;R Stations'!A309</f>
        <v>39268</v>
      </c>
      <c r="B326"/>
      <c r="C326" s="70">
        <f t="shared" si="25"/>
        <v>13</v>
      </c>
      <c r="D326" s="70">
        <f t="shared" si="26"/>
        <v>55</v>
      </c>
      <c r="E326" s="70">
        <f t="shared" si="27"/>
        <v>0</v>
      </c>
      <c r="F326" s="94">
        <f t="shared" si="28"/>
        <v>68</v>
      </c>
      <c r="G326" s="109">
        <f t="shared" si="29"/>
        <v>42</v>
      </c>
      <c r="H326" s="109">
        <f t="shared" si="30"/>
        <v>26</v>
      </c>
      <c r="J326" s="216">
        <v>0</v>
      </c>
      <c r="K326" s="216">
        <v>11</v>
      </c>
      <c r="L326" s="216">
        <v>2</v>
      </c>
      <c r="M326" s="216">
        <v>0</v>
      </c>
      <c r="N326" s="216">
        <v>0</v>
      </c>
      <c r="O326" s="216">
        <v>0</v>
      </c>
      <c r="P326" s="216">
        <v>0</v>
      </c>
      <c r="Q326" s="216">
        <v>0</v>
      </c>
      <c r="R326" s="216">
        <v>0</v>
      </c>
      <c r="S326" s="216">
        <v>0</v>
      </c>
      <c r="T326" s="216">
        <v>0</v>
      </c>
      <c r="U326" s="216">
        <v>0</v>
      </c>
      <c r="V326" s="216">
        <v>29</v>
      </c>
      <c r="W326" s="52"/>
      <c r="X326" s="216">
        <v>0</v>
      </c>
      <c r="Y326" s="216">
        <v>5</v>
      </c>
      <c r="Z326" s="216">
        <v>21</v>
      </c>
      <c r="AH326" s="46"/>
      <c r="AI326" s="46"/>
    </row>
    <row r="327" spans="1:35" x14ac:dyDescent="0.25">
      <c r="A327" s="31">
        <f>'M&amp;R Stations'!A310</f>
        <v>39269</v>
      </c>
      <c r="B327"/>
      <c r="C327" s="70">
        <f t="shared" si="25"/>
        <v>13</v>
      </c>
      <c r="D327" s="70">
        <f t="shared" si="26"/>
        <v>52</v>
      </c>
      <c r="E327" s="70">
        <f t="shared" si="27"/>
        <v>0</v>
      </c>
      <c r="F327" s="94">
        <f t="shared" si="28"/>
        <v>65</v>
      </c>
      <c r="G327" s="109">
        <f t="shared" si="29"/>
        <v>41</v>
      </c>
      <c r="H327" s="109">
        <f t="shared" si="30"/>
        <v>24</v>
      </c>
      <c r="J327" s="216">
        <v>0</v>
      </c>
      <c r="K327" s="216">
        <v>11</v>
      </c>
      <c r="L327" s="216">
        <v>2</v>
      </c>
      <c r="M327" s="216">
        <v>0</v>
      </c>
      <c r="N327" s="216">
        <v>0</v>
      </c>
      <c r="O327" s="216">
        <v>0</v>
      </c>
      <c r="P327" s="216">
        <v>0</v>
      </c>
      <c r="Q327" s="216">
        <v>0</v>
      </c>
      <c r="R327" s="216">
        <v>0</v>
      </c>
      <c r="S327" s="216">
        <v>0</v>
      </c>
      <c r="T327" s="216">
        <v>0</v>
      </c>
      <c r="U327" s="216">
        <v>0</v>
      </c>
      <c r="V327" s="216">
        <v>28</v>
      </c>
      <c r="W327" s="52"/>
      <c r="X327" s="216">
        <v>0</v>
      </c>
      <c r="Y327" s="216">
        <v>4</v>
      </c>
      <c r="Z327" s="216">
        <v>20</v>
      </c>
      <c r="AH327" s="46"/>
      <c r="AI327" s="46"/>
    </row>
    <row r="328" spans="1:35" x14ac:dyDescent="0.25">
      <c r="A328" s="31">
        <f>'M&amp;R Stations'!A311</f>
        <v>39270</v>
      </c>
      <c r="B328"/>
      <c r="C328" s="70">
        <f t="shared" si="25"/>
        <v>13</v>
      </c>
      <c r="D328" s="70">
        <f t="shared" si="26"/>
        <v>51</v>
      </c>
      <c r="E328" s="70">
        <f t="shared" si="27"/>
        <v>0</v>
      </c>
      <c r="F328" s="94">
        <f t="shared" si="28"/>
        <v>64</v>
      </c>
      <c r="G328" s="109">
        <f t="shared" si="29"/>
        <v>40</v>
      </c>
      <c r="H328" s="109">
        <f t="shared" si="30"/>
        <v>24</v>
      </c>
      <c r="J328" s="216">
        <v>0</v>
      </c>
      <c r="K328" s="216">
        <v>11</v>
      </c>
      <c r="L328" s="216">
        <v>2</v>
      </c>
      <c r="M328" s="216">
        <v>0</v>
      </c>
      <c r="N328" s="216">
        <v>0</v>
      </c>
      <c r="O328" s="216">
        <v>0</v>
      </c>
      <c r="P328" s="216">
        <v>0</v>
      </c>
      <c r="Q328" s="216">
        <v>0</v>
      </c>
      <c r="R328" s="216">
        <v>0</v>
      </c>
      <c r="S328" s="216">
        <v>0</v>
      </c>
      <c r="T328" s="216">
        <v>0</v>
      </c>
      <c r="U328" s="216">
        <v>0</v>
      </c>
      <c r="V328" s="216">
        <v>27</v>
      </c>
      <c r="W328" s="52"/>
      <c r="X328" s="216">
        <v>0</v>
      </c>
      <c r="Y328" s="216">
        <v>4</v>
      </c>
      <c r="Z328" s="216">
        <v>20</v>
      </c>
      <c r="AH328" s="46"/>
      <c r="AI328" s="46"/>
    </row>
    <row r="329" spans="1:35" x14ac:dyDescent="0.25">
      <c r="A329" s="31">
        <f>'M&amp;R Stations'!A312</f>
        <v>39271</v>
      </c>
      <c r="B329"/>
      <c r="C329" s="70">
        <f t="shared" ref="C329:C384" si="31">IF(J329="","",J329+K329+L329+M329+N329+O329+Q329+P329+X329)</f>
        <v>12</v>
      </c>
      <c r="D329" s="70">
        <f t="shared" ref="D329:D384" si="32">IF(J329="","",S329+V329+Y329+Z329)</f>
        <v>53</v>
      </c>
      <c r="E329" s="70">
        <f t="shared" ref="E329:E384" si="33">IF(J329="","",R329+T329+U329)</f>
        <v>0</v>
      </c>
      <c r="F329" s="94">
        <f t="shared" ref="F329:F384" si="34">IF(J329="","",C329+D329+E329)</f>
        <v>65</v>
      </c>
      <c r="G329" s="109">
        <f t="shared" ref="G329:G384" si="35">IF(J329="","",SUM(J329:V329))</f>
        <v>39</v>
      </c>
      <c r="H329" s="109">
        <f t="shared" ref="H329:H384" si="36">IF(J329="","",SUM(X329:Z329))</f>
        <v>26</v>
      </c>
      <c r="J329" s="216">
        <v>0</v>
      </c>
      <c r="K329" s="216">
        <v>10</v>
      </c>
      <c r="L329" s="216">
        <v>2</v>
      </c>
      <c r="M329" s="216">
        <v>0</v>
      </c>
      <c r="N329" s="216">
        <v>0</v>
      </c>
      <c r="O329" s="216">
        <v>0</v>
      </c>
      <c r="P329" s="216">
        <v>0</v>
      </c>
      <c r="Q329" s="216">
        <v>0</v>
      </c>
      <c r="R329" s="216">
        <v>0</v>
      </c>
      <c r="S329" s="216">
        <v>0</v>
      </c>
      <c r="T329" s="216">
        <v>0</v>
      </c>
      <c r="U329" s="216">
        <v>0</v>
      </c>
      <c r="V329" s="216">
        <v>27</v>
      </c>
      <c r="W329" s="52"/>
      <c r="X329" s="216">
        <v>0</v>
      </c>
      <c r="Y329" s="216">
        <v>4</v>
      </c>
      <c r="Z329" s="216">
        <v>22</v>
      </c>
      <c r="AH329" s="46"/>
      <c r="AI329" s="46"/>
    </row>
    <row r="330" spans="1:35" x14ac:dyDescent="0.25">
      <c r="A330" s="31">
        <f>'M&amp;R Stations'!A313</f>
        <v>39272</v>
      </c>
      <c r="B330"/>
      <c r="C330" s="70">
        <f t="shared" si="31"/>
        <v>14</v>
      </c>
      <c r="D330" s="70">
        <f t="shared" si="32"/>
        <v>53</v>
      </c>
      <c r="E330" s="70">
        <f t="shared" si="33"/>
        <v>0</v>
      </c>
      <c r="F330" s="94">
        <f t="shared" si="34"/>
        <v>67</v>
      </c>
      <c r="G330" s="109">
        <f t="shared" si="35"/>
        <v>42</v>
      </c>
      <c r="H330" s="109">
        <f t="shared" si="36"/>
        <v>25</v>
      </c>
      <c r="J330" s="216">
        <v>0</v>
      </c>
      <c r="K330" s="216">
        <v>12</v>
      </c>
      <c r="L330" s="216">
        <v>2</v>
      </c>
      <c r="M330" s="216">
        <v>0</v>
      </c>
      <c r="N330" s="216">
        <v>0</v>
      </c>
      <c r="O330" s="216">
        <v>0</v>
      </c>
      <c r="P330" s="216">
        <v>0</v>
      </c>
      <c r="Q330" s="216">
        <v>0</v>
      </c>
      <c r="R330" s="216">
        <v>0</v>
      </c>
      <c r="S330" s="216">
        <v>0</v>
      </c>
      <c r="T330" s="216">
        <v>0</v>
      </c>
      <c r="U330" s="216">
        <v>0</v>
      </c>
      <c r="V330" s="216">
        <v>28</v>
      </c>
      <c r="W330" s="52"/>
      <c r="X330" s="216">
        <v>0</v>
      </c>
      <c r="Y330" s="216">
        <v>3</v>
      </c>
      <c r="Z330" s="216">
        <v>22</v>
      </c>
      <c r="AH330" s="46"/>
      <c r="AI330" s="46"/>
    </row>
    <row r="331" spans="1:35" x14ac:dyDescent="0.25">
      <c r="A331" s="31">
        <f>'M&amp;R Stations'!A314</f>
        <v>39273</v>
      </c>
      <c r="B331"/>
      <c r="C331" s="70">
        <f t="shared" si="31"/>
        <v>13</v>
      </c>
      <c r="D331" s="70">
        <f t="shared" si="32"/>
        <v>53</v>
      </c>
      <c r="E331" s="70">
        <f t="shared" si="33"/>
        <v>13</v>
      </c>
      <c r="F331" s="94">
        <f t="shared" si="34"/>
        <v>79</v>
      </c>
      <c r="G331" s="109">
        <f t="shared" si="35"/>
        <v>53</v>
      </c>
      <c r="H331" s="109">
        <f t="shared" si="36"/>
        <v>26</v>
      </c>
      <c r="J331" s="216">
        <v>0</v>
      </c>
      <c r="K331" s="216">
        <v>11</v>
      </c>
      <c r="L331" s="216">
        <v>2</v>
      </c>
      <c r="M331" s="216">
        <v>0</v>
      </c>
      <c r="N331" s="216">
        <v>0</v>
      </c>
      <c r="O331" s="216">
        <v>0</v>
      </c>
      <c r="P331" s="216">
        <v>0</v>
      </c>
      <c r="Q331" s="216">
        <v>0</v>
      </c>
      <c r="R331" s="216">
        <v>0</v>
      </c>
      <c r="S331" s="216">
        <v>0</v>
      </c>
      <c r="T331" s="216">
        <v>0</v>
      </c>
      <c r="U331" s="216">
        <v>13</v>
      </c>
      <c r="V331" s="216">
        <v>27</v>
      </c>
      <c r="W331" s="52"/>
      <c r="X331" s="216">
        <v>0</v>
      </c>
      <c r="Y331" s="216">
        <v>4</v>
      </c>
      <c r="Z331" s="216">
        <v>22</v>
      </c>
      <c r="AH331" s="46"/>
      <c r="AI331" s="46"/>
    </row>
    <row r="332" spans="1:35" x14ac:dyDescent="0.25">
      <c r="A332" s="31">
        <f>'M&amp;R Stations'!A315</f>
        <v>39274</v>
      </c>
      <c r="B332"/>
      <c r="C332" s="70">
        <f t="shared" si="31"/>
        <v>13</v>
      </c>
      <c r="D332" s="70">
        <f t="shared" si="32"/>
        <v>57</v>
      </c>
      <c r="E332" s="70">
        <f t="shared" si="33"/>
        <v>0</v>
      </c>
      <c r="F332" s="94">
        <f t="shared" si="34"/>
        <v>70</v>
      </c>
      <c r="G332" s="109">
        <f t="shared" si="35"/>
        <v>41</v>
      </c>
      <c r="H332" s="109">
        <f t="shared" si="36"/>
        <v>29</v>
      </c>
      <c r="J332" s="216">
        <v>0</v>
      </c>
      <c r="K332" s="216">
        <v>11</v>
      </c>
      <c r="L332" s="216">
        <v>2</v>
      </c>
      <c r="M332" s="216">
        <v>0</v>
      </c>
      <c r="N332" s="216">
        <v>0</v>
      </c>
      <c r="O332" s="216">
        <v>0</v>
      </c>
      <c r="P332" s="216">
        <v>0</v>
      </c>
      <c r="Q332" s="216">
        <v>0</v>
      </c>
      <c r="R332" s="216">
        <v>0</v>
      </c>
      <c r="S332" s="216">
        <v>0</v>
      </c>
      <c r="T332" s="216">
        <v>0</v>
      </c>
      <c r="U332" s="216">
        <v>0</v>
      </c>
      <c r="V332" s="216">
        <v>28</v>
      </c>
      <c r="W332" s="52"/>
      <c r="X332" s="216">
        <v>0</v>
      </c>
      <c r="Y332" s="216">
        <v>5</v>
      </c>
      <c r="Z332" s="216">
        <v>24</v>
      </c>
      <c r="AH332" s="46"/>
      <c r="AI332" s="46"/>
    </row>
    <row r="333" spans="1:35" x14ac:dyDescent="0.25">
      <c r="A333" s="31">
        <f>'M&amp;R Stations'!A316</f>
        <v>39275</v>
      </c>
      <c r="B333"/>
      <c r="C333" s="70">
        <f t="shared" si="31"/>
        <v>13</v>
      </c>
      <c r="D333" s="70">
        <f t="shared" si="32"/>
        <v>56</v>
      </c>
      <c r="E333" s="70">
        <f t="shared" si="33"/>
        <v>0</v>
      </c>
      <c r="F333" s="94">
        <f t="shared" si="34"/>
        <v>69</v>
      </c>
      <c r="G333" s="109">
        <f t="shared" si="35"/>
        <v>43</v>
      </c>
      <c r="H333" s="109">
        <f t="shared" si="36"/>
        <v>26</v>
      </c>
      <c r="J333" s="216">
        <v>0</v>
      </c>
      <c r="K333" s="216">
        <v>11</v>
      </c>
      <c r="L333" s="216">
        <v>2</v>
      </c>
      <c r="M333" s="216">
        <v>0</v>
      </c>
      <c r="N333" s="216">
        <v>0</v>
      </c>
      <c r="O333" s="216">
        <v>0</v>
      </c>
      <c r="P333" s="216">
        <v>0</v>
      </c>
      <c r="Q333" s="216">
        <v>0</v>
      </c>
      <c r="R333" s="216">
        <v>0</v>
      </c>
      <c r="S333" s="216">
        <v>0</v>
      </c>
      <c r="T333" s="216">
        <v>0</v>
      </c>
      <c r="U333" s="216">
        <v>0</v>
      </c>
      <c r="V333" s="216">
        <v>30</v>
      </c>
      <c r="W333" s="52"/>
      <c r="X333" s="216">
        <v>0</v>
      </c>
      <c r="Y333" s="216">
        <v>4</v>
      </c>
      <c r="Z333" s="216">
        <v>22</v>
      </c>
      <c r="AH333" s="46"/>
      <c r="AI333" s="46"/>
    </row>
    <row r="334" spans="1:35" x14ac:dyDescent="0.25">
      <c r="A334" s="31">
        <f>'M&amp;R Stations'!A317</f>
        <v>39276</v>
      </c>
      <c r="B334"/>
      <c r="C334" s="70">
        <f t="shared" si="31"/>
        <v>13</v>
      </c>
      <c r="D334" s="70">
        <f t="shared" si="32"/>
        <v>54</v>
      </c>
      <c r="E334" s="70">
        <f t="shared" si="33"/>
        <v>0</v>
      </c>
      <c r="F334" s="94">
        <f t="shared" si="34"/>
        <v>67</v>
      </c>
      <c r="G334" s="109">
        <f t="shared" si="35"/>
        <v>42</v>
      </c>
      <c r="H334" s="109">
        <f t="shared" si="36"/>
        <v>25</v>
      </c>
      <c r="J334" s="216">
        <v>0</v>
      </c>
      <c r="K334" s="216">
        <v>11</v>
      </c>
      <c r="L334" s="216">
        <v>2</v>
      </c>
      <c r="M334" s="216">
        <v>0</v>
      </c>
      <c r="N334" s="216">
        <v>0</v>
      </c>
      <c r="O334" s="216">
        <v>0</v>
      </c>
      <c r="P334" s="216">
        <v>0</v>
      </c>
      <c r="Q334" s="216">
        <v>0</v>
      </c>
      <c r="R334" s="216">
        <v>0</v>
      </c>
      <c r="S334" s="216">
        <v>0</v>
      </c>
      <c r="T334" s="216">
        <v>0</v>
      </c>
      <c r="U334" s="216">
        <v>0</v>
      </c>
      <c r="V334" s="216">
        <v>29</v>
      </c>
      <c r="W334" s="52"/>
      <c r="X334" s="216">
        <v>0</v>
      </c>
      <c r="Y334" s="216">
        <v>5</v>
      </c>
      <c r="Z334" s="216">
        <v>20</v>
      </c>
      <c r="AH334" s="46"/>
      <c r="AI334" s="46"/>
    </row>
    <row r="335" spans="1:35" x14ac:dyDescent="0.25">
      <c r="A335" s="31">
        <f>'M&amp;R Stations'!A318</f>
        <v>39277</v>
      </c>
      <c r="B335"/>
      <c r="C335" s="70">
        <f t="shared" si="31"/>
        <v>13</v>
      </c>
      <c r="D335" s="70">
        <f t="shared" si="32"/>
        <v>50</v>
      </c>
      <c r="E335" s="70">
        <f t="shared" si="33"/>
        <v>0</v>
      </c>
      <c r="F335" s="94">
        <f t="shared" si="34"/>
        <v>63</v>
      </c>
      <c r="G335" s="109">
        <f t="shared" si="35"/>
        <v>40</v>
      </c>
      <c r="H335" s="109">
        <f t="shared" si="36"/>
        <v>23</v>
      </c>
      <c r="J335" s="216">
        <v>0</v>
      </c>
      <c r="K335" s="216">
        <v>11</v>
      </c>
      <c r="L335" s="216">
        <v>2</v>
      </c>
      <c r="M335" s="216">
        <v>0</v>
      </c>
      <c r="N335" s="216">
        <v>0</v>
      </c>
      <c r="O335" s="216">
        <v>0</v>
      </c>
      <c r="P335" s="216">
        <v>0</v>
      </c>
      <c r="Q335" s="216">
        <v>0</v>
      </c>
      <c r="R335" s="216">
        <v>0</v>
      </c>
      <c r="S335" s="216">
        <v>0</v>
      </c>
      <c r="T335" s="216">
        <v>0</v>
      </c>
      <c r="U335" s="216">
        <v>0</v>
      </c>
      <c r="V335" s="216">
        <v>27</v>
      </c>
      <c r="W335" s="52"/>
      <c r="X335" s="216">
        <v>0</v>
      </c>
      <c r="Y335" s="216">
        <v>4</v>
      </c>
      <c r="Z335" s="216">
        <v>19</v>
      </c>
      <c r="AH335" s="46"/>
      <c r="AI335" s="46"/>
    </row>
    <row r="336" spans="1:35" x14ac:dyDescent="0.25">
      <c r="A336" s="31">
        <f>'M&amp;R Stations'!A319</f>
        <v>39278</v>
      </c>
      <c r="B336"/>
      <c r="C336" s="70">
        <f t="shared" si="31"/>
        <v>13</v>
      </c>
      <c r="D336" s="70">
        <f t="shared" si="32"/>
        <v>52</v>
      </c>
      <c r="E336" s="70">
        <f t="shared" si="33"/>
        <v>0</v>
      </c>
      <c r="F336" s="94">
        <f t="shared" si="34"/>
        <v>65</v>
      </c>
      <c r="G336" s="109">
        <f t="shared" si="35"/>
        <v>40</v>
      </c>
      <c r="H336" s="109">
        <f t="shared" si="36"/>
        <v>25</v>
      </c>
      <c r="J336" s="216">
        <v>0</v>
      </c>
      <c r="K336" s="216">
        <v>11</v>
      </c>
      <c r="L336" s="216">
        <v>2</v>
      </c>
      <c r="M336" s="216">
        <v>0</v>
      </c>
      <c r="N336" s="216">
        <v>0</v>
      </c>
      <c r="O336" s="216">
        <v>0</v>
      </c>
      <c r="P336" s="216">
        <v>0</v>
      </c>
      <c r="Q336" s="216">
        <v>0</v>
      </c>
      <c r="R336" s="216">
        <v>0</v>
      </c>
      <c r="S336" s="216">
        <v>0</v>
      </c>
      <c r="T336" s="216">
        <v>0</v>
      </c>
      <c r="U336" s="216">
        <v>0</v>
      </c>
      <c r="V336" s="216">
        <v>27</v>
      </c>
      <c r="W336" s="52"/>
      <c r="X336" s="216">
        <v>0</v>
      </c>
      <c r="Y336" s="216">
        <v>3</v>
      </c>
      <c r="Z336" s="216">
        <v>22</v>
      </c>
      <c r="AH336" s="46"/>
      <c r="AI336" s="46"/>
    </row>
    <row r="337" spans="1:35" x14ac:dyDescent="0.25">
      <c r="A337" s="31">
        <f>'M&amp;R Stations'!A320</f>
        <v>39279</v>
      </c>
      <c r="B337"/>
      <c r="C337" s="70">
        <f t="shared" si="31"/>
        <v>12</v>
      </c>
      <c r="D337" s="70">
        <f t="shared" si="32"/>
        <v>55</v>
      </c>
      <c r="E337" s="70">
        <f t="shared" si="33"/>
        <v>13</v>
      </c>
      <c r="F337" s="94">
        <f t="shared" si="34"/>
        <v>80</v>
      </c>
      <c r="G337" s="109">
        <f t="shared" si="35"/>
        <v>53</v>
      </c>
      <c r="H337" s="109">
        <f t="shared" si="36"/>
        <v>27</v>
      </c>
      <c r="J337" s="216">
        <v>0</v>
      </c>
      <c r="K337" s="216">
        <v>10</v>
      </c>
      <c r="L337" s="216">
        <v>2</v>
      </c>
      <c r="M337" s="216">
        <v>0</v>
      </c>
      <c r="N337" s="216">
        <v>0</v>
      </c>
      <c r="O337" s="216">
        <v>0</v>
      </c>
      <c r="P337" s="216">
        <v>0</v>
      </c>
      <c r="Q337" s="216">
        <v>0</v>
      </c>
      <c r="R337" s="216">
        <v>0</v>
      </c>
      <c r="S337" s="216">
        <v>0</v>
      </c>
      <c r="T337" s="216">
        <v>0</v>
      </c>
      <c r="U337" s="216">
        <v>13</v>
      </c>
      <c r="V337" s="216">
        <v>28</v>
      </c>
      <c r="W337" s="52"/>
      <c r="X337" s="216">
        <v>0</v>
      </c>
      <c r="Y337" s="216">
        <v>4</v>
      </c>
      <c r="Z337" s="216">
        <v>23</v>
      </c>
      <c r="AH337" s="46"/>
      <c r="AI337" s="46"/>
    </row>
    <row r="338" spans="1:35" x14ac:dyDescent="0.25">
      <c r="A338" s="31">
        <f>'M&amp;R Stations'!A321</f>
        <v>39280</v>
      </c>
      <c r="B338"/>
      <c r="C338" s="70">
        <f t="shared" si="31"/>
        <v>12</v>
      </c>
      <c r="D338" s="70">
        <f t="shared" si="32"/>
        <v>57</v>
      </c>
      <c r="E338" s="70">
        <f t="shared" si="33"/>
        <v>0</v>
      </c>
      <c r="F338" s="94">
        <f t="shared" si="34"/>
        <v>69</v>
      </c>
      <c r="G338" s="109">
        <f t="shared" si="35"/>
        <v>35</v>
      </c>
      <c r="H338" s="109">
        <f t="shared" si="36"/>
        <v>34</v>
      </c>
      <c r="J338" s="216">
        <v>0</v>
      </c>
      <c r="K338" s="216">
        <v>11</v>
      </c>
      <c r="L338" s="216">
        <v>1</v>
      </c>
      <c r="M338" s="216">
        <v>0</v>
      </c>
      <c r="N338" s="216">
        <v>0</v>
      </c>
      <c r="O338" s="216">
        <v>0</v>
      </c>
      <c r="P338" s="216">
        <v>0</v>
      </c>
      <c r="Q338" s="216">
        <v>0</v>
      </c>
      <c r="R338" s="216">
        <v>0</v>
      </c>
      <c r="S338" s="216">
        <v>0</v>
      </c>
      <c r="T338" s="216">
        <v>0</v>
      </c>
      <c r="U338" s="216">
        <v>0</v>
      </c>
      <c r="V338" s="216">
        <v>23</v>
      </c>
      <c r="W338" s="52"/>
      <c r="X338" s="216">
        <v>0</v>
      </c>
      <c r="Y338" s="216">
        <v>5</v>
      </c>
      <c r="Z338" s="216">
        <v>29</v>
      </c>
      <c r="AH338" s="46"/>
      <c r="AI338" s="46"/>
    </row>
    <row r="339" spans="1:35" x14ac:dyDescent="0.25">
      <c r="A339" s="31">
        <f>'M&amp;R Stations'!A322</f>
        <v>39281</v>
      </c>
      <c r="B339"/>
      <c r="C339" s="70">
        <f t="shared" si="31"/>
        <v>12</v>
      </c>
      <c r="D339" s="70">
        <f t="shared" si="32"/>
        <v>56</v>
      </c>
      <c r="E339" s="70">
        <f t="shared" si="33"/>
        <v>0</v>
      </c>
      <c r="F339" s="94">
        <f t="shared" si="34"/>
        <v>68</v>
      </c>
      <c r="G339" s="109">
        <f t="shared" si="35"/>
        <v>37</v>
      </c>
      <c r="H339" s="109">
        <f t="shared" si="36"/>
        <v>31</v>
      </c>
      <c r="J339" s="216">
        <v>0</v>
      </c>
      <c r="K339" s="216">
        <v>10</v>
      </c>
      <c r="L339" s="216">
        <v>2</v>
      </c>
      <c r="M339" s="216">
        <v>0</v>
      </c>
      <c r="N339" s="216">
        <v>0</v>
      </c>
      <c r="O339" s="216">
        <v>0</v>
      </c>
      <c r="P339" s="216">
        <v>0</v>
      </c>
      <c r="Q339" s="216">
        <v>0</v>
      </c>
      <c r="R339" s="216">
        <v>0</v>
      </c>
      <c r="S339" s="216">
        <v>0</v>
      </c>
      <c r="T339" s="216">
        <v>0</v>
      </c>
      <c r="U339" s="216">
        <v>0</v>
      </c>
      <c r="V339" s="216">
        <v>25</v>
      </c>
      <c r="W339" s="52"/>
      <c r="X339" s="216">
        <v>0</v>
      </c>
      <c r="Y339" s="216">
        <v>5</v>
      </c>
      <c r="Z339" s="216">
        <v>26</v>
      </c>
      <c r="AH339" s="46"/>
      <c r="AI339" s="46"/>
    </row>
    <row r="340" spans="1:35" x14ac:dyDescent="0.25">
      <c r="A340" s="31">
        <f>'M&amp;R Stations'!A323</f>
        <v>39282</v>
      </c>
      <c r="B340"/>
      <c r="C340" s="70">
        <f t="shared" si="31"/>
        <v>13</v>
      </c>
      <c r="D340" s="70">
        <f t="shared" si="32"/>
        <v>49</v>
      </c>
      <c r="E340" s="70">
        <f t="shared" si="33"/>
        <v>0</v>
      </c>
      <c r="F340" s="94">
        <f t="shared" si="34"/>
        <v>62</v>
      </c>
      <c r="G340" s="109">
        <f t="shared" si="35"/>
        <v>37</v>
      </c>
      <c r="H340" s="109">
        <f t="shared" si="36"/>
        <v>25</v>
      </c>
      <c r="J340" s="216">
        <v>0</v>
      </c>
      <c r="K340" s="216">
        <v>11</v>
      </c>
      <c r="L340" s="216">
        <v>2</v>
      </c>
      <c r="M340" s="216">
        <v>0</v>
      </c>
      <c r="N340" s="216">
        <v>0</v>
      </c>
      <c r="O340" s="216">
        <v>0</v>
      </c>
      <c r="P340" s="216">
        <v>0</v>
      </c>
      <c r="Q340" s="216">
        <v>0</v>
      </c>
      <c r="R340" s="216">
        <v>0</v>
      </c>
      <c r="S340" s="216">
        <v>0</v>
      </c>
      <c r="T340" s="216">
        <v>0</v>
      </c>
      <c r="U340" s="216">
        <v>0</v>
      </c>
      <c r="V340" s="216">
        <v>24</v>
      </c>
      <c r="W340" s="52"/>
      <c r="X340" s="216">
        <v>0</v>
      </c>
      <c r="Y340" s="216">
        <v>0</v>
      </c>
      <c r="Z340" s="216">
        <v>25</v>
      </c>
      <c r="AH340" s="46"/>
      <c r="AI340" s="46"/>
    </row>
    <row r="341" spans="1:35" x14ac:dyDescent="0.25">
      <c r="A341" s="31">
        <f>'M&amp;R Stations'!A324</f>
        <v>39283</v>
      </c>
      <c r="B341"/>
      <c r="C341" s="70">
        <f t="shared" si="31"/>
        <v>52</v>
      </c>
      <c r="D341" s="70">
        <f t="shared" si="32"/>
        <v>51</v>
      </c>
      <c r="E341" s="70">
        <f t="shared" si="33"/>
        <v>0</v>
      </c>
      <c r="F341" s="94">
        <f t="shared" si="34"/>
        <v>103</v>
      </c>
      <c r="G341" s="109">
        <f t="shared" si="35"/>
        <v>77</v>
      </c>
      <c r="H341" s="109">
        <f t="shared" si="36"/>
        <v>26</v>
      </c>
      <c r="J341" s="216">
        <v>0</v>
      </c>
      <c r="K341" s="216">
        <v>11</v>
      </c>
      <c r="L341" s="216">
        <v>2</v>
      </c>
      <c r="M341" s="216">
        <v>0</v>
      </c>
      <c r="N341" s="216">
        <v>21</v>
      </c>
      <c r="O341" s="216">
        <v>18</v>
      </c>
      <c r="P341" s="216">
        <v>0</v>
      </c>
      <c r="Q341" s="216">
        <v>0</v>
      </c>
      <c r="R341" s="216">
        <v>0</v>
      </c>
      <c r="S341" s="216">
        <v>0</v>
      </c>
      <c r="T341" s="216">
        <v>0</v>
      </c>
      <c r="U341" s="216">
        <v>0</v>
      </c>
      <c r="V341" s="216">
        <v>25</v>
      </c>
      <c r="W341" s="52"/>
      <c r="X341" s="216">
        <v>0</v>
      </c>
      <c r="Y341" s="216">
        <v>1</v>
      </c>
      <c r="Z341" s="216">
        <v>25</v>
      </c>
      <c r="AH341" s="46"/>
      <c r="AI341" s="46"/>
    </row>
    <row r="342" spans="1:35" x14ac:dyDescent="0.25">
      <c r="A342" s="31">
        <f>'M&amp;R Stations'!A325</f>
        <v>39284</v>
      </c>
      <c r="B342"/>
      <c r="C342" s="70">
        <f t="shared" si="31"/>
        <v>12</v>
      </c>
      <c r="D342" s="70">
        <f t="shared" si="32"/>
        <v>49</v>
      </c>
      <c r="E342" s="70">
        <f t="shared" si="33"/>
        <v>0</v>
      </c>
      <c r="F342" s="94">
        <f t="shared" si="34"/>
        <v>61</v>
      </c>
      <c r="G342" s="109">
        <f t="shared" si="35"/>
        <v>36</v>
      </c>
      <c r="H342" s="109">
        <f t="shared" si="36"/>
        <v>25</v>
      </c>
      <c r="J342" s="216">
        <v>0</v>
      </c>
      <c r="K342" s="216">
        <v>11</v>
      </c>
      <c r="L342" s="216">
        <v>1</v>
      </c>
      <c r="M342" s="216">
        <v>0</v>
      </c>
      <c r="N342" s="216">
        <v>0</v>
      </c>
      <c r="O342" s="216">
        <v>0</v>
      </c>
      <c r="P342" s="216">
        <v>0</v>
      </c>
      <c r="Q342" s="216">
        <v>0</v>
      </c>
      <c r="R342" s="216">
        <v>0</v>
      </c>
      <c r="S342" s="216">
        <v>0</v>
      </c>
      <c r="T342" s="216">
        <v>0</v>
      </c>
      <c r="U342" s="216">
        <v>0</v>
      </c>
      <c r="V342" s="216">
        <v>24</v>
      </c>
      <c r="W342" s="52"/>
      <c r="X342" s="216">
        <v>0</v>
      </c>
      <c r="Y342" s="216">
        <v>0</v>
      </c>
      <c r="Z342" s="216">
        <v>25</v>
      </c>
      <c r="AH342" s="46"/>
      <c r="AI342" s="46"/>
    </row>
    <row r="343" spans="1:35" x14ac:dyDescent="0.25">
      <c r="A343" s="31">
        <f>'M&amp;R Stations'!A326</f>
        <v>39285</v>
      </c>
      <c r="B343"/>
      <c r="C343" s="70">
        <f t="shared" si="31"/>
        <v>12</v>
      </c>
      <c r="D343" s="70">
        <f t="shared" si="32"/>
        <v>51</v>
      </c>
      <c r="E343" s="70">
        <f t="shared" si="33"/>
        <v>0</v>
      </c>
      <c r="F343" s="94">
        <f t="shared" si="34"/>
        <v>63</v>
      </c>
      <c r="G343" s="109">
        <f t="shared" si="35"/>
        <v>38</v>
      </c>
      <c r="H343" s="109">
        <f t="shared" si="36"/>
        <v>25</v>
      </c>
      <c r="J343" s="216">
        <v>0</v>
      </c>
      <c r="K343" s="216">
        <v>11</v>
      </c>
      <c r="L343" s="216">
        <v>1</v>
      </c>
      <c r="M343" s="216">
        <v>0</v>
      </c>
      <c r="N343" s="216">
        <v>0</v>
      </c>
      <c r="O343" s="216">
        <v>0</v>
      </c>
      <c r="P343" s="216">
        <v>0</v>
      </c>
      <c r="Q343" s="216">
        <v>0</v>
      </c>
      <c r="R343" s="216">
        <v>0</v>
      </c>
      <c r="S343" s="216">
        <v>0</v>
      </c>
      <c r="T343" s="216">
        <v>0</v>
      </c>
      <c r="U343" s="216">
        <v>0</v>
      </c>
      <c r="V343" s="216">
        <v>26</v>
      </c>
      <c r="W343" s="52"/>
      <c r="X343" s="216">
        <v>0</v>
      </c>
      <c r="Y343" s="216">
        <v>0</v>
      </c>
      <c r="Z343" s="216">
        <v>25</v>
      </c>
      <c r="AH343" s="46"/>
      <c r="AI343" s="46"/>
    </row>
    <row r="344" spans="1:35" x14ac:dyDescent="0.25">
      <c r="A344" s="31">
        <f>'M&amp;R Stations'!A327</f>
        <v>39286</v>
      </c>
      <c r="B344"/>
      <c r="C344" s="70">
        <f t="shared" si="31"/>
        <v>13</v>
      </c>
      <c r="D344" s="70">
        <f t="shared" si="32"/>
        <v>55</v>
      </c>
      <c r="E344" s="70">
        <f t="shared" si="33"/>
        <v>0</v>
      </c>
      <c r="F344" s="94">
        <f t="shared" si="34"/>
        <v>68</v>
      </c>
      <c r="G344" s="109">
        <f t="shared" si="35"/>
        <v>42</v>
      </c>
      <c r="H344" s="109">
        <f t="shared" si="36"/>
        <v>26</v>
      </c>
      <c r="J344" s="216">
        <v>0</v>
      </c>
      <c r="K344" s="216">
        <v>11</v>
      </c>
      <c r="L344" s="216">
        <v>2</v>
      </c>
      <c r="M344" s="216">
        <v>0</v>
      </c>
      <c r="N344" s="216">
        <v>0</v>
      </c>
      <c r="O344" s="216">
        <v>0</v>
      </c>
      <c r="P344" s="216">
        <v>0</v>
      </c>
      <c r="Q344" s="216">
        <v>0</v>
      </c>
      <c r="R344" s="216">
        <v>0</v>
      </c>
      <c r="S344" s="216">
        <v>0</v>
      </c>
      <c r="T344" s="216">
        <v>0</v>
      </c>
      <c r="U344" s="216">
        <v>0</v>
      </c>
      <c r="V344" s="216">
        <v>29</v>
      </c>
      <c r="W344" s="52"/>
      <c r="X344" s="216">
        <v>0</v>
      </c>
      <c r="Y344" s="216">
        <v>0</v>
      </c>
      <c r="Z344" s="216">
        <v>26</v>
      </c>
      <c r="AH344" s="46"/>
      <c r="AI344" s="46"/>
    </row>
    <row r="345" spans="1:35" x14ac:dyDescent="0.25">
      <c r="A345" s="31">
        <f>'M&amp;R Stations'!A328</f>
        <v>39287</v>
      </c>
      <c r="B345"/>
      <c r="C345" s="70">
        <f t="shared" si="31"/>
        <v>13</v>
      </c>
      <c r="D345" s="70">
        <f t="shared" si="32"/>
        <v>54</v>
      </c>
      <c r="E345" s="70">
        <f t="shared" si="33"/>
        <v>14</v>
      </c>
      <c r="F345" s="94">
        <f t="shared" si="34"/>
        <v>81</v>
      </c>
      <c r="G345" s="109">
        <f t="shared" si="35"/>
        <v>53</v>
      </c>
      <c r="H345" s="109">
        <f t="shared" si="36"/>
        <v>28</v>
      </c>
      <c r="J345" s="216">
        <v>0</v>
      </c>
      <c r="K345" s="216">
        <v>11</v>
      </c>
      <c r="L345" s="216">
        <v>2</v>
      </c>
      <c r="M345" s="216">
        <v>0</v>
      </c>
      <c r="N345" s="216">
        <v>0</v>
      </c>
      <c r="O345" s="216">
        <v>0</v>
      </c>
      <c r="P345" s="216">
        <v>0</v>
      </c>
      <c r="Q345" s="216">
        <v>0</v>
      </c>
      <c r="R345" s="216">
        <v>0</v>
      </c>
      <c r="S345" s="216">
        <v>0</v>
      </c>
      <c r="T345" s="216">
        <v>0</v>
      </c>
      <c r="U345" s="216">
        <v>14</v>
      </c>
      <c r="V345" s="216">
        <v>26</v>
      </c>
      <c r="W345" s="52"/>
      <c r="X345" s="216">
        <v>0</v>
      </c>
      <c r="Y345" s="216">
        <v>0</v>
      </c>
      <c r="Z345" s="216">
        <v>28</v>
      </c>
      <c r="AH345" s="46"/>
      <c r="AI345" s="46"/>
    </row>
    <row r="346" spans="1:35" x14ac:dyDescent="0.25">
      <c r="A346" s="31">
        <f>'M&amp;R Stations'!A329</f>
        <v>39288</v>
      </c>
      <c r="B346"/>
      <c r="C346" s="70">
        <f t="shared" si="31"/>
        <v>13</v>
      </c>
      <c r="D346" s="70">
        <f t="shared" si="32"/>
        <v>52</v>
      </c>
      <c r="E346" s="70">
        <f t="shared" si="33"/>
        <v>14</v>
      </c>
      <c r="F346" s="94">
        <f t="shared" si="34"/>
        <v>79</v>
      </c>
      <c r="G346" s="109">
        <f t="shared" si="35"/>
        <v>53</v>
      </c>
      <c r="H346" s="109">
        <f t="shared" si="36"/>
        <v>26</v>
      </c>
      <c r="J346" s="216">
        <v>0</v>
      </c>
      <c r="K346" s="216">
        <v>11</v>
      </c>
      <c r="L346" s="216">
        <v>2</v>
      </c>
      <c r="M346" s="216">
        <v>0</v>
      </c>
      <c r="N346" s="216">
        <v>0</v>
      </c>
      <c r="O346" s="216">
        <v>0</v>
      </c>
      <c r="P346" s="216">
        <v>0</v>
      </c>
      <c r="Q346" s="216">
        <v>0</v>
      </c>
      <c r="R346" s="216">
        <v>0</v>
      </c>
      <c r="S346" s="216">
        <v>0</v>
      </c>
      <c r="T346" s="216">
        <v>0</v>
      </c>
      <c r="U346" s="216">
        <v>14</v>
      </c>
      <c r="V346" s="216">
        <v>26</v>
      </c>
      <c r="W346" s="52"/>
      <c r="X346" s="216">
        <v>0</v>
      </c>
      <c r="Y346" s="216">
        <v>0</v>
      </c>
      <c r="Z346" s="216">
        <v>26</v>
      </c>
      <c r="AH346" s="46"/>
      <c r="AI346" s="46"/>
    </row>
    <row r="347" spans="1:35" x14ac:dyDescent="0.25">
      <c r="A347" s="31">
        <f>'M&amp;R Stations'!A330</f>
        <v>39289</v>
      </c>
      <c r="B347"/>
      <c r="C347" s="70">
        <f t="shared" si="31"/>
        <v>13</v>
      </c>
      <c r="D347" s="70">
        <f t="shared" si="32"/>
        <v>51</v>
      </c>
      <c r="E347" s="70">
        <f t="shared" si="33"/>
        <v>0</v>
      </c>
      <c r="F347" s="94">
        <f t="shared" si="34"/>
        <v>64</v>
      </c>
      <c r="G347" s="109">
        <f t="shared" si="35"/>
        <v>40</v>
      </c>
      <c r="H347" s="109">
        <f t="shared" si="36"/>
        <v>24</v>
      </c>
      <c r="J347" s="216">
        <v>0</v>
      </c>
      <c r="K347" s="216">
        <v>11</v>
      </c>
      <c r="L347" s="216">
        <v>2</v>
      </c>
      <c r="M347" s="216">
        <v>0</v>
      </c>
      <c r="N347" s="216">
        <v>0</v>
      </c>
      <c r="O347" s="216">
        <v>0</v>
      </c>
      <c r="P347" s="216">
        <v>0</v>
      </c>
      <c r="Q347" s="216">
        <v>0</v>
      </c>
      <c r="R347" s="216">
        <v>0</v>
      </c>
      <c r="S347" s="216">
        <v>0</v>
      </c>
      <c r="T347" s="216">
        <v>0</v>
      </c>
      <c r="U347" s="216">
        <v>0</v>
      </c>
      <c r="V347" s="216">
        <v>27</v>
      </c>
      <c r="W347" s="52"/>
      <c r="X347" s="216">
        <v>0</v>
      </c>
      <c r="Y347" s="216">
        <v>0</v>
      </c>
      <c r="Z347" s="216">
        <v>24</v>
      </c>
      <c r="AH347" s="46"/>
      <c r="AI347" s="46"/>
    </row>
    <row r="348" spans="1:35" x14ac:dyDescent="0.25">
      <c r="A348" s="31">
        <f>'M&amp;R Stations'!A331</f>
        <v>39290</v>
      </c>
      <c r="B348"/>
      <c r="C348" s="70">
        <f t="shared" si="31"/>
        <v>21</v>
      </c>
      <c r="D348" s="70">
        <f t="shared" si="32"/>
        <v>48</v>
      </c>
      <c r="E348" s="70">
        <f t="shared" si="33"/>
        <v>0</v>
      </c>
      <c r="F348" s="94">
        <f t="shared" si="34"/>
        <v>69</v>
      </c>
      <c r="G348" s="109">
        <f t="shared" si="35"/>
        <v>45</v>
      </c>
      <c r="H348" s="109">
        <f t="shared" si="36"/>
        <v>24</v>
      </c>
      <c r="J348" s="216">
        <v>0</v>
      </c>
      <c r="K348" s="216">
        <v>10</v>
      </c>
      <c r="L348" s="216">
        <v>2</v>
      </c>
      <c r="M348" s="216">
        <v>0</v>
      </c>
      <c r="N348" s="216">
        <v>0</v>
      </c>
      <c r="O348" s="216">
        <v>9</v>
      </c>
      <c r="P348" s="216">
        <v>0</v>
      </c>
      <c r="Q348" s="216">
        <v>0</v>
      </c>
      <c r="R348" s="216">
        <v>0</v>
      </c>
      <c r="S348" s="216">
        <v>0</v>
      </c>
      <c r="T348" s="216">
        <v>0</v>
      </c>
      <c r="U348" s="216">
        <v>0</v>
      </c>
      <c r="V348" s="216">
        <v>24</v>
      </c>
      <c r="W348" s="52"/>
      <c r="X348" s="216">
        <v>0</v>
      </c>
      <c r="Y348" s="216">
        <v>0</v>
      </c>
      <c r="Z348" s="216">
        <v>24</v>
      </c>
      <c r="AH348" s="46"/>
      <c r="AI348" s="46"/>
    </row>
    <row r="349" spans="1:35" x14ac:dyDescent="0.25">
      <c r="A349" s="31">
        <f>'M&amp;R Stations'!A332</f>
        <v>39291</v>
      </c>
      <c r="B349"/>
      <c r="C349" s="70">
        <f t="shared" si="31"/>
        <v>27</v>
      </c>
      <c r="D349" s="70">
        <f t="shared" si="32"/>
        <v>46</v>
      </c>
      <c r="E349" s="70">
        <f t="shared" si="33"/>
        <v>0</v>
      </c>
      <c r="F349" s="94">
        <f t="shared" si="34"/>
        <v>73</v>
      </c>
      <c r="G349" s="109">
        <f t="shared" si="35"/>
        <v>50</v>
      </c>
      <c r="H349" s="109">
        <f t="shared" si="36"/>
        <v>23</v>
      </c>
      <c r="J349" s="216">
        <v>0</v>
      </c>
      <c r="K349" s="216">
        <v>11</v>
      </c>
      <c r="L349" s="216">
        <v>2</v>
      </c>
      <c r="M349" s="216">
        <v>0</v>
      </c>
      <c r="N349" s="216">
        <v>0</v>
      </c>
      <c r="O349" s="216">
        <v>14</v>
      </c>
      <c r="P349" s="216">
        <v>0</v>
      </c>
      <c r="Q349" s="216">
        <v>0</v>
      </c>
      <c r="R349" s="216">
        <v>0</v>
      </c>
      <c r="S349" s="216">
        <v>0</v>
      </c>
      <c r="T349" s="216">
        <v>0</v>
      </c>
      <c r="U349" s="216">
        <v>0</v>
      </c>
      <c r="V349" s="216">
        <v>23</v>
      </c>
      <c r="W349" s="52"/>
      <c r="X349" s="216">
        <v>0</v>
      </c>
      <c r="Y349" s="216">
        <v>0</v>
      </c>
      <c r="Z349" s="216">
        <v>23</v>
      </c>
      <c r="AH349" s="46"/>
      <c r="AI349" s="46"/>
    </row>
    <row r="350" spans="1:35" x14ac:dyDescent="0.25">
      <c r="A350" s="31">
        <f>'M&amp;R Stations'!A333</f>
        <v>39292</v>
      </c>
      <c r="B350"/>
      <c r="C350" s="70">
        <f t="shared" si="31"/>
        <v>12</v>
      </c>
      <c r="D350" s="70">
        <f t="shared" si="32"/>
        <v>50</v>
      </c>
      <c r="E350" s="70">
        <f t="shared" si="33"/>
        <v>0</v>
      </c>
      <c r="F350" s="94">
        <f t="shared" si="34"/>
        <v>62</v>
      </c>
      <c r="G350" s="109">
        <f t="shared" si="35"/>
        <v>38</v>
      </c>
      <c r="H350" s="109">
        <f t="shared" si="36"/>
        <v>24</v>
      </c>
      <c r="J350" s="216">
        <v>0</v>
      </c>
      <c r="K350" s="216">
        <v>10</v>
      </c>
      <c r="L350" s="216">
        <v>2</v>
      </c>
      <c r="M350" s="216">
        <v>0</v>
      </c>
      <c r="N350" s="216">
        <v>0</v>
      </c>
      <c r="O350" s="216">
        <v>0</v>
      </c>
      <c r="P350" s="216">
        <v>0</v>
      </c>
      <c r="Q350" s="216">
        <v>0</v>
      </c>
      <c r="R350" s="216">
        <v>0</v>
      </c>
      <c r="S350" s="216">
        <v>0</v>
      </c>
      <c r="T350" s="216">
        <v>0</v>
      </c>
      <c r="U350" s="216">
        <v>0</v>
      </c>
      <c r="V350" s="216">
        <v>26</v>
      </c>
      <c r="W350" s="52"/>
      <c r="X350" s="216">
        <v>0</v>
      </c>
      <c r="Y350" s="216">
        <v>0</v>
      </c>
      <c r="Z350" s="216">
        <v>24</v>
      </c>
      <c r="AH350" s="46"/>
      <c r="AI350" s="46"/>
    </row>
    <row r="351" spans="1:35" x14ac:dyDescent="0.25">
      <c r="A351" s="31">
        <f>'M&amp;R Stations'!A334</f>
        <v>39293</v>
      </c>
      <c r="B351"/>
      <c r="C351" s="70">
        <f t="shared" si="31"/>
        <v>13</v>
      </c>
      <c r="D351" s="70">
        <f t="shared" si="32"/>
        <v>51</v>
      </c>
      <c r="E351" s="70">
        <f t="shared" si="33"/>
        <v>0</v>
      </c>
      <c r="F351" s="94">
        <f t="shared" si="34"/>
        <v>64</v>
      </c>
      <c r="G351" s="109">
        <f t="shared" si="35"/>
        <v>40</v>
      </c>
      <c r="H351" s="109">
        <f t="shared" si="36"/>
        <v>24</v>
      </c>
      <c r="J351" s="216">
        <v>0</v>
      </c>
      <c r="K351" s="216">
        <v>11</v>
      </c>
      <c r="L351" s="216">
        <v>2</v>
      </c>
      <c r="M351" s="216">
        <v>0</v>
      </c>
      <c r="N351" s="216">
        <v>0</v>
      </c>
      <c r="O351" s="216">
        <v>0</v>
      </c>
      <c r="P351" s="216">
        <v>0</v>
      </c>
      <c r="Q351" s="216">
        <v>0</v>
      </c>
      <c r="R351" s="216">
        <v>0</v>
      </c>
      <c r="S351" s="216">
        <v>0</v>
      </c>
      <c r="T351" s="216">
        <v>0</v>
      </c>
      <c r="U351" s="216">
        <v>0</v>
      </c>
      <c r="V351" s="216">
        <v>27</v>
      </c>
      <c r="W351" s="52"/>
      <c r="X351" s="216">
        <v>0</v>
      </c>
      <c r="Y351" s="216">
        <v>0</v>
      </c>
      <c r="Z351" s="216">
        <v>24</v>
      </c>
      <c r="AH351" s="46"/>
      <c r="AI351" s="46"/>
    </row>
    <row r="352" spans="1:35" x14ac:dyDescent="0.25">
      <c r="A352" s="31">
        <f>'M&amp;R Stations'!A335</f>
        <v>39294</v>
      </c>
      <c r="B352"/>
      <c r="C352" s="70">
        <f t="shared" si="31"/>
        <v>13</v>
      </c>
      <c r="D352" s="70">
        <f t="shared" si="32"/>
        <v>51</v>
      </c>
      <c r="E352" s="70">
        <f t="shared" si="33"/>
        <v>0</v>
      </c>
      <c r="F352" s="94">
        <f t="shared" si="34"/>
        <v>64</v>
      </c>
      <c r="G352" s="109">
        <f t="shared" si="35"/>
        <v>40</v>
      </c>
      <c r="H352" s="109">
        <f t="shared" si="36"/>
        <v>24</v>
      </c>
      <c r="J352" s="216">
        <v>0</v>
      </c>
      <c r="K352" s="216">
        <v>11</v>
      </c>
      <c r="L352" s="216">
        <v>2</v>
      </c>
      <c r="M352" s="216">
        <v>0</v>
      </c>
      <c r="N352" s="216">
        <v>0</v>
      </c>
      <c r="O352" s="216">
        <v>0</v>
      </c>
      <c r="P352" s="216">
        <v>0</v>
      </c>
      <c r="Q352" s="216">
        <v>0</v>
      </c>
      <c r="R352" s="216">
        <v>0</v>
      </c>
      <c r="S352" s="216">
        <v>0</v>
      </c>
      <c r="T352" s="216">
        <v>0</v>
      </c>
      <c r="U352" s="216">
        <v>0</v>
      </c>
      <c r="V352" s="216">
        <v>27</v>
      </c>
      <c r="W352" s="52"/>
      <c r="X352" s="216">
        <v>0</v>
      </c>
      <c r="Y352" s="216">
        <v>0</v>
      </c>
      <c r="Z352" s="216">
        <v>24</v>
      </c>
      <c r="AH352" s="46"/>
      <c r="AI352" s="46"/>
    </row>
    <row r="353" spans="1:35" x14ac:dyDescent="0.25">
      <c r="A353" s="96"/>
      <c r="B353" s="97"/>
      <c r="C353" s="98"/>
      <c r="D353" s="98"/>
      <c r="E353" s="98"/>
      <c r="F353" s="98"/>
      <c r="G353" s="98" t="str">
        <f t="shared" si="35"/>
        <v/>
      </c>
      <c r="H353" s="98" t="str">
        <f t="shared" si="36"/>
        <v/>
      </c>
      <c r="J353" s="95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255"/>
      <c r="X353" s="98"/>
      <c r="Y353" s="98"/>
      <c r="Z353" s="98"/>
      <c r="AH353" s="46"/>
      <c r="AI353" s="46"/>
    </row>
    <row r="354" spans="1:35" x14ac:dyDescent="0.25">
      <c r="A354" s="31">
        <f>'M&amp;R Stations'!A336</f>
        <v>39295</v>
      </c>
      <c r="B354"/>
      <c r="C354" s="70">
        <f t="shared" si="31"/>
        <v>17</v>
      </c>
      <c r="D354" s="70">
        <f t="shared" si="32"/>
        <v>50</v>
      </c>
      <c r="E354" s="70">
        <f t="shared" si="33"/>
        <v>0</v>
      </c>
      <c r="F354" s="94">
        <f t="shared" si="34"/>
        <v>67</v>
      </c>
      <c r="G354" s="109">
        <f t="shared" si="35"/>
        <v>43</v>
      </c>
      <c r="H354" s="109">
        <f t="shared" si="36"/>
        <v>24</v>
      </c>
      <c r="J354" s="216">
        <v>0</v>
      </c>
      <c r="K354" s="216">
        <v>15</v>
      </c>
      <c r="L354" s="216">
        <v>2</v>
      </c>
      <c r="M354" s="216">
        <v>0</v>
      </c>
      <c r="N354" s="216">
        <v>0</v>
      </c>
      <c r="O354" s="216">
        <v>0</v>
      </c>
      <c r="P354" s="216">
        <v>0</v>
      </c>
      <c r="Q354" s="216">
        <v>0</v>
      </c>
      <c r="R354" s="216">
        <v>0</v>
      </c>
      <c r="S354" s="216">
        <v>0</v>
      </c>
      <c r="T354" s="216">
        <v>0</v>
      </c>
      <c r="U354" s="216">
        <v>0</v>
      </c>
      <c r="V354" s="216">
        <v>26</v>
      </c>
      <c r="W354" s="52"/>
      <c r="X354" s="216">
        <v>0</v>
      </c>
      <c r="Y354" s="216">
        <v>0</v>
      </c>
      <c r="Z354" s="216">
        <v>24</v>
      </c>
      <c r="AH354" s="46"/>
      <c r="AI354" s="46"/>
    </row>
    <row r="355" spans="1:35" x14ac:dyDescent="0.25">
      <c r="A355" s="31">
        <f>'M&amp;R Stations'!A337</f>
        <v>39296</v>
      </c>
      <c r="B355"/>
      <c r="C355" s="70">
        <f t="shared" si="31"/>
        <v>8</v>
      </c>
      <c r="D355" s="70">
        <f t="shared" si="32"/>
        <v>51</v>
      </c>
      <c r="E355" s="70">
        <f t="shared" si="33"/>
        <v>0</v>
      </c>
      <c r="F355" s="94">
        <f t="shared" si="34"/>
        <v>59</v>
      </c>
      <c r="G355" s="109">
        <f t="shared" si="35"/>
        <v>33</v>
      </c>
      <c r="H355" s="109">
        <f t="shared" si="36"/>
        <v>26</v>
      </c>
      <c r="J355" s="216">
        <v>0</v>
      </c>
      <c r="K355" s="216">
        <v>6</v>
      </c>
      <c r="L355" s="216">
        <v>2</v>
      </c>
      <c r="M355" s="216">
        <v>0</v>
      </c>
      <c r="N355" s="216">
        <v>0</v>
      </c>
      <c r="O355" s="216">
        <v>0</v>
      </c>
      <c r="P355" s="216">
        <v>0</v>
      </c>
      <c r="Q355" s="216">
        <v>0</v>
      </c>
      <c r="R355" s="216">
        <v>0</v>
      </c>
      <c r="S355" s="216">
        <v>0</v>
      </c>
      <c r="T355" s="216">
        <v>0</v>
      </c>
      <c r="U355" s="216">
        <v>0</v>
      </c>
      <c r="V355" s="216">
        <v>25</v>
      </c>
      <c r="W355" s="52"/>
      <c r="X355" s="216">
        <v>0</v>
      </c>
      <c r="Y355" s="216">
        <v>0</v>
      </c>
      <c r="Z355" s="216">
        <v>26</v>
      </c>
      <c r="AH355" s="46"/>
      <c r="AI355" s="46"/>
    </row>
    <row r="356" spans="1:35" x14ac:dyDescent="0.25">
      <c r="A356" s="31">
        <f>'M&amp;R Stations'!A338</f>
        <v>39297</v>
      </c>
      <c r="B356"/>
      <c r="C356" s="70">
        <f t="shared" si="31"/>
        <v>12</v>
      </c>
      <c r="D356" s="70">
        <f t="shared" si="32"/>
        <v>47</v>
      </c>
      <c r="E356" s="70">
        <f t="shared" si="33"/>
        <v>0</v>
      </c>
      <c r="F356" s="94">
        <f t="shared" si="34"/>
        <v>59</v>
      </c>
      <c r="G356" s="109">
        <f t="shared" si="35"/>
        <v>35</v>
      </c>
      <c r="H356" s="109">
        <f t="shared" si="36"/>
        <v>24</v>
      </c>
      <c r="J356" s="216">
        <v>0</v>
      </c>
      <c r="K356" s="216">
        <v>10</v>
      </c>
      <c r="L356" s="216">
        <v>2</v>
      </c>
      <c r="M356" s="216">
        <v>0</v>
      </c>
      <c r="N356" s="216">
        <v>0</v>
      </c>
      <c r="O356" s="216">
        <v>0</v>
      </c>
      <c r="P356" s="216">
        <v>0</v>
      </c>
      <c r="Q356" s="216">
        <v>0</v>
      </c>
      <c r="R356" s="216">
        <v>0</v>
      </c>
      <c r="S356" s="216">
        <v>0</v>
      </c>
      <c r="T356" s="216">
        <v>0</v>
      </c>
      <c r="U356" s="216">
        <v>0</v>
      </c>
      <c r="V356" s="216">
        <v>23</v>
      </c>
      <c r="W356" s="52"/>
      <c r="X356" s="216">
        <v>0</v>
      </c>
      <c r="Y356" s="216">
        <v>0</v>
      </c>
      <c r="Z356" s="216">
        <v>24</v>
      </c>
      <c r="AH356" s="46"/>
      <c r="AI356" s="46"/>
    </row>
    <row r="357" spans="1:35" x14ac:dyDescent="0.25">
      <c r="A357" s="31">
        <f>'M&amp;R Stations'!A339</f>
        <v>39298</v>
      </c>
      <c r="B357"/>
      <c r="C357" s="70">
        <f t="shared" si="31"/>
        <v>13</v>
      </c>
      <c r="D357" s="70">
        <f t="shared" si="32"/>
        <v>45</v>
      </c>
      <c r="E357" s="70">
        <f t="shared" si="33"/>
        <v>0</v>
      </c>
      <c r="F357" s="94">
        <f t="shared" si="34"/>
        <v>58</v>
      </c>
      <c r="G357" s="109">
        <f t="shared" si="35"/>
        <v>35</v>
      </c>
      <c r="H357" s="109">
        <f t="shared" si="36"/>
        <v>23</v>
      </c>
      <c r="J357" s="216">
        <v>0</v>
      </c>
      <c r="K357" s="216">
        <v>11</v>
      </c>
      <c r="L357" s="216">
        <v>2</v>
      </c>
      <c r="M357" s="216">
        <v>0</v>
      </c>
      <c r="N357" s="216">
        <v>0</v>
      </c>
      <c r="O357" s="216">
        <v>0</v>
      </c>
      <c r="P357" s="216">
        <v>0</v>
      </c>
      <c r="Q357" s="216">
        <v>0</v>
      </c>
      <c r="R357" s="216">
        <v>0</v>
      </c>
      <c r="S357" s="216">
        <v>0</v>
      </c>
      <c r="T357" s="216">
        <v>0</v>
      </c>
      <c r="U357" s="216">
        <v>0</v>
      </c>
      <c r="V357" s="216">
        <v>22</v>
      </c>
      <c r="W357" s="52"/>
      <c r="X357" s="216">
        <v>0</v>
      </c>
      <c r="Y357" s="216">
        <v>0</v>
      </c>
      <c r="Z357" s="216">
        <v>23</v>
      </c>
      <c r="AH357" s="46"/>
      <c r="AI357" s="46"/>
    </row>
    <row r="358" spans="1:35" x14ac:dyDescent="0.25">
      <c r="A358" s="31">
        <f>'M&amp;R Stations'!A340</f>
        <v>39299</v>
      </c>
      <c r="B358"/>
      <c r="C358" s="70">
        <f t="shared" si="31"/>
        <v>13</v>
      </c>
      <c r="D358" s="70">
        <f t="shared" si="32"/>
        <v>46</v>
      </c>
      <c r="E358" s="70">
        <f t="shared" si="33"/>
        <v>0</v>
      </c>
      <c r="F358" s="94">
        <f t="shared" si="34"/>
        <v>59</v>
      </c>
      <c r="G358" s="109">
        <f t="shared" si="35"/>
        <v>36</v>
      </c>
      <c r="H358" s="109">
        <f t="shared" si="36"/>
        <v>23</v>
      </c>
      <c r="J358" s="216">
        <v>0</v>
      </c>
      <c r="K358" s="216">
        <v>11</v>
      </c>
      <c r="L358" s="216">
        <v>2</v>
      </c>
      <c r="M358" s="216">
        <v>0</v>
      </c>
      <c r="N358" s="216">
        <v>0</v>
      </c>
      <c r="O358" s="216">
        <v>0</v>
      </c>
      <c r="P358" s="216">
        <v>0</v>
      </c>
      <c r="Q358" s="216">
        <v>0</v>
      </c>
      <c r="R358" s="216">
        <v>0</v>
      </c>
      <c r="S358" s="216">
        <v>0</v>
      </c>
      <c r="T358" s="216">
        <v>0</v>
      </c>
      <c r="U358" s="216">
        <v>0</v>
      </c>
      <c r="V358" s="216">
        <v>23</v>
      </c>
      <c r="W358" s="52"/>
      <c r="X358" s="216">
        <v>0</v>
      </c>
      <c r="Y358" s="216">
        <v>0</v>
      </c>
      <c r="Z358" s="216">
        <v>23</v>
      </c>
      <c r="AH358" s="46"/>
      <c r="AI358" s="46"/>
    </row>
    <row r="359" spans="1:35" x14ac:dyDescent="0.25">
      <c r="A359" s="31">
        <f>'M&amp;R Stations'!A341</f>
        <v>39300</v>
      </c>
      <c r="B359"/>
      <c r="C359" s="70">
        <f t="shared" si="31"/>
        <v>12</v>
      </c>
      <c r="D359" s="70">
        <f t="shared" si="32"/>
        <v>48</v>
      </c>
      <c r="E359" s="70">
        <f t="shared" si="33"/>
        <v>0</v>
      </c>
      <c r="F359" s="94">
        <f t="shared" si="34"/>
        <v>60</v>
      </c>
      <c r="G359" s="109">
        <f t="shared" si="35"/>
        <v>38</v>
      </c>
      <c r="H359" s="109">
        <f t="shared" si="36"/>
        <v>22</v>
      </c>
      <c r="J359" s="216">
        <v>0</v>
      </c>
      <c r="K359" s="216">
        <v>10</v>
      </c>
      <c r="L359" s="216">
        <v>2</v>
      </c>
      <c r="M359" s="216">
        <v>0</v>
      </c>
      <c r="N359" s="216">
        <v>0</v>
      </c>
      <c r="O359" s="216">
        <v>0</v>
      </c>
      <c r="P359" s="216">
        <v>0</v>
      </c>
      <c r="Q359" s="216">
        <v>0</v>
      </c>
      <c r="R359" s="216">
        <v>0</v>
      </c>
      <c r="S359" s="216">
        <v>0</v>
      </c>
      <c r="T359" s="216">
        <v>0</v>
      </c>
      <c r="U359" s="216">
        <v>0</v>
      </c>
      <c r="V359" s="216">
        <v>26</v>
      </c>
      <c r="W359" s="52"/>
      <c r="X359" s="216">
        <v>0</v>
      </c>
      <c r="Y359" s="216">
        <v>0</v>
      </c>
      <c r="Z359" s="216">
        <v>22</v>
      </c>
      <c r="AH359" s="46"/>
      <c r="AI359" s="46"/>
    </row>
    <row r="360" spans="1:35" x14ac:dyDescent="0.25">
      <c r="A360" s="31">
        <f>'M&amp;R Stations'!A342</f>
        <v>39301</v>
      </c>
      <c r="B360"/>
      <c r="C360" s="70">
        <f t="shared" si="31"/>
        <v>25</v>
      </c>
      <c r="D360" s="70">
        <f t="shared" si="32"/>
        <v>47</v>
      </c>
      <c r="E360" s="70">
        <f t="shared" si="33"/>
        <v>12</v>
      </c>
      <c r="F360" s="94">
        <f t="shared" si="34"/>
        <v>84</v>
      </c>
      <c r="G360" s="109">
        <f t="shared" si="35"/>
        <v>60</v>
      </c>
      <c r="H360" s="109">
        <f t="shared" si="36"/>
        <v>24</v>
      </c>
      <c r="J360" s="216">
        <v>0</v>
      </c>
      <c r="K360" s="216">
        <v>11</v>
      </c>
      <c r="L360" s="216">
        <v>2</v>
      </c>
      <c r="M360" s="216">
        <v>0</v>
      </c>
      <c r="N360" s="216">
        <v>0</v>
      </c>
      <c r="O360" s="216">
        <v>12</v>
      </c>
      <c r="P360" s="216">
        <v>0</v>
      </c>
      <c r="Q360" s="216">
        <v>0</v>
      </c>
      <c r="R360" s="216">
        <v>0</v>
      </c>
      <c r="S360" s="216">
        <v>0</v>
      </c>
      <c r="T360" s="216">
        <v>0</v>
      </c>
      <c r="U360" s="216">
        <v>12</v>
      </c>
      <c r="V360" s="216">
        <v>23</v>
      </c>
      <c r="W360" s="52"/>
      <c r="X360" s="216">
        <v>0</v>
      </c>
      <c r="Y360" s="216">
        <v>0</v>
      </c>
      <c r="Z360" s="216">
        <v>24</v>
      </c>
      <c r="AH360" s="46"/>
      <c r="AI360" s="46"/>
    </row>
    <row r="361" spans="1:35" x14ac:dyDescent="0.25">
      <c r="A361" s="31">
        <f>'M&amp;R Stations'!A343</f>
        <v>39302</v>
      </c>
      <c r="B361"/>
      <c r="C361" s="70">
        <f t="shared" si="31"/>
        <v>15</v>
      </c>
      <c r="D361" s="70">
        <f t="shared" si="32"/>
        <v>49</v>
      </c>
      <c r="E361" s="70">
        <f t="shared" si="33"/>
        <v>0</v>
      </c>
      <c r="F361" s="94">
        <f t="shared" si="34"/>
        <v>64</v>
      </c>
      <c r="G361" s="109">
        <f t="shared" si="35"/>
        <v>39</v>
      </c>
      <c r="H361" s="109">
        <f t="shared" si="36"/>
        <v>25</v>
      </c>
      <c r="J361" s="216">
        <v>0</v>
      </c>
      <c r="K361" s="216">
        <v>11</v>
      </c>
      <c r="L361" s="216">
        <v>2</v>
      </c>
      <c r="M361" s="216">
        <v>0</v>
      </c>
      <c r="N361" s="216">
        <v>0</v>
      </c>
      <c r="O361" s="216">
        <v>2</v>
      </c>
      <c r="P361" s="216">
        <v>0</v>
      </c>
      <c r="Q361" s="216">
        <v>0</v>
      </c>
      <c r="R361" s="216">
        <v>0</v>
      </c>
      <c r="S361" s="216">
        <v>0</v>
      </c>
      <c r="T361" s="216">
        <v>0</v>
      </c>
      <c r="U361" s="216">
        <v>0</v>
      </c>
      <c r="V361" s="216">
        <v>24</v>
      </c>
      <c r="W361" s="52"/>
      <c r="X361" s="216">
        <v>0</v>
      </c>
      <c r="Y361" s="216">
        <v>0</v>
      </c>
      <c r="Z361" s="216">
        <v>25</v>
      </c>
      <c r="AH361" s="46"/>
      <c r="AI361" s="46"/>
    </row>
    <row r="362" spans="1:35" x14ac:dyDescent="0.25">
      <c r="A362" s="31">
        <f>'M&amp;R Stations'!A344</f>
        <v>39303</v>
      </c>
      <c r="B362"/>
      <c r="C362" s="70">
        <f t="shared" si="31"/>
        <v>13</v>
      </c>
      <c r="D362" s="70">
        <f t="shared" si="32"/>
        <v>47</v>
      </c>
      <c r="E362" s="70">
        <f t="shared" si="33"/>
        <v>14</v>
      </c>
      <c r="F362" s="94">
        <f t="shared" si="34"/>
        <v>74</v>
      </c>
      <c r="G362" s="109">
        <f t="shared" si="35"/>
        <v>50</v>
      </c>
      <c r="H362" s="109">
        <f t="shared" si="36"/>
        <v>24</v>
      </c>
      <c r="J362" s="216">
        <v>0</v>
      </c>
      <c r="K362" s="216">
        <v>11</v>
      </c>
      <c r="L362" s="216">
        <v>2</v>
      </c>
      <c r="M362" s="216">
        <v>0</v>
      </c>
      <c r="N362" s="216">
        <v>0</v>
      </c>
      <c r="O362" s="216">
        <v>0</v>
      </c>
      <c r="P362" s="216">
        <v>0</v>
      </c>
      <c r="Q362" s="216">
        <v>0</v>
      </c>
      <c r="R362" s="216">
        <v>0</v>
      </c>
      <c r="S362" s="216">
        <v>0</v>
      </c>
      <c r="T362" s="216">
        <v>0</v>
      </c>
      <c r="U362" s="216">
        <v>14</v>
      </c>
      <c r="V362" s="216">
        <v>23</v>
      </c>
      <c r="W362" s="52"/>
      <c r="X362" s="216">
        <v>0</v>
      </c>
      <c r="Y362" s="216">
        <v>0</v>
      </c>
      <c r="Z362" s="216">
        <v>24</v>
      </c>
      <c r="AH362" s="46"/>
      <c r="AI362" s="46"/>
    </row>
    <row r="363" spans="1:35" x14ac:dyDescent="0.25">
      <c r="A363" s="31">
        <f>'M&amp;R Stations'!A345</f>
        <v>39304</v>
      </c>
      <c r="B363"/>
      <c r="C363" s="70">
        <f t="shared" si="31"/>
        <v>20</v>
      </c>
      <c r="D363" s="70">
        <f t="shared" si="32"/>
        <v>48</v>
      </c>
      <c r="E363" s="70">
        <f t="shared" si="33"/>
        <v>0</v>
      </c>
      <c r="F363" s="94">
        <f t="shared" si="34"/>
        <v>68</v>
      </c>
      <c r="G363" s="109">
        <f t="shared" si="35"/>
        <v>46</v>
      </c>
      <c r="H363" s="109">
        <f t="shared" si="36"/>
        <v>22</v>
      </c>
      <c r="J363" s="216">
        <v>0</v>
      </c>
      <c r="K363" s="216">
        <v>11</v>
      </c>
      <c r="L363" s="216">
        <v>2</v>
      </c>
      <c r="M363" s="216">
        <v>0</v>
      </c>
      <c r="N363" s="216">
        <v>0</v>
      </c>
      <c r="O363" s="216">
        <v>7</v>
      </c>
      <c r="P363" s="216">
        <v>0</v>
      </c>
      <c r="Q363" s="216">
        <v>0</v>
      </c>
      <c r="R363" s="216">
        <v>0</v>
      </c>
      <c r="S363" s="216">
        <v>0</v>
      </c>
      <c r="T363" s="216">
        <v>0</v>
      </c>
      <c r="U363" s="216">
        <v>0</v>
      </c>
      <c r="V363" s="216">
        <v>26</v>
      </c>
      <c r="W363" s="52"/>
      <c r="X363" s="216">
        <v>0</v>
      </c>
      <c r="Y363" s="216">
        <v>0</v>
      </c>
      <c r="Z363" s="216">
        <v>22</v>
      </c>
      <c r="AH363" s="46"/>
      <c r="AI363" s="46"/>
    </row>
    <row r="364" spans="1:35" x14ac:dyDescent="0.25">
      <c r="A364" s="31">
        <f>'M&amp;R Stations'!A346</f>
        <v>39305</v>
      </c>
      <c r="B364"/>
      <c r="C364" s="70">
        <f t="shared" si="31"/>
        <v>12</v>
      </c>
      <c r="D364" s="70">
        <f t="shared" si="32"/>
        <v>46</v>
      </c>
      <c r="E364" s="70">
        <f t="shared" si="33"/>
        <v>0</v>
      </c>
      <c r="F364" s="94">
        <f t="shared" si="34"/>
        <v>58</v>
      </c>
      <c r="G364" s="109">
        <f t="shared" si="35"/>
        <v>37</v>
      </c>
      <c r="H364" s="109">
        <f t="shared" si="36"/>
        <v>21</v>
      </c>
      <c r="J364" s="216">
        <v>0</v>
      </c>
      <c r="K364" s="216">
        <v>11</v>
      </c>
      <c r="L364" s="216">
        <v>1</v>
      </c>
      <c r="M364" s="216">
        <v>0</v>
      </c>
      <c r="N364" s="216">
        <v>0</v>
      </c>
      <c r="O364" s="216">
        <v>0</v>
      </c>
      <c r="P364" s="216">
        <v>0</v>
      </c>
      <c r="Q364" s="216">
        <v>0</v>
      </c>
      <c r="R364" s="216">
        <v>0</v>
      </c>
      <c r="S364" s="216">
        <v>0</v>
      </c>
      <c r="T364" s="216">
        <v>0</v>
      </c>
      <c r="U364" s="216">
        <v>0</v>
      </c>
      <c r="V364" s="216">
        <v>25</v>
      </c>
      <c r="W364" s="52"/>
      <c r="X364" s="216">
        <v>0</v>
      </c>
      <c r="Y364" s="216">
        <v>0</v>
      </c>
      <c r="Z364" s="216">
        <v>21</v>
      </c>
      <c r="AH364" s="46"/>
      <c r="AI364" s="46"/>
    </row>
    <row r="365" spans="1:35" x14ac:dyDescent="0.25">
      <c r="A365" s="31">
        <f>'M&amp;R Stations'!A347</f>
        <v>39306</v>
      </c>
      <c r="B365"/>
      <c r="C365" s="70">
        <f t="shared" si="31"/>
        <v>13</v>
      </c>
      <c r="D365" s="70">
        <f t="shared" si="32"/>
        <v>46</v>
      </c>
      <c r="E365" s="70">
        <f t="shared" si="33"/>
        <v>0</v>
      </c>
      <c r="F365" s="94">
        <f t="shared" si="34"/>
        <v>59</v>
      </c>
      <c r="G365" s="109">
        <f t="shared" si="35"/>
        <v>35</v>
      </c>
      <c r="H365" s="109">
        <f t="shared" si="36"/>
        <v>24</v>
      </c>
      <c r="J365" s="216">
        <v>0</v>
      </c>
      <c r="K365" s="216">
        <v>11</v>
      </c>
      <c r="L365" s="216">
        <v>2</v>
      </c>
      <c r="M365" s="216">
        <v>0</v>
      </c>
      <c r="N365" s="216">
        <v>0</v>
      </c>
      <c r="O365" s="216">
        <v>0</v>
      </c>
      <c r="P365" s="216">
        <v>0</v>
      </c>
      <c r="Q365" s="216">
        <v>0</v>
      </c>
      <c r="R365" s="216">
        <v>0</v>
      </c>
      <c r="S365" s="216">
        <v>0</v>
      </c>
      <c r="T365" s="216">
        <v>0</v>
      </c>
      <c r="U365" s="216">
        <v>0</v>
      </c>
      <c r="V365" s="216">
        <v>22</v>
      </c>
      <c r="W365" s="52"/>
      <c r="X365" s="216">
        <v>0</v>
      </c>
      <c r="Y365" s="216">
        <v>0</v>
      </c>
      <c r="Z365" s="216">
        <v>24</v>
      </c>
      <c r="AH365" s="46"/>
      <c r="AI365" s="46"/>
    </row>
    <row r="366" spans="1:35" x14ac:dyDescent="0.25">
      <c r="A366" s="31">
        <f>'M&amp;R Stations'!A348</f>
        <v>39307</v>
      </c>
      <c r="B366"/>
      <c r="C366" s="70">
        <f t="shared" si="31"/>
        <v>12</v>
      </c>
      <c r="D366" s="70">
        <f t="shared" si="32"/>
        <v>48</v>
      </c>
      <c r="E366" s="70">
        <f t="shared" si="33"/>
        <v>0</v>
      </c>
      <c r="F366" s="94">
        <f t="shared" si="34"/>
        <v>60</v>
      </c>
      <c r="G366" s="109">
        <f t="shared" si="35"/>
        <v>36</v>
      </c>
      <c r="H366" s="109">
        <f t="shared" si="36"/>
        <v>24</v>
      </c>
      <c r="J366" s="216">
        <v>0</v>
      </c>
      <c r="K366" s="216">
        <v>10</v>
      </c>
      <c r="L366" s="216">
        <v>2</v>
      </c>
      <c r="M366" s="216">
        <v>0</v>
      </c>
      <c r="N366" s="216">
        <v>0</v>
      </c>
      <c r="O366" s="216">
        <v>0</v>
      </c>
      <c r="P366" s="216">
        <v>0</v>
      </c>
      <c r="Q366" s="216">
        <v>0</v>
      </c>
      <c r="R366" s="216">
        <v>0</v>
      </c>
      <c r="S366" s="216">
        <v>0</v>
      </c>
      <c r="T366" s="216">
        <v>0</v>
      </c>
      <c r="U366" s="216">
        <v>0</v>
      </c>
      <c r="V366" s="216">
        <v>24</v>
      </c>
      <c r="W366" s="52"/>
      <c r="X366" s="216">
        <v>0</v>
      </c>
      <c r="Y366" s="216">
        <v>0</v>
      </c>
      <c r="Z366" s="216">
        <v>24</v>
      </c>
      <c r="AH366" s="46"/>
      <c r="AI366" s="46"/>
    </row>
    <row r="367" spans="1:35" x14ac:dyDescent="0.25">
      <c r="A367" s="31">
        <f>'M&amp;R Stations'!A349</f>
        <v>39308</v>
      </c>
      <c r="B367"/>
      <c r="C367" s="70">
        <f t="shared" si="31"/>
        <v>11</v>
      </c>
      <c r="D367" s="70">
        <f t="shared" si="32"/>
        <v>50</v>
      </c>
      <c r="E367" s="70">
        <f t="shared" si="33"/>
        <v>0</v>
      </c>
      <c r="F367" s="94">
        <f t="shared" si="34"/>
        <v>61</v>
      </c>
      <c r="G367" s="109">
        <f t="shared" si="35"/>
        <v>36</v>
      </c>
      <c r="H367" s="109">
        <f t="shared" si="36"/>
        <v>25</v>
      </c>
      <c r="J367" s="216">
        <v>0</v>
      </c>
      <c r="K367" s="216">
        <v>9</v>
      </c>
      <c r="L367" s="216">
        <v>2</v>
      </c>
      <c r="M367" s="216">
        <v>0</v>
      </c>
      <c r="N367" s="216">
        <v>0</v>
      </c>
      <c r="O367" s="216">
        <v>0</v>
      </c>
      <c r="P367" s="216">
        <v>0</v>
      </c>
      <c r="Q367" s="216">
        <v>0</v>
      </c>
      <c r="R367" s="216">
        <v>0</v>
      </c>
      <c r="S367" s="216">
        <v>0</v>
      </c>
      <c r="T367" s="216">
        <v>0</v>
      </c>
      <c r="U367" s="216">
        <v>0</v>
      </c>
      <c r="V367" s="216">
        <v>25</v>
      </c>
      <c r="W367" s="52"/>
      <c r="X367" s="216">
        <v>0</v>
      </c>
      <c r="Y367" s="216">
        <v>0</v>
      </c>
      <c r="Z367" s="216">
        <v>25</v>
      </c>
      <c r="AH367" s="46"/>
      <c r="AI367" s="46"/>
    </row>
    <row r="368" spans="1:35" x14ac:dyDescent="0.25">
      <c r="A368" s="31">
        <f>'M&amp;R Stations'!A350</f>
        <v>39309</v>
      </c>
      <c r="B368"/>
      <c r="C368" s="70">
        <f t="shared" si="31"/>
        <v>12</v>
      </c>
      <c r="D368" s="70">
        <f t="shared" si="32"/>
        <v>49</v>
      </c>
      <c r="E368" s="70">
        <f t="shared" si="33"/>
        <v>0</v>
      </c>
      <c r="F368" s="94">
        <f t="shared" si="34"/>
        <v>61</v>
      </c>
      <c r="G368" s="109">
        <f t="shared" si="35"/>
        <v>36</v>
      </c>
      <c r="H368" s="109">
        <f t="shared" si="36"/>
        <v>25</v>
      </c>
      <c r="J368" s="216">
        <v>0</v>
      </c>
      <c r="K368" s="216">
        <v>10</v>
      </c>
      <c r="L368" s="216">
        <v>2</v>
      </c>
      <c r="M368" s="216">
        <v>0</v>
      </c>
      <c r="N368" s="216">
        <v>0</v>
      </c>
      <c r="O368" s="216">
        <v>0</v>
      </c>
      <c r="P368" s="216">
        <v>0</v>
      </c>
      <c r="Q368" s="216">
        <v>0</v>
      </c>
      <c r="R368" s="216">
        <v>0</v>
      </c>
      <c r="S368" s="216">
        <v>0</v>
      </c>
      <c r="T368" s="216">
        <v>0</v>
      </c>
      <c r="U368" s="216">
        <v>0</v>
      </c>
      <c r="V368" s="216">
        <v>24</v>
      </c>
      <c r="W368" s="52"/>
      <c r="X368" s="216">
        <v>0</v>
      </c>
      <c r="Y368" s="216">
        <v>0</v>
      </c>
      <c r="Z368" s="216">
        <v>25</v>
      </c>
      <c r="AH368" s="46"/>
      <c r="AI368" s="46"/>
    </row>
    <row r="369" spans="1:35" x14ac:dyDescent="0.25">
      <c r="A369" s="31">
        <f>'M&amp;R Stations'!A351</f>
        <v>39310</v>
      </c>
      <c r="B369"/>
      <c r="C369" s="70">
        <f t="shared" si="31"/>
        <v>12</v>
      </c>
      <c r="D369" s="70">
        <f t="shared" si="32"/>
        <v>48</v>
      </c>
      <c r="E369" s="70">
        <f t="shared" si="33"/>
        <v>0</v>
      </c>
      <c r="F369" s="94">
        <f t="shared" si="34"/>
        <v>60</v>
      </c>
      <c r="G369" s="109">
        <f t="shared" si="35"/>
        <v>36</v>
      </c>
      <c r="H369" s="109">
        <f t="shared" si="36"/>
        <v>24</v>
      </c>
      <c r="J369" s="216">
        <v>0</v>
      </c>
      <c r="K369" s="216">
        <v>10</v>
      </c>
      <c r="L369" s="216">
        <v>2</v>
      </c>
      <c r="M369" s="216">
        <v>0</v>
      </c>
      <c r="N369" s="216">
        <v>0</v>
      </c>
      <c r="O369" s="216">
        <v>0</v>
      </c>
      <c r="P369" s="216">
        <v>0</v>
      </c>
      <c r="Q369" s="216">
        <v>0</v>
      </c>
      <c r="R369" s="216">
        <v>0</v>
      </c>
      <c r="S369" s="216">
        <v>0</v>
      </c>
      <c r="T369" s="216">
        <v>0</v>
      </c>
      <c r="U369" s="216">
        <v>0</v>
      </c>
      <c r="V369" s="216">
        <v>24</v>
      </c>
      <c r="W369" s="52"/>
      <c r="X369" s="216">
        <v>0</v>
      </c>
      <c r="Y369" s="216">
        <v>0</v>
      </c>
      <c r="Z369" s="216">
        <v>24</v>
      </c>
      <c r="AH369" s="46"/>
      <c r="AI369" s="46"/>
    </row>
    <row r="370" spans="1:35" x14ac:dyDescent="0.25">
      <c r="A370" s="31">
        <f>'M&amp;R Stations'!A352</f>
        <v>39311</v>
      </c>
      <c r="B370"/>
      <c r="C370" s="70">
        <f t="shared" si="31"/>
        <v>12</v>
      </c>
      <c r="D370" s="70">
        <f t="shared" si="32"/>
        <v>49</v>
      </c>
      <c r="E370" s="70">
        <f t="shared" si="33"/>
        <v>0</v>
      </c>
      <c r="F370" s="94">
        <f t="shared" si="34"/>
        <v>61</v>
      </c>
      <c r="G370" s="109">
        <f t="shared" si="35"/>
        <v>36</v>
      </c>
      <c r="H370" s="109">
        <f t="shared" si="36"/>
        <v>25</v>
      </c>
      <c r="J370" s="216">
        <v>0</v>
      </c>
      <c r="K370" s="216">
        <v>10</v>
      </c>
      <c r="L370" s="216">
        <v>2</v>
      </c>
      <c r="M370" s="216">
        <v>0</v>
      </c>
      <c r="N370" s="216">
        <v>0</v>
      </c>
      <c r="O370" s="216">
        <v>0</v>
      </c>
      <c r="P370" s="216">
        <v>0</v>
      </c>
      <c r="Q370" s="216">
        <v>0</v>
      </c>
      <c r="R370" s="216">
        <v>0</v>
      </c>
      <c r="S370" s="216">
        <v>0</v>
      </c>
      <c r="T370" s="216">
        <v>0</v>
      </c>
      <c r="U370" s="216">
        <v>0</v>
      </c>
      <c r="V370" s="216">
        <v>24</v>
      </c>
      <c r="W370" s="52"/>
      <c r="X370" s="216">
        <v>0</v>
      </c>
      <c r="Y370" s="216">
        <v>0</v>
      </c>
      <c r="Z370" s="216">
        <v>25</v>
      </c>
      <c r="AH370" s="46"/>
      <c r="AI370" s="46"/>
    </row>
    <row r="371" spans="1:35" x14ac:dyDescent="0.25">
      <c r="A371" s="31">
        <f>'M&amp;R Stations'!A353</f>
        <v>39312</v>
      </c>
      <c r="B371"/>
      <c r="C371" s="70">
        <f t="shared" si="31"/>
        <v>11</v>
      </c>
      <c r="D371" s="70">
        <f t="shared" si="32"/>
        <v>47</v>
      </c>
      <c r="E371" s="70">
        <f t="shared" si="33"/>
        <v>0</v>
      </c>
      <c r="F371" s="94">
        <f t="shared" si="34"/>
        <v>58</v>
      </c>
      <c r="G371" s="109">
        <f t="shared" si="35"/>
        <v>36</v>
      </c>
      <c r="H371" s="109">
        <f t="shared" si="36"/>
        <v>22</v>
      </c>
      <c r="J371" s="216">
        <v>0</v>
      </c>
      <c r="K371" s="216">
        <v>10</v>
      </c>
      <c r="L371" s="216">
        <v>1</v>
      </c>
      <c r="M371" s="216">
        <v>0</v>
      </c>
      <c r="N371" s="216">
        <v>0</v>
      </c>
      <c r="O371" s="216">
        <v>0</v>
      </c>
      <c r="P371" s="216">
        <v>0</v>
      </c>
      <c r="Q371" s="216">
        <v>0</v>
      </c>
      <c r="R371" s="216">
        <v>0</v>
      </c>
      <c r="S371" s="216">
        <v>0</v>
      </c>
      <c r="T371" s="216">
        <v>0</v>
      </c>
      <c r="U371" s="216">
        <v>0</v>
      </c>
      <c r="V371" s="216">
        <v>25</v>
      </c>
      <c r="W371" s="52"/>
      <c r="X371" s="216">
        <v>0</v>
      </c>
      <c r="Y371" s="216">
        <v>0</v>
      </c>
      <c r="Z371" s="216">
        <v>22</v>
      </c>
      <c r="AH371" s="46"/>
      <c r="AI371" s="46"/>
    </row>
    <row r="372" spans="1:35" x14ac:dyDescent="0.25">
      <c r="A372" s="31">
        <f>'M&amp;R Stations'!A354</f>
        <v>39313</v>
      </c>
      <c r="B372"/>
      <c r="C372" s="70">
        <f t="shared" si="31"/>
        <v>13</v>
      </c>
      <c r="D372" s="70">
        <f t="shared" si="32"/>
        <v>49</v>
      </c>
      <c r="E372" s="70">
        <f t="shared" si="33"/>
        <v>0</v>
      </c>
      <c r="F372" s="94">
        <f t="shared" si="34"/>
        <v>62</v>
      </c>
      <c r="G372" s="109">
        <f t="shared" si="35"/>
        <v>38</v>
      </c>
      <c r="H372" s="109">
        <f t="shared" si="36"/>
        <v>24</v>
      </c>
      <c r="J372" s="216">
        <v>0</v>
      </c>
      <c r="K372" s="216">
        <v>11</v>
      </c>
      <c r="L372" s="216">
        <v>2</v>
      </c>
      <c r="M372" s="216">
        <v>0</v>
      </c>
      <c r="N372" s="216">
        <v>0</v>
      </c>
      <c r="O372" s="216">
        <v>0</v>
      </c>
      <c r="P372" s="216">
        <v>0</v>
      </c>
      <c r="Q372" s="216">
        <v>0</v>
      </c>
      <c r="R372" s="216">
        <v>0</v>
      </c>
      <c r="S372" s="216">
        <v>0</v>
      </c>
      <c r="T372" s="216">
        <v>0</v>
      </c>
      <c r="U372" s="216">
        <v>0</v>
      </c>
      <c r="V372" s="216">
        <v>25</v>
      </c>
      <c r="W372" s="52"/>
      <c r="X372" s="216">
        <v>0</v>
      </c>
      <c r="Y372" s="216">
        <v>0</v>
      </c>
      <c r="Z372" s="216">
        <v>24</v>
      </c>
      <c r="AH372" s="46"/>
      <c r="AI372" s="46"/>
    </row>
    <row r="373" spans="1:35" x14ac:dyDescent="0.25">
      <c r="A373" s="31">
        <f>'M&amp;R Stations'!A355</f>
        <v>39314</v>
      </c>
      <c r="B373"/>
      <c r="C373" s="70">
        <f t="shared" si="31"/>
        <v>12</v>
      </c>
      <c r="D373" s="70">
        <f t="shared" si="32"/>
        <v>55</v>
      </c>
      <c r="E373" s="70">
        <f t="shared" si="33"/>
        <v>0</v>
      </c>
      <c r="F373" s="94">
        <f t="shared" si="34"/>
        <v>67</v>
      </c>
      <c r="G373" s="109">
        <f t="shared" si="35"/>
        <v>41</v>
      </c>
      <c r="H373" s="109">
        <f t="shared" si="36"/>
        <v>26</v>
      </c>
      <c r="J373" s="216">
        <v>0</v>
      </c>
      <c r="K373" s="216">
        <v>10</v>
      </c>
      <c r="L373" s="216">
        <v>2</v>
      </c>
      <c r="M373" s="216">
        <v>0</v>
      </c>
      <c r="N373" s="216">
        <v>0</v>
      </c>
      <c r="O373" s="216">
        <v>0</v>
      </c>
      <c r="P373" s="216">
        <v>0</v>
      </c>
      <c r="Q373" s="216">
        <v>0</v>
      </c>
      <c r="R373" s="216">
        <v>0</v>
      </c>
      <c r="S373" s="216">
        <v>0</v>
      </c>
      <c r="T373" s="216">
        <v>0</v>
      </c>
      <c r="U373" s="216">
        <v>0</v>
      </c>
      <c r="V373" s="216">
        <v>29</v>
      </c>
      <c r="W373" s="52"/>
      <c r="X373" s="216">
        <v>0</v>
      </c>
      <c r="Y373" s="216">
        <v>0</v>
      </c>
      <c r="Z373" s="216">
        <v>26</v>
      </c>
      <c r="AH373" s="46"/>
      <c r="AI373" s="46"/>
    </row>
    <row r="374" spans="1:35" x14ac:dyDescent="0.25">
      <c r="A374" s="31">
        <f>'M&amp;R Stations'!A356</f>
        <v>39315</v>
      </c>
      <c r="B374"/>
      <c r="C374" s="70">
        <f t="shared" si="31"/>
        <v>13</v>
      </c>
      <c r="D374" s="70">
        <f t="shared" si="32"/>
        <v>57</v>
      </c>
      <c r="E374" s="70">
        <f t="shared" si="33"/>
        <v>11</v>
      </c>
      <c r="F374" s="94">
        <f t="shared" si="34"/>
        <v>81</v>
      </c>
      <c r="G374" s="109">
        <f t="shared" si="35"/>
        <v>53</v>
      </c>
      <c r="H374" s="109">
        <f t="shared" si="36"/>
        <v>28</v>
      </c>
      <c r="J374" s="216">
        <v>0</v>
      </c>
      <c r="K374" s="216">
        <v>11</v>
      </c>
      <c r="L374" s="216">
        <v>2</v>
      </c>
      <c r="M374" s="216">
        <v>0</v>
      </c>
      <c r="N374" s="216">
        <v>0</v>
      </c>
      <c r="O374" s="216">
        <v>0</v>
      </c>
      <c r="P374" s="216">
        <v>0</v>
      </c>
      <c r="Q374" s="216">
        <v>0</v>
      </c>
      <c r="R374" s="216">
        <v>0</v>
      </c>
      <c r="S374" s="216">
        <v>0</v>
      </c>
      <c r="T374" s="216">
        <v>0</v>
      </c>
      <c r="U374" s="216">
        <v>11</v>
      </c>
      <c r="V374" s="216">
        <v>29</v>
      </c>
      <c r="W374" s="52"/>
      <c r="X374" s="216">
        <v>0</v>
      </c>
      <c r="Y374" s="216">
        <v>0</v>
      </c>
      <c r="Z374" s="216">
        <v>28</v>
      </c>
      <c r="AH374" s="46"/>
      <c r="AI374" s="46"/>
    </row>
    <row r="375" spans="1:35" x14ac:dyDescent="0.25">
      <c r="A375" s="31">
        <f>'M&amp;R Stations'!A357</f>
        <v>39316</v>
      </c>
      <c r="B375"/>
      <c r="C375" s="70">
        <f t="shared" si="31"/>
        <v>13</v>
      </c>
      <c r="D375" s="70">
        <f t="shared" si="32"/>
        <v>55</v>
      </c>
      <c r="E375" s="70">
        <f t="shared" si="33"/>
        <v>0</v>
      </c>
      <c r="F375" s="94">
        <f t="shared" si="34"/>
        <v>68</v>
      </c>
      <c r="G375" s="109">
        <f t="shared" si="35"/>
        <v>45</v>
      </c>
      <c r="H375" s="109">
        <f t="shared" si="36"/>
        <v>23</v>
      </c>
      <c r="J375" s="216">
        <v>0</v>
      </c>
      <c r="K375" s="216">
        <v>11</v>
      </c>
      <c r="L375" s="216">
        <v>2</v>
      </c>
      <c r="M375" s="216">
        <v>0</v>
      </c>
      <c r="N375" s="216">
        <v>0</v>
      </c>
      <c r="O375" s="216">
        <v>0</v>
      </c>
      <c r="P375" s="216">
        <v>0</v>
      </c>
      <c r="Q375" s="216">
        <v>0</v>
      </c>
      <c r="R375" s="216">
        <v>0</v>
      </c>
      <c r="S375" s="216">
        <v>0</v>
      </c>
      <c r="T375" s="216">
        <v>0</v>
      </c>
      <c r="U375" s="216">
        <v>0</v>
      </c>
      <c r="V375" s="216">
        <v>32</v>
      </c>
      <c r="W375" s="52"/>
      <c r="X375" s="216">
        <v>0</v>
      </c>
      <c r="Y375" s="216">
        <v>0</v>
      </c>
      <c r="Z375" s="216">
        <v>23</v>
      </c>
      <c r="AH375" s="46"/>
      <c r="AI375" s="46"/>
    </row>
    <row r="376" spans="1:35" x14ac:dyDescent="0.25">
      <c r="A376" s="31">
        <f>'M&amp;R Stations'!A358</f>
        <v>39317</v>
      </c>
      <c r="B376"/>
      <c r="C376" s="70">
        <f t="shared" si="31"/>
        <v>11</v>
      </c>
      <c r="D376" s="70">
        <f t="shared" si="32"/>
        <v>55</v>
      </c>
      <c r="E376" s="70">
        <f t="shared" si="33"/>
        <v>0</v>
      </c>
      <c r="F376" s="94">
        <f t="shared" si="34"/>
        <v>66</v>
      </c>
      <c r="G376" s="109">
        <f t="shared" si="35"/>
        <v>40</v>
      </c>
      <c r="H376" s="109">
        <f t="shared" si="36"/>
        <v>26</v>
      </c>
      <c r="J376" s="216">
        <v>0</v>
      </c>
      <c r="K376" s="216">
        <v>9</v>
      </c>
      <c r="L376" s="216">
        <v>2</v>
      </c>
      <c r="M376" s="216">
        <v>0</v>
      </c>
      <c r="N376" s="216">
        <v>0</v>
      </c>
      <c r="O376" s="216">
        <v>0</v>
      </c>
      <c r="P376" s="216">
        <v>0</v>
      </c>
      <c r="Q376" s="216">
        <v>0</v>
      </c>
      <c r="R376" s="216">
        <v>0</v>
      </c>
      <c r="S376" s="216">
        <v>0</v>
      </c>
      <c r="T376" s="216">
        <v>0</v>
      </c>
      <c r="U376" s="216">
        <v>0</v>
      </c>
      <c r="V376" s="216">
        <v>29</v>
      </c>
      <c r="W376" s="52"/>
      <c r="X376" s="216">
        <v>0</v>
      </c>
      <c r="Y376" s="216">
        <v>0</v>
      </c>
      <c r="Z376" s="216">
        <v>26</v>
      </c>
      <c r="AH376" s="46"/>
      <c r="AI376" s="46"/>
    </row>
    <row r="377" spans="1:35" x14ac:dyDescent="0.25">
      <c r="A377" s="31">
        <f>'M&amp;R Stations'!A359</f>
        <v>39318</v>
      </c>
      <c r="B377"/>
      <c r="C377" s="70">
        <f t="shared" si="31"/>
        <v>13</v>
      </c>
      <c r="D377" s="70">
        <f t="shared" si="32"/>
        <v>52</v>
      </c>
      <c r="E377" s="70">
        <f t="shared" si="33"/>
        <v>11</v>
      </c>
      <c r="F377" s="94">
        <f t="shared" si="34"/>
        <v>76</v>
      </c>
      <c r="G377" s="109">
        <f t="shared" si="35"/>
        <v>50</v>
      </c>
      <c r="H377" s="109">
        <f t="shared" si="36"/>
        <v>26</v>
      </c>
      <c r="J377" s="216">
        <v>0</v>
      </c>
      <c r="K377" s="216">
        <v>11</v>
      </c>
      <c r="L377" s="216">
        <v>2</v>
      </c>
      <c r="M377" s="216">
        <v>0</v>
      </c>
      <c r="N377" s="216">
        <v>0</v>
      </c>
      <c r="O377" s="216">
        <v>0</v>
      </c>
      <c r="P377" s="216">
        <v>0</v>
      </c>
      <c r="Q377" s="216">
        <v>0</v>
      </c>
      <c r="R377" s="216">
        <v>0</v>
      </c>
      <c r="S377" s="216">
        <v>0</v>
      </c>
      <c r="T377" s="216">
        <v>0</v>
      </c>
      <c r="U377" s="216">
        <v>11</v>
      </c>
      <c r="V377" s="216">
        <v>26</v>
      </c>
      <c r="W377" s="52"/>
      <c r="X377" s="216">
        <v>0</v>
      </c>
      <c r="Y377" s="216">
        <v>0</v>
      </c>
      <c r="Z377" s="216">
        <v>26</v>
      </c>
      <c r="AH377" s="46"/>
      <c r="AI377" s="46"/>
    </row>
    <row r="378" spans="1:35" x14ac:dyDescent="0.25">
      <c r="A378" s="31">
        <f>'M&amp;R Stations'!A360</f>
        <v>39319</v>
      </c>
      <c r="B378"/>
      <c r="C378" s="70">
        <f t="shared" si="31"/>
        <v>24</v>
      </c>
      <c r="D378" s="70">
        <f t="shared" si="32"/>
        <v>47</v>
      </c>
      <c r="E378" s="70">
        <f t="shared" si="33"/>
        <v>0</v>
      </c>
      <c r="F378" s="94">
        <f t="shared" si="34"/>
        <v>71</v>
      </c>
      <c r="G378" s="109">
        <f t="shared" si="35"/>
        <v>45</v>
      </c>
      <c r="H378" s="109">
        <f t="shared" si="36"/>
        <v>26</v>
      </c>
      <c r="J378" s="216">
        <v>0</v>
      </c>
      <c r="K378" s="216">
        <v>11</v>
      </c>
      <c r="L378" s="216">
        <v>3</v>
      </c>
      <c r="M378" s="216">
        <v>0</v>
      </c>
      <c r="N378" s="216">
        <v>10</v>
      </c>
      <c r="O378" s="216">
        <v>0</v>
      </c>
      <c r="P378" s="216">
        <v>0</v>
      </c>
      <c r="Q378" s="216">
        <v>0</v>
      </c>
      <c r="R378" s="216">
        <v>0</v>
      </c>
      <c r="S378" s="216">
        <v>0</v>
      </c>
      <c r="T378" s="216">
        <v>0</v>
      </c>
      <c r="U378" s="216">
        <v>0</v>
      </c>
      <c r="V378" s="216">
        <v>21</v>
      </c>
      <c r="W378" s="52"/>
      <c r="X378" s="216">
        <v>0</v>
      </c>
      <c r="Y378" s="216">
        <v>0</v>
      </c>
      <c r="Z378" s="216">
        <v>26</v>
      </c>
      <c r="AH378" s="46"/>
      <c r="AI378" s="46"/>
    </row>
    <row r="379" spans="1:35" x14ac:dyDescent="0.25">
      <c r="A379" s="31">
        <f>'M&amp;R Stations'!A361</f>
        <v>39320</v>
      </c>
      <c r="B379"/>
      <c r="C379" s="70">
        <f t="shared" si="31"/>
        <v>29</v>
      </c>
      <c r="D379" s="70">
        <f t="shared" si="32"/>
        <v>51</v>
      </c>
      <c r="E379" s="70">
        <f t="shared" si="33"/>
        <v>0</v>
      </c>
      <c r="F379" s="94">
        <f t="shared" si="34"/>
        <v>80</v>
      </c>
      <c r="G379" s="109">
        <f t="shared" si="35"/>
        <v>55</v>
      </c>
      <c r="H379" s="109">
        <f t="shared" si="36"/>
        <v>25</v>
      </c>
      <c r="J379" s="216">
        <v>0</v>
      </c>
      <c r="K379" s="216">
        <v>11</v>
      </c>
      <c r="L379" s="216">
        <v>2</v>
      </c>
      <c r="M379" s="216">
        <v>0</v>
      </c>
      <c r="N379" s="216">
        <v>16</v>
      </c>
      <c r="O379" s="216">
        <v>0</v>
      </c>
      <c r="P379" s="216">
        <v>0</v>
      </c>
      <c r="Q379" s="216">
        <v>0</v>
      </c>
      <c r="R379" s="216">
        <v>0</v>
      </c>
      <c r="S379" s="216">
        <v>0</v>
      </c>
      <c r="T379" s="216">
        <v>0</v>
      </c>
      <c r="U379" s="216">
        <v>0</v>
      </c>
      <c r="V379" s="216">
        <v>26</v>
      </c>
      <c r="W379" s="52"/>
      <c r="X379" s="216">
        <v>0</v>
      </c>
      <c r="Y379" s="216">
        <v>0</v>
      </c>
      <c r="Z379" s="216">
        <v>25</v>
      </c>
      <c r="AH379" s="46"/>
      <c r="AI379" s="46"/>
    </row>
    <row r="380" spans="1:35" x14ac:dyDescent="0.25">
      <c r="A380" s="31">
        <f>'M&amp;R Stations'!A362</f>
        <v>39321</v>
      </c>
      <c r="B380"/>
      <c r="C380" s="70">
        <f t="shared" si="31"/>
        <v>19</v>
      </c>
      <c r="D380" s="70">
        <f t="shared" si="32"/>
        <v>54</v>
      </c>
      <c r="E380" s="70">
        <f t="shared" si="33"/>
        <v>0</v>
      </c>
      <c r="F380" s="94">
        <f t="shared" si="34"/>
        <v>73</v>
      </c>
      <c r="G380" s="109">
        <f t="shared" si="35"/>
        <v>46</v>
      </c>
      <c r="H380" s="109">
        <f t="shared" si="36"/>
        <v>27</v>
      </c>
      <c r="J380" s="216">
        <v>0</v>
      </c>
      <c r="K380" s="216">
        <v>10</v>
      </c>
      <c r="L380" s="216">
        <v>1</v>
      </c>
      <c r="M380" s="216">
        <v>0</v>
      </c>
      <c r="N380" s="216">
        <v>8</v>
      </c>
      <c r="O380" s="216">
        <v>0</v>
      </c>
      <c r="P380" s="216">
        <v>0</v>
      </c>
      <c r="Q380" s="216">
        <v>0</v>
      </c>
      <c r="R380" s="216">
        <v>0</v>
      </c>
      <c r="S380" s="216">
        <v>0</v>
      </c>
      <c r="T380" s="216">
        <v>0</v>
      </c>
      <c r="U380" s="216">
        <v>0</v>
      </c>
      <c r="V380" s="216">
        <v>27</v>
      </c>
      <c r="W380" s="52"/>
      <c r="X380" s="216">
        <v>0</v>
      </c>
      <c r="Y380" s="216">
        <v>0</v>
      </c>
      <c r="Z380" s="216">
        <v>27</v>
      </c>
      <c r="AH380" s="46"/>
      <c r="AI380" s="46"/>
    </row>
    <row r="381" spans="1:35" x14ac:dyDescent="0.25">
      <c r="A381" s="31">
        <f>'M&amp;R Stations'!A363</f>
        <v>39322</v>
      </c>
      <c r="B381"/>
      <c r="C381" s="70">
        <f t="shared" si="31"/>
        <v>13</v>
      </c>
      <c r="D381" s="70">
        <f t="shared" si="32"/>
        <v>54</v>
      </c>
      <c r="E381" s="70">
        <f t="shared" si="33"/>
        <v>0</v>
      </c>
      <c r="F381" s="94">
        <f t="shared" si="34"/>
        <v>67</v>
      </c>
      <c r="G381" s="109">
        <f t="shared" si="35"/>
        <v>40</v>
      </c>
      <c r="H381" s="109">
        <f t="shared" si="36"/>
        <v>27</v>
      </c>
      <c r="J381" s="216">
        <v>0</v>
      </c>
      <c r="K381" s="216">
        <v>11</v>
      </c>
      <c r="L381" s="216">
        <v>2</v>
      </c>
      <c r="M381" s="216">
        <v>0</v>
      </c>
      <c r="N381" s="216">
        <v>0</v>
      </c>
      <c r="O381" s="216">
        <v>0</v>
      </c>
      <c r="P381" s="216">
        <v>0</v>
      </c>
      <c r="Q381" s="216">
        <v>0</v>
      </c>
      <c r="R381" s="216">
        <v>0</v>
      </c>
      <c r="S381" s="216">
        <v>0</v>
      </c>
      <c r="T381" s="216">
        <v>0</v>
      </c>
      <c r="U381" s="216">
        <v>0</v>
      </c>
      <c r="V381" s="216">
        <v>27</v>
      </c>
      <c r="W381" s="52"/>
      <c r="X381" s="216">
        <v>0</v>
      </c>
      <c r="Y381" s="216">
        <v>0</v>
      </c>
      <c r="Z381" s="216">
        <v>27</v>
      </c>
      <c r="AH381" s="46"/>
      <c r="AI381" s="46"/>
    </row>
    <row r="382" spans="1:35" x14ac:dyDescent="0.25">
      <c r="A382" s="31">
        <f>'M&amp;R Stations'!A364</f>
        <v>39323</v>
      </c>
      <c r="B382"/>
      <c r="C382" s="70">
        <f t="shared" si="31"/>
        <v>12</v>
      </c>
      <c r="D382" s="70">
        <f t="shared" si="32"/>
        <v>53</v>
      </c>
      <c r="E382" s="70">
        <f t="shared" si="33"/>
        <v>0</v>
      </c>
      <c r="F382" s="94">
        <f t="shared" si="34"/>
        <v>65</v>
      </c>
      <c r="G382" s="109">
        <f t="shared" si="35"/>
        <v>38</v>
      </c>
      <c r="H382" s="109">
        <f t="shared" si="36"/>
        <v>27</v>
      </c>
      <c r="J382" s="216">
        <v>0</v>
      </c>
      <c r="K382" s="216">
        <v>10</v>
      </c>
      <c r="L382" s="216">
        <v>2</v>
      </c>
      <c r="M382" s="216">
        <v>0</v>
      </c>
      <c r="N382" s="216">
        <v>0</v>
      </c>
      <c r="O382" s="216">
        <v>0</v>
      </c>
      <c r="P382" s="216">
        <v>0</v>
      </c>
      <c r="Q382" s="216">
        <v>0</v>
      </c>
      <c r="R382" s="216">
        <v>0</v>
      </c>
      <c r="S382" s="216">
        <v>0</v>
      </c>
      <c r="T382" s="216">
        <v>0</v>
      </c>
      <c r="U382" s="216">
        <v>0</v>
      </c>
      <c r="V382" s="216">
        <v>26</v>
      </c>
      <c r="W382" s="52"/>
      <c r="X382" s="216">
        <v>0</v>
      </c>
      <c r="Y382" s="216">
        <v>0</v>
      </c>
      <c r="Z382" s="216">
        <v>27</v>
      </c>
      <c r="AH382" s="46"/>
      <c r="AI382" s="46"/>
    </row>
    <row r="383" spans="1:35" x14ac:dyDescent="0.25">
      <c r="A383" s="31">
        <f>'M&amp;R Stations'!A365</f>
        <v>39324</v>
      </c>
      <c r="B383"/>
      <c r="C383" s="70">
        <f t="shared" si="31"/>
        <v>12</v>
      </c>
      <c r="D383" s="70">
        <f t="shared" si="32"/>
        <v>52</v>
      </c>
      <c r="E383" s="70">
        <f t="shared" si="33"/>
        <v>0</v>
      </c>
      <c r="F383" s="94">
        <f t="shared" si="34"/>
        <v>64</v>
      </c>
      <c r="G383" s="109">
        <f t="shared" si="35"/>
        <v>38</v>
      </c>
      <c r="H383" s="109">
        <f t="shared" si="36"/>
        <v>26</v>
      </c>
      <c r="J383" s="216">
        <v>0</v>
      </c>
      <c r="K383" s="216">
        <v>10</v>
      </c>
      <c r="L383" s="216">
        <v>2</v>
      </c>
      <c r="M383" s="216">
        <v>0</v>
      </c>
      <c r="N383" s="216">
        <v>0</v>
      </c>
      <c r="O383" s="216">
        <v>0</v>
      </c>
      <c r="P383" s="216">
        <v>0</v>
      </c>
      <c r="Q383" s="216">
        <v>0</v>
      </c>
      <c r="R383" s="216">
        <v>0</v>
      </c>
      <c r="S383" s="216">
        <v>0</v>
      </c>
      <c r="T383" s="216">
        <v>0</v>
      </c>
      <c r="U383" s="216">
        <v>0</v>
      </c>
      <c r="V383" s="216">
        <v>26</v>
      </c>
      <c r="W383" s="52"/>
      <c r="X383" s="216">
        <v>0</v>
      </c>
      <c r="Y383" s="216">
        <v>0</v>
      </c>
      <c r="Z383" s="216">
        <v>26</v>
      </c>
      <c r="AH383" s="46"/>
      <c r="AI383" s="46"/>
    </row>
    <row r="384" spans="1:35" x14ac:dyDescent="0.25">
      <c r="A384" s="214">
        <f>'M&amp;R Stations'!A366</f>
        <v>39325</v>
      </c>
      <c r="B384" s="246"/>
      <c r="C384" s="247">
        <f t="shared" si="31"/>
        <v>12</v>
      </c>
      <c r="D384" s="247">
        <f t="shared" si="32"/>
        <v>49</v>
      </c>
      <c r="E384" s="247">
        <f t="shared" si="33"/>
        <v>0</v>
      </c>
      <c r="F384" s="248">
        <f t="shared" si="34"/>
        <v>61</v>
      </c>
      <c r="G384" s="111">
        <f t="shared" si="35"/>
        <v>37</v>
      </c>
      <c r="H384" s="111">
        <f t="shared" si="36"/>
        <v>24</v>
      </c>
      <c r="I384" s="249"/>
      <c r="J384" s="219">
        <v>0</v>
      </c>
      <c r="K384" s="219">
        <v>10</v>
      </c>
      <c r="L384" s="219">
        <v>2</v>
      </c>
      <c r="M384" s="219">
        <v>0</v>
      </c>
      <c r="N384" s="219">
        <v>0</v>
      </c>
      <c r="O384" s="219">
        <v>0</v>
      </c>
      <c r="P384" s="219">
        <v>0</v>
      </c>
      <c r="Q384" s="219">
        <v>0</v>
      </c>
      <c r="R384" s="219">
        <v>0</v>
      </c>
      <c r="S384" s="219">
        <v>0</v>
      </c>
      <c r="T384" s="219">
        <v>0</v>
      </c>
      <c r="U384" s="219">
        <v>0</v>
      </c>
      <c r="V384" s="219">
        <v>25</v>
      </c>
      <c r="W384" s="250"/>
      <c r="X384" s="219">
        <v>0</v>
      </c>
      <c r="Y384" s="219">
        <v>0</v>
      </c>
      <c r="Z384" s="219">
        <v>24</v>
      </c>
      <c r="AH384" s="46"/>
      <c r="AI384" s="46"/>
    </row>
    <row r="385" spans="1:57" s="252" customFormat="1" x14ac:dyDescent="0.25">
      <c r="A385" s="215" t="s">
        <v>17</v>
      </c>
      <c r="B385" s="251"/>
      <c r="C385" s="254">
        <f t="shared" ref="C385:H385" si="37">SUM(C8:C384)</f>
        <v>224099.20000000001</v>
      </c>
      <c r="D385" s="254">
        <f t="shared" si="37"/>
        <v>60720</v>
      </c>
      <c r="E385" s="254">
        <f t="shared" si="37"/>
        <v>2514</v>
      </c>
      <c r="F385" s="254">
        <f t="shared" si="37"/>
        <v>287333.2</v>
      </c>
      <c r="G385" s="254">
        <f t="shared" si="37"/>
        <v>176189.2</v>
      </c>
      <c r="H385" s="254">
        <f t="shared" si="37"/>
        <v>111144</v>
      </c>
      <c r="J385" s="254">
        <f t="shared" ref="J385:V385" si="38">SUM(J8:J384)</f>
        <v>12636.2</v>
      </c>
      <c r="K385" s="254">
        <f t="shared" si="38"/>
        <v>4739</v>
      </c>
      <c r="L385" s="254">
        <f t="shared" si="38"/>
        <v>1104</v>
      </c>
      <c r="M385" s="254">
        <f t="shared" si="38"/>
        <v>5651</v>
      </c>
      <c r="N385" s="254">
        <f t="shared" si="38"/>
        <v>3839</v>
      </c>
      <c r="O385" s="254">
        <f t="shared" si="38"/>
        <v>1323</v>
      </c>
      <c r="P385" s="254">
        <f t="shared" si="38"/>
        <v>8691</v>
      </c>
      <c r="Q385" s="254">
        <f t="shared" si="38"/>
        <v>108555</v>
      </c>
      <c r="R385" s="254">
        <f t="shared" si="38"/>
        <v>1942</v>
      </c>
      <c r="S385" s="254">
        <f t="shared" si="38"/>
        <v>0</v>
      </c>
      <c r="T385" s="254">
        <f t="shared" si="38"/>
        <v>0</v>
      </c>
      <c r="U385" s="254">
        <f t="shared" si="38"/>
        <v>572</v>
      </c>
      <c r="V385" s="254">
        <f t="shared" si="38"/>
        <v>27137</v>
      </c>
      <c r="W385" s="52"/>
      <c r="X385" s="254">
        <f>SUM(X8:X384)</f>
        <v>77561</v>
      </c>
      <c r="Y385" s="254">
        <f>SUM(Y8:Y384)</f>
        <v>12114</v>
      </c>
      <c r="Z385" s="254">
        <f>SUM(Z8:Z384)</f>
        <v>21469</v>
      </c>
      <c r="AH385" s="253"/>
      <c r="AI385" s="253"/>
    </row>
    <row r="386" spans="1:57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</row>
    <row r="387" spans="1:57" x14ac:dyDescent="0.25">
      <c r="A387" s="22"/>
      <c r="C387" s="45"/>
      <c r="D387" s="45"/>
      <c r="E387" s="45"/>
      <c r="F387" s="46"/>
      <c r="G387" s="46"/>
      <c r="H387" s="46"/>
      <c r="J387" s="52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H387" s="46"/>
      <c r="AI387" s="46"/>
    </row>
    <row r="388" spans="1:57" x14ac:dyDescent="0.25">
      <c r="A388" s="22"/>
      <c r="C388" s="45"/>
      <c r="D388" s="45"/>
      <c r="E388" s="45"/>
      <c r="F388" s="46"/>
      <c r="G388" s="46"/>
      <c r="H388" s="46"/>
      <c r="J388" s="52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H388" s="46"/>
      <c r="AI388" s="46"/>
    </row>
    <row r="389" spans="1:57" x14ac:dyDescent="0.25">
      <c r="A389" s="22"/>
      <c r="C389" s="45"/>
      <c r="D389" s="45"/>
      <c r="E389" s="45"/>
      <c r="F389" s="46"/>
      <c r="G389" s="46"/>
      <c r="H389" s="46"/>
      <c r="J389" s="52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H389" s="46"/>
      <c r="AI389" s="46"/>
    </row>
    <row r="390" spans="1:57" x14ac:dyDescent="0.25">
      <c r="A390" s="22"/>
      <c r="C390" s="45"/>
      <c r="D390" s="45"/>
      <c r="E390" s="45"/>
      <c r="F390" s="46"/>
      <c r="G390" s="46"/>
      <c r="H390" s="46"/>
      <c r="J390" s="52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H390" s="46"/>
      <c r="AI390" s="46"/>
    </row>
    <row r="391" spans="1:57" x14ac:dyDescent="0.25">
      <c r="A391" s="22"/>
      <c r="C391" s="45"/>
      <c r="D391" s="45"/>
      <c r="E391" s="45"/>
      <c r="F391" s="46"/>
      <c r="G391" s="46"/>
      <c r="H391" s="46"/>
      <c r="J391" s="52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H391" s="46"/>
      <c r="AI391" s="46"/>
    </row>
    <row r="392" spans="1:57" x14ac:dyDescent="0.25">
      <c r="A392" s="22"/>
      <c r="C392" s="45"/>
      <c r="D392" s="45"/>
      <c r="E392" s="45"/>
      <c r="F392" s="46"/>
      <c r="G392" s="46"/>
      <c r="H392" s="46"/>
      <c r="J392" s="52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H392" s="46"/>
      <c r="AI392" s="46"/>
    </row>
    <row r="393" spans="1:57" x14ac:dyDescent="0.25">
      <c r="A393" s="22"/>
      <c r="C393" s="45"/>
      <c r="D393" s="45"/>
      <c r="E393" s="45"/>
      <c r="F393" s="46"/>
      <c r="G393" s="46"/>
      <c r="H393" s="46"/>
      <c r="J393" s="52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H393" s="46"/>
      <c r="AI393" s="46"/>
    </row>
    <row r="394" spans="1:57" x14ac:dyDescent="0.25">
      <c r="A394" s="22"/>
      <c r="C394" s="45"/>
      <c r="D394" s="45"/>
      <c r="E394" s="45"/>
      <c r="F394" s="46"/>
      <c r="G394" s="46"/>
      <c r="H394" s="46"/>
      <c r="J394" s="52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H394" s="46"/>
      <c r="AI394" s="46"/>
    </row>
    <row r="395" spans="1:57" x14ac:dyDescent="0.25">
      <c r="A395" s="22"/>
      <c r="C395" s="45"/>
      <c r="D395" s="45"/>
      <c r="E395" s="45"/>
      <c r="F395" s="46"/>
      <c r="G395" s="46"/>
      <c r="H395" s="46"/>
      <c r="J395" s="52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H395" s="46"/>
      <c r="AI395" s="46"/>
    </row>
    <row r="396" spans="1:57" x14ac:dyDescent="0.25">
      <c r="A396" s="22"/>
      <c r="C396" s="45"/>
      <c r="D396" s="45"/>
      <c r="E396" s="45"/>
      <c r="F396" s="46"/>
      <c r="G396" s="46"/>
      <c r="H396" s="46"/>
      <c r="J396" s="52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H396" s="46"/>
      <c r="AI396" s="46"/>
    </row>
    <row r="397" spans="1:57" x14ac:dyDescent="0.25">
      <c r="A397" s="22"/>
      <c r="C397" s="45"/>
      <c r="D397" s="45"/>
      <c r="E397" s="45"/>
      <c r="F397" s="46"/>
      <c r="G397" s="46"/>
      <c r="H397" s="46"/>
      <c r="J397" s="52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H397" s="46"/>
      <c r="AI397" s="46"/>
    </row>
    <row r="398" spans="1:57" x14ac:dyDescent="0.25">
      <c r="A398" s="22"/>
      <c r="C398" s="45"/>
      <c r="D398" s="45"/>
      <c r="E398" s="45"/>
      <c r="F398" s="46"/>
      <c r="G398" s="46"/>
      <c r="H398" s="46"/>
      <c r="J398" s="52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H398" s="46"/>
      <c r="AI398" s="46"/>
    </row>
    <row r="399" spans="1:57" x14ac:dyDescent="0.25">
      <c r="A399" s="22"/>
      <c r="C399" s="45"/>
      <c r="D399" s="45"/>
      <c r="E399" s="45"/>
      <c r="F399" s="46"/>
      <c r="G399" s="46"/>
      <c r="H399" s="46"/>
      <c r="J399" s="52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H399" s="46"/>
      <c r="AI399" s="46"/>
    </row>
    <row r="400" spans="1:57" x14ac:dyDescent="0.25">
      <c r="A400" s="22"/>
      <c r="C400" s="45"/>
      <c r="D400" s="45"/>
      <c r="E400" s="45"/>
      <c r="F400" s="46"/>
      <c r="G400" s="46"/>
      <c r="H400" s="46"/>
      <c r="J400" s="52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H400" s="46"/>
      <c r="AI400" s="46"/>
    </row>
    <row r="401" spans="1:35" x14ac:dyDescent="0.25">
      <c r="A401" s="22"/>
      <c r="C401" s="45"/>
      <c r="D401" s="45"/>
      <c r="E401" s="45"/>
      <c r="F401" s="46"/>
      <c r="G401" s="46"/>
      <c r="H401" s="46"/>
      <c r="J401" s="52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H401" s="46"/>
      <c r="AI401" s="46"/>
    </row>
    <row r="402" spans="1:35" x14ac:dyDescent="0.25">
      <c r="A402" s="22"/>
      <c r="C402" s="45"/>
      <c r="D402" s="45"/>
      <c r="E402" s="45"/>
      <c r="F402" s="46"/>
      <c r="G402" s="46"/>
      <c r="H402" s="46"/>
      <c r="J402" s="52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H402" s="46"/>
      <c r="AI402" s="46"/>
    </row>
    <row r="403" spans="1:35" x14ac:dyDescent="0.25">
      <c r="A403" s="22"/>
      <c r="C403" s="45"/>
      <c r="D403" s="45"/>
      <c r="E403" s="45"/>
      <c r="F403" s="46"/>
      <c r="G403" s="46"/>
      <c r="H403" s="46"/>
      <c r="J403" s="52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H403" s="46"/>
      <c r="AI403" s="46"/>
    </row>
    <row r="404" spans="1:35" x14ac:dyDescent="0.25">
      <c r="A404" s="22"/>
      <c r="C404" s="45"/>
      <c r="D404" s="45"/>
      <c r="E404" s="45"/>
      <c r="F404" s="46"/>
      <c r="G404" s="46"/>
      <c r="H404" s="46"/>
      <c r="J404" s="52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H404" s="46"/>
      <c r="AI404" s="46"/>
    </row>
    <row r="405" spans="1:35" x14ac:dyDescent="0.25">
      <c r="A405" s="22"/>
      <c r="C405" s="45"/>
      <c r="D405" s="45"/>
      <c r="E405" s="45"/>
      <c r="F405" s="46"/>
      <c r="G405" s="46"/>
      <c r="H405" s="46"/>
      <c r="J405" s="52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H405" s="46"/>
      <c r="AI405" s="46"/>
    </row>
    <row r="406" spans="1:35" x14ac:dyDescent="0.25">
      <c r="A406" s="22"/>
      <c r="C406" s="45"/>
      <c r="D406" s="45"/>
      <c r="E406" s="45"/>
      <c r="F406" s="46"/>
      <c r="G406" s="46"/>
      <c r="H406" s="46"/>
      <c r="J406" s="52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H406" s="46"/>
      <c r="AI406" s="46"/>
    </row>
    <row r="407" spans="1:35" x14ac:dyDescent="0.25">
      <c r="A407" s="22"/>
      <c r="C407" s="45"/>
      <c r="D407" s="45"/>
      <c r="E407" s="45"/>
      <c r="F407" s="46"/>
      <c r="G407" s="46"/>
      <c r="H407" s="46"/>
      <c r="J407" s="52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H407" s="46"/>
      <c r="AI407" s="46"/>
    </row>
    <row r="408" spans="1:35" x14ac:dyDescent="0.25">
      <c r="A408" s="22"/>
      <c r="C408" s="45"/>
      <c r="D408" s="45"/>
      <c r="E408" s="45"/>
      <c r="F408" s="46"/>
      <c r="G408" s="46"/>
      <c r="H408" s="46"/>
      <c r="J408" s="52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H408" s="46"/>
      <c r="AI408" s="46"/>
    </row>
    <row r="409" spans="1:35" x14ac:dyDescent="0.25">
      <c r="A409" s="22"/>
      <c r="C409" s="45"/>
      <c r="D409" s="45"/>
      <c r="E409" s="45"/>
      <c r="F409" s="46"/>
      <c r="G409" s="46"/>
      <c r="H409" s="46"/>
      <c r="J409" s="52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H409" s="46"/>
      <c r="AI409" s="46"/>
    </row>
    <row r="410" spans="1:35" x14ac:dyDescent="0.25">
      <c r="A410" s="22"/>
      <c r="C410" s="45"/>
      <c r="D410" s="45"/>
      <c r="E410" s="45"/>
      <c r="F410" s="46"/>
      <c r="G410" s="46"/>
      <c r="H410" s="46"/>
      <c r="J410" s="52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H410" s="46"/>
      <c r="AI410" s="46"/>
    </row>
    <row r="411" spans="1:35" x14ac:dyDescent="0.25">
      <c r="A411" s="22"/>
      <c r="C411" s="45"/>
      <c r="D411" s="45"/>
      <c r="E411" s="45"/>
      <c r="F411" s="46"/>
      <c r="G411" s="46"/>
      <c r="H411" s="46"/>
      <c r="J411" s="52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H411" s="46"/>
      <c r="AI411" s="46"/>
    </row>
    <row r="412" spans="1:35" x14ac:dyDescent="0.25">
      <c r="A412" s="22"/>
      <c r="C412" s="45"/>
      <c r="D412" s="45"/>
      <c r="E412" s="45"/>
      <c r="F412" s="46"/>
      <c r="G412" s="46"/>
      <c r="H412" s="46"/>
      <c r="J412" s="52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H412" s="46"/>
      <c r="AI412" s="46"/>
    </row>
    <row r="413" spans="1:35" x14ac:dyDescent="0.25">
      <c r="A413" s="22"/>
      <c r="C413" s="45"/>
      <c r="D413" s="45"/>
      <c r="E413" s="45"/>
      <c r="F413" s="46"/>
      <c r="G413" s="46"/>
      <c r="H413" s="46"/>
      <c r="J413" s="52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H413" s="46"/>
      <c r="AI413" s="46"/>
    </row>
    <row r="414" spans="1:35" x14ac:dyDescent="0.25">
      <c r="A414" s="22"/>
      <c r="C414" s="45"/>
      <c r="D414" s="45"/>
      <c r="E414" s="45"/>
      <c r="F414" s="46"/>
      <c r="G414" s="46"/>
      <c r="H414" s="46"/>
      <c r="J414" s="52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H414" s="46"/>
      <c r="AI414" s="46"/>
    </row>
    <row r="415" spans="1:35" x14ac:dyDescent="0.25">
      <c r="A415" s="22"/>
      <c r="C415" s="45"/>
      <c r="D415" s="45"/>
      <c r="E415" s="45"/>
      <c r="F415" s="46"/>
      <c r="G415" s="46"/>
      <c r="H415" s="46"/>
      <c r="J415" s="52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H415" s="46"/>
      <c r="AI415" s="46"/>
    </row>
    <row r="416" spans="1:35" x14ac:dyDescent="0.25">
      <c r="A416" s="22"/>
      <c r="C416" s="45"/>
      <c r="D416" s="45"/>
      <c r="E416" s="45"/>
      <c r="F416" s="46"/>
      <c r="G416" s="46"/>
      <c r="H416" s="46"/>
      <c r="J416" s="52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H416" s="46"/>
      <c r="AI416" s="46"/>
    </row>
    <row r="417" spans="1:35" x14ac:dyDescent="0.25">
      <c r="A417" s="22"/>
      <c r="C417" s="45"/>
      <c r="D417" s="45"/>
      <c r="E417" s="45"/>
      <c r="F417" s="46"/>
      <c r="G417" s="46"/>
      <c r="H417" s="46"/>
      <c r="J417" s="52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H417" s="46"/>
      <c r="AI417" s="46"/>
    </row>
    <row r="418" spans="1:35" x14ac:dyDescent="0.25">
      <c r="A418" s="22"/>
      <c r="C418" s="45"/>
      <c r="D418" s="45"/>
      <c r="E418" s="45"/>
      <c r="F418" s="46"/>
      <c r="G418" s="46"/>
      <c r="H418" s="46"/>
      <c r="J418" s="52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H418" s="46"/>
      <c r="AI418" s="46"/>
    </row>
    <row r="419" spans="1:35" x14ac:dyDescent="0.25">
      <c r="A419" s="22"/>
      <c r="C419" s="45"/>
      <c r="D419" s="45"/>
      <c r="E419" s="45"/>
      <c r="F419" s="46"/>
      <c r="G419" s="46"/>
      <c r="H419" s="46"/>
      <c r="J419" s="52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H419" s="46"/>
      <c r="AI419" s="46"/>
    </row>
    <row r="420" spans="1:35" x14ac:dyDescent="0.25">
      <c r="A420" s="22"/>
      <c r="C420" s="45"/>
      <c r="D420" s="45"/>
      <c r="E420" s="45"/>
      <c r="F420" s="46"/>
      <c r="G420" s="46"/>
      <c r="H420" s="46"/>
      <c r="J420" s="52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H420" s="46"/>
      <c r="AI420" s="46"/>
    </row>
    <row r="421" spans="1:35" x14ac:dyDescent="0.25">
      <c r="A421" s="22"/>
      <c r="C421" s="45"/>
      <c r="D421" s="45"/>
      <c r="E421" s="45"/>
      <c r="F421" s="46"/>
      <c r="G421" s="46"/>
      <c r="H421" s="46"/>
      <c r="J421" s="52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H421" s="46"/>
      <c r="AI421" s="46"/>
    </row>
    <row r="422" spans="1:35" x14ac:dyDescent="0.25">
      <c r="A422" s="22"/>
      <c r="C422" s="45"/>
      <c r="D422" s="45"/>
      <c r="E422" s="45"/>
      <c r="F422" s="46"/>
      <c r="G422" s="46"/>
      <c r="H422" s="46"/>
      <c r="J422" s="52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H422" s="46"/>
      <c r="AI422" s="46"/>
    </row>
    <row r="423" spans="1:35" x14ac:dyDescent="0.25">
      <c r="A423" s="22"/>
      <c r="C423" s="45"/>
      <c r="D423" s="45"/>
      <c r="E423" s="45"/>
      <c r="F423" s="46"/>
      <c r="G423" s="46"/>
      <c r="H423" s="46"/>
      <c r="J423" s="52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H423" s="46"/>
      <c r="AI423" s="46"/>
    </row>
    <row r="424" spans="1:35" x14ac:dyDescent="0.25">
      <c r="A424" s="22"/>
      <c r="C424" s="45"/>
      <c r="D424" s="45"/>
      <c r="E424" s="45"/>
      <c r="F424" s="46"/>
      <c r="G424" s="46"/>
      <c r="H424" s="46"/>
      <c r="J424" s="52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H424" s="46"/>
      <c r="AI424" s="46"/>
    </row>
    <row r="425" spans="1:35" x14ac:dyDescent="0.25">
      <c r="A425" s="22"/>
      <c r="C425" s="45"/>
      <c r="D425" s="45"/>
      <c r="E425" s="45"/>
      <c r="F425" s="46"/>
      <c r="G425" s="46"/>
      <c r="H425" s="46"/>
      <c r="J425" s="52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H425" s="46"/>
      <c r="AI425" s="46"/>
    </row>
    <row r="426" spans="1:35" x14ac:dyDescent="0.25">
      <c r="A426" s="22"/>
      <c r="C426" s="45"/>
      <c r="D426" s="45"/>
      <c r="E426" s="45"/>
      <c r="F426" s="46"/>
      <c r="G426" s="46"/>
      <c r="H426" s="46"/>
      <c r="J426" s="52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H426" s="46"/>
      <c r="AI426" s="46"/>
    </row>
    <row r="427" spans="1:35" x14ac:dyDescent="0.25">
      <c r="A427" s="22"/>
      <c r="C427" s="45"/>
      <c r="D427" s="45"/>
      <c r="E427" s="45"/>
      <c r="F427" s="46"/>
      <c r="G427" s="46"/>
      <c r="H427" s="46"/>
      <c r="J427" s="52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H427" s="46"/>
      <c r="AI427" s="46"/>
    </row>
    <row r="428" spans="1:35" x14ac:dyDescent="0.25">
      <c r="A428" s="22"/>
      <c r="C428" s="45"/>
      <c r="D428" s="45"/>
      <c r="E428" s="45"/>
      <c r="F428" s="46"/>
      <c r="G428" s="46"/>
      <c r="H428" s="46"/>
      <c r="J428" s="52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H428" s="46"/>
      <c r="AI428" s="46"/>
    </row>
    <row r="429" spans="1:35" x14ac:dyDescent="0.25">
      <c r="A429" s="22"/>
      <c r="C429" s="45"/>
      <c r="D429" s="45"/>
      <c r="E429" s="45"/>
      <c r="F429" s="46"/>
      <c r="G429" s="46"/>
      <c r="H429" s="46"/>
      <c r="J429" s="52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H429" s="46"/>
      <c r="AI429" s="46"/>
    </row>
    <row r="430" spans="1:35" x14ac:dyDescent="0.25">
      <c r="A430" s="22"/>
      <c r="C430" s="45"/>
      <c r="D430" s="45"/>
      <c r="E430" s="45"/>
      <c r="F430" s="46"/>
      <c r="G430" s="46"/>
      <c r="H430" s="46"/>
      <c r="J430" s="52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H430" s="46"/>
      <c r="AI430" s="46"/>
    </row>
    <row r="431" spans="1:35" x14ac:dyDescent="0.25">
      <c r="A431" s="22"/>
      <c r="C431" s="45"/>
      <c r="D431" s="45"/>
      <c r="E431" s="45"/>
      <c r="F431" s="46"/>
      <c r="G431" s="46"/>
      <c r="H431" s="46"/>
      <c r="J431" s="52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H431" s="46"/>
      <c r="AI431" s="46"/>
    </row>
    <row r="432" spans="1:35" x14ac:dyDescent="0.25">
      <c r="A432" s="22"/>
      <c r="C432" s="45"/>
      <c r="D432" s="45"/>
      <c r="E432" s="45"/>
      <c r="F432" s="46"/>
      <c r="G432" s="46"/>
      <c r="H432" s="46"/>
      <c r="J432" s="52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H432" s="46"/>
      <c r="AI432" s="46"/>
    </row>
    <row r="433" spans="1:35" x14ac:dyDescent="0.25">
      <c r="A433" s="22"/>
      <c r="C433" s="45"/>
      <c r="D433" s="45"/>
      <c r="E433" s="45"/>
      <c r="F433" s="46"/>
      <c r="G433" s="46"/>
      <c r="H433" s="46"/>
      <c r="J433" s="52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H433" s="46"/>
      <c r="AI433" s="46"/>
    </row>
    <row r="434" spans="1:35" x14ac:dyDescent="0.25">
      <c r="A434" s="22"/>
      <c r="C434" s="45"/>
      <c r="D434" s="45"/>
      <c r="E434" s="45"/>
      <c r="F434" s="46"/>
      <c r="G434" s="46"/>
      <c r="H434" s="46"/>
      <c r="J434" s="52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H434" s="46"/>
      <c r="AI434" s="46"/>
    </row>
    <row r="435" spans="1:35" x14ac:dyDescent="0.25">
      <c r="A435" s="22"/>
      <c r="C435" s="45"/>
      <c r="D435" s="45"/>
      <c r="E435" s="45"/>
      <c r="F435" s="46"/>
      <c r="G435" s="46"/>
      <c r="H435" s="46"/>
      <c r="J435" s="52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H435" s="46"/>
      <c r="AI435" s="46"/>
    </row>
    <row r="436" spans="1:35" x14ac:dyDescent="0.25">
      <c r="A436" s="22"/>
      <c r="C436" s="45"/>
      <c r="D436" s="45"/>
      <c r="E436" s="45"/>
      <c r="F436" s="46"/>
      <c r="G436" s="46"/>
      <c r="H436" s="46"/>
      <c r="J436" s="52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H436" s="46"/>
      <c r="AI436" s="46"/>
    </row>
    <row r="437" spans="1:35" x14ac:dyDescent="0.25">
      <c r="A437" s="22"/>
      <c r="C437" s="45"/>
      <c r="D437" s="45"/>
      <c r="E437" s="45"/>
      <c r="F437" s="46"/>
      <c r="G437" s="46"/>
      <c r="H437" s="46"/>
      <c r="J437" s="52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H437" s="46"/>
      <c r="AI437" s="46"/>
    </row>
    <row r="438" spans="1:35" x14ac:dyDescent="0.25">
      <c r="A438" s="22"/>
      <c r="C438" s="45"/>
      <c r="D438" s="45"/>
      <c r="E438" s="45"/>
      <c r="F438" s="46"/>
      <c r="G438" s="46"/>
      <c r="H438" s="46"/>
      <c r="J438" s="52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H438" s="46"/>
      <c r="AI438" s="46"/>
    </row>
    <row r="439" spans="1:35" x14ac:dyDescent="0.25">
      <c r="A439" s="22"/>
      <c r="C439" s="45"/>
      <c r="D439" s="45"/>
      <c r="E439" s="45"/>
      <c r="F439" s="46"/>
      <c r="G439" s="46"/>
      <c r="H439" s="46"/>
      <c r="J439" s="52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H439" s="46"/>
      <c r="AI439" s="46"/>
    </row>
    <row r="440" spans="1:35" x14ac:dyDescent="0.25">
      <c r="A440" s="22"/>
      <c r="C440" s="45"/>
      <c r="D440" s="45"/>
      <c r="E440" s="45"/>
      <c r="F440" s="46"/>
      <c r="G440" s="46"/>
      <c r="H440" s="46"/>
      <c r="J440" s="52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H440" s="46"/>
      <c r="AI440" s="46"/>
    </row>
    <row r="441" spans="1:35" x14ac:dyDescent="0.25">
      <c r="A441" s="22"/>
      <c r="C441" s="45"/>
      <c r="D441" s="45"/>
      <c r="E441" s="45"/>
      <c r="F441" s="46"/>
      <c r="G441" s="46"/>
      <c r="H441" s="46"/>
      <c r="J441" s="52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H441" s="46"/>
      <c r="AI441" s="46"/>
    </row>
    <row r="442" spans="1:35" x14ac:dyDescent="0.25">
      <c r="A442" s="22"/>
      <c r="C442" s="45"/>
      <c r="D442" s="45"/>
      <c r="E442" s="45"/>
      <c r="F442" s="46"/>
      <c r="G442" s="46"/>
      <c r="H442" s="46"/>
      <c r="J442" s="52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H442" s="46"/>
      <c r="AI442" s="46"/>
    </row>
    <row r="443" spans="1:35" x14ac:dyDescent="0.25">
      <c r="A443" s="22"/>
      <c r="C443" s="45"/>
      <c r="D443" s="45"/>
      <c r="E443" s="45"/>
      <c r="F443" s="46"/>
      <c r="G443" s="46"/>
      <c r="H443" s="46"/>
      <c r="J443" s="52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H443" s="46"/>
      <c r="AI443" s="46"/>
    </row>
    <row r="444" spans="1:35" x14ac:dyDescent="0.25">
      <c r="A444" s="22"/>
      <c r="C444" s="45"/>
      <c r="D444" s="45"/>
      <c r="E444" s="45"/>
      <c r="F444" s="46"/>
      <c r="G444" s="46"/>
      <c r="H444" s="46"/>
      <c r="J444" s="52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H444" s="46"/>
      <c r="AI444" s="46"/>
    </row>
    <row r="445" spans="1:35" x14ac:dyDescent="0.25">
      <c r="A445" s="22"/>
      <c r="C445" s="45"/>
      <c r="D445" s="45"/>
      <c r="E445" s="45"/>
      <c r="F445" s="46"/>
      <c r="G445" s="46"/>
      <c r="H445" s="46"/>
      <c r="J445" s="52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H445" s="46"/>
      <c r="AI445" s="46"/>
    </row>
    <row r="446" spans="1:35" x14ac:dyDescent="0.25">
      <c r="A446" s="22"/>
      <c r="C446" s="45"/>
      <c r="D446" s="45"/>
      <c r="E446" s="45"/>
      <c r="F446" s="46"/>
      <c r="G446" s="46"/>
      <c r="H446" s="46"/>
      <c r="J446" s="52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H446" s="46"/>
      <c r="AI446" s="46"/>
    </row>
    <row r="447" spans="1:35" x14ac:dyDescent="0.25">
      <c r="A447" s="22"/>
      <c r="C447" s="45"/>
      <c r="D447" s="45"/>
      <c r="E447" s="45"/>
      <c r="F447" s="46"/>
      <c r="G447" s="46"/>
      <c r="H447" s="46"/>
      <c r="J447" s="52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H447" s="46"/>
      <c r="AI447" s="46"/>
    </row>
    <row r="448" spans="1:35" x14ac:dyDescent="0.25">
      <c r="A448" s="22"/>
      <c r="C448" s="45"/>
      <c r="D448" s="45"/>
      <c r="E448" s="45"/>
      <c r="F448" s="46"/>
      <c r="G448" s="46"/>
      <c r="H448" s="46"/>
      <c r="J448" s="52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H448" s="46"/>
      <c r="AI448" s="46"/>
    </row>
    <row r="449" spans="1:35" x14ac:dyDescent="0.25">
      <c r="A449" s="22"/>
      <c r="C449" s="45"/>
      <c r="D449" s="45"/>
      <c r="E449" s="45"/>
      <c r="F449" s="46"/>
      <c r="G449" s="46"/>
      <c r="H449" s="46"/>
      <c r="J449" s="52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H449" s="46"/>
      <c r="AI449" s="46"/>
    </row>
    <row r="450" spans="1:35" x14ac:dyDescent="0.25">
      <c r="A450" s="22"/>
      <c r="C450" s="45"/>
      <c r="D450" s="45"/>
      <c r="E450" s="45"/>
      <c r="F450" s="46"/>
      <c r="G450" s="46"/>
      <c r="H450" s="46"/>
      <c r="J450" s="52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H450" s="46"/>
      <c r="AI450" s="46"/>
    </row>
    <row r="451" spans="1:35" x14ac:dyDescent="0.25">
      <c r="A451" s="22"/>
      <c r="C451" s="45"/>
      <c r="D451" s="45"/>
      <c r="E451" s="45"/>
      <c r="F451" s="46"/>
      <c r="G451" s="46"/>
      <c r="H451" s="46"/>
      <c r="J451" s="52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H451" s="46"/>
      <c r="AI451" s="46"/>
    </row>
    <row r="452" spans="1:35" x14ac:dyDescent="0.25">
      <c r="A452" s="22"/>
      <c r="C452" s="45"/>
      <c r="D452" s="45"/>
      <c r="E452" s="45"/>
      <c r="F452" s="46"/>
      <c r="G452" s="46"/>
      <c r="H452" s="46"/>
      <c r="J452" s="52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H452" s="46"/>
      <c r="AI452" s="46"/>
    </row>
    <row r="453" spans="1:35" x14ac:dyDescent="0.25">
      <c r="A453" s="22"/>
      <c r="C453" s="45"/>
      <c r="D453" s="45"/>
      <c r="E453" s="45"/>
      <c r="F453" s="46"/>
      <c r="G453" s="46"/>
      <c r="H453" s="46"/>
      <c r="J453" s="52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H453" s="46"/>
      <c r="AI453" s="46"/>
    </row>
    <row r="454" spans="1:35" x14ac:dyDescent="0.25">
      <c r="A454" s="22"/>
      <c r="C454" s="45"/>
      <c r="D454" s="45"/>
      <c r="E454" s="45"/>
      <c r="F454" s="46"/>
      <c r="G454" s="46"/>
      <c r="H454" s="46"/>
      <c r="J454" s="52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H454" s="46"/>
      <c r="AI454" s="46"/>
    </row>
    <row r="455" spans="1:35" x14ac:dyDescent="0.25">
      <c r="A455" s="22"/>
      <c r="C455" s="45"/>
      <c r="D455" s="45"/>
      <c r="E455" s="45"/>
      <c r="F455" s="46"/>
      <c r="G455" s="46"/>
      <c r="H455" s="46"/>
      <c r="J455" s="52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H455" s="46"/>
      <c r="AI455" s="46"/>
    </row>
    <row r="456" spans="1:35" x14ac:dyDescent="0.25">
      <c r="A456" s="22"/>
      <c r="C456" s="45"/>
      <c r="D456" s="45"/>
      <c r="E456" s="45"/>
      <c r="F456" s="46"/>
      <c r="G456" s="46"/>
      <c r="H456" s="46"/>
      <c r="J456" s="52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H456" s="46"/>
      <c r="AI456" s="46"/>
    </row>
    <row r="457" spans="1:35" x14ac:dyDescent="0.25">
      <c r="A457" s="22"/>
      <c r="C457" s="45"/>
      <c r="D457" s="45"/>
      <c r="E457" s="45"/>
      <c r="F457" s="46"/>
      <c r="G457" s="46"/>
      <c r="H457" s="46"/>
      <c r="J457" s="52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H457" s="46"/>
      <c r="AI457" s="46"/>
    </row>
    <row r="458" spans="1:35" x14ac:dyDescent="0.25">
      <c r="A458" s="22"/>
      <c r="C458" s="45"/>
      <c r="D458" s="45"/>
      <c r="E458" s="45"/>
      <c r="F458" s="46"/>
      <c r="G458" s="46"/>
      <c r="H458" s="46"/>
      <c r="J458" s="52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H458" s="46"/>
      <c r="AI458" s="46"/>
    </row>
    <row r="459" spans="1:35" x14ac:dyDescent="0.25">
      <c r="A459" s="22"/>
      <c r="C459" s="45"/>
      <c r="D459" s="45"/>
      <c r="E459" s="45"/>
      <c r="F459" s="46"/>
      <c r="G459" s="46"/>
      <c r="H459" s="46"/>
      <c r="J459" s="52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H459" s="46"/>
      <c r="AI459" s="46"/>
    </row>
    <row r="460" spans="1:35" x14ac:dyDescent="0.25">
      <c r="A460" s="22"/>
      <c r="C460" s="45"/>
      <c r="D460" s="45"/>
      <c r="E460" s="45"/>
      <c r="F460" s="46"/>
      <c r="G460" s="46"/>
      <c r="H460" s="46"/>
      <c r="J460" s="52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H460" s="46"/>
      <c r="AI460" s="46"/>
    </row>
    <row r="461" spans="1:35" x14ac:dyDescent="0.25">
      <c r="A461" s="22"/>
      <c r="C461" s="45"/>
      <c r="D461" s="45"/>
      <c r="E461" s="45"/>
      <c r="F461" s="46"/>
      <c r="G461" s="46"/>
      <c r="H461" s="46"/>
      <c r="J461" s="52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H461" s="46"/>
      <c r="AI461" s="46"/>
    </row>
    <row r="462" spans="1:35" x14ac:dyDescent="0.25">
      <c r="A462" s="22"/>
      <c r="C462" s="45"/>
      <c r="D462" s="45"/>
      <c r="E462" s="45"/>
      <c r="F462" s="46"/>
      <c r="G462" s="46"/>
      <c r="H462" s="46"/>
      <c r="J462" s="52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H462" s="46"/>
      <c r="AI462" s="46"/>
    </row>
    <row r="463" spans="1:35" x14ac:dyDescent="0.25">
      <c r="A463" s="22"/>
      <c r="C463" s="45"/>
      <c r="D463" s="45"/>
      <c r="E463" s="45"/>
      <c r="F463" s="46"/>
      <c r="G463" s="46"/>
      <c r="H463" s="46"/>
      <c r="J463" s="52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H463" s="46"/>
      <c r="AI463" s="46"/>
    </row>
    <row r="464" spans="1:35" x14ac:dyDescent="0.25">
      <c r="A464" s="22"/>
      <c r="C464" s="45"/>
      <c r="D464" s="45"/>
      <c r="E464" s="45"/>
      <c r="F464" s="46"/>
      <c r="G464" s="46"/>
      <c r="H464" s="46"/>
      <c r="J464" s="52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H464" s="46"/>
      <c r="AI464" s="46"/>
    </row>
    <row r="465" spans="1:35" x14ac:dyDescent="0.25">
      <c r="A465" s="22"/>
      <c r="C465" s="45"/>
      <c r="D465" s="45"/>
      <c r="E465" s="45"/>
      <c r="F465" s="46"/>
      <c r="G465" s="46"/>
      <c r="H465" s="46"/>
      <c r="J465" s="52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H465" s="46"/>
      <c r="AI465" s="46"/>
    </row>
    <row r="466" spans="1:35" x14ac:dyDescent="0.25">
      <c r="A466" s="22"/>
      <c r="C466" s="45"/>
      <c r="D466" s="45"/>
      <c r="E466" s="45"/>
      <c r="F466" s="46"/>
      <c r="G466" s="46"/>
      <c r="H466" s="46"/>
      <c r="J466" s="52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H466" s="46"/>
      <c r="AI466" s="46"/>
    </row>
    <row r="467" spans="1:35" x14ac:dyDescent="0.25">
      <c r="A467" s="22"/>
      <c r="C467" s="45"/>
      <c r="D467" s="45"/>
      <c r="E467" s="45"/>
      <c r="F467" s="46"/>
      <c r="G467" s="46"/>
      <c r="H467" s="46"/>
      <c r="J467" s="52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H467" s="46"/>
      <c r="AI467" s="46"/>
    </row>
    <row r="468" spans="1:35" x14ac:dyDescent="0.25">
      <c r="A468" s="22"/>
      <c r="C468" s="45"/>
      <c r="D468" s="45"/>
      <c r="E468" s="45"/>
      <c r="F468" s="46"/>
      <c r="G468" s="46"/>
      <c r="H468" s="46"/>
      <c r="J468" s="52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H468" s="46"/>
      <c r="AI468" s="46"/>
    </row>
    <row r="469" spans="1:35" x14ac:dyDescent="0.25">
      <c r="A469" s="22"/>
      <c r="C469" s="45"/>
      <c r="D469" s="45"/>
      <c r="E469" s="45"/>
      <c r="F469" s="46"/>
      <c r="G469" s="46"/>
      <c r="H469" s="46"/>
      <c r="J469" s="52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H469" s="46"/>
      <c r="AI469" s="46"/>
    </row>
    <row r="470" spans="1:35" x14ac:dyDescent="0.25">
      <c r="A470" s="22"/>
      <c r="C470" s="45"/>
      <c r="D470" s="45"/>
      <c r="E470" s="45"/>
      <c r="F470" s="46"/>
      <c r="G470" s="46"/>
      <c r="H470" s="46"/>
      <c r="J470" s="52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H470" s="46"/>
      <c r="AI470" s="46"/>
    </row>
    <row r="471" spans="1:35" x14ac:dyDescent="0.25">
      <c r="A471" s="22"/>
      <c r="C471" s="45"/>
      <c r="D471" s="45"/>
      <c r="E471" s="45"/>
      <c r="F471" s="46"/>
      <c r="G471" s="46"/>
      <c r="H471" s="46"/>
      <c r="J471" s="52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H471" s="46"/>
      <c r="AI471" s="46"/>
    </row>
    <row r="472" spans="1:35" x14ac:dyDescent="0.25">
      <c r="A472" s="22"/>
      <c r="C472" s="45"/>
      <c r="D472" s="45"/>
      <c r="E472" s="45"/>
      <c r="F472" s="46"/>
      <c r="G472" s="46"/>
      <c r="H472" s="46"/>
      <c r="J472" s="52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H472" s="46"/>
      <c r="AI472" s="46"/>
    </row>
    <row r="473" spans="1:35" x14ac:dyDescent="0.25">
      <c r="A473" s="22"/>
      <c r="C473" s="45"/>
      <c r="D473" s="45"/>
      <c r="E473" s="45"/>
      <c r="F473" s="46"/>
      <c r="G473" s="46"/>
      <c r="H473" s="46"/>
      <c r="J473" s="52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H473" s="46"/>
      <c r="AI473" s="46"/>
    </row>
    <row r="474" spans="1:35" x14ac:dyDescent="0.25">
      <c r="A474" s="22"/>
      <c r="C474" s="45"/>
      <c r="D474" s="45"/>
      <c r="E474" s="45"/>
      <c r="F474" s="46"/>
      <c r="G474" s="46"/>
      <c r="H474" s="46"/>
      <c r="J474" s="52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H474" s="46"/>
      <c r="AI474" s="46"/>
    </row>
    <row r="475" spans="1:35" x14ac:dyDescent="0.25">
      <c r="A475" s="22"/>
      <c r="C475" s="45"/>
      <c r="D475" s="45"/>
      <c r="E475" s="45"/>
      <c r="F475" s="46"/>
      <c r="G475" s="46"/>
      <c r="H475" s="46"/>
      <c r="J475" s="52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H475" s="46"/>
      <c r="AI475" s="46"/>
    </row>
    <row r="476" spans="1:35" x14ac:dyDescent="0.25">
      <c r="A476" s="22"/>
      <c r="C476" s="45"/>
      <c r="D476" s="45"/>
      <c r="E476" s="45"/>
      <c r="F476" s="46"/>
      <c r="G476" s="46"/>
      <c r="H476" s="46"/>
      <c r="J476" s="52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H476" s="46"/>
      <c r="AI476" s="46"/>
    </row>
    <row r="477" spans="1:35" x14ac:dyDescent="0.25">
      <c r="A477" s="22"/>
      <c r="C477" s="45"/>
      <c r="D477" s="45"/>
      <c r="E477" s="45"/>
      <c r="F477" s="46"/>
      <c r="G477" s="46"/>
      <c r="H477" s="46"/>
      <c r="J477" s="52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H477" s="46"/>
      <c r="AI477" s="46"/>
    </row>
    <row r="478" spans="1:35" x14ac:dyDescent="0.25">
      <c r="A478" s="22"/>
      <c r="C478" s="45"/>
      <c r="D478" s="45"/>
      <c r="E478" s="45"/>
      <c r="F478" s="46"/>
      <c r="G478" s="46"/>
      <c r="H478" s="46"/>
      <c r="J478" s="52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H478" s="46"/>
      <c r="AI478" s="46"/>
    </row>
    <row r="479" spans="1:35" x14ac:dyDescent="0.25">
      <c r="A479" s="22"/>
      <c r="C479" s="45"/>
      <c r="D479" s="45"/>
      <c r="E479" s="45"/>
      <c r="F479" s="46"/>
      <c r="G479" s="46"/>
      <c r="H479" s="46"/>
      <c r="J479" s="52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H479" s="46"/>
      <c r="AI479" s="46"/>
    </row>
    <row r="480" spans="1:35" x14ac:dyDescent="0.25">
      <c r="A480" s="22"/>
      <c r="C480" s="45"/>
      <c r="D480" s="45"/>
      <c r="E480" s="45"/>
      <c r="F480" s="46"/>
      <c r="G480" s="46"/>
      <c r="H480" s="46"/>
      <c r="J480" s="52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H480" s="46"/>
      <c r="AI480" s="46"/>
    </row>
    <row r="481" spans="1:35" x14ac:dyDescent="0.25">
      <c r="A481" s="22"/>
      <c r="C481" s="45"/>
      <c r="D481" s="45"/>
      <c r="E481" s="45"/>
      <c r="F481" s="46"/>
      <c r="G481" s="46"/>
      <c r="H481" s="46"/>
      <c r="J481" s="52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H481" s="46"/>
      <c r="AI481" s="46"/>
    </row>
    <row r="482" spans="1:35" x14ac:dyDescent="0.25">
      <c r="A482" s="22"/>
      <c r="C482" s="45"/>
      <c r="D482" s="45"/>
      <c r="E482" s="45"/>
      <c r="F482" s="46"/>
      <c r="G482" s="46"/>
      <c r="H482" s="46"/>
      <c r="J482" s="52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H482" s="46"/>
      <c r="AI482" s="46"/>
    </row>
    <row r="483" spans="1:35" x14ac:dyDescent="0.25">
      <c r="A483" s="22"/>
      <c r="C483" s="45"/>
      <c r="D483" s="45"/>
      <c r="E483" s="45"/>
      <c r="F483" s="46"/>
      <c r="G483" s="46"/>
      <c r="H483" s="46"/>
      <c r="J483" s="52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H483" s="46"/>
      <c r="AI483" s="46"/>
    </row>
    <row r="484" spans="1:35" x14ac:dyDescent="0.25">
      <c r="A484" s="22"/>
      <c r="C484" s="45"/>
      <c r="D484" s="45"/>
      <c r="E484" s="45"/>
      <c r="F484" s="46"/>
      <c r="G484" s="46"/>
      <c r="H484" s="46"/>
      <c r="J484" s="52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H484" s="46"/>
      <c r="AI484" s="46"/>
    </row>
    <row r="485" spans="1:35" x14ac:dyDescent="0.25">
      <c r="A485" s="22"/>
      <c r="C485" s="45"/>
      <c r="D485" s="45"/>
      <c r="E485" s="45"/>
      <c r="F485" s="46"/>
      <c r="G485" s="46"/>
      <c r="H485" s="46"/>
      <c r="J485" s="52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H485" s="46"/>
      <c r="AI485" s="46"/>
    </row>
    <row r="486" spans="1:35" x14ac:dyDescent="0.25">
      <c r="A486" s="22"/>
      <c r="C486" s="45"/>
      <c r="D486" s="45"/>
      <c r="E486" s="45"/>
      <c r="F486" s="46"/>
      <c r="G486" s="46"/>
      <c r="H486" s="46"/>
      <c r="J486" s="52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H486" s="46"/>
      <c r="AI486" s="46"/>
    </row>
    <row r="487" spans="1:35" x14ac:dyDescent="0.25">
      <c r="A487" s="22"/>
      <c r="C487" s="45"/>
      <c r="D487" s="45"/>
      <c r="E487" s="45"/>
      <c r="F487" s="46"/>
      <c r="G487" s="46"/>
      <c r="H487" s="46"/>
      <c r="J487" s="52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H487" s="46"/>
      <c r="AI487" s="46"/>
    </row>
    <row r="488" spans="1:35" x14ac:dyDescent="0.25">
      <c r="A488" s="22"/>
      <c r="C488" s="45"/>
      <c r="D488" s="45"/>
      <c r="E488" s="45"/>
      <c r="F488" s="46"/>
      <c r="G488" s="46"/>
      <c r="H488" s="46"/>
      <c r="J488" s="52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H488" s="46"/>
      <c r="AI488" s="46"/>
    </row>
    <row r="489" spans="1:35" x14ac:dyDescent="0.25">
      <c r="A489" s="22"/>
      <c r="C489" s="45"/>
      <c r="D489" s="45"/>
      <c r="E489" s="45"/>
      <c r="F489" s="46"/>
      <c r="G489" s="46"/>
      <c r="H489" s="46"/>
      <c r="J489" s="52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H489" s="46"/>
      <c r="AI489" s="46"/>
    </row>
    <row r="490" spans="1:35" x14ac:dyDescent="0.25">
      <c r="A490" s="22"/>
      <c r="C490" s="45"/>
      <c r="D490" s="45"/>
      <c r="E490" s="45"/>
      <c r="F490" s="46"/>
      <c r="G490" s="46"/>
      <c r="H490" s="46"/>
      <c r="J490" s="52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H490" s="46"/>
      <c r="AI490" s="46"/>
    </row>
    <row r="491" spans="1:35" x14ac:dyDescent="0.25">
      <c r="A491" s="22"/>
      <c r="C491" s="45"/>
      <c r="D491" s="45"/>
      <c r="E491" s="45"/>
      <c r="F491" s="46"/>
      <c r="G491" s="46"/>
      <c r="H491" s="46"/>
      <c r="J491" s="52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H491" s="46"/>
      <c r="AI491" s="46"/>
    </row>
    <row r="492" spans="1:35" x14ac:dyDescent="0.25">
      <c r="A492" s="22"/>
      <c r="C492" s="45"/>
      <c r="D492" s="45"/>
      <c r="E492" s="45"/>
      <c r="F492" s="46"/>
      <c r="G492" s="46"/>
      <c r="H492" s="46"/>
      <c r="J492" s="52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H492" s="46"/>
      <c r="AI492" s="46"/>
    </row>
    <row r="493" spans="1:35" x14ac:dyDescent="0.25">
      <c r="A493" s="22"/>
      <c r="C493" s="45"/>
      <c r="D493" s="45"/>
      <c r="E493" s="45"/>
      <c r="F493" s="46"/>
      <c r="G493" s="46"/>
      <c r="H493" s="46"/>
      <c r="J493" s="52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H493" s="46"/>
      <c r="AI493" s="46"/>
    </row>
    <row r="494" spans="1:35" x14ac:dyDescent="0.25">
      <c r="A494" s="22"/>
      <c r="C494" s="45"/>
      <c r="D494" s="45"/>
      <c r="E494" s="45"/>
      <c r="F494" s="46"/>
      <c r="G494" s="46"/>
      <c r="H494" s="46"/>
      <c r="J494" s="52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H494" s="46"/>
      <c r="AI494" s="46"/>
    </row>
    <row r="495" spans="1:35" x14ac:dyDescent="0.25">
      <c r="A495" s="22"/>
      <c r="C495" s="45"/>
      <c r="D495" s="45"/>
      <c r="E495" s="45"/>
      <c r="F495" s="46"/>
      <c r="G495" s="46"/>
      <c r="H495" s="46"/>
      <c r="J495" s="52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H495" s="46"/>
      <c r="AI495" s="46"/>
    </row>
    <row r="496" spans="1:35" x14ac:dyDescent="0.25">
      <c r="A496" s="22"/>
      <c r="C496" s="45"/>
      <c r="D496" s="45"/>
      <c r="E496" s="45"/>
      <c r="F496" s="46"/>
      <c r="G496" s="46"/>
      <c r="H496" s="46"/>
      <c r="J496" s="52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H496" s="46"/>
      <c r="AI496" s="46"/>
    </row>
    <row r="497" spans="1:35" x14ac:dyDescent="0.25">
      <c r="A497" s="22"/>
      <c r="C497" s="45"/>
      <c r="D497" s="45"/>
      <c r="E497" s="45"/>
      <c r="F497" s="46"/>
      <c r="G497" s="46"/>
      <c r="H497" s="46"/>
      <c r="J497" s="52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H497" s="46"/>
      <c r="AI497" s="46"/>
    </row>
    <row r="498" spans="1:35" x14ac:dyDescent="0.25">
      <c r="A498" s="22"/>
      <c r="C498" s="45"/>
      <c r="D498" s="45"/>
      <c r="E498" s="45"/>
      <c r="F498" s="46"/>
      <c r="G498" s="46"/>
      <c r="H498" s="46"/>
      <c r="J498" s="52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H498" s="46"/>
      <c r="AI498" s="46"/>
    </row>
    <row r="499" spans="1:35" x14ac:dyDescent="0.25">
      <c r="A499" s="22"/>
      <c r="C499" s="45"/>
      <c r="D499" s="45"/>
      <c r="E499" s="45"/>
      <c r="F499" s="46"/>
      <c r="G499" s="46"/>
      <c r="H499" s="46"/>
      <c r="J499" s="52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H499" s="46"/>
      <c r="AI499" s="46"/>
    </row>
    <row r="500" spans="1:35" x14ac:dyDescent="0.25">
      <c r="A500" s="22"/>
      <c r="C500" s="45"/>
      <c r="D500" s="45"/>
      <c r="E500" s="45"/>
      <c r="F500" s="46"/>
      <c r="G500" s="46"/>
      <c r="H500" s="46"/>
      <c r="J500" s="52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H500" s="46"/>
      <c r="AI500" s="46"/>
    </row>
    <row r="501" spans="1:35" x14ac:dyDescent="0.25">
      <c r="A501" s="22"/>
      <c r="C501" s="45"/>
      <c r="D501" s="45"/>
      <c r="E501" s="45"/>
      <c r="F501" s="46"/>
      <c r="G501" s="46"/>
      <c r="H501" s="46"/>
      <c r="J501" s="52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H501" s="46"/>
      <c r="AI501" s="46"/>
    </row>
    <row r="502" spans="1:35" x14ac:dyDescent="0.25">
      <c r="A502" s="22"/>
      <c r="C502" s="45"/>
      <c r="D502" s="45"/>
      <c r="E502" s="45"/>
      <c r="F502" s="46"/>
      <c r="G502" s="46"/>
      <c r="H502" s="46"/>
      <c r="J502" s="52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H502" s="46"/>
      <c r="AI502" s="46"/>
    </row>
    <row r="503" spans="1:35" x14ac:dyDescent="0.25">
      <c r="A503" s="22"/>
      <c r="C503" s="45"/>
      <c r="D503" s="45"/>
      <c r="E503" s="45"/>
      <c r="F503" s="46"/>
      <c r="G503" s="46"/>
      <c r="H503" s="46"/>
      <c r="J503" s="52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H503" s="46"/>
      <c r="AI503" s="46"/>
    </row>
    <row r="504" spans="1:35" x14ac:dyDescent="0.25">
      <c r="A504" s="22"/>
      <c r="C504" s="45"/>
      <c r="D504" s="45"/>
      <c r="E504" s="45"/>
      <c r="F504" s="46"/>
      <c r="G504" s="46"/>
      <c r="H504" s="46"/>
      <c r="J504" s="52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H504" s="46"/>
      <c r="AI504" s="46"/>
    </row>
    <row r="505" spans="1:35" x14ac:dyDescent="0.25">
      <c r="A505" s="22"/>
      <c r="C505" s="45"/>
      <c r="D505" s="45"/>
      <c r="E505" s="45"/>
      <c r="F505" s="46"/>
      <c r="G505" s="46"/>
      <c r="H505" s="46"/>
      <c r="J505" s="52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H505" s="46"/>
      <c r="AI505" s="46"/>
    </row>
    <row r="506" spans="1:35" x14ac:dyDescent="0.25">
      <c r="A506" s="22"/>
      <c r="C506" s="45"/>
      <c r="D506" s="45"/>
      <c r="E506" s="45"/>
      <c r="F506" s="46"/>
      <c r="G506" s="46"/>
      <c r="H506" s="46"/>
      <c r="J506" s="52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H506" s="46"/>
      <c r="AI506" s="46"/>
    </row>
    <row r="507" spans="1:35" x14ac:dyDescent="0.25">
      <c r="A507" s="22"/>
      <c r="C507" s="45"/>
      <c r="D507" s="45"/>
      <c r="E507" s="45"/>
      <c r="F507" s="46"/>
      <c r="G507" s="46"/>
      <c r="H507" s="46"/>
      <c r="J507" s="52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H507" s="46"/>
      <c r="AI507" s="46"/>
    </row>
    <row r="508" spans="1:35" x14ac:dyDescent="0.25">
      <c r="A508" s="22"/>
      <c r="C508" s="45"/>
      <c r="D508" s="45"/>
      <c r="E508" s="45"/>
      <c r="F508" s="46"/>
      <c r="G508" s="46"/>
      <c r="H508" s="46"/>
      <c r="J508" s="52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H508" s="46"/>
      <c r="AI508" s="46"/>
    </row>
    <row r="509" spans="1:35" x14ac:dyDescent="0.25">
      <c r="A509" s="22"/>
      <c r="C509" s="45"/>
      <c r="D509" s="45"/>
      <c r="E509" s="45"/>
      <c r="F509" s="46"/>
      <c r="G509" s="46"/>
      <c r="H509" s="46"/>
      <c r="J509" s="52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H509" s="46"/>
      <c r="AI509" s="46"/>
    </row>
    <row r="510" spans="1:35" x14ac:dyDescent="0.25">
      <c r="A510" s="22"/>
      <c r="C510" s="45"/>
      <c r="D510" s="45"/>
      <c r="E510" s="45"/>
      <c r="F510" s="46"/>
      <c r="G510" s="46"/>
      <c r="H510" s="46"/>
      <c r="J510" s="52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H510" s="46"/>
      <c r="AI510" s="46"/>
    </row>
    <row r="511" spans="1:35" x14ac:dyDescent="0.25">
      <c r="A511" s="22"/>
      <c r="C511" s="45"/>
      <c r="D511" s="45"/>
      <c r="E511" s="45"/>
      <c r="F511" s="46"/>
      <c r="G511" s="46"/>
      <c r="H511" s="46"/>
      <c r="J511" s="52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H511" s="46"/>
      <c r="AI511" s="46"/>
    </row>
    <row r="512" spans="1:35" x14ac:dyDescent="0.25">
      <c r="A512" s="22"/>
      <c r="C512" s="45"/>
      <c r="D512" s="45"/>
      <c r="E512" s="45"/>
      <c r="F512" s="46"/>
      <c r="G512" s="46"/>
      <c r="H512" s="46"/>
      <c r="J512" s="52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H512" s="46"/>
      <c r="AI512" s="46"/>
    </row>
    <row r="513" spans="1:35" x14ac:dyDescent="0.25">
      <c r="A513" s="22"/>
      <c r="C513" s="45"/>
      <c r="D513" s="45"/>
      <c r="E513" s="45"/>
      <c r="F513" s="46"/>
      <c r="G513" s="46"/>
      <c r="H513" s="46"/>
      <c r="J513" s="52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H513" s="46"/>
      <c r="AI513" s="46"/>
    </row>
    <row r="514" spans="1:35" x14ac:dyDescent="0.25">
      <c r="A514" s="22"/>
      <c r="C514" s="45"/>
      <c r="D514" s="45"/>
      <c r="E514" s="45"/>
      <c r="F514" s="46"/>
      <c r="G514" s="46"/>
      <c r="H514" s="46"/>
      <c r="J514" s="52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H514" s="46"/>
      <c r="AI514" s="46"/>
    </row>
    <row r="515" spans="1:35" x14ac:dyDescent="0.25">
      <c r="A515" s="22"/>
      <c r="C515" s="45"/>
      <c r="D515" s="45"/>
      <c r="E515" s="45"/>
      <c r="F515" s="46"/>
      <c r="G515" s="46"/>
      <c r="H515" s="46"/>
      <c r="J515" s="52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H515" s="46"/>
      <c r="AI515" s="46"/>
    </row>
    <row r="516" spans="1:35" x14ac:dyDescent="0.25">
      <c r="A516" s="22"/>
      <c r="C516" s="45"/>
      <c r="D516" s="45"/>
      <c r="E516" s="45"/>
      <c r="F516" s="46"/>
      <c r="G516" s="46"/>
      <c r="H516" s="46"/>
      <c r="J516" s="52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H516" s="46"/>
      <c r="AI516" s="46"/>
    </row>
    <row r="517" spans="1:35" x14ac:dyDescent="0.25">
      <c r="A517" s="22"/>
      <c r="C517" s="45"/>
      <c r="D517" s="45"/>
      <c r="E517" s="45"/>
      <c r="F517" s="46"/>
      <c r="G517" s="46"/>
      <c r="H517" s="46"/>
      <c r="J517" s="52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H517" s="46"/>
      <c r="AI517" s="46"/>
    </row>
    <row r="518" spans="1:35" x14ac:dyDescent="0.25">
      <c r="A518" s="22"/>
      <c r="C518" s="45"/>
      <c r="D518" s="45"/>
      <c r="E518" s="45"/>
      <c r="F518" s="46"/>
      <c r="G518" s="46"/>
      <c r="H518" s="46"/>
      <c r="J518" s="52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H518" s="46"/>
      <c r="AI518" s="46"/>
    </row>
    <row r="519" spans="1:35" x14ac:dyDescent="0.25">
      <c r="A519" s="22"/>
      <c r="C519" s="45"/>
      <c r="D519" s="45"/>
      <c r="E519" s="45"/>
      <c r="F519" s="46"/>
      <c r="G519" s="46"/>
      <c r="H519" s="46"/>
      <c r="J519" s="52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H519" s="46"/>
      <c r="AI519" s="46"/>
    </row>
    <row r="520" spans="1:35" x14ac:dyDescent="0.25">
      <c r="A520" s="22"/>
      <c r="C520" s="45"/>
      <c r="D520" s="45"/>
      <c r="E520" s="45"/>
      <c r="F520" s="46"/>
      <c r="G520" s="46"/>
      <c r="H520" s="46"/>
      <c r="J520" s="52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H520" s="46"/>
      <c r="AI520" s="46"/>
    </row>
    <row r="521" spans="1:35" x14ac:dyDescent="0.25">
      <c r="A521" s="22"/>
      <c r="C521" s="45"/>
      <c r="D521" s="45"/>
      <c r="E521" s="45"/>
      <c r="F521" s="46"/>
      <c r="G521" s="46"/>
      <c r="H521" s="46"/>
      <c r="J521" s="52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H521" s="46"/>
      <c r="AI521" s="46"/>
    </row>
    <row r="522" spans="1:35" x14ac:dyDescent="0.25">
      <c r="A522" s="22"/>
      <c r="C522" s="45"/>
      <c r="D522" s="45"/>
      <c r="E522" s="45"/>
      <c r="F522" s="46"/>
      <c r="G522" s="46"/>
      <c r="H522" s="46"/>
      <c r="J522" s="52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H522" s="46"/>
      <c r="AI522" s="46"/>
    </row>
    <row r="523" spans="1:35" x14ac:dyDescent="0.25">
      <c r="A523" s="22"/>
      <c r="C523" s="45"/>
      <c r="D523" s="45"/>
      <c r="E523" s="45"/>
      <c r="F523" s="46"/>
      <c r="G523" s="46"/>
      <c r="H523" s="46"/>
      <c r="J523" s="52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H523" s="46"/>
      <c r="AI523" s="46"/>
    </row>
    <row r="524" spans="1:35" x14ac:dyDescent="0.25">
      <c r="A524" s="22"/>
      <c r="C524" s="45"/>
      <c r="D524" s="45"/>
      <c r="E524" s="45"/>
      <c r="F524" s="46"/>
      <c r="G524" s="46"/>
      <c r="H524" s="46"/>
      <c r="J524" s="52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H524" s="46"/>
      <c r="AI524" s="46"/>
    </row>
    <row r="525" spans="1:35" x14ac:dyDescent="0.25">
      <c r="A525" s="22"/>
      <c r="C525" s="45"/>
      <c r="D525" s="45"/>
      <c r="E525" s="45"/>
      <c r="F525" s="46"/>
      <c r="G525" s="46"/>
      <c r="H525" s="46"/>
      <c r="J525" s="52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H525" s="46"/>
      <c r="AI525" s="46"/>
    </row>
    <row r="526" spans="1:35" x14ac:dyDescent="0.25">
      <c r="A526" s="22"/>
      <c r="C526" s="45"/>
      <c r="D526" s="45"/>
      <c r="E526" s="45"/>
      <c r="F526" s="46"/>
      <c r="G526" s="46"/>
      <c r="H526" s="46"/>
      <c r="J526" s="52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H526" s="46"/>
      <c r="AI526" s="46"/>
    </row>
    <row r="527" spans="1:35" x14ac:dyDescent="0.25">
      <c r="A527" s="22"/>
      <c r="C527" s="45"/>
      <c r="D527" s="45"/>
      <c r="E527" s="45"/>
      <c r="F527" s="46"/>
      <c r="G527" s="46"/>
      <c r="H527" s="46"/>
      <c r="J527" s="52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H527" s="46"/>
      <c r="AI527" s="46"/>
    </row>
    <row r="528" spans="1:35" x14ac:dyDescent="0.25">
      <c r="A528" s="22"/>
      <c r="C528" s="45"/>
      <c r="D528" s="45"/>
      <c r="E528" s="45"/>
      <c r="F528" s="46"/>
      <c r="G528" s="46"/>
      <c r="H528" s="46"/>
      <c r="J528" s="52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H528" s="46"/>
      <c r="AI528" s="46"/>
    </row>
    <row r="529" spans="1:35" x14ac:dyDescent="0.25">
      <c r="A529" s="22"/>
      <c r="C529" s="45"/>
      <c r="D529" s="45"/>
      <c r="E529" s="45"/>
      <c r="F529" s="46"/>
      <c r="G529" s="46"/>
      <c r="H529" s="46"/>
      <c r="J529" s="52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H529" s="46"/>
      <c r="AI529" s="46"/>
    </row>
    <row r="530" spans="1:35" x14ac:dyDescent="0.25">
      <c r="A530" s="22"/>
      <c r="C530" s="45"/>
      <c r="D530" s="45"/>
      <c r="E530" s="45"/>
      <c r="F530" s="46"/>
      <c r="G530" s="46"/>
      <c r="H530" s="46"/>
      <c r="J530" s="52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H530" s="46"/>
      <c r="AI530" s="46"/>
    </row>
    <row r="531" spans="1:35" x14ac:dyDescent="0.25">
      <c r="A531" s="22"/>
      <c r="C531" s="45"/>
      <c r="D531" s="45"/>
      <c r="E531" s="45"/>
      <c r="F531" s="46"/>
      <c r="G531" s="46"/>
      <c r="H531" s="46"/>
      <c r="J531" s="52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H531" s="46"/>
      <c r="AI531" s="46"/>
    </row>
    <row r="532" spans="1:35" x14ac:dyDescent="0.25">
      <c r="A532" s="22"/>
      <c r="C532" s="45"/>
      <c r="D532" s="45"/>
      <c r="E532" s="45"/>
      <c r="F532" s="46"/>
      <c r="G532" s="46"/>
      <c r="H532" s="46"/>
      <c r="J532" s="52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H532" s="46"/>
      <c r="AI532" s="46"/>
    </row>
    <row r="533" spans="1:35" x14ac:dyDescent="0.25">
      <c r="A533" s="22"/>
      <c r="C533" s="45"/>
      <c r="D533" s="45"/>
      <c r="E533" s="45"/>
      <c r="F533" s="46"/>
      <c r="G533" s="46"/>
      <c r="H533" s="46"/>
      <c r="J533" s="52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H533" s="46"/>
      <c r="AI533" s="46"/>
    </row>
    <row r="534" spans="1:35" x14ac:dyDescent="0.25">
      <c r="A534" s="22"/>
      <c r="C534" s="45"/>
      <c r="D534" s="45"/>
      <c r="E534" s="45"/>
      <c r="F534" s="46"/>
      <c r="G534" s="46"/>
      <c r="H534" s="46"/>
      <c r="J534" s="52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H534" s="46"/>
      <c r="AI534" s="46"/>
    </row>
    <row r="535" spans="1:35" x14ac:dyDescent="0.25">
      <c r="A535" s="22"/>
      <c r="C535" s="45"/>
      <c r="D535" s="45"/>
      <c r="E535" s="45"/>
      <c r="F535" s="46"/>
      <c r="G535" s="46"/>
      <c r="H535" s="46"/>
      <c r="J535" s="52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H535" s="46"/>
      <c r="AI535" s="46"/>
    </row>
    <row r="536" spans="1:35" x14ac:dyDescent="0.25">
      <c r="A536" s="22"/>
      <c r="C536" s="45"/>
      <c r="D536" s="45"/>
      <c r="E536" s="45"/>
      <c r="F536" s="46"/>
      <c r="G536" s="46"/>
      <c r="H536" s="46"/>
      <c r="J536" s="52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H536" s="46"/>
      <c r="AI536" s="46"/>
    </row>
    <row r="537" spans="1:35" x14ac:dyDescent="0.25">
      <c r="A537" s="22"/>
      <c r="C537" s="45"/>
      <c r="D537" s="45"/>
      <c r="E537" s="45"/>
      <c r="F537" s="46"/>
      <c r="G537" s="46"/>
      <c r="H537" s="46"/>
      <c r="J537" s="52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H537" s="46"/>
      <c r="AI537" s="46"/>
    </row>
    <row r="538" spans="1:35" x14ac:dyDescent="0.25">
      <c r="A538" s="22"/>
      <c r="C538" s="45"/>
      <c r="D538" s="45"/>
      <c r="E538" s="45"/>
      <c r="F538" s="46"/>
      <c r="G538" s="46"/>
      <c r="H538" s="46"/>
      <c r="J538" s="52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H538" s="46"/>
      <c r="AI538" s="46"/>
    </row>
    <row r="539" spans="1:35" x14ac:dyDescent="0.25">
      <c r="A539" s="22"/>
      <c r="C539" s="45"/>
      <c r="D539" s="45"/>
      <c r="E539" s="45"/>
      <c r="F539" s="46"/>
      <c r="G539" s="46"/>
      <c r="H539" s="46"/>
      <c r="J539" s="52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H539" s="46"/>
      <c r="AI539" s="46"/>
    </row>
    <row r="540" spans="1:35" x14ac:dyDescent="0.25">
      <c r="A540" s="22"/>
      <c r="C540" s="45"/>
      <c r="D540" s="45"/>
      <c r="E540" s="45"/>
      <c r="F540" s="46"/>
      <c r="G540" s="46"/>
      <c r="H540" s="46"/>
      <c r="J540" s="52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H540" s="46"/>
      <c r="AI540" s="46"/>
    </row>
    <row r="541" spans="1:35" x14ac:dyDescent="0.25">
      <c r="A541" s="22"/>
      <c r="C541" s="45"/>
      <c r="D541" s="45"/>
      <c r="E541" s="45"/>
      <c r="F541" s="46"/>
      <c r="G541" s="46"/>
      <c r="H541" s="46"/>
      <c r="J541" s="52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H541" s="46"/>
      <c r="AI541" s="46"/>
    </row>
    <row r="542" spans="1:35" x14ac:dyDescent="0.25">
      <c r="A542" s="22"/>
      <c r="C542" s="45"/>
      <c r="D542" s="45"/>
      <c r="E542" s="45"/>
      <c r="F542" s="46"/>
      <c r="G542" s="46"/>
      <c r="H542" s="46"/>
      <c r="J542" s="52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H542" s="46"/>
      <c r="AI542" s="46"/>
    </row>
    <row r="543" spans="1:35" x14ac:dyDescent="0.25">
      <c r="A543" s="22"/>
      <c r="C543" s="45"/>
      <c r="D543" s="45"/>
      <c r="E543" s="45"/>
      <c r="F543" s="46"/>
      <c r="G543" s="46"/>
      <c r="H543" s="46"/>
      <c r="J543" s="52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H543" s="46"/>
      <c r="AI543" s="46"/>
    </row>
    <row r="544" spans="1:35" x14ac:dyDescent="0.25">
      <c r="A544" s="22"/>
      <c r="C544" s="45"/>
      <c r="D544" s="45"/>
      <c r="E544" s="45"/>
      <c r="F544" s="46"/>
      <c r="G544" s="46"/>
      <c r="H544" s="46"/>
      <c r="J544" s="52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H544" s="46"/>
      <c r="AI544" s="46"/>
    </row>
    <row r="545" spans="1:35" x14ac:dyDescent="0.25">
      <c r="A545" s="22"/>
      <c r="C545" s="45"/>
      <c r="D545" s="45"/>
      <c r="E545" s="45"/>
      <c r="F545" s="46"/>
      <c r="G545" s="46"/>
      <c r="H545" s="46"/>
      <c r="J545" s="52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H545" s="46"/>
      <c r="AI545" s="46"/>
    </row>
    <row r="546" spans="1:35" x14ac:dyDescent="0.25">
      <c r="A546" s="22"/>
      <c r="C546" s="45"/>
      <c r="D546" s="45"/>
      <c r="E546" s="45"/>
      <c r="F546" s="46"/>
      <c r="G546" s="46"/>
      <c r="H546" s="46"/>
      <c r="J546" s="52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H546" s="46"/>
      <c r="AI546" s="46"/>
    </row>
    <row r="547" spans="1:35" x14ac:dyDescent="0.25">
      <c r="A547" s="22"/>
      <c r="C547" s="45"/>
      <c r="D547" s="45"/>
      <c r="E547" s="45"/>
      <c r="F547" s="46"/>
      <c r="G547" s="46"/>
      <c r="H547" s="46"/>
      <c r="J547" s="52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H547" s="46"/>
      <c r="AI547" s="46"/>
    </row>
    <row r="548" spans="1:35" x14ac:dyDescent="0.25">
      <c r="A548" s="22"/>
      <c r="C548" s="45"/>
      <c r="D548" s="45"/>
      <c r="E548" s="45"/>
      <c r="F548" s="46"/>
      <c r="G548" s="46"/>
      <c r="H548" s="46"/>
      <c r="J548" s="52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H548" s="46"/>
      <c r="AI548" s="46"/>
    </row>
    <row r="549" spans="1:35" x14ac:dyDescent="0.25">
      <c r="A549" s="22"/>
      <c r="C549" s="45"/>
      <c r="D549" s="45"/>
      <c r="E549" s="45"/>
      <c r="F549" s="46"/>
      <c r="G549" s="46"/>
      <c r="H549" s="46"/>
      <c r="J549" s="52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H549" s="46"/>
      <c r="AI549" s="46"/>
    </row>
    <row r="550" spans="1:35" x14ac:dyDescent="0.25">
      <c r="A550" s="22"/>
      <c r="C550" s="45"/>
      <c r="D550" s="45"/>
      <c r="E550" s="45"/>
      <c r="F550" s="46"/>
      <c r="G550" s="46"/>
      <c r="H550" s="46"/>
      <c r="J550" s="52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H550" s="46"/>
      <c r="AI550" s="46"/>
    </row>
    <row r="551" spans="1:35" x14ac:dyDescent="0.25">
      <c r="A551" s="22"/>
      <c r="C551" s="45"/>
      <c r="D551" s="45"/>
      <c r="E551" s="45"/>
      <c r="F551" s="46"/>
      <c r="G551" s="46"/>
      <c r="H551" s="46"/>
      <c r="J551" s="52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H551" s="46"/>
      <c r="AI551" s="46"/>
    </row>
    <row r="552" spans="1:35" x14ac:dyDescent="0.25">
      <c r="A552" s="22"/>
      <c r="C552" s="45"/>
      <c r="D552" s="45"/>
      <c r="E552" s="45"/>
      <c r="F552" s="46"/>
      <c r="G552" s="46"/>
      <c r="H552" s="46"/>
      <c r="J552" s="52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H552" s="46"/>
      <c r="AI552" s="46"/>
    </row>
    <row r="553" spans="1:35" x14ac:dyDescent="0.25">
      <c r="A553" s="22"/>
      <c r="C553" s="45"/>
      <c r="D553" s="45"/>
      <c r="E553" s="45"/>
      <c r="F553" s="46"/>
      <c r="G553" s="46"/>
      <c r="H553" s="46"/>
      <c r="J553" s="52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H553" s="46"/>
      <c r="AI553" s="46"/>
    </row>
    <row r="554" spans="1:35" x14ac:dyDescent="0.25">
      <c r="A554" s="22"/>
      <c r="C554" s="45"/>
      <c r="D554" s="45"/>
      <c r="E554" s="45"/>
      <c r="F554" s="46"/>
      <c r="G554" s="46"/>
      <c r="H554" s="46"/>
      <c r="J554" s="52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H554" s="46"/>
      <c r="AI554" s="46"/>
    </row>
    <row r="555" spans="1:35" x14ac:dyDescent="0.25">
      <c r="A555" s="22"/>
      <c r="C555" s="45"/>
      <c r="D555" s="45"/>
      <c r="E555" s="45"/>
      <c r="F555" s="46"/>
      <c r="G555" s="46"/>
      <c r="H555" s="46"/>
      <c r="J555" s="52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H555" s="46"/>
      <c r="AI555" s="46"/>
    </row>
    <row r="556" spans="1:35" x14ac:dyDescent="0.25">
      <c r="A556" s="22"/>
      <c r="C556" s="45"/>
      <c r="D556" s="45"/>
      <c r="E556" s="45"/>
      <c r="F556" s="46"/>
      <c r="G556" s="46"/>
      <c r="H556" s="46"/>
      <c r="J556" s="52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H556" s="46"/>
      <c r="AI556" s="46"/>
    </row>
    <row r="557" spans="1:35" x14ac:dyDescent="0.25">
      <c r="A557" s="22"/>
      <c r="C557" s="45"/>
      <c r="D557" s="45"/>
      <c r="E557" s="45"/>
      <c r="F557" s="46"/>
      <c r="G557" s="46"/>
      <c r="H557" s="46"/>
      <c r="J557" s="52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H557" s="46"/>
      <c r="AI557" s="46"/>
    </row>
    <row r="558" spans="1:35" x14ac:dyDescent="0.25">
      <c r="A558" s="22"/>
      <c r="C558" s="45"/>
      <c r="D558" s="45"/>
      <c r="E558" s="45"/>
      <c r="F558" s="46"/>
      <c r="G558" s="46"/>
      <c r="H558" s="46"/>
      <c r="J558" s="52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H558" s="46"/>
      <c r="AI558" s="46"/>
    </row>
    <row r="559" spans="1:35" x14ac:dyDescent="0.25">
      <c r="A559" s="22"/>
      <c r="C559" s="45"/>
      <c r="D559" s="45"/>
      <c r="E559" s="45"/>
      <c r="F559" s="46"/>
      <c r="G559" s="46"/>
      <c r="H559" s="46"/>
      <c r="J559" s="52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H559" s="46"/>
      <c r="AI559" s="46"/>
    </row>
    <row r="560" spans="1:35" x14ac:dyDescent="0.25">
      <c r="A560" s="22"/>
      <c r="C560" s="45"/>
      <c r="D560" s="45"/>
      <c r="E560" s="45"/>
      <c r="F560" s="46"/>
      <c r="G560" s="46"/>
      <c r="H560" s="46"/>
      <c r="J560" s="52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H560" s="46"/>
      <c r="AI560" s="46"/>
    </row>
    <row r="561" spans="1:35" x14ac:dyDescent="0.25">
      <c r="A561" s="22"/>
      <c r="C561" s="45"/>
      <c r="D561" s="45"/>
      <c r="E561" s="45"/>
      <c r="F561" s="46"/>
      <c r="G561" s="46"/>
      <c r="H561" s="46"/>
      <c r="J561" s="52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H561" s="46"/>
      <c r="AI561" s="46"/>
    </row>
    <row r="562" spans="1:35" x14ac:dyDescent="0.25">
      <c r="A562" s="22"/>
      <c r="C562" s="45"/>
      <c r="D562" s="45"/>
      <c r="E562" s="45"/>
      <c r="F562" s="46"/>
      <c r="G562" s="46"/>
      <c r="H562" s="46"/>
      <c r="J562" s="52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H562" s="46"/>
      <c r="AI562" s="46"/>
    </row>
    <row r="563" spans="1:35" x14ac:dyDescent="0.25">
      <c r="A563" s="22"/>
      <c r="C563" s="45"/>
      <c r="D563" s="45"/>
      <c r="E563" s="45"/>
      <c r="F563" s="46"/>
      <c r="G563" s="46"/>
      <c r="H563" s="46"/>
      <c r="J563" s="52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H563" s="46"/>
      <c r="AI563" s="46"/>
    </row>
    <row r="564" spans="1:35" x14ac:dyDescent="0.25">
      <c r="A564" s="22"/>
      <c r="C564" s="45"/>
      <c r="D564" s="45"/>
      <c r="E564" s="45"/>
      <c r="F564" s="46"/>
      <c r="G564" s="46"/>
      <c r="H564" s="46"/>
      <c r="J564" s="52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H564" s="46"/>
      <c r="AI564" s="46"/>
    </row>
    <row r="565" spans="1:35" x14ac:dyDescent="0.25">
      <c r="A565" s="22"/>
      <c r="C565" s="45"/>
      <c r="D565" s="45"/>
      <c r="E565" s="45"/>
      <c r="F565" s="46"/>
      <c r="G565" s="46"/>
      <c r="H565" s="46"/>
      <c r="J565" s="52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H565" s="46"/>
      <c r="AI565" s="46"/>
    </row>
    <row r="566" spans="1:35" x14ac:dyDescent="0.25">
      <c r="A566" s="22"/>
      <c r="C566" s="45"/>
      <c r="D566" s="45"/>
      <c r="E566" s="45"/>
      <c r="F566" s="46"/>
      <c r="G566" s="46"/>
      <c r="H566" s="46"/>
      <c r="J566" s="52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H566" s="46"/>
      <c r="AI566" s="46"/>
    </row>
    <row r="567" spans="1:35" x14ac:dyDescent="0.25">
      <c r="A567" s="22"/>
      <c r="C567" s="45"/>
      <c r="D567" s="45"/>
      <c r="E567" s="45"/>
      <c r="F567" s="46"/>
      <c r="G567" s="46"/>
      <c r="H567" s="46"/>
      <c r="J567" s="52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H567" s="46"/>
      <c r="AI567" s="46"/>
    </row>
    <row r="568" spans="1:35" x14ac:dyDescent="0.25">
      <c r="A568" s="22"/>
      <c r="C568" s="45"/>
      <c r="D568" s="45"/>
      <c r="E568" s="45"/>
      <c r="F568" s="46"/>
      <c r="G568" s="46"/>
      <c r="H568" s="46"/>
      <c r="J568" s="52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H568" s="46"/>
      <c r="AI568" s="46"/>
    </row>
    <row r="569" spans="1:35" x14ac:dyDescent="0.25">
      <c r="A569" s="22"/>
      <c r="C569" s="45"/>
      <c r="D569" s="45"/>
      <c r="E569" s="45"/>
      <c r="F569" s="46"/>
      <c r="G569" s="46"/>
      <c r="H569" s="46"/>
      <c r="J569" s="52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H569" s="46"/>
      <c r="AI569" s="46"/>
    </row>
    <row r="570" spans="1:35" x14ac:dyDescent="0.25">
      <c r="A570" s="22"/>
      <c r="C570" s="45"/>
      <c r="D570" s="45"/>
      <c r="E570" s="45"/>
      <c r="F570" s="46"/>
      <c r="G570" s="46"/>
      <c r="H570" s="46"/>
      <c r="J570" s="52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H570" s="46"/>
      <c r="AI570" s="46"/>
    </row>
    <row r="571" spans="1:35" x14ac:dyDescent="0.25">
      <c r="A571" s="22"/>
      <c r="C571" s="45"/>
      <c r="D571" s="45"/>
      <c r="E571" s="45"/>
      <c r="F571" s="46"/>
      <c r="G571" s="46"/>
      <c r="H571" s="46"/>
      <c r="J571" s="52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H571" s="46"/>
      <c r="AI571" s="46"/>
    </row>
    <row r="572" spans="1:35" x14ac:dyDescent="0.25">
      <c r="A572" s="22"/>
      <c r="C572" s="45"/>
      <c r="D572" s="45"/>
      <c r="E572" s="45"/>
      <c r="F572" s="46"/>
      <c r="G572" s="46"/>
      <c r="H572" s="46"/>
      <c r="J572" s="52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H572" s="46"/>
      <c r="AI572" s="46"/>
    </row>
    <row r="573" spans="1:35" x14ac:dyDescent="0.25">
      <c r="A573" s="22"/>
      <c r="C573" s="45"/>
      <c r="D573" s="45"/>
      <c r="E573" s="45"/>
      <c r="F573" s="46"/>
      <c r="G573" s="46"/>
      <c r="H573" s="46"/>
      <c r="J573" s="52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H573" s="46"/>
      <c r="AI573" s="46"/>
    </row>
    <row r="574" spans="1:35" x14ac:dyDescent="0.25">
      <c r="A574" s="22"/>
      <c r="C574" s="45"/>
      <c r="D574" s="45"/>
      <c r="E574" s="45"/>
      <c r="F574" s="46"/>
      <c r="G574" s="46"/>
      <c r="H574" s="46"/>
      <c r="J574" s="52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H574" s="46"/>
      <c r="AI574" s="46"/>
    </row>
    <row r="575" spans="1:35" x14ac:dyDescent="0.25">
      <c r="A575" s="22"/>
      <c r="C575" s="45"/>
      <c r="D575" s="45"/>
      <c r="E575" s="45"/>
      <c r="F575" s="46"/>
      <c r="G575" s="46"/>
      <c r="H575" s="46"/>
      <c r="J575" s="52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H575" s="46"/>
      <c r="AI575" s="46"/>
    </row>
    <row r="576" spans="1:35" x14ac:dyDescent="0.25">
      <c r="A576" s="22"/>
      <c r="C576" s="45"/>
      <c r="D576" s="45"/>
      <c r="E576" s="45"/>
      <c r="F576" s="46"/>
      <c r="G576" s="46"/>
      <c r="H576" s="46"/>
      <c r="J576" s="52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H576" s="46"/>
      <c r="AI576" s="46"/>
    </row>
    <row r="577" spans="1:35" x14ac:dyDescent="0.25">
      <c r="A577" s="22"/>
      <c r="C577" s="45"/>
      <c r="D577" s="45"/>
      <c r="E577" s="45"/>
      <c r="F577" s="46"/>
      <c r="G577" s="46"/>
      <c r="H577" s="46"/>
      <c r="J577" s="52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H577" s="46"/>
      <c r="AI577" s="46"/>
    </row>
    <row r="578" spans="1:35" x14ac:dyDescent="0.25">
      <c r="A578" s="22"/>
      <c r="C578" s="45"/>
      <c r="D578" s="45"/>
      <c r="E578" s="45"/>
      <c r="F578" s="46"/>
      <c r="G578" s="46"/>
      <c r="H578" s="46"/>
      <c r="J578" s="52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H578" s="46"/>
      <c r="AI578" s="46"/>
    </row>
    <row r="579" spans="1:35" x14ac:dyDescent="0.25">
      <c r="A579" s="22"/>
      <c r="C579" s="45"/>
      <c r="D579" s="45"/>
      <c r="E579" s="45"/>
      <c r="F579" s="46"/>
      <c r="G579" s="46"/>
      <c r="H579" s="46"/>
      <c r="J579" s="52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H579" s="46"/>
      <c r="AI579" s="46"/>
    </row>
    <row r="580" spans="1:35" x14ac:dyDescent="0.25">
      <c r="A580" s="22"/>
      <c r="C580" s="45"/>
      <c r="D580" s="45"/>
      <c r="E580" s="45"/>
      <c r="F580" s="46"/>
      <c r="G580" s="46"/>
      <c r="H580" s="46"/>
      <c r="J580" s="52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H580" s="46"/>
      <c r="AI580" s="46"/>
    </row>
    <row r="581" spans="1:35" x14ac:dyDescent="0.25">
      <c r="A581" s="22"/>
      <c r="C581" s="45"/>
      <c r="D581" s="45"/>
      <c r="E581" s="45"/>
      <c r="F581" s="46"/>
      <c r="G581" s="46"/>
      <c r="H581" s="46"/>
      <c r="J581" s="52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H581" s="46"/>
      <c r="AI581" s="46"/>
    </row>
    <row r="582" spans="1:35" x14ac:dyDescent="0.25">
      <c r="A582" s="22"/>
      <c r="C582" s="45"/>
      <c r="D582" s="45"/>
      <c r="E582" s="45"/>
      <c r="F582" s="46"/>
      <c r="G582" s="46"/>
      <c r="H582" s="46"/>
      <c r="J582" s="52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H582" s="46"/>
      <c r="AI582" s="46"/>
    </row>
    <row r="583" spans="1:35" x14ac:dyDescent="0.25">
      <c r="A583" s="22"/>
      <c r="C583" s="45"/>
      <c r="D583" s="45"/>
      <c r="E583" s="45"/>
      <c r="F583" s="46"/>
      <c r="G583" s="46"/>
      <c r="H583" s="46"/>
      <c r="J583" s="52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H583" s="46"/>
      <c r="AI583" s="46"/>
    </row>
    <row r="584" spans="1:35" x14ac:dyDescent="0.25">
      <c r="A584" s="22"/>
      <c r="C584" s="45"/>
      <c r="D584" s="45"/>
      <c r="E584" s="45"/>
      <c r="F584" s="46"/>
      <c r="G584" s="46"/>
      <c r="H584" s="46"/>
      <c r="J584" s="52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H584" s="46"/>
      <c r="AI584" s="46"/>
    </row>
    <row r="585" spans="1:35" x14ac:dyDescent="0.25">
      <c r="A585" s="22"/>
      <c r="C585" s="45"/>
      <c r="D585" s="45"/>
      <c r="E585" s="45"/>
      <c r="F585" s="46"/>
      <c r="G585" s="46"/>
      <c r="H585" s="46"/>
      <c r="J585" s="52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H585" s="46"/>
      <c r="AI585" s="46"/>
    </row>
    <row r="586" spans="1:35" x14ac:dyDescent="0.25">
      <c r="A586" s="22"/>
      <c r="C586" s="45"/>
      <c r="D586" s="45"/>
      <c r="E586" s="45"/>
      <c r="F586" s="46"/>
      <c r="G586" s="46"/>
      <c r="H586" s="46"/>
      <c r="J586" s="52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H586" s="46"/>
      <c r="AI586" s="46"/>
    </row>
    <row r="587" spans="1:35" x14ac:dyDescent="0.25">
      <c r="A587" s="22"/>
      <c r="C587" s="45"/>
      <c r="D587" s="45"/>
      <c r="E587" s="45"/>
      <c r="F587" s="46"/>
      <c r="G587" s="46"/>
      <c r="H587" s="46"/>
      <c r="J587" s="52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H587" s="46"/>
      <c r="AI587" s="46"/>
    </row>
    <row r="588" spans="1:35" x14ac:dyDescent="0.25">
      <c r="A588" s="22"/>
      <c r="C588" s="45"/>
      <c r="D588" s="45"/>
      <c r="E588" s="45"/>
      <c r="F588" s="46"/>
      <c r="G588" s="46"/>
      <c r="H588" s="46"/>
      <c r="J588" s="52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H588" s="46"/>
      <c r="AI588" s="46"/>
    </row>
    <row r="589" spans="1:35" x14ac:dyDescent="0.25">
      <c r="A589" s="22"/>
      <c r="C589" s="45"/>
      <c r="D589" s="45"/>
      <c r="E589" s="45"/>
      <c r="F589" s="46"/>
      <c r="G589" s="46"/>
      <c r="H589" s="46"/>
      <c r="J589" s="52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H589" s="46"/>
      <c r="AI589" s="46"/>
    </row>
    <row r="590" spans="1:35" x14ac:dyDescent="0.25">
      <c r="A590" s="22"/>
      <c r="C590" s="45"/>
      <c r="D590" s="45"/>
      <c r="E590" s="45"/>
      <c r="F590" s="46"/>
      <c r="G590" s="46"/>
      <c r="H590" s="46"/>
      <c r="J590" s="52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H590" s="46"/>
      <c r="AI590" s="46"/>
    </row>
    <row r="591" spans="1:35" x14ac:dyDescent="0.25">
      <c r="A591" s="22"/>
      <c r="C591" s="45"/>
      <c r="D591" s="45"/>
      <c r="E591" s="45"/>
      <c r="F591" s="46"/>
      <c r="G591" s="46"/>
      <c r="H591" s="46"/>
      <c r="J591" s="52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H591" s="46"/>
      <c r="AI591" s="46"/>
    </row>
    <row r="592" spans="1:35" x14ac:dyDescent="0.25">
      <c r="A592" s="22"/>
      <c r="C592" s="45"/>
      <c r="D592" s="45"/>
      <c r="E592" s="45"/>
      <c r="F592" s="46"/>
      <c r="G592" s="46"/>
      <c r="H592" s="46"/>
      <c r="J592" s="52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H592" s="46"/>
      <c r="AI592" s="46"/>
    </row>
    <row r="593" spans="1:35" x14ac:dyDescent="0.25">
      <c r="A593" s="22"/>
      <c r="C593" s="45"/>
      <c r="D593" s="45"/>
      <c r="E593" s="45"/>
      <c r="F593" s="46"/>
      <c r="G593" s="46"/>
      <c r="H593" s="46"/>
      <c r="J593" s="52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H593" s="46"/>
      <c r="AI593" s="46"/>
    </row>
    <row r="594" spans="1:35" x14ac:dyDescent="0.25">
      <c r="A594" s="22"/>
      <c r="C594" s="45"/>
      <c r="D594" s="45"/>
      <c r="E594" s="45"/>
      <c r="F594" s="46"/>
      <c r="G594" s="46"/>
      <c r="H594" s="46"/>
      <c r="J594" s="52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H594" s="46"/>
      <c r="AI594" s="46"/>
    </row>
    <row r="595" spans="1:35" x14ac:dyDescent="0.25">
      <c r="A595" s="22"/>
      <c r="C595" s="45"/>
      <c r="D595" s="45"/>
      <c r="E595" s="45"/>
      <c r="F595" s="46"/>
      <c r="G595" s="46"/>
      <c r="H595" s="46"/>
      <c r="J595" s="52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H595" s="46"/>
      <c r="AI595" s="46"/>
    </row>
    <row r="596" spans="1:35" x14ac:dyDescent="0.25">
      <c r="A596" s="22"/>
      <c r="C596" s="45"/>
      <c r="D596" s="45"/>
      <c r="E596" s="45"/>
      <c r="F596" s="46"/>
      <c r="G596" s="46"/>
      <c r="H596" s="46"/>
      <c r="J596" s="52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H596" s="46"/>
      <c r="AI596" s="46"/>
    </row>
    <row r="597" spans="1:35" x14ac:dyDescent="0.25">
      <c r="A597" s="22"/>
      <c r="C597" s="45"/>
      <c r="D597" s="45"/>
      <c r="E597" s="45"/>
      <c r="F597" s="46"/>
      <c r="G597" s="46"/>
      <c r="H597" s="46"/>
      <c r="J597" s="52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H597" s="46"/>
      <c r="AI597" s="46"/>
    </row>
    <row r="598" spans="1:35" x14ac:dyDescent="0.25">
      <c r="A598" s="22"/>
      <c r="C598" s="45"/>
      <c r="D598" s="45"/>
      <c r="E598" s="45"/>
      <c r="F598" s="46"/>
      <c r="G598" s="46"/>
      <c r="H598" s="46"/>
      <c r="J598" s="52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H598" s="46"/>
      <c r="AI598" s="46"/>
    </row>
    <row r="599" spans="1:35" x14ac:dyDescent="0.25">
      <c r="A599" s="22"/>
      <c r="C599" s="45"/>
      <c r="D599" s="45"/>
      <c r="E599" s="45"/>
      <c r="F599" s="46"/>
      <c r="G599" s="46"/>
      <c r="H599" s="46"/>
      <c r="J599" s="52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H599" s="46"/>
      <c r="AI599" s="46"/>
    </row>
    <row r="600" spans="1:35" x14ac:dyDescent="0.25">
      <c r="A600" s="22"/>
      <c r="C600" s="45"/>
      <c r="D600" s="45"/>
      <c r="E600" s="45"/>
      <c r="F600" s="46"/>
      <c r="G600" s="46"/>
      <c r="H600" s="46"/>
      <c r="J600" s="52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H600" s="46"/>
      <c r="AI600" s="46"/>
    </row>
    <row r="601" spans="1:35" x14ac:dyDescent="0.25">
      <c r="A601" s="22"/>
      <c r="C601" s="45"/>
      <c r="D601" s="45"/>
      <c r="E601" s="45"/>
      <c r="F601" s="46"/>
      <c r="G601" s="46"/>
      <c r="H601" s="46"/>
      <c r="J601" s="52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H601" s="46"/>
      <c r="AI601" s="46"/>
    </row>
    <row r="602" spans="1:35" x14ac:dyDescent="0.25">
      <c r="A602" s="22"/>
      <c r="C602" s="45"/>
      <c r="D602" s="45"/>
      <c r="E602" s="45"/>
      <c r="F602" s="46"/>
      <c r="G602" s="46"/>
      <c r="H602" s="46"/>
      <c r="J602" s="52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H602" s="46"/>
      <c r="AI602" s="46"/>
    </row>
    <row r="603" spans="1:35" x14ac:dyDescent="0.25">
      <c r="A603" s="22"/>
      <c r="C603" s="45"/>
      <c r="D603" s="45"/>
      <c r="E603" s="45"/>
      <c r="F603" s="46"/>
      <c r="G603" s="46"/>
      <c r="H603" s="46"/>
      <c r="J603" s="52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H603" s="46"/>
      <c r="AI603" s="46"/>
    </row>
    <row r="604" spans="1:35" x14ac:dyDescent="0.25">
      <c r="A604" s="22"/>
      <c r="C604" s="45"/>
      <c r="D604" s="45"/>
      <c r="E604" s="45"/>
      <c r="F604" s="46"/>
      <c r="G604" s="46"/>
      <c r="H604" s="46"/>
      <c r="J604" s="52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H604" s="46"/>
      <c r="AI604" s="46"/>
    </row>
    <row r="605" spans="1:35" x14ac:dyDescent="0.25">
      <c r="A605" s="22"/>
      <c r="C605" s="45"/>
      <c r="D605" s="45"/>
      <c r="E605" s="45"/>
      <c r="F605" s="46"/>
      <c r="G605" s="46"/>
      <c r="H605" s="46"/>
      <c r="J605" s="52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H605" s="46"/>
      <c r="AI605" s="46"/>
    </row>
    <row r="606" spans="1:35" x14ac:dyDescent="0.25">
      <c r="A606" s="22"/>
      <c r="C606" s="45"/>
      <c r="D606" s="45"/>
      <c r="E606" s="45"/>
      <c r="F606" s="46"/>
      <c r="G606" s="46"/>
      <c r="H606" s="46"/>
      <c r="J606" s="52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H606" s="46"/>
      <c r="AI606" s="46"/>
    </row>
    <row r="607" spans="1:35" x14ac:dyDescent="0.25">
      <c r="A607" s="22"/>
      <c r="C607" s="45"/>
      <c r="D607" s="45"/>
      <c r="E607" s="45"/>
      <c r="F607" s="46"/>
      <c r="G607" s="46"/>
      <c r="H607" s="46"/>
      <c r="J607" s="52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H607" s="46"/>
      <c r="AI607" s="46"/>
    </row>
    <row r="608" spans="1:35" x14ac:dyDescent="0.25">
      <c r="A608" s="22"/>
      <c r="C608" s="45"/>
      <c r="D608" s="45"/>
      <c r="E608" s="45"/>
      <c r="F608" s="46"/>
      <c r="G608" s="46"/>
      <c r="H608" s="46"/>
      <c r="J608" s="52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H608" s="46"/>
      <c r="AI608" s="46"/>
    </row>
    <row r="609" spans="1:35" x14ac:dyDescent="0.25">
      <c r="A609" s="22"/>
      <c r="C609" s="45"/>
      <c r="D609" s="45"/>
      <c r="E609" s="45"/>
      <c r="F609" s="46"/>
      <c r="G609" s="46"/>
      <c r="H609" s="46"/>
      <c r="J609" s="52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H609" s="46"/>
      <c r="AI609" s="46"/>
    </row>
    <row r="610" spans="1:35" x14ac:dyDescent="0.25">
      <c r="A610" s="22"/>
      <c r="C610" s="45"/>
      <c r="D610" s="45"/>
      <c r="E610" s="45"/>
      <c r="F610" s="46"/>
      <c r="G610" s="46"/>
      <c r="H610" s="46"/>
      <c r="J610" s="52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H610" s="46"/>
      <c r="AI610" s="46"/>
    </row>
    <row r="611" spans="1:35" x14ac:dyDescent="0.25">
      <c r="A611" s="22"/>
      <c r="C611" s="45"/>
      <c r="D611" s="45"/>
      <c r="E611" s="45"/>
      <c r="F611" s="46"/>
      <c r="G611" s="46"/>
      <c r="H611" s="46"/>
      <c r="J611" s="52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H611" s="46"/>
      <c r="AI611" s="46"/>
    </row>
    <row r="612" spans="1:35" x14ac:dyDescent="0.25">
      <c r="A612" s="22"/>
      <c r="C612" s="45"/>
      <c r="D612" s="45"/>
      <c r="E612" s="45"/>
      <c r="F612" s="46"/>
      <c r="G612" s="46"/>
      <c r="H612" s="46"/>
      <c r="J612" s="52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H612" s="46"/>
      <c r="AI612" s="46"/>
    </row>
    <row r="613" spans="1:35" x14ac:dyDescent="0.25">
      <c r="A613" s="22"/>
      <c r="C613" s="45"/>
      <c r="D613" s="45"/>
      <c r="E613" s="45"/>
      <c r="F613" s="46"/>
      <c r="G613" s="46"/>
      <c r="H613" s="46"/>
      <c r="J613" s="52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H613" s="46"/>
      <c r="AI613" s="46"/>
    </row>
    <row r="614" spans="1:35" x14ac:dyDescent="0.25">
      <c r="A614" s="22"/>
      <c r="C614" s="45"/>
      <c r="D614" s="45"/>
      <c r="E614" s="45"/>
      <c r="F614" s="46"/>
      <c r="G614" s="46"/>
      <c r="H614" s="46"/>
      <c r="J614" s="52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H614" s="46"/>
      <c r="AI614" s="46"/>
    </row>
    <row r="615" spans="1:35" x14ac:dyDescent="0.25">
      <c r="A615" s="22"/>
      <c r="C615" s="45"/>
      <c r="D615" s="45"/>
      <c r="E615" s="45"/>
      <c r="F615" s="46"/>
      <c r="G615" s="46"/>
      <c r="H615" s="46"/>
      <c r="J615" s="52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H615" s="46"/>
      <c r="AI615" s="46"/>
    </row>
    <row r="616" spans="1:35" x14ac:dyDescent="0.25">
      <c r="A616" s="22"/>
      <c r="C616" s="45"/>
      <c r="D616" s="45"/>
      <c r="E616" s="45"/>
      <c r="F616" s="46"/>
      <c r="G616" s="46"/>
      <c r="H616" s="46"/>
      <c r="J616" s="52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H616" s="46"/>
      <c r="AI616" s="46"/>
    </row>
    <row r="617" spans="1:35" x14ac:dyDescent="0.25">
      <c r="A617" s="22"/>
      <c r="C617" s="45"/>
      <c r="D617" s="45"/>
      <c r="E617" s="45"/>
      <c r="F617" s="46"/>
      <c r="G617" s="46"/>
      <c r="H617" s="46"/>
      <c r="J617" s="52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H617" s="46"/>
      <c r="AI617" s="46"/>
    </row>
    <row r="618" spans="1:35" x14ac:dyDescent="0.25">
      <c r="A618" s="22"/>
      <c r="C618" s="45"/>
      <c r="D618" s="45"/>
      <c r="E618" s="45"/>
      <c r="F618" s="46"/>
      <c r="G618" s="46"/>
      <c r="H618" s="46"/>
      <c r="J618" s="52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H618" s="46"/>
      <c r="AI618" s="46"/>
    </row>
    <row r="619" spans="1:35" x14ac:dyDescent="0.25">
      <c r="A619" s="22"/>
      <c r="C619" s="45"/>
      <c r="D619" s="45"/>
      <c r="E619" s="45"/>
      <c r="F619" s="46"/>
      <c r="G619" s="46"/>
      <c r="H619" s="46"/>
      <c r="J619" s="52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H619" s="46"/>
      <c r="AI619" s="46"/>
    </row>
    <row r="620" spans="1:35" x14ac:dyDescent="0.25">
      <c r="A620" s="22"/>
      <c r="C620" s="45"/>
      <c r="D620" s="45"/>
      <c r="E620" s="45"/>
      <c r="F620" s="46"/>
      <c r="G620" s="46"/>
      <c r="H620" s="46"/>
      <c r="J620" s="52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H620" s="46"/>
      <c r="AI620" s="46"/>
    </row>
    <row r="621" spans="1:35" x14ac:dyDescent="0.25">
      <c r="A621" s="22"/>
      <c r="C621" s="45"/>
      <c r="D621" s="45"/>
      <c r="E621" s="45"/>
      <c r="F621" s="46"/>
      <c r="G621" s="46"/>
      <c r="H621" s="46"/>
      <c r="J621" s="52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H621" s="46"/>
      <c r="AI621" s="46"/>
    </row>
    <row r="622" spans="1:35" x14ac:dyDescent="0.25">
      <c r="A622" s="22"/>
      <c r="C622" s="45"/>
      <c r="D622" s="45"/>
      <c r="E622" s="45"/>
      <c r="F622" s="46"/>
      <c r="G622" s="46"/>
      <c r="H622" s="46"/>
      <c r="J622" s="52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H622" s="46"/>
      <c r="AI622" s="46"/>
    </row>
    <row r="623" spans="1:35" x14ac:dyDescent="0.25">
      <c r="A623" s="22"/>
      <c r="C623" s="45"/>
      <c r="D623" s="45"/>
      <c r="E623" s="45"/>
      <c r="F623" s="46"/>
      <c r="G623" s="46"/>
      <c r="H623" s="46"/>
      <c r="J623" s="52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H623" s="46"/>
      <c r="AI623" s="46"/>
    </row>
    <row r="624" spans="1:35" x14ac:dyDescent="0.25">
      <c r="A624" s="22"/>
      <c r="C624" s="45"/>
      <c r="D624" s="45"/>
      <c r="E624" s="45"/>
      <c r="F624" s="46"/>
      <c r="G624" s="46"/>
      <c r="H624" s="46"/>
      <c r="J624" s="52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H624" s="46"/>
      <c r="AI624" s="46"/>
    </row>
    <row r="625" spans="1:35" x14ac:dyDescent="0.25">
      <c r="A625" s="22"/>
      <c r="C625" s="45"/>
      <c r="D625" s="45"/>
      <c r="E625" s="45"/>
      <c r="F625" s="46"/>
      <c r="G625" s="46"/>
      <c r="H625" s="46"/>
      <c r="J625" s="52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H625" s="46"/>
      <c r="AI625" s="46"/>
    </row>
    <row r="626" spans="1:35" x14ac:dyDescent="0.25">
      <c r="A626" s="22"/>
      <c r="C626" s="45"/>
      <c r="D626" s="45"/>
      <c r="E626" s="45"/>
      <c r="F626" s="46"/>
      <c r="G626" s="46"/>
      <c r="H626" s="46"/>
      <c r="J626" s="52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H626" s="46"/>
      <c r="AI626" s="46"/>
    </row>
    <row r="627" spans="1:35" x14ac:dyDescent="0.25">
      <c r="A627" s="22"/>
      <c r="C627" s="45"/>
      <c r="D627" s="45"/>
      <c r="E627" s="45"/>
      <c r="F627" s="46"/>
      <c r="G627" s="46"/>
      <c r="H627" s="46"/>
      <c r="J627" s="52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H627" s="46"/>
      <c r="AI627" s="46"/>
    </row>
    <row r="628" spans="1:35" x14ac:dyDescent="0.25">
      <c r="A628" s="22"/>
      <c r="C628" s="45"/>
      <c r="D628" s="45"/>
      <c r="E628" s="45"/>
      <c r="F628" s="46"/>
      <c r="G628" s="46"/>
      <c r="H628" s="46"/>
      <c r="J628" s="52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H628" s="46"/>
      <c r="AI628" s="46"/>
    </row>
    <row r="629" spans="1:35" x14ac:dyDescent="0.25">
      <c r="A629" s="22"/>
      <c r="C629" s="45"/>
      <c r="D629" s="45"/>
      <c r="E629" s="45"/>
      <c r="F629" s="46"/>
      <c r="G629" s="46"/>
      <c r="H629" s="46"/>
      <c r="J629" s="52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H629" s="46"/>
      <c r="AI629" s="46"/>
    </row>
    <row r="630" spans="1:35" x14ac:dyDescent="0.25">
      <c r="A630" s="22"/>
      <c r="C630" s="45"/>
      <c r="D630" s="45"/>
      <c r="E630" s="45"/>
      <c r="F630" s="46"/>
      <c r="G630" s="46"/>
      <c r="H630" s="46"/>
      <c r="J630" s="52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H630" s="46"/>
      <c r="AI630" s="46"/>
    </row>
    <row r="631" spans="1:35" x14ac:dyDescent="0.25">
      <c r="A631" s="22"/>
      <c r="C631" s="45"/>
      <c r="D631" s="45"/>
      <c r="E631" s="45"/>
      <c r="F631" s="46"/>
      <c r="G631" s="46"/>
      <c r="H631" s="46"/>
      <c r="J631" s="52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H631" s="46"/>
      <c r="AI631" s="46"/>
    </row>
    <row r="632" spans="1:35" x14ac:dyDescent="0.25">
      <c r="A632" s="22"/>
      <c r="C632" s="45"/>
      <c r="D632" s="45"/>
      <c r="E632" s="45"/>
      <c r="F632" s="46"/>
      <c r="G632" s="46"/>
      <c r="H632" s="46"/>
      <c r="J632" s="52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H632" s="46"/>
      <c r="AI632" s="46"/>
    </row>
    <row r="633" spans="1:35" x14ac:dyDescent="0.25">
      <c r="A633" s="22"/>
      <c r="C633" s="45"/>
      <c r="D633" s="45"/>
      <c r="E633" s="45"/>
      <c r="F633" s="46"/>
      <c r="G633" s="46"/>
      <c r="H633" s="46"/>
      <c r="J633" s="52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H633" s="46"/>
      <c r="AI633" s="46"/>
    </row>
    <row r="634" spans="1:35" x14ac:dyDescent="0.25">
      <c r="A634" s="22"/>
      <c r="C634" s="45"/>
      <c r="D634" s="45"/>
      <c r="E634" s="45"/>
      <c r="F634" s="46"/>
      <c r="G634" s="46"/>
      <c r="H634" s="46"/>
      <c r="J634" s="52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H634" s="46"/>
      <c r="AI634" s="46"/>
    </row>
    <row r="635" spans="1:35" x14ac:dyDescent="0.25">
      <c r="A635" s="22"/>
      <c r="C635" s="45"/>
      <c r="D635" s="45"/>
      <c r="E635" s="45"/>
      <c r="F635" s="46"/>
      <c r="G635" s="46"/>
      <c r="H635" s="46"/>
      <c r="J635" s="52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H635" s="46"/>
      <c r="AI635" s="46"/>
    </row>
    <row r="636" spans="1:35" x14ac:dyDescent="0.25">
      <c r="A636" s="22"/>
      <c r="C636" s="45"/>
      <c r="D636" s="45"/>
      <c r="E636" s="45"/>
      <c r="F636" s="46"/>
      <c r="G636" s="46"/>
      <c r="H636" s="46"/>
      <c r="J636" s="52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H636" s="46"/>
      <c r="AI636" s="46"/>
    </row>
    <row r="637" spans="1:35" x14ac:dyDescent="0.25">
      <c r="A637" s="22"/>
      <c r="C637" s="45"/>
      <c r="D637" s="45"/>
      <c r="E637" s="45"/>
      <c r="F637" s="46"/>
      <c r="G637" s="46"/>
      <c r="H637" s="46"/>
      <c r="J637" s="52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H637" s="46"/>
      <c r="AI637" s="46"/>
    </row>
    <row r="638" spans="1:35" x14ac:dyDescent="0.25">
      <c r="A638" s="22"/>
      <c r="C638" s="45"/>
      <c r="D638" s="45"/>
      <c r="E638" s="45"/>
      <c r="F638" s="46"/>
      <c r="G638" s="46"/>
      <c r="H638" s="46"/>
      <c r="J638" s="52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H638" s="46"/>
      <c r="AI638" s="46"/>
    </row>
    <row r="639" spans="1:35" x14ac:dyDescent="0.25">
      <c r="A639" s="22"/>
      <c r="C639" s="45"/>
      <c r="D639" s="45"/>
      <c r="E639" s="45"/>
      <c r="F639" s="46"/>
      <c r="G639" s="46"/>
      <c r="H639" s="46"/>
      <c r="J639" s="52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H639" s="46"/>
      <c r="AI639" s="46"/>
    </row>
    <row r="640" spans="1:35" x14ac:dyDescent="0.25">
      <c r="A640" s="22"/>
      <c r="C640" s="45"/>
      <c r="D640" s="45"/>
      <c r="E640" s="45"/>
      <c r="F640" s="46"/>
      <c r="G640" s="46"/>
      <c r="H640" s="46"/>
      <c r="J640" s="52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H640" s="46"/>
      <c r="AI640" s="46"/>
    </row>
    <row r="641" spans="1:35" x14ac:dyDescent="0.25">
      <c r="A641" s="22"/>
      <c r="C641" s="45"/>
      <c r="D641" s="45"/>
      <c r="E641" s="45"/>
      <c r="F641" s="46"/>
      <c r="G641" s="46"/>
      <c r="H641" s="46"/>
      <c r="J641" s="52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H641" s="46"/>
      <c r="AI641" s="46"/>
    </row>
    <row r="642" spans="1:35" x14ac:dyDescent="0.25">
      <c r="A642" s="22"/>
      <c r="C642" s="45"/>
      <c r="D642" s="45"/>
      <c r="E642" s="45"/>
      <c r="F642" s="46"/>
      <c r="G642" s="46"/>
      <c r="H642" s="46"/>
      <c r="J642" s="52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H642" s="46"/>
      <c r="AI642" s="46"/>
    </row>
    <row r="643" spans="1:35" x14ac:dyDescent="0.25">
      <c r="A643" s="22"/>
      <c r="C643" s="45"/>
      <c r="D643" s="45"/>
      <c r="E643" s="45"/>
      <c r="F643" s="46"/>
      <c r="G643" s="46"/>
      <c r="H643" s="46"/>
      <c r="J643" s="52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H643" s="46"/>
      <c r="AI643" s="46"/>
    </row>
    <row r="644" spans="1:35" x14ac:dyDescent="0.25">
      <c r="A644" s="22"/>
      <c r="C644" s="45"/>
      <c r="D644" s="45"/>
      <c r="E644" s="45"/>
      <c r="F644" s="46"/>
      <c r="G644" s="46"/>
      <c r="H644" s="46"/>
      <c r="J644" s="52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H644" s="46"/>
      <c r="AI644" s="46"/>
    </row>
    <row r="645" spans="1:35" x14ac:dyDescent="0.25">
      <c r="A645" s="22"/>
      <c r="C645" s="45"/>
      <c r="D645" s="45"/>
      <c r="E645" s="45"/>
      <c r="F645" s="46"/>
      <c r="G645" s="46"/>
      <c r="H645" s="46"/>
      <c r="J645" s="52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H645" s="46"/>
      <c r="AI645" s="46"/>
    </row>
    <row r="646" spans="1:35" x14ac:dyDescent="0.25">
      <c r="A646" s="22"/>
      <c r="C646" s="45"/>
      <c r="D646" s="45"/>
      <c r="E646" s="45"/>
      <c r="F646" s="46"/>
      <c r="G646" s="46"/>
      <c r="H646" s="46"/>
      <c r="J646" s="52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H646" s="46"/>
      <c r="AI646" s="46"/>
    </row>
    <row r="647" spans="1:35" x14ac:dyDescent="0.25">
      <c r="A647" s="22"/>
      <c r="C647" s="45"/>
      <c r="D647" s="45"/>
      <c r="E647" s="45"/>
      <c r="F647" s="46"/>
      <c r="G647" s="46"/>
      <c r="H647" s="46"/>
      <c r="J647" s="52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H647" s="46"/>
      <c r="AI647" s="46"/>
    </row>
    <row r="648" spans="1:35" x14ac:dyDescent="0.25">
      <c r="A648" s="22"/>
      <c r="C648" s="45"/>
      <c r="D648" s="45"/>
      <c r="E648" s="45"/>
      <c r="F648" s="46"/>
      <c r="G648" s="46"/>
      <c r="H648" s="46"/>
      <c r="J648" s="52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H648" s="46"/>
      <c r="AI648" s="46"/>
    </row>
    <row r="649" spans="1:35" x14ac:dyDescent="0.25">
      <c r="A649" s="22"/>
      <c r="C649" s="45"/>
      <c r="D649" s="45"/>
      <c r="E649" s="45"/>
      <c r="F649" s="46"/>
      <c r="G649" s="46"/>
      <c r="H649" s="46"/>
      <c r="J649" s="52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H649" s="46"/>
      <c r="AI649" s="46"/>
    </row>
    <row r="650" spans="1:35" x14ac:dyDescent="0.25">
      <c r="A650" s="22"/>
      <c r="C650" s="45"/>
      <c r="D650" s="45"/>
      <c r="E650" s="45"/>
      <c r="F650" s="46"/>
      <c r="G650" s="46"/>
      <c r="H650" s="46"/>
      <c r="J650" s="52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H650" s="46"/>
      <c r="AI650" s="46"/>
    </row>
    <row r="651" spans="1:35" x14ac:dyDescent="0.25">
      <c r="A651" s="22"/>
      <c r="C651" s="45"/>
      <c r="D651" s="45"/>
      <c r="E651" s="45"/>
      <c r="F651" s="46"/>
      <c r="G651" s="46"/>
      <c r="H651" s="46"/>
      <c r="J651" s="52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H651" s="46"/>
      <c r="AI651" s="46"/>
    </row>
    <row r="652" spans="1:35" x14ac:dyDescent="0.25">
      <c r="A652" s="22"/>
      <c r="C652" s="45"/>
      <c r="D652" s="45"/>
      <c r="E652" s="45"/>
      <c r="F652" s="46"/>
      <c r="G652" s="46"/>
      <c r="H652" s="46"/>
      <c r="J652" s="52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H652" s="46"/>
      <c r="AI652" s="46"/>
    </row>
    <row r="653" spans="1:35" x14ac:dyDescent="0.25">
      <c r="A653" s="22"/>
      <c r="C653" s="45"/>
      <c r="D653" s="45"/>
      <c r="E653" s="45"/>
      <c r="F653" s="46"/>
      <c r="G653" s="46"/>
      <c r="H653" s="46"/>
      <c r="J653" s="40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H653" s="46"/>
      <c r="AI653" s="46"/>
    </row>
    <row r="654" spans="1:35" x14ac:dyDescent="0.25">
      <c r="A654" s="22"/>
      <c r="C654" s="45"/>
      <c r="D654" s="45"/>
      <c r="E654" s="45"/>
      <c r="F654" s="46"/>
      <c r="G654" s="46"/>
      <c r="H654" s="46"/>
      <c r="J654" s="40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H654" s="46"/>
      <c r="AI654" s="46"/>
    </row>
    <row r="655" spans="1:35" x14ac:dyDescent="0.25">
      <c r="A655" s="22"/>
      <c r="C655" s="45"/>
      <c r="D655" s="45"/>
      <c r="E655" s="45"/>
      <c r="F655" s="46"/>
      <c r="G655" s="46"/>
      <c r="H655" s="46"/>
      <c r="J655" s="40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H655" s="46"/>
      <c r="AI655" s="46"/>
    </row>
    <row r="656" spans="1:35" x14ac:dyDescent="0.25">
      <c r="A656" s="22"/>
      <c r="C656" s="45"/>
      <c r="D656" s="45"/>
      <c r="E656" s="45"/>
      <c r="F656" s="46"/>
      <c r="G656" s="46"/>
      <c r="H656" s="46"/>
      <c r="J656" s="40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H656" s="46"/>
      <c r="AI656" s="46"/>
    </row>
    <row r="657" spans="1:35" x14ac:dyDescent="0.25">
      <c r="A657" s="22"/>
      <c r="C657" s="45"/>
      <c r="D657" s="45"/>
      <c r="E657" s="45"/>
      <c r="F657" s="46"/>
      <c r="G657" s="46"/>
      <c r="H657" s="46"/>
      <c r="J657" s="40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H657" s="46"/>
      <c r="AI657" s="46"/>
    </row>
    <row r="658" spans="1:35" x14ac:dyDescent="0.25">
      <c r="A658" s="22"/>
      <c r="C658" s="45"/>
      <c r="D658" s="45"/>
      <c r="E658" s="45"/>
      <c r="F658" s="46"/>
      <c r="G658" s="46"/>
      <c r="H658" s="46"/>
      <c r="J658" s="40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H658" s="46"/>
      <c r="AI658" s="46"/>
    </row>
    <row r="659" spans="1:35" x14ac:dyDescent="0.25">
      <c r="A659" s="22"/>
      <c r="C659" s="45"/>
      <c r="D659" s="45"/>
      <c r="E659" s="45"/>
      <c r="F659" s="46"/>
      <c r="G659" s="46"/>
      <c r="H659" s="46"/>
      <c r="J659" s="40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H659" s="46"/>
      <c r="AI659" s="46"/>
    </row>
    <row r="660" spans="1:35" x14ac:dyDescent="0.25">
      <c r="A660" s="22"/>
      <c r="C660" s="45"/>
      <c r="D660" s="45"/>
      <c r="E660" s="45"/>
      <c r="F660" s="46"/>
      <c r="G660" s="46"/>
      <c r="H660" s="46"/>
      <c r="J660" s="40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H660" s="46"/>
      <c r="AI660" s="46"/>
    </row>
    <row r="661" spans="1:35" x14ac:dyDescent="0.25">
      <c r="A661" s="22"/>
      <c r="C661" s="45"/>
      <c r="D661" s="45"/>
      <c r="E661" s="45"/>
      <c r="F661" s="46"/>
      <c r="G661" s="46"/>
      <c r="H661" s="46"/>
      <c r="J661" s="40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H661" s="46"/>
      <c r="AI661" s="46"/>
    </row>
    <row r="662" spans="1:35" x14ac:dyDescent="0.25">
      <c r="A662" s="22"/>
      <c r="C662" s="45"/>
      <c r="D662" s="45"/>
      <c r="E662" s="45"/>
      <c r="F662" s="46"/>
      <c r="G662" s="46"/>
      <c r="H662" s="46"/>
      <c r="J662" s="40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H662" s="46"/>
      <c r="AI662" s="46"/>
    </row>
    <row r="663" spans="1:35" x14ac:dyDescent="0.25">
      <c r="A663" s="22"/>
      <c r="C663" s="45"/>
      <c r="D663" s="45"/>
      <c r="E663" s="45"/>
      <c r="F663" s="46"/>
      <c r="G663" s="46"/>
      <c r="H663" s="46"/>
      <c r="J663" s="40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H663" s="46"/>
      <c r="AI663" s="46"/>
    </row>
    <row r="664" spans="1:35" x14ac:dyDescent="0.25">
      <c r="A664" s="22"/>
      <c r="C664" s="45"/>
      <c r="D664" s="45"/>
      <c r="E664" s="45"/>
      <c r="F664" s="46"/>
      <c r="G664" s="46"/>
      <c r="H664" s="46"/>
      <c r="J664" s="40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H664" s="46"/>
      <c r="AI664" s="46"/>
    </row>
    <row r="665" spans="1:35" x14ac:dyDescent="0.25">
      <c r="A665" s="22"/>
      <c r="C665" s="45"/>
      <c r="D665" s="45"/>
      <c r="E665" s="45"/>
      <c r="F665" s="46"/>
      <c r="G665" s="46"/>
      <c r="H665" s="46"/>
      <c r="J665" s="40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H665" s="46"/>
      <c r="AI665" s="46"/>
    </row>
    <row r="666" spans="1:35" x14ac:dyDescent="0.25">
      <c r="A666" s="22"/>
      <c r="C666" s="45"/>
      <c r="D666" s="45"/>
      <c r="E666" s="45"/>
      <c r="F666" s="46"/>
      <c r="G666" s="46"/>
      <c r="H666" s="46"/>
      <c r="J666" s="40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H666" s="46"/>
      <c r="AI666" s="46"/>
    </row>
    <row r="667" spans="1:35" x14ac:dyDescent="0.25">
      <c r="A667" s="22"/>
      <c r="C667" s="45"/>
      <c r="D667" s="45"/>
      <c r="E667" s="45"/>
      <c r="F667" s="46"/>
      <c r="G667" s="46"/>
      <c r="H667" s="46"/>
      <c r="J667" s="40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H667" s="46"/>
      <c r="AI667" s="46"/>
    </row>
    <row r="668" spans="1:35" x14ac:dyDescent="0.25">
      <c r="A668" s="22"/>
      <c r="C668" s="45"/>
      <c r="D668" s="45"/>
      <c r="E668" s="45"/>
      <c r="F668" s="46"/>
      <c r="G668" s="46"/>
      <c r="H668" s="46"/>
      <c r="J668" s="40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H668" s="46"/>
      <c r="AI668" s="46"/>
    </row>
    <row r="669" spans="1:35" x14ac:dyDescent="0.25">
      <c r="A669" s="22"/>
      <c r="C669" s="45"/>
      <c r="D669" s="45"/>
      <c r="E669" s="45"/>
      <c r="F669" s="46"/>
      <c r="G669" s="46"/>
      <c r="H669" s="46"/>
      <c r="J669" s="40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H669" s="46"/>
      <c r="AI669" s="46"/>
    </row>
    <row r="670" spans="1:35" x14ac:dyDescent="0.25">
      <c r="A670" s="22"/>
      <c r="C670" s="45"/>
      <c r="D670" s="45"/>
      <c r="E670" s="45"/>
      <c r="F670" s="46"/>
      <c r="G670" s="46"/>
      <c r="H670" s="46"/>
      <c r="J670" s="40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H670" s="46"/>
      <c r="AI670" s="46"/>
    </row>
    <row r="671" spans="1:35" x14ac:dyDescent="0.25">
      <c r="A671" s="22"/>
      <c r="C671" s="45"/>
      <c r="D671" s="45"/>
      <c r="E671" s="45"/>
      <c r="F671" s="46"/>
      <c r="G671" s="46"/>
      <c r="H671" s="46"/>
      <c r="J671" s="40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H671" s="46"/>
      <c r="AI671" s="46"/>
    </row>
    <row r="672" spans="1:35" x14ac:dyDescent="0.25">
      <c r="A672" s="22"/>
      <c r="C672" s="45"/>
      <c r="D672" s="45"/>
      <c r="E672" s="45"/>
      <c r="F672" s="46"/>
      <c r="G672" s="46"/>
      <c r="H672" s="46"/>
      <c r="J672" s="40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H672" s="46"/>
      <c r="AI672" s="46"/>
    </row>
    <row r="673" spans="1:35" x14ac:dyDescent="0.25">
      <c r="A673" s="22"/>
      <c r="C673" s="45"/>
      <c r="D673" s="45"/>
      <c r="E673" s="45"/>
      <c r="F673" s="46"/>
      <c r="G673" s="46"/>
      <c r="H673" s="46"/>
      <c r="J673" s="40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H673" s="46"/>
      <c r="AI673" s="46"/>
    </row>
    <row r="674" spans="1:35" x14ac:dyDescent="0.25">
      <c r="A674" s="22"/>
      <c r="C674" s="45"/>
      <c r="D674" s="45"/>
      <c r="E674" s="45"/>
      <c r="F674" s="46"/>
      <c r="G674" s="46"/>
      <c r="H674" s="46"/>
      <c r="J674" s="40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H674" s="46"/>
      <c r="AI674" s="46"/>
    </row>
    <row r="675" spans="1:35" x14ac:dyDescent="0.25">
      <c r="A675" s="22"/>
      <c r="C675" s="45"/>
      <c r="D675" s="45"/>
      <c r="E675" s="45"/>
      <c r="F675" s="46"/>
      <c r="G675" s="46"/>
      <c r="H675" s="46"/>
      <c r="J675" s="40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H675" s="46"/>
      <c r="AI675" s="46"/>
    </row>
    <row r="676" spans="1:35" x14ac:dyDescent="0.25">
      <c r="A676" s="22"/>
      <c r="C676" s="45"/>
      <c r="D676" s="45"/>
      <c r="E676" s="45"/>
      <c r="F676" s="46"/>
      <c r="G676" s="46"/>
      <c r="H676" s="46"/>
      <c r="J676" s="40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H676" s="46"/>
      <c r="AI676" s="46"/>
    </row>
    <row r="677" spans="1:35" x14ac:dyDescent="0.25">
      <c r="A677" s="22"/>
      <c r="C677" s="45"/>
      <c r="D677" s="45"/>
      <c r="E677" s="45"/>
      <c r="F677" s="46"/>
      <c r="G677" s="46"/>
      <c r="H677" s="46"/>
      <c r="J677" s="40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H677" s="46"/>
      <c r="AI677" s="46"/>
    </row>
    <row r="678" spans="1:35" x14ac:dyDescent="0.25">
      <c r="A678" s="22"/>
      <c r="C678" s="45"/>
      <c r="D678" s="45"/>
      <c r="E678" s="45"/>
      <c r="F678" s="46"/>
      <c r="G678" s="46"/>
      <c r="H678" s="46"/>
      <c r="J678" s="40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H678" s="46"/>
      <c r="AI678" s="46"/>
    </row>
    <row r="679" spans="1:35" x14ac:dyDescent="0.25">
      <c r="A679" s="22"/>
      <c r="C679" s="23"/>
      <c r="D679" s="23"/>
      <c r="E679" s="23"/>
      <c r="J679" s="19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35" x14ac:dyDescent="0.25">
      <c r="A680" s="22"/>
      <c r="C680" s="23"/>
      <c r="D680" s="23"/>
      <c r="E680" s="23"/>
      <c r="J680" s="19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35" x14ac:dyDescent="0.25">
      <c r="A681" s="22"/>
      <c r="C681" s="23"/>
      <c r="D681" s="23"/>
      <c r="E681" s="23"/>
      <c r="J681" s="19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35" x14ac:dyDescent="0.25">
      <c r="A682" s="22"/>
      <c r="C682" s="23"/>
      <c r="D682" s="23"/>
      <c r="E682" s="23"/>
      <c r="J682" s="19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35" x14ac:dyDescent="0.25">
      <c r="A683" s="22"/>
      <c r="C683" s="23"/>
      <c r="D683" s="23"/>
      <c r="E683" s="23"/>
      <c r="J683" s="19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35" x14ac:dyDescent="0.25">
      <c r="A684" s="22"/>
      <c r="C684" s="23"/>
      <c r="D684" s="23"/>
      <c r="E684" s="23"/>
      <c r="J684" s="19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35" x14ac:dyDescent="0.25">
      <c r="A685" s="22"/>
      <c r="C685" s="23"/>
      <c r="D685" s="23"/>
      <c r="E685" s="23"/>
      <c r="J685" s="19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35" x14ac:dyDescent="0.25">
      <c r="A686" s="22"/>
      <c r="C686" s="23"/>
      <c r="D686" s="23"/>
      <c r="E686" s="23"/>
      <c r="J686" s="19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35" x14ac:dyDescent="0.25">
      <c r="A687" s="22"/>
      <c r="C687" s="23"/>
      <c r="D687" s="23"/>
      <c r="E687" s="23"/>
      <c r="J687" s="19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35" x14ac:dyDescent="0.25">
      <c r="A688" s="22"/>
      <c r="C688" s="23"/>
      <c r="D688" s="23"/>
      <c r="E688" s="23"/>
      <c r="J688" s="19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25">
      <c r="A689" s="22"/>
      <c r="C689" s="23"/>
      <c r="D689" s="23"/>
      <c r="E689" s="23"/>
      <c r="J689" s="19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25">
      <c r="A690" s="22"/>
      <c r="C690" s="23"/>
      <c r="D690" s="23"/>
      <c r="E690" s="23"/>
      <c r="J690" s="19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25">
      <c r="A691" s="22"/>
      <c r="C691" s="23"/>
      <c r="D691" s="23"/>
      <c r="E691" s="23"/>
      <c r="J691" s="19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25">
      <c r="A692" s="22"/>
      <c r="C692" s="23"/>
      <c r="D692" s="23"/>
      <c r="E692" s="23"/>
      <c r="J692" s="19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25">
      <c r="A693" s="22"/>
      <c r="C693" s="23"/>
      <c r="D693" s="23"/>
      <c r="E693" s="23"/>
      <c r="J693" s="19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25">
      <c r="A694" s="22"/>
      <c r="C694" s="23"/>
      <c r="D694" s="23"/>
      <c r="E694" s="23"/>
      <c r="J694" s="19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25">
      <c r="A695" s="22"/>
      <c r="C695" s="23"/>
      <c r="D695" s="23"/>
      <c r="E695" s="23"/>
      <c r="J695" s="19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25">
      <c r="A696" s="22"/>
      <c r="C696" s="23"/>
      <c r="D696" s="23"/>
      <c r="E696" s="23"/>
      <c r="J696" s="19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25">
      <c r="A697" s="22"/>
      <c r="C697" s="23"/>
      <c r="D697" s="23"/>
      <c r="E697" s="23"/>
      <c r="J697" s="19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25">
      <c r="A698" s="22"/>
      <c r="C698" s="23"/>
      <c r="D698" s="23"/>
      <c r="E698" s="23"/>
      <c r="J698" s="19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25">
      <c r="A699" s="22"/>
      <c r="C699" s="23"/>
      <c r="D699" s="23"/>
      <c r="E699" s="23"/>
      <c r="J699" s="19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25">
      <c r="A700" s="22"/>
      <c r="C700" s="23"/>
      <c r="D700" s="23"/>
      <c r="E700" s="23"/>
      <c r="J700" s="19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25">
      <c r="A701" s="22"/>
      <c r="C701" s="23"/>
      <c r="D701" s="23"/>
      <c r="E701" s="23"/>
      <c r="J701" s="19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25">
      <c r="A702" s="22"/>
      <c r="C702" s="23"/>
      <c r="D702" s="23"/>
      <c r="E702" s="23"/>
      <c r="J702" s="19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25">
      <c r="A703" s="22"/>
      <c r="C703" s="23"/>
      <c r="D703" s="23"/>
      <c r="E703" s="23"/>
      <c r="J703" s="19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25">
      <c r="A704" s="22"/>
      <c r="C704" s="23"/>
      <c r="D704" s="23"/>
      <c r="E704" s="23"/>
      <c r="J704" s="19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25">
      <c r="A705" s="22"/>
      <c r="C705" s="23"/>
      <c r="D705" s="23"/>
      <c r="E705" s="23"/>
      <c r="J705" s="19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25">
      <c r="A706" s="22"/>
      <c r="C706" s="23"/>
      <c r="D706" s="23"/>
      <c r="E706" s="23"/>
      <c r="J706" s="19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25">
      <c r="A707" s="22"/>
      <c r="C707" s="23"/>
      <c r="D707" s="23"/>
      <c r="E707" s="23"/>
      <c r="J707" s="19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25">
      <c r="A708" s="22"/>
      <c r="C708" s="23"/>
      <c r="D708" s="23"/>
      <c r="E708" s="23"/>
      <c r="J708" s="19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25">
      <c r="A709" s="22"/>
      <c r="C709" s="23"/>
      <c r="D709" s="23"/>
      <c r="E709" s="23"/>
      <c r="J709" s="19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25">
      <c r="A710" s="22"/>
      <c r="C710" s="23"/>
      <c r="D710" s="23"/>
      <c r="E710" s="23"/>
      <c r="J710" s="19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25">
      <c r="A711" s="22"/>
      <c r="C711" s="23"/>
      <c r="D711" s="23"/>
      <c r="E711" s="23"/>
      <c r="J711" s="19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25">
      <c r="A712" s="22"/>
      <c r="C712" s="23"/>
      <c r="D712" s="23"/>
      <c r="E712" s="23"/>
      <c r="J712" s="19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25">
      <c r="A713" s="22"/>
      <c r="C713" s="23"/>
      <c r="D713" s="23"/>
      <c r="E713" s="23"/>
      <c r="J713" s="19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25">
      <c r="A714" s="22"/>
      <c r="C714" s="23"/>
      <c r="D714" s="23"/>
      <c r="E714" s="23"/>
      <c r="J714" s="19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25">
      <c r="A715" s="22"/>
      <c r="C715" s="23"/>
      <c r="D715" s="23"/>
      <c r="E715" s="23"/>
      <c r="J715" s="19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25">
      <c r="A716" s="22"/>
      <c r="C716" s="23"/>
      <c r="D716" s="23"/>
      <c r="E716" s="23"/>
      <c r="J716" s="19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25">
      <c r="A717" s="22"/>
      <c r="C717" s="23"/>
      <c r="D717" s="23"/>
      <c r="E717" s="23"/>
      <c r="J717" s="19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25">
      <c r="A718" s="22"/>
      <c r="C718" s="23"/>
      <c r="D718" s="23"/>
      <c r="E718" s="23"/>
      <c r="J718" s="19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25">
      <c r="A719" s="22"/>
      <c r="C719" s="23"/>
      <c r="D719" s="23"/>
      <c r="E719" s="23"/>
      <c r="J719" s="19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25">
      <c r="A720" s="22"/>
      <c r="C720" s="23"/>
      <c r="D720" s="23"/>
      <c r="E720" s="23"/>
      <c r="J720" s="19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25">
      <c r="A721" s="22"/>
      <c r="C721" s="23"/>
      <c r="D721" s="23"/>
      <c r="E721" s="23"/>
      <c r="J721" s="19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25">
      <c r="A722" s="22"/>
      <c r="C722" s="23"/>
      <c r="D722" s="23"/>
      <c r="E722" s="23"/>
      <c r="J722" s="19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25">
      <c r="A723" s="22"/>
      <c r="C723" s="23"/>
      <c r="D723" s="23"/>
      <c r="E723" s="23"/>
      <c r="J723" s="19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25">
      <c r="A724" s="22"/>
      <c r="C724" s="23"/>
      <c r="D724" s="23"/>
      <c r="E724" s="23"/>
      <c r="J724" s="19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25">
      <c r="A725" s="22"/>
      <c r="C725" s="23"/>
      <c r="D725" s="23"/>
      <c r="E725" s="23"/>
      <c r="J725" s="19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25">
      <c r="A726" s="22"/>
      <c r="C726" s="23"/>
      <c r="D726" s="23"/>
      <c r="E726" s="23"/>
      <c r="J726" s="19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25">
      <c r="A727" s="22"/>
      <c r="C727" s="23"/>
      <c r="D727" s="23"/>
      <c r="E727" s="23"/>
      <c r="J727" s="19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25">
      <c r="A728" s="22"/>
      <c r="C728" s="23"/>
      <c r="D728" s="23"/>
      <c r="E728" s="23"/>
      <c r="J728" s="19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25">
      <c r="A729" s="22"/>
      <c r="C729" s="23"/>
      <c r="D729" s="23"/>
      <c r="E729" s="23"/>
      <c r="J729" s="19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25">
      <c r="A730" s="22"/>
      <c r="C730" s="23"/>
      <c r="D730" s="23"/>
      <c r="E730" s="23"/>
      <c r="J730" s="19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25">
      <c r="A731" s="22"/>
      <c r="C731" s="23"/>
      <c r="D731" s="23"/>
      <c r="E731" s="23"/>
      <c r="J731" s="19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25">
      <c r="A732" s="22"/>
      <c r="C732" s="23"/>
      <c r="D732" s="23"/>
      <c r="E732" s="23"/>
      <c r="J732" s="19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25">
      <c r="A733" s="22"/>
      <c r="C733" s="23"/>
      <c r="D733" s="23"/>
      <c r="E733" s="23"/>
      <c r="J733" s="19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25">
      <c r="A734" s="22"/>
      <c r="C734" s="23"/>
      <c r="D734" s="23"/>
      <c r="E734" s="23"/>
      <c r="J734" s="19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25">
      <c r="A735" s="22"/>
      <c r="C735" s="23"/>
      <c r="D735" s="23"/>
      <c r="E735" s="23"/>
      <c r="J735" s="19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25">
      <c r="A736" s="22"/>
      <c r="C736" s="23"/>
      <c r="D736" s="23"/>
      <c r="E736" s="23"/>
      <c r="J736" s="19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25">
      <c r="A737" s="22"/>
      <c r="C737" s="23"/>
      <c r="D737" s="23"/>
      <c r="E737" s="23"/>
      <c r="J737" s="19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25">
      <c r="A738" s="22"/>
      <c r="C738" s="23"/>
      <c r="D738" s="23"/>
      <c r="E738" s="23"/>
      <c r="J738" s="19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25">
      <c r="A739" s="22"/>
      <c r="C739" s="23"/>
      <c r="D739" s="23"/>
      <c r="E739" s="23"/>
      <c r="J739" s="19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25">
      <c r="A740" s="22"/>
      <c r="C740" s="23"/>
      <c r="D740" s="23"/>
      <c r="E740" s="23"/>
      <c r="J740" s="19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25">
      <c r="A741" s="22"/>
      <c r="C741" s="23"/>
      <c r="D741" s="23"/>
      <c r="E741" s="23"/>
      <c r="J741" s="19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25">
      <c r="A742" s="22"/>
      <c r="C742" s="23"/>
      <c r="D742" s="23"/>
      <c r="E742" s="23"/>
      <c r="J742" s="19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25">
      <c r="A743" s="22"/>
      <c r="C743" s="23"/>
      <c r="D743" s="23"/>
      <c r="E743" s="23"/>
      <c r="J743" s="19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25">
      <c r="A744" s="22"/>
      <c r="C744" s="23"/>
      <c r="D744" s="23"/>
      <c r="E744" s="23"/>
      <c r="J744" s="19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25">
      <c r="A745" s="22"/>
      <c r="C745" s="23"/>
      <c r="D745" s="23"/>
      <c r="E745" s="23"/>
      <c r="J745" s="19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25">
      <c r="A746" s="22"/>
      <c r="C746" s="23"/>
      <c r="D746" s="23"/>
      <c r="E746" s="23"/>
      <c r="J746" s="19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25">
      <c r="A747" s="22"/>
      <c r="C747" s="23"/>
      <c r="D747" s="23"/>
      <c r="E747" s="23"/>
      <c r="J747" s="19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25">
      <c r="A748" s="22"/>
      <c r="C748" s="23"/>
      <c r="D748" s="23"/>
      <c r="E748" s="23"/>
      <c r="J748" s="19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25">
      <c r="A749" s="22"/>
      <c r="C749" s="23"/>
      <c r="D749" s="23"/>
      <c r="E749" s="23"/>
      <c r="J749" s="19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25">
      <c r="A750" s="22"/>
      <c r="C750" s="23"/>
      <c r="D750" s="23"/>
      <c r="E750" s="23"/>
      <c r="J750" s="19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25">
      <c r="A751" s="22"/>
      <c r="C751" s="23"/>
      <c r="D751" s="23"/>
      <c r="E751" s="23"/>
      <c r="J751" s="19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25">
      <c r="A752" s="20"/>
      <c r="C752" s="23"/>
      <c r="D752" s="23"/>
      <c r="E752" s="23"/>
      <c r="J752" s="19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25">
      <c r="A753" s="20"/>
      <c r="C753" s="23"/>
      <c r="D753" s="23"/>
      <c r="E753" s="23"/>
      <c r="J753" s="19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25">
      <c r="A754" s="20"/>
      <c r="C754" s="23"/>
      <c r="D754" s="23"/>
      <c r="E754" s="23"/>
      <c r="J754" s="19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25">
      <c r="A755" s="20"/>
      <c r="C755" s="23"/>
      <c r="D755" s="23"/>
      <c r="E755" s="23"/>
      <c r="J755" s="19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25">
      <c r="A756" s="20"/>
      <c r="C756" s="23"/>
      <c r="D756" s="23"/>
      <c r="E756" s="23"/>
      <c r="J756" s="19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25">
      <c r="A757" s="20"/>
      <c r="C757" s="23"/>
      <c r="D757" s="23"/>
      <c r="E757" s="23"/>
      <c r="J757" s="19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25">
      <c r="A758" s="20"/>
      <c r="C758" s="23"/>
      <c r="D758" s="23"/>
      <c r="E758" s="23"/>
      <c r="J758" s="19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25">
      <c r="A759" s="20"/>
      <c r="C759" s="23"/>
      <c r="D759" s="23"/>
      <c r="E759" s="23"/>
      <c r="J759" s="19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25">
      <c r="A760" s="20"/>
      <c r="C760" s="23"/>
      <c r="D760" s="23"/>
      <c r="E760" s="23"/>
      <c r="J760" s="19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25">
      <c r="A761" s="20"/>
      <c r="C761" s="23"/>
      <c r="D761" s="23"/>
      <c r="E761" s="23"/>
      <c r="J761" s="19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25">
      <c r="A762" s="20"/>
      <c r="C762" s="23"/>
      <c r="D762" s="23"/>
      <c r="E762" s="23"/>
      <c r="J762" s="19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25">
      <c r="A763" s="20"/>
      <c r="C763" s="23"/>
      <c r="D763" s="23"/>
      <c r="E763" s="23"/>
      <c r="J763" s="19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25">
      <c r="A764" s="20"/>
      <c r="C764" s="23"/>
      <c r="D764" s="23"/>
      <c r="E764" s="23"/>
      <c r="J764" s="19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25">
      <c r="A765" s="20"/>
      <c r="C765" s="23"/>
      <c r="D765" s="23"/>
      <c r="E765" s="23"/>
      <c r="J765" s="19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25">
      <c r="A766" s="20"/>
      <c r="C766" s="23"/>
      <c r="D766" s="23"/>
      <c r="E766" s="23"/>
      <c r="J766" s="19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25">
      <c r="A767" s="20"/>
      <c r="C767" s="23"/>
      <c r="D767" s="23"/>
      <c r="E767" s="23"/>
      <c r="J767" s="19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25">
      <c r="A768" s="20"/>
      <c r="C768" s="23"/>
      <c r="D768" s="23"/>
      <c r="E768" s="23"/>
      <c r="J768" s="19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25">
      <c r="A769" s="20"/>
      <c r="C769" s="23"/>
      <c r="D769" s="23"/>
      <c r="E769" s="23"/>
      <c r="J769" s="19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25">
      <c r="A770" s="20"/>
      <c r="C770" s="23"/>
      <c r="D770" s="23"/>
      <c r="E770" s="23"/>
      <c r="J770" s="19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25">
      <c r="A771" s="20"/>
      <c r="C771" s="23"/>
      <c r="D771" s="23"/>
      <c r="E771" s="23"/>
      <c r="J771" s="19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25">
      <c r="A772" s="20"/>
      <c r="C772" s="23"/>
      <c r="D772" s="23"/>
      <c r="E772" s="23"/>
      <c r="J772" s="19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25">
      <c r="A773" s="20"/>
      <c r="C773" s="23"/>
      <c r="D773" s="23"/>
      <c r="E773" s="23"/>
      <c r="J773" s="19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25">
      <c r="A774" s="20"/>
      <c r="C774" s="23"/>
      <c r="D774" s="23"/>
      <c r="E774" s="23"/>
      <c r="J774" s="19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25">
      <c r="A775" s="20"/>
      <c r="C775" s="23"/>
      <c r="D775" s="23"/>
      <c r="E775" s="23"/>
      <c r="J775" s="19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25">
      <c r="A776" s="20"/>
      <c r="C776" s="23"/>
      <c r="D776" s="23"/>
      <c r="E776" s="23"/>
      <c r="J776" s="19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25">
      <c r="A777" s="20"/>
      <c r="C777" s="23"/>
      <c r="D777" s="23"/>
      <c r="E777" s="23"/>
      <c r="J777" s="19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25">
      <c r="A778" s="20"/>
      <c r="C778" s="23"/>
      <c r="D778" s="23"/>
      <c r="E778" s="23"/>
      <c r="J778" s="19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25">
      <c r="A779" s="20"/>
      <c r="C779" s="23"/>
      <c r="D779" s="23"/>
      <c r="E779" s="23"/>
      <c r="J779" s="19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25">
      <c r="A780" s="20"/>
      <c r="C780" s="23"/>
      <c r="D780" s="23"/>
      <c r="E780" s="23"/>
      <c r="J780" s="19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25">
      <c r="A781" s="20"/>
      <c r="C781" s="23"/>
      <c r="D781" s="23"/>
      <c r="E781" s="23"/>
      <c r="J781" s="19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25">
      <c r="A782" s="20"/>
      <c r="C782" s="23"/>
      <c r="D782" s="23"/>
      <c r="E782" s="23"/>
      <c r="J782" s="19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25">
      <c r="A783" s="20"/>
      <c r="C783" s="23"/>
      <c r="D783" s="23"/>
      <c r="E783" s="23"/>
      <c r="J783" s="19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25">
      <c r="A784" s="20"/>
      <c r="C784" s="23"/>
      <c r="D784" s="23"/>
      <c r="E784" s="23"/>
      <c r="J784" s="19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25">
      <c r="A785" s="20"/>
      <c r="C785" s="23"/>
      <c r="D785" s="23"/>
      <c r="E785" s="23"/>
      <c r="J785" s="19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25">
      <c r="A786" s="20"/>
      <c r="C786" s="23"/>
      <c r="D786" s="23"/>
      <c r="E786" s="23"/>
      <c r="J786" s="19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25">
      <c r="A787" s="20"/>
      <c r="C787" s="23"/>
      <c r="D787" s="23"/>
      <c r="E787" s="23"/>
      <c r="J787" s="19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25">
      <c r="A788" s="20"/>
      <c r="C788" s="23"/>
      <c r="D788" s="23"/>
      <c r="E788" s="23"/>
      <c r="J788" s="19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25">
      <c r="A789" s="20"/>
      <c r="C789" s="23"/>
      <c r="D789" s="23"/>
      <c r="E789" s="23"/>
      <c r="J789" s="19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25">
      <c r="A790" s="20"/>
      <c r="C790" s="23"/>
      <c r="D790" s="23"/>
      <c r="E790" s="23"/>
      <c r="J790" s="19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25">
      <c r="A791" s="20"/>
      <c r="C791" s="23"/>
      <c r="D791" s="23"/>
      <c r="E791" s="23"/>
      <c r="J791" s="19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25">
      <c r="A792" s="20"/>
      <c r="C792" s="23"/>
      <c r="D792" s="23"/>
      <c r="E792" s="23"/>
      <c r="J792" s="19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25">
      <c r="A793" s="20"/>
      <c r="C793" s="23"/>
      <c r="D793" s="23"/>
      <c r="E793" s="23"/>
      <c r="J793" s="19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25">
      <c r="A794" s="20"/>
      <c r="C794" s="23"/>
      <c r="D794" s="23"/>
      <c r="E794" s="23"/>
      <c r="J794" s="19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25">
      <c r="A795" s="20"/>
      <c r="C795" s="23"/>
      <c r="D795" s="23"/>
      <c r="E795" s="23"/>
      <c r="J795" s="19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25">
      <c r="A796" s="20"/>
      <c r="C796" s="23"/>
      <c r="D796" s="23"/>
      <c r="E796" s="23"/>
      <c r="J796" s="19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25">
      <c r="A797" s="20"/>
      <c r="C797" s="23"/>
      <c r="D797" s="23"/>
      <c r="E797" s="23"/>
      <c r="J797" s="19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25">
      <c r="A798" s="20"/>
      <c r="C798" s="23"/>
      <c r="D798" s="23"/>
      <c r="E798" s="23"/>
      <c r="J798" s="19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25">
      <c r="A799" s="20"/>
      <c r="C799" s="23"/>
      <c r="D799" s="23"/>
      <c r="E799" s="23"/>
      <c r="J799" s="19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25">
      <c r="A800" s="20"/>
      <c r="C800" s="23"/>
      <c r="D800" s="23"/>
      <c r="E800" s="23"/>
      <c r="J800" s="19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25">
      <c r="A801" s="20"/>
      <c r="C801" s="23"/>
      <c r="D801" s="23"/>
      <c r="E801" s="23"/>
      <c r="J801" s="19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25">
      <c r="A802" s="20"/>
      <c r="C802" s="23"/>
      <c r="D802" s="23"/>
      <c r="E802" s="23"/>
      <c r="J802" s="19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25">
      <c r="A803" s="20"/>
      <c r="C803" s="23"/>
      <c r="D803" s="23"/>
      <c r="E803" s="23"/>
      <c r="J803" s="19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25">
      <c r="A804" s="20"/>
      <c r="C804" s="23"/>
      <c r="D804" s="23"/>
      <c r="E804" s="23"/>
      <c r="J804" s="19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25">
      <c r="A805" s="20"/>
      <c r="C805" s="23"/>
      <c r="D805" s="23"/>
      <c r="E805" s="23"/>
      <c r="J805" s="19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25">
      <c r="A806" s="20"/>
      <c r="C806" s="23"/>
      <c r="D806" s="23"/>
      <c r="E806" s="23"/>
      <c r="J806" s="19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25">
      <c r="A807" s="20"/>
      <c r="C807" s="23"/>
      <c r="D807" s="23"/>
      <c r="E807" s="23"/>
      <c r="J807" s="19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25">
      <c r="A808" s="20"/>
      <c r="C808" s="23"/>
      <c r="D808" s="23"/>
      <c r="E808" s="23"/>
      <c r="J808" s="19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25">
      <c r="A809" s="20"/>
      <c r="C809" s="23"/>
      <c r="D809" s="23"/>
      <c r="E809" s="23"/>
      <c r="J809" s="19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25">
      <c r="A810" s="20"/>
      <c r="C810" s="23"/>
      <c r="D810" s="23"/>
      <c r="E810" s="23"/>
      <c r="J810" s="19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25">
      <c r="A811" s="20"/>
      <c r="C811" s="23"/>
      <c r="D811" s="23"/>
      <c r="E811" s="23"/>
      <c r="J811" s="19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25">
      <c r="A812" s="20"/>
      <c r="C812" s="23"/>
      <c r="D812" s="23"/>
      <c r="E812" s="23"/>
      <c r="J812" s="19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25">
      <c r="A813" s="20"/>
      <c r="C813" s="23"/>
      <c r="D813" s="23"/>
      <c r="E813" s="23"/>
      <c r="J813" s="19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25">
      <c r="A814" s="20"/>
      <c r="C814" s="23"/>
      <c r="D814" s="23"/>
      <c r="E814" s="23"/>
      <c r="J814" s="19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25">
      <c r="A815" s="20"/>
      <c r="C815" s="23"/>
      <c r="D815" s="23"/>
      <c r="E815" s="23"/>
      <c r="J815" s="19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25">
      <c r="A816" s="20"/>
      <c r="C816" s="23"/>
      <c r="D816" s="23"/>
      <c r="E816" s="23"/>
      <c r="J816" s="19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25">
      <c r="A817" s="20"/>
      <c r="C817" s="23"/>
      <c r="D817" s="23"/>
      <c r="E817" s="23"/>
      <c r="J817" s="19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25">
      <c r="A818" s="20"/>
      <c r="C818" s="23"/>
      <c r="D818" s="23"/>
      <c r="E818" s="23"/>
      <c r="J818" s="19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25">
      <c r="A819" s="20"/>
      <c r="C819" s="23"/>
      <c r="D819" s="23"/>
      <c r="E819" s="23"/>
      <c r="J819" s="19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25">
      <c r="A820" s="20"/>
      <c r="C820" s="23"/>
      <c r="D820" s="23"/>
      <c r="E820" s="23"/>
      <c r="J820" s="19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25">
      <c r="A821" s="20"/>
      <c r="C821" s="23"/>
      <c r="D821" s="23"/>
      <c r="E821" s="23"/>
      <c r="J821" s="19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25">
      <c r="A822" s="20"/>
      <c r="C822" s="23"/>
      <c r="D822" s="23"/>
      <c r="E822" s="23"/>
      <c r="J822" s="19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25">
      <c r="A823" s="20"/>
      <c r="C823" s="23"/>
      <c r="D823" s="23"/>
      <c r="E823" s="23"/>
      <c r="J823" s="19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25">
      <c r="A824" s="20"/>
      <c r="C824" s="23"/>
      <c r="D824" s="23"/>
      <c r="E824" s="23"/>
      <c r="J824" s="19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25">
      <c r="A825" s="20"/>
      <c r="C825" s="23"/>
      <c r="D825" s="23"/>
      <c r="E825" s="23"/>
      <c r="J825" s="19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25">
      <c r="A826" s="20"/>
      <c r="C826" s="23"/>
      <c r="D826" s="23"/>
      <c r="E826" s="23"/>
      <c r="J826" s="19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25">
      <c r="A827" s="20"/>
      <c r="C827" s="23"/>
      <c r="D827" s="23"/>
      <c r="E827" s="23"/>
      <c r="J827" s="19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25">
      <c r="A828" s="20"/>
      <c r="C828" s="23"/>
      <c r="D828" s="23"/>
      <c r="E828" s="23"/>
      <c r="J828" s="19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25">
      <c r="A829" s="20"/>
      <c r="C829" s="23"/>
      <c r="D829" s="23"/>
      <c r="E829" s="23"/>
      <c r="J829" s="19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25">
      <c r="A830" s="20"/>
      <c r="C830" s="23"/>
      <c r="D830" s="23"/>
      <c r="E830" s="23"/>
      <c r="J830" s="19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25">
      <c r="A831" s="20"/>
      <c r="C831" s="23"/>
      <c r="D831" s="23"/>
      <c r="E831" s="23"/>
      <c r="J831" s="19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25">
      <c r="A832" s="20"/>
      <c r="C832" s="23"/>
      <c r="D832" s="23"/>
      <c r="E832" s="23"/>
      <c r="J832" s="19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25">
      <c r="A833" s="20"/>
      <c r="C833" s="23"/>
      <c r="D833" s="23"/>
      <c r="E833" s="23"/>
      <c r="J833" s="19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25">
      <c r="A834" s="20"/>
      <c r="C834" s="23"/>
      <c r="D834" s="23"/>
      <c r="E834" s="23"/>
      <c r="J834" s="19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25">
      <c r="A835" s="20"/>
      <c r="C835" s="23"/>
      <c r="D835" s="23"/>
      <c r="E835" s="23"/>
      <c r="J835" s="19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25">
      <c r="A836" s="20"/>
      <c r="C836" s="23"/>
      <c r="D836" s="23"/>
      <c r="E836" s="23"/>
      <c r="J836" s="19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25">
      <c r="A837" s="20"/>
      <c r="C837" s="23"/>
      <c r="D837" s="23"/>
      <c r="E837" s="23"/>
      <c r="J837" s="19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25">
      <c r="A838" s="20"/>
      <c r="C838" s="23"/>
      <c r="D838" s="23"/>
      <c r="E838" s="23"/>
      <c r="J838" s="19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25">
      <c r="A839" s="20"/>
      <c r="C839" s="23"/>
      <c r="D839" s="23"/>
      <c r="E839" s="23"/>
      <c r="J839" s="19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25">
      <c r="A840" s="20"/>
      <c r="C840" s="23"/>
      <c r="D840" s="23"/>
      <c r="E840" s="23"/>
      <c r="J840" s="19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25">
      <c r="A841" s="20"/>
      <c r="C841" s="23"/>
      <c r="D841" s="23"/>
      <c r="E841" s="23"/>
      <c r="J841" s="19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25">
      <c r="A842" s="20"/>
      <c r="C842" s="23"/>
      <c r="D842" s="23"/>
      <c r="E842" s="23"/>
      <c r="J842" s="19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25">
      <c r="A843" s="20"/>
      <c r="C843" s="23"/>
      <c r="D843" s="23"/>
      <c r="E843" s="23"/>
      <c r="J843" s="19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25">
      <c r="A844" s="20"/>
      <c r="C844" s="23"/>
      <c r="D844" s="23"/>
      <c r="E844" s="23"/>
      <c r="J844" s="19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25">
      <c r="A845" s="20"/>
      <c r="C845" s="23"/>
      <c r="D845" s="23"/>
      <c r="E845" s="23"/>
      <c r="J845" s="19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25">
      <c r="A846" s="20"/>
      <c r="C846" s="23"/>
      <c r="D846" s="23"/>
      <c r="E846" s="23"/>
      <c r="J846" s="19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25">
      <c r="A847" s="20"/>
      <c r="C847" s="23"/>
      <c r="D847" s="23"/>
      <c r="E847" s="23"/>
      <c r="J847" s="19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25">
      <c r="A848" s="20"/>
      <c r="C848" s="23"/>
      <c r="D848" s="23"/>
      <c r="E848" s="23"/>
      <c r="J848" s="19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25">
      <c r="A849" s="20"/>
      <c r="C849" s="23"/>
      <c r="D849" s="23"/>
      <c r="E849" s="23"/>
      <c r="J849" s="19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25">
      <c r="A850" s="20"/>
      <c r="C850" s="23"/>
      <c r="D850" s="23"/>
      <c r="E850" s="23"/>
      <c r="J850" s="19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25">
      <c r="A851" s="20"/>
      <c r="C851" s="23"/>
      <c r="D851" s="23"/>
      <c r="E851" s="23"/>
      <c r="J851" s="19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25">
      <c r="A852" s="20"/>
      <c r="C852" s="23"/>
      <c r="D852" s="23"/>
      <c r="E852" s="23"/>
      <c r="J852" s="19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25">
      <c r="A853" s="20"/>
      <c r="C853" s="23"/>
      <c r="D853" s="23"/>
      <c r="E853" s="23"/>
      <c r="J853" s="19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25">
      <c r="A854" s="20"/>
      <c r="C854" s="23"/>
      <c r="D854" s="23"/>
      <c r="E854" s="23"/>
      <c r="J854" s="19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25">
      <c r="A855" s="20"/>
      <c r="C855" s="23"/>
      <c r="D855" s="23"/>
      <c r="E855" s="23"/>
      <c r="J855" s="19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25">
      <c r="A856" s="20"/>
      <c r="C856" s="23"/>
      <c r="D856" s="23"/>
      <c r="E856" s="23"/>
      <c r="J856" s="19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25">
      <c r="A857" s="20"/>
      <c r="C857" s="23"/>
      <c r="D857" s="23"/>
      <c r="E857" s="23"/>
      <c r="J857" s="19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25">
      <c r="A858" s="20"/>
      <c r="C858" s="23"/>
      <c r="D858" s="23"/>
      <c r="E858" s="23"/>
      <c r="J858" s="19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25">
      <c r="A859" s="20"/>
      <c r="C859" s="23"/>
      <c r="D859" s="23"/>
      <c r="E859" s="23"/>
      <c r="J859" s="19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25">
      <c r="A860" s="20"/>
      <c r="C860" s="23"/>
      <c r="D860" s="23"/>
      <c r="E860" s="23"/>
      <c r="J860" s="19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25">
      <c r="A861" s="20"/>
      <c r="C861" s="23"/>
      <c r="D861" s="23"/>
      <c r="E861" s="23"/>
      <c r="J861" s="19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25">
      <c r="A862" s="20"/>
      <c r="C862" s="23"/>
      <c r="D862" s="23"/>
      <c r="E862" s="23"/>
      <c r="J862" s="19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25">
      <c r="A863" s="20"/>
      <c r="C863" s="23"/>
      <c r="D863" s="23"/>
      <c r="E863" s="23"/>
      <c r="J863" s="19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25">
      <c r="A864" s="20"/>
      <c r="C864" s="23"/>
      <c r="D864" s="23"/>
      <c r="E864" s="23"/>
      <c r="J864" s="19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25">
      <c r="A865" s="20"/>
      <c r="C865" s="23"/>
      <c r="D865" s="23"/>
      <c r="E865" s="23"/>
      <c r="J865" s="19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25">
      <c r="A866" s="20"/>
      <c r="C866" s="23"/>
      <c r="D866" s="23"/>
      <c r="E866" s="23"/>
      <c r="J866" s="19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25">
      <c r="A867" s="20"/>
      <c r="C867" s="23"/>
      <c r="D867" s="23"/>
      <c r="E867" s="23"/>
      <c r="J867" s="19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25">
      <c r="A868" s="20"/>
      <c r="C868" s="23"/>
      <c r="D868" s="23"/>
      <c r="E868" s="23"/>
      <c r="J868" s="19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25">
      <c r="A869" s="20"/>
      <c r="C869" s="23"/>
      <c r="D869" s="23"/>
      <c r="E869" s="23"/>
      <c r="J869" s="19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25">
      <c r="A870" s="20"/>
      <c r="C870" s="23"/>
      <c r="D870" s="23"/>
      <c r="E870" s="23"/>
      <c r="J870" s="19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25">
      <c r="A871" s="20"/>
      <c r="C871" s="23"/>
      <c r="D871" s="23"/>
      <c r="E871" s="23"/>
      <c r="J871" s="19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25">
      <c r="A872" s="20"/>
      <c r="C872" s="23"/>
      <c r="D872" s="23"/>
      <c r="E872" s="23"/>
      <c r="J872" s="19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25">
      <c r="A873" s="20"/>
      <c r="C873" s="23"/>
      <c r="D873" s="23"/>
      <c r="E873" s="23"/>
      <c r="J873" s="19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25">
      <c r="A874" s="20"/>
      <c r="C874" s="23"/>
      <c r="D874" s="23"/>
      <c r="E874" s="23"/>
      <c r="J874" s="19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25">
      <c r="A875" s="20"/>
      <c r="C875" s="23"/>
      <c r="D875" s="23"/>
      <c r="E875" s="23"/>
      <c r="J875" s="19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25">
      <c r="A876" s="20"/>
      <c r="C876" s="23"/>
      <c r="D876" s="23"/>
      <c r="E876" s="23"/>
      <c r="J876" s="19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25">
      <c r="A877" s="20"/>
      <c r="C877" s="23"/>
      <c r="D877" s="23"/>
      <c r="E877" s="23"/>
      <c r="J877" s="19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25">
      <c r="A878" s="20"/>
      <c r="C878" s="23"/>
      <c r="D878" s="23"/>
      <c r="E878" s="23"/>
      <c r="J878" s="19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25">
      <c r="A879" s="20"/>
      <c r="C879" s="23"/>
      <c r="D879" s="23"/>
      <c r="E879" s="23"/>
      <c r="J879" s="19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25">
      <c r="A880" s="20"/>
      <c r="C880" s="23"/>
      <c r="D880" s="23"/>
      <c r="E880" s="23"/>
      <c r="J880" s="19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25">
      <c r="A881" s="20"/>
      <c r="C881" s="23"/>
      <c r="D881" s="23"/>
      <c r="E881" s="23"/>
      <c r="J881" s="19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25">
      <c r="A882" s="20"/>
      <c r="C882" s="23"/>
      <c r="D882" s="23"/>
      <c r="E882" s="23"/>
      <c r="J882" s="19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25">
      <c r="A883" s="20"/>
      <c r="C883" s="23"/>
      <c r="D883" s="23"/>
      <c r="E883" s="23"/>
      <c r="J883" s="19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25">
      <c r="A884" s="20"/>
      <c r="C884" s="23"/>
      <c r="D884" s="23"/>
      <c r="E884" s="23"/>
      <c r="J884" s="19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25">
      <c r="A885" s="20"/>
      <c r="C885" s="23"/>
      <c r="D885" s="23"/>
      <c r="E885" s="23"/>
      <c r="J885" s="19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25">
      <c r="A886" s="20"/>
      <c r="C886" s="23"/>
      <c r="D886" s="23"/>
      <c r="E886" s="23"/>
      <c r="J886" s="19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25">
      <c r="A887" s="20"/>
      <c r="C887" s="23"/>
      <c r="D887" s="23"/>
      <c r="E887" s="23"/>
      <c r="J887" s="19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25">
      <c r="A888" s="20"/>
      <c r="C888" s="23"/>
      <c r="D888" s="23"/>
      <c r="E888" s="23"/>
      <c r="J888" s="19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25">
      <c r="A889" s="20"/>
      <c r="C889" s="23"/>
      <c r="D889" s="23"/>
      <c r="E889" s="23"/>
      <c r="J889" s="19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25">
      <c r="A890" s="20"/>
      <c r="C890" s="23"/>
      <c r="D890" s="23"/>
      <c r="E890" s="23"/>
      <c r="J890" s="19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25">
      <c r="A891" s="20"/>
      <c r="C891" s="23"/>
      <c r="D891" s="23"/>
      <c r="E891" s="23"/>
      <c r="J891" s="19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25">
      <c r="A892" s="20"/>
      <c r="C892" s="23"/>
      <c r="D892" s="23"/>
      <c r="E892" s="23"/>
      <c r="J892" s="19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25">
      <c r="A893" s="20"/>
      <c r="C893" s="23"/>
      <c r="D893" s="23"/>
      <c r="E893" s="23"/>
      <c r="J893" s="19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25">
      <c r="A894" s="20"/>
      <c r="C894" s="23"/>
      <c r="D894" s="23"/>
      <c r="E894" s="23"/>
      <c r="J894" s="19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25">
      <c r="A895" s="20"/>
      <c r="C895" s="23"/>
      <c r="D895" s="23"/>
      <c r="E895" s="23"/>
      <c r="J895" s="19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25">
      <c r="A896" s="20"/>
      <c r="C896" s="23"/>
      <c r="D896" s="23"/>
      <c r="E896" s="23"/>
      <c r="J896" s="19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25">
      <c r="A897" s="20"/>
      <c r="C897" s="23"/>
      <c r="D897" s="23"/>
      <c r="E897" s="23"/>
      <c r="J897" s="19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25">
      <c r="A898" s="20"/>
      <c r="C898" s="23"/>
      <c r="D898" s="23"/>
      <c r="E898" s="23"/>
      <c r="J898" s="19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25">
      <c r="A899" s="20"/>
      <c r="C899" s="23"/>
      <c r="D899" s="23"/>
      <c r="E899" s="23"/>
      <c r="J899" s="19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25">
      <c r="A900" s="20"/>
      <c r="C900" s="23"/>
      <c r="D900" s="23"/>
      <c r="E900" s="23"/>
      <c r="J900" s="19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25">
      <c r="A901" s="20"/>
      <c r="C901" s="23"/>
      <c r="D901" s="23"/>
      <c r="E901" s="23"/>
      <c r="J901" s="19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25">
      <c r="A902" s="20"/>
      <c r="C902" s="23"/>
      <c r="D902" s="23"/>
      <c r="E902" s="23"/>
      <c r="J902" s="19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25">
      <c r="A903" s="20"/>
      <c r="C903" s="23"/>
      <c r="D903" s="23"/>
      <c r="E903" s="23"/>
      <c r="J903" s="19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25">
      <c r="A904" s="20"/>
      <c r="C904" s="23"/>
      <c r="D904" s="23"/>
      <c r="E904" s="23"/>
      <c r="J904" s="19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25">
      <c r="A905" s="20"/>
      <c r="C905" s="23"/>
      <c r="D905" s="23"/>
      <c r="E905" s="23"/>
      <c r="J905" s="19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25">
      <c r="A906" s="20"/>
      <c r="C906" s="23"/>
      <c r="D906" s="23"/>
      <c r="E906" s="23"/>
      <c r="J906" s="19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25">
      <c r="A907" s="20"/>
      <c r="C907" s="23"/>
      <c r="D907" s="23"/>
      <c r="E907" s="23"/>
      <c r="J907" s="19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25">
      <c r="A908" s="20"/>
      <c r="C908" s="23"/>
      <c r="D908" s="23"/>
      <c r="E908" s="23"/>
      <c r="J908" s="19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25">
      <c r="A909" s="20"/>
      <c r="C909" s="23"/>
      <c r="D909" s="23"/>
      <c r="E909" s="23"/>
      <c r="J909" s="19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25">
      <c r="A910" s="20"/>
      <c r="C910" s="23"/>
      <c r="D910" s="23"/>
      <c r="E910" s="23"/>
      <c r="J910" s="19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25">
      <c r="A911" s="20"/>
      <c r="C911" s="23"/>
      <c r="D911" s="23"/>
      <c r="E911" s="23"/>
      <c r="J911" s="19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25">
      <c r="A912" s="20"/>
      <c r="C912" s="23"/>
      <c r="D912" s="23"/>
      <c r="E912" s="23"/>
      <c r="J912" s="19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25">
      <c r="A913" s="20"/>
      <c r="C913" s="23"/>
      <c r="D913" s="23"/>
      <c r="E913" s="23"/>
      <c r="J913" s="19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25">
      <c r="A914" s="20"/>
      <c r="C914" s="23"/>
      <c r="D914" s="23"/>
      <c r="E914" s="23"/>
      <c r="J914" s="19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25">
      <c r="A915" s="20"/>
      <c r="C915" s="23"/>
      <c r="D915" s="23"/>
      <c r="E915" s="23"/>
      <c r="J915" s="19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25">
      <c r="A916" s="20"/>
      <c r="C916" s="23"/>
      <c r="D916" s="23"/>
      <c r="E916" s="23"/>
      <c r="J916" s="19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25">
      <c r="A917" s="20"/>
      <c r="C917" s="23"/>
      <c r="D917" s="23"/>
      <c r="E917" s="23"/>
      <c r="J917" s="19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25">
      <c r="A918" s="20"/>
      <c r="C918" s="23"/>
      <c r="D918" s="23"/>
      <c r="E918" s="23"/>
      <c r="J918" s="19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25">
      <c r="A919" s="20"/>
      <c r="C919" s="23"/>
      <c r="D919" s="23"/>
      <c r="E919" s="23"/>
      <c r="J919" s="19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25">
      <c r="A920" s="20"/>
      <c r="C920" s="23"/>
      <c r="D920" s="23"/>
      <c r="E920" s="23"/>
      <c r="J920" s="19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25">
      <c r="A921" s="20"/>
      <c r="C921" s="23"/>
      <c r="D921" s="23"/>
      <c r="E921" s="23"/>
      <c r="J921" s="19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25">
      <c r="A922" s="20"/>
      <c r="C922" s="23"/>
      <c r="D922" s="23"/>
      <c r="E922" s="23"/>
      <c r="J922" s="19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25">
      <c r="A923" s="20"/>
      <c r="C923" s="23"/>
      <c r="D923" s="23"/>
      <c r="E923" s="23"/>
      <c r="J923" s="19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25">
      <c r="A924" s="20"/>
      <c r="C924" s="23"/>
      <c r="D924" s="23"/>
      <c r="E924" s="23"/>
      <c r="J924" s="19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25">
      <c r="A925" s="20"/>
      <c r="C925" s="23"/>
      <c r="D925" s="23"/>
      <c r="E925" s="23"/>
      <c r="J925" s="19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25">
      <c r="A926" s="20"/>
      <c r="C926" s="23"/>
      <c r="D926" s="23"/>
      <c r="E926" s="23"/>
      <c r="J926" s="19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25">
      <c r="A927" s="20"/>
      <c r="C927" s="23"/>
      <c r="D927" s="23"/>
      <c r="E927" s="23"/>
      <c r="J927" s="19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25">
      <c r="A928" s="20"/>
      <c r="C928" s="23"/>
      <c r="D928" s="23"/>
      <c r="E928" s="23"/>
      <c r="J928" s="19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25">
      <c r="A929" s="20"/>
      <c r="C929" s="23"/>
      <c r="D929" s="23"/>
      <c r="E929" s="23"/>
      <c r="J929" s="19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25">
      <c r="A930" s="20"/>
      <c r="C930" s="23"/>
      <c r="D930" s="23"/>
      <c r="E930" s="23"/>
      <c r="J930" s="19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25">
      <c r="A931" s="20"/>
      <c r="C931" s="23"/>
      <c r="D931" s="23"/>
      <c r="E931" s="23"/>
      <c r="J931" s="19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25">
      <c r="A932" s="20"/>
      <c r="C932" s="23"/>
      <c r="D932" s="23"/>
      <c r="E932" s="23"/>
      <c r="J932" s="19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25">
      <c r="A933" s="20"/>
      <c r="C933" s="23"/>
      <c r="D933" s="23"/>
      <c r="E933" s="23"/>
      <c r="J933" s="19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25">
      <c r="A934" s="20"/>
      <c r="C934" s="23"/>
      <c r="D934" s="23"/>
      <c r="E934" s="23"/>
      <c r="J934" s="19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25">
      <c r="A935" s="20"/>
      <c r="C935" s="23"/>
      <c r="D935" s="23"/>
      <c r="E935" s="23"/>
      <c r="J935" s="19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25">
      <c r="A936" s="20"/>
      <c r="C936" s="23"/>
      <c r="D936" s="23"/>
      <c r="E936" s="23"/>
      <c r="J936" s="19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25">
      <c r="A937" s="20"/>
      <c r="C937" s="23"/>
      <c r="D937" s="23"/>
      <c r="E937" s="23"/>
      <c r="J937" s="19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25">
      <c r="A938" s="20"/>
      <c r="C938" s="23"/>
      <c r="D938" s="23"/>
      <c r="E938" s="23"/>
      <c r="J938" s="19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25">
      <c r="A939" s="20"/>
      <c r="C939" s="23"/>
      <c r="D939" s="23"/>
      <c r="E939" s="23"/>
      <c r="J939" s="19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25">
      <c r="A940" s="20"/>
      <c r="C940" s="23"/>
      <c r="D940" s="23"/>
      <c r="E940" s="23"/>
      <c r="J940" s="19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25">
      <c r="A941" s="20"/>
      <c r="C941" s="23"/>
      <c r="D941" s="23"/>
      <c r="E941" s="23"/>
      <c r="J941" s="19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25">
      <c r="A942" s="20"/>
      <c r="C942" s="23"/>
      <c r="D942" s="23"/>
      <c r="E942" s="23"/>
      <c r="J942" s="19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25">
      <c r="A943" s="20"/>
      <c r="C943" s="23"/>
      <c r="D943" s="23"/>
      <c r="E943" s="23"/>
      <c r="J943" s="19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25">
      <c r="A944" s="20"/>
      <c r="C944" s="23"/>
      <c r="D944" s="23"/>
      <c r="E944" s="23"/>
      <c r="J944" s="19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25">
      <c r="A945" s="20"/>
      <c r="C945" s="23"/>
      <c r="D945" s="23"/>
      <c r="E945" s="23"/>
      <c r="J945" s="19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25">
      <c r="A946" s="20"/>
      <c r="C946" s="23"/>
      <c r="D946" s="23"/>
      <c r="E946" s="23"/>
      <c r="J946" s="19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25">
      <c r="A947" s="20"/>
      <c r="C947" s="23"/>
      <c r="D947" s="23"/>
      <c r="E947" s="23"/>
      <c r="J947" s="19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25">
      <c r="A948" s="20"/>
      <c r="C948" s="23"/>
      <c r="D948" s="23"/>
      <c r="E948" s="23"/>
      <c r="J948" s="19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25">
      <c r="A949" s="20"/>
      <c r="C949" s="23"/>
      <c r="D949" s="23"/>
      <c r="E949" s="23"/>
      <c r="J949" s="19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25">
      <c r="A950" s="20"/>
      <c r="C950" s="23"/>
      <c r="D950" s="23"/>
      <c r="E950" s="23"/>
      <c r="J950" s="19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25">
      <c r="A951" s="20"/>
      <c r="C951" s="23"/>
      <c r="D951" s="23"/>
      <c r="E951" s="23"/>
      <c r="J951" s="19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25">
      <c r="A952" s="20"/>
      <c r="C952" s="23"/>
      <c r="D952" s="23"/>
      <c r="E952" s="23"/>
      <c r="J952" s="19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25">
      <c r="A953" s="20"/>
      <c r="C953" s="23"/>
      <c r="D953" s="23"/>
      <c r="E953" s="23"/>
      <c r="J953" s="19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25">
      <c r="A954" s="20"/>
      <c r="C954" s="23"/>
      <c r="D954" s="23"/>
      <c r="E954" s="23"/>
      <c r="J954" s="19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25">
      <c r="A955" s="20"/>
      <c r="C955" s="23"/>
      <c r="D955" s="23"/>
      <c r="E955" s="23"/>
      <c r="J955" s="19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25">
      <c r="A956" s="20"/>
      <c r="C956" s="23"/>
      <c r="D956" s="23"/>
      <c r="E956" s="23"/>
      <c r="J956" s="19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25">
      <c r="A957" s="20"/>
      <c r="C957" s="23"/>
      <c r="D957" s="23"/>
      <c r="E957" s="23"/>
      <c r="J957" s="19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25">
      <c r="A958" s="20"/>
      <c r="C958" s="23"/>
      <c r="D958" s="23"/>
      <c r="E958" s="23"/>
      <c r="J958" s="19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25">
      <c r="A959" s="20"/>
      <c r="C959" s="23"/>
      <c r="D959" s="23"/>
      <c r="E959" s="23"/>
      <c r="J959" s="19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25">
      <c r="A960" s="20"/>
      <c r="C960" s="23"/>
      <c r="D960" s="23"/>
      <c r="E960" s="23"/>
      <c r="J960" s="19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3:26" x14ac:dyDescent="0.25">
      <c r="C961" s="23"/>
      <c r="D961" s="23"/>
      <c r="E961" s="23"/>
      <c r="J961" s="19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3:26" x14ac:dyDescent="0.25">
      <c r="C962" s="23"/>
      <c r="D962" s="23"/>
      <c r="E962" s="23"/>
      <c r="J962" s="19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3:26" x14ac:dyDescent="0.25">
      <c r="C963" s="23"/>
      <c r="D963" s="23"/>
      <c r="E963" s="23"/>
      <c r="J963" s="19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3:26" x14ac:dyDescent="0.25">
      <c r="C964" s="23"/>
      <c r="D964" s="23"/>
      <c r="E964" s="23"/>
      <c r="J964" s="19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3:26" x14ac:dyDescent="0.25">
      <c r="C965" s="23"/>
      <c r="D965" s="23"/>
      <c r="E965" s="23"/>
      <c r="J965" s="19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3:26" x14ac:dyDescent="0.25">
      <c r="C966" s="23"/>
      <c r="D966" s="23"/>
      <c r="E966" s="23"/>
      <c r="J966" s="19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3:26" x14ac:dyDescent="0.25">
      <c r="C967" s="23"/>
      <c r="D967" s="23"/>
      <c r="E967" s="23"/>
      <c r="J967" s="19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3:26" x14ac:dyDescent="0.25">
      <c r="C968" s="23"/>
      <c r="D968" s="23"/>
      <c r="E968" s="23"/>
      <c r="J968" s="19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3:26" x14ac:dyDescent="0.25">
      <c r="C969" s="23"/>
      <c r="D969" s="23"/>
      <c r="E969" s="23"/>
      <c r="J969" s="19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3:26" x14ac:dyDescent="0.25">
      <c r="C970" s="23"/>
      <c r="D970" s="23"/>
      <c r="E970" s="23"/>
      <c r="J970" s="19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3:26" x14ac:dyDescent="0.25">
      <c r="C971" s="23"/>
      <c r="D971" s="23"/>
      <c r="E971" s="23"/>
      <c r="J971" s="19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3:26" x14ac:dyDescent="0.25">
      <c r="C972" s="23"/>
      <c r="D972" s="23"/>
      <c r="E972" s="23"/>
      <c r="J972" s="19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3:26" x14ac:dyDescent="0.25">
      <c r="C973" s="23"/>
      <c r="D973" s="23"/>
      <c r="E973" s="23"/>
      <c r="J973" s="19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3:26" x14ac:dyDescent="0.25">
      <c r="C974" s="23"/>
      <c r="D974" s="23"/>
      <c r="E974" s="23"/>
      <c r="J974" s="19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3:26" x14ac:dyDescent="0.25">
      <c r="C975" s="23"/>
      <c r="D975" s="23"/>
      <c r="E975" s="23"/>
      <c r="J975" s="19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3:26" x14ac:dyDescent="0.25">
      <c r="C976" s="23"/>
      <c r="D976" s="23"/>
      <c r="E976" s="23"/>
      <c r="J976" s="19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3:26" x14ac:dyDescent="0.25">
      <c r="C977" s="23"/>
      <c r="D977" s="23"/>
      <c r="E977" s="23"/>
      <c r="J977" s="19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3:26" x14ac:dyDescent="0.25">
      <c r="C978" s="23"/>
      <c r="D978" s="23"/>
      <c r="E978" s="23"/>
      <c r="J978" s="19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3:26" x14ac:dyDescent="0.25">
      <c r="C979" s="23"/>
      <c r="D979" s="23"/>
      <c r="E979" s="23"/>
      <c r="J979" s="19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3:26" x14ac:dyDescent="0.25">
      <c r="C980" s="23"/>
      <c r="D980" s="23"/>
      <c r="E980" s="23"/>
      <c r="J980" s="19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3:26" x14ac:dyDescent="0.25">
      <c r="C981" s="23"/>
      <c r="D981" s="23"/>
      <c r="E981" s="23"/>
      <c r="J981" s="19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3:26" x14ac:dyDescent="0.25">
      <c r="C982" s="23"/>
      <c r="D982" s="23"/>
      <c r="E982" s="23"/>
      <c r="J982" s="19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3:26" x14ac:dyDescent="0.25">
      <c r="C983" s="23"/>
      <c r="D983" s="23"/>
      <c r="E983" s="23"/>
      <c r="J983" s="19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3:26" x14ac:dyDescent="0.25">
      <c r="C984" s="23"/>
      <c r="D984" s="23"/>
      <c r="E984" s="23"/>
      <c r="J984" s="19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3:26" x14ac:dyDescent="0.25">
      <c r="C985" s="23"/>
      <c r="D985" s="23"/>
      <c r="E985" s="23"/>
      <c r="J985" s="19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3:26" x14ac:dyDescent="0.25">
      <c r="C986" s="23"/>
      <c r="D986" s="23"/>
      <c r="E986" s="23"/>
      <c r="J986" s="19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3:26" x14ac:dyDescent="0.25">
      <c r="C987" s="23"/>
      <c r="D987" s="23"/>
      <c r="E987" s="23"/>
      <c r="J987" s="19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3:26" x14ac:dyDescent="0.25">
      <c r="C988" s="23"/>
      <c r="D988" s="23"/>
      <c r="E988" s="23"/>
      <c r="J988" s="19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3:26" x14ac:dyDescent="0.25">
      <c r="C989" s="23"/>
      <c r="D989" s="23"/>
      <c r="E989" s="23"/>
      <c r="J989" s="19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3:26" x14ac:dyDescent="0.25">
      <c r="C990" s="23"/>
      <c r="D990" s="23"/>
      <c r="E990" s="23"/>
      <c r="J990" s="19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3:26" x14ac:dyDescent="0.25">
      <c r="C991" s="23"/>
      <c r="D991" s="23"/>
      <c r="E991" s="23"/>
      <c r="J991" s="19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3:26" x14ac:dyDescent="0.25">
      <c r="C992" s="23"/>
      <c r="D992" s="23"/>
      <c r="E992" s="23"/>
      <c r="J992" s="19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3:26" x14ac:dyDescent="0.25">
      <c r="C993" s="23"/>
      <c r="D993" s="23"/>
      <c r="E993" s="23"/>
      <c r="J993" s="19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3:26" x14ac:dyDescent="0.25">
      <c r="C994" s="23"/>
      <c r="D994" s="23"/>
      <c r="E994" s="23"/>
      <c r="J994" s="19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3:26" x14ac:dyDescent="0.25">
      <c r="C995" s="23"/>
      <c r="D995" s="23"/>
      <c r="E995" s="23"/>
      <c r="J995" s="19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3:26" x14ac:dyDescent="0.25">
      <c r="C996" s="23"/>
      <c r="D996" s="23"/>
      <c r="E996" s="23"/>
      <c r="J996" s="19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3:26" x14ac:dyDescent="0.25">
      <c r="C997" s="23"/>
      <c r="D997" s="23"/>
      <c r="E997" s="23"/>
      <c r="J997" s="19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3:26" x14ac:dyDescent="0.25">
      <c r="C998" s="23"/>
      <c r="D998" s="23"/>
      <c r="E998" s="23"/>
      <c r="J998" s="19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3:26" x14ac:dyDescent="0.25">
      <c r="C999" s="23"/>
      <c r="D999" s="23"/>
      <c r="E999" s="23"/>
      <c r="J999" s="19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3:26" x14ac:dyDescent="0.25">
      <c r="C1000" s="23"/>
      <c r="D1000" s="23"/>
      <c r="E1000" s="23"/>
      <c r="J1000" s="19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3:26" x14ac:dyDescent="0.25">
      <c r="C1001" s="23"/>
      <c r="D1001" s="23"/>
      <c r="E1001" s="23"/>
      <c r="J1001" s="19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3:26" x14ac:dyDescent="0.25">
      <c r="C1002" s="23"/>
      <c r="D1002" s="23"/>
      <c r="E1002" s="23"/>
      <c r="J1002" s="19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3:26" x14ac:dyDescent="0.25">
      <c r="C1003" s="23"/>
      <c r="D1003" s="23"/>
      <c r="E1003" s="23"/>
      <c r="J1003" s="19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3:26" x14ac:dyDescent="0.25">
      <c r="C1004" s="23"/>
      <c r="D1004" s="23"/>
      <c r="E1004" s="23"/>
      <c r="J1004" s="19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3:26" x14ac:dyDescent="0.25">
      <c r="C1005" s="23"/>
      <c r="D1005" s="23"/>
      <c r="E1005" s="23"/>
      <c r="J1005" s="19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3:26" x14ac:dyDescent="0.25">
      <c r="C1006" s="23"/>
      <c r="D1006" s="23"/>
      <c r="E1006" s="23"/>
      <c r="J1006" s="19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3:26" x14ac:dyDescent="0.25">
      <c r="C1007" s="23"/>
      <c r="D1007" s="23"/>
      <c r="E1007" s="23"/>
      <c r="J1007" s="19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3:26" x14ac:dyDescent="0.25">
      <c r="C1008" s="23"/>
      <c r="D1008" s="23"/>
      <c r="E1008" s="23"/>
      <c r="J1008" s="19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3:26" x14ac:dyDescent="0.25">
      <c r="C1009" s="23"/>
      <c r="D1009" s="23"/>
      <c r="E1009" s="23"/>
      <c r="J1009" s="19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3:26" x14ac:dyDescent="0.25">
      <c r="C1010" s="23"/>
      <c r="D1010" s="23"/>
      <c r="E1010" s="23"/>
      <c r="J1010" s="19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3:26" x14ac:dyDescent="0.25">
      <c r="C1011" s="23"/>
      <c r="D1011" s="23"/>
      <c r="E1011" s="23"/>
      <c r="J1011" s="19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3:26" x14ac:dyDescent="0.25">
      <c r="C1012" s="23"/>
      <c r="D1012" s="23"/>
      <c r="E1012" s="23"/>
      <c r="J1012" s="19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3:26" x14ac:dyDescent="0.25">
      <c r="C1013" s="23"/>
      <c r="D1013" s="23"/>
      <c r="E1013" s="23"/>
      <c r="J1013" s="19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3:26" x14ac:dyDescent="0.25">
      <c r="C1014" s="23"/>
      <c r="D1014" s="23"/>
      <c r="E1014" s="23"/>
      <c r="J1014" s="19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3:26" x14ac:dyDescent="0.25">
      <c r="C1015" s="23"/>
      <c r="D1015" s="23"/>
      <c r="E1015" s="23"/>
      <c r="J1015" s="19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3:26" x14ac:dyDescent="0.25">
      <c r="C1016" s="23"/>
      <c r="D1016" s="23"/>
      <c r="E1016" s="23"/>
      <c r="J1016" s="19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3:26" x14ac:dyDescent="0.25">
      <c r="C1017" s="23"/>
      <c r="D1017" s="23"/>
      <c r="E1017" s="23"/>
      <c r="J1017" s="19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3:26" x14ac:dyDescent="0.25">
      <c r="C1018" s="23"/>
      <c r="D1018" s="23"/>
      <c r="E1018" s="23"/>
      <c r="J1018" s="19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3:26" x14ac:dyDescent="0.25">
      <c r="C1019" s="23"/>
      <c r="D1019" s="23"/>
      <c r="E1019" s="23"/>
      <c r="J1019" s="19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3:26" x14ac:dyDescent="0.25">
      <c r="C1020" s="23"/>
      <c r="D1020" s="23"/>
      <c r="E1020" s="23"/>
      <c r="J1020" s="19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3:26" x14ac:dyDescent="0.25">
      <c r="C1021" s="23"/>
      <c r="D1021" s="23"/>
      <c r="E1021" s="23"/>
      <c r="J1021" s="19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3:26" x14ac:dyDescent="0.25">
      <c r="C1022" s="23"/>
      <c r="D1022" s="23"/>
      <c r="E1022" s="23"/>
      <c r="J1022" s="19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3:26" x14ac:dyDescent="0.25">
      <c r="C1023" s="23"/>
      <c r="D1023" s="23"/>
      <c r="E1023" s="23"/>
      <c r="J1023" s="19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3:26" x14ac:dyDescent="0.25">
      <c r="C1024" s="23"/>
      <c r="D1024" s="23"/>
      <c r="E1024" s="23"/>
      <c r="J1024" s="19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3:26" x14ac:dyDescent="0.25">
      <c r="C1025" s="23"/>
      <c r="D1025" s="23"/>
      <c r="E1025" s="23"/>
      <c r="J1025" s="19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3:26" x14ac:dyDescent="0.25">
      <c r="C1026" s="23"/>
      <c r="D1026" s="23"/>
      <c r="E1026" s="23"/>
      <c r="J1026" s="19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3:26" x14ac:dyDescent="0.25">
      <c r="C1027" s="23"/>
      <c r="D1027" s="23"/>
      <c r="E1027" s="23"/>
      <c r="J1027" s="19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3:26" x14ac:dyDescent="0.25">
      <c r="C1028" s="23"/>
      <c r="D1028" s="23"/>
      <c r="E1028" s="23"/>
      <c r="J1028" s="19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3:26" x14ac:dyDescent="0.25">
      <c r="C1029" s="23"/>
      <c r="D1029" s="23"/>
      <c r="E1029" s="23"/>
      <c r="J1029" s="19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3:26" x14ac:dyDescent="0.25">
      <c r="C1030" s="23"/>
      <c r="D1030" s="23"/>
      <c r="E1030" s="23"/>
      <c r="J1030" s="19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3:26" x14ac:dyDescent="0.25">
      <c r="C1031" s="23"/>
      <c r="D1031" s="23"/>
      <c r="E1031" s="23"/>
      <c r="J1031" s="19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3:26" x14ac:dyDescent="0.25">
      <c r="C1032" s="23"/>
      <c r="D1032" s="23"/>
      <c r="E1032" s="23"/>
      <c r="J1032" s="19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3:26" x14ac:dyDescent="0.25">
      <c r="C1033" s="23"/>
      <c r="D1033" s="23"/>
      <c r="E1033" s="23"/>
      <c r="J1033" s="19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3:26" x14ac:dyDescent="0.25">
      <c r="C1034" s="23"/>
      <c r="D1034" s="23"/>
      <c r="E1034" s="23"/>
      <c r="J1034" s="19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3:26" x14ac:dyDescent="0.25">
      <c r="C1035" s="23"/>
      <c r="D1035" s="23"/>
      <c r="E1035" s="23"/>
      <c r="J1035" s="19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3:26" x14ac:dyDescent="0.25">
      <c r="C1036" s="23"/>
      <c r="D1036" s="23"/>
      <c r="E1036" s="23"/>
      <c r="J1036" s="19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3:26" x14ac:dyDescent="0.25">
      <c r="C1037" s="23"/>
      <c r="D1037" s="23"/>
      <c r="E1037" s="23"/>
      <c r="J1037" s="19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3:26" x14ac:dyDescent="0.25">
      <c r="C1038" s="23"/>
      <c r="D1038" s="23"/>
      <c r="E1038" s="23"/>
      <c r="J1038" s="19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3:26" x14ac:dyDescent="0.25">
      <c r="C1039" s="23"/>
      <c r="D1039" s="23"/>
      <c r="E1039" s="23"/>
      <c r="J1039" s="19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3:26" x14ac:dyDescent="0.25">
      <c r="C1040" s="23"/>
      <c r="D1040" s="23"/>
      <c r="E1040" s="23"/>
      <c r="J1040" s="19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3:26" x14ac:dyDescent="0.25">
      <c r="C1041" s="23"/>
      <c r="D1041" s="23"/>
      <c r="E1041" s="23"/>
      <c r="J1041" s="19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3:26" x14ac:dyDescent="0.25">
      <c r="C1042" s="23"/>
      <c r="D1042" s="23"/>
      <c r="E1042" s="23"/>
      <c r="J1042" s="19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3:26" x14ac:dyDescent="0.25">
      <c r="C1043" s="23"/>
      <c r="D1043" s="23"/>
      <c r="E1043" s="23"/>
      <c r="J1043" s="19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3:26" x14ac:dyDescent="0.25">
      <c r="C1044" s="23"/>
      <c r="D1044" s="23"/>
      <c r="E1044" s="23"/>
      <c r="J1044" s="19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3:26" x14ac:dyDescent="0.25">
      <c r="C1045" s="23"/>
      <c r="D1045" s="23"/>
      <c r="E1045" s="23"/>
      <c r="J1045" s="19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3:26" x14ac:dyDescent="0.25">
      <c r="C1046" s="23"/>
      <c r="D1046" s="23"/>
      <c r="E1046" s="23"/>
      <c r="J1046" s="19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3:26" x14ac:dyDescent="0.25">
      <c r="C1047" s="23"/>
      <c r="D1047" s="23"/>
      <c r="E1047" s="23"/>
      <c r="J1047" s="19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3:26" x14ac:dyDescent="0.25">
      <c r="C1048" s="23"/>
      <c r="D1048" s="23"/>
      <c r="E1048" s="23"/>
      <c r="J1048" s="19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3:26" x14ac:dyDescent="0.25">
      <c r="C1049" s="23"/>
      <c r="D1049" s="23"/>
      <c r="E1049" s="23"/>
      <c r="J1049" s="19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3:26" x14ac:dyDescent="0.25">
      <c r="C1050" s="23"/>
      <c r="D1050" s="23"/>
      <c r="E1050" s="23"/>
      <c r="J1050" s="19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3:26" x14ac:dyDescent="0.25">
      <c r="C1051" s="23"/>
      <c r="D1051" s="23"/>
      <c r="E1051" s="23"/>
      <c r="J1051" s="19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3:26" x14ac:dyDescent="0.25">
      <c r="C1052" s="23"/>
      <c r="D1052" s="23"/>
      <c r="E1052" s="23"/>
      <c r="J1052" s="19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3:26" x14ac:dyDescent="0.25">
      <c r="C1053" s="23"/>
      <c r="D1053" s="23"/>
      <c r="E1053" s="23"/>
      <c r="J1053" s="19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3:26" x14ac:dyDescent="0.25">
      <c r="C1054" s="23"/>
      <c r="D1054" s="23"/>
      <c r="E1054" s="23"/>
      <c r="J1054" s="19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3:26" x14ac:dyDescent="0.25">
      <c r="C1055" s="23"/>
      <c r="D1055" s="23"/>
      <c r="E1055" s="23"/>
      <c r="J1055" s="19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3:26" x14ac:dyDescent="0.25">
      <c r="C1056" s="23"/>
      <c r="D1056" s="23"/>
      <c r="E1056" s="23"/>
      <c r="J1056" s="19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3:26" x14ac:dyDescent="0.25">
      <c r="C1057" s="23"/>
      <c r="D1057" s="23"/>
      <c r="E1057" s="23"/>
      <c r="J1057" s="19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3:26" x14ac:dyDescent="0.25">
      <c r="C1058" s="23"/>
      <c r="D1058" s="23"/>
      <c r="E1058" s="23"/>
      <c r="J1058" s="19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3:26" x14ac:dyDescent="0.25">
      <c r="C1059" s="23"/>
      <c r="D1059" s="23"/>
      <c r="E1059" s="23"/>
      <c r="J1059" s="19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3:26" x14ac:dyDescent="0.25">
      <c r="C1060" s="23"/>
      <c r="D1060" s="23"/>
      <c r="E1060" s="23"/>
      <c r="J1060" s="19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3:26" x14ac:dyDescent="0.25">
      <c r="C1061" s="23"/>
      <c r="D1061" s="23"/>
      <c r="E1061" s="23"/>
      <c r="J1061" s="19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3:26" x14ac:dyDescent="0.25">
      <c r="C1062" s="23"/>
      <c r="D1062" s="23"/>
      <c r="E1062" s="23"/>
      <c r="J1062" s="19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3:26" x14ac:dyDescent="0.25">
      <c r="C1063" s="23"/>
      <c r="D1063" s="23"/>
      <c r="E1063" s="23"/>
      <c r="J1063" s="19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3:26" x14ac:dyDescent="0.25">
      <c r="C1064" s="23"/>
      <c r="D1064" s="23"/>
      <c r="E1064" s="23"/>
      <c r="J1064" s="19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3:26" x14ac:dyDescent="0.25">
      <c r="C1065" s="23"/>
      <c r="D1065" s="23"/>
      <c r="E1065" s="23"/>
      <c r="J1065" s="19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3:26" x14ac:dyDescent="0.25">
      <c r="C1066" s="23"/>
      <c r="D1066" s="23"/>
      <c r="E1066" s="23"/>
      <c r="J1066" s="19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3:26" x14ac:dyDescent="0.25">
      <c r="C1067" s="23"/>
      <c r="D1067" s="23"/>
      <c r="E1067" s="23"/>
      <c r="J1067" s="19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3:26" x14ac:dyDescent="0.25">
      <c r="C1068" s="23"/>
      <c r="D1068" s="23"/>
      <c r="E1068" s="23"/>
      <c r="J1068" s="19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3:26" x14ac:dyDescent="0.25">
      <c r="C1069" s="23"/>
      <c r="D1069" s="23"/>
      <c r="E1069" s="23"/>
      <c r="J1069" s="19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3:26" x14ac:dyDescent="0.25">
      <c r="C1070" s="23"/>
      <c r="D1070" s="23"/>
      <c r="E1070" s="23"/>
      <c r="J1070" s="19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3:26" x14ac:dyDescent="0.25">
      <c r="C1071" s="23"/>
      <c r="D1071" s="23"/>
      <c r="E1071" s="23"/>
      <c r="J1071" s="19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3:26" x14ac:dyDescent="0.25">
      <c r="C1072" s="23"/>
      <c r="D1072" s="23"/>
      <c r="E1072" s="23"/>
      <c r="J1072" s="19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3:26" x14ac:dyDescent="0.25">
      <c r="C1073" s="23"/>
      <c r="D1073" s="23"/>
      <c r="E1073" s="23"/>
      <c r="J1073" s="19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3:26" x14ac:dyDescent="0.25">
      <c r="C1074" s="23"/>
      <c r="D1074" s="23"/>
      <c r="E1074" s="23"/>
      <c r="J1074" s="19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3:26" x14ac:dyDescent="0.25">
      <c r="C1075" s="23"/>
      <c r="D1075" s="23"/>
      <c r="E1075" s="23"/>
      <c r="J1075" s="19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3:26" x14ac:dyDescent="0.25">
      <c r="C1076" s="23"/>
      <c r="D1076" s="23"/>
      <c r="E1076" s="23"/>
      <c r="J1076" s="19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3:26" x14ac:dyDescent="0.25">
      <c r="C1077" s="23"/>
      <c r="D1077" s="23"/>
      <c r="E1077" s="23"/>
      <c r="J1077" s="19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3:26" x14ac:dyDescent="0.25">
      <c r="C1078" s="23"/>
      <c r="D1078" s="23"/>
      <c r="E1078" s="23"/>
      <c r="J1078" s="19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3:26" x14ac:dyDescent="0.25">
      <c r="C1079" s="23"/>
      <c r="D1079" s="23"/>
      <c r="E1079" s="23"/>
      <c r="J1079" s="19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3:26" x14ac:dyDescent="0.25">
      <c r="C1080" s="23"/>
      <c r="D1080" s="23"/>
      <c r="E1080" s="23"/>
      <c r="J1080" s="19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3:26" x14ac:dyDescent="0.25">
      <c r="C1081" s="23"/>
      <c r="D1081" s="23"/>
      <c r="E1081" s="23"/>
      <c r="J1081" s="19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3:26" x14ac:dyDescent="0.25">
      <c r="C1082" s="23"/>
      <c r="D1082" s="23"/>
      <c r="E1082" s="23"/>
      <c r="J1082" s="19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3:26" x14ac:dyDescent="0.25">
      <c r="C1083" s="23"/>
      <c r="D1083" s="23"/>
      <c r="E1083" s="23"/>
      <c r="J1083" s="19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3:26" x14ac:dyDescent="0.25">
      <c r="C1084" s="23"/>
      <c r="D1084" s="23"/>
      <c r="E1084" s="23"/>
      <c r="J1084" s="19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3:26" x14ac:dyDescent="0.25">
      <c r="C1085" s="23"/>
      <c r="D1085" s="23"/>
      <c r="E1085" s="23"/>
      <c r="J1085" s="19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3:26" x14ac:dyDescent="0.25">
      <c r="C1086" s="23"/>
      <c r="D1086" s="23"/>
      <c r="E1086" s="23"/>
      <c r="J1086" s="19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3:26" x14ac:dyDescent="0.25">
      <c r="C1087" s="23"/>
      <c r="D1087" s="23"/>
      <c r="E1087" s="23"/>
      <c r="J1087" s="19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3:26" x14ac:dyDescent="0.25">
      <c r="C1088" s="23"/>
      <c r="D1088" s="23"/>
      <c r="E1088" s="23"/>
      <c r="J1088" s="19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3:26" x14ac:dyDescent="0.25">
      <c r="C1089" s="23"/>
      <c r="D1089" s="23"/>
      <c r="E1089" s="23"/>
      <c r="J1089" s="19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3:26" x14ac:dyDescent="0.25">
      <c r="C1090" s="23"/>
      <c r="D1090" s="23"/>
      <c r="E1090" s="23"/>
      <c r="J1090" s="19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3:26" x14ac:dyDescent="0.25">
      <c r="C1091" s="23"/>
      <c r="D1091" s="23"/>
      <c r="E1091" s="23"/>
      <c r="J1091" s="19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3:26" x14ac:dyDescent="0.25">
      <c r="C1092" s="23"/>
      <c r="D1092" s="23"/>
      <c r="E1092" s="23"/>
      <c r="J1092" s="19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3:26" x14ac:dyDescent="0.25">
      <c r="C1093" s="23"/>
      <c r="D1093" s="23"/>
      <c r="E1093" s="23"/>
      <c r="J1093" s="19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3:26" x14ac:dyDescent="0.25">
      <c r="C1094" s="23"/>
      <c r="D1094" s="23"/>
      <c r="E1094" s="23"/>
      <c r="J1094" s="19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3:26" x14ac:dyDescent="0.25">
      <c r="C1095" s="23"/>
      <c r="D1095" s="23"/>
      <c r="E1095" s="23"/>
      <c r="J1095" s="19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3:26" x14ac:dyDescent="0.25">
      <c r="C1096" s="23"/>
      <c r="D1096" s="23"/>
      <c r="E1096" s="23"/>
      <c r="J1096" s="19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3:26" x14ac:dyDescent="0.25">
      <c r="C1097" s="23"/>
      <c r="D1097" s="23"/>
      <c r="E1097" s="23"/>
      <c r="J1097" s="19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3:26" x14ac:dyDescent="0.25">
      <c r="C1098" s="23"/>
      <c r="D1098" s="23"/>
      <c r="E1098" s="23"/>
      <c r="J1098" s="19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3:26" x14ac:dyDescent="0.25">
      <c r="C1099" s="23"/>
      <c r="D1099" s="23"/>
      <c r="E1099" s="23"/>
      <c r="J1099" s="19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3:26" x14ac:dyDescent="0.25">
      <c r="C1100" s="23"/>
      <c r="D1100" s="23"/>
      <c r="E1100" s="23"/>
      <c r="J1100" s="19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3:26" x14ac:dyDescent="0.25">
      <c r="C1101" s="23"/>
      <c r="D1101" s="23"/>
      <c r="E1101" s="23"/>
      <c r="J1101" s="19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3:26" x14ac:dyDescent="0.25">
      <c r="C1102" s="23"/>
      <c r="D1102" s="23"/>
      <c r="E1102" s="23"/>
      <c r="J1102" s="19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3:26" x14ac:dyDescent="0.25">
      <c r="C1103" s="23"/>
      <c r="D1103" s="23"/>
      <c r="E1103" s="23"/>
      <c r="J1103" s="19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3:26" x14ac:dyDescent="0.25">
      <c r="C1104" s="23"/>
      <c r="D1104" s="23"/>
      <c r="E1104" s="23"/>
      <c r="J1104" s="19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3:26" x14ac:dyDescent="0.25">
      <c r="C1105" s="23"/>
      <c r="D1105" s="23"/>
      <c r="E1105" s="23"/>
      <c r="J1105" s="19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3:26" x14ac:dyDescent="0.25">
      <c r="C1106" s="23"/>
      <c r="D1106" s="23"/>
      <c r="E1106" s="23"/>
      <c r="J1106" s="19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3:26" x14ac:dyDescent="0.25">
      <c r="C1107" s="23"/>
      <c r="D1107" s="23"/>
      <c r="E1107" s="23"/>
      <c r="J1107" s="19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3:26" x14ac:dyDescent="0.25">
      <c r="C1108" s="23"/>
      <c r="D1108" s="23"/>
      <c r="E1108" s="23"/>
      <c r="J1108" s="19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3:26" x14ac:dyDescent="0.25">
      <c r="C1109" s="23"/>
      <c r="D1109" s="23"/>
      <c r="E1109" s="23"/>
      <c r="J1109" s="19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3:26" x14ac:dyDescent="0.25">
      <c r="C1110" s="23"/>
      <c r="D1110" s="23"/>
      <c r="E1110" s="23"/>
      <c r="J1110" s="19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3:26" x14ac:dyDescent="0.25">
      <c r="C1111" s="23"/>
      <c r="D1111" s="23"/>
      <c r="E1111" s="23"/>
      <c r="J1111" s="19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3:26" x14ac:dyDescent="0.25">
      <c r="C1112" s="23"/>
      <c r="D1112" s="23"/>
      <c r="E1112" s="23"/>
      <c r="J1112" s="19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3:26" x14ac:dyDescent="0.25">
      <c r="C1113" s="23"/>
      <c r="D1113" s="23"/>
      <c r="E1113" s="23"/>
      <c r="J1113" s="19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3:26" x14ac:dyDescent="0.25">
      <c r="C1114" s="23"/>
      <c r="D1114" s="23"/>
      <c r="E1114" s="23"/>
      <c r="J1114" s="19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3:26" x14ac:dyDescent="0.25">
      <c r="C1115" s="23"/>
      <c r="D1115" s="23"/>
      <c r="E1115" s="23"/>
      <c r="J1115" s="19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3:26" x14ac:dyDescent="0.25">
      <c r="C1116" s="23"/>
      <c r="D1116" s="23"/>
      <c r="E1116" s="23"/>
      <c r="J1116" s="19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3:26" x14ac:dyDescent="0.25">
      <c r="C1117" s="23"/>
      <c r="D1117" s="23"/>
      <c r="E1117" s="23"/>
      <c r="J1117" s="19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3:26" x14ac:dyDescent="0.25">
      <c r="C1118" s="23"/>
      <c r="D1118" s="23"/>
      <c r="E1118" s="23"/>
      <c r="J1118" s="19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3:26" x14ac:dyDescent="0.25">
      <c r="C1119" s="23"/>
      <c r="D1119" s="23"/>
      <c r="E1119" s="23"/>
      <c r="J1119" s="19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3:26" x14ac:dyDescent="0.25">
      <c r="C1120" s="23"/>
      <c r="D1120" s="23"/>
      <c r="E1120" s="23"/>
      <c r="J1120" s="19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3:26" x14ac:dyDescent="0.25">
      <c r="C1121" s="23"/>
      <c r="D1121" s="23"/>
      <c r="E1121" s="23"/>
      <c r="J1121" s="19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3:26" x14ac:dyDescent="0.25">
      <c r="C1122" s="23"/>
      <c r="D1122" s="23"/>
      <c r="E1122" s="23"/>
      <c r="J1122" s="19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3:26" x14ac:dyDescent="0.25">
      <c r="C1123" s="23"/>
      <c r="D1123" s="23"/>
      <c r="E1123" s="23"/>
      <c r="J1123" s="19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3:26" x14ac:dyDescent="0.25">
      <c r="C1124" s="23"/>
      <c r="D1124" s="23"/>
      <c r="E1124" s="23"/>
      <c r="J1124" s="19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3:26" x14ac:dyDescent="0.25">
      <c r="C1125" s="23"/>
      <c r="D1125" s="23"/>
      <c r="E1125" s="23"/>
      <c r="J1125" s="19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3:26" x14ac:dyDescent="0.25">
      <c r="C1126" s="23"/>
      <c r="D1126" s="23"/>
      <c r="E1126" s="23"/>
      <c r="J1126" s="19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3:26" x14ac:dyDescent="0.25">
      <c r="C1127" s="23"/>
      <c r="D1127" s="23"/>
      <c r="E1127" s="23"/>
      <c r="J1127" s="19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3:26" x14ac:dyDescent="0.25">
      <c r="C1128" s="23"/>
      <c r="D1128" s="23"/>
      <c r="E1128" s="23"/>
      <c r="J1128" s="19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3:26" x14ac:dyDescent="0.25">
      <c r="C1129" s="23"/>
      <c r="D1129" s="23"/>
      <c r="E1129" s="23"/>
      <c r="J1129" s="19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3:26" x14ac:dyDescent="0.25">
      <c r="C1130" s="23"/>
      <c r="D1130" s="23"/>
      <c r="E1130" s="23"/>
      <c r="J1130" s="19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3:26" x14ac:dyDescent="0.25">
      <c r="C1131" s="23"/>
      <c r="D1131" s="23"/>
      <c r="E1131" s="23"/>
      <c r="J1131" s="19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3:26" x14ac:dyDescent="0.25">
      <c r="C1132" s="23"/>
      <c r="D1132" s="23"/>
      <c r="E1132" s="23"/>
      <c r="J1132" s="19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3:26" x14ac:dyDescent="0.25">
      <c r="C1133" s="23"/>
      <c r="D1133" s="23"/>
      <c r="E1133" s="23"/>
      <c r="J1133" s="19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3:26" x14ac:dyDescent="0.25">
      <c r="C1134" s="23"/>
      <c r="D1134" s="23"/>
      <c r="E1134" s="23"/>
      <c r="J1134" s="19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3:26" x14ac:dyDescent="0.25">
      <c r="C1135" s="23"/>
      <c r="D1135" s="23"/>
      <c r="E1135" s="23"/>
      <c r="J1135" s="19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3:26" x14ac:dyDescent="0.25">
      <c r="C1136" s="23"/>
      <c r="D1136" s="23"/>
      <c r="E1136" s="23"/>
      <c r="J1136" s="19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3:26" x14ac:dyDescent="0.25">
      <c r="C1137" s="23"/>
      <c r="D1137" s="23"/>
      <c r="E1137" s="23"/>
      <c r="J1137" s="19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3:26" x14ac:dyDescent="0.25">
      <c r="C1138" s="23"/>
      <c r="D1138" s="23"/>
      <c r="E1138" s="23"/>
      <c r="J1138" s="19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3:26" x14ac:dyDescent="0.25">
      <c r="C1139" s="23"/>
      <c r="D1139" s="23"/>
      <c r="E1139" s="23"/>
      <c r="J1139" s="19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3:26" x14ac:dyDescent="0.25">
      <c r="C1140" s="23"/>
      <c r="D1140" s="23"/>
      <c r="E1140" s="23"/>
      <c r="J1140" s="19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3:26" x14ac:dyDescent="0.25">
      <c r="C1141" s="23"/>
      <c r="D1141" s="23"/>
      <c r="E1141" s="23"/>
      <c r="J1141" s="19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3:26" x14ac:dyDescent="0.25">
      <c r="C1142" s="23"/>
      <c r="D1142" s="23"/>
      <c r="E1142" s="23"/>
      <c r="J1142" s="19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3:26" x14ac:dyDescent="0.25">
      <c r="C1143" s="23"/>
      <c r="D1143" s="23"/>
      <c r="E1143" s="23"/>
      <c r="J1143" s="19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3:26" x14ac:dyDescent="0.25">
      <c r="C1144" s="23"/>
      <c r="D1144" s="23"/>
      <c r="E1144" s="23"/>
      <c r="J1144" s="19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3:26" x14ac:dyDescent="0.25">
      <c r="C1145" s="23"/>
      <c r="D1145" s="23"/>
      <c r="E1145" s="23"/>
      <c r="J1145" s="19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3:26" x14ac:dyDescent="0.25">
      <c r="C1146" s="23"/>
      <c r="D1146" s="23"/>
      <c r="E1146" s="23"/>
      <c r="J1146" s="19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3:26" x14ac:dyDescent="0.25">
      <c r="C1147" s="23"/>
      <c r="D1147" s="23"/>
      <c r="E1147" s="23"/>
      <c r="J1147" s="19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3:26" x14ac:dyDescent="0.25">
      <c r="C1148" s="23"/>
      <c r="D1148" s="23"/>
      <c r="E1148" s="23"/>
      <c r="J1148" s="19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3:26" x14ac:dyDescent="0.25">
      <c r="C1149" s="23"/>
      <c r="D1149" s="23"/>
      <c r="E1149" s="23"/>
      <c r="J1149" s="19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3:26" x14ac:dyDescent="0.25">
      <c r="C1150" s="23"/>
      <c r="D1150" s="23"/>
      <c r="E1150" s="23"/>
      <c r="J1150" s="19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3:26" x14ac:dyDescent="0.25">
      <c r="C1151" s="23"/>
      <c r="D1151" s="23"/>
      <c r="E1151" s="23"/>
      <c r="J1151" s="19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3:26" x14ac:dyDescent="0.25">
      <c r="C1152" s="23"/>
      <c r="D1152" s="23"/>
      <c r="E1152" s="23"/>
      <c r="J1152" s="19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3:26" x14ac:dyDescent="0.25">
      <c r="C1153" s="23"/>
      <c r="D1153" s="23"/>
      <c r="E1153" s="23"/>
      <c r="J1153" s="19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3:26" x14ac:dyDescent="0.25">
      <c r="C1154" s="23"/>
      <c r="D1154" s="23"/>
      <c r="E1154" s="23"/>
      <c r="J1154" s="19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3:26" x14ac:dyDescent="0.25">
      <c r="C1155" s="23"/>
      <c r="D1155" s="23"/>
      <c r="E1155" s="23"/>
      <c r="J1155" s="19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3:26" x14ac:dyDescent="0.25">
      <c r="C1156" s="23"/>
      <c r="D1156" s="23"/>
      <c r="E1156" s="23"/>
      <c r="J1156" s="19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3:26" x14ac:dyDescent="0.25">
      <c r="C1157" s="23"/>
      <c r="D1157" s="23"/>
      <c r="E1157" s="23"/>
      <c r="J1157" s="19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3:26" x14ac:dyDescent="0.25">
      <c r="C1158" s="23"/>
      <c r="D1158" s="23"/>
      <c r="E1158" s="23"/>
      <c r="J1158" s="19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3:26" x14ac:dyDescent="0.25">
      <c r="C1159" s="23"/>
      <c r="D1159" s="23"/>
      <c r="E1159" s="23"/>
      <c r="J1159" s="19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3:26" x14ac:dyDescent="0.25">
      <c r="C1160" s="23"/>
      <c r="D1160" s="23"/>
      <c r="E1160" s="23"/>
      <c r="J1160" s="19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3:26" x14ac:dyDescent="0.25">
      <c r="C1161" s="23"/>
      <c r="D1161" s="23"/>
      <c r="E1161" s="23"/>
      <c r="J1161" s="19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3:26" x14ac:dyDescent="0.25">
      <c r="C1162" s="23"/>
      <c r="D1162" s="23"/>
      <c r="E1162" s="23"/>
      <c r="J1162" s="19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3:26" x14ac:dyDescent="0.25">
      <c r="C1163" s="23"/>
      <c r="D1163" s="23"/>
      <c r="E1163" s="23"/>
      <c r="J1163" s="19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3:26" x14ac:dyDescent="0.25">
      <c r="C1164" s="23"/>
      <c r="D1164" s="23"/>
      <c r="E1164" s="23"/>
      <c r="J1164" s="19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3:26" x14ac:dyDescent="0.25">
      <c r="C1165" s="23"/>
      <c r="D1165" s="23"/>
      <c r="E1165" s="23"/>
      <c r="J1165" s="19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3:26" x14ac:dyDescent="0.25">
      <c r="C1166" s="23"/>
      <c r="D1166" s="23"/>
      <c r="E1166" s="23"/>
      <c r="J1166" s="19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3:26" x14ac:dyDescent="0.25">
      <c r="C1167" s="23"/>
      <c r="D1167" s="23"/>
      <c r="E1167" s="23"/>
      <c r="J1167" s="19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3:26" x14ac:dyDescent="0.25">
      <c r="C1168" s="23"/>
      <c r="D1168" s="23"/>
      <c r="E1168" s="23"/>
      <c r="J1168" s="19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3:26" x14ac:dyDescent="0.25">
      <c r="C1169" s="23"/>
      <c r="D1169" s="23"/>
      <c r="E1169" s="23"/>
      <c r="J1169" s="19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3:26" x14ac:dyDescent="0.25">
      <c r="C1170" s="23"/>
      <c r="D1170" s="23"/>
      <c r="E1170" s="23"/>
      <c r="J1170" s="19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3:26" x14ac:dyDescent="0.25">
      <c r="C1171" s="23"/>
      <c r="D1171" s="23"/>
      <c r="E1171" s="23"/>
      <c r="J1171" s="19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3:26" x14ac:dyDescent="0.25">
      <c r="C1172" s="23"/>
      <c r="D1172" s="23"/>
      <c r="E1172" s="23"/>
      <c r="J1172" s="19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3:26" x14ac:dyDescent="0.25">
      <c r="C1173" s="23"/>
      <c r="D1173" s="23"/>
      <c r="E1173" s="23"/>
      <c r="J1173" s="19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3:26" x14ac:dyDescent="0.25">
      <c r="C1174" s="23"/>
      <c r="D1174" s="23"/>
      <c r="E1174" s="23"/>
      <c r="J1174" s="19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3:26" x14ac:dyDescent="0.25">
      <c r="C1175" s="23"/>
      <c r="D1175" s="23"/>
      <c r="E1175" s="23"/>
      <c r="J1175" s="19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3:26" x14ac:dyDescent="0.25">
      <c r="C1176" s="23"/>
      <c r="D1176" s="23"/>
      <c r="E1176" s="23"/>
      <c r="J1176" s="19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3:26" x14ac:dyDescent="0.25">
      <c r="C1177" s="23"/>
      <c r="D1177" s="23"/>
      <c r="E1177" s="23"/>
      <c r="J1177" s="19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3:26" x14ac:dyDescent="0.25">
      <c r="C1178" s="23"/>
      <c r="D1178" s="23"/>
      <c r="E1178" s="23"/>
      <c r="J1178" s="19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3:26" x14ac:dyDescent="0.25">
      <c r="C1179" s="23"/>
      <c r="D1179" s="23"/>
      <c r="E1179" s="23"/>
      <c r="J1179" s="19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3:26" x14ac:dyDescent="0.25">
      <c r="C1180" s="23"/>
      <c r="D1180" s="23"/>
      <c r="E1180" s="23"/>
      <c r="J1180" s="19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3:26" x14ac:dyDescent="0.25">
      <c r="C1181" s="23"/>
      <c r="D1181" s="23"/>
      <c r="E1181" s="23"/>
      <c r="J1181" s="19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3:26" x14ac:dyDescent="0.25">
      <c r="C1182" s="23"/>
      <c r="D1182" s="23"/>
      <c r="E1182" s="23"/>
      <c r="J1182" s="19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3:26" x14ac:dyDescent="0.25">
      <c r="C1183" s="23"/>
      <c r="D1183" s="23"/>
      <c r="E1183" s="23"/>
      <c r="J1183" s="19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3:26" x14ac:dyDescent="0.25">
      <c r="C1184" s="23"/>
      <c r="D1184" s="23"/>
      <c r="E1184" s="23"/>
      <c r="J1184" s="19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3:26" x14ac:dyDescent="0.25">
      <c r="C1185" s="23"/>
      <c r="D1185" s="23"/>
      <c r="E1185" s="23"/>
      <c r="J1185" s="19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3:26" x14ac:dyDescent="0.25">
      <c r="C1186" s="23"/>
      <c r="D1186" s="23"/>
      <c r="E1186" s="23"/>
      <c r="J1186" s="19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3:26" x14ac:dyDescent="0.25">
      <c r="C1187" s="23"/>
      <c r="D1187" s="23"/>
      <c r="E1187" s="23"/>
      <c r="J1187" s="19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3:26" x14ac:dyDescent="0.25">
      <c r="C1188" s="23"/>
      <c r="D1188" s="23"/>
      <c r="E1188" s="23"/>
      <c r="J1188" s="19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3:26" x14ac:dyDescent="0.25">
      <c r="C1189" s="23"/>
      <c r="D1189" s="23"/>
      <c r="E1189" s="23"/>
      <c r="J1189" s="19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3:26" x14ac:dyDescent="0.25">
      <c r="C1190" s="23"/>
      <c r="D1190" s="23"/>
      <c r="E1190" s="23"/>
      <c r="J1190" s="19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3:26" x14ac:dyDescent="0.25">
      <c r="C1191" s="23"/>
      <c r="D1191" s="23"/>
      <c r="E1191" s="23"/>
      <c r="J1191" s="19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3:26" x14ac:dyDescent="0.25">
      <c r="C1192" s="23"/>
      <c r="D1192" s="23"/>
      <c r="E1192" s="23"/>
      <c r="J1192" s="19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3:26" x14ac:dyDescent="0.25">
      <c r="C1193" s="23"/>
      <c r="D1193" s="23"/>
      <c r="E1193" s="23"/>
      <c r="J1193" s="19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3:26" x14ac:dyDescent="0.25">
      <c r="C1194" s="23"/>
      <c r="D1194" s="23"/>
      <c r="E1194" s="23"/>
      <c r="J1194" s="19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3:26" x14ac:dyDescent="0.25">
      <c r="C1195" s="23"/>
      <c r="D1195" s="23"/>
      <c r="E1195" s="23"/>
      <c r="J1195" s="19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3:26" x14ac:dyDescent="0.25">
      <c r="C1196" s="23"/>
      <c r="D1196" s="23"/>
      <c r="E1196" s="23"/>
      <c r="J1196" s="19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3:26" x14ac:dyDescent="0.25">
      <c r="C1197" s="23"/>
      <c r="D1197" s="23"/>
      <c r="E1197" s="23"/>
      <c r="J1197" s="19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3:26" x14ac:dyDescent="0.25">
      <c r="C1198" s="23"/>
      <c r="D1198" s="23"/>
      <c r="E1198" s="23"/>
      <c r="J1198" s="19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3:26" x14ac:dyDescent="0.25">
      <c r="C1199" s="23"/>
      <c r="D1199" s="23"/>
      <c r="E1199" s="23"/>
      <c r="J1199" s="19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3:26" x14ac:dyDescent="0.25">
      <c r="C1200" s="23"/>
      <c r="D1200" s="23"/>
      <c r="E1200" s="23"/>
      <c r="J1200" s="19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3:26" x14ac:dyDescent="0.25">
      <c r="C1201" s="23"/>
      <c r="D1201" s="23"/>
      <c r="E1201" s="23"/>
      <c r="J1201" s="19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3:26" x14ac:dyDescent="0.25">
      <c r="C1202" s="23"/>
      <c r="D1202" s="23"/>
      <c r="E1202" s="23"/>
      <c r="J1202" s="19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3:26" x14ac:dyDescent="0.25">
      <c r="C1203" s="23"/>
      <c r="D1203" s="23"/>
      <c r="E1203" s="23"/>
      <c r="J1203" s="19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3:26" x14ac:dyDescent="0.25">
      <c r="C1204" s="23"/>
      <c r="D1204" s="23"/>
      <c r="E1204" s="23"/>
      <c r="J1204" s="19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3:26" x14ac:dyDescent="0.25">
      <c r="C1205" s="23"/>
      <c r="D1205" s="23"/>
      <c r="E1205" s="23"/>
      <c r="J1205" s="19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3:26" x14ac:dyDescent="0.25">
      <c r="C1206" s="23"/>
      <c r="D1206" s="23"/>
      <c r="E1206" s="23"/>
      <c r="J1206" s="19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3:26" x14ac:dyDescent="0.25">
      <c r="C1207" s="23"/>
      <c r="D1207" s="23"/>
      <c r="E1207" s="23"/>
      <c r="J1207" s="19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3:26" x14ac:dyDescent="0.25">
      <c r="C1208" s="23"/>
      <c r="D1208" s="23"/>
      <c r="E1208" s="23"/>
      <c r="J1208" s="19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3:26" x14ac:dyDescent="0.25">
      <c r="C1209" s="23"/>
      <c r="D1209" s="23"/>
      <c r="E1209" s="23"/>
      <c r="J1209" s="19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3:26" x14ac:dyDescent="0.25">
      <c r="C1210" s="23"/>
      <c r="D1210" s="23"/>
      <c r="E1210" s="23"/>
      <c r="J1210" s="19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3:26" x14ac:dyDescent="0.25">
      <c r="C1211" s="23"/>
      <c r="D1211" s="23"/>
      <c r="E1211" s="23"/>
      <c r="J1211" s="19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3:26" x14ac:dyDescent="0.25">
      <c r="C1212" s="23"/>
      <c r="D1212" s="23"/>
      <c r="E1212" s="23"/>
      <c r="J1212" s="19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3:26" x14ac:dyDescent="0.25">
      <c r="C1213" s="23"/>
      <c r="D1213" s="23"/>
      <c r="E1213" s="23"/>
      <c r="J1213" s="19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3:26" x14ac:dyDescent="0.25">
      <c r="C1214" s="23"/>
      <c r="D1214" s="23"/>
      <c r="E1214" s="23"/>
      <c r="J1214" s="19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3:26" x14ac:dyDescent="0.25">
      <c r="C1215" s="23"/>
      <c r="D1215" s="23"/>
      <c r="E1215" s="23"/>
      <c r="J1215" s="19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3:26" x14ac:dyDescent="0.25">
      <c r="C1216" s="23"/>
      <c r="D1216" s="23"/>
      <c r="E1216" s="23"/>
      <c r="J1216" s="19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3:26" x14ac:dyDescent="0.25">
      <c r="C1217" s="23"/>
      <c r="D1217" s="23"/>
      <c r="E1217" s="23"/>
      <c r="J1217" s="19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3:26" x14ac:dyDescent="0.25">
      <c r="C1218" s="23"/>
      <c r="D1218" s="23"/>
      <c r="E1218" s="23"/>
      <c r="J1218" s="19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3:26" x14ac:dyDescent="0.25">
      <c r="C1219" s="23"/>
      <c r="D1219" s="23"/>
      <c r="E1219" s="23"/>
      <c r="J1219" s="19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3:26" x14ac:dyDescent="0.25">
      <c r="C1220" s="23"/>
      <c r="D1220" s="23"/>
      <c r="E1220" s="23"/>
      <c r="J1220" s="19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3:26" x14ac:dyDescent="0.25">
      <c r="C1221" s="23"/>
      <c r="D1221" s="23"/>
      <c r="E1221" s="23"/>
      <c r="J1221" s="19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3:26" x14ac:dyDescent="0.25">
      <c r="C1222" s="23"/>
      <c r="D1222" s="23"/>
      <c r="E1222" s="23"/>
      <c r="J1222" s="19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3:26" x14ac:dyDescent="0.25">
      <c r="C1223" s="23"/>
      <c r="D1223" s="23"/>
      <c r="E1223" s="23"/>
      <c r="J1223" s="19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3:26" x14ac:dyDescent="0.25">
      <c r="C1224" s="23"/>
      <c r="D1224" s="23"/>
      <c r="E1224" s="23"/>
      <c r="J1224" s="19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3:26" x14ac:dyDescent="0.25">
      <c r="C1225" s="23"/>
      <c r="D1225" s="23"/>
      <c r="E1225" s="23"/>
      <c r="J1225" s="19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3:26" x14ac:dyDescent="0.25">
      <c r="C1226" s="23"/>
      <c r="D1226" s="23"/>
      <c r="E1226" s="23"/>
      <c r="J1226" s="19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3:26" x14ac:dyDescent="0.25">
      <c r="C1227" s="23"/>
      <c r="D1227" s="23"/>
      <c r="E1227" s="23"/>
      <c r="J1227" s="19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3:26" x14ac:dyDescent="0.25">
      <c r="C1228" s="23"/>
      <c r="D1228" s="23"/>
      <c r="E1228" s="23"/>
      <c r="J1228" s="19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3:26" x14ac:dyDescent="0.25">
      <c r="C1229" s="23"/>
      <c r="D1229" s="23"/>
      <c r="E1229" s="23"/>
      <c r="J1229" s="19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3:26" x14ac:dyDescent="0.25">
      <c r="C1230" s="23"/>
      <c r="D1230" s="23"/>
      <c r="E1230" s="23"/>
      <c r="J1230" s="19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3:26" x14ac:dyDescent="0.25">
      <c r="C1231" s="23"/>
      <c r="D1231" s="23"/>
      <c r="E1231" s="23"/>
      <c r="J1231" s="19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3:26" x14ac:dyDescent="0.25">
      <c r="C1232" s="23"/>
      <c r="D1232" s="23"/>
      <c r="E1232" s="23"/>
      <c r="J1232" s="19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3:26" x14ac:dyDescent="0.25">
      <c r="C1233" s="23"/>
      <c r="D1233" s="23"/>
      <c r="E1233" s="23"/>
      <c r="J1233" s="19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3:26" x14ac:dyDescent="0.25">
      <c r="C1234" s="23"/>
      <c r="D1234" s="23"/>
      <c r="E1234" s="23"/>
      <c r="J1234" s="19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3:26" x14ac:dyDescent="0.25">
      <c r="C1235" s="23"/>
      <c r="D1235" s="23"/>
      <c r="E1235" s="23"/>
      <c r="J1235" s="19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3:26" x14ac:dyDescent="0.25">
      <c r="C1236" s="23"/>
      <c r="D1236" s="23"/>
      <c r="E1236" s="23"/>
      <c r="J1236" s="19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3:26" x14ac:dyDescent="0.25">
      <c r="C1237" s="23"/>
      <c r="D1237" s="23"/>
      <c r="E1237" s="23"/>
      <c r="J1237" s="19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3:26" x14ac:dyDescent="0.25">
      <c r="C1238" s="23"/>
      <c r="D1238" s="23"/>
      <c r="E1238" s="23"/>
      <c r="J1238" s="19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3:26" x14ac:dyDescent="0.25">
      <c r="C1239" s="23"/>
      <c r="D1239" s="23"/>
      <c r="E1239" s="23"/>
      <c r="J1239" s="19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3:26" x14ac:dyDescent="0.25">
      <c r="C1240" s="23"/>
      <c r="D1240" s="23"/>
      <c r="E1240" s="23"/>
      <c r="J1240" s="19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3:26" x14ac:dyDescent="0.25">
      <c r="C1241" s="23"/>
      <c r="D1241" s="23"/>
      <c r="E1241" s="23"/>
      <c r="J1241" s="19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3:26" x14ac:dyDescent="0.25">
      <c r="C1242" s="23"/>
      <c r="D1242" s="23"/>
      <c r="E1242" s="23"/>
      <c r="J1242" s="19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3:26" x14ac:dyDescent="0.25">
      <c r="C1243" s="23"/>
      <c r="D1243" s="23"/>
      <c r="E1243" s="23"/>
      <c r="J1243" s="19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3:26" x14ac:dyDescent="0.25">
      <c r="C1244" s="23"/>
      <c r="D1244" s="23"/>
      <c r="E1244" s="23"/>
      <c r="J1244" s="19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3:26" x14ac:dyDescent="0.25">
      <c r="C1245" s="23"/>
      <c r="D1245" s="23"/>
      <c r="E1245" s="23"/>
      <c r="J1245" s="19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3:26" x14ac:dyDescent="0.25">
      <c r="C1246" s="23"/>
      <c r="D1246" s="23"/>
      <c r="E1246" s="23"/>
      <c r="J1246" s="19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3:26" x14ac:dyDescent="0.25">
      <c r="C1247" s="23"/>
      <c r="D1247" s="23"/>
      <c r="E1247" s="23"/>
      <c r="J1247" s="19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3:26" x14ac:dyDescent="0.25">
      <c r="C1248" s="23"/>
      <c r="D1248" s="23"/>
      <c r="E1248" s="23"/>
      <c r="J1248" s="19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3:26" x14ac:dyDescent="0.25">
      <c r="C1249" s="23"/>
      <c r="D1249" s="23"/>
      <c r="E1249" s="23"/>
      <c r="J1249" s="19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3:26" x14ac:dyDescent="0.25">
      <c r="C1250" s="23"/>
      <c r="D1250" s="23"/>
      <c r="E1250" s="23"/>
      <c r="J1250" s="19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3:26" x14ac:dyDescent="0.25">
      <c r="C1251" s="23"/>
      <c r="D1251" s="23"/>
      <c r="E1251" s="23"/>
      <c r="J1251" s="19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3:26" x14ac:dyDescent="0.25">
      <c r="C1252" s="23"/>
      <c r="D1252" s="23"/>
      <c r="E1252" s="23"/>
      <c r="J1252" s="19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3:26" x14ac:dyDescent="0.25">
      <c r="C1253" s="23"/>
      <c r="D1253" s="23"/>
      <c r="E1253" s="23"/>
      <c r="J1253" s="19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3:26" x14ac:dyDescent="0.25">
      <c r="C1254" s="23"/>
      <c r="D1254" s="23"/>
      <c r="E1254" s="23"/>
      <c r="J1254" s="19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3:26" x14ac:dyDescent="0.25">
      <c r="C1255" s="23"/>
      <c r="D1255" s="23"/>
      <c r="E1255" s="23"/>
      <c r="J1255" s="19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3:26" x14ac:dyDescent="0.25">
      <c r="C1256" s="23"/>
      <c r="D1256" s="23"/>
      <c r="E1256" s="23"/>
      <c r="J1256" s="19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3:26" x14ac:dyDescent="0.25">
      <c r="C1257" s="23"/>
      <c r="D1257" s="23"/>
      <c r="E1257" s="23"/>
      <c r="J1257" s="19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3:26" x14ac:dyDescent="0.25">
      <c r="C1258" s="23"/>
      <c r="D1258" s="23"/>
      <c r="E1258" s="23"/>
      <c r="J1258" s="19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3:26" x14ac:dyDescent="0.25">
      <c r="C1259" s="23"/>
      <c r="D1259" s="23"/>
      <c r="E1259" s="23"/>
      <c r="J1259" s="19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3:26" x14ac:dyDescent="0.25">
      <c r="C1260" s="23"/>
      <c r="D1260" s="23"/>
      <c r="E1260" s="23"/>
      <c r="J1260" s="19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3:26" x14ac:dyDescent="0.25">
      <c r="C1261" s="23"/>
      <c r="D1261" s="23"/>
      <c r="E1261" s="23"/>
      <c r="J1261" s="19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3:26" x14ac:dyDescent="0.25">
      <c r="C1262" s="23"/>
      <c r="D1262" s="23"/>
      <c r="E1262" s="23"/>
      <c r="J1262" s="19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3:26" x14ac:dyDescent="0.25">
      <c r="C1263" s="23"/>
      <c r="D1263" s="23"/>
      <c r="E1263" s="23"/>
      <c r="J1263" s="19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3:26" x14ac:dyDescent="0.25">
      <c r="C1264" s="23"/>
      <c r="D1264" s="23"/>
      <c r="E1264" s="23"/>
      <c r="J1264" s="19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3:26" x14ac:dyDescent="0.25">
      <c r="C1265" s="23"/>
      <c r="D1265" s="23"/>
      <c r="E1265" s="23"/>
      <c r="J1265" s="19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3:26" x14ac:dyDescent="0.25">
      <c r="C1266" s="23"/>
      <c r="D1266" s="23"/>
      <c r="E1266" s="23"/>
      <c r="J1266" s="19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3:26" x14ac:dyDescent="0.25">
      <c r="C1267" s="23"/>
      <c r="D1267" s="23"/>
      <c r="E1267" s="23"/>
      <c r="J1267" s="19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3:26" x14ac:dyDescent="0.25">
      <c r="C1268" s="23"/>
      <c r="D1268" s="23"/>
      <c r="E1268" s="23"/>
      <c r="J1268" s="19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3:26" x14ac:dyDescent="0.25">
      <c r="C1269" s="23"/>
      <c r="D1269" s="23"/>
      <c r="E1269" s="23"/>
      <c r="J1269" s="19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3:26" x14ac:dyDescent="0.25">
      <c r="C1270" s="23"/>
      <c r="D1270" s="23"/>
      <c r="E1270" s="23"/>
      <c r="J1270" s="19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3:26" x14ac:dyDescent="0.25">
      <c r="C1271" s="23"/>
      <c r="D1271" s="23"/>
      <c r="E1271" s="23"/>
      <c r="J1271" s="19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3:26" x14ac:dyDescent="0.25">
      <c r="C1272" s="23"/>
      <c r="D1272" s="23"/>
      <c r="E1272" s="23"/>
      <c r="J1272" s="19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3:26" x14ac:dyDescent="0.25">
      <c r="C1273" s="23"/>
      <c r="D1273" s="23"/>
      <c r="E1273" s="23"/>
      <c r="J1273" s="19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3:26" x14ac:dyDescent="0.25">
      <c r="C1274" s="23"/>
      <c r="D1274" s="23"/>
      <c r="E1274" s="23"/>
      <c r="J1274" s="19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3:26" x14ac:dyDescent="0.25">
      <c r="C1275" s="23"/>
      <c r="D1275" s="23"/>
      <c r="E1275" s="23"/>
      <c r="J1275" s="19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3:26" x14ac:dyDescent="0.25">
      <c r="C1276" s="23"/>
      <c r="D1276" s="23"/>
      <c r="E1276" s="23"/>
      <c r="J1276" s="19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3:26" x14ac:dyDescent="0.25">
      <c r="C1277" s="23"/>
      <c r="D1277" s="23"/>
      <c r="E1277" s="23"/>
      <c r="J1277" s="19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3:26" x14ac:dyDescent="0.25">
      <c r="C1278" s="23"/>
      <c r="D1278" s="23"/>
      <c r="E1278" s="23"/>
      <c r="J1278" s="19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3:26" x14ac:dyDescent="0.25">
      <c r="C1279" s="23"/>
      <c r="D1279" s="23"/>
      <c r="E1279" s="23"/>
      <c r="J1279" s="19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3:26" x14ac:dyDescent="0.25">
      <c r="C1280" s="23"/>
      <c r="D1280" s="23"/>
      <c r="E1280" s="23"/>
      <c r="J1280" s="19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3:26" x14ac:dyDescent="0.25">
      <c r="C1281" s="23"/>
      <c r="D1281" s="23"/>
      <c r="E1281" s="23"/>
      <c r="J1281" s="19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3:26" x14ac:dyDescent="0.25">
      <c r="C1282" s="23"/>
      <c r="D1282" s="23"/>
      <c r="E1282" s="23"/>
      <c r="J1282" s="19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3:26" x14ac:dyDescent="0.25">
      <c r="C1283" s="23"/>
      <c r="D1283" s="23"/>
      <c r="E1283" s="23"/>
      <c r="J1283" s="19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3:26" x14ac:dyDescent="0.25">
      <c r="C1284" s="23"/>
      <c r="D1284" s="23"/>
      <c r="E1284" s="23"/>
      <c r="J1284" s="19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3:26" x14ac:dyDescent="0.25">
      <c r="C1285" s="23"/>
      <c r="D1285" s="23"/>
      <c r="E1285" s="23"/>
      <c r="J1285" s="19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3:26" x14ac:dyDescent="0.25">
      <c r="C1286" s="23"/>
      <c r="D1286" s="23"/>
      <c r="E1286" s="23"/>
      <c r="J1286" s="19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3:26" x14ac:dyDescent="0.25">
      <c r="C1287" s="23"/>
      <c r="D1287" s="23"/>
      <c r="E1287" s="23"/>
      <c r="J1287" s="19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3:26" x14ac:dyDescent="0.25">
      <c r="C1288" s="23"/>
      <c r="D1288" s="23"/>
      <c r="E1288" s="23"/>
      <c r="J1288" s="19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3:26" x14ac:dyDescent="0.25">
      <c r="C1289" s="23"/>
      <c r="D1289" s="23"/>
      <c r="E1289" s="23"/>
      <c r="J1289" s="19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3:26" x14ac:dyDescent="0.25">
      <c r="C1290" s="23"/>
      <c r="D1290" s="23"/>
      <c r="E1290" s="23"/>
      <c r="J1290" s="19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3:26" x14ac:dyDescent="0.25">
      <c r="C1291" s="23"/>
      <c r="D1291" s="23"/>
      <c r="E1291" s="23"/>
      <c r="J1291" s="19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3:26" x14ac:dyDescent="0.25">
      <c r="C1292" s="23"/>
      <c r="D1292" s="23"/>
      <c r="E1292" s="23"/>
      <c r="J1292" s="19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3:26" x14ac:dyDescent="0.25">
      <c r="C1293" s="23"/>
      <c r="D1293" s="23"/>
      <c r="E1293" s="23"/>
      <c r="J1293" s="19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3:26" x14ac:dyDescent="0.25">
      <c r="C1294" s="23"/>
      <c r="D1294" s="23"/>
      <c r="E1294" s="23"/>
      <c r="J1294" s="19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3:26" x14ac:dyDescent="0.25">
      <c r="C1295" s="23"/>
      <c r="D1295" s="23"/>
      <c r="E1295" s="23"/>
      <c r="J1295" s="19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3:26" x14ac:dyDescent="0.25">
      <c r="C1296" s="23"/>
      <c r="D1296" s="23"/>
      <c r="E1296" s="23"/>
      <c r="J1296" s="19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3:26" x14ac:dyDescent="0.25">
      <c r="C1297" s="23"/>
      <c r="D1297" s="23"/>
      <c r="E1297" s="23"/>
      <c r="J1297" s="19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3:26" x14ac:dyDescent="0.25">
      <c r="C1298" s="23"/>
      <c r="D1298" s="23"/>
      <c r="E1298" s="23"/>
      <c r="J1298" s="19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3:26" x14ac:dyDescent="0.25">
      <c r="C1299" s="23"/>
      <c r="D1299" s="23"/>
      <c r="E1299" s="23"/>
      <c r="J1299" s="19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3:26" x14ac:dyDescent="0.25">
      <c r="C1300" s="23"/>
      <c r="D1300" s="23"/>
      <c r="E1300" s="23"/>
      <c r="J1300" s="19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3:26" x14ac:dyDescent="0.25">
      <c r="C1301" s="23"/>
      <c r="D1301" s="23"/>
      <c r="E1301" s="23"/>
      <c r="J1301" s="19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3:26" x14ac:dyDescent="0.25">
      <c r="C1302" s="23"/>
      <c r="D1302" s="23"/>
      <c r="E1302" s="23"/>
      <c r="J1302" s="19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3:26" x14ac:dyDescent="0.25">
      <c r="C1303" s="23"/>
      <c r="D1303" s="23"/>
      <c r="E1303" s="23"/>
      <c r="J1303" s="19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3:26" x14ac:dyDescent="0.25">
      <c r="C1304" s="23"/>
      <c r="D1304" s="23"/>
      <c r="E1304" s="23"/>
      <c r="J1304" s="19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3:26" x14ac:dyDescent="0.25">
      <c r="C1305" s="23"/>
      <c r="D1305" s="23"/>
      <c r="E1305" s="23"/>
      <c r="J1305" s="19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3:26" x14ac:dyDescent="0.25">
      <c r="C1306" s="23"/>
      <c r="D1306" s="23"/>
      <c r="E1306" s="23"/>
      <c r="J1306" s="19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3:26" x14ac:dyDescent="0.25">
      <c r="C1307" s="23"/>
      <c r="D1307" s="23"/>
      <c r="E1307" s="23"/>
      <c r="J1307" s="19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3:26" x14ac:dyDescent="0.25">
      <c r="C1308" s="23"/>
      <c r="D1308" s="23"/>
      <c r="E1308" s="23"/>
      <c r="J1308" s="19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3:26" x14ac:dyDescent="0.25">
      <c r="C1309" s="23"/>
      <c r="D1309" s="23"/>
      <c r="E1309" s="23"/>
      <c r="J1309" s="19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3:26" x14ac:dyDescent="0.25">
      <c r="C1310" s="23"/>
      <c r="D1310" s="23"/>
      <c r="E1310" s="23"/>
      <c r="J1310" s="19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3:26" x14ac:dyDescent="0.25">
      <c r="C1311" s="23"/>
      <c r="D1311" s="23"/>
      <c r="E1311" s="23"/>
      <c r="J1311" s="19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3:26" x14ac:dyDescent="0.25">
      <c r="C1312" s="23"/>
      <c r="D1312" s="23"/>
      <c r="E1312" s="23"/>
      <c r="J1312" s="19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3:26" x14ac:dyDescent="0.25">
      <c r="C1313" s="23"/>
      <c r="D1313" s="23"/>
      <c r="E1313" s="23"/>
      <c r="J1313" s="19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3:26" x14ac:dyDescent="0.25">
      <c r="C1314" s="23"/>
      <c r="D1314" s="23"/>
      <c r="E1314" s="23"/>
      <c r="J1314" s="19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3:26" x14ac:dyDescent="0.25">
      <c r="C1315" s="23"/>
      <c r="D1315" s="23"/>
      <c r="E1315" s="23"/>
      <c r="J1315" s="19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3:26" x14ac:dyDescent="0.25">
      <c r="C1316" s="23"/>
      <c r="D1316" s="23"/>
      <c r="E1316" s="23"/>
      <c r="J1316" s="19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3:26" x14ac:dyDescent="0.25">
      <c r="C1317" s="23"/>
      <c r="D1317" s="23"/>
      <c r="E1317" s="23"/>
      <c r="J1317" s="19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3:26" x14ac:dyDescent="0.25">
      <c r="C1318" s="23"/>
      <c r="D1318" s="23"/>
      <c r="E1318" s="23"/>
      <c r="J1318" s="19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3:26" x14ac:dyDescent="0.25">
      <c r="C1319" s="23"/>
      <c r="D1319" s="23"/>
      <c r="E1319" s="23"/>
      <c r="J1319" s="19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3:26" x14ac:dyDescent="0.25">
      <c r="C1320" s="23"/>
      <c r="D1320" s="23"/>
      <c r="E1320" s="23"/>
      <c r="J1320" s="19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3:26" x14ac:dyDescent="0.25">
      <c r="C1321" s="23"/>
      <c r="D1321" s="23"/>
      <c r="E1321" s="23"/>
      <c r="J1321" s="19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3:26" x14ac:dyDescent="0.25">
      <c r="C1322" s="23"/>
      <c r="D1322" s="23"/>
      <c r="E1322" s="23"/>
      <c r="J1322" s="19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3:26" x14ac:dyDescent="0.25">
      <c r="C1323" s="23"/>
      <c r="D1323" s="23"/>
      <c r="E1323" s="23"/>
      <c r="J1323" s="19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3:26" x14ac:dyDescent="0.25">
      <c r="C1324" s="23"/>
      <c r="D1324" s="23"/>
      <c r="E1324" s="23"/>
      <c r="J1324" s="19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3:26" x14ac:dyDescent="0.25">
      <c r="C1325" s="23"/>
      <c r="D1325" s="23"/>
      <c r="E1325" s="23"/>
      <c r="J1325" s="19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3:26" x14ac:dyDescent="0.25">
      <c r="C1326" s="23"/>
      <c r="D1326" s="23"/>
      <c r="E1326" s="23"/>
      <c r="J1326" s="19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3:26" x14ac:dyDescent="0.25">
      <c r="C1327" s="23"/>
      <c r="D1327" s="23"/>
      <c r="E1327" s="23"/>
      <c r="J1327" s="19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3:26" x14ac:dyDescent="0.25">
      <c r="C1328" s="23"/>
      <c r="D1328" s="23"/>
      <c r="E1328" s="23"/>
      <c r="J1328" s="19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3:26" x14ac:dyDescent="0.25">
      <c r="C1329" s="23"/>
      <c r="D1329" s="23"/>
      <c r="E1329" s="23"/>
      <c r="J1329" s="19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3:26" x14ac:dyDescent="0.25">
      <c r="C1330" s="23"/>
      <c r="D1330" s="23"/>
      <c r="E1330" s="23"/>
      <c r="J1330" s="19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3:26" x14ac:dyDescent="0.25">
      <c r="C1331" s="23"/>
      <c r="D1331" s="23"/>
      <c r="E1331" s="23"/>
      <c r="J1331" s="19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3:26" x14ac:dyDescent="0.25">
      <c r="C1332" s="23"/>
      <c r="D1332" s="23"/>
      <c r="E1332" s="23"/>
      <c r="J1332" s="19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3:26" x14ac:dyDescent="0.25">
      <c r="C1333" s="23"/>
      <c r="D1333" s="23"/>
      <c r="E1333" s="23"/>
      <c r="J1333" s="19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3:26" x14ac:dyDescent="0.25">
      <c r="C1334" s="23"/>
      <c r="D1334" s="23"/>
      <c r="E1334" s="23"/>
      <c r="J1334" s="19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3:26" x14ac:dyDescent="0.25">
      <c r="C1335" s="23"/>
      <c r="D1335" s="23"/>
      <c r="E1335" s="23"/>
      <c r="J1335" s="19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3:26" x14ac:dyDescent="0.25">
      <c r="C1336" s="23"/>
      <c r="D1336" s="23"/>
      <c r="E1336" s="23"/>
      <c r="J1336" s="19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3:26" x14ac:dyDescent="0.25">
      <c r="C1337" s="23"/>
      <c r="D1337" s="23"/>
      <c r="E1337" s="23"/>
      <c r="J1337" s="19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3:26" x14ac:dyDescent="0.25">
      <c r="C1338" s="23"/>
      <c r="D1338" s="23"/>
      <c r="E1338" s="23"/>
      <c r="J1338" s="19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3:26" x14ac:dyDescent="0.25">
      <c r="C1339" s="23"/>
      <c r="D1339" s="23"/>
      <c r="E1339" s="23"/>
      <c r="J1339" s="19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3:26" x14ac:dyDescent="0.25">
      <c r="C1340" s="23"/>
      <c r="D1340" s="23"/>
      <c r="E1340" s="23"/>
      <c r="J1340" s="19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3:26" x14ac:dyDescent="0.25">
      <c r="C1341" s="23"/>
      <c r="D1341" s="23"/>
      <c r="E1341" s="23"/>
      <c r="J1341" s="19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3:26" x14ac:dyDescent="0.25">
      <c r="C1342" s="23"/>
      <c r="D1342" s="23"/>
      <c r="E1342" s="23"/>
      <c r="J1342" s="19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3:26" x14ac:dyDescent="0.25">
      <c r="C1343" s="23"/>
      <c r="D1343" s="23"/>
      <c r="E1343" s="23"/>
      <c r="J1343" s="19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3:26" x14ac:dyDescent="0.25">
      <c r="C1344" s="23"/>
      <c r="D1344" s="23"/>
      <c r="E1344" s="23"/>
      <c r="J1344" s="19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3:26" x14ac:dyDescent="0.25">
      <c r="C1345" s="23"/>
      <c r="D1345" s="23"/>
      <c r="E1345" s="23"/>
      <c r="J1345" s="19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3:26" x14ac:dyDescent="0.25">
      <c r="C1346" s="23"/>
      <c r="D1346" s="23"/>
      <c r="E1346" s="23"/>
      <c r="J1346" s="19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3:26" x14ac:dyDescent="0.25">
      <c r="C1347" s="23"/>
      <c r="D1347" s="23"/>
      <c r="E1347" s="23"/>
      <c r="J1347" s="19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3:26" x14ac:dyDescent="0.25">
      <c r="C1348" s="23"/>
      <c r="D1348" s="23"/>
      <c r="E1348" s="23"/>
      <c r="J1348" s="19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3:26" x14ac:dyDescent="0.25">
      <c r="C1349" s="23"/>
      <c r="D1349" s="23"/>
      <c r="E1349" s="23"/>
      <c r="J1349" s="19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3:26" x14ac:dyDescent="0.25">
      <c r="C1350" s="23"/>
      <c r="D1350" s="23"/>
      <c r="E1350" s="23"/>
      <c r="J1350" s="19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3:26" x14ac:dyDescent="0.25">
      <c r="C1351" s="23"/>
      <c r="D1351" s="23"/>
      <c r="E1351" s="23"/>
      <c r="J1351" s="19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3:26" x14ac:dyDescent="0.25">
      <c r="C1352" s="23"/>
      <c r="D1352" s="23"/>
      <c r="E1352" s="23"/>
      <c r="J1352" s="19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3:26" x14ac:dyDescent="0.25">
      <c r="C1353" s="23"/>
      <c r="D1353" s="23"/>
      <c r="E1353" s="23"/>
      <c r="J1353" s="19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3:26" x14ac:dyDescent="0.25">
      <c r="C1354" s="23"/>
      <c r="D1354" s="23"/>
      <c r="E1354" s="23"/>
      <c r="J1354" s="19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3:26" x14ac:dyDescent="0.25">
      <c r="C1355" s="23"/>
      <c r="D1355" s="23"/>
      <c r="E1355" s="23"/>
      <c r="J1355" s="19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3:26" x14ac:dyDescent="0.25">
      <c r="C1356" s="23"/>
      <c r="D1356" s="23"/>
      <c r="E1356" s="23"/>
      <c r="J1356" s="19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3:26" x14ac:dyDescent="0.25">
      <c r="C1357" s="23"/>
      <c r="D1357" s="23"/>
      <c r="E1357" s="23"/>
      <c r="J1357" s="19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3:26" x14ac:dyDescent="0.25">
      <c r="C1358" s="23"/>
      <c r="D1358" s="23"/>
      <c r="E1358" s="23"/>
      <c r="J1358" s="19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3:26" x14ac:dyDescent="0.25">
      <c r="C1359" s="23"/>
      <c r="D1359" s="23"/>
      <c r="E1359" s="23"/>
      <c r="J1359" s="19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3:26" x14ac:dyDescent="0.25">
      <c r="C1360" s="23"/>
      <c r="D1360" s="23"/>
      <c r="E1360" s="23"/>
      <c r="J1360" s="19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3:26" x14ac:dyDescent="0.25">
      <c r="C1361" s="23"/>
      <c r="D1361" s="23"/>
      <c r="E1361" s="23"/>
      <c r="J1361" s="19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3:26" x14ac:dyDescent="0.25">
      <c r="C1362" s="23"/>
      <c r="D1362" s="23"/>
      <c r="E1362" s="23"/>
      <c r="J1362" s="19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3:26" x14ac:dyDescent="0.25">
      <c r="C1363" s="23"/>
      <c r="D1363" s="23"/>
      <c r="E1363" s="23"/>
      <c r="J1363" s="19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3:26" x14ac:dyDescent="0.25">
      <c r="C1364" s="23"/>
      <c r="D1364" s="23"/>
      <c r="E1364" s="23"/>
      <c r="J1364" s="19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3:26" x14ac:dyDescent="0.25">
      <c r="C1365" s="23"/>
      <c r="D1365" s="23"/>
      <c r="E1365" s="23"/>
      <c r="J1365" s="19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3:26" x14ac:dyDescent="0.25">
      <c r="C1366" s="23"/>
      <c r="D1366" s="23"/>
      <c r="E1366" s="23"/>
      <c r="J1366" s="19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3:26" x14ac:dyDescent="0.25">
      <c r="C1367" s="23"/>
      <c r="D1367" s="23"/>
      <c r="E1367" s="23"/>
      <c r="J1367" s="19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3:26" x14ac:dyDescent="0.25">
      <c r="C1368" s="23"/>
      <c r="D1368" s="23"/>
      <c r="E1368" s="23"/>
      <c r="J1368" s="19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3:26" x14ac:dyDescent="0.25">
      <c r="C1369" s="23"/>
      <c r="D1369" s="23"/>
      <c r="E1369" s="23"/>
      <c r="J1369" s="19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3:26" x14ac:dyDescent="0.25">
      <c r="C1370" s="23"/>
      <c r="D1370" s="23"/>
      <c r="E1370" s="23"/>
      <c r="J1370" s="19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3:26" x14ac:dyDescent="0.25">
      <c r="C1371" s="23"/>
      <c r="D1371" s="23"/>
      <c r="E1371" s="23"/>
      <c r="J1371" s="19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3:26" x14ac:dyDescent="0.25">
      <c r="C1372" s="23"/>
      <c r="D1372" s="23"/>
      <c r="E1372" s="23"/>
      <c r="J1372" s="19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3:26" x14ac:dyDescent="0.25">
      <c r="C1373" s="23"/>
      <c r="D1373" s="23"/>
      <c r="E1373" s="23"/>
      <c r="J1373" s="19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3:26" x14ac:dyDescent="0.25">
      <c r="C1374" s="23"/>
      <c r="D1374" s="23"/>
      <c r="E1374" s="23"/>
      <c r="J1374" s="19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3:26" x14ac:dyDescent="0.25">
      <c r="C1375" s="23"/>
      <c r="D1375" s="23"/>
      <c r="E1375" s="23"/>
      <c r="J1375" s="19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3:26" x14ac:dyDescent="0.25">
      <c r="C1376" s="23"/>
      <c r="D1376" s="23"/>
      <c r="E1376" s="23"/>
      <c r="J1376" s="19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3:26" x14ac:dyDescent="0.25">
      <c r="C1377" s="23"/>
      <c r="D1377" s="23"/>
      <c r="E1377" s="23"/>
      <c r="J1377" s="19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3:26" x14ac:dyDescent="0.25">
      <c r="C1378" s="23"/>
      <c r="D1378" s="23"/>
      <c r="E1378" s="23"/>
      <c r="J1378" s="19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3:26" x14ac:dyDescent="0.25">
      <c r="C1379" s="23"/>
      <c r="D1379" s="23"/>
      <c r="E1379" s="23"/>
      <c r="J1379" s="19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3:26" x14ac:dyDescent="0.25">
      <c r="C1380" s="23"/>
      <c r="D1380" s="23"/>
      <c r="E1380" s="23"/>
      <c r="J1380" s="19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3:26" x14ac:dyDescent="0.25">
      <c r="C1381" s="23"/>
      <c r="D1381" s="23"/>
      <c r="E1381" s="23"/>
      <c r="J1381" s="19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3:26" x14ac:dyDescent="0.25">
      <c r="C1382" s="23"/>
      <c r="D1382" s="23"/>
      <c r="E1382" s="23"/>
      <c r="J1382" s="19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3:26" x14ac:dyDescent="0.25">
      <c r="C1383" s="23"/>
      <c r="D1383" s="23"/>
      <c r="E1383" s="23"/>
      <c r="J1383" s="19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3:26" x14ac:dyDescent="0.25">
      <c r="C1384" s="23"/>
      <c r="D1384" s="23"/>
      <c r="E1384" s="23"/>
      <c r="J1384" s="19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3:26" x14ac:dyDescent="0.25">
      <c r="C1385" s="23"/>
      <c r="D1385" s="23"/>
      <c r="E1385" s="23"/>
      <c r="J1385" s="19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3:26" x14ac:dyDescent="0.25">
      <c r="C1386" s="23"/>
      <c r="D1386" s="23"/>
      <c r="E1386" s="23"/>
      <c r="J1386" s="19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3:26" x14ac:dyDescent="0.25">
      <c r="C1387" s="23"/>
      <c r="D1387" s="23"/>
      <c r="E1387" s="23"/>
      <c r="J1387" s="19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3:26" x14ac:dyDescent="0.25">
      <c r="C1388" s="23"/>
      <c r="D1388" s="23"/>
      <c r="E1388" s="23"/>
      <c r="J1388" s="19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3:26" x14ac:dyDescent="0.25">
      <c r="C1389" s="23"/>
      <c r="D1389" s="23"/>
      <c r="E1389" s="23"/>
      <c r="J1389" s="19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3:26" x14ac:dyDescent="0.25">
      <c r="C1390" s="23"/>
      <c r="D1390" s="23"/>
      <c r="E1390" s="23"/>
      <c r="J1390" s="19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3:26" x14ac:dyDescent="0.25">
      <c r="C1391" s="23"/>
      <c r="D1391" s="23"/>
      <c r="E1391" s="23"/>
      <c r="J1391" s="19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3:26" x14ac:dyDescent="0.25">
      <c r="C1392" s="23"/>
      <c r="D1392" s="23"/>
      <c r="E1392" s="23"/>
      <c r="J1392" s="19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3:26" x14ac:dyDescent="0.25">
      <c r="C1393" s="23"/>
      <c r="D1393" s="23"/>
      <c r="E1393" s="23"/>
      <c r="J1393" s="19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3:26" x14ac:dyDescent="0.25">
      <c r="C1394" s="23"/>
      <c r="D1394" s="23"/>
      <c r="E1394" s="23"/>
      <c r="J1394" s="19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3:26" x14ac:dyDescent="0.25">
      <c r="C1395" s="23"/>
      <c r="D1395" s="23"/>
      <c r="E1395" s="23"/>
      <c r="J1395" s="19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3:26" x14ac:dyDescent="0.25">
      <c r="C1396" s="23"/>
      <c r="D1396" s="23"/>
      <c r="E1396" s="23"/>
      <c r="J1396" s="19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3:26" x14ac:dyDescent="0.25">
      <c r="C1397" s="23"/>
      <c r="D1397" s="23"/>
      <c r="E1397" s="23"/>
      <c r="J1397" s="19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3:26" x14ac:dyDescent="0.25">
      <c r="C1398" s="23"/>
      <c r="D1398" s="23"/>
      <c r="E1398" s="23"/>
      <c r="J1398" s="19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3:26" x14ac:dyDescent="0.25">
      <c r="C1399" s="23"/>
      <c r="D1399" s="23"/>
      <c r="E1399" s="23"/>
      <c r="J1399" s="19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3:26" x14ac:dyDescent="0.25">
      <c r="C1400" s="23"/>
      <c r="D1400" s="23"/>
      <c r="E1400" s="23"/>
      <c r="J1400" s="19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3:26" x14ac:dyDescent="0.25">
      <c r="C1401" s="23"/>
      <c r="D1401" s="23"/>
      <c r="E1401" s="23"/>
      <c r="J1401" s="19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3:26" x14ac:dyDescent="0.25">
      <c r="C1402" s="23"/>
      <c r="D1402" s="23"/>
      <c r="E1402" s="23"/>
      <c r="J1402" s="19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3:26" x14ac:dyDescent="0.25">
      <c r="C1403" s="23"/>
      <c r="D1403" s="23"/>
      <c r="E1403" s="23"/>
      <c r="J1403" s="19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3:26" x14ac:dyDescent="0.25">
      <c r="C1404" s="23"/>
      <c r="D1404" s="23"/>
      <c r="E1404" s="23"/>
      <c r="J1404" s="19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3:26" x14ac:dyDescent="0.25">
      <c r="C1405" s="23"/>
      <c r="D1405" s="23"/>
      <c r="E1405" s="23"/>
      <c r="J1405" s="19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3:26" x14ac:dyDescent="0.25">
      <c r="C1406" s="23"/>
      <c r="D1406" s="23"/>
      <c r="E1406" s="23"/>
      <c r="J1406" s="19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3:26" x14ac:dyDescent="0.25">
      <c r="C1407" s="23"/>
      <c r="D1407" s="23"/>
      <c r="E1407" s="23"/>
      <c r="J1407" s="19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3:26" x14ac:dyDescent="0.25">
      <c r="C1408" s="23"/>
      <c r="D1408" s="23"/>
      <c r="E1408" s="23"/>
      <c r="J1408" s="19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3:26" x14ac:dyDescent="0.25">
      <c r="C1409" s="23"/>
      <c r="D1409" s="23"/>
      <c r="E1409" s="23"/>
      <c r="J1409" s="19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3:26" x14ac:dyDescent="0.25">
      <c r="C1410" s="23"/>
      <c r="D1410" s="23"/>
      <c r="E1410" s="23"/>
      <c r="J1410" s="19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3:26" x14ac:dyDescent="0.25">
      <c r="C1411" s="23"/>
      <c r="D1411" s="23"/>
      <c r="E1411" s="23"/>
      <c r="J1411" s="19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3:26" x14ac:dyDescent="0.25">
      <c r="C1412" s="23"/>
      <c r="D1412" s="23"/>
      <c r="E1412" s="23"/>
      <c r="J1412" s="19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3:26" x14ac:dyDescent="0.25">
      <c r="C1413" s="23"/>
      <c r="D1413" s="23"/>
      <c r="E1413" s="23"/>
      <c r="J1413" s="19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3:26" x14ac:dyDescent="0.25">
      <c r="C1414" s="23"/>
      <c r="D1414" s="23"/>
      <c r="E1414" s="23"/>
      <c r="J1414" s="19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3:26" x14ac:dyDescent="0.25">
      <c r="C1415" s="23"/>
      <c r="D1415" s="23"/>
      <c r="E1415" s="23"/>
      <c r="J1415" s="19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3:26" x14ac:dyDescent="0.25">
      <c r="C1416" s="23"/>
      <c r="D1416" s="23"/>
      <c r="E1416" s="23"/>
      <c r="J1416" s="19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3:26" x14ac:dyDescent="0.25">
      <c r="C1417" s="23"/>
      <c r="D1417" s="23"/>
      <c r="E1417" s="23"/>
      <c r="J1417" s="19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3:26" x14ac:dyDescent="0.25">
      <c r="C1418" s="23"/>
      <c r="D1418" s="23"/>
      <c r="E1418" s="23"/>
      <c r="J1418" s="19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3:26" x14ac:dyDescent="0.25">
      <c r="C1419" s="23"/>
      <c r="D1419" s="23"/>
      <c r="E1419" s="23"/>
      <c r="J1419" s="19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3:26" x14ac:dyDescent="0.25">
      <c r="C1420" s="23"/>
      <c r="D1420" s="23"/>
      <c r="E1420" s="23"/>
      <c r="J1420" s="19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3:26" x14ac:dyDescent="0.25">
      <c r="C1421" s="23"/>
      <c r="D1421" s="23"/>
      <c r="E1421" s="23"/>
      <c r="J1421" s="19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3:26" x14ac:dyDescent="0.25">
      <c r="C1422" s="23"/>
      <c r="D1422" s="23"/>
      <c r="E1422" s="23"/>
      <c r="J1422" s="19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3:26" x14ac:dyDescent="0.25">
      <c r="C1423" s="23"/>
      <c r="D1423" s="23"/>
      <c r="E1423" s="23"/>
      <c r="J1423" s="19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3:26" x14ac:dyDescent="0.25">
      <c r="C1424" s="23"/>
      <c r="D1424" s="23"/>
      <c r="E1424" s="23"/>
      <c r="J1424" s="19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3:26" x14ac:dyDescent="0.25">
      <c r="C1425" s="23"/>
      <c r="D1425" s="23"/>
      <c r="E1425" s="23"/>
      <c r="J1425" s="19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3:26" x14ac:dyDescent="0.25">
      <c r="C1426" s="23"/>
      <c r="D1426" s="23"/>
      <c r="E1426" s="23"/>
      <c r="J1426" s="19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3:26" x14ac:dyDescent="0.25">
      <c r="C1427" s="23"/>
      <c r="D1427" s="23"/>
      <c r="E1427" s="23"/>
      <c r="J1427" s="19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3:26" x14ac:dyDescent="0.25">
      <c r="C1428" s="23"/>
      <c r="D1428" s="23"/>
      <c r="E1428" s="23"/>
      <c r="J1428" s="19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3:26" x14ac:dyDescent="0.25">
      <c r="C1429" s="23"/>
      <c r="D1429" s="23"/>
      <c r="E1429" s="23"/>
      <c r="J1429" s="19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3:26" x14ac:dyDescent="0.25">
      <c r="C1430" s="23"/>
      <c r="D1430" s="23"/>
      <c r="E1430" s="23"/>
      <c r="J1430" s="19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3:26" x14ac:dyDescent="0.25">
      <c r="C1431" s="23"/>
      <c r="D1431" s="23"/>
      <c r="E1431" s="23"/>
      <c r="J1431" s="19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3:26" x14ac:dyDescent="0.25">
      <c r="C1432" s="23"/>
      <c r="D1432" s="23"/>
      <c r="E1432" s="23"/>
      <c r="J1432" s="19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3:26" x14ac:dyDescent="0.25">
      <c r="C1433" s="23"/>
      <c r="D1433" s="23"/>
      <c r="E1433" s="23"/>
      <c r="J1433" s="19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3:26" x14ac:dyDescent="0.25">
      <c r="C1434" s="23"/>
      <c r="D1434" s="23"/>
      <c r="E1434" s="23"/>
      <c r="J1434" s="19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3:26" x14ac:dyDescent="0.25">
      <c r="C1435" s="23"/>
      <c r="D1435" s="23"/>
      <c r="E1435" s="23"/>
      <c r="J1435" s="19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3:26" x14ac:dyDescent="0.25">
      <c r="C1436" s="23"/>
      <c r="D1436" s="23"/>
      <c r="E1436" s="23"/>
      <c r="J1436" s="19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3:26" x14ac:dyDescent="0.25">
      <c r="C1437" s="23"/>
      <c r="D1437" s="23"/>
      <c r="E1437" s="23"/>
      <c r="J1437" s="19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3:26" x14ac:dyDescent="0.25">
      <c r="C1438" s="23"/>
      <c r="D1438" s="23"/>
      <c r="E1438" s="23"/>
      <c r="J1438" s="19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3:26" x14ac:dyDescent="0.25">
      <c r="C1439" s="23"/>
      <c r="D1439" s="23"/>
      <c r="E1439" s="23"/>
      <c r="J1439" s="19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3:26" x14ac:dyDescent="0.25">
      <c r="C1440" s="23"/>
      <c r="D1440" s="23"/>
      <c r="E1440" s="23"/>
      <c r="J1440" s="19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3:26" x14ac:dyDescent="0.25">
      <c r="C1441" s="23"/>
      <c r="D1441" s="23"/>
      <c r="E1441" s="23"/>
      <c r="J1441" s="19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3:26" x14ac:dyDescent="0.25">
      <c r="C1442" s="23"/>
      <c r="D1442" s="23"/>
      <c r="E1442" s="23"/>
      <c r="J1442" s="19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3:26" x14ac:dyDescent="0.25">
      <c r="C1443" s="23"/>
      <c r="D1443" s="23"/>
      <c r="E1443" s="23"/>
      <c r="J1443" s="19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3:26" x14ac:dyDescent="0.25">
      <c r="C1444" s="23"/>
      <c r="D1444" s="23"/>
      <c r="E1444" s="23"/>
      <c r="J1444" s="19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3:26" x14ac:dyDescent="0.25">
      <c r="C1445" s="23"/>
      <c r="D1445" s="23"/>
      <c r="E1445" s="23"/>
      <c r="J1445" s="19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3:26" x14ac:dyDescent="0.25">
      <c r="C1446" s="23"/>
      <c r="D1446" s="23"/>
      <c r="E1446" s="23"/>
      <c r="J1446" s="19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3:26" x14ac:dyDescent="0.25">
      <c r="C1447" s="23"/>
      <c r="D1447" s="23"/>
      <c r="E1447" s="23"/>
      <c r="J1447" s="19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3:26" x14ac:dyDescent="0.25">
      <c r="C1448" s="23"/>
      <c r="D1448" s="23"/>
      <c r="E1448" s="23"/>
      <c r="J1448" s="19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3:26" x14ac:dyDescent="0.25">
      <c r="C1449" s="23"/>
      <c r="D1449" s="23"/>
      <c r="E1449" s="23"/>
      <c r="J1449" s="19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3:26" x14ac:dyDescent="0.25">
      <c r="C1450" s="23"/>
      <c r="D1450" s="23"/>
      <c r="E1450" s="23"/>
      <c r="J1450" s="19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3:26" x14ac:dyDescent="0.25">
      <c r="C1451" s="23"/>
      <c r="D1451" s="23"/>
      <c r="E1451" s="23"/>
      <c r="J1451" s="19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3:26" x14ac:dyDescent="0.25">
      <c r="C1452" s="23"/>
      <c r="D1452" s="23"/>
      <c r="E1452" s="23"/>
      <c r="J1452" s="19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3:26" x14ac:dyDescent="0.25">
      <c r="C1453" s="23"/>
      <c r="D1453" s="23"/>
      <c r="E1453" s="23"/>
      <c r="J1453" s="19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3:26" x14ac:dyDescent="0.25">
      <c r="C1454" s="23"/>
      <c r="D1454" s="23"/>
      <c r="E1454" s="23"/>
      <c r="J1454" s="19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3:26" x14ac:dyDescent="0.25">
      <c r="C1455" s="23"/>
      <c r="D1455" s="23"/>
      <c r="E1455" s="23"/>
      <c r="J1455" s="19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3:26" x14ac:dyDescent="0.25">
      <c r="C1456" s="23"/>
      <c r="D1456" s="23"/>
      <c r="E1456" s="23"/>
      <c r="J1456" s="19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3:26" x14ac:dyDescent="0.25">
      <c r="C1457" s="23"/>
      <c r="D1457" s="23"/>
      <c r="E1457" s="23"/>
      <c r="J1457" s="19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3:26" x14ac:dyDescent="0.25">
      <c r="C1458" s="23"/>
      <c r="D1458" s="23"/>
      <c r="E1458" s="23"/>
      <c r="J1458" s="19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3:26" x14ac:dyDescent="0.25">
      <c r="C1459" s="23"/>
      <c r="D1459" s="23"/>
      <c r="E1459" s="23"/>
      <c r="J1459" s="19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3:26" x14ac:dyDescent="0.25">
      <c r="C1460" s="23"/>
      <c r="D1460" s="23"/>
      <c r="E1460" s="23"/>
      <c r="J1460" s="19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3:26" x14ac:dyDescent="0.25">
      <c r="C1461" s="23"/>
      <c r="D1461" s="23"/>
      <c r="E1461" s="23"/>
      <c r="J1461" s="19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3:26" x14ac:dyDescent="0.25">
      <c r="C1462" s="23"/>
      <c r="D1462" s="23"/>
      <c r="E1462" s="23"/>
      <c r="J1462" s="19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3:26" x14ac:dyDescent="0.25">
      <c r="C1463" s="23"/>
      <c r="D1463" s="23"/>
      <c r="E1463" s="23"/>
      <c r="J1463" s="19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3:26" x14ac:dyDescent="0.25">
      <c r="C1464" s="23"/>
      <c r="D1464" s="23"/>
      <c r="E1464" s="23"/>
      <c r="J1464" s="19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3:26" x14ac:dyDescent="0.25">
      <c r="C1465" s="23"/>
      <c r="D1465" s="23"/>
      <c r="E1465" s="23"/>
      <c r="J1465" s="19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3:26" x14ac:dyDescent="0.25">
      <c r="C1466" s="23"/>
      <c r="D1466" s="23"/>
      <c r="E1466" s="23"/>
      <c r="J1466" s="19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3:26" x14ac:dyDescent="0.25">
      <c r="C1467" s="23"/>
      <c r="D1467" s="23"/>
      <c r="E1467" s="23"/>
      <c r="J1467" s="19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3:26" x14ac:dyDescent="0.25">
      <c r="C1468" s="23"/>
      <c r="D1468" s="23"/>
      <c r="E1468" s="23"/>
      <c r="J1468" s="19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3:26" x14ac:dyDescent="0.25">
      <c r="C1469" s="23"/>
      <c r="D1469" s="23"/>
      <c r="E1469" s="23"/>
      <c r="J1469" s="19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3:26" x14ac:dyDescent="0.25">
      <c r="C1470" s="23"/>
      <c r="D1470" s="23"/>
      <c r="E1470" s="23"/>
      <c r="J1470" s="19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3:26" x14ac:dyDescent="0.25">
      <c r="C1471" s="23"/>
      <c r="D1471" s="23"/>
      <c r="E1471" s="23"/>
      <c r="J1471" s="19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3:26" x14ac:dyDescent="0.25">
      <c r="C1472" s="23"/>
      <c r="D1472" s="23"/>
      <c r="E1472" s="23"/>
      <c r="J1472" s="19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3:26" x14ac:dyDescent="0.25">
      <c r="C1473" s="23"/>
      <c r="D1473" s="23"/>
      <c r="E1473" s="23"/>
      <c r="J1473" s="19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3:26" x14ac:dyDescent="0.25">
      <c r="C1474" s="23"/>
      <c r="D1474" s="23"/>
      <c r="E1474" s="23"/>
      <c r="J1474" s="19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3:26" x14ac:dyDescent="0.25">
      <c r="C1475" s="23"/>
      <c r="D1475" s="23"/>
      <c r="E1475" s="23"/>
      <c r="J1475" s="19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3:26" x14ac:dyDescent="0.25">
      <c r="C1476" s="23"/>
      <c r="D1476" s="23"/>
      <c r="E1476" s="23"/>
      <c r="J1476" s="19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3:26" x14ac:dyDescent="0.25">
      <c r="C1477" s="23"/>
      <c r="D1477" s="23"/>
      <c r="E1477" s="23"/>
      <c r="J1477" s="19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3:26" x14ac:dyDescent="0.25">
      <c r="C1478" s="23"/>
      <c r="D1478" s="23"/>
      <c r="E1478" s="23"/>
      <c r="J1478" s="19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3:26" x14ac:dyDescent="0.25">
      <c r="C1479" s="23"/>
      <c r="D1479" s="23"/>
      <c r="E1479" s="23"/>
      <c r="J1479" s="19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3:26" x14ac:dyDescent="0.25">
      <c r="C1480" s="23"/>
      <c r="D1480" s="23"/>
      <c r="E1480" s="23"/>
      <c r="J1480" s="19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3:26" x14ac:dyDescent="0.25">
      <c r="C1481" s="23"/>
      <c r="D1481" s="23"/>
      <c r="E1481" s="23"/>
      <c r="J1481" s="19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3:26" x14ac:dyDescent="0.25">
      <c r="C1482" s="23"/>
      <c r="D1482" s="23"/>
      <c r="E1482" s="23"/>
      <c r="J1482" s="19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3:26" x14ac:dyDescent="0.25">
      <c r="C1483" s="23"/>
      <c r="D1483" s="23"/>
      <c r="E1483" s="23"/>
      <c r="J1483" s="19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3:26" x14ac:dyDescent="0.25">
      <c r="C1484" s="23"/>
      <c r="D1484" s="23"/>
      <c r="E1484" s="23"/>
      <c r="J1484" s="19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3:26" x14ac:dyDescent="0.25">
      <c r="C1485" s="23"/>
      <c r="D1485" s="23"/>
      <c r="E1485" s="23"/>
      <c r="J1485" s="19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3:26" x14ac:dyDescent="0.25">
      <c r="C1486" s="23"/>
      <c r="D1486" s="23"/>
      <c r="E1486" s="23"/>
      <c r="J1486" s="19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3:26" x14ac:dyDescent="0.25">
      <c r="C1487" s="23"/>
      <c r="D1487" s="23"/>
      <c r="E1487" s="23"/>
      <c r="J1487" s="19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3:26" x14ac:dyDescent="0.25">
      <c r="C1488" s="23"/>
      <c r="D1488" s="23"/>
      <c r="E1488" s="23"/>
      <c r="J1488" s="19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3:26" x14ac:dyDescent="0.25">
      <c r="C1489" s="23"/>
      <c r="D1489" s="23"/>
      <c r="E1489" s="23"/>
      <c r="J1489" s="19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3:26" x14ac:dyDescent="0.25">
      <c r="C1490" s="23"/>
      <c r="D1490" s="23"/>
      <c r="E1490" s="23"/>
      <c r="J1490" s="19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3:26" x14ac:dyDescent="0.25">
      <c r="C1491" s="23"/>
      <c r="D1491" s="23"/>
      <c r="E1491" s="23"/>
      <c r="J1491" s="19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3:26" x14ac:dyDescent="0.25">
      <c r="C1492" s="23"/>
      <c r="D1492" s="23"/>
      <c r="E1492" s="23"/>
      <c r="J1492" s="19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3:26" x14ac:dyDescent="0.25">
      <c r="C1493" s="23"/>
      <c r="D1493" s="23"/>
      <c r="E1493" s="23"/>
      <c r="J1493" s="19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3:26" x14ac:dyDescent="0.25">
      <c r="C1494" s="23"/>
      <c r="D1494" s="23"/>
      <c r="E1494" s="23"/>
      <c r="J1494" s="19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3:26" x14ac:dyDescent="0.25">
      <c r="C1495" s="23"/>
      <c r="D1495" s="23"/>
      <c r="E1495" s="23"/>
      <c r="J1495" s="19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3:26" x14ac:dyDescent="0.25">
      <c r="C1496" s="23"/>
      <c r="D1496" s="23"/>
      <c r="E1496" s="23"/>
      <c r="J1496" s="19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3:26" x14ac:dyDescent="0.25">
      <c r="C1497" s="23"/>
      <c r="D1497" s="23"/>
      <c r="E1497" s="23"/>
      <c r="J1497" s="19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3:26" x14ac:dyDescent="0.25">
      <c r="C1498" s="23"/>
      <c r="D1498" s="23"/>
      <c r="E1498" s="23"/>
      <c r="J1498" s="19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3:26" x14ac:dyDescent="0.25">
      <c r="C1499" s="23"/>
      <c r="D1499" s="23"/>
      <c r="E1499" s="23"/>
      <c r="J1499" s="19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3:26" x14ac:dyDescent="0.25">
      <c r="C1500" s="23"/>
      <c r="D1500" s="23"/>
      <c r="E1500" s="23"/>
      <c r="J1500" s="19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3:26" x14ac:dyDescent="0.25">
      <c r="C1501" s="23"/>
      <c r="D1501" s="23"/>
      <c r="E1501" s="23"/>
      <c r="J1501" s="19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3:26" x14ac:dyDescent="0.25">
      <c r="C1502" s="23"/>
      <c r="D1502" s="23"/>
      <c r="E1502" s="23"/>
      <c r="J1502" s="19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3:26" x14ac:dyDescent="0.25">
      <c r="C1503" s="23"/>
      <c r="D1503" s="23"/>
      <c r="E1503" s="23"/>
      <c r="J1503" s="19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3:26" x14ac:dyDescent="0.25">
      <c r="C1504" s="23"/>
      <c r="D1504" s="23"/>
      <c r="E1504" s="23"/>
      <c r="J1504" s="19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3:26" x14ac:dyDescent="0.25">
      <c r="C1505" s="23"/>
      <c r="D1505" s="23"/>
      <c r="E1505" s="23"/>
      <c r="J1505" s="19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3:26" x14ac:dyDescent="0.25">
      <c r="C1506" s="23"/>
      <c r="D1506" s="23"/>
      <c r="E1506" s="23"/>
      <c r="J1506" s="19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3:26" x14ac:dyDescent="0.25">
      <c r="C1507" s="23"/>
      <c r="D1507" s="23"/>
      <c r="E1507" s="23"/>
      <c r="J1507" s="19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3:26" x14ac:dyDescent="0.25">
      <c r="C1508" s="23"/>
      <c r="D1508" s="23"/>
      <c r="E1508" s="23"/>
      <c r="J1508" s="19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3:26" x14ac:dyDescent="0.25">
      <c r="C1509" s="23"/>
      <c r="D1509" s="23"/>
      <c r="E1509" s="23"/>
      <c r="J1509" s="19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3:26" x14ac:dyDescent="0.25">
      <c r="C1510" s="23"/>
      <c r="D1510" s="23"/>
      <c r="E1510" s="23"/>
      <c r="J1510" s="19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3:26" x14ac:dyDescent="0.25">
      <c r="C1511" s="23"/>
      <c r="D1511" s="23"/>
      <c r="E1511" s="23"/>
      <c r="J1511" s="19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3:26" x14ac:dyDescent="0.25">
      <c r="C1512" s="23"/>
      <c r="D1512" s="23"/>
      <c r="E1512" s="23"/>
      <c r="J1512" s="19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3:26" x14ac:dyDescent="0.25">
      <c r="C1513" s="23"/>
      <c r="D1513" s="23"/>
      <c r="E1513" s="23"/>
      <c r="J1513" s="19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3:26" x14ac:dyDescent="0.25">
      <c r="C1514" s="23"/>
      <c r="D1514" s="23"/>
      <c r="E1514" s="23"/>
      <c r="J1514" s="19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3:26" x14ac:dyDescent="0.25">
      <c r="C1515" s="23"/>
      <c r="D1515" s="23"/>
      <c r="E1515" s="23"/>
      <c r="J1515" s="19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3:26" x14ac:dyDescent="0.25">
      <c r="C1516" s="23"/>
      <c r="D1516" s="23"/>
      <c r="E1516" s="23"/>
      <c r="J1516" s="19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3:26" x14ac:dyDescent="0.25">
      <c r="C1517" s="23"/>
      <c r="D1517" s="23"/>
      <c r="E1517" s="23"/>
      <c r="J1517" s="19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3:26" x14ac:dyDescent="0.25">
      <c r="C1518" s="23"/>
      <c r="D1518" s="23"/>
      <c r="E1518" s="23"/>
      <c r="J1518" s="19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3:26" x14ac:dyDescent="0.25">
      <c r="C1519" s="23"/>
      <c r="D1519" s="23"/>
      <c r="E1519" s="23"/>
      <c r="J1519" s="19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3:26" x14ac:dyDescent="0.25">
      <c r="C1520" s="23"/>
      <c r="D1520" s="23"/>
      <c r="E1520" s="23"/>
      <c r="J1520" s="19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3:26" x14ac:dyDescent="0.25">
      <c r="C1521" s="23"/>
      <c r="D1521" s="23"/>
      <c r="E1521" s="23"/>
      <c r="J1521" s="19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3:26" x14ac:dyDescent="0.25">
      <c r="C1522" s="23"/>
      <c r="D1522" s="23"/>
      <c r="E1522" s="23"/>
      <c r="J1522" s="19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3:26" x14ac:dyDescent="0.25">
      <c r="C1523" s="23"/>
      <c r="D1523" s="23"/>
      <c r="E1523" s="23"/>
      <c r="J1523" s="19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3:26" x14ac:dyDescent="0.25">
      <c r="C1524" s="23"/>
      <c r="D1524" s="23"/>
      <c r="E1524" s="23"/>
      <c r="J1524" s="19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3:26" x14ac:dyDescent="0.25">
      <c r="C1525" s="23"/>
      <c r="D1525" s="23"/>
      <c r="E1525" s="23"/>
      <c r="J1525" s="19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3:26" x14ac:dyDescent="0.25">
      <c r="C1526" s="23"/>
      <c r="D1526" s="23"/>
      <c r="E1526" s="23"/>
      <c r="J1526" s="19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3:26" x14ac:dyDescent="0.25">
      <c r="C1527" s="23"/>
      <c r="D1527" s="23"/>
      <c r="E1527" s="23"/>
      <c r="J1527" s="19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3:26" x14ac:dyDescent="0.25">
      <c r="C1528" s="23"/>
      <c r="D1528" s="23"/>
      <c r="E1528" s="23"/>
      <c r="J1528" s="19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3:26" x14ac:dyDescent="0.25">
      <c r="C1529" s="23"/>
      <c r="D1529" s="23"/>
      <c r="E1529" s="23"/>
      <c r="J1529" s="19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3:26" x14ac:dyDescent="0.25">
      <c r="C1530" s="23"/>
      <c r="D1530" s="23"/>
      <c r="E1530" s="23"/>
      <c r="J1530" s="19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3:26" x14ac:dyDescent="0.25">
      <c r="C1531" s="23"/>
      <c r="D1531" s="23"/>
      <c r="E1531" s="23"/>
      <c r="J1531" s="19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3:26" x14ac:dyDescent="0.25">
      <c r="C1532" s="23"/>
      <c r="D1532" s="23"/>
      <c r="E1532" s="23"/>
      <c r="J1532" s="19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3:26" x14ac:dyDescent="0.25">
      <c r="C1533" s="23"/>
      <c r="D1533" s="23"/>
      <c r="E1533" s="23"/>
      <c r="J1533" s="19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3:26" x14ac:dyDescent="0.25">
      <c r="C1534" s="23"/>
      <c r="D1534" s="23"/>
      <c r="E1534" s="23"/>
      <c r="J1534" s="19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3:26" x14ac:dyDescent="0.25">
      <c r="C1535" s="23"/>
      <c r="D1535" s="23"/>
      <c r="E1535" s="23"/>
      <c r="J1535" s="19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3:26" x14ac:dyDescent="0.25">
      <c r="C1536" s="23"/>
      <c r="D1536" s="23"/>
      <c r="E1536" s="23"/>
      <c r="J1536" s="19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3:26" x14ac:dyDescent="0.25">
      <c r="C1537" s="23"/>
      <c r="D1537" s="23"/>
      <c r="E1537" s="23"/>
      <c r="J1537" s="19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3:26" x14ac:dyDescent="0.25">
      <c r="C1538" s="23"/>
      <c r="D1538" s="23"/>
      <c r="E1538" s="23"/>
      <c r="J1538" s="19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3:26" x14ac:dyDescent="0.25">
      <c r="C1539" s="23"/>
      <c r="D1539" s="23"/>
      <c r="E1539" s="23"/>
      <c r="J1539" s="19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3:26" x14ac:dyDescent="0.25">
      <c r="C1540" s="23"/>
      <c r="D1540" s="23"/>
      <c r="E1540" s="23"/>
      <c r="J1540" s="19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3:26" x14ac:dyDescent="0.25">
      <c r="C1541" s="23"/>
      <c r="D1541" s="23"/>
      <c r="E1541" s="23"/>
      <c r="J1541" s="19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3:26" x14ac:dyDescent="0.25">
      <c r="C1542" s="23"/>
      <c r="D1542" s="23"/>
      <c r="E1542" s="23"/>
      <c r="J1542" s="19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3:26" x14ac:dyDescent="0.25">
      <c r="C1543" s="23"/>
      <c r="D1543" s="23"/>
      <c r="E1543" s="23"/>
      <c r="J1543" s="19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3:26" x14ac:dyDescent="0.25">
      <c r="C1544" s="23"/>
      <c r="D1544" s="23"/>
      <c r="E1544" s="23"/>
      <c r="J1544" s="19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3:26" x14ac:dyDescent="0.25">
      <c r="C1545" s="23"/>
      <c r="D1545" s="23"/>
      <c r="E1545" s="23"/>
      <c r="J1545" s="19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3:26" x14ac:dyDescent="0.25">
      <c r="C1546" s="23"/>
      <c r="D1546" s="23"/>
      <c r="E1546" s="23"/>
      <c r="J1546" s="19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3:26" x14ac:dyDescent="0.25">
      <c r="C1547" s="23"/>
      <c r="D1547" s="23"/>
      <c r="E1547" s="23"/>
      <c r="J1547" s="19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3:26" x14ac:dyDescent="0.25">
      <c r="C1548" s="23"/>
      <c r="D1548" s="23"/>
      <c r="E1548" s="23"/>
      <c r="J1548" s="19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3:26" x14ac:dyDescent="0.25">
      <c r="C1549" s="23"/>
      <c r="D1549" s="23"/>
      <c r="E1549" s="23"/>
      <c r="J1549" s="19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3:26" x14ac:dyDescent="0.25">
      <c r="C1550" s="23"/>
      <c r="D1550" s="23"/>
      <c r="E1550" s="23"/>
      <c r="J1550" s="19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3:26" x14ac:dyDescent="0.25">
      <c r="C1551" s="23"/>
      <c r="D1551" s="23"/>
      <c r="E1551" s="23"/>
      <c r="J1551" s="19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3:26" x14ac:dyDescent="0.25">
      <c r="C1552" s="23"/>
      <c r="D1552" s="23"/>
      <c r="E1552" s="23"/>
      <c r="J1552" s="19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3:26" x14ac:dyDescent="0.25">
      <c r="C1553" s="23"/>
      <c r="D1553" s="23"/>
      <c r="E1553" s="23"/>
      <c r="J1553" s="19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3:26" x14ac:dyDescent="0.25">
      <c r="C1554" s="23"/>
      <c r="D1554" s="23"/>
      <c r="E1554" s="23"/>
      <c r="J1554" s="19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3:26" x14ac:dyDescent="0.25">
      <c r="C1555" s="23"/>
      <c r="D1555" s="23"/>
      <c r="E1555" s="23"/>
      <c r="J1555" s="19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3:26" x14ac:dyDescent="0.25">
      <c r="C1556" s="23"/>
      <c r="D1556" s="23"/>
      <c r="E1556" s="23"/>
      <c r="J1556" s="19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3:26" x14ac:dyDescent="0.25">
      <c r="C1557" s="23"/>
      <c r="D1557" s="23"/>
      <c r="E1557" s="23"/>
      <c r="J1557" s="19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3:26" x14ac:dyDescent="0.25">
      <c r="C1558" s="23"/>
      <c r="D1558" s="23"/>
      <c r="E1558" s="23"/>
      <c r="J1558" s="19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3:26" x14ac:dyDescent="0.25">
      <c r="C1559" s="23"/>
      <c r="D1559" s="23"/>
      <c r="E1559" s="23"/>
      <c r="J1559" s="19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3:26" x14ac:dyDescent="0.25">
      <c r="C1560" s="23"/>
      <c r="D1560" s="23"/>
      <c r="E1560" s="23"/>
      <c r="J1560" s="19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3:26" x14ac:dyDescent="0.25">
      <c r="C1561" s="23"/>
      <c r="D1561" s="23"/>
      <c r="E1561" s="23"/>
      <c r="J1561" s="19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3:26" x14ac:dyDescent="0.25">
      <c r="C1562" s="23"/>
      <c r="D1562" s="23"/>
      <c r="E1562" s="23"/>
      <c r="J1562" s="19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3:26" x14ac:dyDescent="0.25">
      <c r="C1563" s="23"/>
      <c r="D1563" s="23"/>
      <c r="E1563" s="23"/>
      <c r="J1563" s="19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3:26" x14ac:dyDescent="0.25">
      <c r="C1564" s="23"/>
      <c r="D1564" s="23"/>
      <c r="E1564" s="23"/>
      <c r="J1564" s="19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3:26" x14ac:dyDescent="0.25">
      <c r="C1565" s="23"/>
      <c r="D1565" s="23"/>
      <c r="E1565" s="23"/>
      <c r="J1565" s="19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3:26" x14ac:dyDescent="0.25">
      <c r="C1566" s="23"/>
      <c r="D1566" s="23"/>
      <c r="E1566" s="23"/>
      <c r="J1566" s="19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3:26" x14ac:dyDescent="0.25">
      <c r="C1567" s="23"/>
      <c r="D1567" s="23"/>
      <c r="E1567" s="23"/>
      <c r="J1567" s="19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3:26" x14ac:dyDescent="0.25">
      <c r="C1568" s="23"/>
      <c r="D1568" s="23"/>
      <c r="E1568" s="23"/>
      <c r="J1568" s="19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3:26" x14ac:dyDescent="0.25">
      <c r="C1569" s="23"/>
      <c r="D1569" s="23"/>
      <c r="E1569" s="23"/>
      <c r="J1569" s="19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3:26" x14ac:dyDescent="0.25">
      <c r="C1570" s="23"/>
      <c r="D1570" s="23"/>
      <c r="E1570" s="23"/>
      <c r="J1570" s="19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3:26" x14ac:dyDescent="0.25">
      <c r="C1571" s="23"/>
      <c r="D1571" s="23"/>
      <c r="E1571" s="23"/>
      <c r="J1571" s="19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3:26" x14ac:dyDescent="0.25">
      <c r="C1572" s="23"/>
      <c r="D1572" s="23"/>
      <c r="E1572" s="23"/>
      <c r="J1572" s="19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3:26" x14ac:dyDescent="0.25">
      <c r="C1573" s="23"/>
      <c r="D1573" s="23"/>
      <c r="E1573" s="23"/>
      <c r="J1573" s="19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3:26" x14ac:dyDescent="0.25">
      <c r="C1574" s="23"/>
      <c r="D1574" s="23"/>
      <c r="E1574" s="23"/>
      <c r="J1574" s="19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3:26" x14ac:dyDescent="0.25">
      <c r="C1575" s="23"/>
      <c r="D1575" s="23"/>
      <c r="E1575" s="23"/>
      <c r="J1575" s="19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3:26" x14ac:dyDescent="0.25">
      <c r="C1576" s="23"/>
      <c r="D1576" s="23"/>
      <c r="E1576" s="23"/>
      <c r="J1576" s="19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3:26" x14ac:dyDescent="0.25">
      <c r="C1577" s="23"/>
      <c r="D1577" s="23"/>
      <c r="E1577" s="23"/>
      <c r="J1577" s="19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3:26" x14ac:dyDescent="0.25">
      <c r="C1578" s="23"/>
      <c r="D1578" s="23"/>
      <c r="E1578" s="23"/>
      <c r="J1578" s="19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3:26" x14ac:dyDescent="0.25">
      <c r="C1579" s="23"/>
      <c r="D1579" s="23"/>
      <c r="E1579" s="23"/>
      <c r="J1579" s="19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3:26" x14ac:dyDescent="0.25">
      <c r="C1580" s="23"/>
      <c r="D1580" s="23"/>
      <c r="E1580" s="23"/>
      <c r="J1580" s="19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3:26" x14ac:dyDescent="0.25">
      <c r="C1581" s="23"/>
      <c r="D1581" s="23"/>
      <c r="E1581" s="23"/>
      <c r="J1581" s="19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3:26" x14ac:dyDescent="0.25">
      <c r="C1582" s="23"/>
      <c r="D1582" s="23"/>
      <c r="E1582" s="23"/>
      <c r="J1582" s="19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3:26" x14ac:dyDescent="0.25">
      <c r="C1583" s="23"/>
      <c r="D1583" s="23"/>
      <c r="E1583" s="23"/>
      <c r="J1583" s="19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3:26" x14ac:dyDescent="0.25">
      <c r="C1584" s="23"/>
      <c r="D1584" s="23"/>
      <c r="E1584" s="23"/>
      <c r="J1584" s="19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3:26" x14ac:dyDescent="0.25">
      <c r="C1585" s="23"/>
      <c r="D1585" s="23"/>
      <c r="E1585" s="23"/>
      <c r="J1585" s="19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3:26" x14ac:dyDescent="0.25">
      <c r="C1586" s="23"/>
      <c r="D1586" s="23"/>
      <c r="E1586" s="23"/>
      <c r="J1586" s="19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3:26" x14ac:dyDescent="0.25">
      <c r="C1587" s="23"/>
      <c r="D1587" s="23"/>
      <c r="E1587" s="23"/>
      <c r="J1587" s="19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3:26" x14ac:dyDescent="0.25">
      <c r="C1588" s="23"/>
      <c r="D1588" s="23"/>
      <c r="E1588" s="23"/>
      <c r="J1588" s="19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3:26" x14ac:dyDescent="0.25">
      <c r="C1589" s="23"/>
      <c r="D1589" s="23"/>
      <c r="E1589" s="23"/>
      <c r="J1589" s="19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3:26" x14ac:dyDescent="0.25">
      <c r="C1590" s="23"/>
      <c r="D1590" s="23"/>
      <c r="E1590" s="23"/>
      <c r="J1590" s="19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3:26" x14ac:dyDescent="0.25">
      <c r="C1591" s="23"/>
      <c r="D1591" s="23"/>
      <c r="E1591" s="23"/>
      <c r="J1591" s="19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3:26" x14ac:dyDescent="0.25">
      <c r="C1592" s="23"/>
      <c r="D1592" s="23"/>
      <c r="E1592" s="23"/>
      <c r="J1592" s="19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3:26" x14ac:dyDescent="0.25">
      <c r="C1593" s="23"/>
      <c r="D1593" s="23"/>
      <c r="E1593" s="23"/>
      <c r="J1593" s="19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3:26" x14ac:dyDescent="0.25">
      <c r="C1594" s="23"/>
      <c r="D1594" s="23"/>
      <c r="E1594" s="23"/>
      <c r="J1594" s="19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3:26" x14ac:dyDescent="0.25">
      <c r="C1595" s="23"/>
      <c r="D1595" s="23"/>
      <c r="E1595" s="23"/>
      <c r="J1595" s="19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3:26" x14ac:dyDescent="0.25">
      <c r="C1596" s="23"/>
      <c r="D1596" s="23"/>
      <c r="E1596" s="23"/>
      <c r="J1596" s="19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3:26" x14ac:dyDescent="0.25">
      <c r="C1597" s="23"/>
      <c r="D1597" s="23"/>
      <c r="E1597" s="23"/>
      <c r="J1597" s="19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3:26" x14ac:dyDescent="0.25">
      <c r="C1598" s="23"/>
      <c r="D1598" s="23"/>
      <c r="E1598" s="23"/>
      <c r="J1598" s="19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3:26" x14ac:dyDescent="0.25">
      <c r="C1599" s="23"/>
      <c r="D1599" s="23"/>
      <c r="E1599" s="23"/>
      <c r="J1599" s="19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3:26" x14ac:dyDescent="0.25">
      <c r="C1600" s="23"/>
      <c r="D1600" s="23"/>
      <c r="E1600" s="23"/>
      <c r="J1600" s="19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3:26" x14ac:dyDescent="0.25">
      <c r="C1601" s="23"/>
      <c r="D1601" s="23"/>
      <c r="E1601" s="23"/>
      <c r="J1601" s="19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3:26" x14ac:dyDescent="0.25">
      <c r="C1602" s="23"/>
      <c r="D1602" s="23"/>
      <c r="E1602" s="23"/>
      <c r="J1602" s="19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3:26" x14ac:dyDescent="0.25">
      <c r="C1603" s="23"/>
      <c r="D1603" s="23"/>
      <c r="E1603" s="23"/>
      <c r="J1603" s="19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3:26" x14ac:dyDescent="0.25">
      <c r="C1604" s="23"/>
      <c r="D1604" s="23"/>
      <c r="E1604" s="23"/>
      <c r="J1604" s="19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3:26" x14ac:dyDescent="0.25">
      <c r="C1605" s="23"/>
      <c r="D1605" s="23"/>
      <c r="E1605" s="23"/>
      <c r="J1605" s="19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3:26" x14ac:dyDescent="0.25">
      <c r="C1606" s="23"/>
      <c r="D1606" s="23"/>
      <c r="E1606" s="23"/>
      <c r="J1606" s="19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3:26" x14ac:dyDescent="0.25">
      <c r="C1607" s="23"/>
      <c r="D1607" s="23"/>
      <c r="E1607" s="23"/>
      <c r="J1607" s="19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3:26" x14ac:dyDescent="0.25">
      <c r="C1608" s="23"/>
      <c r="D1608" s="23"/>
      <c r="E1608" s="23"/>
      <c r="J1608" s="19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3:26" x14ac:dyDescent="0.25">
      <c r="C1609" s="23"/>
      <c r="D1609" s="23"/>
      <c r="E1609" s="23"/>
      <c r="J1609" s="19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3:26" x14ac:dyDescent="0.25">
      <c r="C1610" s="23"/>
      <c r="D1610" s="23"/>
      <c r="E1610" s="23"/>
      <c r="J1610" s="19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3:26" x14ac:dyDescent="0.25">
      <c r="C1611" s="23"/>
      <c r="D1611" s="23"/>
      <c r="E1611" s="23"/>
      <c r="J1611" s="19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3:26" x14ac:dyDescent="0.25">
      <c r="C1612" s="23"/>
      <c r="D1612" s="23"/>
      <c r="E1612" s="23"/>
      <c r="J1612" s="19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3:26" x14ac:dyDescent="0.25">
      <c r="C1613" s="23"/>
      <c r="D1613" s="23"/>
      <c r="E1613" s="23"/>
      <c r="J1613" s="19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3:26" x14ac:dyDescent="0.25">
      <c r="C1614" s="23"/>
      <c r="D1614" s="23"/>
      <c r="E1614" s="23"/>
      <c r="J1614" s="19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3:26" x14ac:dyDescent="0.25">
      <c r="C1615" s="23"/>
      <c r="D1615" s="23"/>
      <c r="E1615" s="23"/>
      <c r="J1615" s="19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3:26" x14ac:dyDescent="0.25">
      <c r="C1616" s="23"/>
      <c r="D1616" s="23"/>
      <c r="E1616" s="23"/>
      <c r="J1616" s="19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3:26" x14ac:dyDescent="0.25">
      <c r="C1617" s="23"/>
      <c r="D1617" s="23"/>
      <c r="E1617" s="23"/>
      <c r="J1617" s="19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3:26" x14ac:dyDescent="0.25">
      <c r="C1618" s="23"/>
      <c r="D1618" s="23"/>
      <c r="E1618" s="23"/>
      <c r="J1618" s="19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3:26" x14ac:dyDescent="0.25">
      <c r="C1619" s="23"/>
      <c r="D1619" s="23"/>
      <c r="E1619" s="23"/>
      <c r="J1619" s="19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3:26" x14ac:dyDescent="0.25">
      <c r="C1620" s="23"/>
      <c r="D1620" s="23"/>
      <c r="E1620" s="23"/>
      <c r="J1620" s="19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3:26" x14ac:dyDescent="0.25">
      <c r="C1621" s="23"/>
      <c r="D1621" s="23"/>
      <c r="E1621" s="23"/>
      <c r="J1621" s="19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3:26" x14ac:dyDescent="0.25">
      <c r="C1622" s="23"/>
      <c r="D1622" s="23"/>
      <c r="E1622" s="23"/>
      <c r="J1622" s="19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3:26" x14ac:dyDescent="0.25">
      <c r="C1623" s="23"/>
      <c r="D1623" s="23"/>
      <c r="E1623" s="23"/>
      <c r="J1623" s="19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3:26" x14ac:dyDescent="0.25">
      <c r="C1624" s="23"/>
      <c r="D1624" s="23"/>
      <c r="E1624" s="23"/>
      <c r="J1624" s="19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3:26" x14ac:dyDescent="0.25">
      <c r="C1625" s="23"/>
      <c r="D1625" s="23"/>
      <c r="E1625" s="23"/>
      <c r="J1625" s="19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3:26" x14ac:dyDescent="0.25">
      <c r="C1626" s="23"/>
      <c r="D1626" s="23"/>
      <c r="E1626" s="23"/>
      <c r="J1626" s="19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3:26" x14ac:dyDescent="0.25">
      <c r="C1627" s="23"/>
      <c r="D1627" s="23"/>
      <c r="E1627" s="23"/>
      <c r="J1627" s="19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3:26" x14ac:dyDescent="0.25">
      <c r="C1628" s="23"/>
      <c r="D1628" s="23"/>
      <c r="E1628" s="23"/>
      <c r="J1628" s="19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3:26" x14ac:dyDescent="0.25">
      <c r="C1629" s="23"/>
      <c r="D1629" s="23"/>
      <c r="E1629" s="23"/>
      <c r="J1629" s="19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3:26" x14ac:dyDescent="0.25">
      <c r="C1630" s="23"/>
      <c r="D1630" s="23"/>
      <c r="E1630" s="23"/>
      <c r="J1630" s="19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3:26" x14ac:dyDescent="0.25">
      <c r="C1631" s="23"/>
      <c r="D1631" s="23"/>
      <c r="E1631" s="23"/>
      <c r="J1631" s="19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3:26" x14ac:dyDescent="0.25">
      <c r="C1632" s="23"/>
      <c r="D1632" s="23"/>
      <c r="E1632" s="23"/>
      <c r="J1632" s="19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3:26" x14ac:dyDescent="0.25">
      <c r="C1633" s="23"/>
      <c r="D1633" s="23"/>
      <c r="E1633" s="23"/>
      <c r="J1633" s="19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3:26" x14ac:dyDescent="0.25">
      <c r="C1634" s="23"/>
      <c r="D1634" s="23"/>
      <c r="E1634" s="23"/>
      <c r="J1634" s="19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3:26" x14ac:dyDescent="0.25">
      <c r="C1635" s="23"/>
      <c r="D1635" s="23"/>
      <c r="E1635" s="23"/>
      <c r="J1635" s="19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3:26" x14ac:dyDescent="0.25">
      <c r="C1636" s="23"/>
      <c r="D1636" s="23"/>
      <c r="E1636" s="23"/>
      <c r="J1636" s="19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3:26" x14ac:dyDescent="0.25">
      <c r="C1637" s="23"/>
      <c r="D1637" s="23"/>
      <c r="E1637" s="23"/>
      <c r="J1637" s="19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3:26" x14ac:dyDescent="0.25">
      <c r="C1638" s="23"/>
      <c r="D1638" s="23"/>
      <c r="E1638" s="23"/>
      <c r="J1638" s="19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3:26" x14ac:dyDescent="0.25">
      <c r="C1639" s="23"/>
      <c r="D1639" s="23"/>
      <c r="E1639" s="23"/>
      <c r="J1639" s="19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3:26" x14ac:dyDescent="0.25">
      <c r="C1640" s="23"/>
      <c r="D1640" s="23"/>
      <c r="E1640" s="23"/>
      <c r="J1640" s="19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3:26" x14ac:dyDescent="0.25">
      <c r="C1641" s="23"/>
      <c r="D1641" s="23"/>
      <c r="E1641" s="23"/>
      <c r="J1641" s="19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3:26" x14ac:dyDescent="0.25">
      <c r="C1642" s="23"/>
      <c r="D1642" s="23"/>
      <c r="E1642" s="23"/>
      <c r="J1642" s="19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3:26" x14ac:dyDescent="0.25">
      <c r="C1643" s="23"/>
      <c r="D1643" s="23"/>
      <c r="E1643" s="23"/>
      <c r="J1643" s="19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3:26" x14ac:dyDescent="0.25">
      <c r="C1644" s="23"/>
      <c r="D1644" s="23"/>
      <c r="E1644" s="23"/>
      <c r="J1644" s="19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3:26" x14ac:dyDescent="0.25">
      <c r="C1645" s="23"/>
      <c r="D1645" s="23"/>
      <c r="E1645" s="23"/>
      <c r="J1645" s="19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3:26" x14ac:dyDescent="0.25">
      <c r="C1646" s="23"/>
      <c r="D1646" s="23"/>
      <c r="E1646" s="23"/>
      <c r="J1646" s="19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3:26" x14ac:dyDescent="0.25">
      <c r="C1647" s="23"/>
      <c r="D1647" s="23"/>
      <c r="E1647" s="23"/>
      <c r="J1647" s="19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3:26" x14ac:dyDescent="0.25">
      <c r="C1648" s="23"/>
      <c r="D1648" s="23"/>
      <c r="E1648" s="23"/>
      <c r="J1648" s="19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3:26" x14ac:dyDescent="0.25">
      <c r="C1649" s="23"/>
      <c r="D1649" s="23"/>
      <c r="E1649" s="23"/>
      <c r="J1649" s="19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3:26" x14ac:dyDescent="0.25">
      <c r="C1650" s="23"/>
      <c r="D1650" s="23"/>
      <c r="E1650" s="23"/>
      <c r="J1650" s="19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3:26" x14ac:dyDescent="0.25">
      <c r="C1651" s="23"/>
      <c r="D1651" s="23"/>
      <c r="E1651" s="23"/>
      <c r="J1651" s="19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3:26" x14ac:dyDescent="0.25">
      <c r="C1652" s="23"/>
      <c r="D1652" s="23"/>
      <c r="E1652" s="23"/>
      <c r="J1652" s="19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3:26" x14ac:dyDescent="0.25">
      <c r="C1653" s="23"/>
      <c r="D1653" s="23"/>
      <c r="E1653" s="23"/>
      <c r="J1653" s="19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3:26" x14ac:dyDescent="0.25">
      <c r="C1654" s="23"/>
      <c r="D1654" s="23"/>
      <c r="E1654" s="23"/>
      <c r="J1654" s="19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3:26" x14ac:dyDescent="0.25">
      <c r="C1655" s="23"/>
      <c r="D1655" s="23"/>
      <c r="E1655" s="23"/>
      <c r="J1655" s="19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3:26" x14ac:dyDescent="0.25">
      <c r="C1656" s="23"/>
      <c r="D1656" s="23"/>
      <c r="E1656" s="23"/>
      <c r="J1656" s="19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3:26" x14ac:dyDescent="0.25">
      <c r="C1657" s="23"/>
      <c r="D1657" s="23"/>
      <c r="E1657" s="23"/>
      <c r="J1657" s="19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3:26" x14ac:dyDescent="0.25">
      <c r="C1658" s="23"/>
      <c r="D1658" s="23"/>
      <c r="E1658" s="23"/>
      <c r="J1658" s="19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3:26" x14ac:dyDescent="0.25">
      <c r="C1659" s="23"/>
      <c r="D1659" s="23"/>
      <c r="E1659" s="23"/>
      <c r="J1659" s="19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3:26" x14ac:dyDescent="0.25">
      <c r="C1660" s="23"/>
      <c r="D1660" s="23"/>
      <c r="E1660" s="23"/>
      <c r="J1660" s="19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3:26" x14ac:dyDescent="0.25">
      <c r="C1661" s="23"/>
      <c r="D1661" s="23"/>
      <c r="E1661" s="23"/>
      <c r="J1661" s="19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3:26" x14ac:dyDescent="0.25">
      <c r="C1662" s="23"/>
      <c r="D1662" s="23"/>
      <c r="E1662" s="23"/>
      <c r="J1662" s="19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3:26" x14ac:dyDescent="0.25">
      <c r="C1663" s="23"/>
      <c r="D1663" s="23"/>
      <c r="E1663" s="23"/>
      <c r="J1663" s="19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3:26" x14ac:dyDescent="0.25">
      <c r="C1664" s="23"/>
      <c r="D1664" s="23"/>
      <c r="E1664" s="23"/>
      <c r="J1664" s="19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3:26" x14ac:dyDescent="0.25">
      <c r="C1665" s="23"/>
      <c r="D1665" s="23"/>
      <c r="E1665" s="23"/>
      <c r="J1665" s="19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3:26" x14ac:dyDescent="0.25">
      <c r="C1666" s="23"/>
      <c r="D1666" s="23"/>
      <c r="E1666" s="23"/>
      <c r="J1666" s="19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3:26" x14ac:dyDescent="0.25">
      <c r="C1667" s="23"/>
      <c r="D1667" s="23"/>
      <c r="E1667" s="23"/>
      <c r="J1667" s="19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3:26" x14ac:dyDescent="0.25">
      <c r="C1668" s="23"/>
      <c r="D1668" s="23"/>
      <c r="E1668" s="23"/>
      <c r="J1668" s="19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3:26" x14ac:dyDescent="0.25">
      <c r="C1669" s="23"/>
      <c r="D1669" s="23"/>
      <c r="E1669" s="23"/>
      <c r="J1669" s="19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3:26" x14ac:dyDescent="0.25">
      <c r="C1670" s="23"/>
      <c r="D1670" s="23"/>
      <c r="E1670" s="23"/>
      <c r="J1670" s="19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3:26" x14ac:dyDescent="0.25">
      <c r="C1671" s="23"/>
      <c r="D1671" s="23"/>
      <c r="E1671" s="23"/>
      <c r="J1671" s="19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3:26" x14ac:dyDescent="0.25">
      <c r="C1672" s="23"/>
      <c r="D1672" s="23"/>
      <c r="E1672" s="23"/>
      <c r="J1672" s="19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3:26" x14ac:dyDescent="0.25">
      <c r="C1673" s="23"/>
      <c r="D1673" s="23"/>
      <c r="E1673" s="23"/>
      <c r="J1673" s="19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3:26" x14ac:dyDescent="0.25">
      <c r="C1674" s="23"/>
      <c r="D1674" s="23"/>
      <c r="E1674" s="23"/>
      <c r="J1674" s="19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3:26" x14ac:dyDescent="0.25">
      <c r="C1675" s="23"/>
      <c r="D1675" s="23"/>
      <c r="E1675" s="23"/>
      <c r="J1675" s="19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3:26" x14ac:dyDescent="0.25">
      <c r="C1676" s="23"/>
      <c r="D1676" s="23"/>
      <c r="E1676" s="23"/>
      <c r="J1676" s="19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3:26" x14ac:dyDescent="0.25">
      <c r="C1677" s="23"/>
      <c r="D1677" s="23"/>
      <c r="E1677" s="23"/>
      <c r="J1677" s="19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3:26" x14ac:dyDescent="0.25">
      <c r="C1678" s="23"/>
      <c r="D1678" s="23"/>
      <c r="E1678" s="23"/>
      <c r="J1678" s="19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3:26" x14ac:dyDescent="0.25">
      <c r="C1679" s="23"/>
      <c r="D1679" s="23"/>
      <c r="E1679" s="23"/>
      <c r="J1679" s="19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3:26" x14ac:dyDescent="0.25">
      <c r="C1680" s="23"/>
      <c r="D1680" s="23"/>
      <c r="E1680" s="23"/>
      <c r="J1680" s="19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3:26" x14ac:dyDescent="0.25">
      <c r="C1681" s="23"/>
      <c r="D1681" s="23"/>
      <c r="E1681" s="23"/>
      <c r="J1681" s="19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3:26" x14ac:dyDescent="0.25">
      <c r="C1682" s="23"/>
      <c r="D1682" s="23"/>
      <c r="E1682" s="23"/>
      <c r="J1682" s="19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3:26" x14ac:dyDescent="0.25">
      <c r="C1683" s="23"/>
      <c r="D1683" s="23"/>
      <c r="E1683" s="23"/>
      <c r="J1683" s="19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3:26" x14ac:dyDescent="0.25">
      <c r="C1684" s="23"/>
      <c r="D1684" s="23"/>
      <c r="E1684" s="23"/>
      <c r="J1684" s="19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3:26" x14ac:dyDescent="0.25">
      <c r="C1685" s="23"/>
      <c r="D1685" s="23"/>
      <c r="E1685" s="23"/>
      <c r="J1685" s="19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3:26" x14ac:dyDescent="0.25">
      <c r="C1686" s="23"/>
      <c r="D1686" s="23"/>
      <c r="E1686" s="23"/>
      <c r="J1686" s="19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3:26" x14ac:dyDescent="0.25">
      <c r="C1687" s="23"/>
      <c r="D1687" s="23"/>
      <c r="E1687" s="23"/>
      <c r="J1687" s="19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3:26" x14ac:dyDescent="0.25">
      <c r="C1688" s="23"/>
      <c r="D1688" s="23"/>
      <c r="E1688" s="23"/>
      <c r="J1688" s="19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3:26" x14ac:dyDescent="0.25">
      <c r="C1689" s="23"/>
      <c r="D1689" s="23"/>
      <c r="E1689" s="23"/>
      <c r="J1689" s="19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3:26" x14ac:dyDescent="0.25">
      <c r="C1690" s="23"/>
      <c r="D1690" s="23"/>
      <c r="E1690" s="23"/>
      <c r="J1690" s="19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3:26" x14ac:dyDescent="0.25">
      <c r="C1691" s="23"/>
      <c r="D1691" s="23"/>
      <c r="E1691" s="23"/>
      <c r="J1691" s="19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3:26" x14ac:dyDescent="0.25">
      <c r="C1692" s="23"/>
      <c r="D1692" s="23"/>
      <c r="E1692" s="23"/>
      <c r="J1692" s="19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3:26" x14ac:dyDescent="0.25">
      <c r="C1693" s="23"/>
      <c r="D1693" s="23"/>
      <c r="E1693" s="23"/>
      <c r="J1693" s="19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3:26" x14ac:dyDescent="0.25">
      <c r="C1694" s="23"/>
      <c r="D1694" s="23"/>
      <c r="E1694" s="23"/>
      <c r="J1694" s="19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3:26" x14ac:dyDescent="0.25">
      <c r="C1695" s="23"/>
      <c r="D1695" s="23"/>
      <c r="E1695" s="23"/>
      <c r="J1695" s="19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3:26" x14ac:dyDescent="0.25">
      <c r="C1696" s="23"/>
      <c r="D1696" s="23"/>
      <c r="E1696" s="23"/>
      <c r="J1696" s="19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3:26" x14ac:dyDescent="0.25">
      <c r="C1697" s="23"/>
      <c r="D1697" s="23"/>
      <c r="E1697" s="23"/>
      <c r="J1697" s="19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3:26" x14ac:dyDescent="0.25">
      <c r="C1698" s="23"/>
      <c r="D1698" s="23"/>
      <c r="E1698" s="23"/>
      <c r="J1698" s="19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3:26" x14ac:dyDescent="0.25">
      <c r="C1699" s="23"/>
      <c r="D1699" s="23"/>
      <c r="E1699" s="23"/>
      <c r="J1699" s="19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3:26" x14ac:dyDescent="0.25">
      <c r="C1700" s="23"/>
      <c r="D1700" s="23"/>
      <c r="E1700" s="23"/>
      <c r="J1700" s="19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3:26" x14ac:dyDescent="0.25">
      <c r="C1701" s="23"/>
      <c r="D1701" s="23"/>
      <c r="E1701" s="23"/>
      <c r="J1701" s="19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3:26" x14ac:dyDescent="0.25">
      <c r="C1702" s="23"/>
      <c r="D1702" s="23"/>
      <c r="E1702" s="23"/>
      <c r="J1702" s="19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3:26" x14ac:dyDescent="0.25">
      <c r="C1703" s="23"/>
      <c r="D1703" s="23"/>
      <c r="E1703" s="23"/>
      <c r="J1703" s="19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3:26" x14ac:dyDescent="0.25">
      <c r="C1704" s="23"/>
      <c r="D1704" s="23"/>
      <c r="E1704" s="23"/>
      <c r="J1704" s="19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3:26" x14ac:dyDescent="0.25">
      <c r="C1705" s="23"/>
      <c r="D1705" s="23"/>
      <c r="E1705" s="23"/>
      <c r="J1705" s="19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3:26" x14ac:dyDescent="0.25">
      <c r="C1706" s="23"/>
      <c r="D1706" s="23"/>
      <c r="E1706" s="23"/>
      <c r="J1706" s="19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3:26" x14ac:dyDescent="0.25">
      <c r="C1707" s="23"/>
      <c r="D1707" s="23"/>
      <c r="E1707" s="23"/>
      <c r="J1707" s="19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3:26" x14ac:dyDescent="0.25">
      <c r="C1708" s="23"/>
      <c r="D1708" s="23"/>
      <c r="E1708" s="23"/>
      <c r="J1708" s="19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3:26" x14ac:dyDescent="0.25">
      <c r="C1709" s="23"/>
      <c r="D1709" s="23"/>
      <c r="E1709" s="23"/>
      <c r="J1709" s="19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3:26" x14ac:dyDescent="0.25">
      <c r="C1710" s="23"/>
      <c r="D1710" s="23"/>
      <c r="E1710" s="23"/>
      <c r="J1710" s="19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3:26" x14ac:dyDescent="0.25">
      <c r="C1711" s="23"/>
      <c r="D1711" s="23"/>
      <c r="E1711" s="23"/>
      <c r="J1711" s="19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3:26" x14ac:dyDescent="0.25">
      <c r="C1712" s="23"/>
      <c r="D1712" s="23"/>
      <c r="E1712" s="23"/>
      <c r="J1712" s="19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3:26" x14ac:dyDescent="0.25">
      <c r="C1713" s="23"/>
      <c r="D1713" s="23"/>
      <c r="E1713" s="23"/>
      <c r="J1713" s="19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3:26" x14ac:dyDescent="0.25">
      <c r="C1714" s="23"/>
      <c r="D1714" s="23"/>
      <c r="E1714" s="23"/>
      <c r="J1714" s="19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3:26" x14ac:dyDescent="0.25">
      <c r="C1715" s="23"/>
      <c r="D1715" s="23"/>
      <c r="E1715" s="23"/>
      <c r="J1715" s="19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3:26" x14ac:dyDescent="0.25">
      <c r="C1716" s="23"/>
      <c r="D1716" s="23"/>
      <c r="E1716" s="23"/>
      <c r="J1716" s="19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3:26" x14ac:dyDescent="0.25">
      <c r="C1717" s="23"/>
      <c r="D1717" s="23"/>
      <c r="E1717" s="23"/>
      <c r="J1717" s="19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3:26" x14ac:dyDescent="0.25">
      <c r="C1718" s="23"/>
      <c r="D1718" s="23"/>
      <c r="E1718" s="23"/>
      <c r="J1718" s="19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3:26" x14ac:dyDescent="0.25">
      <c r="C1719" s="23"/>
      <c r="D1719" s="23"/>
      <c r="E1719" s="23"/>
      <c r="J1719" s="19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3:26" x14ac:dyDescent="0.25">
      <c r="C1720" s="23"/>
      <c r="D1720" s="23"/>
      <c r="E1720" s="23"/>
      <c r="J1720" s="19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3:26" x14ac:dyDescent="0.25">
      <c r="C1721" s="23"/>
      <c r="D1721" s="23"/>
      <c r="E1721" s="23"/>
      <c r="J1721" s="19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3:26" x14ac:dyDescent="0.25">
      <c r="C1722" s="23"/>
      <c r="D1722" s="23"/>
      <c r="E1722" s="23"/>
      <c r="J1722" s="19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3:26" x14ac:dyDescent="0.25">
      <c r="C1723" s="23"/>
      <c r="D1723" s="23"/>
      <c r="E1723" s="23"/>
      <c r="J1723" s="19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3:26" x14ac:dyDescent="0.25">
      <c r="C1724" s="23"/>
      <c r="D1724" s="23"/>
      <c r="E1724" s="23"/>
      <c r="J1724" s="19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3:26" x14ac:dyDescent="0.25">
      <c r="C1725" s="23"/>
      <c r="D1725" s="23"/>
      <c r="E1725" s="23"/>
      <c r="J1725" s="19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3:26" x14ac:dyDescent="0.25">
      <c r="C1726" s="23"/>
      <c r="D1726" s="23"/>
      <c r="E1726" s="23"/>
      <c r="J1726" s="19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3:26" x14ac:dyDescent="0.25">
      <c r="C1727" s="23"/>
      <c r="D1727" s="23"/>
      <c r="E1727" s="23"/>
      <c r="J1727" s="19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3:26" x14ac:dyDescent="0.25">
      <c r="C1728" s="23"/>
      <c r="D1728" s="23"/>
      <c r="E1728" s="23"/>
      <c r="J1728" s="19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3:26" x14ac:dyDescent="0.25">
      <c r="C1729" s="23"/>
      <c r="D1729" s="23"/>
      <c r="E1729" s="23"/>
      <c r="J1729" s="19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3:26" x14ac:dyDescent="0.25">
      <c r="C1730" s="23"/>
      <c r="D1730" s="23"/>
      <c r="E1730" s="23"/>
      <c r="J1730" s="19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3:26" x14ac:dyDescent="0.25">
      <c r="C1731" s="23"/>
      <c r="D1731" s="23"/>
      <c r="E1731" s="23"/>
      <c r="J1731" s="19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3:26" x14ac:dyDescent="0.25">
      <c r="C1732" s="23"/>
      <c r="D1732" s="23"/>
      <c r="E1732" s="23"/>
      <c r="J1732" s="19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3:26" x14ac:dyDescent="0.25">
      <c r="C1733" s="23"/>
      <c r="D1733" s="23"/>
      <c r="E1733" s="23"/>
      <c r="J1733" s="19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3:26" x14ac:dyDescent="0.25">
      <c r="C1734" s="23"/>
      <c r="D1734" s="23"/>
      <c r="E1734" s="23"/>
      <c r="J1734" s="19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3:26" x14ac:dyDescent="0.25">
      <c r="C1735" s="23"/>
      <c r="D1735" s="23"/>
      <c r="E1735" s="23"/>
      <c r="J1735" s="19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3:26" x14ac:dyDescent="0.25">
      <c r="C1736" s="23"/>
      <c r="D1736" s="23"/>
      <c r="E1736" s="23"/>
      <c r="J1736" s="19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3:26" x14ac:dyDescent="0.25">
      <c r="C1737" s="23"/>
      <c r="D1737" s="23"/>
      <c r="E1737" s="23"/>
      <c r="J1737" s="19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3:26" x14ac:dyDescent="0.25">
      <c r="C1738" s="23"/>
      <c r="D1738" s="23"/>
      <c r="E1738" s="23"/>
      <c r="J1738" s="19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3:26" x14ac:dyDescent="0.25">
      <c r="C1739" s="23"/>
      <c r="D1739" s="23"/>
      <c r="E1739" s="23"/>
      <c r="J1739" s="19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3:26" x14ac:dyDescent="0.25">
      <c r="C1740" s="23"/>
      <c r="D1740" s="23"/>
      <c r="E1740" s="23"/>
      <c r="J1740" s="19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3:26" x14ac:dyDescent="0.25">
      <c r="C1741" s="23"/>
      <c r="D1741" s="23"/>
      <c r="E1741" s="23"/>
      <c r="J1741" s="19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3:26" x14ac:dyDescent="0.25">
      <c r="C1742" s="23"/>
      <c r="D1742" s="23"/>
      <c r="E1742" s="23"/>
      <c r="J1742" s="19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3:26" x14ac:dyDescent="0.25">
      <c r="C1743" s="23"/>
      <c r="D1743" s="23"/>
      <c r="E1743" s="23"/>
      <c r="J1743" s="19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3:26" x14ac:dyDescent="0.25">
      <c r="C1744" s="23"/>
      <c r="D1744" s="23"/>
      <c r="E1744" s="23"/>
      <c r="J1744" s="19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3:26" x14ac:dyDescent="0.25">
      <c r="C1745" s="23"/>
      <c r="D1745" s="23"/>
      <c r="E1745" s="23"/>
      <c r="J1745" s="19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3:26" x14ac:dyDescent="0.25">
      <c r="C1746" s="23"/>
      <c r="D1746" s="23"/>
      <c r="E1746" s="23"/>
      <c r="J1746" s="19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3:26" x14ac:dyDescent="0.25">
      <c r="C1747" s="23"/>
      <c r="D1747" s="23"/>
      <c r="E1747" s="23"/>
      <c r="J1747" s="19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3:26" x14ac:dyDescent="0.25">
      <c r="C1748" s="23"/>
      <c r="D1748" s="23"/>
      <c r="E1748" s="23"/>
      <c r="J1748" s="19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3:26" x14ac:dyDescent="0.25">
      <c r="C1749" s="23"/>
      <c r="D1749" s="23"/>
      <c r="E1749" s="23"/>
      <c r="J1749" s="19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3:26" x14ac:dyDescent="0.25">
      <c r="C1750" s="23"/>
      <c r="D1750" s="23"/>
      <c r="E1750" s="23"/>
      <c r="J1750" s="19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3:26" x14ac:dyDescent="0.25">
      <c r="C1751" s="23"/>
      <c r="D1751" s="23"/>
      <c r="E1751" s="23"/>
      <c r="J1751" s="19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3:26" x14ac:dyDescent="0.25">
      <c r="C1752" s="23"/>
      <c r="D1752" s="23"/>
      <c r="E1752" s="23"/>
      <c r="J1752" s="19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3:26" x14ac:dyDescent="0.25">
      <c r="C1753" s="23"/>
      <c r="D1753" s="23"/>
      <c r="E1753" s="23"/>
      <c r="J1753" s="19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3:26" x14ac:dyDescent="0.25">
      <c r="C1754" s="23"/>
      <c r="D1754" s="23"/>
      <c r="E1754" s="23"/>
      <c r="J1754" s="19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3:26" x14ac:dyDescent="0.25">
      <c r="C1755" s="23"/>
      <c r="D1755" s="23"/>
      <c r="E1755" s="23"/>
      <c r="J1755" s="19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3:26" x14ac:dyDescent="0.25">
      <c r="C1756" s="23"/>
      <c r="D1756" s="23"/>
      <c r="E1756" s="23"/>
      <c r="J1756" s="19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3:26" x14ac:dyDescent="0.25">
      <c r="C1757" s="23"/>
      <c r="D1757" s="23"/>
      <c r="E1757" s="23"/>
      <c r="J1757" s="19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3:26" x14ac:dyDescent="0.25">
      <c r="C1758" s="23"/>
      <c r="D1758" s="23"/>
      <c r="E1758" s="23"/>
      <c r="J1758" s="19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3:26" x14ac:dyDescent="0.25">
      <c r="C1759" s="23"/>
      <c r="D1759" s="23"/>
      <c r="E1759" s="23"/>
      <c r="J1759" s="19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3:26" x14ac:dyDescent="0.25">
      <c r="C1760" s="23"/>
      <c r="D1760" s="23"/>
      <c r="E1760" s="23"/>
      <c r="J1760" s="19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3:26" x14ac:dyDescent="0.25">
      <c r="C1761" s="23"/>
      <c r="D1761" s="23"/>
      <c r="E1761" s="23"/>
      <c r="J1761" s="19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3:26" x14ac:dyDescent="0.25">
      <c r="C1762" s="23"/>
      <c r="D1762" s="23"/>
      <c r="E1762" s="23"/>
      <c r="J1762" s="19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3:26" x14ac:dyDescent="0.25">
      <c r="C1763" s="23"/>
      <c r="D1763" s="23"/>
      <c r="E1763" s="23"/>
      <c r="J1763" s="19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3:26" x14ac:dyDescent="0.25">
      <c r="C1764" s="23"/>
      <c r="D1764" s="23"/>
      <c r="E1764" s="23"/>
      <c r="J1764" s="19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3:26" x14ac:dyDescent="0.25">
      <c r="C1765" s="23"/>
      <c r="D1765" s="23"/>
      <c r="E1765" s="23"/>
      <c r="J1765" s="19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3:26" x14ac:dyDescent="0.25">
      <c r="C1766" s="23"/>
      <c r="D1766" s="23"/>
      <c r="E1766" s="23"/>
      <c r="J1766" s="19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3:26" x14ac:dyDescent="0.25">
      <c r="C1767" s="23"/>
      <c r="D1767" s="23"/>
      <c r="E1767" s="23"/>
      <c r="J1767" s="19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3:26" x14ac:dyDescent="0.25">
      <c r="C1768" s="23"/>
      <c r="D1768" s="23"/>
      <c r="E1768" s="23"/>
      <c r="J1768" s="19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3:26" x14ac:dyDescent="0.25">
      <c r="C1769" s="23"/>
      <c r="D1769" s="23"/>
      <c r="E1769" s="23"/>
      <c r="J1769" s="19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3:26" x14ac:dyDescent="0.25">
      <c r="C1770" s="23"/>
      <c r="D1770" s="23"/>
      <c r="E1770" s="23"/>
      <c r="J1770" s="19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3:26" x14ac:dyDescent="0.25">
      <c r="C1771" s="23"/>
      <c r="D1771" s="23"/>
      <c r="E1771" s="23"/>
      <c r="J1771" s="19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3:26" x14ac:dyDescent="0.25">
      <c r="C1772" s="23"/>
      <c r="D1772" s="23"/>
      <c r="E1772" s="23"/>
      <c r="J1772" s="19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3:26" x14ac:dyDescent="0.25">
      <c r="C1773" s="23"/>
      <c r="D1773" s="23"/>
      <c r="E1773" s="23"/>
      <c r="J1773" s="19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3:26" x14ac:dyDescent="0.25">
      <c r="C1774" s="23"/>
      <c r="D1774" s="23"/>
      <c r="E1774" s="23"/>
      <c r="J1774" s="19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3:26" x14ac:dyDescent="0.25">
      <c r="C1775" s="23"/>
      <c r="D1775" s="23"/>
      <c r="E1775" s="23"/>
      <c r="J1775" s="19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3:26" x14ac:dyDescent="0.25">
      <c r="C1776" s="23"/>
      <c r="D1776" s="23"/>
      <c r="E1776" s="23"/>
      <c r="J1776" s="19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3:26" x14ac:dyDescent="0.25">
      <c r="C1777" s="23"/>
      <c r="D1777" s="23"/>
      <c r="E1777" s="23"/>
      <c r="J1777" s="19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3:26" x14ac:dyDescent="0.25">
      <c r="C1778" s="23"/>
      <c r="D1778" s="23"/>
      <c r="E1778" s="23"/>
      <c r="J1778" s="19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3:26" x14ac:dyDescent="0.25">
      <c r="C1779" s="23"/>
      <c r="D1779" s="23"/>
      <c r="E1779" s="23"/>
      <c r="J1779" s="19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3:26" x14ac:dyDescent="0.25">
      <c r="C1780" s="23"/>
      <c r="D1780" s="23"/>
      <c r="E1780" s="23"/>
      <c r="J1780" s="19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3:26" x14ac:dyDescent="0.25">
      <c r="C1781" s="23"/>
      <c r="D1781" s="23"/>
      <c r="E1781" s="23"/>
      <c r="J1781" s="19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3:26" x14ac:dyDescent="0.25">
      <c r="C1782" s="23"/>
      <c r="D1782" s="23"/>
      <c r="E1782" s="23"/>
      <c r="J1782" s="19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3:26" x14ac:dyDescent="0.25">
      <c r="C1783" s="23"/>
      <c r="D1783" s="23"/>
      <c r="E1783" s="23"/>
      <c r="J1783" s="19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3:26" x14ac:dyDescent="0.25">
      <c r="C1784" s="23"/>
      <c r="D1784" s="23"/>
      <c r="E1784" s="23"/>
      <c r="J1784" s="19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3:26" x14ac:dyDescent="0.25">
      <c r="C1785" s="23"/>
      <c r="D1785" s="23"/>
      <c r="E1785" s="23"/>
      <c r="J1785" s="19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3:26" x14ac:dyDescent="0.25">
      <c r="C1786" s="23"/>
      <c r="D1786" s="23"/>
      <c r="E1786" s="23"/>
      <c r="J1786" s="19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3:26" x14ac:dyDescent="0.25">
      <c r="C1787" s="23"/>
      <c r="D1787" s="23"/>
      <c r="E1787" s="23"/>
      <c r="J1787" s="19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3:26" x14ac:dyDescent="0.25">
      <c r="C1788" s="23"/>
      <c r="D1788" s="23"/>
      <c r="E1788" s="23"/>
      <c r="J1788" s="19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3:26" x14ac:dyDescent="0.25">
      <c r="C1789" s="23"/>
      <c r="D1789" s="23"/>
      <c r="E1789" s="23"/>
      <c r="J1789" s="19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3:26" x14ac:dyDescent="0.25">
      <c r="C1790" s="23"/>
      <c r="D1790" s="23"/>
      <c r="E1790" s="23"/>
      <c r="J1790" s="19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3:26" x14ac:dyDescent="0.25">
      <c r="C1791" s="23"/>
      <c r="D1791" s="23"/>
      <c r="E1791" s="23"/>
      <c r="J1791" s="19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3:26" x14ac:dyDescent="0.25">
      <c r="C1792" s="23"/>
      <c r="D1792" s="23"/>
      <c r="E1792" s="23"/>
      <c r="J1792" s="19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3:26" x14ac:dyDescent="0.25">
      <c r="C1793" s="23"/>
      <c r="D1793" s="23"/>
      <c r="E1793" s="23"/>
      <c r="J1793" s="19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3:26" x14ac:dyDescent="0.25">
      <c r="C1794" s="23"/>
      <c r="D1794" s="23"/>
      <c r="E1794" s="23"/>
      <c r="J1794" s="19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3:26" x14ac:dyDescent="0.25">
      <c r="C1795" s="23"/>
      <c r="D1795" s="23"/>
      <c r="E1795" s="23"/>
      <c r="J1795" s="19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3:26" x14ac:dyDescent="0.25">
      <c r="C1796" s="23"/>
      <c r="D1796" s="23"/>
      <c r="E1796" s="23"/>
      <c r="J1796" s="19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3:26" x14ac:dyDescent="0.25">
      <c r="C1797" s="23"/>
      <c r="D1797" s="23"/>
      <c r="E1797" s="23"/>
      <c r="J1797" s="19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3:26" x14ac:dyDescent="0.25">
      <c r="C1798" s="23"/>
      <c r="D1798" s="23"/>
      <c r="E1798" s="23"/>
      <c r="J1798" s="19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3:26" x14ac:dyDescent="0.25">
      <c r="C1799" s="23"/>
      <c r="D1799" s="23"/>
      <c r="E1799" s="23"/>
      <c r="J1799" s="19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3:26" x14ac:dyDescent="0.25">
      <c r="C1800" s="23"/>
      <c r="D1800" s="23"/>
      <c r="E1800" s="23"/>
      <c r="J1800" s="19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3:26" x14ac:dyDescent="0.25">
      <c r="C1801" s="23"/>
      <c r="D1801" s="23"/>
      <c r="E1801" s="23"/>
      <c r="J1801" s="19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3:26" x14ac:dyDescent="0.25">
      <c r="C1802" s="23"/>
      <c r="D1802" s="23"/>
      <c r="E1802" s="23"/>
      <c r="J1802" s="19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3:26" x14ac:dyDescent="0.25">
      <c r="C1803" s="23"/>
      <c r="D1803" s="23"/>
      <c r="E1803" s="23"/>
      <c r="J1803" s="19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3:26" x14ac:dyDescent="0.25">
      <c r="C1804" s="23"/>
      <c r="D1804" s="23"/>
      <c r="E1804" s="23"/>
      <c r="J1804" s="19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3:26" x14ac:dyDescent="0.25">
      <c r="C1805" s="23"/>
      <c r="D1805" s="23"/>
      <c r="E1805" s="23"/>
      <c r="J1805" s="19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3:26" x14ac:dyDescent="0.25">
      <c r="C1806" s="23"/>
      <c r="D1806" s="23"/>
      <c r="E1806" s="23"/>
      <c r="J1806" s="19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3:26" x14ac:dyDescent="0.25">
      <c r="C1807" s="23"/>
      <c r="D1807" s="23"/>
      <c r="E1807" s="23"/>
      <c r="J1807" s="19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3:26" x14ac:dyDescent="0.25">
      <c r="C1808" s="23"/>
      <c r="D1808" s="23"/>
      <c r="E1808" s="23"/>
      <c r="J1808" s="19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3:26" x14ac:dyDescent="0.25">
      <c r="C1809" s="23"/>
      <c r="D1809" s="23"/>
      <c r="E1809" s="23"/>
      <c r="J1809" s="19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3:26" x14ac:dyDescent="0.25">
      <c r="C1810" s="23"/>
      <c r="D1810" s="23"/>
      <c r="E1810" s="23"/>
      <c r="J1810" s="19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3:26" x14ac:dyDescent="0.25">
      <c r="C1811" s="23"/>
      <c r="D1811" s="23"/>
      <c r="E1811" s="23"/>
      <c r="J1811" s="19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3:26" x14ac:dyDescent="0.25">
      <c r="C1812" s="23"/>
      <c r="D1812" s="23"/>
      <c r="E1812" s="23"/>
      <c r="J1812" s="19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3:26" x14ac:dyDescent="0.25">
      <c r="C1813" s="23"/>
      <c r="D1813" s="23"/>
      <c r="E1813" s="23"/>
      <c r="J1813" s="19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3:26" x14ac:dyDescent="0.25">
      <c r="C1814" s="23"/>
      <c r="D1814" s="23"/>
      <c r="E1814" s="23"/>
      <c r="J1814" s="19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3:26" x14ac:dyDescent="0.25">
      <c r="C1815" s="23"/>
      <c r="D1815" s="23"/>
      <c r="E1815" s="23"/>
      <c r="J1815" s="19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3:26" x14ac:dyDescent="0.25">
      <c r="C1816" s="23"/>
      <c r="D1816" s="23"/>
      <c r="E1816" s="23"/>
      <c r="J1816" s="19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3:26" x14ac:dyDescent="0.25">
      <c r="C1817" s="23"/>
      <c r="D1817" s="23"/>
      <c r="E1817" s="23"/>
      <c r="J1817" s="19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3:26" x14ac:dyDescent="0.25">
      <c r="C1818" s="23"/>
      <c r="D1818" s="23"/>
      <c r="E1818" s="23"/>
      <c r="J1818" s="19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3:26" x14ac:dyDescent="0.25">
      <c r="C1819" s="23"/>
      <c r="D1819" s="23"/>
      <c r="E1819" s="23"/>
      <c r="J1819" s="19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3:26" x14ac:dyDescent="0.25">
      <c r="C1820" s="23"/>
      <c r="D1820" s="23"/>
      <c r="E1820" s="23"/>
      <c r="J1820" s="19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3:26" x14ac:dyDescent="0.25">
      <c r="C1821" s="23"/>
      <c r="D1821" s="23"/>
      <c r="E1821" s="23"/>
      <c r="J1821" s="19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3:26" x14ac:dyDescent="0.25">
      <c r="C1822" s="23"/>
      <c r="D1822" s="23"/>
      <c r="E1822" s="23"/>
      <c r="J1822" s="19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3:26" x14ac:dyDescent="0.25">
      <c r="C1823" s="23"/>
      <c r="D1823" s="23"/>
      <c r="E1823" s="23"/>
      <c r="J1823" s="19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3:26" x14ac:dyDescent="0.25">
      <c r="C1824" s="23"/>
      <c r="D1824" s="23"/>
      <c r="E1824" s="23"/>
      <c r="J1824" s="19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3:29" x14ac:dyDescent="0.25">
      <c r="C1825" s="23"/>
      <c r="D1825" s="23"/>
      <c r="E1825" s="23"/>
      <c r="J1825" s="19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3:29" x14ac:dyDescent="0.25">
      <c r="J1826" s="19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  <c r="AA1826" s="23"/>
      <c r="AB1826" s="23"/>
      <c r="AC1826" s="23"/>
    </row>
    <row r="1827" spans="3:29" x14ac:dyDescent="0.25">
      <c r="J1827" s="19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  <c r="AA1827" s="23"/>
      <c r="AB1827" s="23"/>
      <c r="AC1827" s="23"/>
    </row>
    <row r="1828" spans="3:29" x14ac:dyDescent="0.25">
      <c r="J1828" s="19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  <c r="AA1828" s="23"/>
      <c r="AB1828" s="23"/>
      <c r="AC1828" s="23"/>
    </row>
    <row r="1829" spans="3:29" x14ac:dyDescent="0.25">
      <c r="J1829" s="19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  <c r="AA1829" s="23"/>
      <c r="AB1829" s="23"/>
      <c r="AC1829" s="23"/>
    </row>
    <row r="1830" spans="3:29" x14ac:dyDescent="0.25">
      <c r="J1830" s="19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  <c r="AA1830" s="23"/>
      <c r="AB1830" s="23"/>
      <c r="AC1830" s="23"/>
    </row>
    <row r="1831" spans="3:29" x14ac:dyDescent="0.25">
      <c r="J1831" s="19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  <c r="AA1831" s="23"/>
      <c r="AB1831" s="23"/>
      <c r="AC1831" s="23"/>
    </row>
    <row r="1832" spans="3:29" x14ac:dyDescent="0.25">
      <c r="J1832" s="19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  <c r="AA1832" s="23"/>
      <c r="AB1832" s="23"/>
      <c r="AC1832" s="23"/>
    </row>
    <row r="1833" spans="3:29" x14ac:dyDescent="0.25">
      <c r="J1833" s="19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  <c r="AA1833" s="23"/>
      <c r="AB1833" s="23"/>
      <c r="AC1833" s="23"/>
    </row>
    <row r="1834" spans="3:29" x14ac:dyDescent="0.25">
      <c r="J1834" s="19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  <c r="AA1834" s="23"/>
      <c r="AB1834" s="23"/>
      <c r="AC1834" s="23"/>
    </row>
    <row r="1835" spans="3:29" x14ac:dyDescent="0.25">
      <c r="J1835" s="19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  <c r="AA1835" s="23"/>
      <c r="AB1835" s="23"/>
      <c r="AC1835" s="23"/>
    </row>
    <row r="1836" spans="3:29" x14ac:dyDescent="0.25">
      <c r="J1836" s="19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  <c r="AA1836" s="23"/>
      <c r="AB1836" s="23"/>
      <c r="AC1836" s="23"/>
    </row>
    <row r="1837" spans="3:29" x14ac:dyDescent="0.25">
      <c r="J1837" s="19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  <c r="AA1837" s="23"/>
      <c r="AB1837" s="23"/>
      <c r="AC1837" s="23"/>
    </row>
    <row r="1838" spans="3:29" x14ac:dyDescent="0.25">
      <c r="J1838" s="19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  <c r="AA1838" s="23"/>
      <c r="AB1838" s="23"/>
      <c r="AC1838" s="23"/>
    </row>
    <row r="1839" spans="3:29" x14ac:dyDescent="0.25">
      <c r="J1839" s="19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  <c r="AA1839" s="23"/>
      <c r="AB1839" s="23"/>
      <c r="AC1839" s="23"/>
    </row>
    <row r="1840" spans="3:29" x14ac:dyDescent="0.25">
      <c r="J1840" s="19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  <c r="AA1840" s="23"/>
      <c r="AB1840" s="23"/>
      <c r="AC1840" s="23"/>
    </row>
    <row r="1841" spans="10:29" x14ac:dyDescent="0.25">
      <c r="J1841" s="19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  <c r="AA1841" s="23"/>
      <c r="AB1841" s="23"/>
      <c r="AC1841" s="23"/>
    </row>
    <row r="1842" spans="10:29" x14ac:dyDescent="0.25">
      <c r="J1842" s="19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  <c r="AA1842" s="23"/>
      <c r="AB1842" s="23"/>
      <c r="AC1842" s="23"/>
    </row>
    <row r="1843" spans="10:29" x14ac:dyDescent="0.25">
      <c r="J1843" s="19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  <c r="AA1843" s="23"/>
      <c r="AB1843" s="23"/>
      <c r="AC1843" s="23"/>
    </row>
    <row r="1844" spans="10:29" x14ac:dyDescent="0.25">
      <c r="J1844" s="19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  <c r="AA1844" s="23"/>
      <c r="AB1844" s="23"/>
      <c r="AC1844" s="23"/>
    </row>
    <row r="1845" spans="10:29" x14ac:dyDescent="0.25">
      <c r="J1845" s="19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  <c r="AA1845" s="23"/>
      <c r="AB1845" s="23"/>
      <c r="AC1845" s="23"/>
    </row>
    <row r="1846" spans="10:29" x14ac:dyDescent="0.25">
      <c r="J1846" s="19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  <c r="AA1846" s="23"/>
      <c r="AB1846" s="23"/>
      <c r="AC1846" s="23"/>
    </row>
    <row r="1847" spans="10:29" x14ac:dyDescent="0.25">
      <c r="J1847" s="19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  <c r="AA1847" s="23"/>
      <c r="AB1847" s="23"/>
      <c r="AC1847" s="23"/>
    </row>
    <row r="1848" spans="10:29" x14ac:dyDescent="0.25">
      <c r="J1848" s="19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  <c r="AA1848" s="23"/>
      <c r="AB1848" s="23"/>
      <c r="AC1848" s="23"/>
    </row>
    <row r="1849" spans="10:29" x14ac:dyDescent="0.25">
      <c r="J1849" s="19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  <c r="AA1849" s="23"/>
      <c r="AB1849" s="23"/>
      <c r="AC1849" s="23"/>
    </row>
    <row r="1850" spans="10:29" x14ac:dyDescent="0.25">
      <c r="J1850" s="19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  <c r="AA1850" s="23"/>
      <c r="AB1850" s="23"/>
      <c r="AC1850" s="23"/>
    </row>
    <row r="1851" spans="10:29" x14ac:dyDescent="0.25">
      <c r="J1851" s="19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  <c r="AA1851" s="23"/>
      <c r="AB1851" s="23"/>
      <c r="AC1851" s="23"/>
    </row>
    <row r="1852" spans="10:29" x14ac:dyDescent="0.25">
      <c r="J1852" s="19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  <c r="AA1852" s="23"/>
      <c r="AB1852" s="23"/>
      <c r="AC1852" s="23"/>
    </row>
    <row r="1853" spans="10:29" x14ac:dyDescent="0.25">
      <c r="J1853" s="19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  <c r="AA1853" s="23"/>
      <c r="AB1853" s="23"/>
      <c r="AC1853" s="23"/>
    </row>
    <row r="1854" spans="10:29" x14ac:dyDescent="0.25">
      <c r="J1854" s="19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  <c r="AA1854" s="23"/>
      <c r="AB1854" s="23"/>
      <c r="AC1854" s="23"/>
    </row>
    <row r="1855" spans="10:29" x14ac:dyDescent="0.25">
      <c r="J1855" s="19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  <c r="AA1855" s="23"/>
      <c r="AB1855" s="23"/>
      <c r="AC1855" s="23"/>
    </row>
    <row r="1856" spans="10:29" x14ac:dyDescent="0.25">
      <c r="J1856" s="19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  <c r="AA1856" s="23"/>
      <c r="AB1856" s="23"/>
      <c r="AC1856" s="23"/>
    </row>
    <row r="1857" spans="10:29" x14ac:dyDescent="0.25">
      <c r="J1857" s="19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  <c r="AA1857" s="23"/>
      <c r="AB1857" s="23"/>
      <c r="AC1857" s="23"/>
    </row>
    <row r="1858" spans="10:29" x14ac:dyDescent="0.25">
      <c r="J1858" s="19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  <c r="AA1858" s="23"/>
      <c r="AB1858" s="23"/>
      <c r="AC1858" s="23"/>
    </row>
    <row r="1859" spans="10:29" x14ac:dyDescent="0.25">
      <c r="J1859" s="19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  <c r="AA1859" s="23"/>
      <c r="AB1859" s="23"/>
      <c r="AC1859" s="23"/>
    </row>
    <row r="1860" spans="10:29" x14ac:dyDescent="0.25">
      <c r="J1860" s="19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  <c r="AA1860" s="23"/>
      <c r="AB1860" s="23"/>
      <c r="AC1860" s="23"/>
    </row>
    <row r="1861" spans="10:29" x14ac:dyDescent="0.25">
      <c r="J1861" s="19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  <c r="AA1861" s="23"/>
      <c r="AB1861" s="23"/>
      <c r="AC1861" s="23"/>
    </row>
    <row r="1862" spans="10:29" x14ac:dyDescent="0.25">
      <c r="J1862" s="19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  <c r="AA1862" s="23"/>
      <c r="AB1862" s="23"/>
      <c r="AC1862" s="23"/>
    </row>
    <row r="1863" spans="10:29" x14ac:dyDescent="0.25">
      <c r="J1863" s="19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  <c r="AA1863" s="23"/>
      <c r="AB1863" s="23"/>
      <c r="AC1863" s="23"/>
    </row>
    <row r="1864" spans="10:29" x14ac:dyDescent="0.25">
      <c r="J1864" s="19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  <c r="AA1864" s="23"/>
      <c r="AB1864" s="23"/>
      <c r="AC1864" s="23"/>
    </row>
    <row r="1865" spans="10:29" x14ac:dyDescent="0.25">
      <c r="J1865" s="19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  <c r="AA1865" s="23"/>
      <c r="AB1865" s="23"/>
      <c r="AC1865" s="23"/>
    </row>
    <row r="1866" spans="10:29" x14ac:dyDescent="0.25">
      <c r="J1866" s="19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  <c r="AA1866" s="23"/>
      <c r="AB1866" s="23"/>
      <c r="AC1866" s="23"/>
    </row>
    <row r="1867" spans="10:29" x14ac:dyDescent="0.25">
      <c r="J1867" s="19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  <c r="AA1867" s="23"/>
      <c r="AB1867" s="23"/>
      <c r="AC1867" s="23"/>
    </row>
    <row r="1868" spans="10:29" x14ac:dyDescent="0.25">
      <c r="J1868" s="19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  <c r="AA1868" s="23"/>
      <c r="AB1868" s="23"/>
      <c r="AC1868" s="23"/>
    </row>
    <row r="1869" spans="10:29" x14ac:dyDescent="0.25">
      <c r="J1869" s="19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  <c r="AA1869" s="23"/>
      <c r="AB1869" s="23"/>
      <c r="AC1869" s="23"/>
    </row>
    <row r="1870" spans="10:29" x14ac:dyDescent="0.25">
      <c r="J1870" s="19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  <c r="AA1870" s="23"/>
      <c r="AB1870" s="23"/>
      <c r="AC1870" s="23"/>
    </row>
    <row r="1871" spans="10:29" x14ac:dyDescent="0.25">
      <c r="J1871" s="19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  <c r="AA1871" s="23"/>
      <c r="AB1871" s="23"/>
      <c r="AC1871" s="23"/>
    </row>
    <row r="1872" spans="10:29" x14ac:dyDescent="0.25">
      <c r="J1872" s="19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  <c r="AA1872" s="23"/>
      <c r="AB1872" s="23"/>
      <c r="AC1872" s="23"/>
    </row>
    <row r="1873" spans="10:29" x14ac:dyDescent="0.25">
      <c r="J1873" s="19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  <c r="AA1873" s="23"/>
      <c r="AB1873" s="23"/>
      <c r="AC1873" s="23"/>
    </row>
    <row r="1874" spans="10:29" x14ac:dyDescent="0.25">
      <c r="J1874" s="19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  <c r="AA1874" s="23"/>
      <c r="AB1874" s="23"/>
      <c r="AC1874" s="23"/>
    </row>
    <row r="1875" spans="10:29" x14ac:dyDescent="0.25">
      <c r="J1875" s="19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  <c r="AA1875" s="23"/>
      <c r="AB1875" s="23"/>
      <c r="AC1875" s="23"/>
    </row>
    <row r="1876" spans="10:29" x14ac:dyDescent="0.25">
      <c r="J1876" s="19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  <c r="AA1876" s="23"/>
      <c r="AB1876" s="23"/>
      <c r="AC1876" s="23"/>
    </row>
    <row r="1877" spans="10:29" x14ac:dyDescent="0.25">
      <c r="J1877" s="19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  <c r="AA1877" s="23"/>
      <c r="AB1877" s="23"/>
      <c r="AC1877" s="23"/>
    </row>
    <row r="1878" spans="10:29" x14ac:dyDescent="0.25">
      <c r="J1878" s="19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  <c r="AA1878" s="23"/>
      <c r="AB1878" s="23"/>
      <c r="AC1878" s="23"/>
    </row>
    <row r="1879" spans="10:29" x14ac:dyDescent="0.25">
      <c r="J1879" s="19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  <c r="AA1879" s="23"/>
      <c r="AB1879" s="23"/>
      <c r="AC1879" s="23"/>
    </row>
    <row r="1880" spans="10:29" x14ac:dyDescent="0.25">
      <c r="J1880" s="19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  <c r="AA1880" s="23"/>
      <c r="AB1880" s="23"/>
      <c r="AC1880" s="23"/>
    </row>
    <row r="1881" spans="10:29" x14ac:dyDescent="0.25">
      <c r="J1881" s="19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  <c r="AA1881" s="23"/>
      <c r="AB1881" s="23"/>
      <c r="AC1881" s="23"/>
    </row>
    <row r="1882" spans="10:29" x14ac:dyDescent="0.25">
      <c r="J1882" s="19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  <c r="AA1882" s="23"/>
      <c r="AB1882" s="23"/>
      <c r="AC1882" s="23"/>
    </row>
    <row r="1883" spans="10:29" x14ac:dyDescent="0.25">
      <c r="J1883" s="19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  <c r="AA1883" s="23"/>
      <c r="AB1883" s="23"/>
      <c r="AC1883" s="23"/>
    </row>
    <row r="1884" spans="10:29" x14ac:dyDescent="0.25">
      <c r="J1884" s="19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  <c r="AA1884" s="23"/>
      <c r="AB1884" s="23"/>
      <c r="AC1884" s="23"/>
    </row>
    <row r="1885" spans="10:29" x14ac:dyDescent="0.25">
      <c r="J1885" s="19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  <c r="AA1885" s="23"/>
      <c r="AB1885" s="23"/>
      <c r="AC1885" s="23"/>
    </row>
    <row r="1886" spans="10:29" x14ac:dyDescent="0.25">
      <c r="J1886" s="19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  <c r="AA1886" s="23"/>
      <c r="AB1886" s="23"/>
      <c r="AC1886" s="23"/>
    </row>
    <row r="1887" spans="10:29" x14ac:dyDescent="0.25">
      <c r="J1887" s="19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  <c r="AA1887" s="23"/>
      <c r="AB1887" s="23"/>
      <c r="AC1887" s="23"/>
    </row>
    <row r="1888" spans="10:29" x14ac:dyDescent="0.25">
      <c r="J1888" s="19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  <c r="AA1888" s="23"/>
      <c r="AB1888" s="23"/>
      <c r="AC1888" s="23"/>
    </row>
    <row r="1889" spans="10:29" x14ac:dyDescent="0.25">
      <c r="J1889" s="19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  <c r="AA1889" s="23"/>
      <c r="AB1889" s="23"/>
      <c r="AC1889" s="23"/>
    </row>
    <row r="1890" spans="10:29" x14ac:dyDescent="0.25">
      <c r="J1890" s="19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  <c r="AA1890" s="23"/>
      <c r="AB1890" s="23"/>
      <c r="AC1890" s="23"/>
    </row>
    <row r="1891" spans="10:29" x14ac:dyDescent="0.25">
      <c r="J1891" s="19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  <c r="AA1891" s="23"/>
      <c r="AB1891" s="23"/>
      <c r="AC1891" s="23"/>
    </row>
    <row r="1892" spans="10:29" x14ac:dyDescent="0.25">
      <c r="J1892" s="19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  <c r="AA1892" s="23"/>
      <c r="AB1892" s="23"/>
      <c r="AC1892" s="23"/>
    </row>
    <row r="1893" spans="10:29" x14ac:dyDescent="0.25">
      <c r="J1893" s="19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  <c r="AA1893" s="23"/>
      <c r="AB1893" s="23"/>
      <c r="AC1893" s="23"/>
    </row>
    <row r="1894" spans="10:29" x14ac:dyDescent="0.25">
      <c r="J1894" s="19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  <c r="AA1894" s="23"/>
      <c r="AB1894" s="23"/>
      <c r="AC1894" s="23"/>
    </row>
    <row r="1895" spans="10:29" x14ac:dyDescent="0.25">
      <c r="J1895" s="19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  <c r="AA1895" s="23"/>
      <c r="AB1895" s="23"/>
      <c r="AC1895" s="23"/>
    </row>
    <row r="1896" spans="10:29" x14ac:dyDescent="0.25">
      <c r="J1896" s="19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  <c r="AA1896" s="23"/>
      <c r="AB1896" s="23"/>
      <c r="AC1896" s="23"/>
    </row>
    <row r="1897" spans="10:29" x14ac:dyDescent="0.25">
      <c r="J1897" s="19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  <c r="AA1897" s="23"/>
      <c r="AB1897" s="23"/>
      <c r="AC1897" s="23"/>
    </row>
    <row r="1898" spans="10:29" x14ac:dyDescent="0.25">
      <c r="J1898" s="19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  <c r="AA1898" s="23"/>
      <c r="AB1898" s="23"/>
      <c r="AC1898" s="23"/>
    </row>
    <row r="1899" spans="10:29" x14ac:dyDescent="0.25">
      <c r="J1899" s="19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  <c r="AA1899" s="23"/>
      <c r="AB1899" s="23"/>
      <c r="AC1899" s="23"/>
    </row>
    <row r="1900" spans="10:29" x14ac:dyDescent="0.25">
      <c r="J1900" s="19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  <c r="AA1900" s="23"/>
      <c r="AB1900" s="23"/>
      <c r="AC1900" s="23"/>
    </row>
    <row r="1901" spans="10:29" x14ac:dyDescent="0.25">
      <c r="J1901" s="19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  <c r="AA1901" s="23"/>
      <c r="AB1901" s="23"/>
      <c r="AC1901" s="23"/>
    </row>
    <row r="1902" spans="10:29" x14ac:dyDescent="0.25">
      <c r="J1902" s="19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  <c r="AA1902" s="23"/>
      <c r="AB1902" s="23"/>
      <c r="AC1902" s="23"/>
    </row>
    <row r="1903" spans="10:29" x14ac:dyDescent="0.25">
      <c r="J1903" s="19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  <c r="AA1903" s="23"/>
      <c r="AB1903" s="23"/>
      <c r="AC1903" s="23"/>
    </row>
    <row r="1904" spans="10:29" x14ac:dyDescent="0.25">
      <c r="J1904" s="19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  <c r="AA1904" s="23"/>
      <c r="AB1904" s="23"/>
      <c r="AC1904" s="23"/>
    </row>
    <row r="1905" spans="10:29" x14ac:dyDescent="0.25">
      <c r="J1905" s="19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  <c r="AA1905" s="23"/>
      <c r="AB1905" s="23"/>
      <c r="AC1905" s="23"/>
    </row>
    <row r="1906" spans="10:29" x14ac:dyDescent="0.25">
      <c r="J1906" s="19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  <c r="AA1906" s="23"/>
      <c r="AB1906" s="23"/>
      <c r="AC1906" s="23"/>
    </row>
    <row r="1907" spans="10:29" x14ac:dyDescent="0.25">
      <c r="J1907" s="19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  <c r="AA1907" s="23"/>
      <c r="AB1907" s="23"/>
      <c r="AC1907" s="23"/>
    </row>
    <row r="1908" spans="10:29" x14ac:dyDescent="0.25">
      <c r="J1908" s="19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  <c r="AA1908" s="23"/>
      <c r="AB1908" s="23"/>
      <c r="AC1908" s="23"/>
    </row>
    <row r="1909" spans="10:29" x14ac:dyDescent="0.25">
      <c r="J1909" s="19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  <c r="AA1909" s="23"/>
      <c r="AB1909" s="23"/>
      <c r="AC1909" s="23"/>
    </row>
    <row r="1910" spans="10:29" x14ac:dyDescent="0.25">
      <c r="J1910" s="19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  <c r="AA1910" s="23"/>
      <c r="AB1910" s="23"/>
      <c r="AC1910" s="23"/>
    </row>
    <row r="1911" spans="10:29" x14ac:dyDescent="0.25">
      <c r="J1911" s="19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  <c r="AA1911" s="23"/>
      <c r="AB1911" s="23"/>
      <c r="AC1911" s="23"/>
    </row>
    <row r="1912" spans="10:29" x14ac:dyDescent="0.25">
      <c r="J1912" s="19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  <c r="AA1912" s="23"/>
      <c r="AB1912" s="23"/>
      <c r="AC1912" s="23"/>
    </row>
    <row r="1913" spans="10:29" x14ac:dyDescent="0.25">
      <c r="J1913" s="19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  <c r="AA1913" s="23"/>
      <c r="AB1913" s="23"/>
      <c r="AC1913" s="23"/>
    </row>
    <row r="1914" spans="10:29" x14ac:dyDescent="0.25">
      <c r="J1914" s="19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  <c r="AA1914" s="23"/>
      <c r="AB1914" s="23"/>
      <c r="AC1914" s="23"/>
    </row>
    <row r="1915" spans="10:29" x14ac:dyDescent="0.25">
      <c r="J1915" s="19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  <c r="AA1915" s="23"/>
      <c r="AB1915" s="23"/>
      <c r="AC1915" s="23"/>
    </row>
    <row r="1916" spans="10:29" x14ac:dyDescent="0.25">
      <c r="J1916" s="19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  <c r="AA1916" s="23"/>
      <c r="AB1916" s="23"/>
      <c r="AC1916" s="23"/>
    </row>
    <row r="1917" spans="10:29" x14ac:dyDescent="0.25">
      <c r="J1917" s="19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  <c r="AA1917" s="23"/>
      <c r="AB1917" s="23"/>
      <c r="AC1917" s="23"/>
    </row>
    <row r="1918" spans="10:29" x14ac:dyDescent="0.25">
      <c r="J1918" s="19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  <c r="AA1918" s="23"/>
      <c r="AB1918" s="23"/>
      <c r="AC1918" s="23"/>
    </row>
    <row r="1919" spans="10:29" x14ac:dyDescent="0.25">
      <c r="J1919" s="19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  <c r="AA1919" s="23"/>
      <c r="AB1919" s="23"/>
      <c r="AC1919" s="23"/>
    </row>
    <row r="1920" spans="10:29" x14ac:dyDescent="0.25">
      <c r="J1920" s="19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  <c r="AA1920" s="23"/>
      <c r="AB1920" s="23"/>
      <c r="AC1920" s="23"/>
    </row>
    <row r="1921" spans="10:29" x14ac:dyDescent="0.25">
      <c r="J1921" s="19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  <c r="AA1921" s="23"/>
      <c r="AB1921" s="23"/>
      <c r="AC1921" s="23"/>
    </row>
    <row r="1922" spans="10:29" x14ac:dyDescent="0.25">
      <c r="J1922" s="19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  <c r="AA1922" s="23"/>
      <c r="AB1922" s="23"/>
      <c r="AC1922" s="23"/>
    </row>
    <row r="1923" spans="10:29" x14ac:dyDescent="0.25">
      <c r="J1923" s="19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  <c r="AA1923" s="23"/>
      <c r="AB1923" s="23"/>
      <c r="AC1923" s="23"/>
    </row>
    <row r="1924" spans="10:29" x14ac:dyDescent="0.25">
      <c r="J1924" s="19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  <c r="AA1924" s="23"/>
      <c r="AB1924" s="23"/>
      <c r="AC1924" s="23"/>
    </row>
    <row r="1925" spans="10:29" x14ac:dyDescent="0.25">
      <c r="J1925" s="19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  <c r="AA1925" s="23"/>
      <c r="AB1925" s="23"/>
      <c r="AC1925" s="23"/>
    </row>
    <row r="1926" spans="10:29" x14ac:dyDescent="0.25">
      <c r="J1926" s="19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  <c r="AA1926" s="23"/>
      <c r="AB1926" s="23"/>
      <c r="AC1926" s="23"/>
    </row>
    <row r="1927" spans="10:29" x14ac:dyDescent="0.25">
      <c r="J1927" s="19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  <c r="AA1927" s="23"/>
      <c r="AB1927" s="23"/>
      <c r="AC1927" s="23"/>
    </row>
    <row r="1928" spans="10:29" x14ac:dyDescent="0.25">
      <c r="J1928" s="19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  <c r="AA1928" s="23"/>
      <c r="AB1928" s="23"/>
      <c r="AC1928" s="23"/>
    </row>
    <row r="1929" spans="10:29" x14ac:dyDescent="0.25">
      <c r="J1929" s="19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  <c r="AA1929" s="23"/>
      <c r="AB1929" s="23"/>
      <c r="AC1929" s="23"/>
    </row>
    <row r="1930" spans="10:29" x14ac:dyDescent="0.25">
      <c r="J1930" s="19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  <c r="AA1930" s="23"/>
      <c r="AB1930" s="23"/>
      <c r="AC1930" s="23"/>
    </row>
    <row r="1931" spans="10:29" x14ac:dyDescent="0.25">
      <c r="J1931" s="19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  <c r="AA1931" s="23"/>
      <c r="AB1931" s="23"/>
      <c r="AC1931" s="23"/>
    </row>
    <row r="1932" spans="10:29" x14ac:dyDescent="0.25">
      <c r="J1932" s="19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  <c r="AA1932" s="23"/>
      <c r="AB1932" s="23"/>
      <c r="AC1932" s="23"/>
    </row>
    <row r="1933" spans="10:29" x14ac:dyDescent="0.25">
      <c r="J1933" s="19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  <c r="AA1933" s="23"/>
      <c r="AB1933" s="23"/>
      <c r="AC1933" s="23"/>
    </row>
    <row r="1934" spans="10:29" x14ac:dyDescent="0.25">
      <c r="J1934" s="19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  <c r="AA1934" s="23"/>
      <c r="AB1934" s="23"/>
      <c r="AC1934" s="23"/>
    </row>
    <row r="1935" spans="10:29" x14ac:dyDescent="0.25">
      <c r="J1935" s="19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  <c r="AA1935" s="23"/>
      <c r="AB1935" s="23"/>
      <c r="AC1935" s="23"/>
    </row>
    <row r="1936" spans="10:29" x14ac:dyDescent="0.25">
      <c r="J1936" s="19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  <c r="AA1936" s="23"/>
      <c r="AB1936" s="23"/>
      <c r="AC1936" s="23"/>
    </row>
    <row r="1937" spans="10:29" x14ac:dyDescent="0.25">
      <c r="J1937" s="19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  <c r="AA1937" s="23"/>
      <c r="AB1937" s="23"/>
      <c r="AC1937" s="23"/>
    </row>
    <row r="1938" spans="10:29" x14ac:dyDescent="0.25">
      <c r="J1938" s="19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  <c r="AA1938" s="23"/>
      <c r="AB1938" s="23"/>
      <c r="AC1938" s="23"/>
    </row>
    <row r="1939" spans="10:29" x14ac:dyDescent="0.25">
      <c r="J1939" s="19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  <c r="AA1939" s="23"/>
      <c r="AB1939" s="23"/>
      <c r="AC1939" s="23"/>
    </row>
    <row r="1940" spans="10:29" x14ac:dyDescent="0.25">
      <c r="J1940" s="19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  <c r="AA1940" s="23"/>
      <c r="AB1940" s="23"/>
      <c r="AC1940" s="23"/>
    </row>
    <row r="1941" spans="10:29" x14ac:dyDescent="0.25">
      <c r="J1941" s="19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  <c r="AA1941" s="23"/>
      <c r="AB1941" s="23"/>
      <c r="AC1941" s="23"/>
    </row>
    <row r="1942" spans="10:29" x14ac:dyDescent="0.25">
      <c r="J1942" s="19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  <c r="AA1942" s="23"/>
      <c r="AB1942" s="23"/>
      <c r="AC1942" s="23"/>
    </row>
    <row r="1943" spans="10:29" x14ac:dyDescent="0.25">
      <c r="J1943" s="19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  <c r="AA1943" s="23"/>
      <c r="AB1943" s="23"/>
      <c r="AC1943" s="23"/>
    </row>
    <row r="1944" spans="10:29" x14ac:dyDescent="0.25">
      <c r="J1944" s="19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  <c r="AA1944" s="23"/>
      <c r="AB1944" s="23"/>
      <c r="AC1944" s="23"/>
    </row>
    <row r="1945" spans="10:29" x14ac:dyDescent="0.25">
      <c r="J1945" s="19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  <c r="AA1945" s="23"/>
      <c r="AB1945" s="23"/>
      <c r="AC1945" s="23"/>
    </row>
    <row r="1946" spans="10:29" x14ac:dyDescent="0.25">
      <c r="J1946" s="19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  <c r="AA1946" s="23"/>
      <c r="AB1946" s="23"/>
      <c r="AC1946" s="23"/>
    </row>
    <row r="1947" spans="10:29" x14ac:dyDescent="0.25">
      <c r="J1947" s="19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  <c r="AA1947" s="23"/>
      <c r="AB1947" s="23"/>
      <c r="AC1947" s="23"/>
    </row>
    <row r="1948" spans="10:29" x14ac:dyDescent="0.25">
      <c r="J1948" s="19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  <c r="AA1948" s="23"/>
      <c r="AB1948" s="23"/>
      <c r="AC1948" s="23"/>
    </row>
    <row r="1949" spans="10:29" x14ac:dyDescent="0.25">
      <c r="J1949" s="19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  <c r="AA1949" s="23"/>
      <c r="AB1949" s="23"/>
      <c r="AC1949" s="23"/>
    </row>
    <row r="1950" spans="10:29" x14ac:dyDescent="0.25">
      <c r="J1950" s="19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  <c r="AA1950" s="23"/>
      <c r="AB1950" s="23"/>
      <c r="AC1950" s="23"/>
    </row>
    <row r="1951" spans="10:29" x14ac:dyDescent="0.25">
      <c r="J1951" s="19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  <c r="AA1951" s="23"/>
      <c r="AB1951" s="23"/>
      <c r="AC1951" s="23"/>
    </row>
    <row r="1952" spans="10:29" x14ac:dyDescent="0.25">
      <c r="J1952" s="19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  <c r="AA1952" s="23"/>
      <c r="AB1952" s="23"/>
      <c r="AC1952" s="23"/>
    </row>
    <row r="1953" spans="10:29" x14ac:dyDescent="0.25">
      <c r="J1953" s="19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  <c r="AA1953" s="23"/>
      <c r="AB1953" s="23"/>
      <c r="AC1953" s="23"/>
    </row>
    <row r="1954" spans="10:29" x14ac:dyDescent="0.25">
      <c r="J1954" s="19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  <c r="AA1954" s="23"/>
      <c r="AB1954" s="23"/>
      <c r="AC1954" s="23"/>
    </row>
    <row r="1955" spans="10:29" x14ac:dyDescent="0.25">
      <c r="J1955" s="19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  <c r="AA1955" s="23"/>
      <c r="AB1955" s="23"/>
      <c r="AC1955" s="23"/>
    </row>
    <row r="1956" spans="10:29" x14ac:dyDescent="0.25">
      <c r="J1956" s="19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  <c r="AA1956" s="23"/>
      <c r="AB1956" s="23"/>
      <c r="AC1956" s="23"/>
    </row>
    <row r="1957" spans="10:29" x14ac:dyDescent="0.25">
      <c r="J1957" s="19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  <c r="AA1957" s="23"/>
      <c r="AB1957" s="23"/>
      <c r="AC1957" s="23"/>
    </row>
    <row r="1958" spans="10:29" x14ac:dyDescent="0.25">
      <c r="J1958" s="19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  <c r="AA1958" s="23"/>
      <c r="AB1958" s="23"/>
      <c r="AC1958" s="23"/>
    </row>
    <row r="1959" spans="10:29" x14ac:dyDescent="0.25">
      <c r="J1959" s="19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  <c r="AA1959" s="23"/>
      <c r="AB1959" s="23"/>
      <c r="AC1959" s="23"/>
    </row>
    <row r="1960" spans="10:29" x14ac:dyDescent="0.25">
      <c r="J1960" s="19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  <c r="AA1960" s="23"/>
      <c r="AB1960" s="23"/>
      <c r="AC1960" s="23"/>
    </row>
    <row r="1961" spans="10:29" x14ac:dyDescent="0.25">
      <c r="J1961" s="19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  <c r="AA1961" s="23"/>
      <c r="AB1961" s="23"/>
      <c r="AC1961" s="23"/>
    </row>
    <row r="1962" spans="10:29" x14ac:dyDescent="0.25">
      <c r="J1962" s="19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  <c r="AA1962" s="23"/>
      <c r="AB1962" s="23"/>
      <c r="AC1962" s="23"/>
    </row>
    <row r="1963" spans="10:29" x14ac:dyDescent="0.25">
      <c r="J1963" s="19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  <c r="AA1963" s="23"/>
      <c r="AB1963" s="23"/>
      <c r="AC1963" s="23"/>
    </row>
    <row r="1964" spans="10:29" x14ac:dyDescent="0.25">
      <c r="J1964" s="19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  <c r="AA1964" s="23"/>
      <c r="AB1964" s="23"/>
      <c r="AC1964" s="23"/>
    </row>
    <row r="1965" spans="10:29" x14ac:dyDescent="0.25">
      <c r="J1965" s="19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  <c r="AA1965" s="23"/>
      <c r="AB1965" s="23"/>
      <c r="AC1965" s="23"/>
    </row>
    <row r="1966" spans="10:29" x14ac:dyDescent="0.25">
      <c r="J1966" s="19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  <c r="AA1966" s="23"/>
      <c r="AB1966" s="23"/>
      <c r="AC1966" s="23"/>
    </row>
    <row r="1967" spans="10:29" x14ac:dyDescent="0.25">
      <c r="J1967" s="19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  <c r="AA1967" s="23"/>
      <c r="AB1967" s="23"/>
      <c r="AC1967" s="23"/>
    </row>
    <row r="1968" spans="10:29" x14ac:dyDescent="0.25">
      <c r="J1968" s="19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  <c r="AA1968" s="23"/>
      <c r="AB1968" s="23"/>
      <c r="AC1968" s="23"/>
    </row>
    <row r="1969" spans="10:29" x14ac:dyDescent="0.25">
      <c r="J1969" s="19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  <c r="AA1969" s="23"/>
      <c r="AB1969" s="23"/>
      <c r="AC1969" s="23"/>
    </row>
    <row r="1970" spans="10:29" x14ac:dyDescent="0.25">
      <c r="J1970" s="19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  <c r="AA1970" s="23"/>
      <c r="AB1970" s="23"/>
      <c r="AC1970" s="23"/>
    </row>
    <row r="1971" spans="10:29" x14ac:dyDescent="0.25">
      <c r="J1971" s="19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  <c r="AA1971" s="23"/>
      <c r="AB1971" s="23"/>
      <c r="AC1971" s="23"/>
    </row>
    <row r="1972" spans="10:29" x14ac:dyDescent="0.25">
      <c r="J1972" s="19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  <c r="AA1972" s="23"/>
      <c r="AB1972" s="23"/>
      <c r="AC1972" s="23"/>
    </row>
    <row r="1973" spans="10:29" x14ac:dyDescent="0.25">
      <c r="J1973" s="19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  <c r="AA1973" s="23"/>
      <c r="AB1973" s="23"/>
      <c r="AC1973" s="23"/>
    </row>
    <row r="1974" spans="10:29" x14ac:dyDescent="0.25">
      <c r="J1974" s="19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  <c r="AA1974" s="23"/>
      <c r="AB1974" s="23"/>
      <c r="AC1974" s="23"/>
    </row>
    <row r="1975" spans="10:29" x14ac:dyDescent="0.25">
      <c r="J1975" s="19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  <c r="AA1975" s="23"/>
      <c r="AB1975" s="23"/>
      <c r="AC1975" s="23"/>
    </row>
    <row r="1976" spans="10:29" x14ac:dyDescent="0.25">
      <c r="J1976" s="19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  <c r="AA1976" s="23"/>
      <c r="AB1976" s="23"/>
      <c r="AC1976" s="23"/>
    </row>
    <row r="1977" spans="10:29" x14ac:dyDescent="0.25">
      <c r="J1977" s="19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  <c r="AA1977" s="23"/>
      <c r="AB1977" s="23"/>
      <c r="AC1977" s="23"/>
    </row>
    <row r="1978" spans="10:29" x14ac:dyDescent="0.25">
      <c r="J1978" s="19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  <c r="AA1978" s="23"/>
      <c r="AB1978" s="23"/>
      <c r="AC1978" s="23"/>
    </row>
    <row r="1979" spans="10:29" x14ac:dyDescent="0.25">
      <c r="J1979" s="19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  <c r="AA1979" s="23"/>
      <c r="AB1979" s="23"/>
      <c r="AC1979" s="23"/>
    </row>
    <row r="1980" spans="10:29" x14ac:dyDescent="0.25">
      <c r="J1980" s="19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  <c r="AA1980" s="23"/>
      <c r="AB1980" s="23"/>
      <c r="AC1980" s="23"/>
    </row>
    <row r="1981" spans="10:29" x14ac:dyDescent="0.25">
      <c r="J1981" s="19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  <c r="AA1981" s="23"/>
      <c r="AB1981" s="23"/>
      <c r="AC1981" s="23"/>
    </row>
    <row r="1982" spans="10:29" x14ac:dyDescent="0.25">
      <c r="J1982" s="19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  <c r="AA1982" s="23"/>
      <c r="AB1982" s="23"/>
      <c r="AC1982" s="23"/>
    </row>
    <row r="1983" spans="10:29" x14ac:dyDescent="0.25">
      <c r="J1983" s="19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  <c r="AA1983" s="23"/>
      <c r="AB1983" s="23"/>
      <c r="AC1983" s="23"/>
    </row>
    <row r="1984" spans="10:29" x14ac:dyDescent="0.25">
      <c r="J1984" s="19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  <c r="AA1984" s="23"/>
      <c r="AB1984" s="23"/>
      <c r="AC1984" s="23"/>
    </row>
    <row r="1985" spans="10:29" x14ac:dyDescent="0.25">
      <c r="J1985" s="19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  <c r="AA1985" s="23"/>
      <c r="AB1985" s="23"/>
      <c r="AC1985" s="23"/>
    </row>
    <row r="1986" spans="10:29" x14ac:dyDescent="0.25">
      <c r="J1986" s="19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  <c r="AA1986" s="23"/>
      <c r="AB1986" s="23"/>
      <c r="AC1986" s="23"/>
    </row>
    <row r="1987" spans="10:29" x14ac:dyDescent="0.25">
      <c r="J1987" s="19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  <c r="AA1987" s="23"/>
      <c r="AB1987" s="23"/>
      <c r="AC1987" s="23"/>
    </row>
    <row r="1988" spans="10:29" x14ac:dyDescent="0.25">
      <c r="J1988" s="19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  <c r="AA1988" s="23"/>
      <c r="AB1988" s="23"/>
      <c r="AC1988" s="23"/>
    </row>
    <row r="1989" spans="10:29" x14ac:dyDescent="0.25">
      <c r="J1989" s="19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  <c r="AA1989" s="23"/>
      <c r="AB1989" s="23"/>
      <c r="AC1989" s="23"/>
    </row>
    <row r="1990" spans="10:29" x14ac:dyDescent="0.25">
      <c r="J1990" s="19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  <c r="AA1990" s="23"/>
      <c r="AB1990" s="23"/>
      <c r="AC1990" s="23"/>
    </row>
    <row r="1991" spans="10:29" x14ac:dyDescent="0.25">
      <c r="J1991" s="19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  <c r="AA1991" s="23"/>
      <c r="AB1991" s="23"/>
      <c r="AC1991" s="23"/>
    </row>
    <row r="1992" spans="10:29" x14ac:dyDescent="0.25">
      <c r="J1992" s="19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  <c r="AA1992" s="23"/>
      <c r="AB1992" s="23"/>
      <c r="AC1992" s="23"/>
    </row>
    <row r="1993" spans="10:29" x14ac:dyDescent="0.25">
      <c r="J1993" s="19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  <c r="AA1993" s="23"/>
      <c r="AB1993" s="23"/>
      <c r="AC1993" s="23"/>
    </row>
    <row r="1994" spans="10:29" x14ac:dyDescent="0.25">
      <c r="J1994" s="19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  <c r="AA1994" s="23"/>
      <c r="AB1994" s="23"/>
      <c r="AC1994" s="23"/>
    </row>
    <row r="1995" spans="10:29" x14ac:dyDescent="0.25">
      <c r="J1995" s="19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  <c r="AA1995" s="23"/>
      <c r="AB1995" s="23"/>
      <c r="AC1995" s="23"/>
    </row>
    <row r="1996" spans="10:29" x14ac:dyDescent="0.25">
      <c r="J1996" s="19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  <c r="AA1996" s="23"/>
      <c r="AB1996" s="23"/>
      <c r="AC1996" s="23"/>
    </row>
    <row r="1997" spans="10:29" x14ac:dyDescent="0.25">
      <c r="J1997" s="19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  <c r="AA1997" s="23"/>
      <c r="AB1997" s="23"/>
      <c r="AC1997" s="23"/>
    </row>
    <row r="1998" spans="10:29" x14ac:dyDescent="0.25">
      <c r="J1998" s="19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  <c r="AA1998" s="23"/>
      <c r="AB1998" s="23"/>
      <c r="AC1998" s="23"/>
    </row>
    <row r="1999" spans="10:29" x14ac:dyDescent="0.25">
      <c r="J1999" s="19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  <c r="AA1999" s="23"/>
      <c r="AB1999" s="23"/>
      <c r="AC1999" s="23"/>
    </row>
    <row r="2000" spans="10:29" x14ac:dyDescent="0.25">
      <c r="J2000" s="19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  <c r="AA2000" s="23"/>
      <c r="AB2000" s="23"/>
      <c r="AC2000" s="23"/>
    </row>
    <row r="2001" spans="10:29" x14ac:dyDescent="0.25">
      <c r="J2001" s="19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  <c r="AA2001" s="23"/>
      <c r="AB2001" s="23"/>
      <c r="AC2001" s="23"/>
    </row>
    <row r="2002" spans="10:29" x14ac:dyDescent="0.25">
      <c r="J2002" s="19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  <c r="AA2002" s="23"/>
      <c r="AB2002" s="23"/>
      <c r="AC2002" s="23"/>
    </row>
    <row r="2003" spans="10:29" x14ac:dyDescent="0.25">
      <c r="J2003" s="19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  <c r="AA2003" s="23"/>
      <c r="AB2003" s="23"/>
      <c r="AC2003" s="23"/>
    </row>
    <row r="2004" spans="10:29" x14ac:dyDescent="0.25">
      <c r="J2004" s="19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  <c r="AA2004" s="23"/>
      <c r="AB2004" s="23"/>
      <c r="AC2004" s="23"/>
    </row>
    <row r="2005" spans="10:29" x14ac:dyDescent="0.25">
      <c r="J2005" s="19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  <c r="AA2005" s="23"/>
      <c r="AB2005" s="23"/>
      <c r="AC2005" s="23"/>
    </row>
    <row r="2006" spans="10:29" x14ac:dyDescent="0.25">
      <c r="J2006" s="19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  <c r="AA2006" s="23"/>
      <c r="AB2006" s="23"/>
      <c r="AC2006" s="23"/>
    </row>
    <row r="2007" spans="10:29" x14ac:dyDescent="0.25">
      <c r="J2007" s="19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  <c r="AA2007" s="23"/>
      <c r="AB2007" s="23"/>
      <c r="AC2007" s="23"/>
    </row>
    <row r="2008" spans="10:29" x14ac:dyDescent="0.25">
      <c r="J2008" s="19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  <c r="AA2008" s="23"/>
      <c r="AB2008" s="23"/>
      <c r="AC2008" s="23"/>
    </row>
    <row r="2009" spans="10:29" x14ac:dyDescent="0.25">
      <c r="J2009" s="19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  <c r="AA2009" s="23"/>
      <c r="AB2009" s="23"/>
      <c r="AC2009" s="23"/>
    </row>
    <row r="2010" spans="10:29" x14ac:dyDescent="0.25">
      <c r="J2010" s="19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  <c r="AA2010" s="23"/>
      <c r="AB2010" s="23"/>
      <c r="AC2010" s="23"/>
    </row>
    <row r="2011" spans="10:29" x14ac:dyDescent="0.25">
      <c r="J2011" s="19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  <c r="AA2011" s="23"/>
      <c r="AB2011" s="23"/>
      <c r="AC2011" s="23"/>
    </row>
    <row r="2012" spans="10:29" x14ac:dyDescent="0.25">
      <c r="J2012" s="19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  <c r="AA2012" s="23"/>
      <c r="AB2012" s="23"/>
      <c r="AC2012" s="23"/>
    </row>
    <row r="2013" spans="10:29" x14ac:dyDescent="0.25">
      <c r="J2013" s="19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  <c r="AA2013" s="23"/>
      <c r="AB2013" s="23"/>
      <c r="AC2013" s="23"/>
    </row>
    <row r="2014" spans="10:29" x14ac:dyDescent="0.25">
      <c r="J2014" s="19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  <c r="AA2014" s="23"/>
      <c r="AB2014" s="23"/>
      <c r="AC2014" s="23"/>
    </row>
    <row r="2015" spans="10:29" x14ac:dyDescent="0.25">
      <c r="J2015" s="19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  <c r="AA2015" s="23"/>
      <c r="AB2015" s="23"/>
      <c r="AC2015" s="23"/>
    </row>
    <row r="2016" spans="10:29" x14ac:dyDescent="0.25">
      <c r="J2016" s="19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  <c r="AA2016" s="23"/>
      <c r="AB2016" s="23"/>
      <c r="AC2016" s="23"/>
    </row>
    <row r="2017" spans="10:29" x14ac:dyDescent="0.25">
      <c r="J2017" s="19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  <c r="AA2017" s="23"/>
      <c r="AB2017" s="23"/>
      <c r="AC2017" s="23"/>
    </row>
    <row r="2018" spans="10:29" x14ac:dyDescent="0.25">
      <c r="J2018" s="19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  <c r="AA2018" s="23"/>
      <c r="AB2018" s="23"/>
      <c r="AC2018" s="23"/>
    </row>
    <row r="2019" spans="10:29" x14ac:dyDescent="0.25">
      <c r="J2019" s="19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  <c r="AA2019" s="23"/>
      <c r="AB2019" s="23"/>
      <c r="AC2019" s="23"/>
    </row>
    <row r="2020" spans="10:29" x14ac:dyDescent="0.25">
      <c r="J2020" s="19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  <c r="AA2020" s="23"/>
      <c r="AB2020" s="23"/>
      <c r="AC2020" s="23"/>
    </row>
    <row r="2021" spans="10:29" x14ac:dyDescent="0.25">
      <c r="J2021" s="19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  <c r="AA2021" s="23"/>
      <c r="AB2021" s="23"/>
      <c r="AC2021" s="23"/>
    </row>
    <row r="2022" spans="10:29" x14ac:dyDescent="0.25">
      <c r="J2022" s="19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  <c r="AA2022" s="23"/>
      <c r="AB2022" s="23"/>
      <c r="AC2022" s="23"/>
    </row>
    <row r="2023" spans="10:29" x14ac:dyDescent="0.25">
      <c r="J2023" s="19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  <c r="AA2023" s="23"/>
      <c r="AB2023" s="23"/>
      <c r="AC2023" s="23"/>
    </row>
    <row r="2024" spans="10:29" x14ac:dyDescent="0.25">
      <c r="J2024" s="19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  <c r="AA2024" s="23"/>
      <c r="AB2024" s="23"/>
      <c r="AC2024" s="23"/>
    </row>
    <row r="2025" spans="10:29" x14ac:dyDescent="0.25">
      <c r="J2025" s="19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  <c r="AA2025" s="23"/>
      <c r="AB2025" s="23"/>
      <c r="AC2025" s="23"/>
    </row>
    <row r="2026" spans="10:29" x14ac:dyDescent="0.25">
      <c r="J2026" s="19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  <c r="AA2026" s="23"/>
      <c r="AB2026" s="23"/>
      <c r="AC2026" s="23"/>
    </row>
    <row r="2027" spans="10:29" x14ac:dyDescent="0.25">
      <c r="J2027" s="19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  <c r="AA2027" s="23"/>
      <c r="AB2027" s="23"/>
      <c r="AC2027" s="23"/>
    </row>
    <row r="2028" spans="10:29" x14ac:dyDescent="0.25">
      <c r="J2028" s="19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  <c r="AA2028" s="23"/>
      <c r="AB2028" s="23"/>
      <c r="AC2028" s="23"/>
    </row>
    <row r="2029" spans="10:29" x14ac:dyDescent="0.25">
      <c r="J2029" s="19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  <c r="AA2029" s="23"/>
      <c r="AB2029" s="23"/>
      <c r="AC2029" s="23"/>
    </row>
    <row r="2030" spans="10:29" x14ac:dyDescent="0.25">
      <c r="J2030" s="19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  <c r="AA2030" s="23"/>
      <c r="AB2030" s="23"/>
      <c r="AC2030" s="23"/>
    </row>
    <row r="2031" spans="10:29" x14ac:dyDescent="0.25">
      <c r="J2031" s="19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  <c r="AA2031" s="23"/>
      <c r="AB2031" s="23"/>
      <c r="AC2031" s="23"/>
    </row>
    <row r="2032" spans="10:29" x14ac:dyDescent="0.25">
      <c r="J2032" s="19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  <c r="AA2032" s="23"/>
      <c r="AB2032" s="23"/>
      <c r="AC2032" s="23"/>
    </row>
    <row r="2033" spans="10:29" x14ac:dyDescent="0.25">
      <c r="J2033" s="19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  <c r="AA2033" s="23"/>
      <c r="AB2033" s="23"/>
      <c r="AC2033" s="23"/>
    </row>
    <row r="2034" spans="10:29" x14ac:dyDescent="0.25">
      <c r="J2034" s="19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  <c r="AA2034" s="23"/>
      <c r="AB2034" s="23"/>
      <c r="AC2034" s="23"/>
    </row>
    <row r="2035" spans="10:29" x14ac:dyDescent="0.25">
      <c r="J2035" s="19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  <c r="AA2035" s="23"/>
      <c r="AB2035" s="23"/>
      <c r="AC2035" s="23"/>
    </row>
    <row r="2036" spans="10:29" x14ac:dyDescent="0.25">
      <c r="J2036" s="19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  <c r="AA2036" s="23"/>
      <c r="AB2036" s="23"/>
      <c r="AC2036" s="23"/>
    </row>
    <row r="2037" spans="10:29" x14ac:dyDescent="0.25">
      <c r="J2037" s="19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  <c r="AA2037" s="23"/>
      <c r="AB2037" s="23"/>
      <c r="AC2037" s="23"/>
    </row>
    <row r="2038" spans="10:29" x14ac:dyDescent="0.25">
      <c r="J2038" s="19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  <c r="AA2038" s="23"/>
      <c r="AB2038" s="23"/>
      <c r="AC2038" s="23"/>
    </row>
    <row r="2039" spans="10:29" x14ac:dyDescent="0.25">
      <c r="J2039" s="19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  <c r="AA2039" s="23"/>
      <c r="AB2039" s="23"/>
      <c r="AC2039" s="23"/>
    </row>
    <row r="2040" spans="10:29" x14ac:dyDescent="0.25">
      <c r="J2040" s="19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  <c r="AA2040" s="23"/>
      <c r="AB2040" s="23"/>
      <c r="AC2040" s="23"/>
    </row>
    <row r="2041" spans="10:29" x14ac:dyDescent="0.25">
      <c r="J2041" s="19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  <c r="AA2041" s="23"/>
      <c r="AB2041" s="23"/>
      <c r="AC2041" s="23"/>
    </row>
    <row r="2042" spans="10:29" x14ac:dyDescent="0.25">
      <c r="J2042" s="19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  <c r="AA2042" s="23"/>
      <c r="AB2042" s="23"/>
      <c r="AC2042" s="23"/>
    </row>
    <row r="2043" spans="10:29" x14ac:dyDescent="0.25">
      <c r="J2043" s="19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  <c r="AA2043" s="23"/>
      <c r="AB2043" s="23"/>
      <c r="AC2043" s="23"/>
    </row>
    <row r="2044" spans="10:29" x14ac:dyDescent="0.25">
      <c r="J2044" s="19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  <c r="AA2044" s="23"/>
      <c r="AB2044" s="23"/>
      <c r="AC2044" s="23"/>
    </row>
    <row r="2045" spans="10:29" x14ac:dyDescent="0.25">
      <c r="J2045" s="19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  <c r="AA2045" s="23"/>
      <c r="AB2045" s="23"/>
      <c r="AC2045" s="23"/>
    </row>
    <row r="2046" spans="10:29" x14ac:dyDescent="0.25">
      <c r="J2046" s="19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  <c r="AA2046" s="23"/>
      <c r="AB2046" s="23"/>
      <c r="AC2046" s="23"/>
    </row>
    <row r="2047" spans="10:29" x14ac:dyDescent="0.25">
      <c r="J2047" s="19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  <c r="AA2047" s="23"/>
      <c r="AB2047" s="23"/>
      <c r="AC2047" s="23"/>
    </row>
    <row r="2048" spans="10:29" x14ac:dyDescent="0.25">
      <c r="J2048" s="19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  <c r="AA2048" s="23"/>
      <c r="AB2048" s="23"/>
      <c r="AC2048" s="23"/>
    </row>
    <row r="2049" spans="10:29" x14ac:dyDescent="0.25">
      <c r="J2049" s="19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  <c r="AA2049" s="23"/>
      <c r="AB2049" s="23"/>
      <c r="AC2049" s="23"/>
    </row>
    <row r="2050" spans="10:29" x14ac:dyDescent="0.25">
      <c r="J2050" s="19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  <c r="AA2050" s="23"/>
      <c r="AB2050" s="23"/>
      <c r="AC2050" s="23"/>
    </row>
    <row r="2051" spans="10:29" x14ac:dyDescent="0.25">
      <c r="J2051" s="19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  <c r="AA2051" s="23"/>
      <c r="AB2051" s="23"/>
      <c r="AC2051" s="23"/>
    </row>
    <row r="2052" spans="10:29" x14ac:dyDescent="0.25">
      <c r="J2052" s="19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  <c r="AA2052" s="23"/>
      <c r="AB2052" s="23"/>
      <c r="AC2052" s="23"/>
    </row>
    <row r="2053" spans="10:29" x14ac:dyDescent="0.25">
      <c r="J2053" s="19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  <c r="AA2053" s="23"/>
      <c r="AB2053" s="23"/>
      <c r="AC2053" s="23"/>
    </row>
    <row r="2054" spans="10:29" x14ac:dyDescent="0.25">
      <c r="J2054" s="19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  <c r="AA2054" s="23"/>
      <c r="AB2054" s="23"/>
      <c r="AC2054" s="23"/>
    </row>
    <row r="2055" spans="10:29" x14ac:dyDescent="0.25">
      <c r="J2055" s="19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  <c r="AA2055" s="23"/>
      <c r="AB2055" s="23"/>
      <c r="AC2055" s="23"/>
    </row>
    <row r="2056" spans="10:29" x14ac:dyDescent="0.25">
      <c r="J2056" s="19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  <c r="AA2056" s="23"/>
      <c r="AB2056" s="23"/>
      <c r="AC2056" s="23"/>
    </row>
    <row r="2057" spans="10:29" x14ac:dyDescent="0.25">
      <c r="J2057" s="19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  <c r="AA2057" s="23"/>
      <c r="AB2057" s="23"/>
      <c r="AC2057" s="23"/>
    </row>
    <row r="2058" spans="10:29" x14ac:dyDescent="0.25">
      <c r="J2058" s="19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  <c r="AA2058" s="23"/>
      <c r="AB2058" s="23"/>
      <c r="AC2058" s="23"/>
    </row>
    <row r="2059" spans="10:29" x14ac:dyDescent="0.25">
      <c r="J2059" s="19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  <c r="AA2059" s="23"/>
      <c r="AB2059" s="23"/>
      <c r="AC2059" s="23"/>
    </row>
    <row r="2060" spans="10:29" x14ac:dyDescent="0.25">
      <c r="J2060" s="19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  <c r="AA2060" s="23"/>
      <c r="AB2060" s="23"/>
      <c r="AC2060" s="23"/>
    </row>
    <row r="2061" spans="10:29" x14ac:dyDescent="0.25">
      <c r="J2061" s="19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  <c r="AA2061" s="23"/>
      <c r="AB2061" s="23"/>
      <c r="AC2061" s="23"/>
    </row>
    <row r="2062" spans="10:29" x14ac:dyDescent="0.25">
      <c r="J2062" s="19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  <c r="AA2062" s="23"/>
      <c r="AB2062" s="23"/>
      <c r="AC2062" s="23"/>
    </row>
    <row r="2063" spans="10:29" x14ac:dyDescent="0.25">
      <c r="J2063" s="19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  <c r="AA2063" s="23"/>
      <c r="AB2063" s="23"/>
      <c r="AC2063" s="23"/>
    </row>
    <row r="2064" spans="10:29" x14ac:dyDescent="0.25">
      <c r="J2064" s="19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  <c r="AA2064" s="23"/>
      <c r="AB2064" s="23"/>
      <c r="AC2064" s="23"/>
    </row>
    <row r="2065" spans="10:29" x14ac:dyDescent="0.25">
      <c r="J2065" s="19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  <c r="AA2065" s="23"/>
      <c r="AB2065" s="23"/>
      <c r="AC2065" s="23"/>
    </row>
    <row r="2066" spans="10:29" x14ac:dyDescent="0.25">
      <c r="J2066" s="19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  <c r="AA2066" s="23"/>
      <c r="AB2066" s="23"/>
      <c r="AC2066" s="23"/>
    </row>
    <row r="2067" spans="10:29" x14ac:dyDescent="0.25">
      <c r="J2067" s="19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  <c r="AA2067" s="23"/>
      <c r="AB2067" s="23"/>
      <c r="AC2067" s="23"/>
    </row>
    <row r="2068" spans="10:29" x14ac:dyDescent="0.25">
      <c r="J2068" s="19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  <c r="AA2068" s="23"/>
      <c r="AB2068" s="23"/>
      <c r="AC2068" s="23"/>
    </row>
    <row r="2069" spans="10:29" x14ac:dyDescent="0.25">
      <c r="J2069" s="19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  <c r="AA2069" s="23"/>
      <c r="AB2069" s="23"/>
      <c r="AC2069" s="23"/>
    </row>
    <row r="2070" spans="10:29" x14ac:dyDescent="0.25">
      <c r="J2070" s="19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  <c r="AA2070" s="23"/>
      <c r="AB2070" s="23"/>
      <c r="AC2070" s="23"/>
    </row>
    <row r="2071" spans="10:29" x14ac:dyDescent="0.25">
      <c r="J2071" s="19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  <c r="AA2071" s="23"/>
      <c r="AB2071" s="23"/>
      <c r="AC2071" s="23"/>
    </row>
    <row r="2072" spans="10:29" x14ac:dyDescent="0.25">
      <c r="J2072" s="19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  <c r="AA2072" s="23"/>
      <c r="AB2072" s="23"/>
      <c r="AC2072" s="23"/>
    </row>
    <row r="2073" spans="10:29" x14ac:dyDescent="0.25">
      <c r="J2073" s="19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  <c r="AA2073" s="23"/>
      <c r="AB2073" s="23"/>
      <c r="AC2073" s="23"/>
    </row>
    <row r="2074" spans="10:29" x14ac:dyDescent="0.25">
      <c r="J2074" s="19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  <c r="AA2074" s="23"/>
      <c r="AB2074" s="23"/>
      <c r="AC2074" s="23"/>
    </row>
    <row r="2075" spans="10:29" x14ac:dyDescent="0.25">
      <c r="J2075" s="19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  <c r="AA2075" s="23"/>
      <c r="AB2075" s="23"/>
      <c r="AC2075" s="23"/>
    </row>
    <row r="2076" spans="10:29" x14ac:dyDescent="0.25">
      <c r="J2076" s="19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  <c r="AA2076" s="23"/>
      <c r="AB2076" s="23"/>
      <c r="AC2076" s="23"/>
    </row>
    <row r="2077" spans="10:29" x14ac:dyDescent="0.25">
      <c r="J2077" s="19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  <c r="AA2077" s="23"/>
      <c r="AB2077" s="23"/>
      <c r="AC2077" s="23"/>
    </row>
    <row r="2078" spans="10:29" x14ac:dyDescent="0.25">
      <c r="J2078" s="19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  <c r="AA2078" s="23"/>
      <c r="AB2078" s="23"/>
      <c r="AC2078" s="23"/>
    </row>
    <row r="2079" spans="10:29" x14ac:dyDescent="0.25">
      <c r="J2079" s="19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  <c r="AA2079" s="23"/>
      <c r="AB2079" s="23"/>
      <c r="AC2079" s="23"/>
    </row>
    <row r="2080" spans="10:29" x14ac:dyDescent="0.25">
      <c r="J2080" s="19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  <c r="AA2080" s="23"/>
      <c r="AB2080" s="23"/>
      <c r="AC2080" s="23"/>
    </row>
    <row r="2081" spans="10:29" x14ac:dyDescent="0.25">
      <c r="J2081" s="19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  <c r="AA2081" s="23"/>
      <c r="AB2081" s="23"/>
      <c r="AC2081" s="23"/>
    </row>
    <row r="2082" spans="10:29" x14ac:dyDescent="0.25">
      <c r="J2082" s="19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  <c r="AA2082" s="23"/>
      <c r="AB2082" s="23"/>
      <c r="AC2082" s="23"/>
    </row>
    <row r="2083" spans="10:29" x14ac:dyDescent="0.25">
      <c r="J2083" s="19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  <c r="AA2083" s="23"/>
      <c r="AB2083" s="23"/>
      <c r="AC2083" s="23"/>
    </row>
    <row r="2084" spans="10:29" x14ac:dyDescent="0.25">
      <c r="J2084" s="19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  <c r="AA2084" s="23"/>
      <c r="AB2084" s="23"/>
      <c r="AC2084" s="23"/>
    </row>
    <row r="2085" spans="10:29" x14ac:dyDescent="0.25">
      <c r="J2085" s="19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  <c r="AA2085" s="23"/>
      <c r="AB2085" s="23"/>
      <c r="AC2085" s="23"/>
    </row>
    <row r="2086" spans="10:29" x14ac:dyDescent="0.25">
      <c r="J2086" s="19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  <c r="AA2086" s="23"/>
      <c r="AB2086" s="23"/>
      <c r="AC2086" s="23"/>
    </row>
    <row r="2087" spans="10:29" x14ac:dyDescent="0.25">
      <c r="J2087" s="19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  <c r="AA2087" s="23"/>
      <c r="AB2087" s="23"/>
      <c r="AC2087" s="23"/>
    </row>
    <row r="2088" spans="10:29" x14ac:dyDescent="0.25">
      <c r="J2088" s="19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  <c r="AA2088" s="23"/>
      <c r="AB2088" s="23"/>
      <c r="AC2088" s="23"/>
    </row>
    <row r="2089" spans="10:29" x14ac:dyDescent="0.25">
      <c r="J2089" s="19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  <c r="AA2089" s="23"/>
      <c r="AB2089" s="23"/>
      <c r="AC2089" s="23"/>
    </row>
    <row r="2090" spans="10:29" x14ac:dyDescent="0.25">
      <c r="J2090" s="19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  <c r="AA2090" s="23"/>
      <c r="AB2090" s="23"/>
      <c r="AC2090" s="23"/>
    </row>
    <row r="2091" spans="10:29" x14ac:dyDescent="0.25">
      <c r="J2091" s="19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  <c r="AA2091" s="23"/>
      <c r="AB2091" s="23"/>
      <c r="AC2091" s="23"/>
    </row>
    <row r="2092" spans="10:29" x14ac:dyDescent="0.25">
      <c r="J2092" s="19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  <c r="AA2092" s="23"/>
      <c r="AB2092" s="23"/>
      <c r="AC2092" s="23"/>
    </row>
    <row r="2093" spans="10:29" x14ac:dyDescent="0.25">
      <c r="J2093" s="19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  <c r="AA2093" s="23"/>
      <c r="AB2093" s="23"/>
      <c r="AC2093" s="23"/>
    </row>
    <row r="2094" spans="10:29" x14ac:dyDescent="0.25">
      <c r="J2094" s="19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  <c r="AA2094" s="23"/>
      <c r="AB2094" s="23"/>
      <c r="AC2094" s="23"/>
    </row>
    <row r="2095" spans="10:29" x14ac:dyDescent="0.25">
      <c r="J2095" s="19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  <c r="AA2095" s="23"/>
      <c r="AB2095" s="23"/>
      <c r="AC2095" s="23"/>
    </row>
    <row r="2096" spans="10:29" x14ac:dyDescent="0.25">
      <c r="J2096" s="19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  <c r="AA2096" s="23"/>
      <c r="AB2096" s="23"/>
      <c r="AC2096" s="23"/>
    </row>
    <row r="2097" spans="10:29" x14ac:dyDescent="0.25">
      <c r="J2097" s="19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  <c r="AA2097" s="23"/>
      <c r="AB2097" s="23"/>
      <c r="AC2097" s="23"/>
    </row>
    <row r="2098" spans="10:29" x14ac:dyDescent="0.25">
      <c r="J2098" s="19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  <c r="AA2098" s="23"/>
      <c r="AB2098" s="23"/>
      <c r="AC2098" s="23"/>
    </row>
    <row r="2099" spans="10:29" x14ac:dyDescent="0.25">
      <c r="J2099" s="19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  <c r="AA2099" s="23"/>
      <c r="AB2099" s="23"/>
      <c r="AC2099" s="23"/>
    </row>
    <row r="2100" spans="10:29" x14ac:dyDescent="0.25">
      <c r="J2100" s="19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  <c r="AA2100" s="23"/>
      <c r="AB2100" s="23"/>
      <c r="AC2100" s="23"/>
    </row>
    <row r="2101" spans="10:29" x14ac:dyDescent="0.25">
      <c r="J2101" s="19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  <c r="AA2101" s="23"/>
      <c r="AB2101" s="23"/>
      <c r="AC2101" s="23"/>
    </row>
    <row r="2102" spans="10:29" x14ac:dyDescent="0.25">
      <c r="J2102" s="19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  <c r="AA2102" s="23"/>
      <c r="AB2102" s="23"/>
      <c r="AC2102" s="23"/>
    </row>
    <row r="2103" spans="10:29" x14ac:dyDescent="0.25">
      <c r="J2103" s="19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  <c r="AA2103" s="23"/>
      <c r="AB2103" s="23"/>
      <c r="AC2103" s="23"/>
    </row>
    <row r="2104" spans="10:29" x14ac:dyDescent="0.25">
      <c r="J2104" s="19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  <c r="AA2104" s="23"/>
      <c r="AB2104" s="23"/>
      <c r="AC2104" s="23"/>
    </row>
    <row r="2105" spans="10:29" x14ac:dyDescent="0.25">
      <c r="J2105" s="19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  <c r="AA2105" s="23"/>
      <c r="AB2105" s="23"/>
      <c r="AC2105" s="23"/>
    </row>
    <row r="2106" spans="10:29" x14ac:dyDescent="0.25">
      <c r="J2106" s="19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  <c r="AA2106" s="23"/>
      <c r="AB2106" s="23"/>
      <c r="AC2106" s="23"/>
    </row>
    <row r="2107" spans="10:29" x14ac:dyDescent="0.25">
      <c r="J2107" s="19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  <c r="AA2107" s="23"/>
      <c r="AB2107" s="23"/>
      <c r="AC2107" s="23"/>
    </row>
    <row r="2108" spans="10:29" x14ac:dyDescent="0.25">
      <c r="J2108" s="19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  <c r="AA2108" s="23"/>
      <c r="AB2108" s="23"/>
      <c r="AC2108" s="23"/>
    </row>
    <row r="2109" spans="10:29" x14ac:dyDescent="0.25">
      <c r="J2109" s="19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  <c r="AA2109" s="23"/>
      <c r="AB2109" s="23"/>
      <c r="AC2109" s="23"/>
    </row>
    <row r="2110" spans="10:29" x14ac:dyDescent="0.25">
      <c r="J2110" s="19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  <c r="AA2110" s="23"/>
      <c r="AB2110" s="23"/>
      <c r="AC2110" s="23"/>
    </row>
    <row r="2111" spans="10:29" x14ac:dyDescent="0.25">
      <c r="J2111" s="19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  <c r="AA2111" s="23"/>
      <c r="AB2111" s="23"/>
      <c r="AC2111" s="23"/>
    </row>
    <row r="2112" spans="10:29" x14ac:dyDescent="0.25">
      <c r="J2112" s="19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  <c r="AA2112" s="23"/>
      <c r="AB2112" s="23"/>
      <c r="AC2112" s="23"/>
    </row>
    <row r="2113" spans="10:29" x14ac:dyDescent="0.25">
      <c r="J2113" s="19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  <c r="AA2113" s="23"/>
      <c r="AB2113" s="23"/>
      <c r="AC2113" s="23"/>
    </row>
    <row r="2114" spans="10:29" x14ac:dyDescent="0.25">
      <c r="J2114" s="19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  <c r="AA2114" s="23"/>
      <c r="AB2114" s="23"/>
      <c r="AC2114" s="23"/>
    </row>
    <row r="2115" spans="10:29" x14ac:dyDescent="0.25">
      <c r="J2115" s="19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  <c r="AA2115" s="23"/>
      <c r="AB2115" s="23"/>
      <c r="AC2115" s="23"/>
    </row>
    <row r="2116" spans="10:29" x14ac:dyDescent="0.25">
      <c r="J2116" s="19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  <c r="AA2116" s="23"/>
      <c r="AB2116" s="23"/>
      <c r="AC2116" s="23"/>
    </row>
    <row r="2117" spans="10:29" x14ac:dyDescent="0.25">
      <c r="J2117" s="19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  <c r="AA2117" s="23"/>
      <c r="AB2117" s="23"/>
      <c r="AC2117" s="23"/>
    </row>
    <row r="2118" spans="10:29" x14ac:dyDescent="0.25">
      <c r="J2118" s="19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  <c r="AA2118" s="23"/>
      <c r="AB2118" s="23"/>
      <c r="AC2118" s="23"/>
    </row>
    <row r="2119" spans="10:29" x14ac:dyDescent="0.25">
      <c r="J2119" s="19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  <c r="AA2119" s="23"/>
      <c r="AB2119" s="23"/>
      <c r="AC2119" s="23"/>
    </row>
    <row r="2120" spans="10:29" x14ac:dyDescent="0.25">
      <c r="J2120" s="19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  <c r="AA2120" s="23"/>
      <c r="AB2120" s="23"/>
      <c r="AC2120" s="23"/>
    </row>
    <row r="2121" spans="10:29" x14ac:dyDescent="0.25">
      <c r="J2121" s="19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  <c r="AA2121" s="23"/>
      <c r="AB2121" s="23"/>
      <c r="AC2121" s="23"/>
    </row>
    <row r="2122" spans="10:29" x14ac:dyDescent="0.25">
      <c r="J2122" s="19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  <c r="AA2122" s="23"/>
      <c r="AB2122" s="23"/>
      <c r="AC2122" s="23"/>
    </row>
    <row r="2123" spans="10:29" x14ac:dyDescent="0.25">
      <c r="J2123" s="19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  <c r="AA2123" s="23"/>
      <c r="AB2123" s="23"/>
      <c r="AC2123" s="23"/>
    </row>
    <row r="2124" spans="10:29" x14ac:dyDescent="0.25">
      <c r="J2124" s="19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  <c r="AA2124" s="23"/>
      <c r="AB2124" s="23"/>
      <c r="AC2124" s="23"/>
    </row>
    <row r="2125" spans="10:29" x14ac:dyDescent="0.25">
      <c r="J2125" s="19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  <c r="AA2125" s="23"/>
      <c r="AB2125" s="23"/>
      <c r="AC2125" s="23"/>
    </row>
    <row r="2126" spans="10:29" x14ac:dyDescent="0.25">
      <c r="J2126" s="19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  <c r="AA2126" s="23"/>
      <c r="AB2126" s="23"/>
      <c r="AC2126" s="23"/>
    </row>
    <row r="2127" spans="10:29" x14ac:dyDescent="0.25">
      <c r="J2127" s="19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  <c r="AA2127" s="23"/>
      <c r="AB2127" s="23"/>
      <c r="AC2127" s="23"/>
    </row>
    <row r="2128" spans="10:29" x14ac:dyDescent="0.25">
      <c r="J2128" s="19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  <c r="AA2128" s="23"/>
      <c r="AB2128" s="23"/>
      <c r="AC2128" s="23"/>
    </row>
    <row r="2129" spans="10:29" x14ac:dyDescent="0.25">
      <c r="J2129" s="19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  <c r="AA2129" s="23"/>
      <c r="AB2129" s="23"/>
      <c r="AC2129" s="23"/>
    </row>
    <row r="2130" spans="10:29" x14ac:dyDescent="0.25">
      <c r="J2130" s="19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  <c r="AA2130" s="23"/>
      <c r="AB2130" s="23"/>
      <c r="AC2130" s="23"/>
    </row>
    <row r="2131" spans="10:29" x14ac:dyDescent="0.25">
      <c r="J2131" s="19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  <c r="AA2131" s="23"/>
      <c r="AB2131" s="23"/>
      <c r="AC2131" s="23"/>
    </row>
    <row r="2132" spans="10:29" x14ac:dyDescent="0.25">
      <c r="J2132" s="19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  <c r="AA2132" s="23"/>
      <c r="AB2132" s="23"/>
      <c r="AC2132" s="23"/>
    </row>
    <row r="2133" spans="10:29" x14ac:dyDescent="0.25">
      <c r="J2133" s="19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  <c r="AA2133" s="23"/>
      <c r="AB2133" s="23"/>
      <c r="AC2133" s="23"/>
    </row>
    <row r="2134" spans="10:29" x14ac:dyDescent="0.25">
      <c r="J2134" s="19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  <c r="AA2134" s="23"/>
      <c r="AB2134" s="23"/>
      <c r="AC2134" s="23"/>
    </row>
    <row r="2135" spans="10:29" x14ac:dyDescent="0.25">
      <c r="J2135" s="19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  <c r="AA2135" s="23"/>
      <c r="AB2135" s="23"/>
      <c r="AC2135" s="23"/>
    </row>
    <row r="2136" spans="10:29" x14ac:dyDescent="0.25">
      <c r="J2136" s="19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  <c r="AA2136" s="23"/>
      <c r="AB2136" s="23"/>
      <c r="AC2136" s="23"/>
    </row>
    <row r="2137" spans="10:29" x14ac:dyDescent="0.25">
      <c r="J2137" s="19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  <c r="AA2137" s="23"/>
      <c r="AB2137" s="23"/>
      <c r="AC2137" s="23"/>
    </row>
    <row r="2138" spans="10:29" x14ac:dyDescent="0.25">
      <c r="J2138" s="19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  <c r="AA2138" s="23"/>
      <c r="AB2138" s="23"/>
      <c r="AC2138" s="23"/>
    </row>
    <row r="2139" spans="10:29" x14ac:dyDescent="0.25">
      <c r="J2139" s="19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  <c r="AA2139" s="23"/>
      <c r="AB2139" s="23"/>
      <c r="AC2139" s="23"/>
    </row>
    <row r="2140" spans="10:29" x14ac:dyDescent="0.25">
      <c r="J2140" s="19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  <c r="AA2140" s="23"/>
      <c r="AB2140" s="23"/>
      <c r="AC2140" s="23"/>
    </row>
    <row r="2141" spans="10:29" x14ac:dyDescent="0.25">
      <c r="J2141" s="19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  <c r="AA2141" s="23"/>
      <c r="AB2141" s="23"/>
      <c r="AC2141" s="23"/>
    </row>
    <row r="2142" spans="10:29" x14ac:dyDescent="0.25">
      <c r="J2142" s="19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  <c r="AA2142" s="23"/>
      <c r="AB2142" s="23"/>
      <c r="AC2142" s="23"/>
    </row>
    <row r="2143" spans="10:29" x14ac:dyDescent="0.25">
      <c r="J2143" s="19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  <c r="AA2143" s="23"/>
      <c r="AB2143" s="23"/>
      <c r="AC2143" s="23"/>
    </row>
    <row r="2144" spans="10:29" x14ac:dyDescent="0.25">
      <c r="J2144" s="19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  <c r="AA2144" s="23"/>
      <c r="AB2144" s="23"/>
      <c r="AC2144" s="23"/>
    </row>
    <row r="2145" spans="10:29" x14ac:dyDescent="0.25">
      <c r="J2145" s="19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  <c r="AA2145" s="23"/>
      <c r="AB2145" s="23"/>
      <c r="AC2145" s="23"/>
    </row>
    <row r="2146" spans="10:29" x14ac:dyDescent="0.25">
      <c r="J2146" s="19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  <c r="AA2146" s="23"/>
      <c r="AB2146" s="23"/>
      <c r="AC2146" s="23"/>
    </row>
    <row r="2147" spans="10:29" x14ac:dyDescent="0.25">
      <c r="J2147" s="19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  <c r="AA2147" s="23"/>
      <c r="AB2147" s="23"/>
      <c r="AC2147" s="23"/>
    </row>
    <row r="2148" spans="10:29" x14ac:dyDescent="0.25">
      <c r="J2148" s="19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  <c r="AA2148" s="23"/>
      <c r="AB2148" s="23"/>
      <c r="AC2148" s="23"/>
    </row>
    <row r="2149" spans="10:29" x14ac:dyDescent="0.25">
      <c r="J2149" s="19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  <c r="AA2149" s="23"/>
      <c r="AB2149" s="23"/>
      <c r="AC2149" s="23"/>
    </row>
    <row r="2150" spans="10:29" x14ac:dyDescent="0.25">
      <c r="J2150" s="19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  <c r="AA2150" s="23"/>
      <c r="AB2150" s="23"/>
      <c r="AC2150" s="23"/>
    </row>
    <row r="2151" spans="10:29" x14ac:dyDescent="0.25">
      <c r="J2151" s="19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  <c r="AA2151" s="23"/>
      <c r="AB2151" s="23"/>
      <c r="AC2151" s="23"/>
    </row>
    <row r="2152" spans="10:29" x14ac:dyDescent="0.25">
      <c r="J2152" s="19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  <c r="AA2152" s="23"/>
      <c r="AB2152" s="23"/>
      <c r="AC2152" s="23"/>
    </row>
    <row r="2153" spans="10:29" x14ac:dyDescent="0.25">
      <c r="J2153" s="19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  <c r="AA2153" s="23"/>
      <c r="AB2153" s="23"/>
      <c r="AC2153" s="23"/>
    </row>
    <row r="2154" spans="10:29" x14ac:dyDescent="0.25">
      <c r="J2154" s="19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  <c r="AA2154" s="23"/>
      <c r="AB2154" s="23"/>
      <c r="AC2154" s="23"/>
    </row>
    <row r="2155" spans="10:29" x14ac:dyDescent="0.25">
      <c r="J2155" s="19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  <c r="AA2155" s="23"/>
      <c r="AB2155" s="23"/>
      <c r="AC2155" s="23"/>
    </row>
    <row r="2156" spans="10:29" x14ac:dyDescent="0.25">
      <c r="J2156" s="19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  <c r="AA2156" s="23"/>
      <c r="AB2156" s="23"/>
      <c r="AC2156" s="23"/>
    </row>
    <row r="2157" spans="10:29" x14ac:dyDescent="0.25">
      <c r="J2157" s="19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  <c r="AA2157" s="23"/>
      <c r="AB2157" s="23"/>
      <c r="AC2157" s="23"/>
    </row>
    <row r="2158" spans="10:29" x14ac:dyDescent="0.25">
      <c r="J2158" s="19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  <c r="AA2158" s="23"/>
      <c r="AB2158" s="23"/>
      <c r="AC2158" s="23"/>
    </row>
    <row r="2159" spans="10:29" x14ac:dyDescent="0.25">
      <c r="J2159" s="19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  <c r="AA2159" s="23"/>
      <c r="AB2159" s="23"/>
      <c r="AC2159" s="23"/>
    </row>
    <row r="2160" spans="10:29" x14ac:dyDescent="0.25">
      <c r="J2160" s="19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  <c r="AA2160" s="23"/>
      <c r="AB2160" s="23"/>
      <c r="AC2160" s="23"/>
    </row>
    <row r="2161" spans="10:29" x14ac:dyDescent="0.25">
      <c r="J2161" s="19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  <c r="AA2161" s="23"/>
      <c r="AB2161" s="23"/>
      <c r="AC2161" s="23"/>
    </row>
    <row r="2162" spans="10:29" x14ac:dyDescent="0.25">
      <c r="J2162" s="19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  <c r="AA2162" s="23"/>
      <c r="AB2162" s="23"/>
      <c r="AC2162" s="23"/>
    </row>
    <row r="2163" spans="10:29" x14ac:dyDescent="0.25">
      <c r="J2163" s="19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  <c r="AA2163" s="23"/>
      <c r="AB2163" s="23"/>
      <c r="AC2163" s="23"/>
    </row>
    <row r="2164" spans="10:29" x14ac:dyDescent="0.25">
      <c r="J2164" s="19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  <c r="AA2164" s="23"/>
      <c r="AB2164" s="23"/>
      <c r="AC2164" s="23"/>
    </row>
    <row r="2165" spans="10:29" x14ac:dyDescent="0.25">
      <c r="J2165" s="19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  <c r="AA2165" s="23"/>
      <c r="AB2165" s="23"/>
      <c r="AC2165" s="23"/>
    </row>
    <row r="2166" spans="10:29" x14ac:dyDescent="0.25">
      <c r="J2166" s="19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  <c r="AA2166" s="23"/>
      <c r="AB2166" s="23"/>
      <c r="AC2166" s="23"/>
    </row>
    <row r="2167" spans="10:29" x14ac:dyDescent="0.25">
      <c r="J2167" s="19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  <c r="AA2167" s="23"/>
      <c r="AB2167" s="23"/>
      <c r="AC2167" s="23"/>
    </row>
    <row r="2168" spans="10:29" x14ac:dyDescent="0.25">
      <c r="J2168" s="19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  <c r="AA2168" s="23"/>
      <c r="AB2168" s="23"/>
      <c r="AC2168" s="23"/>
    </row>
    <row r="2169" spans="10:29" x14ac:dyDescent="0.25">
      <c r="J2169" s="19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  <c r="AA2169" s="23"/>
      <c r="AB2169" s="23"/>
      <c r="AC2169" s="23"/>
    </row>
    <row r="2170" spans="10:29" x14ac:dyDescent="0.25">
      <c r="J2170" s="19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  <c r="AA2170" s="23"/>
      <c r="AB2170" s="23"/>
      <c r="AC2170" s="23"/>
    </row>
    <row r="2171" spans="10:29" x14ac:dyDescent="0.25">
      <c r="J2171" s="19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  <c r="AA2171" s="23"/>
      <c r="AB2171" s="23"/>
      <c r="AC2171" s="23"/>
    </row>
    <row r="2172" spans="10:29" x14ac:dyDescent="0.25">
      <c r="J2172" s="19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  <c r="AA2172" s="23"/>
      <c r="AB2172" s="23"/>
      <c r="AC2172" s="23"/>
    </row>
    <row r="2173" spans="10:29" x14ac:dyDescent="0.25">
      <c r="J2173" s="19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  <c r="AA2173" s="23"/>
      <c r="AB2173" s="23"/>
      <c r="AC2173" s="23"/>
    </row>
    <row r="2174" spans="10:29" x14ac:dyDescent="0.25">
      <c r="J2174" s="19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  <c r="AA2174" s="23"/>
      <c r="AB2174" s="23"/>
      <c r="AC2174" s="23"/>
    </row>
    <row r="2175" spans="10:29" x14ac:dyDescent="0.25">
      <c r="J2175" s="19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  <c r="AA2175" s="23"/>
      <c r="AB2175" s="23"/>
      <c r="AC2175" s="23"/>
    </row>
    <row r="2176" spans="10:29" x14ac:dyDescent="0.25">
      <c r="J2176" s="19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  <c r="AA2176" s="23"/>
      <c r="AB2176" s="23"/>
      <c r="AC2176" s="23"/>
    </row>
    <row r="2177" spans="10:29" x14ac:dyDescent="0.25">
      <c r="J2177" s="19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  <c r="AA2177" s="23"/>
      <c r="AB2177" s="23"/>
      <c r="AC2177" s="23"/>
    </row>
    <row r="2178" spans="10:29" x14ac:dyDescent="0.25">
      <c r="J2178" s="19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  <c r="AA2178" s="23"/>
      <c r="AB2178" s="23"/>
      <c r="AC2178" s="23"/>
    </row>
    <row r="2179" spans="10:29" x14ac:dyDescent="0.25">
      <c r="J2179" s="19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  <c r="AA2179" s="23"/>
      <c r="AB2179" s="23"/>
      <c r="AC2179" s="23"/>
    </row>
    <row r="2180" spans="10:29" x14ac:dyDescent="0.25">
      <c r="J2180" s="19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  <c r="AA2180" s="23"/>
      <c r="AB2180" s="23"/>
      <c r="AC2180" s="23"/>
    </row>
    <row r="2181" spans="10:29" x14ac:dyDescent="0.25">
      <c r="J2181" s="19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  <c r="AA2181" s="23"/>
      <c r="AB2181" s="23"/>
      <c r="AC2181" s="23"/>
    </row>
    <row r="2182" spans="10:29" x14ac:dyDescent="0.25">
      <c r="J2182" s="19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  <c r="AA2182" s="23"/>
      <c r="AB2182" s="23"/>
      <c r="AC2182" s="23"/>
    </row>
    <row r="2183" spans="10:29" x14ac:dyDescent="0.25">
      <c r="J2183" s="19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  <c r="AA2183" s="23"/>
      <c r="AB2183" s="23"/>
      <c r="AC2183" s="23"/>
    </row>
    <row r="2184" spans="10:29" x14ac:dyDescent="0.25">
      <c r="J2184" s="19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  <c r="AA2184" s="23"/>
      <c r="AB2184" s="23"/>
      <c r="AC2184" s="23"/>
    </row>
    <row r="2185" spans="10:29" x14ac:dyDescent="0.25">
      <c r="J2185" s="19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  <c r="AA2185" s="23"/>
      <c r="AB2185" s="23"/>
      <c r="AC2185" s="23"/>
    </row>
    <row r="2186" spans="10:29" x14ac:dyDescent="0.25">
      <c r="J2186" s="19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  <c r="AA2186" s="23"/>
      <c r="AB2186" s="23"/>
      <c r="AC2186" s="23"/>
    </row>
    <row r="2187" spans="10:29" x14ac:dyDescent="0.25">
      <c r="J2187" s="19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  <c r="AA2187" s="23"/>
      <c r="AB2187" s="23"/>
      <c r="AC2187" s="23"/>
    </row>
    <row r="2188" spans="10:29" x14ac:dyDescent="0.25">
      <c r="J2188" s="19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  <c r="AA2188" s="23"/>
      <c r="AB2188" s="23"/>
      <c r="AC2188" s="23"/>
    </row>
    <row r="2189" spans="10:29" x14ac:dyDescent="0.25">
      <c r="J2189" s="19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  <c r="AA2189" s="23"/>
      <c r="AB2189" s="23"/>
      <c r="AC2189" s="23"/>
    </row>
    <row r="2190" spans="10:29" x14ac:dyDescent="0.25">
      <c r="J2190" s="19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  <c r="AA2190" s="23"/>
      <c r="AB2190" s="23"/>
      <c r="AC2190" s="23"/>
    </row>
    <row r="2191" spans="10:29" x14ac:dyDescent="0.25">
      <c r="J2191" s="19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  <c r="AA2191" s="23"/>
      <c r="AB2191" s="23"/>
      <c r="AC2191" s="23"/>
    </row>
    <row r="2192" spans="10:29" x14ac:dyDescent="0.25">
      <c r="J2192" s="19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  <c r="AA2192" s="23"/>
      <c r="AB2192" s="23"/>
      <c r="AC2192" s="23"/>
    </row>
    <row r="2193" spans="10:29" x14ac:dyDescent="0.25">
      <c r="J2193" s="19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  <c r="AA2193" s="23"/>
      <c r="AB2193" s="23"/>
      <c r="AC2193" s="23"/>
    </row>
    <row r="2194" spans="10:29" x14ac:dyDescent="0.25">
      <c r="J2194" s="19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  <c r="AA2194" s="23"/>
      <c r="AB2194" s="23"/>
      <c r="AC2194" s="23"/>
    </row>
    <row r="2195" spans="10:29" x14ac:dyDescent="0.25">
      <c r="J2195" s="19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  <c r="AA2195" s="23"/>
      <c r="AB2195" s="23"/>
      <c r="AC2195" s="23"/>
    </row>
    <row r="2196" spans="10:29" x14ac:dyDescent="0.25">
      <c r="J2196" s="19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  <c r="AA2196" s="23"/>
      <c r="AB2196" s="23"/>
      <c r="AC2196" s="23"/>
    </row>
    <row r="2197" spans="10:29" x14ac:dyDescent="0.25">
      <c r="J2197" s="19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  <c r="AA2197" s="23"/>
      <c r="AB2197" s="23"/>
      <c r="AC2197" s="23"/>
    </row>
    <row r="2198" spans="10:29" x14ac:dyDescent="0.25">
      <c r="J2198" s="19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  <c r="AA2198" s="23"/>
      <c r="AB2198" s="23"/>
      <c r="AC2198" s="23"/>
    </row>
    <row r="2199" spans="10:29" x14ac:dyDescent="0.25">
      <c r="J2199" s="19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  <c r="AA2199" s="23"/>
      <c r="AB2199" s="23"/>
      <c r="AC2199" s="23"/>
    </row>
    <row r="2200" spans="10:29" x14ac:dyDescent="0.25">
      <c r="J2200" s="19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  <c r="AA2200" s="23"/>
      <c r="AB2200" s="23"/>
      <c r="AC2200" s="23"/>
    </row>
    <row r="2201" spans="10:29" x14ac:dyDescent="0.25">
      <c r="J2201" s="19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  <c r="AA2201" s="23"/>
      <c r="AB2201" s="23"/>
      <c r="AC2201" s="23"/>
    </row>
    <row r="2202" spans="10:29" x14ac:dyDescent="0.25">
      <c r="J2202" s="19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  <c r="AA2202" s="23"/>
      <c r="AB2202" s="23"/>
      <c r="AC2202" s="23"/>
    </row>
    <row r="2203" spans="10:29" x14ac:dyDescent="0.25">
      <c r="J2203" s="19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  <c r="AA2203" s="23"/>
      <c r="AB2203" s="23"/>
      <c r="AC2203" s="23"/>
    </row>
    <row r="2204" spans="10:29" x14ac:dyDescent="0.25">
      <c r="J2204" s="19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  <c r="AA2204" s="23"/>
      <c r="AB2204" s="23"/>
      <c r="AC2204" s="23"/>
    </row>
    <row r="2205" spans="10:29" x14ac:dyDescent="0.25">
      <c r="J2205" s="19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  <c r="AA2205" s="23"/>
      <c r="AB2205" s="23"/>
      <c r="AC2205" s="23"/>
    </row>
    <row r="2206" spans="10:29" x14ac:dyDescent="0.25">
      <c r="J2206" s="19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  <c r="AA2206" s="23"/>
      <c r="AB2206" s="23"/>
      <c r="AC2206" s="23"/>
    </row>
    <row r="2207" spans="10:29" x14ac:dyDescent="0.25">
      <c r="J2207" s="19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  <c r="AA2207" s="23"/>
      <c r="AB2207" s="23"/>
      <c r="AC2207" s="23"/>
    </row>
    <row r="2208" spans="10:29" x14ac:dyDescent="0.25">
      <c r="J2208" s="19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  <c r="AA2208" s="23"/>
      <c r="AB2208" s="23"/>
      <c r="AC2208" s="23"/>
    </row>
    <row r="2209" spans="10:29" x14ac:dyDescent="0.25">
      <c r="J2209" s="19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  <c r="AA2209" s="23"/>
      <c r="AB2209" s="23"/>
      <c r="AC2209" s="23"/>
    </row>
    <row r="2210" spans="10:29" x14ac:dyDescent="0.25">
      <c r="J2210" s="19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  <c r="AA2210" s="23"/>
      <c r="AB2210" s="23"/>
      <c r="AC2210" s="23"/>
    </row>
    <row r="2211" spans="10:29" x14ac:dyDescent="0.25">
      <c r="J2211" s="19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  <c r="AA2211" s="23"/>
      <c r="AB2211" s="23"/>
      <c r="AC2211" s="23"/>
    </row>
    <row r="2212" spans="10:29" x14ac:dyDescent="0.25">
      <c r="J2212" s="19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  <c r="AA2212" s="23"/>
      <c r="AB2212" s="23"/>
      <c r="AC2212" s="23"/>
    </row>
    <row r="2213" spans="10:29" x14ac:dyDescent="0.25">
      <c r="J2213" s="19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  <c r="AA2213" s="23"/>
      <c r="AB2213" s="23"/>
      <c r="AC2213" s="23"/>
    </row>
    <row r="2214" spans="10:29" x14ac:dyDescent="0.25">
      <c r="J2214" s="19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  <c r="AA2214" s="23"/>
      <c r="AB2214" s="23"/>
      <c r="AC2214" s="23"/>
    </row>
    <row r="2215" spans="10:29" x14ac:dyDescent="0.25">
      <c r="J2215" s="19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  <c r="AA2215" s="23"/>
      <c r="AB2215" s="23"/>
      <c r="AC2215" s="23"/>
    </row>
    <row r="2216" spans="10:29" x14ac:dyDescent="0.25">
      <c r="J2216" s="19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  <c r="AA2216" s="23"/>
      <c r="AB2216" s="23"/>
      <c r="AC2216" s="23"/>
    </row>
    <row r="2217" spans="10:29" x14ac:dyDescent="0.25">
      <c r="J2217" s="19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  <c r="AA2217" s="23"/>
      <c r="AB2217" s="23"/>
      <c r="AC2217" s="23"/>
    </row>
    <row r="2218" spans="10:29" x14ac:dyDescent="0.25">
      <c r="J2218" s="19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  <c r="AA2218" s="23"/>
      <c r="AB2218" s="23"/>
      <c r="AC2218" s="23"/>
    </row>
    <row r="2219" spans="10:29" x14ac:dyDescent="0.25">
      <c r="J2219" s="19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  <c r="AA2219" s="23"/>
      <c r="AB2219" s="23"/>
      <c r="AC2219" s="23"/>
    </row>
    <row r="2220" spans="10:29" x14ac:dyDescent="0.25">
      <c r="J2220" s="19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  <c r="AA2220" s="23"/>
      <c r="AB2220" s="23"/>
      <c r="AC2220" s="23"/>
    </row>
    <row r="2221" spans="10:29" x14ac:dyDescent="0.25">
      <c r="J2221" s="19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  <c r="AA2221" s="23"/>
      <c r="AB2221" s="23"/>
      <c r="AC2221" s="23"/>
    </row>
    <row r="2222" spans="10:29" x14ac:dyDescent="0.25">
      <c r="J2222" s="19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  <c r="AA2222" s="23"/>
      <c r="AB2222" s="23"/>
      <c r="AC2222" s="23"/>
    </row>
    <row r="2223" spans="10:29" x14ac:dyDescent="0.25">
      <c r="J2223" s="19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  <c r="AA2223" s="23"/>
      <c r="AB2223" s="23"/>
      <c r="AC2223" s="23"/>
    </row>
    <row r="2224" spans="10:29" x14ac:dyDescent="0.25">
      <c r="J2224" s="19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  <c r="AA2224" s="23"/>
      <c r="AB2224" s="23"/>
      <c r="AC2224" s="23"/>
    </row>
    <row r="2225" spans="10:29" x14ac:dyDescent="0.25">
      <c r="J2225" s="19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  <c r="AA2225" s="23"/>
      <c r="AB2225" s="23"/>
      <c r="AC2225" s="23"/>
    </row>
    <row r="2226" spans="10:29" x14ac:dyDescent="0.25">
      <c r="J2226" s="19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  <c r="AA2226" s="23"/>
      <c r="AB2226" s="23"/>
      <c r="AC2226" s="23"/>
    </row>
    <row r="2227" spans="10:29" x14ac:dyDescent="0.25">
      <c r="J2227" s="19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  <c r="AA2227" s="23"/>
      <c r="AB2227" s="23"/>
      <c r="AC2227" s="23"/>
    </row>
    <row r="2228" spans="10:29" x14ac:dyDescent="0.25">
      <c r="J2228" s="19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  <c r="AA2228" s="23"/>
      <c r="AB2228" s="23"/>
      <c r="AC2228" s="23"/>
    </row>
    <row r="2229" spans="10:29" x14ac:dyDescent="0.25">
      <c r="J2229" s="19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  <c r="AA2229" s="23"/>
      <c r="AB2229" s="23"/>
      <c r="AC2229" s="23"/>
    </row>
    <row r="2230" spans="10:29" x14ac:dyDescent="0.25">
      <c r="J2230" s="19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  <c r="AA2230" s="23"/>
      <c r="AB2230" s="23"/>
      <c r="AC2230" s="23"/>
    </row>
    <row r="2231" spans="10:29" x14ac:dyDescent="0.25">
      <c r="J2231" s="19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  <c r="AA2231" s="23"/>
      <c r="AB2231" s="23"/>
      <c r="AC2231" s="23"/>
    </row>
    <row r="2232" spans="10:29" x14ac:dyDescent="0.25">
      <c r="J2232" s="19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  <c r="AA2232" s="23"/>
      <c r="AB2232" s="23"/>
      <c r="AC2232" s="23"/>
    </row>
    <row r="2233" spans="10:29" x14ac:dyDescent="0.25">
      <c r="J2233" s="19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  <c r="AA2233" s="23"/>
      <c r="AB2233" s="23"/>
      <c r="AC2233" s="23"/>
    </row>
    <row r="2234" spans="10:29" x14ac:dyDescent="0.25">
      <c r="J2234" s="19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  <c r="AA2234" s="23"/>
      <c r="AB2234" s="23"/>
      <c r="AC2234" s="23"/>
    </row>
    <row r="2235" spans="10:29" x14ac:dyDescent="0.25">
      <c r="J2235" s="19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  <c r="AA2235" s="23"/>
      <c r="AB2235" s="23"/>
      <c r="AC2235" s="23"/>
    </row>
    <row r="2236" spans="10:29" x14ac:dyDescent="0.25">
      <c r="J2236" s="19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  <c r="AA2236" s="23"/>
      <c r="AB2236" s="23"/>
      <c r="AC2236" s="23"/>
    </row>
    <row r="2237" spans="10:29" x14ac:dyDescent="0.25">
      <c r="J2237" s="19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  <c r="AA2237" s="23"/>
      <c r="AB2237" s="23"/>
      <c r="AC2237" s="23"/>
    </row>
    <row r="2238" spans="10:29" x14ac:dyDescent="0.25">
      <c r="J2238" s="19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  <c r="AA2238" s="23"/>
      <c r="AB2238" s="23"/>
      <c r="AC2238" s="23"/>
    </row>
    <row r="2239" spans="10:29" x14ac:dyDescent="0.25">
      <c r="J2239" s="19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  <c r="AA2239" s="23"/>
      <c r="AB2239" s="23"/>
      <c r="AC2239" s="23"/>
    </row>
    <row r="2240" spans="10:29" x14ac:dyDescent="0.25">
      <c r="J2240" s="19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  <c r="AA2240" s="23"/>
      <c r="AB2240" s="23"/>
      <c r="AC2240" s="23"/>
    </row>
    <row r="2241" spans="10:29" x14ac:dyDescent="0.25">
      <c r="J2241" s="19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  <c r="AA2241" s="23"/>
      <c r="AB2241" s="23"/>
      <c r="AC2241" s="23"/>
    </row>
    <row r="2242" spans="10:29" x14ac:dyDescent="0.25">
      <c r="J2242" s="19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  <c r="AA2242" s="23"/>
      <c r="AB2242" s="23"/>
      <c r="AC2242" s="23"/>
    </row>
    <row r="2243" spans="10:29" x14ac:dyDescent="0.25">
      <c r="J2243" s="19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  <c r="AA2243" s="23"/>
      <c r="AB2243" s="23"/>
      <c r="AC2243" s="23"/>
    </row>
    <row r="2244" spans="10:29" x14ac:dyDescent="0.25">
      <c r="J2244" s="19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  <c r="AA2244" s="23"/>
      <c r="AB2244" s="23"/>
      <c r="AC2244" s="23"/>
    </row>
    <row r="2245" spans="10:29" x14ac:dyDescent="0.25">
      <c r="J2245" s="19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  <c r="AA2245" s="23"/>
      <c r="AB2245" s="23"/>
      <c r="AC2245" s="23"/>
    </row>
    <row r="2246" spans="10:29" x14ac:dyDescent="0.25">
      <c r="J2246" s="19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  <c r="AA2246" s="23"/>
      <c r="AB2246" s="23"/>
      <c r="AC2246" s="23"/>
    </row>
    <row r="2247" spans="10:29" x14ac:dyDescent="0.25">
      <c r="J2247" s="19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  <c r="AA2247" s="23"/>
      <c r="AB2247" s="23"/>
      <c r="AC2247" s="23"/>
    </row>
    <row r="2248" spans="10:29" x14ac:dyDescent="0.25">
      <c r="J2248" s="19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  <c r="AA2248" s="23"/>
      <c r="AB2248" s="23"/>
      <c r="AC2248" s="23"/>
    </row>
    <row r="2249" spans="10:29" x14ac:dyDescent="0.25">
      <c r="J2249" s="19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  <c r="AA2249" s="23"/>
      <c r="AB2249" s="23"/>
      <c r="AC2249" s="23"/>
    </row>
    <row r="2250" spans="10:29" x14ac:dyDescent="0.25">
      <c r="J2250" s="19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  <c r="AA2250" s="23"/>
      <c r="AB2250" s="23"/>
      <c r="AC2250" s="23"/>
    </row>
    <row r="2251" spans="10:29" x14ac:dyDescent="0.25">
      <c r="J2251" s="19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  <c r="AA2251" s="23"/>
      <c r="AB2251" s="23"/>
      <c r="AC2251" s="23"/>
    </row>
    <row r="2252" spans="10:29" x14ac:dyDescent="0.25">
      <c r="J2252" s="19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  <c r="AA2252" s="23"/>
      <c r="AB2252" s="23"/>
      <c r="AC2252" s="23"/>
    </row>
    <row r="2253" spans="10:29" x14ac:dyDescent="0.25">
      <c r="J2253" s="19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  <c r="AA2253" s="23"/>
      <c r="AB2253" s="23"/>
      <c r="AC2253" s="23"/>
    </row>
    <row r="2254" spans="10:29" x14ac:dyDescent="0.25">
      <c r="J2254" s="19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  <c r="AA2254" s="23"/>
      <c r="AB2254" s="23"/>
      <c r="AC2254" s="23"/>
    </row>
    <row r="2255" spans="10:29" x14ac:dyDescent="0.25">
      <c r="J2255" s="19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  <c r="AA2255" s="23"/>
      <c r="AB2255" s="23"/>
      <c r="AC2255" s="23"/>
    </row>
    <row r="2256" spans="10:29" x14ac:dyDescent="0.25">
      <c r="J2256" s="19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  <c r="AA2256" s="23"/>
      <c r="AB2256" s="23"/>
      <c r="AC2256" s="23"/>
    </row>
    <row r="2257" spans="10:29" x14ac:dyDescent="0.25">
      <c r="J2257" s="19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  <c r="AA2257" s="23"/>
      <c r="AB2257" s="23"/>
      <c r="AC2257" s="23"/>
    </row>
    <row r="2258" spans="10:29" x14ac:dyDescent="0.25">
      <c r="J2258" s="19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  <c r="AA2258" s="23"/>
      <c r="AB2258" s="23"/>
      <c r="AC2258" s="23"/>
    </row>
    <row r="2259" spans="10:29" x14ac:dyDescent="0.25">
      <c r="J2259" s="19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  <c r="AA2259" s="23"/>
      <c r="AB2259" s="23"/>
      <c r="AC2259" s="23"/>
    </row>
    <row r="2260" spans="10:29" x14ac:dyDescent="0.25">
      <c r="J2260" s="19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  <c r="AA2260" s="23"/>
      <c r="AB2260" s="23"/>
      <c r="AC2260" s="23"/>
    </row>
    <row r="2261" spans="10:29" x14ac:dyDescent="0.25">
      <c r="J2261" s="19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  <c r="AA2261" s="23"/>
      <c r="AB2261" s="23"/>
      <c r="AC2261" s="23"/>
    </row>
    <row r="2262" spans="10:29" x14ac:dyDescent="0.25">
      <c r="J2262" s="19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  <c r="AA2262" s="23"/>
      <c r="AB2262" s="23"/>
      <c r="AC2262" s="23"/>
    </row>
    <row r="2263" spans="10:29" x14ac:dyDescent="0.25">
      <c r="J2263" s="19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  <c r="AA2263" s="23"/>
      <c r="AB2263" s="23"/>
      <c r="AC2263" s="23"/>
    </row>
    <row r="2264" spans="10:29" x14ac:dyDescent="0.25">
      <c r="J2264" s="19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  <c r="AA2264" s="23"/>
      <c r="AB2264" s="23"/>
      <c r="AC2264" s="23"/>
    </row>
    <row r="2265" spans="10:29" x14ac:dyDescent="0.25">
      <c r="J2265" s="19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  <c r="AA2265" s="23"/>
      <c r="AB2265" s="23"/>
      <c r="AC2265" s="23"/>
    </row>
    <row r="2266" spans="10:29" x14ac:dyDescent="0.25">
      <c r="J2266" s="19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  <c r="AA2266" s="23"/>
      <c r="AB2266" s="23"/>
      <c r="AC2266" s="23"/>
    </row>
    <row r="2267" spans="10:29" x14ac:dyDescent="0.25">
      <c r="J2267" s="19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  <c r="AA2267" s="23"/>
      <c r="AB2267" s="23"/>
      <c r="AC2267" s="23"/>
    </row>
    <row r="2268" spans="10:29" x14ac:dyDescent="0.25">
      <c r="J2268" s="19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3"/>
      <c r="AB2268" s="23"/>
      <c r="AC2268" s="23"/>
    </row>
    <row r="2269" spans="10:29" x14ac:dyDescent="0.25">
      <c r="J2269" s="19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  <c r="AA2269" s="23"/>
      <c r="AB2269" s="23"/>
      <c r="AC2269" s="23"/>
    </row>
    <row r="2270" spans="10:29" x14ac:dyDescent="0.25">
      <c r="J2270" s="19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  <c r="AA2270" s="23"/>
      <c r="AB2270" s="23"/>
      <c r="AC2270" s="23"/>
    </row>
    <row r="2271" spans="10:29" x14ac:dyDescent="0.25">
      <c r="J2271" s="19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  <c r="AA2271" s="23"/>
      <c r="AB2271" s="23"/>
      <c r="AC2271" s="23"/>
    </row>
    <row r="2272" spans="10:29" x14ac:dyDescent="0.25">
      <c r="J2272" s="19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  <c r="AA2272" s="23"/>
      <c r="AB2272" s="23"/>
      <c r="AC2272" s="23"/>
    </row>
    <row r="2273" spans="10:29" x14ac:dyDescent="0.25">
      <c r="J2273" s="19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  <c r="AA2273" s="23"/>
      <c r="AB2273" s="23"/>
      <c r="AC2273" s="23"/>
    </row>
    <row r="2274" spans="10:29" x14ac:dyDescent="0.25">
      <c r="J2274" s="19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  <c r="AA2274" s="23"/>
      <c r="AB2274" s="23"/>
      <c r="AC2274" s="23"/>
    </row>
    <row r="2275" spans="10:29" x14ac:dyDescent="0.25">
      <c r="J2275" s="19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  <c r="AA2275" s="23"/>
      <c r="AB2275" s="23"/>
      <c r="AC2275" s="23"/>
    </row>
    <row r="2276" spans="10:29" x14ac:dyDescent="0.25">
      <c r="J2276" s="19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  <c r="AA2276" s="23"/>
      <c r="AB2276" s="23"/>
      <c r="AC2276" s="23"/>
    </row>
    <row r="2277" spans="10:29" x14ac:dyDescent="0.25">
      <c r="J2277" s="19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  <c r="AA2277" s="23"/>
      <c r="AB2277" s="23"/>
      <c r="AC2277" s="23"/>
    </row>
    <row r="2278" spans="10:29" x14ac:dyDescent="0.25">
      <c r="J2278" s="19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  <c r="AA2278" s="23"/>
      <c r="AB2278" s="23"/>
      <c r="AC2278" s="23"/>
    </row>
    <row r="2279" spans="10:29" x14ac:dyDescent="0.25">
      <c r="J2279" s="19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  <c r="AA2279" s="23"/>
      <c r="AB2279" s="23"/>
      <c r="AC2279" s="23"/>
    </row>
    <row r="2280" spans="10:29" x14ac:dyDescent="0.25">
      <c r="J2280" s="19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  <c r="AA2280" s="23"/>
      <c r="AB2280" s="23"/>
      <c r="AC2280" s="23"/>
    </row>
    <row r="2281" spans="10:29" x14ac:dyDescent="0.25">
      <c r="J2281" s="19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  <c r="AA2281" s="23"/>
      <c r="AB2281" s="23"/>
      <c r="AC2281" s="23"/>
    </row>
    <row r="2282" spans="10:29" x14ac:dyDescent="0.25">
      <c r="J2282" s="19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  <c r="AA2282" s="23"/>
      <c r="AB2282" s="23"/>
      <c r="AC2282" s="23"/>
    </row>
    <row r="2283" spans="10:29" x14ac:dyDescent="0.25">
      <c r="J2283" s="19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  <c r="AA2283" s="23"/>
      <c r="AB2283" s="23"/>
      <c r="AC2283" s="23"/>
    </row>
    <row r="2284" spans="10:29" x14ac:dyDescent="0.25">
      <c r="J2284" s="19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  <c r="AA2284" s="23"/>
      <c r="AB2284" s="23"/>
      <c r="AC2284" s="23"/>
    </row>
    <row r="2285" spans="10:29" x14ac:dyDescent="0.25">
      <c r="J2285" s="19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  <c r="AA2285" s="23"/>
      <c r="AB2285" s="23"/>
      <c r="AC2285" s="23"/>
    </row>
    <row r="2286" spans="10:29" x14ac:dyDescent="0.25">
      <c r="J2286" s="19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  <c r="AA2286" s="23"/>
      <c r="AB2286" s="23"/>
      <c r="AC2286" s="23"/>
    </row>
    <row r="2287" spans="10:29" x14ac:dyDescent="0.25">
      <c r="J2287" s="19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  <c r="AA2287" s="23"/>
      <c r="AB2287" s="23"/>
      <c r="AC2287" s="23"/>
    </row>
    <row r="2288" spans="10:29" x14ac:dyDescent="0.25">
      <c r="J2288" s="19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  <c r="AA2288" s="23"/>
      <c r="AB2288" s="23"/>
      <c r="AC2288" s="23"/>
    </row>
    <row r="2289" spans="10:29" x14ac:dyDescent="0.25">
      <c r="J2289" s="19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  <c r="AA2289" s="23"/>
      <c r="AB2289" s="23"/>
      <c r="AC2289" s="23"/>
    </row>
    <row r="2290" spans="10:29" x14ac:dyDescent="0.25">
      <c r="J2290" s="19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  <c r="AA2290" s="23"/>
      <c r="AB2290" s="23"/>
      <c r="AC2290" s="23"/>
    </row>
    <row r="2291" spans="10:29" x14ac:dyDescent="0.25">
      <c r="J2291" s="19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  <c r="AA2291" s="23"/>
      <c r="AB2291" s="23"/>
      <c r="AC2291" s="23"/>
    </row>
    <row r="2292" spans="10:29" x14ac:dyDescent="0.25">
      <c r="J2292" s="19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  <c r="AA2292" s="23"/>
      <c r="AB2292" s="23"/>
      <c r="AC2292" s="23"/>
    </row>
    <row r="2293" spans="10:29" x14ac:dyDescent="0.25">
      <c r="J2293" s="19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  <c r="AA2293" s="23"/>
      <c r="AB2293" s="23"/>
      <c r="AC2293" s="23"/>
    </row>
    <row r="2294" spans="10:29" x14ac:dyDescent="0.25">
      <c r="J2294" s="19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  <c r="AA2294" s="23"/>
      <c r="AB2294" s="23"/>
      <c r="AC2294" s="23"/>
    </row>
    <row r="2295" spans="10:29" x14ac:dyDescent="0.25">
      <c r="J2295" s="19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  <c r="AA2295" s="23"/>
      <c r="AB2295" s="23"/>
      <c r="AC2295" s="23"/>
    </row>
    <row r="2296" spans="10:29" x14ac:dyDescent="0.25">
      <c r="J2296" s="19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  <c r="AA2296" s="23"/>
      <c r="AB2296" s="23"/>
      <c r="AC2296" s="23"/>
    </row>
    <row r="2297" spans="10:29" x14ac:dyDescent="0.25">
      <c r="J2297" s="19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  <c r="AA2297" s="23"/>
      <c r="AB2297" s="23"/>
      <c r="AC2297" s="23"/>
    </row>
    <row r="2298" spans="10:29" x14ac:dyDescent="0.25">
      <c r="J2298" s="19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  <c r="AA2298" s="23"/>
      <c r="AB2298" s="23"/>
      <c r="AC2298" s="23"/>
    </row>
    <row r="2299" spans="10:29" x14ac:dyDescent="0.25">
      <c r="J2299" s="19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  <c r="AA2299" s="23"/>
      <c r="AB2299" s="23"/>
      <c r="AC2299" s="23"/>
    </row>
    <row r="2300" spans="10:29" x14ac:dyDescent="0.25">
      <c r="J2300" s="19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  <c r="AA2300" s="23"/>
      <c r="AB2300" s="23"/>
      <c r="AC2300" s="23"/>
    </row>
    <row r="2301" spans="10:29" x14ac:dyDescent="0.25">
      <c r="J2301" s="19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  <c r="AA2301" s="23"/>
      <c r="AB2301" s="23"/>
      <c r="AC2301" s="23"/>
    </row>
    <row r="2302" spans="10:29" x14ac:dyDescent="0.25">
      <c r="J2302" s="19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  <c r="AA2302" s="23"/>
      <c r="AB2302" s="23"/>
      <c r="AC2302" s="23"/>
    </row>
    <row r="2303" spans="10:29" x14ac:dyDescent="0.25">
      <c r="J2303" s="19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  <c r="AA2303" s="23"/>
      <c r="AB2303" s="23"/>
      <c r="AC2303" s="23"/>
    </row>
    <row r="2304" spans="10:29" x14ac:dyDescent="0.25">
      <c r="J2304" s="19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  <c r="AA2304" s="23"/>
      <c r="AB2304" s="23"/>
      <c r="AC2304" s="23"/>
    </row>
    <row r="2305" spans="10:29" x14ac:dyDescent="0.25">
      <c r="J2305" s="19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  <c r="AA2305" s="23"/>
      <c r="AB2305" s="23"/>
      <c r="AC2305" s="23"/>
    </row>
    <row r="2306" spans="10:29" x14ac:dyDescent="0.25">
      <c r="J2306" s="19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  <c r="AA2306" s="23"/>
      <c r="AB2306" s="23"/>
      <c r="AC2306" s="23"/>
    </row>
    <row r="2307" spans="10:29" x14ac:dyDescent="0.25">
      <c r="J2307" s="19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  <c r="AA2307" s="23"/>
      <c r="AB2307" s="23"/>
      <c r="AC2307" s="23"/>
    </row>
    <row r="2308" spans="10:29" x14ac:dyDescent="0.25">
      <c r="J2308" s="19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  <c r="AA2308" s="23"/>
      <c r="AB2308" s="23"/>
      <c r="AC2308" s="23"/>
    </row>
    <row r="2309" spans="10:29" x14ac:dyDescent="0.25">
      <c r="J2309" s="19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  <c r="AA2309" s="23"/>
      <c r="AB2309" s="23"/>
      <c r="AC2309" s="23"/>
    </row>
    <row r="2310" spans="10:29" x14ac:dyDescent="0.25">
      <c r="J2310" s="19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  <c r="AA2310" s="23"/>
      <c r="AB2310" s="23"/>
      <c r="AC2310" s="23"/>
    </row>
    <row r="2311" spans="10:29" x14ac:dyDescent="0.25">
      <c r="J2311" s="19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  <c r="AA2311" s="23"/>
      <c r="AB2311" s="23"/>
      <c r="AC2311" s="23"/>
    </row>
    <row r="2312" spans="10:29" x14ac:dyDescent="0.25">
      <c r="J2312" s="19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  <c r="AA2312" s="23"/>
      <c r="AB2312" s="23"/>
      <c r="AC2312" s="23"/>
    </row>
    <row r="2313" spans="10:29" x14ac:dyDescent="0.25">
      <c r="J2313" s="19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  <c r="AA2313" s="23"/>
      <c r="AB2313" s="23"/>
      <c r="AC2313" s="23"/>
    </row>
    <row r="2314" spans="10:29" x14ac:dyDescent="0.25">
      <c r="J2314" s="19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  <c r="AA2314" s="23"/>
      <c r="AB2314" s="23"/>
      <c r="AC2314" s="23"/>
    </row>
    <row r="2315" spans="10:29" x14ac:dyDescent="0.25">
      <c r="J2315" s="19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  <c r="AA2315" s="23"/>
      <c r="AB2315" s="23"/>
      <c r="AC2315" s="23"/>
    </row>
    <row r="2316" spans="10:29" x14ac:dyDescent="0.25">
      <c r="J2316" s="19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  <c r="AA2316" s="23"/>
      <c r="AB2316" s="23"/>
      <c r="AC2316" s="23"/>
    </row>
    <row r="2317" spans="10:29" x14ac:dyDescent="0.25">
      <c r="J2317" s="19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  <c r="AA2317" s="23"/>
      <c r="AB2317" s="23"/>
      <c r="AC2317" s="23"/>
    </row>
    <row r="2318" spans="10:29" x14ac:dyDescent="0.25">
      <c r="J2318" s="19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  <c r="AA2318" s="23"/>
      <c r="AB2318" s="23"/>
      <c r="AC2318" s="23"/>
    </row>
    <row r="2319" spans="10:29" x14ac:dyDescent="0.25">
      <c r="J2319" s="19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  <c r="AA2319" s="23"/>
      <c r="AB2319" s="23"/>
      <c r="AC2319" s="23"/>
    </row>
    <row r="2320" spans="10:29" x14ac:dyDescent="0.25">
      <c r="J2320" s="19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  <c r="AA2320" s="23"/>
      <c r="AB2320" s="23"/>
      <c r="AC2320" s="23"/>
    </row>
    <row r="2321" spans="10:29" x14ac:dyDescent="0.25">
      <c r="J2321" s="19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  <c r="AA2321" s="23"/>
      <c r="AB2321" s="23"/>
      <c r="AC2321" s="23"/>
    </row>
    <row r="2322" spans="10:29" x14ac:dyDescent="0.25">
      <c r="J2322" s="19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  <c r="AA2322" s="23"/>
      <c r="AB2322" s="23"/>
      <c r="AC2322" s="23"/>
    </row>
    <row r="2323" spans="10:29" x14ac:dyDescent="0.25">
      <c r="J2323" s="19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  <c r="AA2323" s="23"/>
      <c r="AB2323" s="23"/>
      <c r="AC2323" s="23"/>
    </row>
    <row r="2324" spans="10:29" x14ac:dyDescent="0.25">
      <c r="J2324" s="19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  <c r="AA2324" s="23"/>
      <c r="AB2324" s="23"/>
      <c r="AC2324" s="23"/>
    </row>
    <row r="2325" spans="10:29" x14ac:dyDescent="0.25">
      <c r="J2325" s="19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  <c r="AA2325" s="23"/>
      <c r="AB2325" s="23"/>
      <c r="AC2325" s="23"/>
    </row>
    <row r="2326" spans="10:29" x14ac:dyDescent="0.25">
      <c r="J2326" s="19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  <c r="AA2326" s="23"/>
      <c r="AB2326" s="23"/>
      <c r="AC2326" s="23"/>
    </row>
    <row r="2327" spans="10:29" x14ac:dyDescent="0.25">
      <c r="J2327" s="19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  <c r="AA2327" s="23"/>
      <c r="AB2327" s="23"/>
      <c r="AC2327" s="23"/>
    </row>
    <row r="2328" spans="10:29" x14ac:dyDescent="0.25">
      <c r="J2328" s="19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  <c r="AA2328" s="23"/>
      <c r="AB2328" s="23"/>
      <c r="AC2328" s="23"/>
    </row>
    <row r="2329" spans="10:29" x14ac:dyDescent="0.25">
      <c r="J2329" s="19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  <c r="AA2329" s="23"/>
      <c r="AB2329" s="23"/>
      <c r="AC2329" s="23"/>
    </row>
    <row r="2330" spans="10:29" x14ac:dyDescent="0.25">
      <c r="J2330" s="19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  <c r="AA2330" s="23"/>
      <c r="AB2330" s="23"/>
      <c r="AC2330" s="23"/>
    </row>
    <row r="2331" spans="10:29" x14ac:dyDescent="0.25">
      <c r="J2331" s="19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  <c r="AA2331" s="23"/>
      <c r="AB2331" s="23"/>
      <c r="AC2331" s="23"/>
    </row>
    <row r="2332" spans="10:29" x14ac:dyDescent="0.25">
      <c r="J2332" s="19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  <c r="AA2332" s="23"/>
      <c r="AB2332" s="23"/>
      <c r="AC2332" s="23"/>
    </row>
    <row r="2333" spans="10:29" x14ac:dyDescent="0.25">
      <c r="J2333" s="19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  <c r="AA2333" s="23"/>
      <c r="AB2333" s="23"/>
      <c r="AC2333" s="23"/>
    </row>
    <row r="2334" spans="10:29" x14ac:dyDescent="0.25">
      <c r="J2334" s="19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  <c r="AA2334" s="23"/>
      <c r="AB2334" s="23"/>
      <c r="AC2334" s="23"/>
    </row>
    <row r="2335" spans="10:29" x14ac:dyDescent="0.25">
      <c r="J2335" s="19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  <c r="AA2335" s="23"/>
      <c r="AB2335" s="23"/>
      <c r="AC2335" s="23"/>
    </row>
    <row r="2336" spans="10:29" x14ac:dyDescent="0.25">
      <c r="J2336" s="19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  <c r="AA2336" s="23"/>
      <c r="AB2336" s="23"/>
      <c r="AC2336" s="23"/>
    </row>
    <row r="2337" spans="10:29" x14ac:dyDescent="0.25">
      <c r="J2337" s="19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  <c r="AA2337" s="23"/>
      <c r="AB2337" s="23"/>
      <c r="AC2337" s="23"/>
    </row>
    <row r="2338" spans="10:29" x14ac:dyDescent="0.25">
      <c r="J2338" s="19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  <c r="AA2338" s="23"/>
      <c r="AB2338" s="23"/>
      <c r="AC2338" s="23"/>
    </row>
    <row r="2339" spans="10:29" x14ac:dyDescent="0.25">
      <c r="J2339" s="19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  <c r="AA2339" s="23"/>
      <c r="AB2339" s="23"/>
      <c r="AC2339" s="23"/>
    </row>
    <row r="2340" spans="10:29" x14ac:dyDescent="0.25">
      <c r="J2340" s="19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  <c r="AA2340" s="23"/>
      <c r="AB2340" s="23"/>
      <c r="AC2340" s="23"/>
    </row>
    <row r="2341" spans="10:29" x14ac:dyDescent="0.25">
      <c r="J2341" s="19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  <c r="AA2341" s="23"/>
      <c r="AB2341" s="23"/>
      <c r="AC2341" s="23"/>
    </row>
    <row r="2342" spans="10:29" x14ac:dyDescent="0.25">
      <c r="J2342" s="19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  <c r="AA2342" s="23"/>
      <c r="AB2342" s="23"/>
      <c r="AC2342" s="23"/>
    </row>
    <row r="2343" spans="10:29" x14ac:dyDescent="0.25">
      <c r="J2343" s="19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  <c r="AA2343" s="23"/>
      <c r="AB2343" s="23"/>
      <c r="AC2343" s="23"/>
    </row>
    <row r="2344" spans="10:29" x14ac:dyDescent="0.25">
      <c r="J2344" s="19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  <c r="AA2344" s="23"/>
      <c r="AB2344" s="23"/>
      <c r="AC2344" s="23"/>
    </row>
    <row r="2345" spans="10:29" x14ac:dyDescent="0.25">
      <c r="J2345" s="19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  <c r="AA2345" s="23"/>
      <c r="AB2345" s="23"/>
      <c r="AC2345" s="23"/>
    </row>
    <row r="2346" spans="10:29" x14ac:dyDescent="0.25">
      <c r="J2346" s="19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  <c r="AA2346" s="23"/>
      <c r="AB2346" s="23"/>
      <c r="AC2346" s="23"/>
    </row>
    <row r="2347" spans="10:29" x14ac:dyDescent="0.25">
      <c r="J2347" s="19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  <c r="AA2347" s="23"/>
      <c r="AB2347" s="23"/>
      <c r="AC2347" s="23"/>
    </row>
    <row r="2348" spans="10:29" x14ac:dyDescent="0.25">
      <c r="J2348" s="19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  <c r="AA2348" s="23"/>
      <c r="AB2348" s="23"/>
      <c r="AC2348" s="23"/>
    </row>
    <row r="2349" spans="10:29" x14ac:dyDescent="0.25">
      <c r="J2349" s="19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  <c r="AA2349" s="23"/>
      <c r="AB2349" s="23"/>
      <c r="AC2349" s="23"/>
    </row>
    <row r="2350" spans="10:29" x14ac:dyDescent="0.25">
      <c r="J2350" s="19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  <c r="AA2350" s="23"/>
      <c r="AB2350" s="23"/>
      <c r="AC2350" s="23"/>
    </row>
    <row r="2351" spans="10:29" x14ac:dyDescent="0.25">
      <c r="J2351" s="19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  <c r="AA2351" s="23"/>
      <c r="AB2351" s="23"/>
      <c r="AC2351" s="23"/>
    </row>
    <row r="2352" spans="10:29" x14ac:dyDescent="0.25">
      <c r="J2352" s="19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  <c r="AA2352" s="23"/>
      <c r="AB2352" s="23"/>
      <c r="AC2352" s="23"/>
    </row>
    <row r="2353" spans="10:29" x14ac:dyDescent="0.25">
      <c r="J2353" s="19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  <c r="AA2353" s="23"/>
      <c r="AB2353" s="23"/>
      <c r="AC2353" s="23"/>
    </row>
    <row r="2354" spans="10:29" x14ac:dyDescent="0.25">
      <c r="J2354" s="19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  <c r="AA2354" s="23"/>
      <c r="AB2354" s="23"/>
      <c r="AC2354" s="23"/>
    </row>
    <row r="2355" spans="10:29" x14ac:dyDescent="0.25">
      <c r="J2355" s="19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  <c r="AA2355" s="23"/>
      <c r="AB2355" s="23"/>
      <c r="AC2355" s="23"/>
    </row>
    <row r="2356" spans="10:29" x14ac:dyDescent="0.25">
      <c r="J2356" s="19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  <c r="AA2356" s="23"/>
      <c r="AB2356" s="23"/>
      <c r="AC2356" s="23"/>
    </row>
    <row r="2357" spans="10:29" x14ac:dyDescent="0.25">
      <c r="J2357" s="19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  <c r="AA2357" s="23"/>
      <c r="AB2357" s="23"/>
      <c r="AC2357" s="23"/>
    </row>
    <row r="2358" spans="10:29" x14ac:dyDescent="0.25">
      <c r="J2358" s="19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  <c r="AA2358" s="23"/>
      <c r="AB2358" s="23"/>
      <c r="AC2358" s="23"/>
    </row>
    <row r="2359" spans="10:29" x14ac:dyDescent="0.25">
      <c r="J2359" s="19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  <c r="AA2359" s="23"/>
      <c r="AB2359" s="23"/>
      <c r="AC2359" s="23"/>
    </row>
    <row r="2360" spans="10:29" x14ac:dyDescent="0.25">
      <c r="J2360" s="19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  <c r="AA2360" s="23"/>
      <c r="AB2360" s="23"/>
      <c r="AC2360" s="23"/>
    </row>
    <row r="2361" spans="10:29" x14ac:dyDescent="0.25">
      <c r="J2361" s="19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  <c r="AA2361" s="23"/>
      <c r="AB2361" s="23"/>
      <c r="AC2361" s="23"/>
    </row>
    <row r="2362" spans="10:29" x14ac:dyDescent="0.25">
      <c r="J2362" s="19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  <c r="AA2362" s="23"/>
      <c r="AB2362" s="23"/>
      <c r="AC2362" s="23"/>
    </row>
    <row r="2363" spans="10:29" x14ac:dyDescent="0.25">
      <c r="J2363" s="19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  <c r="AA2363" s="23"/>
      <c r="AB2363" s="23"/>
      <c r="AC2363" s="23"/>
    </row>
    <row r="2364" spans="10:29" x14ac:dyDescent="0.25">
      <c r="J2364" s="19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  <c r="AA2364" s="23"/>
      <c r="AB2364" s="23"/>
      <c r="AC2364" s="23"/>
    </row>
    <row r="2365" spans="10:29" x14ac:dyDescent="0.25">
      <c r="J2365" s="19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  <c r="AA2365" s="23"/>
      <c r="AB2365" s="23"/>
      <c r="AC2365" s="23"/>
    </row>
    <row r="2366" spans="10:29" x14ac:dyDescent="0.25">
      <c r="J2366" s="19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  <c r="AA2366" s="23"/>
      <c r="AB2366" s="23"/>
      <c r="AC2366" s="23"/>
    </row>
    <row r="2367" spans="10:29" x14ac:dyDescent="0.25">
      <c r="J2367" s="19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  <c r="AA2367" s="23"/>
      <c r="AB2367" s="23"/>
      <c r="AC2367" s="23"/>
    </row>
    <row r="2368" spans="10:29" x14ac:dyDescent="0.25">
      <c r="J2368" s="19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  <c r="AA2368" s="23"/>
      <c r="AB2368" s="23"/>
      <c r="AC2368" s="23"/>
    </row>
    <row r="2369" spans="10:29" x14ac:dyDescent="0.25">
      <c r="J2369" s="19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  <c r="AA2369" s="23"/>
      <c r="AB2369" s="23"/>
      <c r="AC2369" s="23"/>
    </row>
    <row r="2370" spans="10:29" x14ac:dyDescent="0.25">
      <c r="J2370" s="19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  <c r="AA2370" s="23"/>
      <c r="AB2370" s="23"/>
      <c r="AC2370" s="23"/>
    </row>
    <row r="2371" spans="10:29" x14ac:dyDescent="0.25">
      <c r="J2371" s="19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  <c r="AA2371" s="23"/>
      <c r="AB2371" s="23"/>
      <c r="AC2371" s="23"/>
    </row>
    <row r="2372" spans="10:29" x14ac:dyDescent="0.25">
      <c r="J2372" s="19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  <c r="AA2372" s="23"/>
      <c r="AB2372" s="23"/>
      <c r="AC2372" s="23"/>
    </row>
    <row r="2373" spans="10:29" x14ac:dyDescent="0.25">
      <c r="J2373" s="19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  <c r="AA2373" s="23"/>
      <c r="AB2373" s="23"/>
      <c r="AC2373" s="23"/>
    </row>
    <row r="2374" spans="10:29" x14ac:dyDescent="0.25">
      <c r="J2374" s="19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  <c r="AA2374" s="23"/>
      <c r="AB2374" s="23"/>
      <c r="AC2374" s="23"/>
    </row>
    <row r="2375" spans="10:29" x14ac:dyDescent="0.25">
      <c r="J2375" s="19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  <c r="AA2375" s="23"/>
      <c r="AB2375" s="23"/>
      <c r="AC2375" s="23"/>
    </row>
    <row r="2376" spans="10:29" x14ac:dyDescent="0.25">
      <c r="J2376" s="19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  <c r="AA2376" s="23"/>
      <c r="AB2376" s="23"/>
      <c r="AC2376" s="23"/>
    </row>
    <row r="2377" spans="10:29" x14ac:dyDescent="0.25">
      <c r="J2377" s="19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  <c r="AA2377" s="23"/>
      <c r="AB2377" s="23"/>
      <c r="AC2377" s="23"/>
    </row>
    <row r="2378" spans="10:29" x14ac:dyDescent="0.25">
      <c r="J2378" s="19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  <c r="AA2378" s="23"/>
      <c r="AB2378" s="23"/>
      <c r="AC2378" s="23"/>
    </row>
    <row r="2379" spans="10:29" x14ac:dyDescent="0.25">
      <c r="J2379" s="19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  <c r="AA2379" s="23"/>
      <c r="AB2379" s="23"/>
      <c r="AC2379" s="23"/>
    </row>
    <row r="2380" spans="10:29" x14ac:dyDescent="0.25">
      <c r="J2380" s="19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  <c r="AA2380" s="23"/>
      <c r="AB2380" s="23"/>
      <c r="AC2380" s="23"/>
    </row>
    <row r="2381" spans="10:29" x14ac:dyDescent="0.25">
      <c r="J2381" s="19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  <c r="AA2381" s="23"/>
      <c r="AB2381" s="23"/>
      <c r="AC2381" s="23"/>
    </row>
    <row r="2382" spans="10:29" x14ac:dyDescent="0.25">
      <c r="J2382" s="19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  <c r="AA2382" s="23"/>
      <c r="AB2382" s="23"/>
      <c r="AC2382" s="23"/>
    </row>
    <row r="2383" spans="10:29" x14ac:dyDescent="0.25">
      <c r="J2383" s="19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  <c r="AA2383" s="23"/>
      <c r="AB2383" s="23"/>
      <c r="AC2383" s="23"/>
    </row>
    <row r="2384" spans="10:29" x14ac:dyDescent="0.25">
      <c r="J2384" s="19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  <c r="AA2384" s="23"/>
      <c r="AB2384" s="23"/>
      <c r="AC2384" s="23"/>
    </row>
    <row r="2385" spans="10:29" x14ac:dyDescent="0.25">
      <c r="J2385" s="19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  <c r="AA2385" s="23"/>
      <c r="AB2385" s="23"/>
      <c r="AC2385" s="23"/>
    </row>
    <row r="2386" spans="10:29" x14ac:dyDescent="0.25">
      <c r="J2386" s="19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  <c r="AA2386" s="23"/>
      <c r="AB2386" s="23"/>
      <c r="AC2386" s="23"/>
    </row>
    <row r="2387" spans="10:29" x14ac:dyDescent="0.25">
      <c r="J2387" s="19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  <c r="AA2387" s="23"/>
      <c r="AB2387" s="23"/>
      <c r="AC2387" s="23"/>
    </row>
    <row r="2388" spans="10:29" x14ac:dyDescent="0.25">
      <c r="J2388" s="19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  <c r="AA2388" s="23"/>
      <c r="AB2388" s="23"/>
      <c r="AC2388" s="23"/>
    </row>
    <row r="2389" spans="10:29" x14ac:dyDescent="0.25">
      <c r="J2389" s="19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  <c r="AA2389" s="23"/>
      <c r="AB2389" s="23"/>
      <c r="AC2389" s="23"/>
    </row>
    <row r="2390" spans="10:29" x14ac:dyDescent="0.25">
      <c r="J2390" s="19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  <c r="AA2390" s="23"/>
      <c r="AB2390" s="23"/>
      <c r="AC2390" s="23"/>
    </row>
    <row r="2391" spans="10:29" x14ac:dyDescent="0.25">
      <c r="J2391" s="19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  <c r="AA2391" s="23"/>
      <c r="AB2391" s="23"/>
      <c r="AC2391" s="23"/>
    </row>
    <row r="2392" spans="10:29" x14ac:dyDescent="0.25">
      <c r="J2392" s="19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  <c r="AA2392" s="23"/>
      <c r="AB2392" s="23"/>
      <c r="AC2392" s="23"/>
    </row>
    <row r="2393" spans="10:29" x14ac:dyDescent="0.25">
      <c r="J2393" s="19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  <c r="AA2393" s="23"/>
      <c r="AB2393" s="23"/>
      <c r="AC2393" s="23"/>
    </row>
    <row r="2394" spans="10:29" x14ac:dyDescent="0.25">
      <c r="J2394" s="19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  <c r="AA2394" s="23"/>
      <c r="AB2394" s="23"/>
      <c r="AC2394" s="23"/>
    </row>
    <row r="2395" spans="10:29" x14ac:dyDescent="0.25">
      <c r="J2395" s="19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  <c r="AA2395" s="23"/>
      <c r="AB2395" s="23"/>
      <c r="AC2395" s="23"/>
    </row>
    <row r="2396" spans="10:29" x14ac:dyDescent="0.25">
      <c r="J2396" s="19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  <c r="AA2396" s="23"/>
      <c r="AB2396" s="23"/>
      <c r="AC2396" s="23"/>
    </row>
    <row r="2397" spans="10:29" x14ac:dyDescent="0.25">
      <c r="J2397" s="19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  <c r="AA2397" s="23"/>
      <c r="AB2397" s="23"/>
      <c r="AC2397" s="23"/>
    </row>
    <row r="2398" spans="10:29" x14ac:dyDescent="0.25">
      <c r="J2398" s="19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  <c r="AA2398" s="23"/>
      <c r="AB2398" s="23"/>
      <c r="AC2398" s="23"/>
    </row>
    <row r="2399" spans="10:29" x14ac:dyDescent="0.25">
      <c r="J2399" s="19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  <c r="AA2399" s="23"/>
      <c r="AB2399" s="23"/>
      <c r="AC2399" s="23"/>
    </row>
    <row r="2400" spans="10:29" x14ac:dyDescent="0.25">
      <c r="J2400" s="19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  <c r="AA2400" s="23"/>
      <c r="AB2400" s="23"/>
      <c r="AC2400" s="23"/>
    </row>
    <row r="2401" spans="10:29" x14ac:dyDescent="0.25">
      <c r="J2401" s="19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  <c r="AA2401" s="23"/>
      <c r="AB2401" s="23"/>
      <c r="AC2401" s="23"/>
    </row>
    <row r="2402" spans="10:29" x14ac:dyDescent="0.25">
      <c r="J2402" s="19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  <c r="AA2402" s="23"/>
      <c r="AB2402" s="23"/>
      <c r="AC2402" s="23"/>
    </row>
    <row r="2403" spans="10:29" x14ac:dyDescent="0.25">
      <c r="J2403" s="19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  <c r="AA2403" s="23"/>
      <c r="AB2403" s="23"/>
      <c r="AC2403" s="23"/>
    </row>
    <row r="2404" spans="10:29" x14ac:dyDescent="0.25">
      <c r="J2404" s="19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  <c r="AA2404" s="23"/>
      <c r="AB2404" s="23"/>
      <c r="AC2404" s="23"/>
    </row>
    <row r="2405" spans="10:29" x14ac:dyDescent="0.25">
      <c r="J2405" s="19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  <c r="AA2405" s="23"/>
      <c r="AB2405" s="23"/>
      <c r="AC2405" s="23"/>
    </row>
    <row r="2406" spans="10:29" x14ac:dyDescent="0.25">
      <c r="J2406" s="19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  <c r="AA2406" s="23"/>
      <c r="AB2406" s="23"/>
      <c r="AC2406" s="23"/>
    </row>
    <row r="2407" spans="10:29" x14ac:dyDescent="0.25">
      <c r="J2407" s="19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  <c r="AA2407" s="23"/>
      <c r="AB2407" s="23"/>
      <c r="AC2407" s="23"/>
    </row>
    <row r="2408" spans="10:29" x14ac:dyDescent="0.25">
      <c r="J2408" s="19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  <c r="AA2408" s="23"/>
      <c r="AB2408" s="23"/>
      <c r="AC2408" s="23"/>
    </row>
    <row r="2409" spans="10:29" x14ac:dyDescent="0.25">
      <c r="J2409" s="19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  <c r="AA2409" s="23"/>
      <c r="AB2409" s="23"/>
      <c r="AC2409" s="23"/>
    </row>
    <row r="2410" spans="10:29" x14ac:dyDescent="0.25">
      <c r="J2410" s="19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  <c r="AA2410" s="23"/>
      <c r="AB2410" s="23"/>
      <c r="AC2410" s="23"/>
    </row>
    <row r="2411" spans="10:29" x14ac:dyDescent="0.25">
      <c r="J2411" s="19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  <c r="AA2411" s="23"/>
      <c r="AB2411" s="23"/>
      <c r="AC2411" s="23"/>
    </row>
    <row r="2412" spans="10:29" x14ac:dyDescent="0.25">
      <c r="J2412" s="19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  <c r="AA2412" s="23"/>
      <c r="AB2412" s="23"/>
      <c r="AC2412" s="23"/>
    </row>
    <row r="2413" spans="10:29" x14ac:dyDescent="0.25">
      <c r="J2413" s="19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  <c r="AA2413" s="23"/>
      <c r="AB2413" s="23"/>
      <c r="AC2413" s="23"/>
    </row>
    <row r="2414" spans="10:29" x14ac:dyDescent="0.25">
      <c r="J2414" s="19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  <c r="AA2414" s="23"/>
      <c r="AB2414" s="23"/>
      <c r="AC2414" s="23"/>
    </row>
    <row r="2415" spans="10:29" x14ac:dyDescent="0.25">
      <c r="J2415" s="19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  <c r="AA2415" s="23"/>
      <c r="AB2415" s="23"/>
      <c r="AC2415" s="23"/>
    </row>
    <row r="2416" spans="10:29" x14ac:dyDescent="0.25">
      <c r="J2416" s="19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  <c r="AA2416" s="23"/>
      <c r="AB2416" s="23"/>
      <c r="AC2416" s="23"/>
    </row>
    <row r="2417" spans="10:29" x14ac:dyDescent="0.25">
      <c r="J2417" s="19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  <c r="AA2417" s="23"/>
      <c r="AB2417" s="23"/>
      <c r="AC2417" s="23"/>
    </row>
    <row r="2418" spans="10:29" x14ac:dyDescent="0.25">
      <c r="J2418" s="19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  <c r="AA2418" s="23"/>
      <c r="AB2418" s="23"/>
      <c r="AC2418" s="23"/>
    </row>
    <row r="2419" spans="10:29" x14ac:dyDescent="0.25">
      <c r="J2419" s="19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  <c r="AA2419" s="23"/>
      <c r="AB2419" s="23"/>
      <c r="AC2419" s="23"/>
    </row>
    <row r="2420" spans="10:29" x14ac:dyDescent="0.25">
      <c r="J2420" s="19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  <c r="AA2420" s="23"/>
      <c r="AB2420" s="23"/>
      <c r="AC2420" s="23"/>
    </row>
    <row r="2421" spans="10:29" x14ac:dyDescent="0.25">
      <c r="J2421" s="19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  <c r="AA2421" s="23"/>
      <c r="AB2421" s="23"/>
      <c r="AC2421" s="23"/>
    </row>
    <row r="2422" spans="10:29" x14ac:dyDescent="0.25">
      <c r="J2422" s="19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  <c r="AA2422" s="23"/>
      <c r="AB2422" s="23"/>
      <c r="AC2422" s="23"/>
    </row>
    <row r="2423" spans="10:29" x14ac:dyDescent="0.25">
      <c r="J2423" s="19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  <c r="AA2423" s="23"/>
      <c r="AB2423" s="23"/>
      <c r="AC2423" s="23"/>
    </row>
    <row r="2424" spans="10:29" x14ac:dyDescent="0.25">
      <c r="J2424" s="19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  <c r="AA2424" s="23"/>
      <c r="AB2424" s="23"/>
      <c r="AC2424" s="23"/>
    </row>
    <row r="2425" spans="10:29" x14ac:dyDescent="0.25">
      <c r="J2425" s="19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  <c r="AA2425" s="23"/>
      <c r="AB2425" s="23"/>
      <c r="AC2425" s="23"/>
    </row>
    <row r="2426" spans="10:29" x14ac:dyDescent="0.25">
      <c r="J2426" s="19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  <c r="AA2426" s="23"/>
      <c r="AB2426" s="23"/>
      <c r="AC2426" s="23"/>
    </row>
    <row r="2427" spans="10:29" x14ac:dyDescent="0.25">
      <c r="J2427" s="19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  <c r="AA2427" s="23"/>
      <c r="AB2427" s="23"/>
      <c r="AC2427" s="23"/>
    </row>
    <row r="2428" spans="10:29" x14ac:dyDescent="0.25">
      <c r="J2428" s="19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  <c r="AA2428" s="23"/>
      <c r="AB2428" s="23"/>
      <c r="AC2428" s="23"/>
    </row>
    <row r="2429" spans="10:29" x14ac:dyDescent="0.25">
      <c r="J2429" s="19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  <c r="AA2429" s="23"/>
      <c r="AB2429" s="23"/>
      <c r="AC2429" s="23"/>
    </row>
    <row r="2430" spans="10:29" x14ac:dyDescent="0.25">
      <c r="J2430" s="19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  <c r="AA2430" s="23"/>
      <c r="AB2430" s="23"/>
      <c r="AC2430" s="23"/>
    </row>
    <row r="2431" spans="10:29" x14ac:dyDescent="0.25">
      <c r="J2431" s="19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  <c r="AA2431" s="23"/>
      <c r="AB2431" s="23"/>
      <c r="AC2431" s="23"/>
    </row>
    <row r="2432" spans="10:29" x14ac:dyDescent="0.25">
      <c r="J2432" s="19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  <c r="AA2432" s="23"/>
      <c r="AB2432" s="23"/>
      <c r="AC2432" s="23"/>
    </row>
    <row r="2433" spans="10:29" x14ac:dyDescent="0.25">
      <c r="J2433" s="19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  <c r="AA2433" s="23"/>
      <c r="AB2433" s="23"/>
      <c r="AC2433" s="23"/>
    </row>
    <row r="2434" spans="10:29" x14ac:dyDescent="0.25">
      <c r="J2434" s="19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  <c r="AA2434" s="23"/>
      <c r="AB2434" s="23"/>
      <c r="AC2434" s="23"/>
    </row>
    <row r="2435" spans="10:29" x14ac:dyDescent="0.25">
      <c r="J2435" s="19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  <c r="AA2435" s="23"/>
      <c r="AB2435" s="23"/>
      <c r="AC2435" s="23"/>
    </row>
    <row r="2436" spans="10:29" x14ac:dyDescent="0.25">
      <c r="J2436" s="19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  <c r="AA2436" s="23"/>
      <c r="AB2436" s="23"/>
      <c r="AC2436" s="23"/>
    </row>
    <row r="2437" spans="10:29" x14ac:dyDescent="0.25">
      <c r="J2437" s="19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  <c r="AA2437" s="23"/>
      <c r="AB2437" s="23"/>
      <c r="AC2437" s="23"/>
    </row>
    <row r="2438" spans="10:29" x14ac:dyDescent="0.25">
      <c r="J2438" s="19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  <c r="AA2438" s="23"/>
      <c r="AB2438" s="23"/>
      <c r="AC2438" s="23"/>
    </row>
    <row r="2439" spans="10:29" x14ac:dyDescent="0.25">
      <c r="J2439" s="19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  <c r="AA2439" s="23"/>
      <c r="AB2439" s="23"/>
      <c r="AC2439" s="23"/>
    </row>
    <row r="2440" spans="10:29" x14ac:dyDescent="0.25">
      <c r="J2440" s="19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  <c r="AA2440" s="23"/>
      <c r="AB2440" s="23"/>
      <c r="AC2440" s="23"/>
    </row>
    <row r="2441" spans="10:29" x14ac:dyDescent="0.25">
      <c r="J2441" s="19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  <c r="AA2441" s="23"/>
      <c r="AB2441" s="23"/>
      <c r="AC2441" s="23"/>
    </row>
    <row r="2442" spans="10:29" x14ac:dyDescent="0.25">
      <c r="J2442" s="19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  <c r="AA2442" s="23"/>
      <c r="AB2442" s="23"/>
      <c r="AC2442" s="23"/>
    </row>
    <row r="2443" spans="10:29" x14ac:dyDescent="0.25">
      <c r="J2443" s="19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  <c r="AA2443" s="23"/>
      <c r="AB2443" s="23"/>
      <c r="AC2443" s="23"/>
    </row>
    <row r="2444" spans="10:29" x14ac:dyDescent="0.25">
      <c r="J2444" s="19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  <c r="AA2444" s="23"/>
      <c r="AB2444" s="23"/>
      <c r="AC2444" s="23"/>
    </row>
    <row r="2445" spans="10:29" x14ac:dyDescent="0.25">
      <c r="J2445" s="19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  <c r="AA2445" s="23"/>
      <c r="AB2445" s="23"/>
      <c r="AC2445" s="23"/>
    </row>
    <row r="2446" spans="10:29" x14ac:dyDescent="0.25">
      <c r="J2446" s="19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  <c r="AA2446" s="23"/>
      <c r="AB2446" s="23"/>
      <c r="AC2446" s="23"/>
    </row>
    <row r="2447" spans="10:29" x14ac:dyDescent="0.25">
      <c r="J2447" s="19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  <c r="AA2447" s="23"/>
      <c r="AB2447" s="23"/>
      <c r="AC2447" s="23"/>
    </row>
    <row r="2448" spans="10:29" x14ac:dyDescent="0.25">
      <c r="J2448" s="19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  <c r="AA2448" s="23"/>
      <c r="AB2448" s="23"/>
      <c r="AC2448" s="23"/>
    </row>
    <row r="2449" spans="10:29" x14ac:dyDescent="0.25">
      <c r="J2449" s="19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  <c r="AA2449" s="23"/>
      <c r="AB2449" s="23"/>
      <c r="AC2449" s="23"/>
    </row>
    <row r="2450" spans="10:29" x14ac:dyDescent="0.25">
      <c r="J2450" s="19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  <c r="AA2450" s="23"/>
      <c r="AB2450" s="23"/>
      <c r="AC2450" s="23"/>
    </row>
    <row r="2451" spans="10:29" x14ac:dyDescent="0.25">
      <c r="J2451" s="19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  <c r="AA2451" s="23"/>
      <c r="AB2451" s="23"/>
      <c r="AC2451" s="23"/>
    </row>
    <row r="2452" spans="10:29" x14ac:dyDescent="0.25">
      <c r="J2452" s="19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  <c r="AA2452" s="23"/>
      <c r="AB2452" s="23"/>
      <c r="AC2452" s="23"/>
    </row>
    <row r="2453" spans="10:29" x14ac:dyDescent="0.25">
      <c r="J2453" s="19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  <c r="AA2453" s="23"/>
      <c r="AB2453" s="23"/>
      <c r="AC2453" s="23"/>
    </row>
    <row r="2454" spans="10:29" x14ac:dyDescent="0.25">
      <c r="J2454" s="19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  <c r="AA2454" s="23"/>
      <c r="AB2454" s="23"/>
      <c r="AC2454" s="23"/>
    </row>
    <row r="2455" spans="10:29" x14ac:dyDescent="0.25">
      <c r="J2455" s="19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  <c r="AA2455" s="23"/>
      <c r="AB2455" s="23"/>
      <c r="AC2455" s="23"/>
    </row>
    <row r="2456" spans="10:29" x14ac:dyDescent="0.25">
      <c r="J2456" s="19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  <c r="AA2456" s="23"/>
      <c r="AB2456" s="23"/>
      <c r="AC2456" s="23"/>
    </row>
    <row r="2457" spans="10:29" x14ac:dyDescent="0.25">
      <c r="J2457" s="19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  <c r="AA2457" s="23"/>
      <c r="AB2457" s="23"/>
      <c r="AC2457" s="23"/>
    </row>
    <row r="2458" spans="10:29" x14ac:dyDescent="0.25">
      <c r="J2458" s="19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  <c r="AA2458" s="23"/>
      <c r="AB2458" s="23"/>
      <c r="AC2458" s="23"/>
    </row>
    <row r="2459" spans="10:29" x14ac:dyDescent="0.25">
      <c r="J2459" s="19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  <c r="AA2459" s="23"/>
      <c r="AB2459" s="23"/>
      <c r="AC2459" s="23"/>
    </row>
    <row r="2460" spans="10:29" x14ac:dyDescent="0.25">
      <c r="J2460" s="19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  <c r="AA2460" s="23"/>
      <c r="AB2460" s="23"/>
      <c r="AC2460" s="23"/>
    </row>
    <row r="2461" spans="10:29" x14ac:dyDescent="0.25">
      <c r="J2461" s="19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  <c r="AA2461" s="23"/>
      <c r="AB2461" s="23"/>
      <c r="AC2461" s="23"/>
    </row>
    <row r="2462" spans="10:29" x14ac:dyDescent="0.25">
      <c r="J2462" s="19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  <c r="AA2462" s="23"/>
      <c r="AB2462" s="23"/>
      <c r="AC2462" s="23"/>
    </row>
    <row r="2463" spans="10:29" x14ac:dyDescent="0.25">
      <c r="J2463" s="19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  <c r="AA2463" s="23"/>
      <c r="AB2463" s="23"/>
      <c r="AC2463" s="23"/>
    </row>
    <row r="2464" spans="10:29" x14ac:dyDescent="0.25">
      <c r="J2464" s="19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  <c r="AA2464" s="23"/>
      <c r="AB2464" s="23"/>
      <c r="AC2464" s="23"/>
    </row>
    <row r="2465" spans="10:29" x14ac:dyDescent="0.25">
      <c r="J2465" s="19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  <c r="AA2465" s="23"/>
      <c r="AB2465" s="23"/>
      <c r="AC2465" s="23"/>
    </row>
    <row r="2466" spans="10:29" x14ac:dyDescent="0.25">
      <c r="J2466" s="19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  <c r="AA2466" s="23"/>
      <c r="AB2466" s="23"/>
      <c r="AC2466" s="23"/>
    </row>
    <row r="2467" spans="10:29" x14ac:dyDescent="0.25">
      <c r="J2467" s="19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  <c r="AA2467" s="23"/>
      <c r="AB2467" s="23"/>
      <c r="AC2467" s="23"/>
    </row>
    <row r="2468" spans="10:29" x14ac:dyDescent="0.25">
      <c r="J2468" s="19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  <c r="AA2468" s="23"/>
      <c r="AB2468" s="23"/>
      <c r="AC2468" s="23"/>
    </row>
    <row r="2469" spans="10:29" x14ac:dyDescent="0.25">
      <c r="J2469" s="19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  <c r="AA2469" s="23"/>
      <c r="AB2469" s="23"/>
      <c r="AC2469" s="23"/>
    </row>
    <row r="2470" spans="10:29" x14ac:dyDescent="0.25">
      <c r="J2470" s="19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  <c r="AA2470" s="23"/>
      <c r="AB2470" s="23"/>
      <c r="AC2470" s="23"/>
    </row>
    <row r="2471" spans="10:29" x14ac:dyDescent="0.25">
      <c r="J2471" s="19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  <c r="AA2471" s="23"/>
      <c r="AB2471" s="23"/>
      <c r="AC2471" s="23"/>
    </row>
    <row r="2472" spans="10:29" x14ac:dyDescent="0.25">
      <c r="J2472" s="19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  <c r="AA2472" s="23"/>
      <c r="AB2472" s="23"/>
      <c r="AC2472" s="23"/>
    </row>
    <row r="2473" spans="10:29" x14ac:dyDescent="0.25">
      <c r="J2473" s="19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  <c r="AA2473" s="23"/>
      <c r="AB2473" s="23"/>
      <c r="AC2473" s="23"/>
    </row>
    <row r="2474" spans="10:29" x14ac:dyDescent="0.25">
      <c r="J2474" s="19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  <c r="AA2474" s="23"/>
      <c r="AB2474" s="23"/>
      <c r="AC2474" s="23"/>
    </row>
    <row r="2475" spans="10:29" x14ac:dyDescent="0.25">
      <c r="J2475" s="19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  <c r="AA2475" s="23"/>
      <c r="AB2475" s="23"/>
      <c r="AC2475" s="23"/>
    </row>
    <row r="2476" spans="10:29" x14ac:dyDescent="0.25">
      <c r="J2476" s="19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  <c r="AA2476" s="23"/>
      <c r="AB2476" s="23"/>
      <c r="AC2476" s="23"/>
    </row>
    <row r="2477" spans="10:29" x14ac:dyDescent="0.25">
      <c r="J2477" s="19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  <c r="AA2477" s="23"/>
      <c r="AB2477" s="23"/>
      <c r="AC2477" s="23"/>
    </row>
    <row r="2478" spans="10:29" x14ac:dyDescent="0.25">
      <c r="J2478" s="19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  <c r="AA2478" s="23"/>
      <c r="AB2478" s="23"/>
      <c r="AC2478" s="23"/>
    </row>
    <row r="2479" spans="10:29" x14ac:dyDescent="0.25">
      <c r="J2479" s="19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  <c r="AA2479" s="23"/>
      <c r="AB2479" s="23"/>
      <c r="AC2479" s="23"/>
    </row>
    <row r="2480" spans="10:29" x14ac:dyDescent="0.25">
      <c r="J2480" s="19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  <c r="AA2480" s="23"/>
      <c r="AB2480" s="23"/>
      <c r="AC2480" s="23"/>
    </row>
    <row r="2481" spans="10:29" x14ac:dyDescent="0.25">
      <c r="J2481" s="19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  <c r="AA2481" s="23"/>
      <c r="AB2481" s="23"/>
      <c r="AC2481" s="23"/>
    </row>
    <row r="2482" spans="10:29" x14ac:dyDescent="0.25">
      <c r="J2482" s="19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  <c r="AA2482" s="23"/>
      <c r="AB2482" s="23"/>
      <c r="AC2482" s="23"/>
    </row>
    <row r="2483" spans="10:29" x14ac:dyDescent="0.25">
      <c r="J2483" s="19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  <c r="AA2483" s="23"/>
      <c r="AB2483" s="23"/>
      <c r="AC2483" s="23"/>
    </row>
    <row r="2484" spans="10:29" x14ac:dyDescent="0.25">
      <c r="J2484" s="19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  <c r="AA2484" s="23"/>
      <c r="AB2484" s="23"/>
      <c r="AC2484" s="23"/>
    </row>
    <row r="2485" spans="10:29" x14ac:dyDescent="0.25">
      <c r="J2485" s="19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  <c r="AA2485" s="23"/>
      <c r="AB2485" s="23"/>
      <c r="AC2485" s="23"/>
    </row>
    <row r="2486" spans="10:29" x14ac:dyDescent="0.25">
      <c r="J2486" s="19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  <c r="AA2486" s="23"/>
      <c r="AB2486" s="23"/>
      <c r="AC2486" s="23"/>
    </row>
    <row r="2487" spans="10:29" x14ac:dyDescent="0.25">
      <c r="J2487" s="19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  <c r="AA2487" s="23"/>
      <c r="AB2487" s="23"/>
      <c r="AC2487" s="23"/>
    </row>
    <row r="2488" spans="10:29" x14ac:dyDescent="0.25">
      <c r="J2488" s="19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  <c r="AA2488" s="23"/>
      <c r="AB2488" s="23"/>
      <c r="AC2488" s="23"/>
    </row>
    <row r="2489" spans="10:29" x14ac:dyDescent="0.25">
      <c r="J2489" s="19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  <c r="AA2489" s="23"/>
      <c r="AB2489" s="23"/>
      <c r="AC2489" s="23"/>
    </row>
    <row r="2490" spans="10:29" x14ac:dyDescent="0.25">
      <c r="J2490" s="19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  <c r="AA2490" s="23"/>
      <c r="AB2490" s="23"/>
      <c r="AC2490" s="23"/>
    </row>
    <row r="2491" spans="10:29" x14ac:dyDescent="0.25">
      <c r="J2491" s="19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  <c r="AA2491" s="23"/>
      <c r="AB2491" s="23"/>
      <c r="AC2491" s="23"/>
    </row>
    <row r="2492" spans="10:29" x14ac:dyDescent="0.25">
      <c r="J2492" s="19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  <c r="AA2492" s="23"/>
      <c r="AB2492" s="23"/>
      <c r="AC2492" s="23"/>
    </row>
    <row r="2493" spans="10:29" x14ac:dyDescent="0.25">
      <c r="J2493" s="19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  <c r="AA2493" s="23"/>
      <c r="AB2493" s="23"/>
      <c r="AC2493" s="23"/>
    </row>
    <row r="2494" spans="10:29" x14ac:dyDescent="0.25">
      <c r="J2494" s="19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  <c r="AA2494" s="23"/>
      <c r="AB2494" s="23"/>
      <c r="AC2494" s="23"/>
    </row>
    <row r="2495" spans="10:29" x14ac:dyDescent="0.25">
      <c r="J2495" s="19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  <c r="AA2495" s="23"/>
      <c r="AB2495" s="23"/>
      <c r="AC2495" s="23"/>
    </row>
    <row r="2496" spans="10:29" x14ac:dyDescent="0.25">
      <c r="J2496" s="19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  <c r="AA2496" s="23"/>
      <c r="AB2496" s="23"/>
      <c r="AC2496" s="23"/>
    </row>
    <row r="2497" spans="10:29" x14ac:dyDescent="0.25">
      <c r="J2497" s="19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  <c r="AA2497" s="23"/>
      <c r="AB2497" s="23"/>
      <c r="AC2497" s="23"/>
    </row>
    <row r="2498" spans="10:29" x14ac:dyDescent="0.25">
      <c r="J2498" s="19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  <c r="AA2498" s="23"/>
      <c r="AB2498" s="23"/>
      <c r="AC2498" s="23"/>
    </row>
    <row r="2499" spans="10:29" x14ac:dyDescent="0.25">
      <c r="J2499" s="19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  <c r="AA2499" s="23"/>
      <c r="AB2499" s="23"/>
      <c r="AC2499" s="23"/>
    </row>
    <row r="2500" spans="10:29" x14ac:dyDescent="0.25">
      <c r="J2500" s="19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  <c r="AA2500" s="23"/>
      <c r="AB2500" s="23"/>
      <c r="AC2500" s="23"/>
    </row>
    <row r="2501" spans="10:29" x14ac:dyDescent="0.25">
      <c r="J2501" s="19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  <c r="AA2501" s="23"/>
      <c r="AB2501" s="23"/>
      <c r="AC2501" s="23"/>
    </row>
    <row r="2502" spans="10:29" x14ac:dyDescent="0.25">
      <c r="J2502" s="19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  <c r="AA2502" s="23"/>
      <c r="AB2502" s="23"/>
      <c r="AC2502" s="23"/>
    </row>
    <row r="2503" spans="10:29" x14ac:dyDescent="0.25">
      <c r="J2503" s="19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  <c r="AA2503" s="23"/>
      <c r="AB2503" s="23"/>
      <c r="AC2503" s="23"/>
    </row>
    <row r="2504" spans="10:29" x14ac:dyDescent="0.25">
      <c r="J2504" s="19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  <c r="AA2504" s="23"/>
      <c r="AB2504" s="23"/>
      <c r="AC2504" s="23"/>
    </row>
    <row r="2505" spans="10:29" x14ac:dyDescent="0.25">
      <c r="J2505" s="19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  <c r="AA2505" s="23"/>
      <c r="AB2505" s="23"/>
      <c r="AC2505" s="23"/>
    </row>
    <row r="2506" spans="10:29" x14ac:dyDescent="0.25">
      <c r="J2506" s="19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  <c r="AA2506" s="23"/>
      <c r="AB2506" s="23"/>
      <c r="AC2506" s="23"/>
    </row>
    <row r="2507" spans="10:29" x14ac:dyDescent="0.25">
      <c r="J2507" s="19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  <c r="AA2507" s="23"/>
      <c r="AB2507" s="23"/>
      <c r="AC2507" s="23"/>
    </row>
    <row r="2508" spans="10:29" x14ac:dyDescent="0.25">
      <c r="J2508" s="19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  <c r="AA2508" s="23"/>
      <c r="AB2508" s="23"/>
      <c r="AC2508" s="23"/>
    </row>
    <row r="2509" spans="10:29" x14ac:dyDescent="0.25">
      <c r="J2509" s="19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  <c r="AA2509" s="23"/>
      <c r="AB2509" s="23"/>
      <c r="AC2509" s="23"/>
    </row>
    <row r="2510" spans="10:29" x14ac:dyDescent="0.25">
      <c r="J2510" s="19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  <c r="AA2510" s="23"/>
      <c r="AB2510" s="23"/>
      <c r="AC2510" s="23"/>
    </row>
    <row r="2511" spans="10:29" x14ac:dyDescent="0.25">
      <c r="J2511" s="19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  <c r="AA2511" s="23"/>
      <c r="AB2511" s="23"/>
      <c r="AC2511" s="23"/>
    </row>
    <row r="2512" spans="10:29" x14ac:dyDescent="0.25">
      <c r="J2512" s="19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  <c r="AA2512" s="23"/>
      <c r="AB2512" s="23"/>
      <c r="AC2512" s="23"/>
    </row>
    <row r="2513" spans="10:29" x14ac:dyDescent="0.25">
      <c r="J2513" s="19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  <c r="AA2513" s="23"/>
      <c r="AB2513" s="23"/>
      <c r="AC2513" s="23"/>
    </row>
    <row r="2514" spans="10:29" x14ac:dyDescent="0.25">
      <c r="J2514" s="19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  <c r="AA2514" s="23"/>
      <c r="AB2514" s="23"/>
      <c r="AC2514" s="23"/>
    </row>
    <row r="2515" spans="10:29" x14ac:dyDescent="0.25">
      <c r="J2515" s="19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  <c r="AA2515" s="23"/>
      <c r="AB2515" s="23"/>
      <c r="AC2515" s="23"/>
    </row>
    <row r="2516" spans="10:29" x14ac:dyDescent="0.25">
      <c r="J2516" s="19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  <c r="AA2516" s="23"/>
      <c r="AB2516" s="23"/>
      <c r="AC2516" s="23"/>
    </row>
    <row r="2517" spans="10:29" x14ac:dyDescent="0.25">
      <c r="J2517" s="19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  <c r="AA2517" s="23"/>
      <c r="AB2517" s="23"/>
      <c r="AC2517" s="23"/>
    </row>
    <row r="2518" spans="10:29" x14ac:dyDescent="0.25">
      <c r="J2518" s="19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  <c r="AA2518" s="23"/>
      <c r="AB2518" s="23"/>
      <c r="AC2518" s="23"/>
    </row>
    <row r="2519" spans="10:29" x14ac:dyDescent="0.25">
      <c r="J2519" s="19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  <c r="AA2519" s="23"/>
      <c r="AB2519" s="23"/>
      <c r="AC2519" s="23"/>
    </row>
    <row r="2520" spans="10:29" x14ac:dyDescent="0.25">
      <c r="J2520" s="19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  <c r="AA2520" s="23"/>
      <c r="AB2520" s="23"/>
      <c r="AC2520" s="23"/>
    </row>
    <row r="2521" spans="10:29" x14ac:dyDescent="0.25">
      <c r="J2521" s="19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  <c r="AA2521" s="23"/>
      <c r="AB2521" s="23"/>
      <c r="AC2521" s="23"/>
    </row>
    <row r="2522" spans="10:29" x14ac:dyDescent="0.25">
      <c r="J2522" s="19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  <c r="AA2522" s="23"/>
      <c r="AB2522" s="23"/>
      <c r="AC2522" s="23"/>
    </row>
    <row r="2523" spans="10:29" x14ac:dyDescent="0.25">
      <c r="J2523" s="19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  <c r="AA2523" s="23"/>
      <c r="AB2523" s="23"/>
      <c r="AC2523" s="23"/>
    </row>
    <row r="2524" spans="10:29" x14ac:dyDescent="0.25">
      <c r="J2524" s="19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  <c r="AA2524" s="23"/>
      <c r="AB2524" s="23"/>
      <c r="AC2524" s="23"/>
    </row>
    <row r="2525" spans="10:29" x14ac:dyDescent="0.25">
      <c r="J2525" s="19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  <c r="AA2525" s="23"/>
      <c r="AB2525" s="23"/>
      <c r="AC2525" s="23"/>
    </row>
    <row r="2526" spans="10:29" x14ac:dyDescent="0.25">
      <c r="J2526" s="19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  <c r="AA2526" s="23"/>
      <c r="AB2526" s="23"/>
      <c r="AC2526" s="23"/>
    </row>
    <row r="2527" spans="10:29" x14ac:dyDescent="0.25">
      <c r="J2527" s="19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  <c r="AA2527" s="23"/>
      <c r="AB2527" s="23"/>
      <c r="AC2527" s="23"/>
    </row>
    <row r="2528" spans="10:29" x14ac:dyDescent="0.25">
      <c r="J2528" s="19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  <c r="AA2528" s="23"/>
      <c r="AB2528" s="23"/>
      <c r="AC2528" s="23"/>
    </row>
    <row r="2529" spans="10:29" x14ac:dyDescent="0.25">
      <c r="J2529" s="19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  <c r="AA2529" s="23"/>
      <c r="AB2529" s="23"/>
      <c r="AC2529" s="23"/>
    </row>
    <row r="2530" spans="10:29" x14ac:dyDescent="0.25">
      <c r="J2530" s="19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  <c r="AA2530" s="23"/>
      <c r="AB2530" s="23"/>
      <c r="AC2530" s="23"/>
    </row>
    <row r="2531" spans="10:29" x14ac:dyDescent="0.25">
      <c r="J2531" s="19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  <c r="AA2531" s="23"/>
      <c r="AB2531" s="23"/>
      <c r="AC2531" s="23"/>
    </row>
    <row r="2532" spans="10:29" x14ac:dyDescent="0.25">
      <c r="J2532" s="19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  <c r="AA2532" s="23"/>
      <c r="AB2532" s="23"/>
      <c r="AC2532" s="23"/>
    </row>
    <row r="2533" spans="10:29" x14ac:dyDescent="0.25">
      <c r="J2533" s="19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  <c r="AA2533" s="23"/>
      <c r="AB2533" s="23"/>
      <c r="AC2533" s="23"/>
    </row>
    <row r="2534" spans="10:29" x14ac:dyDescent="0.25">
      <c r="J2534" s="19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  <c r="AA2534" s="23"/>
      <c r="AB2534" s="23"/>
      <c r="AC2534" s="23"/>
    </row>
    <row r="2535" spans="10:29" x14ac:dyDescent="0.25">
      <c r="J2535" s="19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  <c r="AA2535" s="23"/>
      <c r="AB2535" s="23"/>
      <c r="AC2535" s="23"/>
    </row>
    <row r="2536" spans="10:29" x14ac:dyDescent="0.25">
      <c r="J2536" s="19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  <c r="AA2536" s="23"/>
      <c r="AB2536" s="23"/>
      <c r="AC2536" s="23"/>
    </row>
    <row r="2537" spans="10:29" x14ac:dyDescent="0.25">
      <c r="J2537" s="19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  <c r="AA2537" s="23"/>
      <c r="AB2537" s="23"/>
      <c r="AC2537" s="23"/>
    </row>
    <row r="2538" spans="10:29" x14ac:dyDescent="0.25">
      <c r="J2538" s="19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  <c r="AA2538" s="23"/>
      <c r="AB2538" s="23"/>
      <c r="AC2538" s="23"/>
    </row>
    <row r="2539" spans="10:29" x14ac:dyDescent="0.25">
      <c r="J2539" s="19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  <c r="AA2539" s="23"/>
      <c r="AB2539" s="23"/>
      <c r="AC2539" s="23"/>
    </row>
    <row r="2540" spans="10:29" x14ac:dyDescent="0.25">
      <c r="J2540" s="19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  <c r="AA2540" s="23"/>
      <c r="AB2540" s="23"/>
      <c r="AC2540" s="23"/>
    </row>
    <row r="2541" spans="10:29" x14ac:dyDescent="0.25">
      <c r="J2541" s="19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  <c r="AA2541" s="23"/>
      <c r="AB2541" s="23"/>
      <c r="AC2541" s="23"/>
    </row>
    <row r="2542" spans="10:29" x14ac:dyDescent="0.25">
      <c r="J2542" s="19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  <c r="AA2542" s="23"/>
      <c r="AB2542" s="23"/>
      <c r="AC2542" s="23"/>
    </row>
    <row r="2543" spans="10:29" x14ac:dyDescent="0.25">
      <c r="J2543" s="19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  <c r="AA2543" s="23"/>
      <c r="AB2543" s="23"/>
      <c r="AC2543" s="23"/>
    </row>
    <row r="2544" spans="10:29" x14ac:dyDescent="0.25">
      <c r="J2544" s="19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  <c r="AA2544" s="23"/>
      <c r="AB2544" s="23"/>
      <c r="AC2544" s="23"/>
    </row>
    <row r="2545" spans="10:29" x14ac:dyDescent="0.25">
      <c r="J2545" s="19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  <c r="AA2545" s="23"/>
      <c r="AB2545" s="23"/>
      <c r="AC2545" s="23"/>
    </row>
    <row r="2546" spans="10:29" x14ac:dyDescent="0.25">
      <c r="J2546" s="19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  <c r="AA2546" s="23"/>
      <c r="AB2546" s="23"/>
      <c r="AC2546" s="23"/>
    </row>
    <row r="2547" spans="10:29" x14ac:dyDescent="0.25">
      <c r="J2547" s="19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  <c r="AA2547" s="23"/>
      <c r="AB2547" s="23"/>
      <c r="AC2547" s="23"/>
    </row>
    <row r="2548" spans="10:29" x14ac:dyDescent="0.25">
      <c r="J2548" s="19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  <c r="AA2548" s="23"/>
      <c r="AB2548" s="23"/>
      <c r="AC2548" s="23"/>
    </row>
    <row r="2549" spans="10:29" x14ac:dyDescent="0.25">
      <c r="J2549" s="19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  <c r="AA2549" s="23"/>
      <c r="AB2549" s="23"/>
      <c r="AC2549" s="23"/>
    </row>
    <row r="2550" spans="10:29" x14ac:dyDescent="0.25">
      <c r="J2550" s="19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  <c r="AA2550" s="23"/>
      <c r="AB2550" s="23"/>
      <c r="AC2550" s="23"/>
    </row>
    <row r="2551" spans="10:29" x14ac:dyDescent="0.25">
      <c r="J2551" s="19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  <c r="AA2551" s="23"/>
      <c r="AB2551" s="23"/>
      <c r="AC2551" s="23"/>
    </row>
    <row r="2552" spans="10:29" x14ac:dyDescent="0.25">
      <c r="J2552" s="19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  <c r="AA2552" s="23"/>
      <c r="AB2552" s="23"/>
      <c r="AC2552" s="23"/>
    </row>
    <row r="2553" spans="10:29" x14ac:dyDescent="0.25">
      <c r="J2553" s="19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  <c r="AA2553" s="23"/>
      <c r="AB2553" s="23"/>
      <c r="AC2553" s="23"/>
    </row>
    <row r="2554" spans="10:29" x14ac:dyDescent="0.25">
      <c r="J2554" s="19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  <c r="AA2554" s="23"/>
      <c r="AB2554" s="23"/>
      <c r="AC2554" s="23"/>
    </row>
    <row r="2555" spans="10:29" x14ac:dyDescent="0.25">
      <c r="J2555" s="19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  <c r="AA2555" s="23"/>
      <c r="AB2555" s="23"/>
      <c r="AC2555" s="23"/>
    </row>
    <row r="2556" spans="10:29" x14ac:dyDescent="0.25">
      <c r="J2556" s="19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  <c r="AA2556" s="23"/>
      <c r="AB2556" s="23"/>
      <c r="AC2556" s="23"/>
    </row>
    <row r="2557" spans="10:29" x14ac:dyDescent="0.25">
      <c r="J2557" s="19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  <c r="AA2557" s="23"/>
      <c r="AB2557" s="23"/>
      <c r="AC2557" s="23"/>
    </row>
    <row r="2558" spans="10:29" x14ac:dyDescent="0.25">
      <c r="J2558" s="19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  <c r="AA2558" s="23"/>
      <c r="AB2558" s="23"/>
      <c r="AC2558" s="23"/>
    </row>
    <row r="2559" spans="10:29" x14ac:dyDescent="0.25">
      <c r="J2559" s="19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  <c r="AA2559" s="23"/>
      <c r="AB2559" s="23"/>
      <c r="AC2559" s="23"/>
    </row>
    <row r="2560" spans="10:29" x14ac:dyDescent="0.25">
      <c r="J2560" s="19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  <c r="AA2560" s="23"/>
      <c r="AB2560" s="23"/>
      <c r="AC2560" s="23"/>
    </row>
    <row r="2561" spans="10:29" x14ac:dyDescent="0.25">
      <c r="J2561" s="19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  <c r="AA2561" s="23"/>
      <c r="AB2561" s="23"/>
      <c r="AC2561" s="23"/>
    </row>
    <row r="2562" spans="10:29" x14ac:dyDescent="0.25">
      <c r="J2562" s="19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  <c r="AA2562" s="23"/>
      <c r="AB2562" s="23"/>
      <c r="AC2562" s="23"/>
    </row>
    <row r="2563" spans="10:29" x14ac:dyDescent="0.25">
      <c r="J2563" s="19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  <c r="AA2563" s="23"/>
      <c r="AB2563" s="23"/>
      <c r="AC2563" s="23"/>
    </row>
    <row r="2564" spans="10:29" x14ac:dyDescent="0.25">
      <c r="J2564" s="19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  <c r="AA2564" s="23"/>
      <c r="AB2564" s="23"/>
      <c r="AC2564" s="23"/>
    </row>
    <row r="2565" spans="10:29" x14ac:dyDescent="0.25">
      <c r="J2565" s="19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  <c r="AA2565" s="23"/>
      <c r="AB2565" s="23"/>
      <c r="AC2565" s="23"/>
    </row>
    <row r="2566" spans="10:29" x14ac:dyDescent="0.25">
      <c r="J2566" s="19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  <c r="AA2566" s="23"/>
      <c r="AB2566" s="23"/>
      <c r="AC2566" s="23"/>
    </row>
    <row r="2567" spans="10:29" x14ac:dyDescent="0.25">
      <c r="J2567" s="19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  <c r="AA2567" s="23"/>
      <c r="AB2567" s="23"/>
      <c r="AC2567" s="23"/>
    </row>
    <row r="2568" spans="10:29" x14ac:dyDescent="0.25">
      <c r="J2568" s="19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  <c r="AA2568" s="23"/>
      <c r="AB2568" s="23"/>
      <c r="AC2568" s="23"/>
    </row>
    <row r="2569" spans="10:29" x14ac:dyDescent="0.25">
      <c r="J2569" s="19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  <c r="AA2569" s="23"/>
      <c r="AB2569" s="23"/>
      <c r="AC2569" s="23"/>
    </row>
    <row r="2570" spans="10:29" x14ac:dyDescent="0.25">
      <c r="J2570" s="19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  <c r="AA2570" s="23"/>
      <c r="AB2570" s="23"/>
      <c r="AC2570" s="23"/>
    </row>
    <row r="2571" spans="10:29" x14ac:dyDescent="0.25">
      <c r="J2571" s="19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  <c r="AA2571" s="23"/>
      <c r="AB2571" s="23"/>
      <c r="AC2571" s="23"/>
    </row>
    <row r="2572" spans="10:29" x14ac:dyDescent="0.25">
      <c r="J2572" s="19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  <c r="AA2572" s="23"/>
      <c r="AB2572" s="23"/>
      <c r="AC2572" s="23"/>
    </row>
    <row r="2573" spans="10:29" x14ac:dyDescent="0.25">
      <c r="J2573" s="19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  <c r="AA2573" s="23"/>
      <c r="AB2573" s="23"/>
      <c r="AC2573" s="23"/>
    </row>
    <row r="2574" spans="10:29" x14ac:dyDescent="0.25">
      <c r="J2574" s="19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  <c r="AA2574" s="23"/>
      <c r="AB2574" s="23"/>
      <c r="AC2574" s="23"/>
    </row>
    <row r="2575" spans="10:29" x14ac:dyDescent="0.25">
      <c r="J2575" s="19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  <c r="AA2575" s="23"/>
      <c r="AB2575" s="23"/>
      <c r="AC2575" s="23"/>
    </row>
    <row r="2576" spans="10:29" x14ac:dyDescent="0.25">
      <c r="J2576" s="19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  <c r="AA2576" s="23"/>
      <c r="AB2576" s="23"/>
      <c r="AC2576" s="23"/>
    </row>
    <row r="2577" spans="10:29" x14ac:dyDescent="0.25">
      <c r="J2577" s="19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  <c r="AA2577" s="23"/>
      <c r="AB2577" s="23"/>
      <c r="AC2577" s="23"/>
    </row>
    <row r="2578" spans="10:29" x14ac:dyDescent="0.25">
      <c r="J2578" s="19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  <c r="AA2578" s="23"/>
      <c r="AB2578" s="23"/>
      <c r="AC2578" s="23"/>
    </row>
    <row r="2579" spans="10:29" x14ac:dyDescent="0.25">
      <c r="J2579" s="19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  <c r="AA2579" s="23"/>
      <c r="AB2579" s="23"/>
      <c r="AC2579" s="23"/>
    </row>
    <row r="2580" spans="10:29" x14ac:dyDescent="0.25">
      <c r="J2580" s="19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  <c r="AA2580" s="23"/>
      <c r="AB2580" s="23"/>
      <c r="AC2580" s="23"/>
    </row>
    <row r="2581" spans="10:29" x14ac:dyDescent="0.25">
      <c r="J2581" s="19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  <c r="AA2581" s="23"/>
      <c r="AB2581" s="23"/>
      <c r="AC2581" s="23"/>
    </row>
    <row r="2582" spans="10:29" x14ac:dyDescent="0.25">
      <c r="J2582" s="19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  <c r="AA2582" s="23"/>
      <c r="AB2582" s="23"/>
      <c r="AC2582" s="23"/>
    </row>
    <row r="2583" spans="10:29" x14ac:dyDescent="0.25">
      <c r="J2583" s="19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  <c r="AA2583" s="23"/>
      <c r="AB2583" s="23"/>
      <c r="AC2583" s="23"/>
    </row>
    <row r="2584" spans="10:29" x14ac:dyDescent="0.25">
      <c r="J2584" s="19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  <c r="AA2584" s="23"/>
      <c r="AB2584" s="23"/>
      <c r="AC2584" s="23"/>
    </row>
    <row r="2585" spans="10:29" x14ac:dyDescent="0.25">
      <c r="J2585" s="19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  <c r="AA2585" s="23"/>
      <c r="AB2585" s="23"/>
      <c r="AC2585" s="23"/>
    </row>
    <row r="2586" spans="10:29" x14ac:dyDescent="0.25">
      <c r="J2586" s="19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  <c r="AA2586" s="23"/>
      <c r="AB2586" s="23"/>
      <c r="AC2586" s="23"/>
    </row>
    <row r="2587" spans="10:29" x14ac:dyDescent="0.25">
      <c r="J2587" s="19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  <c r="AA2587" s="23"/>
      <c r="AB2587" s="23"/>
      <c r="AC2587" s="23"/>
    </row>
    <row r="2588" spans="10:29" x14ac:dyDescent="0.25">
      <c r="J2588" s="19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  <c r="AA2588" s="23"/>
      <c r="AB2588" s="23"/>
      <c r="AC2588" s="23"/>
    </row>
    <row r="2589" spans="10:29" x14ac:dyDescent="0.25">
      <c r="J2589" s="19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  <c r="AA2589" s="23"/>
      <c r="AB2589" s="23"/>
      <c r="AC2589" s="23"/>
    </row>
    <row r="2590" spans="10:29" x14ac:dyDescent="0.25">
      <c r="J2590" s="19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  <c r="AA2590" s="23"/>
      <c r="AB2590" s="23"/>
      <c r="AC2590" s="23"/>
    </row>
    <row r="2591" spans="10:29" x14ac:dyDescent="0.25">
      <c r="J2591" s="19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  <c r="AA2591" s="23"/>
      <c r="AB2591" s="23"/>
      <c r="AC2591" s="23"/>
    </row>
    <row r="2592" spans="10:29" x14ac:dyDescent="0.25">
      <c r="J2592" s="19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  <c r="AA2592" s="23"/>
      <c r="AB2592" s="23"/>
      <c r="AC2592" s="23"/>
    </row>
    <row r="2593" spans="10:29" x14ac:dyDescent="0.25">
      <c r="J2593" s="19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  <c r="AA2593" s="23"/>
      <c r="AB2593" s="23"/>
      <c r="AC2593" s="23"/>
    </row>
    <row r="2594" spans="10:29" x14ac:dyDescent="0.25">
      <c r="J2594" s="19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  <c r="AA2594" s="23"/>
      <c r="AB2594" s="23"/>
      <c r="AC2594" s="23"/>
    </row>
    <row r="2595" spans="10:29" x14ac:dyDescent="0.25">
      <c r="J2595" s="19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  <c r="AA2595" s="23"/>
      <c r="AB2595" s="23"/>
      <c r="AC2595" s="23"/>
    </row>
    <row r="2596" spans="10:29" x14ac:dyDescent="0.25">
      <c r="J2596" s="19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  <c r="AA2596" s="23"/>
      <c r="AB2596" s="23"/>
      <c r="AC2596" s="23"/>
    </row>
    <row r="2597" spans="10:29" x14ac:dyDescent="0.25">
      <c r="J2597" s="19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  <c r="AA2597" s="23"/>
      <c r="AB2597" s="23"/>
      <c r="AC2597" s="23"/>
    </row>
    <row r="2598" spans="10:29" x14ac:dyDescent="0.25">
      <c r="J2598" s="19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  <c r="AA2598" s="23"/>
      <c r="AB2598" s="23"/>
      <c r="AC2598" s="23"/>
    </row>
    <row r="2599" spans="10:29" x14ac:dyDescent="0.25">
      <c r="J2599" s="19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  <c r="AA2599" s="23"/>
      <c r="AB2599" s="23"/>
      <c r="AC2599" s="23"/>
    </row>
    <row r="2600" spans="10:29" x14ac:dyDescent="0.25">
      <c r="J2600" s="19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  <c r="AA2600" s="23"/>
      <c r="AB2600" s="23"/>
      <c r="AC2600" s="23"/>
    </row>
    <row r="2601" spans="10:29" x14ac:dyDescent="0.25">
      <c r="J2601" s="19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  <c r="AA2601" s="23"/>
      <c r="AB2601" s="23"/>
      <c r="AC2601" s="23"/>
    </row>
    <row r="2602" spans="10:29" x14ac:dyDescent="0.25">
      <c r="J2602" s="19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  <c r="AA2602" s="23"/>
      <c r="AB2602" s="23"/>
      <c r="AC2602" s="23"/>
    </row>
    <row r="2603" spans="10:29" x14ac:dyDescent="0.25">
      <c r="J2603" s="19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  <c r="AA2603" s="23"/>
      <c r="AB2603" s="23"/>
      <c r="AC2603" s="23"/>
    </row>
    <row r="2604" spans="10:29" x14ac:dyDescent="0.25">
      <c r="J2604" s="19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  <c r="AA2604" s="23"/>
      <c r="AB2604" s="23"/>
      <c r="AC2604" s="23"/>
    </row>
    <row r="2605" spans="10:29" x14ac:dyDescent="0.25">
      <c r="J2605" s="19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  <c r="AA2605" s="23"/>
      <c r="AB2605" s="23"/>
      <c r="AC2605" s="23"/>
    </row>
    <row r="2606" spans="10:29" x14ac:dyDescent="0.25">
      <c r="J2606" s="19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  <c r="AA2606" s="23"/>
      <c r="AB2606" s="23"/>
      <c r="AC2606" s="23"/>
    </row>
    <row r="2607" spans="10:29" x14ac:dyDescent="0.25">
      <c r="J2607" s="19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  <c r="AA2607" s="23"/>
      <c r="AB2607" s="23"/>
      <c r="AC2607" s="23"/>
    </row>
    <row r="2608" spans="10:29" x14ac:dyDescent="0.25">
      <c r="J2608" s="19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  <c r="AA2608" s="23"/>
      <c r="AB2608" s="23"/>
      <c r="AC2608" s="23"/>
    </row>
    <row r="2609" spans="10:29" x14ac:dyDescent="0.25">
      <c r="J2609" s="19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  <c r="AA2609" s="23"/>
      <c r="AB2609" s="23"/>
      <c r="AC2609" s="23"/>
    </row>
    <row r="2610" spans="10:29" x14ac:dyDescent="0.25">
      <c r="J2610" s="19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  <c r="AA2610" s="23"/>
      <c r="AB2610" s="23"/>
      <c r="AC2610" s="23"/>
    </row>
    <row r="2611" spans="10:29" x14ac:dyDescent="0.25">
      <c r="J2611" s="19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  <c r="AA2611" s="23"/>
      <c r="AB2611" s="23"/>
      <c r="AC2611" s="23"/>
    </row>
    <row r="2612" spans="10:29" x14ac:dyDescent="0.25">
      <c r="J2612" s="19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  <c r="AA2612" s="23"/>
      <c r="AB2612" s="23"/>
      <c r="AC2612" s="23"/>
    </row>
    <row r="2613" spans="10:29" x14ac:dyDescent="0.25">
      <c r="J2613" s="19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  <c r="AA2613" s="23"/>
      <c r="AB2613" s="23"/>
      <c r="AC2613" s="23"/>
    </row>
    <row r="2614" spans="10:29" x14ac:dyDescent="0.25">
      <c r="J2614" s="19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  <c r="AA2614" s="23"/>
      <c r="AB2614" s="23"/>
      <c r="AC2614" s="23"/>
    </row>
    <row r="2615" spans="10:29" x14ac:dyDescent="0.25">
      <c r="J2615" s="19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  <c r="AA2615" s="23"/>
      <c r="AB2615" s="23"/>
      <c r="AC2615" s="23"/>
    </row>
    <row r="2616" spans="10:29" x14ac:dyDescent="0.25">
      <c r="J2616" s="19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  <c r="AA2616" s="23"/>
      <c r="AB2616" s="23"/>
      <c r="AC2616" s="23"/>
    </row>
    <row r="2617" spans="10:29" x14ac:dyDescent="0.25">
      <c r="J2617" s="19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  <c r="AA2617" s="23"/>
      <c r="AB2617" s="23"/>
      <c r="AC2617" s="23"/>
    </row>
    <row r="2618" spans="10:29" x14ac:dyDescent="0.25">
      <c r="J2618" s="19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  <c r="AA2618" s="23"/>
      <c r="AB2618" s="23"/>
      <c r="AC2618" s="23"/>
    </row>
    <row r="2619" spans="10:29" x14ac:dyDescent="0.25">
      <c r="J2619" s="19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  <c r="AA2619" s="23"/>
      <c r="AB2619" s="23"/>
      <c r="AC2619" s="23"/>
    </row>
    <row r="2620" spans="10:29" x14ac:dyDescent="0.25">
      <c r="J2620" s="19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  <c r="AA2620" s="23"/>
      <c r="AB2620" s="23"/>
      <c r="AC2620" s="23"/>
    </row>
    <row r="2621" spans="10:29" x14ac:dyDescent="0.25">
      <c r="J2621" s="19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  <c r="AA2621" s="23"/>
      <c r="AB2621" s="23"/>
      <c r="AC2621" s="23"/>
    </row>
    <row r="2622" spans="10:29" x14ac:dyDescent="0.25">
      <c r="J2622" s="19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  <c r="AA2622" s="23"/>
      <c r="AB2622" s="23"/>
      <c r="AC2622" s="23"/>
    </row>
    <row r="2623" spans="10:29" x14ac:dyDescent="0.25">
      <c r="J2623" s="19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  <c r="AA2623" s="23"/>
      <c r="AB2623" s="23"/>
      <c r="AC2623" s="23"/>
    </row>
    <row r="2624" spans="10:29" x14ac:dyDescent="0.25">
      <c r="J2624" s="19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  <c r="AA2624" s="23"/>
      <c r="AB2624" s="23"/>
      <c r="AC2624" s="23"/>
    </row>
    <row r="2625" spans="10:29" x14ac:dyDescent="0.25">
      <c r="J2625" s="19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  <c r="AA2625" s="23"/>
      <c r="AB2625" s="23"/>
      <c r="AC2625" s="23"/>
    </row>
    <row r="2626" spans="10:29" x14ac:dyDescent="0.25">
      <c r="J2626" s="19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  <c r="AA2626" s="23"/>
      <c r="AB2626" s="23"/>
      <c r="AC2626" s="23"/>
    </row>
    <row r="2627" spans="10:29" x14ac:dyDescent="0.25">
      <c r="J2627" s="19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  <c r="AA2627" s="23"/>
      <c r="AB2627" s="23"/>
      <c r="AC2627" s="23"/>
    </row>
    <row r="2628" spans="10:29" x14ac:dyDescent="0.25">
      <c r="J2628" s="19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  <c r="AA2628" s="23"/>
      <c r="AB2628" s="23"/>
      <c r="AC2628" s="23"/>
    </row>
    <row r="2629" spans="10:29" x14ac:dyDescent="0.25">
      <c r="J2629" s="19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  <c r="AA2629" s="23"/>
      <c r="AB2629" s="23"/>
      <c r="AC2629" s="23"/>
    </row>
    <row r="2630" spans="10:29" x14ac:dyDescent="0.25">
      <c r="J2630" s="19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  <c r="AA2630" s="23"/>
      <c r="AB2630" s="23"/>
      <c r="AC2630" s="23"/>
    </row>
    <row r="2631" spans="10:29" x14ac:dyDescent="0.25">
      <c r="J2631" s="19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  <c r="AA2631" s="23"/>
      <c r="AB2631" s="23"/>
      <c r="AC2631" s="23"/>
    </row>
    <row r="2632" spans="10:29" x14ac:dyDescent="0.25">
      <c r="J2632" s="19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  <c r="AA2632" s="23"/>
      <c r="AB2632" s="23"/>
      <c r="AC2632" s="23"/>
    </row>
    <row r="2633" spans="10:29" x14ac:dyDescent="0.25">
      <c r="J2633" s="19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  <c r="AA2633" s="23"/>
      <c r="AB2633" s="23"/>
      <c r="AC2633" s="23"/>
    </row>
    <row r="2634" spans="10:29" x14ac:dyDescent="0.25">
      <c r="J2634" s="19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  <c r="AA2634" s="23"/>
      <c r="AB2634" s="23"/>
      <c r="AC2634" s="23"/>
    </row>
    <row r="2635" spans="10:29" x14ac:dyDescent="0.25">
      <c r="J2635" s="19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  <c r="AA2635" s="23"/>
      <c r="AB2635" s="23"/>
      <c r="AC2635" s="23"/>
    </row>
    <row r="2636" spans="10:29" x14ac:dyDescent="0.25">
      <c r="J2636" s="19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  <c r="AA2636" s="23"/>
      <c r="AB2636" s="23"/>
      <c r="AC2636" s="23"/>
    </row>
    <row r="2637" spans="10:29" x14ac:dyDescent="0.25">
      <c r="J2637" s="19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  <c r="AA2637" s="23"/>
      <c r="AB2637" s="23"/>
      <c r="AC2637" s="23"/>
    </row>
    <row r="2638" spans="10:29" x14ac:dyDescent="0.25">
      <c r="J2638" s="19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  <c r="AA2638" s="23"/>
      <c r="AB2638" s="23"/>
      <c r="AC2638" s="23"/>
    </row>
    <row r="2639" spans="10:29" x14ac:dyDescent="0.25">
      <c r="J2639" s="19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  <c r="AA2639" s="23"/>
      <c r="AB2639" s="23"/>
      <c r="AC2639" s="23"/>
    </row>
    <row r="2640" spans="10:29" x14ac:dyDescent="0.25">
      <c r="J2640" s="19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  <c r="AA2640" s="23"/>
      <c r="AB2640" s="23"/>
      <c r="AC2640" s="23"/>
    </row>
    <row r="2641" spans="10:29" x14ac:dyDescent="0.25">
      <c r="J2641" s="19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  <c r="AA2641" s="23"/>
      <c r="AB2641" s="23"/>
      <c r="AC2641" s="23"/>
    </row>
    <row r="2642" spans="10:29" x14ac:dyDescent="0.25">
      <c r="J2642" s="19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  <c r="AA2642" s="23"/>
      <c r="AB2642" s="23"/>
      <c r="AC2642" s="23"/>
    </row>
    <row r="2643" spans="10:29" x14ac:dyDescent="0.25">
      <c r="J2643" s="19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  <c r="AA2643" s="23"/>
      <c r="AB2643" s="23"/>
      <c r="AC2643" s="23"/>
    </row>
    <row r="2644" spans="10:29" x14ac:dyDescent="0.25">
      <c r="J2644" s="19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  <c r="AA2644" s="23"/>
      <c r="AB2644" s="23"/>
      <c r="AC2644" s="23"/>
    </row>
    <row r="2645" spans="10:29" x14ac:dyDescent="0.25">
      <c r="J2645" s="19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  <c r="AA2645" s="23"/>
      <c r="AB2645" s="23"/>
      <c r="AC2645" s="23"/>
    </row>
    <row r="2646" spans="10:29" x14ac:dyDescent="0.25">
      <c r="J2646" s="19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  <c r="AA2646" s="23"/>
      <c r="AB2646" s="23"/>
      <c r="AC2646" s="23"/>
    </row>
    <row r="2647" spans="10:29" x14ac:dyDescent="0.25">
      <c r="J2647" s="19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  <c r="AA2647" s="23"/>
      <c r="AB2647" s="23"/>
      <c r="AC2647" s="23"/>
    </row>
    <row r="2648" spans="10:29" x14ac:dyDescent="0.25">
      <c r="J2648" s="19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  <c r="AA2648" s="23"/>
      <c r="AB2648" s="23"/>
      <c r="AC2648" s="23"/>
    </row>
    <row r="2649" spans="10:29" x14ac:dyDescent="0.25">
      <c r="J2649" s="19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  <c r="AA2649" s="23"/>
      <c r="AB2649" s="23"/>
      <c r="AC2649" s="23"/>
    </row>
    <row r="2650" spans="10:29" x14ac:dyDescent="0.25">
      <c r="J2650" s="19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  <c r="AA2650" s="23"/>
      <c r="AB2650" s="23"/>
      <c r="AC2650" s="23"/>
    </row>
    <row r="2651" spans="10:29" x14ac:dyDescent="0.25">
      <c r="J2651" s="19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  <c r="AA2651" s="23"/>
      <c r="AB2651" s="23"/>
      <c r="AC2651" s="23"/>
    </row>
    <row r="2652" spans="10:29" x14ac:dyDescent="0.25">
      <c r="J2652" s="19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  <c r="AA2652" s="23"/>
      <c r="AB2652" s="23"/>
      <c r="AC2652" s="23"/>
    </row>
    <row r="2653" spans="10:29" x14ac:dyDescent="0.25">
      <c r="J2653" s="19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  <c r="AA2653" s="23"/>
      <c r="AB2653" s="23"/>
      <c r="AC2653" s="23"/>
    </row>
    <row r="2654" spans="10:29" x14ac:dyDescent="0.25">
      <c r="J2654" s="19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  <c r="AA2654" s="23"/>
      <c r="AB2654" s="23"/>
      <c r="AC2654" s="23"/>
    </row>
    <row r="2655" spans="10:29" x14ac:dyDescent="0.25">
      <c r="J2655" s="19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  <c r="AA2655" s="23"/>
      <c r="AB2655" s="23"/>
      <c r="AC2655" s="23"/>
    </row>
    <row r="2656" spans="10:29" x14ac:dyDescent="0.25">
      <c r="J2656" s="19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  <c r="AA2656" s="23"/>
      <c r="AB2656" s="23"/>
      <c r="AC2656" s="23"/>
    </row>
    <row r="2657" spans="10:29" x14ac:dyDescent="0.25">
      <c r="J2657" s="19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  <c r="AA2657" s="23"/>
      <c r="AB2657" s="23"/>
      <c r="AC2657" s="23"/>
    </row>
    <row r="2658" spans="10:29" x14ac:dyDescent="0.25">
      <c r="J2658" s="19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  <c r="AA2658" s="23"/>
      <c r="AB2658" s="23"/>
      <c r="AC2658" s="23"/>
    </row>
    <row r="2659" spans="10:29" x14ac:dyDescent="0.25">
      <c r="J2659" s="19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  <c r="AA2659" s="23"/>
      <c r="AB2659" s="23"/>
      <c r="AC2659" s="23"/>
    </row>
    <row r="2660" spans="10:29" x14ac:dyDescent="0.25">
      <c r="J2660" s="19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  <c r="AA2660" s="23"/>
      <c r="AB2660" s="23"/>
      <c r="AC2660" s="23"/>
    </row>
    <row r="2661" spans="10:29" x14ac:dyDescent="0.25">
      <c r="J2661" s="19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  <c r="AA2661" s="23"/>
      <c r="AB2661" s="23"/>
      <c r="AC2661" s="23"/>
    </row>
    <row r="2662" spans="10:29" x14ac:dyDescent="0.25">
      <c r="J2662" s="19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  <c r="AA2662" s="23"/>
      <c r="AB2662" s="23"/>
      <c r="AC2662" s="23"/>
    </row>
    <row r="2663" spans="10:29" x14ac:dyDescent="0.25">
      <c r="J2663" s="19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  <c r="AA2663" s="23"/>
      <c r="AB2663" s="23"/>
      <c r="AC2663" s="23"/>
    </row>
    <row r="2664" spans="10:29" x14ac:dyDescent="0.25">
      <c r="J2664" s="19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  <c r="AA2664" s="23"/>
      <c r="AB2664" s="23"/>
      <c r="AC2664" s="23"/>
    </row>
    <row r="2665" spans="10:29" x14ac:dyDescent="0.25">
      <c r="J2665" s="19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  <c r="AA2665" s="23"/>
      <c r="AB2665" s="23"/>
      <c r="AC2665" s="23"/>
    </row>
    <row r="2666" spans="10:29" x14ac:dyDescent="0.25">
      <c r="J2666" s="19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  <c r="AA2666" s="23"/>
      <c r="AB2666" s="23"/>
      <c r="AC2666" s="23"/>
    </row>
    <row r="2667" spans="10:29" x14ac:dyDescent="0.25">
      <c r="J2667" s="19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  <c r="AA2667" s="23"/>
      <c r="AB2667" s="23"/>
      <c r="AC2667" s="23"/>
    </row>
    <row r="2668" spans="10:29" x14ac:dyDescent="0.25">
      <c r="J2668" s="19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  <c r="AA2668" s="23"/>
      <c r="AB2668" s="23"/>
      <c r="AC2668" s="23"/>
    </row>
    <row r="2669" spans="10:29" x14ac:dyDescent="0.25">
      <c r="J2669" s="19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  <c r="AA2669" s="23"/>
      <c r="AB2669" s="23"/>
      <c r="AC2669" s="23"/>
    </row>
    <row r="2670" spans="10:29" x14ac:dyDescent="0.25">
      <c r="J2670" s="19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  <c r="AA2670" s="23"/>
      <c r="AB2670" s="23"/>
      <c r="AC2670" s="23"/>
    </row>
    <row r="2671" spans="10:29" x14ac:dyDescent="0.25">
      <c r="J2671" s="19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  <c r="AA2671" s="23"/>
      <c r="AB2671" s="23"/>
      <c r="AC2671" s="23"/>
    </row>
    <row r="2672" spans="10:29" x14ac:dyDescent="0.25">
      <c r="J2672" s="19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  <c r="AA2672" s="23"/>
      <c r="AB2672" s="23"/>
      <c r="AC2672" s="23"/>
    </row>
    <row r="2673" spans="10:29" x14ac:dyDescent="0.25">
      <c r="J2673" s="19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  <c r="AA2673" s="23"/>
      <c r="AB2673" s="23"/>
      <c r="AC2673" s="23"/>
    </row>
    <row r="2674" spans="10:29" x14ac:dyDescent="0.25">
      <c r="J2674" s="19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  <c r="AA2674" s="23"/>
      <c r="AB2674" s="23"/>
      <c r="AC2674" s="23"/>
    </row>
    <row r="2675" spans="10:29" x14ac:dyDescent="0.25">
      <c r="J2675" s="19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  <c r="AA2675" s="23"/>
      <c r="AB2675" s="23"/>
      <c r="AC2675" s="23"/>
    </row>
    <row r="2676" spans="10:29" x14ac:dyDescent="0.25">
      <c r="J2676" s="19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  <c r="AA2676" s="23"/>
      <c r="AB2676" s="23"/>
      <c r="AC2676" s="23"/>
    </row>
    <row r="2677" spans="10:29" x14ac:dyDescent="0.25">
      <c r="J2677" s="19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  <c r="AA2677" s="23"/>
      <c r="AB2677" s="23"/>
      <c r="AC2677" s="23"/>
    </row>
    <row r="2678" spans="10:29" x14ac:dyDescent="0.25">
      <c r="J2678" s="19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  <c r="AA2678" s="23"/>
      <c r="AB2678" s="23"/>
      <c r="AC2678" s="23"/>
    </row>
    <row r="2679" spans="10:29" x14ac:dyDescent="0.25">
      <c r="J2679" s="19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  <c r="AA2679" s="23"/>
      <c r="AB2679" s="23"/>
      <c r="AC2679" s="23"/>
    </row>
    <row r="2680" spans="10:29" x14ac:dyDescent="0.25">
      <c r="J2680" s="19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  <c r="AA2680" s="23"/>
      <c r="AB2680" s="23"/>
      <c r="AC2680" s="23"/>
    </row>
    <row r="2681" spans="10:29" x14ac:dyDescent="0.25">
      <c r="J2681" s="19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  <c r="AA2681" s="23"/>
      <c r="AB2681" s="23"/>
      <c r="AC2681" s="23"/>
    </row>
    <row r="2682" spans="10:29" x14ac:dyDescent="0.25">
      <c r="J2682" s="19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  <c r="AA2682" s="23"/>
      <c r="AB2682" s="23"/>
      <c r="AC2682" s="23"/>
    </row>
    <row r="2683" spans="10:29" x14ac:dyDescent="0.25">
      <c r="J2683" s="19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  <c r="AA2683" s="23"/>
      <c r="AB2683" s="23"/>
      <c r="AC2683" s="23"/>
    </row>
    <row r="2684" spans="10:29" x14ac:dyDescent="0.25">
      <c r="J2684" s="19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  <c r="AA2684" s="23"/>
      <c r="AB2684" s="23"/>
      <c r="AC2684" s="23"/>
    </row>
    <row r="2685" spans="10:29" x14ac:dyDescent="0.25">
      <c r="J2685" s="19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  <c r="AA2685" s="23"/>
      <c r="AB2685" s="23"/>
      <c r="AC2685" s="23"/>
    </row>
    <row r="2686" spans="10:29" x14ac:dyDescent="0.25">
      <c r="J2686" s="19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  <c r="AA2686" s="23"/>
      <c r="AB2686" s="23"/>
      <c r="AC2686" s="23"/>
    </row>
    <row r="2687" spans="10:29" x14ac:dyDescent="0.25">
      <c r="J2687" s="19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  <c r="AA2687" s="23"/>
      <c r="AB2687" s="23"/>
      <c r="AC2687" s="23"/>
    </row>
    <row r="2688" spans="10:29" x14ac:dyDescent="0.25">
      <c r="J2688" s="19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  <c r="AA2688" s="23"/>
      <c r="AB2688" s="23"/>
      <c r="AC2688" s="23"/>
    </row>
    <row r="2689" spans="10:29" x14ac:dyDescent="0.25">
      <c r="J2689" s="19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  <c r="AA2689" s="23"/>
      <c r="AB2689" s="23"/>
      <c r="AC2689" s="23"/>
    </row>
    <row r="2690" spans="10:29" x14ac:dyDescent="0.25">
      <c r="J2690" s="19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  <c r="AA2690" s="23"/>
      <c r="AB2690" s="23"/>
      <c r="AC2690" s="23"/>
    </row>
    <row r="2691" spans="10:29" x14ac:dyDescent="0.25">
      <c r="J2691" s="19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  <c r="AA2691" s="23"/>
      <c r="AB2691" s="23"/>
      <c r="AC2691" s="23"/>
    </row>
    <row r="2692" spans="10:29" x14ac:dyDescent="0.25">
      <c r="J2692" s="19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  <c r="AA2692" s="23"/>
      <c r="AB2692" s="23"/>
      <c r="AC2692" s="23"/>
    </row>
    <row r="2693" spans="10:29" x14ac:dyDescent="0.25">
      <c r="J2693" s="19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  <c r="AA2693" s="23"/>
      <c r="AB2693" s="23"/>
      <c r="AC2693" s="23"/>
    </row>
    <row r="2694" spans="10:29" x14ac:dyDescent="0.25">
      <c r="J2694" s="19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  <c r="AA2694" s="23"/>
      <c r="AB2694" s="23"/>
      <c r="AC2694" s="23"/>
    </row>
    <row r="2695" spans="10:29" x14ac:dyDescent="0.25">
      <c r="J2695" s="19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  <c r="AA2695" s="23"/>
      <c r="AB2695" s="23"/>
      <c r="AC2695" s="23"/>
    </row>
    <row r="2696" spans="10:29" x14ac:dyDescent="0.25">
      <c r="J2696" s="19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  <c r="AA2696" s="23"/>
      <c r="AB2696" s="23"/>
      <c r="AC2696" s="23"/>
    </row>
    <row r="2697" spans="10:29" x14ac:dyDescent="0.25">
      <c r="J2697" s="19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  <c r="AA2697" s="23"/>
      <c r="AB2697" s="23"/>
      <c r="AC2697" s="23"/>
    </row>
    <row r="2698" spans="10:29" x14ac:dyDescent="0.25">
      <c r="J2698" s="19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  <c r="AA2698" s="23"/>
      <c r="AB2698" s="23"/>
      <c r="AC2698" s="23"/>
    </row>
    <row r="2699" spans="10:29" x14ac:dyDescent="0.25">
      <c r="J2699" s="19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  <c r="AA2699" s="23"/>
      <c r="AB2699" s="23"/>
      <c r="AC2699" s="23"/>
    </row>
    <row r="2700" spans="10:29" x14ac:dyDescent="0.25">
      <c r="J2700" s="19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  <c r="AA2700" s="23"/>
      <c r="AB2700" s="23"/>
      <c r="AC2700" s="23"/>
    </row>
    <row r="2701" spans="10:29" x14ac:dyDescent="0.25">
      <c r="J2701" s="19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  <c r="AA2701" s="23"/>
      <c r="AB2701" s="23"/>
      <c r="AC2701" s="23"/>
    </row>
    <row r="2702" spans="10:29" x14ac:dyDescent="0.25">
      <c r="J2702" s="19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  <c r="AA2702" s="23"/>
      <c r="AB2702" s="23"/>
      <c r="AC2702" s="23"/>
    </row>
    <row r="2703" spans="10:29" x14ac:dyDescent="0.25">
      <c r="J2703" s="19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  <c r="AA2703" s="23"/>
      <c r="AB2703" s="23"/>
      <c r="AC2703" s="23"/>
    </row>
    <row r="2704" spans="10:29" x14ac:dyDescent="0.25">
      <c r="J2704" s="19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  <c r="AA2704" s="23"/>
      <c r="AB2704" s="23"/>
      <c r="AC2704" s="23"/>
    </row>
    <row r="2705" spans="10:29" x14ac:dyDescent="0.25">
      <c r="J2705" s="19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  <c r="AA2705" s="23"/>
      <c r="AB2705" s="23"/>
      <c r="AC2705" s="23"/>
    </row>
    <row r="2706" spans="10:29" x14ac:dyDescent="0.25">
      <c r="J2706" s="19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  <c r="AA2706" s="23"/>
      <c r="AB2706" s="23"/>
      <c r="AC2706" s="23"/>
    </row>
    <row r="2707" spans="10:29" x14ac:dyDescent="0.25">
      <c r="J2707" s="19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  <c r="AA2707" s="23"/>
      <c r="AB2707" s="23"/>
      <c r="AC2707" s="23"/>
    </row>
    <row r="2708" spans="10:29" x14ac:dyDescent="0.25">
      <c r="J2708" s="19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  <c r="AA2708" s="23"/>
      <c r="AB2708" s="23"/>
      <c r="AC2708" s="23"/>
    </row>
    <row r="2709" spans="10:29" x14ac:dyDescent="0.25">
      <c r="J2709" s="19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  <c r="AA2709" s="23"/>
      <c r="AB2709" s="23"/>
      <c r="AC2709" s="23"/>
    </row>
    <row r="2710" spans="10:29" x14ac:dyDescent="0.25">
      <c r="J2710" s="19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  <c r="AA2710" s="23"/>
      <c r="AB2710" s="23"/>
      <c r="AC2710" s="23"/>
    </row>
    <row r="2711" spans="10:29" x14ac:dyDescent="0.25">
      <c r="J2711" s="19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  <c r="AA2711" s="23"/>
      <c r="AB2711" s="23"/>
      <c r="AC2711" s="23"/>
    </row>
    <row r="2712" spans="10:29" x14ac:dyDescent="0.25">
      <c r="J2712" s="19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  <c r="AA2712" s="23"/>
      <c r="AB2712" s="23"/>
      <c r="AC2712" s="23"/>
    </row>
    <row r="2713" spans="10:29" x14ac:dyDescent="0.25">
      <c r="J2713" s="19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  <c r="AA2713" s="23"/>
      <c r="AB2713" s="23"/>
      <c r="AC2713" s="23"/>
    </row>
    <row r="2714" spans="10:29" x14ac:dyDescent="0.25">
      <c r="J2714" s="19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  <c r="AA2714" s="23"/>
      <c r="AB2714" s="23"/>
      <c r="AC2714" s="23"/>
    </row>
    <row r="2715" spans="10:29" x14ac:dyDescent="0.25">
      <c r="J2715" s="19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  <c r="AA2715" s="23"/>
      <c r="AB2715" s="23"/>
      <c r="AC2715" s="23"/>
    </row>
    <row r="2716" spans="10:29" x14ac:dyDescent="0.25">
      <c r="J2716" s="19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  <c r="AA2716" s="23"/>
      <c r="AB2716" s="23"/>
      <c r="AC2716" s="23"/>
    </row>
    <row r="2717" spans="10:29" x14ac:dyDescent="0.25">
      <c r="J2717" s="19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  <c r="AA2717" s="23"/>
      <c r="AB2717" s="23"/>
      <c r="AC2717" s="23"/>
    </row>
    <row r="2718" spans="10:29" x14ac:dyDescent="0.25">
      <c r="J2718" s="19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  <c r="AA2718" s="23"/>
      <c r="AB2718" s="23"/>
      <c r="AC2718" s="23"/>
    </row>
    <row r="2719" spans="10:29" x14ac:dyDescent="0.25">
      <c r="J2719" s="19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  <c r="AA2719" s="23"/>
      <c r="AB2719" s="23"/>
      <c r="AC2719" s="23"/>
    </row>
    <row r="2720" spans="10:29" x14ac:dyDescent="0.25">
      <c r="J2720" s="19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  <c r="AA2720" s="23"/>
      <c r="AB2720" s="23"/>
      <c r="AC2720" s="23"/>
    </row>
    <row r="2721" spans="10:29" x14ac:dyDescent="0.25">
      <c r="J2721" s="19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  <c r="AA2721" s="23"/>
      <c r="AB2721" s="23"/>
      <c r="AC2721" s="23"/>
    </row>
    <row r="2722" spans="10:29" x14ac:dyDescent="0.25">
      <c r="J2722" s="19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  <c r="AA2722" s="23"/>
      <c r="AB2722" s="23"/>
      <c r="AC2722" s="23"/>
    </row>
    <row r="2723" spans="10:29" x14ac:dyDescent="0.25">
      <c r="J2723" s="19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  <c r="AA2723" s="23"/>
      <c r="AB2723" s="23"/>
      <c r="AC2723" s="23"/>
    </row>
    <row r="2724" spans="10:29" x14ac:dyDescent="0.25">
      <c r="J2724" s="19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  <c r="AA2724" s="23"/>
      <c r="AB2724" s="23"/>
      <c r="AC2724" s="23"/>
    </row>
    <row r="2725" spans="10:29" x14ac:dyDescent="0.25">
      <c r="J2725" s="19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  <c r="AA2725" s="23"/>
      <c r="AB2725" s="23"/>
      <c r="AC2725" s="23"/>
    </row>
    <row r="2726" spans="10:29" x14ac:dyDescent="0.25">
      <c r="J2726" s="19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  <c r="AA2726" s="23"/>
      <c r="AB2726" s="23"/>
      <c r="AC2726" s="23"/>
    </row>
    <row r="2727" spans="10:29" x14ac:dyDescent="0.25">
      <c r="J2727" s="19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  <c r="AA2727" s="23"/>
      <c r="AB2727" s="23"/>
      <c r="AC2727" s="23"/>
    </row>
    <row r="2728" spans="10:29" x14ac:dyDescent="0.25">
      <c r="J2728" s="19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  <c r="AA2728" s="23"/>
      <c r="AB2728" s="23"/>
      <c r="AC2728" s="23"/>
    </row>
    <row r="2729" spans="10:29" x14ac:dyDescent="0.25">
      <c r="J2729" s="19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  <c r="AA2729" s="23"/>
      <c r="AB2729" s="23"/>
      <c r="AC2729" s="23"/>
    </row>
    <row r="2730" spans="10:29" x14ac:dyDescent="0.25">
      <c r="J2730" s="19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  <c r="AA2730" s="23"/>
      <c r="AB2730" s="23"/>
      <c r="AC2730" s="23"/>
    </row>
    <row r="2731" spans="10:29" x14ac:dyDescent="0.25">
      <c r="J2731" s="19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  <c r="AA2731" s="23"/>
      <c r="AB2731" s="23"/>
      <c r="AC2731" s="23"/>
    </row>
    <row r="2732" spans="10:29" x14ac:dyDescent="0.25">
      <c r="J2732" s="19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  <c r="AA2732" s="23"/>
      <c r="AB2732" s="23"/>
      <c r="AC2732" s="23"/>
    </row>
    <row r="2733" spans="10:29" x14ac:dyDescent="0.25">
      <c r="J2733" s="19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  <c r="AA2733" s="23"/>
      <c r="AB2733" s="23"/>
      <c r="AC2733" s="23"/>
    </row>
    <row r="2734" spans="10:29" x14ac:dyDescent="0.25">
      <c r="J2734" s="19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  <c r="AA2734" s="23"/>
      <c r="AB2734" s="23"/>
      <c r="AC2734" s="23"/>
    </row>
    <row r="2735" spans="10:29" x14ac:dyDescent="0.25">
      <c r="J2735" s="19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  <c r="AA2735" s="23"/>
      <c r="AB2735" s="23"/>
      <c r="AC2735" s="23"/>
    </row>
    <row r="2736" spans="10:29" x14ac:dyDescent="0.25">
      <c r="J2736" s="19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  <c r="AA2736" s="23"/>
      <c r="AB2736" s="23"/>
      <c r="AC2736" s="23"/>
    </row>
    <row r="2737" spans="10:29" x14ac:dyDescent="0.25">
      <c r="J2737" s="19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  <c r="AA2737" s="23"/>
      <c r="AB2737" s="23"/>
      <c r="AC2737" s="23"/>
    </row>
    <row r="2738" spans="10:29" x14ac:dyDescent="0.25">
      <c r="J2738" s="19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  <c r="AA2738" s="23"/>
      <c r="AB2738" s="23"/>
      <c r="AC2738" s="23"/>
    </row>
    <row r="2739" spans="10:29" x14ac:dyDescent="0.25">
      <c r="J2739" s="19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  <c r="AA2739" s="23"/>
      <c r="AB2739" s="23"/>
      <c r="AC2739" s="23"/>
    </row>
    <row r="2740" spans="10:29" x14ac:dyDescent="0.25">
      <c r="J2740" s="19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  <c r="AA2740" s="23"/>
      <c r="AB2740" s="23"/>
      <c r="AC2740" s="23"/>
    </row>
    <row r="2741" spans="10:29" x14ac:dyDescent="0.25">
      <c r="J2741" s="19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  <c r="AA2741" s="23"/>
      <c r="AB2741" s="23"/>
      <c r="AC2741" s="23"/>
    </row>
    <row r="2742" spans="10:29" x14ac:dyDescent="0.25">
      <c r="J2742" s="19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  <c r="AA2742" s="23"/>
      <c r="AB2742" s="23"/>
      <c r="AC2742" s="23"/>
    </row>
    <row r="2743" spans="10:29" x14ac:dyDescent="0.25">
      <c r="J2743" s="19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  <c r="AA2743" s="23"/>
      <c r="AB2743" s="23"/>
      <c r="AC2743" s="23"/>
    </row>
    <row r="2744" spans="10:29" x14ac:dyDescent="0.25">
      <c r="J2744" s="19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  <c r="AA2744" s="23"/>
      <c r="AB2744" s="23"/>
      <c r="AC2744" s="23"/>
    </row>
    <row r="2745" spans="10:29" x14ac:dyDescent="0.25">
      <c r="J2745" s="19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  <c r="AA2745" s="23"/>
      <c r="AB2745" s="23"/>
      <c r="AC2745" s="23"/>
    </row>
    <row r="2746" spans="10:29" x14ac:dyDescent="0.25">
      <c r="J2746" s="19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  <c r="AA2746" s="23"/>
      <c r="AB2746" s="23"/>
      <c r="AC2746" s="23"/>
    </row>
    <row r="2747" spans="10:29" x14ac:dyDescent="0.25">
      <c r="J2747" s="19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  <c r="AA2747" s="23"/>
      <c r="AB2747" s="23"/>
      <c r="AC2747" s="23"/>
    </row>
    <row r="2748" spans="10:29" x14ac:dyDescent="0.25">
      <c r="J2748" s="19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  <c r="AA2748" s="23"/>
      <c r="AB2748" s="23"/>
      <c r="AC2748" s="23"/>
    </row>
    <row r="2749" spans="10:29" x14ac:dyDescent="0.25">
      <c r="J2749" s="19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  <c r="AA2749" s="23"/>
      <c r="AB2749" s="23"/>
      <c r="AC2749" s="23"/>
    </row>
    <row r="2750" spans="10:29" x14ac:dyDescent="0.25">
      <c r="J2750" s="19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  <c r="AA2750" s="23"/>
      <c r="AB2750" s="23"/>
      <c r="AC2750" s="23"/>
    </row>
    <row r="2751" spans="10:29" x14ac:dyDescent="0.25">
      <c r="J2751" s="19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  <c r="AA2751" s="23"/>
      <c r="AB2751" s="23"/>
      <c r="AC2751" s="23"/>
    </row>
    <row r="2752" spans="10:29" x14ac:dyDescent="0.25">
      <c r="J2752" s="19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  <c r="AA2752" s="23"/>
      <c r="AB2752" s="23"/>
      <c r="AC2752" s="23"/>
    </row>
    <row r="2753" spans="10:29" x14ac:dyDescent="0.25">
      <c r="J2753" s="19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  <c r="AA2753" s="23"/>
      <c r="AB2753" s="23"/>
      <c r="AC2753" s="23"/>
    </row>
    <row r="2754" spans="10:29" x14ac:dyDescent="0.25">
      <c r="J2754" s="19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  <c r="AA2754" s="23"/>
      <c r="AB2754" s="23"/>
      <c r="AC2754" s="23"/>
    </row>
    <row r="2755" spans="10:29" x14ac:dyDescent="0.25">
      <c r="J2755" s="19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  <c r="AA2755" s="23"/>
      <c r="AB2755" s="23"/>
      <c r="AC2755" s="23"/>
    </row>
    <row r="2756" spans="10:29" x14ac:dyDescent="0.25">
      <c r="J2756" s="19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  <c r="AA2756" s="23"/>
      <c r="AB2756" s="23"/>
      <c r="AC2756" s="23"/>
    </row>
    <row r="2757" spans="10:29" x14ac:dyDescent="0.25">
      <c r="J2757" s="19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  <c r="AA2757" s="23"/>
      <c r="AB2757" s="23"/>
      <c r="AC2757" s="23"/>
    </row>
    <row r="2758" spans="10:29" x14ac:dyDescent="0.25">
      <c r="J2758" s="19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  <c r="AA2758" s="23"/>
      <c r="AB2758" s="23"/>
      <c r="AC2758" s="23"/>
    </row>
    <row r="2759" spans="10:29" x14ac:dyDescent="0.25">
      <c r="J2759" s="19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  <c r="AA2759" s="23"/>
      <c r="AB2759" s="23"/>
      <c r="AC2759" s="23"/>
    </row>
    <row r="2760" spans="10:29" x14ac:dyDescent="0.25">
      <c r="J2760" s="19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  <c r="AA2760" s="23"/>
      <c r="AB2760" s="23"/>
      <c r="AC2760" s="23"/>
    </row>
    <row r="2761" spans="10:29" x14ac:dyDescent="0.25">
      <c r="J2761" s="19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  <c r="AA2761" s="23"/>
      <c r="AB2761" s="23"/>
      <c r="AC2761" s="23"/>
    </row>
    <row r="2762" spans="10:29" x14ac:dyDescent="0.25">
      <c r="J2762" s="19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  <c r="AA2762" s="23"/>
      <c r="AB2762" s="23"/>
      <c r="AC2762" s="23"/>
    </row>
    <row r="2763" spans="10:29" x14ac:dyDescent="0.25">
      <c r="J2763" s="19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  <c r="AA2763" s="23"/>
      <c r="AB2763" s="23"/>
      <c r="AC2763" s="23"/>
    </row>
    <row r="2764" spans="10:29" x14ac:dyDescent="0.25">
      <c r="J2764" s="19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  <c r="AA2764" s="23"/>
      <c r="AB2764" s="23"/>
      <c r="AC2764" s="23"/>
    </row>
    <row r="2765" spans="10:29" x14ac:dyDescent="0.25">
      <c r="J2765" s="19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  <c r="AA2765" s="23"/>
      <c r="AB2765" s="23"/>
      <c r="AC2765" s="23"/>
    </row>
    <row r="2766" spans="10:29" x14ac:dyDescent="0.25">
      <c r="J2766" s="19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  <c r="AA2766" s="23"/>
      <c r="AB2766" s="23"/>
      <c r="AC2766" s="23"/>
    </row>
    <row r="2767" spans="10:29" x14ac:dyDescent="0.25">
      <c r="J2767" s="19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  <c r="AA2767" s="23"/>
      <c r="AB2767" s="23"/>
      <c r="AC2767" s="23"/>
    </row>
    <row r="2768" spans="10:29" x14ac:dyDescent="0.25">
      <c r="J2768" s="19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  <c r="AA2768" s="23"/>
      <c r="AB2768" s="23"/>
      <c r="AC2768" s="23"/>
    </row>
    <row r="2769" spans="10:29" x14ac:dyDescent="0.25">
      <c r="J2769" s="19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  <c r="AA2769" s="23"/>
      <c r="AB2769" s="23"/>
      <c r="AC2769" s="23"/>
    </row>
    <row r="2770" spans="10:29" x14ac:dyDescent="0.25">
      <c r="J2770" s="19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  <c r="AA2770" s="23"/>
      <c r="AB2770" s="23"/>
      <c r="AC2770" s="23"/>
    </row>
    <row r="2771" spans="10:29" x14ac:dyDescent="0.25">
      <c r="J2771" s="19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  <c r="AA2771" s="23"/>
      <c r="AB2771" s="23"/>
      <c r="AC2771" s="23"/>
    </row>
    <row r="2772" spans="10:29" x14ac:dyDescent="0.25">
      <c r="J2772" s="19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  <c r="AA2772" s="23"/>
      <c r="AB2772" s="23"/>
      <c r="AC2772" s="23"/>
    </row>
    <row r="2773" spans="10:29" x14ac:dyDescent="0.25">
      <c r="J2773" s="19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  <c r="AA2773" s="23"/>
      <c r="AB2773" s="23"/>
      <c r="AC2773" s="23"/>
    </row>
    <row r="2774" spans="10:29" x14ac:dyDescent="0.25">
      <c r="J2774" s="19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  <c r="AA2774" s="23"/>
      <c r="AB2774" s="23"/>
      <c r="AC2774" s="23"/>
    </row>
    <row r="2775" spans="10:29" x14ac:dyDescent="0.25">
      <c r="J2775" s="19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  <c r="AA2775" s="23"/>
      <c r="AB2775" s="23"/>
      <c r="AC2775" s="23"/>
    </row>
    <row r="2776" spans="10:29" x14ac:dyDescent="0.25">
      <c r="J2776" s="19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  <c r="AA2776" s="23"/>
      <c r="AB2776" s="23"/>
      <c r="AC2776" s="23"/>
    </row>
    <row r="2777" spans="10:29" x14ac:dyDescent="0.25">
      <c r="J2777" s="19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  <c r="AA2777" s="23"/>
      <c r="AB2777" s="23"/>
      <c r="AC2777" s="23"/>
    </row>
    <row r="2778" spans="10:29" x14ac:dyDescent="0.25">
      <c r="J2778" s="19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  <c r="AA2778" s="23"/>
      <c r="AB2778" s="23"/>
      <c r="AC2778" s="23"/>
    </row>
    <row r="2779" spans="10:29" x14ac:dyDescent="0.25">
      <c r="J2779" s="19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  <c r="AA2779" s="23"/>
      <c r="AB2779" s="23"/>
      <c r="AC2779" s="23"/>
    </row>
    <row r="2780" spans="10:29" x14ac:dyDescent="0.25">
      <c r="J2780" s="19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  <c r="AA2780" s="23"/>
      <c r="AB2780" s="23"/>
      <c r="AC2780" s="23"/>
    </row>
    <row r="2781" spans="10:29" x14ac:dyDescent="0.25">
      <c r="J2781" s="19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  <c r="AA2781" s="23"/>
      <c r="AB2781" s="23"/>
      <c r="AC2781" s="23"/>
    </row>
    <row r="2782" spans="10:29" x14ac:dyDescent="0.25">
      <c r="J2782" s="19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  <c r="AA2782" s="23"/>
      <c r="AB2782" s="23"/>
      <c r="AC2782" s="23"/>
    </row>
    <row r="2783" spans="10:29" x14ac:dyDescent="0.25">
      <c r="J2783" s="19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  <c r="AA2783" s="23"/>
      <c r="AB2783" s="23"/>
      <c r="AC2783" s="23"/>
    </row>
    <row r="2784" spans="10:29" x14ac:dyDescent="0.25">
      <c r="J2784" s="19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  <c r="AA2784" s="23"/>
      <c r="AB2784" s="23"/>
      <c r="AC2784" s="23"/>
    </row>
    <row r="2785" spans="10:29" x14ac:dyDescent="0.25">
      <c r="J2785" s="19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  <c r="AA2785" s="23"/>
      <c r="AB2785" s="23"/>
      <c r="AC2785" s="23"/>
    </row>
    <row r="2786" spans="10:29" x14ac:dyDescent="0.25">
      <c r="J2786" s="19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  <c r="AA2786" s="23"/>
      <c r="AB2786" s="23"/>
      <c r="AC2786" s="23"/>
    </row>
    <row r="2787" spans="10:29" x14ac:dyDescent="0.25">
      <c r="J2787" s="19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  <c r="AA2787" s="23"/>
      <c r="AB2787" s="23"/>
      <c r="AC2787" s="23"/>
    </row>
    <row r="2788" spans="10:29" x14ac:dyDescent="0.25">
      <c r="J2788" s="19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  <c r="AA2788" s="23"/>
      <c r="AB2788" s="23"/>
      <c r="AC2788" s="23"/>
    </row>
    <row r="2789" spans="10:29" x14ac:dyDescent="0.25">
      <c r="J2789" s="19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  <c r="AA2789" s="23"/>
      <c r="AB2789" s="23"/>
      <c r="AC2789" s="23"/>
    </row>
    <row r="2790" spans="10:29" x14ac:dyDescent="0.25">
      <c r="J2790" s="19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  <c r="AA2790" s="23"/>
      <c r="AB2790" s="23"/>
      <c r="AC2790" s="23"/>
    </row>
    <row r="2791" spans="10:29" x14ac:dyDescent="0.25">
      <c r="J2791" s="19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  <c r="AA2791" s="23"/>
      <c r="AB2791" s="23"/>
      <c r="AC2791" s="23"/>
    </row>
    <row r="2792" spans="10:29" x14ac:dyDescent="0.25">
      <c r="J2792" s="19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  <c r="AA2792" s="23"/>
      <c r="AB2792" s="23"/>
      <c r="AC2792" s="23"/>
    </row>
    <row r="2793" spans="10:29" x14ac:dyDescent="0.25">
      <c r="J2793" s="19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  <c r="AA2793" s="23"/>
      <c r="AB2793" s="23"/>
      <c r="AC2793" s="23"/>
    </row>
    <row r="2794" spans="10:29" x14ac:dyDescent="0.25">
      <c r="J2794" s="19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  <c r="AA2794" s="23"/>
      <c r="AB2794" s="23"/>
      <c r="AC2794" s="23"/>
    </row>
    <row r="2795" spans="10:29" x14ac:dyDescent="0.25">
      <c r="J2795" s="19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  <c r="AA2795" s="23"/>
      <c r="AB2795" s="23"/>
      <c r="AC2795" s="23"/>
    </row>
    <row r="2796" spans="10:29" x14ac:dyDescent="0.25">
      <c r="J2796" s="19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  <c r="AA2796" s="23"/>
      <c r="AB2796" s="23"/>
      <c r="AC2796" s="23"/>
    </row>
    <row r="2797" spans="10:29" x14ac:dyDescent="0.25">
      <c r="J2797" s="19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  <c r="AA2797" s="23"/>
      <c r="AB2797" s="23"/>
      <c r="AC2797" s="23"/>
    </row>
    <row r="2798" spans="10:29" x14ac:dyDescent="0.25">
      <c r="J2798" s="19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  <c r="AA2798" s="23"/>
      <c r="AB2798" s="23"/>
      <c r="AC2798" s="23"/>
    </row>
    <row r="2799" spans="10:29" x14ac:dyDescent="0.25">
      <c r="J2799" s="19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  <c r="AA2799" s="23"/>
      <c r="AB2799" s="23"/>
      <c r="AC2799" s="23"/>
    </row>
    <row r="2800" spans="10:29" x14ac:dyDescent="0.25">
      <c r="J2800" s="19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  <c r="AA2800" s="23"/>
      <c r="AB2800" s="23"/>
      <c r="AC2800" s="23"/>
    </row>
    <row r="2801" spans="10:29" x14ac:dyDescent="0.25">
      <c r="J2801" s="19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  <c r="AA2801" s="23"/>
      <c r="AB2801" s="23"/>
      <c r="AC2801" s="23"/>
    </row>
    <row r="2802" spans="10:29" x14ac:dyDescent="0.25">
      <c r="J2802" s="19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  <c r="AA2802" s="23"/>
      <c r="AB2802" s="23"/>
      <c r="AC2802" s="23"/>
    </row>
    <row r="2803" spans="10:29" x14ac:dyDescent="0.25">
      <c r="J2803" s="19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  <c r="AA2803" s="23"/>
      <c r="AB2803" s="23"/>
      <c r="AC2803" s="23"/>
    </row>
    <row r="2804" spans="10:29" x14ac:dyDescent="0.25">
      <c r="J2804" s="19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  <c r="AA2804" s="23"/>
      <c r="AB2804" s="23"/>
      <c r="AC2804" s="23"/>
    </row>
    <row r="2805" spans="10:29" x14ac:dyDescent="0.25">
      <c r="J2805" s="19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  <c r="AA2805" s="23"/>
      <c r="AB2805" s="23"/>
      <c r="AC2805" s="23"/>
    </row>
    <row r="2806" spans="10:29" x14ac:dyDescent="0.25">
      <c r="J2806" s="19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  <c r="AA2806" s="23"/>
      <c r="AB2806" s="23"/>
      <c r="AC2806" s="23"/>
    </row>
    <row r="2807" spans="10:29" x14ac:dyDescent="0.25">
      <c r="J2807" s="19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  <c r="AA2807" s="23"/>
      <c r="AB2807" s="23"/>
      <c r="AC2807" s="23"/>
    </row>
    <row r="2808" spans="10:29" x14ac:dyDescent="0.25">
      <c r="J2808" s="19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  <c r="AA2808" s="23"/>
      <c r="AB2808" s="23"/>
      <c r="AC2808" s="23"/>
    </row>
    <row r="2809" spans="10:29" x14ac:dyDescent="0.25">
      <c r="J2809" s="19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  <c r="AA2809" s="23"/>
      <c r="AB2809" s="23"/>
      <c r="AC2809" s="23"/>
    </row>
    <row r="2810" spans="10:29" x14ac:dyDescent="0.25">
      <c r="J2810" s="19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  <c r="AA2810" s="23"/>
      <c r="AB2810" s="23"/>
      <c r="AC2810" s="23"/>
    </row>
    <row r="2811" spans="10:29" x14ac:dyDescent="0.25">
      <c r="J2811" s="19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  <c r="AA2811" s="23"/>
      <c r="AB2811" s="23"/>
      <c r="AC2811" s="23"/>
    </row>
    <row r="2812" spans="10:29" x14ac:dyDescent="0.25">
      <c r="J2812" s="19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  <c r="AA2812" s="23"/>
      <c r="AB2812" s="23"/>
      <c r="AC2812" s="23"/>
    </row>
    <row r="2813" spans="10:29" x14ac:dyDescent="0.25">
      <c r="J2813" s="19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  <c r="AA2813" s="23"/>
      <c r="AB2813" s="23"/>
      <c r="AC2813" s="23"/>
    </row>
    <row r="2814" spans="10:29" x14ac:dyDescent="0.25">
      <c r="J2814" s="19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  <c r="AA2814" s="23"/>
      <c r="AB2814" s="23"/>
      <c r="AC2814" s="23"/>
    </row>
    <row r="2815" spans="10:29" x14ac:dyDescent="0.25">
      <c r="J2815" s="19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  <c r="AA2815" s="23"/>
      <c r="AB2815" s="23"/>
      <c r="AC2815" s="23"/>
    </row>
    <row r="2816" spans="10:29" x14ac:dyDescent="0.25">
      <c r="J2816" s="19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  <c r="AA2816" s="23"/>
      <c r="AB2816" s="23"/>
      <c r="AC2816" s="23"/>
    </row>
    <row r="2817" spans="10:29" x14ac:dyDescent="0.25">
      <c r="J2817" s="19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  <c r="AA2817" s="23"/>
      <c r="AB2817" s="23"/>
      <c r="AC2817" s="23"/>
    </row>
    <row r="2818" spans="10:29" x14ac:dyDescent="0.25">
      <c r="J2818" s="19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  <c r="AA2818" s="23"/>
      <c r="AB2818" s="23"/>
      <c r="AC2818" s="23"/>
    </row>
    <row r="2819" spans="10:29" x14ac:dyDescent="0.25">
      <c r="J2819" s="19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  <c r="AA2819" s="23"/>
      <c r="AB2819" s="23"/>
      <c r="AC2819" s="23"/>
    </row>
    <row r="2820" spans="10:29" x14ac:dyDescent="0.25">
      <c r="J2820" s="19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  <c r="AA2820" s="23"/>
      <c r="AB2820" s="23"/>
      <c r="AC2820" s="23"/>
    </row>
    <row r="2821" spans="10:29" x14ac:dyDescent="0.25">
      <c r="J2821" s="19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  <c r="AA2821" s="23"/>
      <c r="AB2821" s="23"/>
      <c r="AC2821" s="23"/>
    </row>
    <row r="2822" spans="10:29" x14ac:dyDescent="0.25">
      <c r="J2822" s="19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  <c r="AA2822" s="23"/>
      <c r="AB2822" s="23"/>
      <c r="AC2822" s="23"/>
    </row>
    <row r="2823" spans="10:29" x14ac:dyDescent="0.25">
      <c r="J2823" s="19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  <c r="AA2823" s="23"/>
      <c r="AB2823" s="23"/>
      <c r="AC2823" s="23"/>
    </row>
    <row r="2824" spans="10:29" x14ac:dyDescent="0.25">
      <c r="J2824" s="19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  <c r="AA2824" s="23"/>
      <c r="AB2824" s="23"/>
      <c r="AC2824" s="23"/>
    </row>
    <row r="2825" spans="10:29" x14ac:dyDescent="0.25">
      <c r="J2825" s="19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  <c r="AA2825" s="23"/>
      <c r="AB2825" s="23"/>
      <c r="AC2825" s="23"/>
    </row>
    <row r="2826" spans="10:29" x14ac:dyDescent="0.25">
      <c r="J2826" s="19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  <c r="AA2826" s="23"/>
      <c r="AB2826" s="23"/>
      <c r="AC2826" s="23"/>
    </row>
    <row r="2827" spans="10:29" x14ac:dyDescent="0.25">
      <c r="J2827" s="19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  <c r="AA2827" s="23"/>
      <c r="AB2827" s="23"/>
      <c r="AC2827" s="23"/>
    </row>
    <row r="2828" spans="10:29" x14ac:dyDescent="0.25">
      <c r="J2828" s="19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  <c r="AA2828" s="23"/>
      <c r="AB2828" s="23"/>
      <c r="AC2828" s="23"/>
    </row>
    <row r="2829" spans="10:29" x14ac:dyDescent="0.25">
      <c r="J2829" s="19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  <c r="AA2829" s="23"/>
      <c r="AB2829" s="23"/>
      <c r="AC2829" s="23"/>
    </row>
    <row r="2830" spans="10:29" x14ac:dyDescent="0.25">
      <c r="J2830" s="19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  <c r="AA2830" s="23"/>
      <c r="AB2830" s="23"/>
      <c r="AC2830" s="23"/>
    </row>
    <row r="2831" spans="10:29" x14ac:dyDescent="0.25">
      <c r="J2831" s="19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  <c r="AA2831" s="23"/>
      <c r="AB2831" s="23"/>
      <c r="AC2831" s="23"/>
    </row>
    <row r="2832" spans="10:29" x14ac:dyDescent="0.25">
      <c r="J2832" s="19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  <c r="AA2832" s="23"/>
      <c r="AB2832" s="23"/>
      <c r="AC2832" s="23"/>
    </row>
    <row r="2833" spans="10:29" x14ac:dyDescent="0.25">
      <c r="J2833" s="19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  <c r="AA2833" s="23"/>
      <c r="AB2833" s="23"/>
      <c r="AC2833" s="23"/>
    </row>
    <row r="2834" spans="10:29" x14ac:dyDescent="0.25">
      <c r="J2834" s="19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  <c r="AA2834" s="23"/>
      <c r="AB2834" s="23"/>
      <c r="AC2834" s="23"/>
    </row>
    <row r="2835" spans="10:29" x14ac:dyDescent="0.25">
      <c r="J2835" s="19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  <c r="AA2835" s="23"/>
      <c r="AB2835" s="23"/>
      <c r="AC2835" s="23"/>
    </row>
    <row r="2836" spans="10:29" x14ac:dyDescent="0.25">
      <c r="J2836" s="19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  <c r="AA2836" s="23"/>
      <c r="AB2836" s="23"/>
      <c r="AC2836" s="23"/>
    </row>
    <row r="2837" spans="10:29" x14ac:dyDescent="0.25">
      <c r="J2837" s="19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  <c r="AA2837" s="23"/>
      <c r="AB2837" s="23"/>
      <c r="AC2837" s="23"/>
    </row>
    <row r="2838" spans="10:29" x14ac:dyDescent="0.25">
      <c r="J2838" s="19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  <c r="AA2838" s="23"/>
      <c r="AB2838" s="23"/>
      <c r="AC2838" s="23"/>
    </row>
    <row r="2839" spans="10:29" x14ac:dyDescent="0.25">
      <c r="J2839" s="19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  <c r="AA2839" s="23"/>
      <c r="AB2839" s="23"/>
      <c r="AC2839" s="23"/>
    </row>
    <row r="2840" spans="10:29" x14ac:dyDescent="0.25">
      <c r="J2840" s="19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  <c r="AA2840" s="23"/>
      <c r="AB2840" s="23"/>
      <c r="AC2840" s="23"/>
    </row>
    <row r="2841" spans="10:29" x14ac:dyDescent="0.25">
      <c r="J2841" s="19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  <c r="AA2841" s="23"/>
      <c r="AB2841" s="23"/>
      <c r="AC2841" s="23"/>
    </row>
    <row r="2842" spans="10:29" x14ac:dyDescent="0.25">
      <c r="J2842" s="19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  <c r="AA2842" s="23"/>
      <c r="AB2842" s="23"/>
      <c r="AC2842" s="23"/>
    </row>
    <row r="2843" spans="10:29" x14ac:dyDescent="0.25">
      <c r="J2843" s="19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  <c r="AA2843" s="23"/>
      <c r="AB2843" s="23"/>
      <c r="AC2843" s="23"/>
    </row>
    <row r="2844" spans="10:29" x14ac:dyDescent="0.25">
      <c r="J2844" s="19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  <c r="AA2844" s="23"/>
      <c r="AB2844" s="23"/>
      <c r="AC2844" s="23"/>
    </row>
    <row r="2845" spans="10:29" x14ac:dyDescent="0.25">
      <c r="J2845" s="19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  <c r="AA2845" s="23"/>
      <c r="AB2845" s="23"/>
      <c r="AC2845" s="23"/>
    </row>
    <row r="2846" spans="10:29" x14ac:dyDescent="0.25">
      <c r="J2846" s="19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  <c r="AA2846" s="23"/>
      <c r="AB2846" s="23"/>
      <c r="AC2846" s="23"/>
    </row>
    <row r="2847" spans="10:29" x14ac:dyDescent="0.25">
      <c r="J2847" s="19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  <c r="AA2847" s="23"/>
      <c r="AB2847" s="23"/>
      <c r="AC2847" s="23"/>
    </row>
    <row r="2848" spans="10:29" x14ac:dyDescent="0.25">
      <c r="J2848" s="19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  <c r="AA2848" s="23"/>
      <c r="AB2848" s="23"/>
      <c r="AC2848" s="23"/>
    </row>
    <row r="2849" spans="10:29" x14ac:dyDescent="0.25">
      <c r="J2849" s="19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  <c r="AA2849" s="23"/>
      <c r="AB2849" s="23"/>
      <c r="AC2849" s="23"/>
    </row>
    <row r="2850" spans="10:29" x14ac:dyDescent="0.25">
      <c r="J2850" s="19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  <c r="AA2850" s="23"/>
      <c r="AB2850" s="23"/>
      <c r="AC2850" s="23"/>
    </row>
    <row r="2851" spans="10:29" x14ac:dyDescent="0.25">
      <c r="J2851" s="19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  <c r="AA2851" s="23"/>
      <c r="AB2851" s="23"/>
      <c r="AC2851" s="23"/>
    </row>
    <row r="2852" spans="10:29" x14ac:dyDescent="0.25">
      <c r="J2852" s="19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  <c r="AA2852" s="23"/>
      <c r="AB2852" s="23"/>
      <c r="AC2852" s="23"/>
    </row>
    <row r="2853" spans="10:29" x14ac:dyDescent="0.25">
      <c r="J2853" s="19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  <c r="AA2853" s="23"/>
      <c r="AB2853" s="23"/>
      <c r="AC2853" s="23"/>
    </row>
    <row r="2854" spans="10:29" x14ac:dyDescent="0.25">
      <c r="J2854" s="19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  <c r="AA2854" s="23"/>
      <c r="AB2854" s="23"/>
      <c r="AC2854" s="23"/>
    </row>
    <row r="2855" spans="10:29" x14ac:dyDescent="0.25">
      <c r="J2855" s="19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  <c r="AA2855" s="23"/>
      <c r="AB2855" s="23"/>
      <c r="AC2855" s="23"/>
    </row>
    <row r="2856" spans="10:29" x14ac:dyDescent="0.25">
      <c r="J2856" s="19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  <c r="AA2856" s="23"/>
      <c r="AB2856" s="23"/>
      <c r="AC2856" s="23"/>
    </row>
    <row r="2857" spans="10:29" x14ac:dyDescent="0.25">
      <c r="J2857" s="19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  <c r="AA2857" s="23"/>
      <c r="AB2857" s="23"/>
      <c r="AC2857" s="23"/>
    </row>
    <row r="2858" spans="10:29" x14ac:dyDescent="0.25">
      <c r="J2858" s="19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  <c r="AA2858" s="23"/>
      <c r="AB2858" s="23"/>
      <c r="AC2858" s="23"/>
    </row>
    <row r="2859" spans="10:29" x14ac:dyDescent="0.25">
      <c r="J2859" s="19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  <c r="AA2859" s="23"/>
      <c r="AB2859" s="23"/>
      <c r="AC2859" s="23"/>
    </row>
    <row r="2860" spans="10:29" x14ac:dyDescent="0.25">
      <c r="J2860" s="19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  <c r="AA2860" s="23"/>
      <c r="AB2860" s="23"/>
      <c r="AC2860" s="23"/>
    </row>
    <row r="2861" spans="10:29" x14ac:dyDescent="0.25">
      <c r="J2861" s="19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  <c r="AA2861" s="23"/>
      <c r="AB2861" s="23"/>
      <c r="AC2861" s="23"/>
    </row>
    <row r="2862" spans="10:29" x14ac:dyDescent="0.25">
      <c r="J2862" s="19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  <c r="AA2862" s="23"/>
      <c r="AB2862" s="23"/>
      <c r="AC2862" s="23"/>
    </row>
    <row r="2863" spans="10:29" x14ac:dyDescent="0.25">
      <c r="J2863" s="19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  <c r="AA2863" s="23"/>
      <c r="AB2863" s="23"/>
      <c r="AC2863" s="23"/>
    </row>
    <row r="2864" spans="10:29" x14ac:dyDescent="0.25">
      <c r="J2864" s="19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  <c r="AA2864" s="23"/>
      <c r="AB2864" s="23"/>
      <c r="AC2864" s="23"/>
    </row>
    <row r="2865" spans="10:29" x14ac:dyDescent="0.25">
      <c r="J2865" s="19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  <c r="AA2865" s="23"/>
      <c r="AB2865" s="23"/>
      <c r="AC2865" s="23"/>
    </row>
    <row r="2866" spans="10:29" x14ac:dyDescent="0.25">
      <c r="J2866" s="19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  <c r="AA2866" s="23"/>
      <c r="AB2866" s="23"/>
      <c r="AC2866" s="23"/>
    </row>
    <row r="2867" spans="10:29" x14ac:dyDescent="0.25">
      <c r="J2867" s="19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  <c r="AA2867" s="23"/>
      <c r="AB2867" s="23"/>
      <c r="AC2867" s="23"/>
    </row>
    <row r="2868" spans="10:29" x14ac:dyDescent="0.25">
      <c r="J2868" s="19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  <c r="AA2868" s="23"/>
      <c r="AB2868" s="23"/>
      <c r="AC2868" s="23"/>
    </row>
    <row r="2869" spans="10:29" x14ac:dyDescent="0.25">
      <c r="J2869" s="19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  <c r="AA2869" s="23"/>
      <c r="AB2869" s="23"/>
      <c r="AC2869" s="23"/>
    </row>
    <row r="2870" spans="10:29" x14ac:dyDescent="0.25">
      <c r="J2870" s="19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  <c r="AA2870" s="23"/>
      <c r="AB2870" s="23"/>
      <c r="AC2870" s="23"/>
    </row>
    <row r="2871" spans="10:29" x14ac:dyDescent="0.25">
      <c r="J2871" s="19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  <c r="AA2871" s="23"/>
      <c r="AB2871" s="23"/>
      <c r="AC2871" s="23"/>
    </row>
    <row r="2872" spans="10:29" x14ac:dyDescent="0.25">
      <c r="J2872" s="19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  <c r="AA2872" s="23"/>
      <c r="AB2872" s="23"/>
      <c r="AC2872" s="23"/>
    </row>
    <row r="2873" spans="10:29" x14ac:dyDescent="0.25">
      <c r="J2873" s="19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  <c r="AA2873" s="23"/>
      <c r="AB2873" s="23"/>
      <c r="AC2873" s="23"/>
    </row>
    <row r="2874" spans="10:29" x14ac:dyDescent="0.25">
      <c r="J2874" s="19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  <c r="AA2874" s="23"/>
      <c r="AB2874" s="23"/>
      <c r="AC2874" s="23"/>
    </row>
    <row r="2875" spans="10:29" x14ac:dyDescent="0.25">
      <c r="J2875" s="19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  <c r="AA2875" s="23"/>
      <c r="AB2875" s="23"/>
      <c r="AC2875" s="23"/>
    </row>
    <row r="2876" spans="10:29" x14ac:dyDescent="0.25">
      <c r="J2876" s="19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  <c r="AA2876" s="23"/>
      <c r="AB2876" s="23"/>
      <c r="AC2876" s="23"/>
    </row>
    <row r="2877" spans="10:29" x14ac:dyDescent="0.25">
      <c r="J2877" s="19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  <c r="AA2877" s="23"/>
      <c r="AB2877" s="23"/>
      <c r="AC2877" s="23"/>
    </row>
    <row r="2878" spans="10:29" x14ac:dyDescent="0.25">
      <c r="J2878" s="19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  <c r="AA2878" s="23"/>
      <c r="AB2878" s="23"/>
      <c r="AC2878" s="23"/>
    </row>
    <row r="2879" spans="10:29" x14ac:dyDescent="0.25">
      <c r="J2879" s="19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  <c r="AA2879" s="23"/>
      <c r="AB2879" s="23"/>
      <c r="AC2879" s="23"/>
    </row>
    <row r="2880" spans="10:29" x14ac:dyDescent="0.25">
      <c r="J2880" s="19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  <c r="AA2880" s="23"/>
      <c r="AB2880" s="23"/>
      <c r="AC2880" s="23"/>
    </row>
    <row r="2881" spans="10:29" x14ac:dyDescent="0.25">
      <c r="J2881" s="19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  <c r="AA2881" s="23"/>
      <c r="AB2881" s="23"/>
      <c r="AC2881" s="23"/>
    </row>
    <row r="2882" spans="10:29" x14ac:dyDescent="0.25">
      <c r="J2882" s="19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  <c r="AA2882" s="23"/>
      <c r="AB2882" s="23"/>
      <c r="AC2882" s="23"/>
    </row>
    <row r="2883" spans="10:29" x14ac:dyDescent="0.25">
      <c r="J2883" s="19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  <c r="AA2883" s="23"/>
      <c r="AB2883" s="23"/>
      <c r="AC2883" s="23"/>
    </row>
    <row r="2884" spans="10:29" x14ac:dyDescent="0.25">
      <c r="J2884" s="19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  <c r="AA2884" s="23"/>
      <c r="AB2884" s="23"/>
      <c r="AC2884" s="23"/>
    </row>
    <row r="2885" spans="10:29" x14ac:dyDescent="0.25">
      <c r="J2885" s="19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  <c r="AA2885" s="23"/>
      <c r="AB2885" s="23"/>
      <c r="AC2885" s="23"/>
    </row>
    <row r="2886" spans="10:29" x14ac:dyDescent="0.25">
      <c r="J2886" s="19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  <c r="AA2886" s="23"/>
      <c r="AB2886" s="23"/>
      <c r="AC2886" s="23"/>
    </row>
    <row r="2887" spans="10:29" x14ac:dyDescent="0.25">
      <c r="J2887" s="19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  <c r="AA2887" s="23"/>
      <c r="AB2887" s="23"/>
      <c r="AC2887" s="23"/>
    </row>
    <row r="2888" spans="10:29" x14ac:dyDescent="0.25">
      <c r="J2888" s="19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  <c r="AA2888" s="23"/>
      <c r="AB2888" s="23"/>
      <c r="AC2888" s="23"/>
    </row>
    <row r="2889" spans="10:29" x14ac:dyDescent="0.25">
      <c r="J2889" s="19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  <c r="AA2889" s="23"/>
      <c r="AB2889" s="23"/>
      <c r="AC2889" s="23"/>
    </row>
    <row r="2890" spans="10:29" x14ac:dyDescent="0.25">
      <c r="J2890" s="19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  <c r="AA2890" s="23"/>
      <c r="AB2890" s="23"/>
      <c r="AC2890" s="23"/>
    </row>
    <row r="2891" spans="10:29" x14ac:dyDescent="0.25">
      <c r="J2891" s="19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  <c r="AA2891" s="23"/>
      <c r="AB2891" s="23"/>
      <c r="AC2891" s="23"/>
    </row>
    <row r="2892" spans="10:29" x14ac:dyDescent="0.25">
      <c r="J2892" s="19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  <c r="AA2892" s="23"/>
      <c r="AB2892" s="23"/>
      <c r="AC2892" s="23"/>
    </row>
    <row r="2893" spans="10:29" x14ac:dyDescent="0.25">
      <c r="J2893" s="19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  <c r="AA2893" s="23"/>
      <c r="AB2893" s="23"/>
      <c r="AC2893" s="23"/>
    </row>
    <row r="2894" spans="10:29" x14ac:dyDescent="0.25">
      <c r="J2894" s="19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  <c r="AA2894" s="23"/>
      <c r="AB2894" s="23"/>
      <c r="AC2894" s="23"/>
    </row>
    <row r="2895" spans="10:29" x14ac:dyDescent="0.25">
      <c r="J2895" s="19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  <c r="AA2895" s="23"/>
      <c r="AB2895" s="23"/>
      <c r="AC2895" s="23"/>
    </row>
    <row r="2896" spans="10:29" x14ac:dyDescent="0.25">
      <c r="J2896" s="19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  <c r="AA2896" s="23"/>
      <c r="AB2896" s="23"/>
      <c r="AC2896" s="23"/>
    </row>
    <row r="2897" spans="10:29" x14ac:dyDescent="0.25">
      <c r="J2897" s="19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  <c r="AA2897" s="23"/>
      <c r="AB2897" s="23"/>
      <c r="AC2897" s="23"/>
    </row>
    <row r="2898" spans="10:29" x14ac:dyDescent="0.25">
      <c r="J2898" s="19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  <c r="AA2898" s="23"/>
      <c r="AB2898" s="23"/>
      <c r="AC2898" s="23"/>
    </row>
    <row r="2899" spans="10:29" x14ac:dyDescent="0.25">
      <c r="J2899" s="19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  <c r="AA2899" s="23"/>
      <c r="AB2899" s="23"/>
      <c r="AC2899" s="23"/>
    </row>
    <row r="2900" spans="10:29" x14ac:dyDescent="0.25">
      <c r="J2900" s="19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  <c r="AA2900" s="23"/>
      <c r="AB2900" s="23"/>
      <c r="AC2900" s="23"/>
    </row>
    <row r="2901" spans="10:29" x14ac:dyDescent="0.25">
      <c r="J2901" s="19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  <c r="AA2901" s="23"/>
      <c r="AB2901" s="23"/>
      <c r="AC2901" s="23"/>
    </row>
    <row r="2902" spans="10:29" x14ac:dyDescent="0.25">
      <c r="J2902" s="19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  <c r="AA2902" s="23"/>
      <c r="AB2902" s="23"/>
      <c r="AC2902" s="23"/>
    </row>
    <row r="2903" spans="10:29" x14ac:dyDescent="0.25">
      <c r="J2903" s="19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  <c r="AA2903" s="23"/>
      <c r="AB2903" s="23"/>
      <c r="AC2903" s="23"/>
    </row>
    <row r="2904" spans="10:29" x14ac:dyDescent="0.25">
      <c r="J2904" s="19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  <c r="AA2904" s="23"/>
      <c r="AB2904" s="23"/>
      <c r="AC2904" s="23"/>
    </row>
    <row r="2905" spans="10:29" x14ac:dyDescent="0.25">
      <c r="J2905" s="19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  <c r="AA2905" s="23"/>
      <c r="AB2905" s="23"/>
      <c r="AC2905" s="23"/>
    </row>
    <row r="2906" spans="10:29" x14ac:dyDescent="0.25">
      <c r="J2906" s="19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  <c r="AA2906" s="23"/>
      <c r="AB2906" s="23"/>
      <c r="AC2906" s="23"/>
    </row>
    <row r="2907" spans="10:29" x14ac:dyDescent="0.25">
      <c r="J2907" s="19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  <c r="AA2907" s="23"/>
      <c r="AB2907" s="23"/>
      <c r="AC2907" s="23"/>
    </row>
    <row r="2908" spans="10:29" x14ac:dyDescent="0.25">
      <c r="J2908" s="19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  <c r="AA2908" s="23"/>
      <c r="AB2908" s="23"/>
      <c r="AC2908" s="23"/>
    </row>
    <row r="2909" spans="10:29" x14ac:dyDescent="0.25">
      <c r="J2909" s="19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  <c r="AA2909" s="23"/>
      <c r="AB2909" s="23"/>
      <c r="AC2909" s="23"/>
    </row>
    <row r="2910" spans="10:29" x14ac:dyDescent="0.25">
      <c r="J2910" s="19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  <c r="AA2910" s="23"/>
      <c r="AB2910" s="23"/>
      <c r="AC2910" s="23"/>
    </row>
    <row r="2911" spans="10:29" x14ac:dyDescent="0.25">
      <c r="J2911" s="19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  <c r="AA2911" s="23"/>
      <c r="AB2911" s="23"/>
      <c r="AC2911" s="23"/>
    </row>
    <row r="2912" spans="10:29" x14ac:dyDescent="0.25">
      <c r="J2912" s="19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  <c r="AA2912" s="23"/>
      <c r="AB2912" s="23"/>
      <c r="AC2912" s="23"/>
    </row>
    <row r="2913" spans="10:29" x14ac:dyDescent="0.25">
      <c r="J2913" s="19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  <c r="AA2913" s="23"/>
      <c r="AB2913" s="23"/>
      <c r="AC2913" s="23"/>
    </row>
    <row r="2914" spans="10:29" x14ac:dyDescent="0.25">
      <c r="J2914" s="19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  <c r="AA2914" s="23"/>
      <c r="AB2914" s="23"/>
      <c r="AC2914" s="23"/>
    </row>
    <row r="2915" spans="10:29" x14ac:dyDescent="0.25">
      <c r="J2915" s="19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  <c r="AA2915" s="23"/>
      <c r="AB2915" s="23"/>
      <c r="AC2915" s="23"/>
    </row>
    <row r="2916" spans="10:29" x14ac:dyDescent="0.25">
      <c r="J2916" s="19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  <c r="AA2916" s="23"/>
      <c r="AB2916" s="23"/>
      <c r="AC2916" s="23"/>
    </row>
    <row r="2917" spans="10:29" x14ac:dyDescent="0.25">
      <c r="J2917" s="19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  <c r="AA2917" s="23"/>
      <c r="AB2917" s="23"/>
      <c r="AC2917" s="23"/>
    </row>
    <row r="2918" spans="10:29" x14ac:dyDescent="0.25">
      <c r="J2918" s="19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  <c r="AA2918" s="23"/>
      <c r="AB2918" s="23"/>
      <c r="AC2918" s="23"/>
    </row>
    <row r="2919" spans="10:29" x14ac:dyDescent="0.25">
      <c r="J2919" s="19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  <c r="AA2919" s="23"/>
      <c r="AB2919" s="23"/>
      <c r="AC2919" s="23"/>
    </row>
    <row r="2920" spans="10:29" x14ac:dyDescent="0.25">
      <c r="J2920" s="19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  <c r="AA2920" s="23"/>
      <c r="AB2920" s="23"/>
      <c r="AC2920" s="23"/>
    </row>
    <row r="2921" spans="10:29" x14ac:dyDescent="0.25">
      <c r="J2921" s="19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  <c r="AA2921" s="23"/>
      <c r="AB2921" s="23"/>
      <c r="AC2921" s="23"/>
    </row>
    <row r="2922" spans="10:29" x14ac:dyDescent="0.25">
      <c r="J2922" s="19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  <c r="AA2922" s="23"/>
      <c r="AB2922" s="23"/>
      <c r="AC2922" s="23"/>
    </row>
    <row r="2923" spans="10:29" x14ac:dyDescent="0.25">
      <c r="J2923" s="19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  <c r="AA2923" s="23"/>
      <c r="AB2923" s="23"/>
      <c r="AC2923" s="23"/>
    </row>
    <row r="2924" spans="10:29" x14ac:dyDescent="0.25">
      <c r="J2924" s="19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  <c r="AA2924" s="23"/>
      <c r="AB2924" s="23"/>
      <c r="AC2924" s="23"/>
    </row>
    <row r="2925" spans="10:29" x14ac:dyDescent="0.25">
      <c r="J2925" s="19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  <c r="AA2925" s="23"/>
      <c r="AB2925" s="23"/>
      <c r="AC2925" s="23"/>
    </row>
    <row r="2926" spans="10:29" x14ac:dyDescent="0.25">
      <c r="J2926" s="19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  <c r="AA2926" s="23"/>
      <c r="AB2926" s="23"/>
      <c r="AC2926" s="23"/>
    </row>
    <row r="2927" spans="10:29" x14ac:dyDescent="0.25">
      <c r="J2927" s="19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  <c r="AA2927" s="23"/>
      <c r="AB2927" s="23"/>
      <c r="AC2927" s="23"/>
    </row>
    <row r="2928" spans="10:29" x14ac:dyDescent="0.25">
      <c r="J2928" s="19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  <c r="AA2928" s="23"/>
      <c r="AB2928" s="23"/>
      <c r="AC2928" s="23"/>
    </row>
    <row r="2929" spans="10:29" x14ac:dyDescent="0.25">
      <c r="J2929" s="19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  <c r="AA2929" s="23"/>
      <c r="AB2929" s="23"/>
      <c r="AC2929" s="23"/>
    </row>
    <row r="2930" spans="10:29" x14ac:dyDescent="0.25">
      <c r="J2930" s="19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  <c r="AA2930" s="23"/>
      <c r="AB2930" s="23"/>
      <c r="AC2930" s="23"/>
    </row>
    <row r="2931" spans="10:29" x14ac:dyDescent="0.25">
      <c r="J2931" s="19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  <c r="AA2931" s="23"/>
      <c r="AB2931" s="23"/>
      <c r="AC2931" s="23"/>
    </row>
    <row r="2932" spans="10:29" x14ac:dyDescent="0.25">
      <c r="J2932" s="19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  <c r="AA2932" s="23"/>
      <c r="AB2932" s="23"/>
      <c r="AC2932" s="23"/>
    </row>
    <row r="2933" spans="10:29" x14ac:dyDescent="0.25">
      <c r="J2933" s="19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  <c r="AA2933" s="23"/>
      <c r="AB2933" s="23"/>
      <c r="AC2933" s="23"/>
    </row>
    <row r="2934" spans="10:29" x14ac:dyDescent="0.25">
      <c r="J2934" s="19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  <c r="AA2934" s="23"/>
      <c r="AB2934" s="23"/>
      <c r="AC2934" s="23"/>
    </row>
    <row r="2935" spans="10:29" x14ac:dyDescent="0.25">
      <c r="J2935" s="19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  <c r="AA2935" s="23"/>
      <c r="AB2935" s="23"/>
      <c r="AC2935" s="23"/>
    </row>
    <row r="2936" spans="10:29" x14ac:dyDescent="0.25">
      <c r="J2936" s="19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  <c r="AA2936" s="23"/>
      <c r="AB2936" s="23"/>
      <c r="AC2936" s="23"/>
    </row>
    <row r="2937" spans="10:29" x14ac:dyDescent="0.25">
      <c r="J2937" s="19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  <c r="AA2937" s="23"/>
      <c r="AB2937" s="23"/>
      <c r="AC2937" s="23"/>
    </row>
    <row r="2938" spans="10:29" x14ac:dyDescent="0.25">
      <c r="J2938" s="19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  <c r="AA2938" s="23"/>
      <c r="AB2938" s="23"/>
      <c r="AC2938" s="23"/>
    </row>
    <row r="2939" spans="10:29" x14ac:dyDescent="0.25">
      <c r="J2939" s="19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  <c r="AA2939" s="23"/>
      <c r="AB2939" s="23"/>
      <c r="AC2939" s="23"/>
    </row>
    <row r="2940" spans="10:29" x14ac:dyDescent="0.25">
      <c r="J2940" s="19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  <c r="AA2940" s="23"/>
      <c r="AB2940" s="23"/>
      <c r="AC2940" s="23"/>
    </row>
    <row r="2941" spans="10:29" x14ac:dyDescent="0.25">
      <c r="J2941" s="19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  <c r="AA2941" s="23"/>
      <c r="AB2941" s="23"/>
      <c r="AC2941" s="23"/>
    </row>
    <row r="2942" spans="10:29" x14ac:dyDescent="0.25">
      <c r="J2942" s="19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  <c r="AA2942" s="23"/>
      <c r="AB2942" s="23"/>
      <c r="AC2942" s="23"/>
    </row>
    <row r="2943" spans="10:29" x14ac:dyDescent="0.25">
      <c r="J2943" s="19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  <c r="AA2943" s="23"/>
      <c r="AB2943" s="23"/>
      <c r="AC2943" s="23"/>
    </row>
    <row r="2944" spans="10:29" x14ac:dyDescent="0.25">
      <c r="J2944" s="19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  <c r="AA2944" s="23"/>
      <c r="AB2944" s="23"/>
      <c r="AC2944" s="23"/>
    </row>
    <row r="2945" spans="10:29" x14ac:dyDescent="0.25">
      <c r="J2945" s="19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  <c r="AA2945" s="23"/>
      <c r="AB2945" s="23"/>
      <c r="AC2945" s="23"/>
    </row>
    <row r="2946" spans="10:29" x14ac:dyDescent="0.25">
      <c r="J2946" s="19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  <c r="AA2946" s="23"/>
      <c r="AB2946" s="23"/>
      <c r="AC2946" s="23"/>
    </row>
    <row r="2947" spans="10:29" x14ac:dyDescent="0.25">
      <c r="J2947" s="19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  <c r="AA2947" s="23"/>
      <c r="AB2947" s="23"/>
      <c r="AC2947" s="23"/>
    </row>
    <row r="2948" spans="10:29" x14ac:dyDescent="0.25">
      <c r="J2948" s="19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  <c r="AA2948" s="23"/>
      <c r="AB2948" s="23"/>
      <c r="AC2948" s="23"/>
    </row>
    <row r="2949" spans="10:29" x14ac:dyDescent="0.25">
      <c r="J2949" s="19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  <c r="AA2949" s="23"/>
      <c r="AB2949" s="23"/>
      <c r="AC2949" s="23"/>
    </row>
    <row r="2950" spans="10:29" x14ac:dyDescent="0.25">
      <c r="J2950" s="19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  <c r="AA2950" s="23"/>
      <c r="AB2950" s="23"/>
      <c r="AC2950" s="23"/>
    </row>
    <row r="2951" spans="10:29" x14ac:dyDescent="0.25">
      <c r="J2951" s="19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  <c r="AA2951" s="23"/>
      <c r="AB2951" s="23"/>
      <c r="AC2951" s="23"/>
    </row>
    <row r="2952" spans="10:29" x14ac:dyDescent="0.25">
      <c r="J2952" s="19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  <c r="AA2952" s="23"/>
      <c r="AB2952" s="23"/>
      <c r="AC2952" s="23"/>
    </row>
    <row r="2953" spans="10:29" x14ac:dyDescent="0.25">
      <c r="J2953" s="19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  <c r="AA2953" s="23"/>
      <c r="AB2953" s="23"/>
      <c r="AC2953" s="23"/>
    </row>
    <row r="2954" spans="10:29" x14ac:dyDescent="0.25">
      <c r="J2954" s="19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  <c r="AA2954" s="23"/>
      <c r="AB2954" s="23"/>
      <c r="AC2954" s="23"/>
    </row>
    <row r="2955" spans="10:29" x14ac:dyDescent="0.25">
      <c r="J2955" s="19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  <c r="AA2955" s="23"/>
      <c r="AB2955" s="23"/>
      <c r="AC2955" s="23"/>
    </row>
    <row r="2956" spans="10:29" x14ac:dyDescent="0.25">
      <c r="J2956" s="19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  <c r="AA2956" s="23"/>
      <c r="AB2956" s="23"/>
      <c r="AC2956" s="23"/>
    </row>
    <row r="2957" spans="10:29" x14ac:dyDescent="0.25">
      <c r="J2957" s="19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  <c r="AA2957" s="23"/>
      <c r="AB2957" s="23"/>
      <c r="AC2957" s="23"/>
    </row>
    <row r="2958" spans="10:29" x14ac:dyDescent="0.25">
      <c r="J2958" s="19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  <c r="AA2958" s="23"/>
      <c r="AB2958" s="23"/>
      <c r="AC2958" s="23"/>
    </row>
    <row r="2959" spans="10:29" x14ac:dyDescent="0.25">
      <c r="J2959" s="19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  <c r="AA2959" s="23"/>
      <c r="AB2959" s="23"/>
      <c r="AC2959" s="23"/>
    </row>
    <row r="2960" spans="10:29" x14ac:dyDescent="0.25">
      <c r="J2960" s="19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  <c r="AA2960" s="23"/>
      <c r="AB2960" s="23"/>
      <c r="AC2960" s="23"/>
    </row>
    <row r="2961" spans="10:29" x14ac:dyDescent="0.25">
      <c r="J2961" s="19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  <c r="AA2961" s="23"/>
      <c r="AB2961" s="23"/>
      <c r="AC2961" s="23"/>
    </row>
    <row r="2962" spans="10:29" x14ac:dyDescent="0.25">
      <c r="J2962" s="19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  <c r="AA2962" s="23"/>
      <c r="AB2962" s="23"/>
      <c r="AC2962" s="23"/>
    </row>
    <row r="2963" spans="10:29" x14ac:dyDescent="0.25">
      <c r="J2963" s="19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  <c r="AA2963" s="23"/>
      <c r="AB2963" s="23"/>
      <c r="AC2963" s="23"/>
    </row>
    <row r="2964" spans="10:29" x14ac:dyDescent="0.25">
      <c r="J2964" s="19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  <c r="AA2964" s="23"/>
      <c r="AB2964" s="23"/>
      <c r="AC2964" s="23"/>
    </row>
    <row r="2965" spans="10:29" x14ac:dyDescent="0.25">
      <c r="J2965" s="19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  <c r="AA2965" s="23"/>
      <c r="AB2965" s="23"/>
      <c r="AC2965" s="23"/>
    </row>
    <row r="2966" spans="10:29" x14ac:dyDescent="0.25">
      <c r="J2966" s="19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  <c r="AA2966" s="23"/>
      <c r="AB2966" s="23"/>
      <c r="AC2966" s="23"/>
    </row>
    <row r="2967" spans="10:29" x14ac:dyDescent="0.25">
      <c r="J2967" s="19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  <c r="AA2967" s="23"/>
      <c r="AB2967" s="23"/>
      <c r="AC2967" s="23"/>
    </row>
    <row r="2968" spans="10:29" x14ac:dyDescent="0.25">
      <c r="J2968" s="19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  <c r="AA2968" s="23"/>
      <c r="AB2968" s="23"/>
      <c r="AC2968" s="23"/>
    </row>
    <row r="2969" spans="10:29" x14ac:dyDescent="0.25">
      <c r="J2969" s="19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  <c r="AA2969" s="23"/>
      <c r="AB2969" s="23"/>
      <c r="AC2969" s="23"/>
    </row>
    <row r="2970" spans="10:29" x14ac:dyDescent="0.25">
      <c r="J2970" s="19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  <c r="AA2970" s="23"/>
      <c r="AB2970" s="23"/>
      <c r="AC2970" s="23"/>
    </row>
    <row r="2971" spans="10:29" x14ac:dyDescent="0.25">
      <c r="J2971" s="19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  <c r="AA2971" s="23"/>
      <c r="AB2971" s="23"/>
      <c r="AC2971" s="23"/>
    </row>
    <row r="2972" spans="10:29" x14ac:dyDescent="0.25">
      <c r="J2972" s="19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  <c r="AA2972" s="23"/>
      <c r="AB2972" s="23"/>
      <c r="AC2972" s="23"/>
    </row>
    <row r="2973" spans="10:29" x14ac:dyDescent="0.25">
      <c r="J2973" s="19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  <c r="AA2973" s="23"/>
      <c r="AB2973" s="23"/>
      <c r="AC2973" s="23"/>
    </row>
    <row r="2974" spans="10:29" x14ac:dyDescent="0.25">
      <c r="J2974" s="19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  <c r="AA2974" s="23"/>
      <c r="AB2974" s="23"/>
      <c r="AC2974" s="23"/>
    </row>
    <row r="2975" spans="10:29" x14ac:dyDescent="0.25">
      <c r="J2975" s="19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  <c r="AA2975" s="23"/>
      <c r="AB2975" s="23"/>
      <c r="AC2975" s="23"/>
    </row>
    <row r="2976" spans="10:29" x14ac:dyDescent="0.25">
      <c r="J2976" s="19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  <c r="AA2976" s="23"/>
      <c r="AB2976" s="23"/>
      <c r="AC2976" s="23"/>
    </row>
    <row r="2977" spans="10:29" x14ac:dyDescent="0.25">
      <c r="J2977" s="19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  <c r="AA2977" s="23"/>
      <c r="AB2977" s="23"/>
      <c r="AC2977" s="23"/>
    </row>
    <row r="2978" spans="10:29" x14ac:dyDescent="0.25">
      <c r="J2978" s="19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  <c r="AA2978" s="23"/>
      <c r="AB2978" s="23"/>
      <c r="AC2978" s="23"/>
    </row>
    <row r="2979" spans="10:29" x14ac:dyDescent="0.25">
      <c r="J2979" s="19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  <c r="AA2979" s="23"/>
      <c r="AB2979" s="23"/>
      <c r="AC2979" s="23"/>
    </row>
    <row r="2980" spans="10:29" x14ac:dyDescent="0.25">
      <c r="J2980" s="19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  <c r="AA2980" s="23"/>
      <c r="AB2980" s="23"/>
      <c r="AC2980" s="23"/>
    </row>
    <row r="2981" spans="10:29" x14ac:dyDescent="0.25">
      <c r="J2981" s="19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  <c r="AA2981" s="23"/>
      <c r="AB2981" s="23"/>
      <c r="AC2981" s="23"/>
    </row>
    <row r="2982" spans="10:29" x14ac:dyDescent="0.25">
      <c r="J2982" s="19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  <c r="AA2982" s="23"/>
      <c r="AB2982" s="23"/>
      <c r="AC2982" s="23"/>
    </row>
    <row r="2983" spans="10:29" x14ac:dyDescent="0.25">
      <c r="J2983" s="19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  <c r="AA2983" s="23"/>
      <c r="AB2983" s="23"/>
      <c r="AC2983" s="23"/>
    </row>
    <row r="2984" spans="10:29" x14ac:dyDescent="0.25">
      <c r="J2984" s="19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  <c r="AA2984" s="23"/>
      <c r="AB2984" s="23"/>
      <c r="AC2984" s="23"/>
    </row>
    <row r="2985" spans="10:29" x14ac:dyDescent="0.25">
      <c r="J2985" s="19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  <c r="AA2985" s="23"/>
      <c r="AB2985" s="23"/>
      <c r="AC2985" s="23"/>
    </row>
    <row r="2986" spans="10:29" x14ac:dyDescent="0.25">
      <c r="J2986" s="19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  <c r="AA2986" s="23"/>
      <c r="AB2986" s="23"/>
      <c r="AC2986" s="23"/>
    </row>
    <row r="2987" spans="10:29" x14ac:dyDescent="0.25">
      <c r="J2987" s="19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  <c r="AA2987" s="23"/>
      <c r="AB2987" s="23"/>
      <c r="AC2987" s="23"/>
    </row>
    <row r="2988" spans="10:29" x14ac:dyDescent="0.25">
      <c r="J2988" s="19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  <c r="AA2988" s="23"/>
      <c r="AB2988" s="23"/>
      <c r="AC2988" s="23"/>
    </row>
    <row r="2989" spans="10:29" x14ac:dyDescent="0.25">
      <c r="J2989" s="19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  <c r="AA2989" s="23"/>
      <c r="AB2989" s="23"/>
      <c r="AC2989" s="23"/>
    </row>
    <row r="2990" spans="10:29" x14ac:dyDescent="0.25">
      <c r="J2990" s="19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  <c r="AA2990" s="23"/>
      <c r="AB2990" s="23"/>
      <c r="AC2990" s="23"/>
    </row>
    <row r="2991" spans="10:29" x14ac:dyDescent="0.25">
      <c r="J2991" s="19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  <c r="AA2991" s="23"/>
      <c r="AB2991" s="23"/>
      <c r="AC2991" s="23"/>
    </row>
    <row r="2992" spans="10:29" x14ac:dyDescent="0.25">
      <c r="J2992" s="19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  <c r="AA2992" s="23"/>
      <c r="AB2992" s="23"/>
      <c r="AC2992" s="23"/>
    </row>
    <row r="2993" spans="10:29" x14ac:dyDescent="0.25">
      <c r="J2993" s="19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  <c r="AA2993" s="23"/>
      <c r="AB2993" s="23"/>
      <c r="AC2993" s="23"/>
    </row>
    <row r="2994" spans="10:29" x14ac:dyDescent="0.25">
      <c r="J2994" s="19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  <c r="AA2994" s="23"/>
      <c r="AB2994" s="23"/>
      <c r="AC2994" s="23"/>
    </row>
    <row r="2995" spans="10:29" x14ac:dyDescent="0.25">
      <c r="J2995" s="19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  <c r="AA2995" s="23"/>
      <c r="AB2995" s="23"/>
      <c r="AC2995" s="23"/>
    </row>
    <row r="2996" spans="10:29" x14ac:dyDescent="0.25">
      <c r="J2996" s="19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  <c r="AA2996" s="23"/>
      <c r="AB2996" s="23"/>
      <c r="AC2996" s="23"/>
    </row>
    <row r="2997" spans="10:29" x14ac:dyDescent="0.25">
      <c r="J2997" s="19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  <c r="AA2997" s="23"/>
      <c r="AB2997" s="23"/>
      <c r="AC2997" s="23"/>
    </row>
    <row r="2998" spans="10:29" x14ac:dyDescent="0.25">
      <c r="J2998" s="19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  <c r="AA2998" s="23"/>
      <c r="AB2998" s="23"/>
      <c r="AC2998" s="23"/>
    </row>
    <row r="2999" spans="10:29" x14ac:dyDescent="0.25">
      <c r="J2999" s="19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  <c r="AA2999" s="23"/>
      <c r="AB2999" s="23"/>
      <c r="AC2999" s="23"/>
    </row>
    <row r="3000" spans="10:29" x14ac:dyDescent="0.25">
      <c r="J3000" s="19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  <c r="AA3000" s="23"/>
      <c r="AB3000" s="23"/>
      <c r="AC3000" s="23"/>
    </row>
    <row r="3001" spans="10:29" x14ac:dyDescent="0.25">
      <c r="J3001" s="19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  <c r="AA3001" s="23"/>
      <c r="AB3001" s="23"/>
      <c r="AC3001" s="23"/>
    </row>
    <row r="3002" spans="10:29" x14ac:dyDescent="0.25">
      <c r="J3002" s="19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  <c r="AA3002" s="23"/>
      <c r="AB3002" s="23"/>
      <c r="AC3002" s="23"/>
    </row>
    <row r="3003" spans="10:29" x14ac:dyDescent="0.25">
      <c r="J3003" s="19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  <c r="AA3003" s="23"/>
      <c r="AB3003" s="23"/>
      <c r="AC3003" s="23"/>
    </row>
    <row r="3004" spans="10:29" x14ac:dyDescent="0.25">
      <c r="J3004" s="19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  <c r="AA3004" s="23"/>
      <c r="AB3004" s="23"/>
      <c r="AC3004" s="23"/>
    </row>
    <row r="3005" spans="10:29" x14ac:dyDescent="0.25">
      <c r="J3005" s="19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  <c r="AA3005" s="23"/>
      <c r="AB3005" s="23"/>
      <c r="AC3005" s="23"/>
    </row>
    <row r="3006" spans="10:29" x14ac:dyDescent="0.25">
      <c r="J3006" s="19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  <c r="AA3006" s="23"/>
      <c r="AB3006" s="23"/>
      <c r="AC3006" s="23"/>
    </row>
    <row r="3007" spans="10:29" x14ac:dyDescent="0.25">
      <c r="J3007" s="19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  <c r="AA3007" s="23"/>
      <c r="AB3007" s="23"/>
      <c r="AC3007" s="23"/>
    </row>
    <row r="3008" spans="10:29" x14ac:dyDescent="0.25">
      <c r="J3008" s="19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  <c r="AA3008" s="23"/>
      <c r="AB3008" s="23"/>
      <c r="AC3008" s="23"/>
    </row>
    <row r="3009" spans="10:29" x14ac:dyDescent="0.25">
      <c r="J3009" s="19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  <c r="AA3009" s="23"/>
      <c r="AB3009" s="23"/>
      <c r="AC3009" s="23"/>
    </row>
    <row r="3010" spans="10:29" x14ac:dyDescent="0.25">
      <c r="J3010" s="19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  <c r="AA3010" s="23"/>
      <c r="AB3010" s="23"/>
      <c r="AC3010" s="23"/>
    </row>
    <row r="3011" spans="10:29" x14ac:dyDescent="0.25">
      <c r="J3011" s="19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  <c r="AA3011" s="23"/>
      <c r="AB3011" s="23"/>
      <c r="AC3011" s="23"/>
    </row>
    <row r="3012" spans="10:29" x14ac:dyDescent="0.25">
      <c r="J3012" s="19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  <c r="AA3012" s="23"/>
      <c r="AB3012" s="23"/>
      <c r="AC3012" s="23"/>
    </row>
    <row r="3013" spans="10:29" x14ac:dyDescent="0.25">
      <c r="J3013" s="19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  <c r="AA3013" s="23"/>
      <c r="AB3013" s="23"/>
      <c r="AC3013" s="23"/>
    </row>
    <row r="3014" spans="10:29" x14ac:dyDescent="0.25">
      <c r="J3014" s="19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  <c r="AA3014" s="23"/>
      <c r="AB3014" s="23"/>
      <c r="AC3014" s="23"/>
    </row>
    <row r="3015" spans="10:29" x14ac:dyDescent="0.25">
      <c r="J3015" s="19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  <c r="AA3015" s="23"/>
      <c r="AB3015" s="23"/>
      <c r="AC3015" s="23"/>
    </row>
    <row r="3016" spans="10:29" x14ac:dyDescent="0.25">
      <c r="J3016" s="19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  <c r="AA3016" s="23"/>
      <c r="AB3016" s="23"/>
      <c r="AC3016" s="23"/>
    </row>
    <row r="3017" spans="10:29" x14ac:dyDescent="0.25">
      <c r="J3017" s="19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  <c r="AA3017" s="23"/>
      <c r="AB3017" s="23"/>
      <c r="AC3017" s="23"/>
    </row>
    <row r="3018" spans="10:29" x14ac:dyDescent="0.25">
      <c r="J3018" s="19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  <c r="AA3018" s="23"/>
      <c r="AB3018" s="23"/>
      <c r="AC3018" s="23"/>
    </row>
    <row r="3019" spans="10:29" x14ac:dyDescent="0.25">
      <c r="J3019" s="19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  <c r="AA3019" s="23"/>
      <c r="AB3019" s="23"/>
      <c r="AC3019" s="23"/>
    </row>
    <row r="3020" spans="10:29" x14ac:dyDescent="0.25">
      <c r="J3020" s="19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  <c r="AA3020" s="23"/>
      <c r="AB3020" s="23"/>
      <c r="AC3020" s="23"/>
    </row>
    <row r="3021" spans="10:29" x14ac:dyDescent="0.25">
      <c r="J3021" s="19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  <c r="AA3021" s="23"/>
      <c r="AB3021" s="23"/>
      <c r="AC3021" s="23"/>
    </row>
    <row r="3022" spans="10:29" x14ac:dyDescent="0.25">
      <c r="J3022" s="19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  <c r="AA3022" s="23"/>
      <c r="AB3022" s="23"/>
      <c r="AC3022" s="23"/>
    </row>
    <row r="3023" spans="10:29" x14ac:dyDescent="0.25">
      <c r="J3023" s="19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  <c r="AA3023" s="23"/>
      <c r="AB3023" s="23"/>
      <c r="AC3023" s="23"/>
    </row>
    <row r="3024" spans="10:29" x14ac:dyDescent="0.25">
      <c r="J3024" s="19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  <c r="AA3024" s="23"/>
      <c r="AB3024" s="23"/>
      <c r="AC3024" s="23"/>
    </row>
    <row r="3025" spans="10:29" x14ac:dyDescent="0.25">
      <c r="J3025" s="19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  <c r="AA3025" s="23"/>
      <c r="AB3025" s="23"/>
      <c r="AC3025" s="23"/>
    </row>
    <row r="3026" spans="10:29" x14ac:dyDescent="0.25">
      <c r="J3026" s="19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  <c r="AA3026" s="23"/>
      <c r="AB3026" s="23"/>
      <c r="AC3026" s="23"/>
    </row>
    <row r="3027" spans="10:29" x14ac:dyDescent="0.25">
      <c r="J3027" s="19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  <c r="AA3027" s="23"/>
      <c r="AB3027" s="23"/>
      <c r="AC3027" s="23"/>
    </row>
    <row r="3028" spans="10:29" x14ac:dyDescent="0.25">
      <c r="J3028" s="19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  <c r="AA3028" s="23"/>
      <c r="AB3028" s="23"/>
      <c r="AC3028" s="23"/>
    </row>
    <row r="3029" spans="10:29" x14ac:dyDescent="0.25">
      <c r="J3029" s="19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  <c r="AA3029" s="23"/>
      <c r="AB3029" s="23"/>
      <c r="AC3029" s="23"/>
    </row>
    <row r="3030" spans="10:29" x14ac:dyDescent="0.25">
      <c r="J3030" s="19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  <c r="AA3030" s="23"/>
      <c r="AB3030" s="23"/>
      <c r="AC3030" s="23"/>
    </row>
    <row r="3031" spans="10:29" x14ac:dyDescent="0.25">
      <c r="J3031" s="19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  <c r="AA3031" s="23"/>
      <c r="AB3031" s="23"/>
      <c r="AC3031" s="23"/>
    </row>
    <row r="3032" spans="10:29" x14ac:dyDescent="0.25">
      <c r="J3032" s="19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  <c r="AA3032" s="23"/>
      <c r="AB3032" s="23"/>
      <c r="AC3032" s="23"/>
    </row>
    <row r="3033" spans="10:29" x14ac:dyDescent="0.25">
      <c r="J3033" s="19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  <c r="AA3033" s="23"/>
      <c r="AB3033" s="23"/>
      <c r="AC3033" s="23"/>
    </row>
    <row r="3034" spans="10:29" x14ac:dyDescent="0.25">
      <c r="J3034" s="19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  <c r="AA3034" s="23"/>
      <c r="AB3034" s="23"/>
      <c r="AC3034" s="23"/>
    </row>
    <row r="3035" spans="10:29" x14ac:dyDescent="0.25">
      <c r="J3035" s="19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  <c r="AA3035" s="23"/>
      <c r="AB3035" s="23"/>
      <c r="AC3035" s="23"/>
    </row>
    <row r="3036" spans="10:29" x14ac:dyDescent="0.25">
      <c r="J3036" s="19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  <c r="AA3036" s="23"/>
      <c r="AB3036" s="23"/>
      <c r="AC3036" s="23"/>
    </row>
    <row r="3037" spans="10:29" x14ac:dyDescent="0.25">
      <c r="J3037" s="19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  <c r="AA3037" s="23"/>
      <c r="AB3037" s="23"/>
      <c r="AC3037" s="23"/>
    </row>
    <row r="3038" spans="10:29" x14ac:dyDescent="0.25">
      <c r="J3038" s="19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  <c r="AA3038" s="23"/>
      <c r="AB3038" s="23"/>
      <c r="AC3038" s="23"/>
    </row>
    <row r="3039" spans="10:29" x14ac:dyDescent="0.25">
      <c r="J3039" s="19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  <c r="AA3039" s="23"/>
      <c r="AB3039" s="23"/>
      <c r="AC3039" s="23"/>
    </row>
    <row r="3040" spans="10:29" x14ac:dyDescent="0.25">
      <c r="J3040" s="19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  <c r="AA3040" s="23"/>
      <c r="AB3040" s="23"/>
      <c r="AC3040" s="23"/>
    </row>
    <row r="3041" spans="10:29" x14ac:dyDescent="0.25">
      <c r="J3041" s="19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  <c r="AA3041" s="23"/>
      <c r="AB3041" s="23"/>
      <c r="AC3041" s="23"/>
    </row>
    <row r="3042" spans="10:29" x14ac:dyDescent="0.25">
      <c r="J3042" s="19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  <c r="AA3042" s="23"/>
      <c r="AB3042" s="23"/>
      <c r="AC3042" s="23"/>
    </row>
    <row r="3043" spans="10:29" x14ac:dyDescent="0.25">
      <c r="J3043" s="19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  <c r="AA3043" s="23"/>
      <c r="AB3043" s="23"/>
      <c r="AC3043" s="23"/>
    </row>
    <row r="3044" spans="10:29" x14ac:dyDescent="0.25">
      <c r="J3044" s="19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  <c r="AA3044" s="23"/>
      <c r="AB3044" s="23"/>
      <c r="AC3044" s="23"/>
    </row>
    <row r="3045" spans="10:29" x14ac:dyDescent="0.25">
      <c r="J3045" s="19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  <c r="AA3045" s="23"/>
      <c r="AB3045" s="23"/>
      <c r="AC3045" s="23"/>
    </row>
    <row r="3046" spans="10:29" x14ac:dyDescent="0.25">
      <c r="J3046" s="19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  <c r="AA3046" s="23"/>
      <c r="AB3046" s="23"/>
      <c r="AC3046" s="23"/>
    </row>
    <row r="3047" spans="10:29" x14ac:dyDescent="0.25">
      <c r="J3047" s="19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  <c r="AA3047" s="23"/>
      <c r="AB3047" s="23"/>
      <c r="AC3047" s="23"/>
    </row>
    <row r="3048" spans="10:29" x14ac:dyDescent="0.25">
      <c r="J3048" s="19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  <c r="AA3048" s="23"/>
      <c r="AB3048" s="23"/>
      <c r="AC3048" s="23"/>
    </row>
    <row r="3049" spans="10:29" x14ac:dyDescent="0.25">
      <c r="J3049" s="19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  <c r="AA3049" s="23"/>
      <c r="AB3049" s="23"/>
      <c r="AC3049" s="23"/>
    </row>
    <row r="3050" spans="10:29" x14ac:dyDescent="0.25">
      <c r="J3050" s="19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  <c r="AA3050" s="23"/>
      <c r="AB3050" s="23"/>
      <c r="AC3050" s="23"/>
    </row>
    <row r="3051" spans="10:29" x14ac:dyDescent="0.25">
      <c r="J3051" s="19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  <c r="AA3051" s="23"/>
      <c r="AB3051" s="23"/>
      <c r="AC3051" s="23"/>
    </row>
    <row r="3052" spans="10:29" x14ac:dyDescent="0.25">
      <c r="J3052" s="19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  <c r="AA3052" s="23"/>
      <c r="AB3052" s="23"/>
      <c r="AC3052" s="23"/>
    </row>
    <row r="3053" spans="10:29" x14ac:dyDescent="0.25">
      <c r="J3053" s="19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  <c r="AA3053" s="23"/>
      <c r="AB3053" s="23"/>
      <c r="AC3053" s="23"/>
    </row>
    <row r="3054" spans="10:29" x14ac:dyDescent="0.25">
      <c r="J3054" s="19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  <c r="AA3054" s="23"/>
      <c r="AB3054" s="23"/>
      <c r="AC3054" s="23"/>
    </row>
    <row r="3055" spans="10:29" x14ac:dyDescent="0.25">
      <c r="J3055" s="19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  <c r="AA3055" s="23"/>
      <c r="AB3055" s="23"/>
      <c r="AC3055" s="23"/>
    </row>
    <row r="3056" spans="10:29" x14ac:dyDescent="0.25">
      <c r="J3056" s="19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  <c r="AA3056" s="23"/>
      <c r="AB3056" s="23"/>
      <c r="AC3056" s="23"/>
    </row>
    <row r="3057" spans="10:29" x14ac:dyDescent="0.25">
      <c r="J3057" s="19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  <c r="AA3057" s="23"/>
      <c r="AB3057" s="23"/>
      <c r="AC3057" s="23"/>
    </row>
    <row r="3058" spans="10:29" x14ac:dyDescent="0.25">
      <c r="J3058" s="19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  <c r="AA3058" s="23"/>
      <c r="AB3058" s="23"/>
      <c r="AC3058" s="23"/>
    </row>
    <row r="3059" spans="10:29" x14ac:dyDescent="0.25">
      <c r="J3059" s="19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  <c r="AA3059" s="23"/>
      <c r="AB3059" s="23"/>
      <c r="AC3059" s="23"/>
    </row>
    <row r="3060" spans="10:29" x14ac:dyDescent="0.25">
      <c r="J3060" s="19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  <c r="AA3060" s="23"/>
      <c r="AB3060" s="23"/>
      <c r="AC3060" s="23"/>
    </row>
    <row r="3061" spans="10:29" x14ac:dyDescent="0.25">
      <c r="J3061" s="19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  <c r="AA3061" s="23"/>
      <c r="AB3061" s="23"/>
      <c r="AC3061" s="23"/>
    </row>
    <row r="3062" spans="10:29" x14ac:dyDescent="0.25">
      <c r="J3062" s="19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  <c r="AA3062" s="23"/>
      <c r="AB3062" s="23"/>
      <c r="AC3062" s="23"/>
    </row>
    <row r="3063" spans="10:29" x14ac:dyDescent="0.25">
      <c r="J3063" s="19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  <c r="AA3063" s="23"/>
      <c r="AB3063" s="23"/>
      <c r="AC3063" s="23"/>
    </row>
    <row r="3064" spans="10:29" x14ac:dyDescent="0.25">
      <c r="J3064" s="19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  <c r="AA3064" s="23"/>
      <c r="AB3064" s="23"/>
      <c r="AC3064" s="23"/>
    </row>
    <row r="3065" spans="10:29" x14ac:dyDescent="0.25">
      <c r="J3065" s="19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  <c r="AA3065" s="23"/>
      <c r="AB3065" s="23"/>
      <c r="AC3065" s="23"/>
    </row>
    <row r="3066" spans="10:29" x14ac:dyDescent="0.25">
      <c r="J3066" s="19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  <c r="AA3066" s="23"/>
      <c r="AB3066" s="23"/>
      <c r="AC3066" s="23"/>
    </row>
    <row r="3067" spans="10:29" x14ac:dyDescent="0.25">
      <c r="J3067" s="19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  <c r="AA3067" s="23"/>
      <c r="AB3067" s="23"/>
      <c r="AC3067" s="23"/>
    </row>
    <row r="3068" spans="10:29" x14ac:dyDescent="0.25">
      <c r="J3068" s="19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  <c r="AA3068" s="23"/>
      <c r="AB3068" s="23"/>
      <c r="AC3068" s="23"/>
    </row>
    <row r="3069" spans="10:29" x14ac:dyDescent="0.25">
      <c r="J3069" s="19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  <c r="AA3069" s="23"/>
      <c r="AB3069" s="23"/>
      <c r="AC3069" s="23"/>
    </row>
    <row r="3070" spans="10:29" x14ac:dyDescent="0.25">
      <c r="J3070" s="19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  <c r="AA3070" s="23"/>
      <c r="AB3070" s="23"/>
      <c r="AC3070" s="23"/>
    </row>
    <row r="3071" spans="10:29" x14ac:dyDescent="0.25">
      <c r="J3071" s="19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  <c r="AA3071" s="23"/>
      <c r="AB3071" s="23"/>
      <c r="AC3071" s="23"/>
    </row>
    <row r="3072" spans="10:29" x14ac:dyDescent="0.25">
      <c r="J3072" s="19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  <c r="AA3072" s="23"/>
      <c r="AB3072" s="23"/>
      <c r="AC3072" s="23"/>
    </row>
    <row r="3073" spans="10:29" x14ac:dyDescent="0.25">
      <c r="J3073" s="19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  <c r="AA3073" s="23"/>
      <c r="AB3073" s="23"/>
      <c r="AC3073" s="23"/>
    </row>
    <row r="3074" spans="10:29" x14ac:dyDescent="0.25">
      <c r="J3074" s="19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  <c r="AA3074" s="23"/>
      <c r="AB3074" s="23"/>
      <c r="AC3074" s="23"/>
    </row>
    <row r="3075" spans="10:29" x14ac:dyDescent="0.25">
      <c r="J3075" s="19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  <c r="AA3075" s="23"/>
      <c r="AB3075" s="23"/>
      <c r="AC3075" s="23"/>
    </row>
    <row r="3076" spans="10:29" x14ac:dyDescent="0.25">
      <c r="J3076" s="19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  <c r="AA3076" s="23"/>
      <c r="AB3076" s="23"/>
      <c r="AC3076" s="23"/>
    </row>
    <row r="3077" spans="10:29" x14ac:dyDescent="0.25">
      <c r="J3077" s="19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  <c r="AA3077" s="23"/>
      <c r="AB3077" s="23"/>
      <c r="AC3077" s="23"/>
    </row>
    <row r="3078" spans="10:29" x14ac:dyDescent="0.25">
      <c r="J3078" s="19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  <c r="AA3078" s="23"/>
      <c r="AB3078" s="23"/>
      <c r="AC3078" s="23"/>
    </row>
    <row r="3079" spans="10:29" x14ac:dyDescent="0.25">
      <c r="J3079" s="19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  <c r="AA3079" s="23"/>
      <c r="AB3079" s="23"/>
      <c r="AC3079" s="23"/>
    </row>
    <row r="3080" spans="10:29" x14ac:dyDescent="0.25">
      <c r="J3080" s="19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  <c r="AA3080" s="23"/>
      <c r="AB3080" s="23"/>
      <c r="AC3080" s="23"/>
    </row>
    <row r="3081" spans="10:29" x14ac:dyDescent="0.25">
      <c r="J3081" s="19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  <c r="AA3081" s="23"/>
      <c r="AB3081" s="23"/>
      <c r="AC3081" s="23"/>
    </row>
    <row r="3082" spans="10:29" x14ac:dyDescent="0.25">
      <c r="J3082" s="19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  <c r="AA3082" s="23"/>
      <c r="AB3082" s="23"/>
      <c r="AC3082" s="23"/>
    </row>
    <row r="3083" spans="10:29" x14ac:dyDescent="0.25">
      <c r="J3083" s="19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  <c r="AA3083" s="23"/>
      <c r="AB3083" s="23"/>
      <c r="AC3083" s="23"/>
    </row>
    <row r="3084" spans="10:29" x14ac:dyDescent="0.25">
      <c r="J3084" s="19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  <c r="AA3084" s="23"/>
      <c r="AB3084" s="23"/>
      <c r="AC3084" s="23"/>
    </row>
    <row r="3085" spans="10:29" x14ac:dyDescent="0.25">
      <c r="J3085" s="19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  <c r="AA3085" s="23"/>
      <c r="AB3085" s="23"/>
      <c r="AC3085" s="23"/>
    </row>
    <row r="3086" spans="10:29" x14ac:dyDescent="0.25">
      <c r="J3086" s="19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  <c r="AA3086" s="23"/>
      <c r="AB3086" s="23"/>
      <c r="AC3086" s="23"/>
    </row>
    <row r="3087" spans="10:29" x14ac:dyDescent="0.25">
      <c r="J3087" s="19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  <c r="AA3087" s="23"/>
      <c r="AB3087" s="23"/>
      <c r="AC3087" s="23"/>
    </row>
    <row r="3088" spans="10:29" x14ac:dyDescent="0.25">
      <c r="J3088" s="19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  <c r="AA3088" s="23"/>
      <c r="AB3088" s="23"/>
      <c r="AC3088" s="23"/>
    </row>
    <row r="3089" spans="10:29" x14ac:dyDescent="0.25">
      <c r="J3089" s="19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  <c r="AA3089" s="23"/>
      <c r="AB3089" s="23"/>
      <c r="AC3089" s="23"/>
    </row>
    <row r="3090" spans="10:29" x14ac:dyDescent="0.25">
      <c r="J3090" s="19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  <c r="AA3090" s="23"/>
      <c r="AB3090" s="23"/>
      <c r="AC3090" s="23"/>
    </row>
    <row r="3091" spans="10:29" x14ac:dyDescent="0.25">
      <c r="J3091" s="19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  <c r="AA3091" s="23"/>
      <c r="AB3091" s="23"/>
      <c r="AC3091" s="23"/>
    </row>
    <row r="3092" spans="10:29" x14ac:dyDescent="0.25">
      <c r="J3092" s="19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  <c r="AA3092" s="23"/>
      <c r="AB3092" s="23"/>
      <c r="AC3092" s="23"/>
    </row>
    <row r="3093" spans="10:29" x14ac:dyDescent="0.25">
      <c r="J3093" s="19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  <c r="AA3093" s="23"/>
      <c r="AB3093" s="23"/>
      <c r="AC3093" s="23"/>
    </row>
    <row r="3094" spans="10:29" x14ac:dyDescent="0.25">
      <c r="J3094" s="19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  <c r="AA3094" s="23"/>
      <c r="AB3094" s="23"/>
      <c r="AC3094" s="23"/>
    </row>
    <row r="3095" spans="10:29" x14ac:dyDescent="0.25">
      <c r="J3095" s="19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  <c r="AA3095" s="23"/>
      <c r="AB3095" s="23"/>
      <c r="AC3095" s="23"/>
    </row>
    <row r="3096" spans="10:29" x14ac:dyDescent="0.25">
      <c r="J3096" s="19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  <c r="AA3096" s="23"/>
      <c r="AB3096" s="23"/>
      <c r="AC3096" s="23"/>
    </row>
    <row r="3097" spans="10:29" x14ac:dyDescent="0.25">
      <c r="J3097" s="19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  <c r="AA3097" s="23"/>
      <c r="AB3097" s="23"/>
      <c r="AC3097" s="23"/>
    </row>
    <row r="3098" spans="10:29" x14ac:dyDescent="0.25">
      <c r="J3098" s="19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  <c r="AA3098" s="23"/>
      <c r="AB3098" s="23"/>
      <c r="AC3098" s="23"/>
    </row>
    <row r="3099" spans="10:29" x14ac:dyDescent="0.25">
      <c r="J3099" s="19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  <c r="AA3099" s="23"/>
      <c r="AB3099" s="23"/>
      <c r="AC3099" s="23"/>
    </row>
    <row r="3100" spans="10:29" x14ac:dyDescent="0.25">
      <c r="J3100" s="19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  <c r="AA3100" s="23"/>
      <c r="AB3100" s="23"/>
      <c r="AC3100" s="23"/>
    </row>
    <row r="3101" spans="10:29" x14ac:dyDescent="0.25">
      <c r="J3101" s="19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  <c r="AA3101" s="23"/>
      <c r="AB3101" s="23"/>
      <c r="AC3101" s="23"/>
    </row>
    <row r="3102" spans="10:29" x14ac:dyDescent="0.25">
      <c r="J3102" s="19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  <c r="AA3102" s="23"/>
      <c r="AB3102" s="23"/>
      <c r="AC3102" s="23"/>
    </row>
    <row r="3103" spans="10:29" x14ac:dyDescent="0.25">
      <c r="J3103" s="19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  <c r="AA3103" s="23"/>
      <c r="AB3103" s="23"/>
      <c r="AC3103" s="23"/>
    </row>
    <row r="3104" spans="10:29" x14ac:dyDescent="0.25">
      <c r="J3104" s="19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  <c r="AA3104" s="23"/>
      <c r="AB3104" s="23"/>
      <c r="AC3104" s="23"/>
    </row>
    <row r="3105" spans="10:29" x14ac:dyDescent="0.25">
      <c r="J3105" s="19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  <c r="AA3105" s="23"/>
      <c r="AB3105" s="23"/>
      <c r="AC3105" s="23"/>
    </row>
    <row r="3106" spans="10:29" x14ac:dyDescent="0.25">
      <c r="J3106" s="19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  <c r="AA3106" s="23"/>
      <c r="AB3106" s="23"/>
      <c r="AC3106" s="23"/>
    </row>
    <row r="3107" spans="10:29" x14ac:dyDescent="0.25">
      <c r="J3107" s="19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  <c r="AA3107" s="23"/>
      <c r="AB3107" s="23"/>
      <c r="AC3107" s="23"/>
    </row>
    <row r="3108" spans="10:29" x14ac:dyDescent="0.25">
      <c r="J3108" s="19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  <c r="AA3108" s="23"/>
      <c r="AB3108" s="23"/>
      <c r="AC3108" s="23"/>
    </row>
    <row r="3109" spans="10:29" x14ac:dyDescent="0.25">
      <c r="J3109" s="19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  <c r="AA3109" s="23"/>
      <c r="AB3109" s="23"/>
      <c r="AC3109" s="23"/>
    </row>
    <row r="3110" spans="10:29" x14ac:dyDescent="0.25">
      <c r="J3110" s="19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  <c r="AA3110" s="23"/>
      <c r="AB3110" s="23"/>
      <c r="AC3110" s="23"/>
    </row>
    <row r="3111" spans="10:29" x14ac:dyDescent="0.25">
      <c r="J3111" s="19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  <c r="AA3111" s="23"/>
      <c r="AB3111" s="23"/>
      <c r="AC3111" s="23"/>
    </row>
    <row r="3112" spans="10:29" x14ac:dyDescent="0.25">
      <c r="J3112" s="19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  <c r="AA3112" s="23"/>
      <c r="AB3112" s="23"/>
      <c r="AC3112" s="23"/>
    </row>
    <row r="3113" spans="10:29" x14ac:dyDescent="0.25">
      <c r="J3113" s="19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  <c r="AA3113" s="23"/>
      <c r="AB3113" s="23"/>
      <c r="AC3113" s="23"/>
    </row>
    <row r="3114" spans="10:29" x14ac:dyDescent="0.25">
      <c r="J3114" s="19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  <c r="AA3114" s="23"/>
      <c r="AB3114" s="23"/>
      <c r="AC3114" s="23"/>
    </row>
    <row r="3115" spans="10:29" x14ac:dyDescent="0.25">
      <c r="J3115" s="19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  <c r="AA3115" s="23"/>
      <c r="AB3115" s="23"/>
      <c r="AC3115" s="23"/>
    </row>
    <row r="3116" spans="10:29" x14ac:dyDescent="0.25">
      <c r="J3116" s="19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  <c r="AA3116" s="23"/>
      <c r="AB3116" s="23"/>
      <c r="AC3116" s="23"/>
    </row>
    <row r="3117" spans="10:29" x14ac:dyDescent="0.25">
      <c r="J3117" s="19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  <c r="AA3117" s="23"/>
      <c r="AB3117" s="23"/>
      <c r="AC3117" s="23"/>
    </row>
    <row r="3118" spans="10:29" x14ac:dyDescent="0.25">
      <c r="J3118" s="19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  <c r="AA3118" s="23"/>
      <c r="AB3118" s="23"/>
      <c r="AC3118" s="23"/>
    </row>
    <row r="3119" spans="10:29" x14ac:dyDescent="0.25">
      <c r="J3119" s="19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  <c r="AA3119" s="23"/>
      <c r="AB3119" s="23"/>
      <c r="AC3119" s="23"/>
    </row>
    <row r="3120" spans="10:29" x14ac:dyDescent="0.25">
      <c r="J3120" s="19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  <c r="AA3120" s="23"/>
      <c r="AB3120" s="23"/>
      <c r="AC3120" s="23"/>
    </row>
    <row r="3121" spans="10:29" x14ac:dyDescent="0.25">
      <c r="J3121" s="19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  <c r="AA3121" s="23"/>
      <c r="AB3121" s="23"/>
      <c r="AC3121" s="23"/>
    </row>
    <row r="3122" spans="10:29" x14ac:dyDescent="0.25">
      <c r="J3122" s="19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  <c r="AA3122" s="23"/>
      <c r="AB3122" s="23"/>
      <c r="AC3122" s="23"/>
    </row>
    <row r="3123" spans="10:29" x14ac:dyDescent="0.25">
      <c r="J3123" s="19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  <c r="AA3123" s="23"/>
      <c r="AB3123" s="23"/>
      <c r="AC3123" s="23"/>
    </row>
    <row r="3124" spans="10:29" x14ac:dyDescent="0.25">
      <c r="J3124" s="19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  <c r="AA3124" s="23"/>
      <c r="AB3124" s="23"/>
      <c r="AC3124" s="23"/>
    </row>
    <row r="3125" spans="10:29" x14ac:dyDescent="0.25">
      <c r="J3125" s="19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  <c r="AA3125" s="23"/>
      <c r="AB3125" s="23"/>
      <c r="AC3125" s="23"/>
    </row>
    <row r="3126" spans="10:29" x14ac:dyDescent="0.25">
      <c r="J3126" s="19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  <c r="AA3126" s="23"/>
      <c r="AB3126" s="23"/>
      <c r="AC3126" s="23"/>
    </row>
    <row r="3127" spans="10:29" x14ac:dyDescent="0.25">
      <c r="J3127" s="19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  <c r="AA3127" s="23"/>
      <c r="AB3127" s="23"/>
      <c r="AC3127" s="23"/>
    </row>
    <row r="3128" spans="10:29" x14ac:dyDescent="0.25">
      <c r="J3128" s="19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  <c r="AA3128" s="23"/>
      <c r="AB3128" s="23"/>
      <c r="AC3128" s="23"/>
    </row>
    <row r="3129" spans="10:29" x14ac:dyDescent="0.25">
      <c r="J3129" s="19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  <c r="AA3129" s="23"/>
      <c r="AB3129" s="23"/>
      <c r="AC3129" s="23"/>
    </row>
    <row r="3130" spans="10:29" x14ac:dyDescent="0.25">
      <c r="J3130" s="19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  <c r="AA3130" s="23"/>
      <c r="AB3130" s="23"/>
      <c r="AC3130" s="23"/>
    </row>
    <row r="3131" spans="10:29" x14ac:dyDescent="0.25">
      <c r="J3131" s="19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  <c r="AA3131" s="23"/>
      <c r="AB3131" s="23"/>
      <c r="AC3131" s="23"/>
    </row>
    <row r="3132" spans="10:29" x14ac:dyDescent="0.25">
      <c r="J3132" s="19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  <c r="AA3132" s="23"/>
      <c r="AB3132" s="23"/>
      <c r="AC3132" s="23"/>
    </row>
    <row r="3133" spans="10:29" x14ac:dyDescent="0.25">
      <c r="J3133" s="19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  <c r="AA3133" s="23"/>
      <c r="AB3133" s="23"/>
      <c r="AC3133" s="23"/>
    </row>
    <row r="3134" spans="10:29" x14ac:dyDescent="0.25">
      <c r="J3134" s="19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  <c r="AA3134" s="23"/>
      <c r="AB3134" s="23"/>
      <c r="AC3134" s="23"/>
    </row>
    <row r="3135" spans="10:29" x14ac:dyDescent="0.25">
      <c r="J3135" s="19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  <c r="AA3135" s="23"/>
      <c r="AB3135" s="23"/>
      <c r="AC3135" s="23"/>
    </row>
    <row r="3136" spans="10:29" x14ac:dyDescent="0.25">
      <c r="J3136" s="19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  <c r="AA3136" s="23"/>
      <c r="AB3136" s="23"/>
      <c r="AC3136" s="23"/>
    </row>
    <row r="3137" spans="10:29" x14ac:dyDescent="0.25">
      <c r="J3137" s="19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  <c r="AA3137" s="23"/>
      <c r="AB3137" s="23"/>
      <c r="AC3137" s="23"/>
    </row>
    <row r="3138" spans="10:29" x14ac:dyDescent="0.25">
      <c r="J3138" s="19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  <c r="AA3138" s="23"/>
      <c r="AB3138" s="23"/>
      <c r="AC3138" s="23"/>
    </row>
    <row r="3139" spans="10:29" x14ac:dyDescent="0.25">
      <c r="J3139" s="19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  <c r="AA3139" s="23"/>
      <c r="AB3139" s="23"/>
      <c r="AC3139" s="23"/>
    </row>
    <row r="3140" spans="10:29" x14ac:dyDescent="0.25">
      <c r="J3140" s="19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  <c r="AA3140" s="23"/>
      <c r="AB3140" s="23"/>
      <c r="AC3140" s="23"/>
    </row>
    <row r="3141" spans="10:29" x14ac:dyDescent="0.25">
      <c r="J3141" s="19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  <c r="AA3141" s="23"/>
      <c r="AB3141" s="23"/>
      <c r="AC3141" s="23"/>
    </row>
    <row r="3142" spans="10:29" x14ac:dyDescent="0.25">
      <c r="J3142" s="19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  <c r="AA3142" s="23"/>
      <c r="AB3142" s="23"/>
      <c r="AC3142" s="23"/>
    </row>
    <row r="3143" spans="10:29" x14ac:dyDescent="0.25">
      <c r="J3143" s="19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  <c r="AA3143" s="23"/>
      <c r="AB3143" s="23"/>
      <c r="AC3143" s="23"/>
    </row>
    <row r="3144" spans="10:29" x14ac:dyDescent="0.25">
      <c r="J3144" s="19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  <c r="AA3144" s="23"/>
      <c r="AB3144" s="23"/>
      <c r="AC3144" s="23"/>
    </row>
    <row r="3145" spans="10:29" x14ac:dyDescent="0.25">
      <c r="J3145" s="19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  <c r="AA3145" s="23"/>
      <c r="AB3145" s="23"/>
      <c r="AC3145" s="23"/>
    </row>
    <row r="3146" spans="10:29" x14ac:dyDescent="0.25">
      <c r="J3146" s="19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  <c r="AA3146" s="23"/>
      <c r="AB3146" s="23"/>
      <c r="AC3146" s="23"/>
    </row>
    <row r="3147" spans="10:29" x14ac:dyDescent="0.25">
      <c r="J3147" s="19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  <c r="AA3147" s="23"/>
      <c r="AB3147" s="23"/>
      <c r="AC3147" s="23"/>
    </row>
    <row r="3148" spans="10:29" x14ac:dyDescent="0.25">
      <c r="J3148" s="19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  <c r="AA3148" s="23"/>
      <c r="AB3148" s="23"/>
      <c r="AC3148" s="23"/>
    </row>
    <row r="3149" spans="10:29" x14ac:dyDescent="0.25">
      <c r="J3149" s="19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  <c r="AA3149" s="23"/>
      <c r="AB3149" s="23"/>
      <c r="AC3149" s="23"/>
    </row>
    <row r="3150" spans="10:29" x14ac:dyDescent="0.25">
      <c r="J3150" s="19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  <c r="AA3150" s="23"/>
      <c r="AB3150" s="23"/>
      <c r="AC3150" s="23"/>
    </row>
    <row r="3151" spans="10:29" x14ac:dyDescent="0.25">
      <c r="J3151" s="19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  <c r="AA3151" s="23"/>
      <c r="AB3151" s="23"/>
      <c r="AC3151" s="23"/>
    </row>
    <row r="3152" spans="10:29" x14ac:dyDescent="0.25">
      <c r="J3152" s="19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  <c r="AA3152" s="23"/>
      <c r="AB3152" s="23"/>
      <c r="AC3152" s="23"/>
    </row>
    <row r="3153" spans="10:29" x14ac:dyDescent="0.25">
      <c r="J3153" s="19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  <c r="AA3153" s="23"/>
      <c r="AB3153" s="23"/>
      <c r="AC3153" s="23"/>
    </row>
    <row r="3154" spans="10:29" x14ac:dyDescent="0.25">
      <c r="J3154" s="19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  <c r="AA3154" s="23"/>
      <c r="AB3154" s="23"/>
      <c r="AC3154" s="23"/>
    </row>
    <row r="3155" spans="10:29" x14ac:dyDescent="0.25">
      <c r="J3155" s="19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  <c r="AA3155" s="23"/>
      <c r="AB3155" s="23"/>
      <c r="AC3155" s="23"/>
    </row>
    <row r="3156" spans="10:29" x14ac:dyDescent="0.25">
      <c r="J3156" s="19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  <c r="AA3156" s="23"/>
      <c r="AB3156" s="23"/>
      <c r="AC3156" s="23"/>
    </row>
    <row r="3157" spans="10:29" x14ac:dyDescent="0.25">
      <c r="J3157" s="19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  <c r="AA3157" s="23"/>
      <c r="AB3157" s="23"/>
      <c r="AC3157" s="23"/>
    </row>
    <row r="3158" spans="10:29" x14ac:dyDescent="0.25">
      <c r="J3158" s="19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  <c r="AA3158" s="23"/>
      <c r="AB3158" s="23"/>
      <c r="AC3158" s="23"/>
    </row>
    <row r="3159" spans="10:29" x14ac:dyDescent="0.25">
      <c r="J3159" s="19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  <c r="AA3159" s="23"/>
      <c r="AB3159" s="23"/>
      <c r="AC3159" s="23"/>
    </row>
    <row r="3160" spans="10:29" x14ac:dyDescent="0.25">
      <c r="J3160" s="19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  <c r="AA3160" s="23"/>
      <c r="AB3160" s="23"/>
      <c r="AC3160" s="23"/>
    </row>
    <row r="3161" spans="10:29" x14ac:dyDescent="0.25">
      <c r="J3161" s="19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  <c r="AA3161" s="23"/>
      <c r="AB3161" s="23"/>
      <c r="AC3161" s="23"/>
    </row>
    <row r="3162" spans="10:29" x14ac:dyDescent="0.25">
      <c r="J3162" s="19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  <c r="AA3162" s="23"/>
      <c r="AB3162" s="23"/>
      <c r="AC3162" s="23"/>
    </row>
    <row r="3163" spans="10:29" x14ac:dyDescent="0.25">
      <c r="J3163" s="19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  <c r="AA3163" s="23"/>
      <c r="AB3163" s="23"/>
      <c r="AC3163" s="23"/>
    </row>
    <row r="3164" spans="10:29" x14ac:dyDescent="0.25">
      <c r="J3164" s="19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  <c r="AA3164" s="23"/>
      <c r="AB3164" s="23"/>
      <c r="AC3164" s="23"/>
    </row>
    <row r="3165" spans="10:29" x14ac:dyDescent="0.25">
      <c r="J3165" s="19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  <c r="AA3165" s="23"/>
      <c r="AB3165" s="23"/>
      <c r="AC3165" s="23"/>
    </row>
    <row r="3166" spans="10:29" x14ac:dyDescent="0.25">
      <c r="J3166" s="19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  <c r="AA3166" s="23"/>
      <c r="AB3166" s="23"/>
      <c r="AC3166" s="23"/>
    </row>
    <row r="3167" spans="10:29" x14ac:dyDescent="0.25">
      <c r="J3167" s="19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  <c r="AA3167" s="23"/>
      <c r="AB3167" s="23"/>
      <c r="AC3167" s="23"/>
    </row>
    <row r="3168" spans="10:29" x14ac:dyDescent="0.25">
      <c r="J3168" s="19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  <c r="AA3168" s="23"/>
      <c r="AB3168" s="23"/>
      <c r="AC3168" s="23"/>
    </row>
    <row r="3169" spans="10:29" x14ac:dyDescent="0.25">
      <c r="J3169" s="19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  <c r="AA3169" s="23"/>
      <c r="AB3169" s="23"/>
      <c r="AC3169" s="23"/>
    </row>
    <row r="3170" spans="10:29" x14ac:dyDescent="0.25">
      <c r="J3170" s="19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  <c r="AA3170" s="23"/>
      <c r="AB3170" s="23"/>
      <c r="AC3170" s="23"/>
    </row>
    <row r="3171" spans="10:29" x14ac:dyDescent="0.25">
      <c r="J3171" s="19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  <c r="AA3171" s="23"/>
      <c r="AB3171" s="23"/>
      <c r="AC3171" s="23"/>
    </row>
    <row r="3172" spans="10:29" x14ac:dyDescent="0.25">
      <c r="J3172" s="19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  <c r="AA3172" s="23"/>
      <c r="AB3172" s="23"/>
      <c r="AC3172" s="23"/>
    </row>
    <row r="3173" spans="10:29" x14ac:dyDescent="0.25">
      <c r="J3173" s="19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  <c r="AA3173" s="23"/>
      <c r="AB3173" s="23"/>
      <c r="AC3173" s="23"/>
    </row>
    <row r="3174" spans="10:29" x14ac:dyDescent="0.25">
      <c r="J3174" s="19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  <c r="AA3174" s="23"/>
      <c r="AB3174" s="23"/>
      <c r="AC3174" s="23"/>
    </row>
    <row r="3175" spans="10:29" x14ac:dyDescent="0.25">
      <c r="J3175" s="19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  <c r="AA3175" s="23"/>
      <c r="AB3175" s="23"/>
      <c r="AC3175" s="23"/>
    </row>
    <row r="3176" spans="10:29" x14ac:dyDescent="0.25">
      <c r="J3176" s="19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  <c r="AA3176" s="23"/>
      <c r="AB3176" s="23"/>
      <c r="AC3176" s="23"/>
    </row>
    <row r="3177" spans="10:29" x14ac:dyDescent="0.25">
      <c r="J3177" s="19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  <c r="AA3177" s="23"/>
      <c r="AB3177" s="23"/>
      <c r="AC3177" s="23"/>
    </row>
    <row r="3178" spans="10:29" x14ac:dyDescent="0.25">
      <c r="J3178" s="19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  <c r="AA3178" s="23"/>
      <c r="AB3178" s="23"/>
      <c r="AC3178" s="23"/>
    </row>
    <row r="3179" spans="10:29" x14ac:dyDescent="0.25">
      <c r="J3179" s="19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  <c r="AA3179" s="23"/>
      <c r="AB3179" s="23"/>
      <c r="AC3179" s="23"/>
    </row>
    <row r="3180" spans="10:29" x14ac:dyDescent="0.25">
      <c r="J3180" s="19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  <c r="AA3180" s="23"/>
      <c r="AB3180" s="23"/>
      <c r="AC3180" s="23"/>
    </row>
    <row r="3181" spans="10:29" x14ac:dyDescent="0.25">
      <c r="J3181" s="19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  <c r="AA3181" s="23"/>
      <c r="AB3181" s="23"/>
      <c r="AC3181" s="23"/>
    </row>
    <row r="3182" spans="10:29" x14ac:dyDescent="0.25">
      <c r="J3182" s="19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  <c r="AA3182" s="23"/>
      <c r="AB3182" s="23"/>
      <c r="AC3182" s="23"/>
    </row>
    <row r="3183" spans="10:29" x14ac:dyDescent="0.25">
      <c r="J3183" s="19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  <c r="AA3183" s="23"/>
      <c r="AB3183" s="23"/>
      <c r="AC3183" s="23"/>
    </row>
    <row r="3184" spans="10:29" x14ac:dyDescent="0.25">
      <c r="J3184" s="19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  <c r="AA3184" s="23"/>
      <c r="AB3184" s="23"/>
      <c r="AC3184" s="23"/>
    </row>
    <row r="3185" spans="10:29" x14ac:dyDescent="0.25">
      <c r="J3185" s="19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  <c r="AA3185" s="23"/>
      <c r="AB3185" s="23"/>
      <c r="AC3185" s="23"/>
    </row>
    <row r="3186" spans="10:29" x14ac:dyDescent="0.25">
      <c r="J3186" s="19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  <c r="AA3186" s="23"/>
      <c r="AB3186" s="23"/>
      <c r="AC3186" s="23"/>
    </row>
    <row r="3187" spans="10:29" x14ac:dyDescent="0.25">
      <c r="J3187" s="19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  <c r="AA3187" s="23"/>
      <c r="AB3187" s="23"/>
      <c r="AC3187" s="23"/>
    </row>
    <row r="3188" spans="10:29" x14ac:dyDescent="0.25">
      <c r="J3188" s="19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  <c r="AA3188" s="23"/>
      <c r="AB3188" s="23"/>
      <c r="AC3188" s="23"/>
    </row>
    <row r="3189" spans="10:29" x14ac:dyDescent="0.25">
      <c r="J3189" s="19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  <c r="AA3189" s="23"/>
      <c r="AB3189" s="23"/>
      <c r="AC3189" s="23"/>
    </row>
    <row r="3190" spans="10:29" x14ac:dyDescent="0.25">
      <c r="J3190" s="19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  <c r="AA3190" s="23"/>
      <c r="AB3190" s="23"/>
      <c r="AC3190" s="23"/>
    </row>
    <row r="3191" spans="10:29" x14ac:dyDescent="0.25">
      <c r="J3191" s="19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  <c r="AA3191" s="23"/>
      <c r="AB3191" s="23"/>
      <c r="AC3191" s="23"/>
    </row>
    <row r="3192" spans="10:29" x14ac:dyDescent="0.25">
      <c r="J3192" s="19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  <c r="AA3192" s="23"/>
      <c r="AB3192" s="23"/>
      <c r="AC3192" s="23"/>
    </row>
    <row r="3193" spans="10:29" x14ac:dyDescent="0.25">
      <c r="J3193" s="19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  <c r="AA3193" s="23"/>
      <c r="AB3193" s="23"/>
      <c r="AC3193" s="23"/>
    </row>
    <row r="3194" spans="10:29" x14ac:dyDescent="0.25">
      <c r="J3194" s="19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  <c r="AA3194" s="23"/>
      <c r="AB3194" s="23"/>
      <c r="AC3194" s="23"/>
    </row>
    <row r="3195" spans="10:29" x14ac:dyDescent="0.25">
      <c r="J3195" s="19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  <c r="AA3195" s="23"/>
      <c r="AB3195" s="23"/>
      <c r="AC3195" s="23"/>
    </row>
    <row r="3196" spans="10:29" x14ac:dyDescent="0.25">
      <c r="J3196" s="19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  <c r="AA3196" s="23"/>
      <c r="AB3196" s="23"/>
      <c r="AC3196" s="23"/>
    </row>
    <row r="3197" spans="10:29" x14ac:dyDescent="0.25">
      <c r="J3197" s="19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  <c r="AA3197" s="23"/>
      <c r="AB3197" s="23"/>
      <c r="AC3197" s="23"/>
    </row>
    <row r="3198" spans="10:29" x14ac:dyDescent="0.25">
      <c r="J3198" s="19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  <c r="AA3198" s="23"/>
      <c r="AB3198" s="23"/>
      <c r="AC3198" s="23"/>
    </row>
    <row r="3199" spans="10:29" x14ac:dyDescent="0.25">
      <c r="J3199" s="19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  <c r="AA3199" s="23"/>
      <c r="AB3199" s="23"/>
      <c r="AC3199" s="23"/>
    </row>
    <row r="3200" spans="10:29" x14ac:dyDescent="0.25">
      <c r="J3200" s="19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  <c r="AA3200" s="23"/>
      <c r="AB3200" s="23"/>
      <c r="AC3200" s="23"/>
    </row>
    <row r="3201" spans="10:29" x14ac:dyDescent="0.25">
      <c r="J3201" s="19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  <c r="AA3201" s="23"/>
      <c r="AB3201" s="23"/>
      <c r="AC3201" s="23"/>
    </row>
    <row r="3202" spans="10:29" x14ac:dyDescent="0.25">
      <c r="J3202" s="19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  <c r="AA3202" s="23"/>
      <c r="AB3202" s="23"/>
      <c r="AC3202" s="23"/>
    </row>
    <row r="3203" spans="10:29" x14ac:dyDescent="0.25">
      <c r="J3203" s="19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  <c r="AA3203" s="23"/>
      <c r="AB3203" s="23"/>
      <c r="AC3203" s="23"/>
    </row>
    <row r="3204" spans="10:29" x14ac:dyDescent="0.25">
      <c r="J3204" s="19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  <c r="AA3204" s="23"/>
      <c r="AB3204" s="23"/>
      <c r="AC3204" s="23"/>
    </row>
    <row r="3205" spans="10:29" x14ac:dyDescent="0.25">
      <c r="J3205" s="19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  <c r="AA3205" s="23"/>
      <c r="AB3205" s="23"/>
      <c r="AC3205" s="23"/>
    </row>
    <row r="3206" spans="10:29" x14ac:dyDescent="0.25">
      <c r="J3206" s="19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  <c r="AA3206" s="23"/>
      <c r="AB3206" s="23"/>
      <c r="AC3206" s="23"/>
    </row>
    <row r="3207" spans="10:29" x14ac:dyDescent="0.25">
      <c r="J3207" s="19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  <c r="AA3207" s="23"/>
      <c r="AB3207" s="23"/>
      <c r="AC3207" s="23"/>
    </row>
    <row r="3208" spans="10:29" x14ac:dyDescent="0.25">
      <c r="J3208" s="19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  <c r="AA3208" s="23"/>
      <c r="AB3208" s="23"/>
      <c r="AC3208" s="23"/>
    </row>
    <row r="3209" spans="10:29" x14ac:dyDescent="0.25">
      <c r="J3209" s="19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  <c r="AA3209" s="23"/>
      <c r="AB3209" s="23"/>
      <c r="AC3209" s="23"/>
    </row>
    <row r="3210" spans="10:29" x14ac:dyDescent="0.25">
      <c r="J3210" s="19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  <c r="AA3210" s="23"/>
      <c r="AB3210" s="23"/>
      <c r="AC3210" s="23"/>
    </row>
    <row r="3211" spans="10:29" x14ac:dyDescent="0.25">
      <c r="J3211" s="19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  <c r="AA3211" s="23"/>
      <c r="AB3211" s="23"/>
      <c r="AC3211" s="23"/>
    </row>
    <row r="3212" spans="10:29" x14ac:dyDescent="0.25">
      <c r="J3212" s="19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  <c r="AA3212" s="23"/>
      <c r="AB3212" s="23"/>
      <c r="AC3212" s="23"/>
    </row>
    <row r="3213" spans="10:29" x14ac:dyDescent="0.25">
      <c r="J3213" s="19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  <c r="AA3213" s="23"/>
      <c r="AB3213" s="23"/>
      <c r="AC3213" s="23"/>
    </row>
    <row r="3214" spans="10:29" x14ac:dyDescent="0.25">
      <c r="J3214" s="19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  <c r="AA3214" s="23"/>
      <c r="AB3214" s="23"/>
      <c r="AC3214" s="23"/>
    </row>
    <row r="3215" spans="10:29" x14ac:dyDescent="0.25">
      <c r="J3215" s="19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  <c r="AA3215" s="23"/>
      <c r="AB3215" s="23"/>
      <c r="AC3215" s="23"/>
    </row>
    <row r="3216" spans="10:29" x14ac:dyDescent="0.25">
      <c r="J3216" s="19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  <c r="AA3216" s="23"/>
      <c r="AB3216" s="23"/>
      <c r="AC3216" s="23"/>
    </row>
    <row r="3217" spans="10:29" x14ac:dyDescent="0.25">
      <c r="J3217" s="19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  <c r="AA3217" s="23"/>
      <c r="AB3217" s="23"/>
      <c r="AC3217" s="23"/>
    </row>
    <row r="3218" spans="10:29" x14ac:dyDescent="0.25">
      <c r="J3218" s="19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  <c r="AA3218" s="23"/>
      <c r="AB3218" s="23"/>
      <c r="AC3218" s="23"/>
    </row>
    <row r="3219" spans="10:29" x14ac:dyDescent="0.25">
      <c r="J3219" s="19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  <c r="AA3219" s="23"/>
      <c r="AB3219" s="23"/>
      <c r="AC3219" s="23"/>
    </row>
    <row r="3220" spans="10:29" x14ac:dyDescent="0.25">
      <c r="J3220" s="19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  <c r="AA3220" s="23"/>
      <c r="AB3220" s="23"/>
      <c r="AC3220" s="23"/>
    </row>
    <row r="3221" spans="10:29" x14ac:dyDescent="0.25">
      <c r="J3221" s="19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  <c r="AA3221" s="23"/>
      <c r="AB3221" s="23"/>
      <c r="AC3221" s="23"/>
    </row>
    <row r="3222" spans="10:29" x14ac:dyDescent="0.25">
      <c r="J3222" s="19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  <c r="AA3222" s="23"/>
      <c r="AB3222" s="23"/>
      <c r="AC3222" s="23"/>
    </row>
    <row r="3223" spans="10:29" x14ac:dyDescent="0.25">
      <c r="J3223" s="19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  <c r="AA3223" s="23"/>
      <c r="AB3223" s="23"/>
      <c r="AC3223" s="23"/>
    </row>
    <row r="3224" spans="10:29" x14ac:dyDescent="0.25">
      <c r="J3224" s="19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  <c r="AA3224" s="23"/>
      <c r="AB3224" s="23"/>
      <c r="AC3224" s="23"/>
    </row>
    <row r="3225" spans="10:29" x14ac:dyDescent="0.25">
      <c r="J3225" s="19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  <c r="AA3225" s="23"/>
      <c r="AB3225" s="23"/>
      <c r="AC3225" s="23"/>
    </row>
    <row r="3226" spans="10:29" x14ac:dyDescent="0.25">
      <c r="J3226" s="19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  <c r="AA3226" s="23"/>
      <c r="AB3226" s="23"/>
      <c r="AC3226" s="23"/>
    </row>
    <row r="3227" spans="10:29" x14ac:dyDescent="0.25">
      <c r="J3227" s="19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  <c r="AA3227" s="23"/>
      <c r="AB3227" s="23"/>
      <c r="AC3227" s="23"/>
    </row>
    <row r="3228" spans="10:29" x14ac:dyDescent="0.25">
      <c r="J3228" s="19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  <c r="AA3228" s="23"/>
      <c r="AB3228" s="23"/>
      <c r="AC3228" s="23"/>
    </row>
    <row r="3229" spans="10:29" x14ac:dyDescent="0.25">
      <c r="J3229" s="19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  <c r="AA3229" s="23"/>
      <c r="AB3229" s="23"/>
      <c r="AC3229" s="23"/>
    </row>
    <row r="3230" spans="10:29" x14ac:dyDescent="0.25">
      <c r="J3230" s="19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  <c r="AA3230" s="23"/>
      <c r="AB3230" s="23"/>
      <c r="AC3230" s="23"/>
    </row>
    <row r="3231" spans="10:29" x14ac:dyDescent="0.25">
      <c r="J3231" s="19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  <c r="AA3231" s="23"/>
      <c r="AB3231" s="23"/>
      <c r="AC3231" s="23"/>
    </row>
    <row r="3232" spans="10:29" x14ac:dyDescent="0.25">
      <c r="J3232" s="19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  <c r="AA3232" s="23"/>
      <c r="AB3232" s="23"/>
      <c r="AC3232" s="23"/>
    </row>
    <row r="3233" spans="10:29" x14ac:dyDescent="0.25">
      <c r="J3233" s="19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  <c r="AA3233" s="23"/>
      <c r="AB3233" s="23"/>
      <c r="AC3233" s="23"/>
    </row>
    <row r="3234" spans="10:29" x14ac:dyDescent="0.25">
      <c r="J3234" s="19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  <c r="AA3234" s="23"/>
      <c r="AB3234" s="23"/>
      <c r="AC3234" s="23"/>
    </row>
    <row r="3235" spans="10:29" x14ac:dyDescent="0.25">
      <c r="J3235" s="19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  <c r="AA3235" s="23"/>
      <c r="AB3235" s="23"/>
      <c r="AC3235" s="23"/>
    </row>
    <row r="3236" spans="10:29" x14ac:dyDescent="0.25">
      <c r="J3236" s="19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  <c r="AA3236" s="23"/>
      <c r="AB3236" s="23"/>
      <c r="AC3236" s="23"/>
    </row>
    <row r="3237" spans="10:29" x14ac:dyDescent="0.25">
      <c r="J3237" s="19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  <c r="AA3237" s="23"/>
      <c r="AB3237" s="23"/>
      <c r="AC3237" s="23"/>
    </row>
    <row r="3238" spans="10:29" x14ac:dyDescent="0.25">
      <c r="J3238" s="19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  <c r="AA3238" s="23"/>
      <c r="AB3238" s="23"/>
      <c r="AC3238" s="23"/>
    </row>
    <row r="3239" spans="10:29" x14ac:dyDescent="0.25">
      <c r="J3239" s="19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  <c r="AA3239" s="23"/>
      <c r="AB3239" s="23"/>
      <c r="AC3239" s="23"/>
    </row>
    <row r="3240" spans="10:29" x14ac:dyDescent="0.25">
      <c r="J3240" s="19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  <c r="AA3240" s="23"/>
      <c r="AB3240" s="23"/>
      <c r="AC3240" s="23"/>
    </row>
    <row r="3241" spans="10:29" x14ac:dyDescent="0.25">
      <c r="J3241" s="19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  <c r="AA3241" s="23"/>
      <c r="AB3241" s="23"/>
      <c r="AC3241" s="23"/>
    </row>
    <row r="3242" spans="10:29" x14ac:dyDescent="0.25">
      <c r="J3242" s="19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  <c r="AA3242" s="23"/>
      <c r="AB3242" s="23"/>
      <c r="AC3242" s="23"/>
    </row>
    <row r="3243" spans="10:29" x14ac:dyDescent="0.25">
      <c r="J3243" s="19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  <c r="AA3243" s="23"/>
      <c r="AB3243" s="23"/>
      <c r="AC3243" s="23"/>
    </row>
    <row r="3244" spans="10:29" x14ac:dyDescent="0.25">
      <c r="J3244" s="19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  <c r="AA3244" s="23"/>
      <c r="AB3244" s="23"/>
      <c r="AC3244" s="23"/>
    </row>
    <row r="3245" spans="10:29" x14ac:dyDescent="0.25">
      <c r="J3245" s="19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  <c r="AA3245" s="23"/>
      <c r="AB3245" s="23"/>
      <c r="AC3245" s="23"/>
    </row>
    <row r="3246" spans="10:29" x14ac:dyDescent="0.25">
      <c r="J3246" s="19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  <c r="AA3246" s="23"/>
      <c r="AB3246" s="23"/>
      <c r="AC3246" s="23"/>
    </row>
    <row r="3247" spans="10:29" x14ac:dyDescent="0.25">
      <c r="J3247" s="19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  <c r="AA3247" s="23"/>
      <c r="AB3247" s="23"/>
      <c r="AC3247" s="23"/>
    </row>
    <row r="3248" spans="10:29" x14ac:dyDescent="0.25">
      <c r="J3248" s="19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  <c r="AA3248" s="23"/>
      <c r="AB3248" s="23"/>
      <c r="AC3248" s="23"/>
    </row>
    <row r="3249" spans="10:29" x14ac:dyDescent="0.25">
      <c r="J3249" s="19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  <c r="AA3249" s="23"/>
      <c r="AB3249" s="23"/>
      <c r="AC3249" s="23"/>
    </row>
    <row r="3250" spans="10:29" x14ac:dyDescent="0.25">
      <c r="J3250" s="19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  <c r="AA3250" s="23"/>
      <c r="AB3250" s="23"/>
      <c r="AC3250" s="23"/>
    </row>
    <row r="3251" spans="10:29" x14ac:dyDescent="0.25">
      <c r="J3251" s="19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  <c r="AA3251" s="23"/>
      <c r="AB3251" s="23"/>
      <c r="AC3251" s="23"/>
    </row>
    <row r="3252" spans="10:29" x14ac:dyDescent="0.25">
      <c r="J3252" s="19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  <c r="AA3252" s="23"/>
      <c r="AB3252" s="23"/>
      <c r="AC3252" s="23"/>
    </row>
    <row r="3253" spans="10:29" x14ac:dyDescent="0.25">
      <c r="J3253" s="19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  <c r="AA3253" s="23"/>
      <c r="AB3253" s="23"/>
      <c r="AC3253" s="23"/>
    </row>
    <row r="3254" spans="10:29" x14ac:dyDescent="0.25">
      <c r="J3254" s="19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  <c r="AA3254" s="23"/>
      <c r="AB3254" s="23"/>
      <c r="AC3254" s="23"/>
    </row>
    <row r="3255" spans="10:29" x14ac:dyDescent="0.25">
      <c r="J3255" s="19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  <c r="AA3255" s="23"/>
      <c r="AB3255" s="23"/>
      <c r="AC3255" s="23"/>
    </row>
    <row r="3256" spans="10:29" x14ac:dyDescent="0.25">
      <c r="J3256" s="19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  <c r="AA3256" s="23"/>
      <c r="AB3256" s="23"/>
      <c r="AC3256" s="23"/>
    </row>
    <row r="3257" spans="10:29" x14ac:dyDescent="0.25">
      <c r="J3257" s="19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  <c r="AA3257" s="23"/>
      <c r="AB3257" s="23"/>
      <c r="AC3257" s="23"/>
    </row>
    <row r="3258" spans="10:29" x14ac:dyDescent="0.25">
      <c r="J3258" s="19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  <c r="AA3258" s="23"/>
      <c r="AB3258" s="23"/>
      <c r="AC3258" s="23"/>
    </row>
    <row r="3259" spans="10:29" x14ac:dyDescent="0.25">
      <c r="J3259" s="19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  <c r="AA3259" s="23"/>
      <c r="AB3259" s="23"/>
      <c r="AC3259" s="23"/>
    </row>
    <row r="3260" spans="10:29" x14ac:dyDescent="0.25">
      <c r="J3260" s="19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  <c r="AA3260" s="23"/>
      <c r="AB3260" s="23"/>
      <c r="AC3260" s="23"/>
    </row>
    <row r="3261" spans="10:29" x14ac:dyDescent="0.25">
      <c r="J3261" s="19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  <c r="AA3261" s="23"/>
      <c r="AB3261" s="23"/>
      <c r="AC3261" s="23"/>
    </row>
    <row r="3262" spans="10:29" x14ac:dyDescent="0.25">
      <c r="J3262" s="19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  <c r="AA3262" s="23"/>
      <c r="AB3262" s="23"/>
      <c r="AC3262" s="23"/>
    </row>
    <row r="3263" spans="10:29" x14ac:dyDescent="0.25">
      <c r="J3263" s="19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  <c r="AA3263" s="23"/>
      <c r="AB3263" s="23"/>
      <c r="AC3263" s="23"/>
    </row>
    <row r="3264" spans="10:29" x14ac:dyDescent="0.25">
      <c r="J3264" s="19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  <c r="AA3264" s="23"/>
      <c r="AB3264" s="23"/>
      <c r="AC3264" s="23"/>
    </row>
    <row r="3265" spans="10:29" x14ac:dyDescent="0.25">
      <c r="J3265" s="19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  <c r="AA3265" s="23"/>
      <c r="AB3265" s="23"/>
      <c r="AC3265" s="23"/>
    </row>
    <row r="3266" spans="10:29" x14ac:dyDescent="0.25">
      <c r="J3266" s="19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  <c r="AA3266" s="23"/>
      <c r="AB3266" s="23"/>
      <c r="AC3266" s="23"/>
    </row>
    <row r="3267" spans="10:29" x14ac:dyDescent="0.25">
      <c r="J3267" s="19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  <c r="AA3267" s="23"/>
      <c r="AB3267" s="23"/>
      <c r="AC3267" s="23"/>
    </row>
    <row r="3268" spans="10:29" x14ac:dyDescent="0.25">
      <c r="J3268" s="19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  <c r="AA3268" s="23"/>
      <c r="AB3268" s="23"/>
      <c r="AC3268" s="23"/>
    </row>
    <row r="3269" spans="10:29" x14ac:dyDescent="0.25">
      <c r="J3269" s="19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  <c r="AA3269" s="23"/>
      <c r="AB3269" s="23"/>
      <c r="AC3269" s="23"/>
    </row>
    <row r="3270" spans="10:29" x14ac:dyDescent="0.25">
      <c r="J3270" s="19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  <c r="AA3270" s="23"/>
      <c r="AB3270" s="23"/>
      <c r="AC3270" s="23"/>
    </row>
    <row r="3271" spans="10:29" x14ac:dyDescent="0.25">
      <c r="J3271" s="19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  <c r="AA3271" s="23"/>
      <c r="AB3271" s="23"/>
      <c r="AC3271" s="23"/>
    </row>
    <row r="3272" spans="10:29" x14ac:dyDescent="0.25">
      <c r="J3272" s="19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  <c r="AA3272" s="23"/>
      <c r="AB3272" s="23"/>
      <c r="AC3272" s="23"/>
    </row>
    <row r="3273" spans="10:29" x14ac:dyDescent="0.25">
      <c r="J3273" s="19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  <c r="AA3273" s="23"/>
      <c r="AB3273" s="23"/>
      <c r="AC3273" s="23"/>
    </row>
    <row r="3274" spans="10:29" x14ac:dyDescent="0.25">
      <c r="J3274" s="19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  <c r="AA3274" s="23"/>
      <c r="AB3274" s="23"/>
      <c r="AC3274" s="23"/>
    </row>
    <row r="3275" spans="10:29" x14ac:dyDescent="0.25">
      <c r="J3275" s="19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  <c r="AA3275" s="23"/>
      <c r="AB3275" s="23"/>
      <c r="AC3275" s="23"/>
    </row>
    <row r="3276" spans="10:29" x14ac:dyDescent="0.25">
      <c r="J3276" s="19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  <c r="AA3276" s="23"/>
      <c r="AB3276" s="23"/>
      <c r="AC3276" s="23"/>
    </row>
    <row r="3277" spans="10:29" x14ac:dyDescent="0.25">
      <c r="J3277" s="19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  <c r="AA3277" s="23"/>
      <c r="AB3277" s="23"/>
      <c r="AC3277" s="23"/>
    </row>
    <row r="3278" spans="10:29" x14ac:dyDescent="0.25">
      <c r="J3278" s="19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  <c r="AA3278" s="23"/>
      <c r="AB3278" s="23"/>
      <c r="AC3278" s="23"/>
    </row>
    <row r="3279" spans="10:29" x14ac:dyDescent="0.25">
      <c r="J3279" s="19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  <c r="AA3279" s="23"/>
      <c r="AB3279" s="23"/>
      <c r="AC3279" s="23"/>
    </row>
    <row r="3280" spans="10:29" x14ac:dyDescent="0.25">
      <c r="J3280" s="19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  <c r="AA3280" s="23"/>
      <c r="AB3280" s="23"/>
      <c r="AC3280" s="23"/>
    </row>
    <row r="3281" spans="10:29" x14ac:dyDescent="0.25">
      <c r="J3281" s="19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  <c r="AA3281" s="23"/>
      <c r="AB3281" s="23"/>
      <c r="AC3281" s="23"/>
    </row>
    <row r="3282" spans="10:29" x14ac:dyDescent="0.25">
      <c r="J3282" s="19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  <c r="AA3282" s="23"/>
      <c r="AB3282" s="23"/>
      <c r="AC3282" s="23"/>
    </row>
    <row r="3283" spans="10:29" x14ac:dyDescent="0.25">
      <c r="J3283" s="19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  <c r="AA3283" s="23"/>
      <c r="AB3283" s="23"/>
      <c r="AC3283" s="23"/>
    </row>
    <row r="3284" spans="10:29" x14ac:dyDescent="0.25">
      <c r="J3284" s="19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  <c r="AA3284" s="23"/>
      <c r="AB3284" s="23"/>
      <c r="AC3284" s="23"/>
    </row>
    <row r="3285" spans="10:29" x14ac:dyDescent="0.25">
      <c r="J3285" s="19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  <c r="AA3285" s="23"/>
      <c r="AB3285" s="23"/>
      <c r="AC3285" s="23"/>
    </row>
    <row r="3286" spans="10:29" x14ac:dyDescent="0.25">
      <c r="J3286" s="19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  <c r="AA3286" s="23"/>
      <c r="AB3286" s="23"/>
      <c r="AC3286" s="23"/>
    </row>
    <row r="3287" spans="10:29" x14ac:dyDescent="0.25">
      <c r="J3287" s="19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  <c r="AA3287" s="23"/>
      <c r="AB3287" s="23"/>
      <c r="AC3287" s="23"/>
    </row>
    <row r="3288" spans="10:29" x14ac:dyDescent="0.25">
      <c r="J3288" s="19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  <c r="AA3288" s="23"/>
      <c r="AB3288" s="23"/>
      <c r="AC3288" s="23"/>
    </row>
    <row r="3289" spans="10:29" x14ac:dyDescent="0.25">
      <c r="J3289" s="19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  <c r="AA3289" s="23"/>
      <c r="AB3289" s="23"/>
      <c r="AC3289" s="23"/>
    </row>
    <row r="3290" spans="10:29" x14ac:dyDescent="0.25">
      <c r="J3290" s="19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  <c r="AA3290" s="23"/>
      <c r="AB3290" s="23"/>
      <c r="AC3290" s="23"/>
    </row>
    <row r="3291" spans="10:29" x14ac:dyDescent="0.25">
      <c r="J3291" s="19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  <c r="AA3291" s="23"/>
      <c r="AB3291" s="23"/>
      <c r="AC3291" s="23"/>
    </row>
    <row r="3292" spans="10:29" x14ac:dyDescent="0.25">
      <c r="J3292" s="19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  <c r="AA3292" s="23"/>
      <c r="AB3292" s="23"/>
      <c r="AC3292" s="23"/>
    </row>
    <row r="3293" spans="10:29" x14ac:dyDescent="0.25">
      <c r="J3293" s="19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  <c r="AA3293" s="23"/>
      <c r="AB3293" s="23"/>
      <c r="AC3293" s="23"/>
    </row>
    <row r="3294" spans="10:29" x14ac:dyDescent="0.25">
      <c r="J3294" s="19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  <c r="AA3294" s="23"/>
      <c r="AB3294" s="23"/>
      <c r="AC3294" s="23"/>
    </row>
    <row r="3295" spans="10:29" x14ac:dyDescent="0.25">
      <c r="J3295" s="19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  <c r="AA3295" s="23"/>
      <c r="AB3295" s="23"/>
      <c r="AC3295" s="23"/>
    </row>
    <row r="3296" spans="10:29" x14ac:dyDescent="0.25">
      <c r="J3296" s="19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  <c r="AA3296" s="23"/>
      <c r="AB3296" s="23"/>
      <c r="AC3296" s="23"/>
    </row>
    <row r="3297" spans="10:29" x14ac:dyDescent="0.25">
      <c r="J3297" s="19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  <c r="AA3297" s="23"/>
      <c r="AB3297" s="23"/>
      <c r="AC3297" s="23"/>
    </row>
    <row r="3298" spans="10:29" x14ac:dyDescent="0.25">
      <c r="J3298" s="19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  <c r="AA3298" s="23"/>
      <c r="AB3298" s="23"/>
      <c r="AC3298" s="23"/>
    </row>
    <row r="3299" spans="10:29" x14ac:dyDescent="0.25">
      <c r="J3299" s="19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  <c r="AA3299" s="23"/>
      <c r="AB3299" s="23"/>
      <c r="AC3299" s="23"/>
    </row>
    <row r="3300" spans="10:29" x14ac:dyDescent="0.25">
      <c r="J3300" s="19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  <c r="AA3300" s="23"/>
      <c r="AB3300" s="23"/>
      <c r="AC3300" s="23"/>
    </row>
    <row r="3301" spans="10:29" x14ac:dyDescent="0.25">
      <c r="J3301" s="19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  <c r="AA3301" s="23"/>
      <c r="AB3301" s="23"/>
      <c r="AC3301" s="23"/>
    </row>
    <row r="3302" spans="10:29" x14ac:dyDescent="0.25">
      <c r="J3302" s="19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  <c r="AA3302" s="23"/>
      <c r="AB3302" s="23"/>
      <c r="AC3302" s="23"/>
    </row>
    <row r="3303" spans="10:29" x14ac:dyDescent="0.25">
      <c r="J3303" s="19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  <c r="AA3303" s="23"/>
      <c r="AB3303" s="23"/>
      <c r="AC3303" s="23"/>
    </row>
    <row r="3304" spans="10:29" x14ac:dyDescent="0.25">
      <c r="J3304" s="19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  <c r="AA3304" s="23"/>
      <c r="AB3304" s="23"/>
      <c r="AC3304" s="23"/>
    </row>
    <row r="3305" spans="10:29" x14ac:dyDescent="0.25">
      <c r="J3305" s="19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  <c r="AA3305" s="23"/>
      <c r="AB3305" s="23"/>
      <c r="AC3305" s="23"/>
    </row>
    <row r="3306" spans="10:29" x14ac:dyDescent="0.25">
      <c r="J3306" s="19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  <c r="AA3306" s="23"/>
      <c r="AB3306" s="23"/>
      <c r="AC3306" s="23"/>
    </row>
    <row r="3307" spans="10:29" x14ac:dyDescent="0.25">
      <c r="J3307" s="19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  <c r="AA3307" s="23"/>
      <c r="AB3307" s="23"/>
      <c r="AC3307" s="23"/>
    </row>
    <row r="3308" spans="10:29" x14ac:dyDescent="0.25">
      <c r="J3308" s="19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  <c r="AA3308" s="23"/>
      <c r="AB3308" s="23"/>
      <c r="AC3308" s="23"/>
    </row>
    <row r="3309" spans="10:29" x14ac:dyDescent="0.25">
      <c r="J3309" s="19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  <c r="AA3309" s="23"/>
      <c r="AB3309" s="23"/>
      <c r="AC3309" s="23"/>
    </row>
    <row r="3310" spans="10:29" x14ac:dyDescent="0.25">
      <c r="J3310" s="19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  <c r="AA3310" s="23"/>
      <c r="AB3310" s="23"/>
      <c r="AC3310" s="23"/>
    </row>
    <row r="3311" spans="10:29" x14ac:dyDescent="0.25">
      <c r="J3311" s="19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  <c r="AA3311" s="23"/>
      <c r="AB3311" s="23"/>
      <c r="AC3311" s="23"/>
    </row>
    <row r="3312" spans="10:29" x14ac:dyDescent="0.25">
      <c r="J3312" s="19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  <c r="AA3312" s="23"/>
      <c r="AB3312" s="23"/>
      <c r="AC3312" s="23"/>
    </row>
    <row r="3313" spans="10:29" x14ac:dyDescent="0.25">
      <c r="J3313" s="19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  <c r="AA3313" s="23"/>
      <c r="AB3313" s="23"/>
      <c r="AC3313" s="23"/>
    </row>
    <row r="3314" spans="10:29" x14ac:dyDescent="0.25">
      <c r="J3314" s="19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  <c r="AA3314" s="23"/>
      <c r="AB3314" s="23"/>
      <c r="AC3314" s="23"/>
    </row>
    <row r="3315" spans="10:29" x14ac:dyDescent="0.25">
      <c r="J3315" s="19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  <c r="AA3315" s="23"/>
      <c r="AB3315" s="23"/>
      <c r="AC3315" s="23"/>
    </row>
    <row r="3316" spans="10:29" x14ac:dyDescent="0.25">
      <c r="J3316" s="19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  <c r="AA3316" s="23"/>
      <c r="AB3316" s="23"/>
      <c r="AC3316" s="23"/>
    </row>
    <row r="3317" spans="10:29" x14ac:dyDescent="0.25">
      <c r="J3317" s="19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  <c r="AA3317" s="23"/>
      <c r="AB3317" s="23"/>
      <c r="AC3317" s="23"/>
    </row>
    <row r="3318" spans="10:29" x14ac:dyDescent="0.25">
      <c r="J3318" s="19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  <c r="AA3318" s="23"/>
      <c r="AB3318" s="23"/>
      <c r="AC3318" s="23"/>
    </row>
    <row r="3319" spans="10:29" x14ac:dyDescent="0.25">
      <c r="J3319" s="19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  <c r="AA3319" s="23"/>
      <c r="AB3319" s="23"/>
      <c r="AC3319" s="23"/>
    </row>
    <row r="3320" spans="10:29" x14ac:dyDescent="0.25">
      <c r="J3320" s="19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  <c r="AA3320" s="23"/>
      <c r="AB3320" s="23"/>
      <c r="AC3320" s="23"/>
    </row>
    <row r="3321" spans="10:29" x14ac:dyDescent="0.25">
      <c r="J3321" s="19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  <c r="AA3321" s="23"/>
      <c r="AB3321" s="23"/>
      <c r="AC3321" s="23"/>
    </row>
    <row r="3322" spans="10:29" x14ac:dyDescent="0.25">
      <c r="J3322" s="19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  <c r="AA3322" s="23"/>
      <c r="AB3322" s="23"/>
      <c r="AC3322" s="23"/>
    </row>
    <row r="3323" spans="10:29" x14ac:dyDescent="0.25">
      <c r="J3323" s="19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  <c r="AA3323" s="23"/>
      <c r="AB3323" s="23"/>
      <c r="AC3323" s="23"/>
    </row>
    <row r="3324" spans="10:29" x14ac:dyDescent="0.25">
      <c r="J3324" s="19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  <c r="AA3324" s="23"/>
      <c r="AB3324" s="23"/>
      <c r="AC3324" s="23"/>
    </row>
    <row r="3325" spans="10:29" x14ac:dyDescent="0.25">
      <c r="J3325" s="19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  <c r="AA3325" s="23"/>
      <c r="AB3325" s="23"/>
      <c r="AC3325" s="23"/>
    </row>
    <row r="3326" spans="10:29" x14ac:dyDescent="0.25">
      <c r="J3326" s="19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  <c r="AA3326" s="23"/>
      <c r="AB3326" s="23"/>
      <c r="AC3326" s="23"/>
    </row>
    <row r="3327" spans="10:29" x14ac:dyDescent="0.25">
      <c r="J3327" s="19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  <c r="AA3327" s="23"/>
      <c r="AB3327" s="23"/>
      <c r="AC3327" s="23"/>
    </row>
    <row r="3328" spans="10:29" x14ac:dyDescent="0.25">
      <c r="J3328" s="19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  <c r="AA3328" s="23"/>
      <c r="AB3328" s="23"/>
      <c r="AC3328" s="23"/>
    </row>
    <row r="3329" spans="10:29" x14ac:dyDescent="0.25">
      <c r="J3329" s="19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  <c r="AA3329" s="23"/>
      <c r="AB3329" s="23"/>
      <c r="AC3329" s="23"/>
    </row>
    <row r="3330" spans="10:29" x14ac:dyDescent="0.25">
      <c r="J3330" s="19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  <c r="AA3330" s="23"/>
      <c r="AB3330" s="23"/>
      <c r="AC3330" s="23"/>
    </row>
    <row r="3331" spans="10:29" x14ac:dyDescent="0.25">
      <c r="J3331" s="19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  <c r="AA3331" s="23"/>
      <c r="AB3331" s="23"/>
      <c r="AC3331" s="23"/>
    </row>
    <row r="3332" spans="10:29" x14ac:dyDescent="0.25">
      <c r="J3332" s="19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  <c r="AA3332" s="23"/>
      <c r="AB3332" s="23"/>
      <c r="AC3332" s="23"/>
    </row>
    <row r="3333" spans="10:29" x14ac:dyDescent="0.25">
      <c r="J3333" s="19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  <c r="AA3333" s="23"/>
      <c r="AB3333" s="23"/>
      <c r="AC3333" s="23"/>
    </row>
    <row r="3334" spans="10:29" x14ac:dyDescent="0.25">
      <c r="J3334" s="19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  <c r="AA3334" s="23"/>
      <c r="AB3334" s="23"/>
      <c r="AC3334" s="23"/>
    </row>
    <row r="3335" spans="10:29" x14ac:dyDescent="0.25">
      <c r="J3335" s="19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  <c r="AA3335" s="23"/>
      <c r="AB3335" s="23"/>
      <c r="AC3335" s="23"/>
    </row>
    <row r="3336" spans="10:29" x14ac:dyDescent="0.25">
      <c r="J3336" s="19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  <c r="AA3336" s="23"/>
      <c r="AB3336" s="23"/>
      <c r="AC3336" s="23"/>
    </row>
    <row r="3337" spans="10:29" x14ac:dyDescent="0.25">
      <c r="J3337" s="19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  <c r="AA3337" s="23"/>
      <c r="AB3337" s="23"/>
      <c r="AC3337" s="23"/>
    </row>
    <row r="3338" spans="10:29" x14ac:dyDescent="0.25">
      <c r="J3338" s="19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  <c r="AA3338" s="23"/>
      <c r="AB3338" s="23"/>
      <c r="AC3338" s="23"/>
    </row>
    <row r="3339" spans="10:29" x14ac:dyDescent="0.25">
      <c r="J3339" s="19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  <c r="AA3339" s="23"/>
      <c r="AB3339" s="23"/>
      <c r="AC3339" s="23"/>
    </row>
    <row r="3340" spans="10:29" x14ac:dyDescent="0.25">
      <c r="J3340" s="19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  <c r="AA3340" s="23"/>
      <c r="AB3340" s="23"/>
      <c r="AC3340" s="23"/>
    </row>
    <row r="3341" spans="10:29" x14ac:dyDescent="0.25">
      <c r="J3341" s="19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  <c r="AA3341" s="23"/>
      <c r="AB3341" s="23"/>
      <c r="AC3341" s="23"/>
    </row>
    <row r="3342" spans="10:29" x14ac:dyDescent="0.25">
      <c r="J3342" s="19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  <c r="AA3342" s="23"/>
      <c r="AB3342" s="23"/>
      <c r="AC3342" s="23"/>
    </row>
    <row r="3343" spans="10:29" x14ac:dyDescent="0.25">
      <c r="J3343" s="19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  <c r="AA3343" s="23"/>
      <c r="AB3343" s="23"/>
      <c r="AC3343" s="23"/>
    </row>
    <row r="3344" spans="10:29" x14ac:dyDescent="0.25">
      <c r="J3344" s="19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  <c r="AA3344" s="23"/>
      <c r="AB3344" s="23"/>
      <c r="AC3344" s="23"/>
    </row>
    <row r="3345" spans="10:29" x14ac:dyDescent="0.25">
      <c r="J3345" s="19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  <c r="AA3345" s="23"/>
      <c r="AB3345" s="23"/>
      <c r="AC3345" s="23"/>
    </row>
    <row r="3346" spans="10:29" x14ac:dyDescent="0.25">
      <c r="J3346" s="19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  <c r="AA3346" s="23"/>
      <c r="AB3346" s="23"/>
      <c r="AC3346" s="23"/>
    </row>
    <row r="3347" spans="10:29" x14ac:dyDescent="0.25">
      <c r="J3347" s="19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  <c r="AA3347" s="23"/>
      <c r="AB3347" s="23"/>
      <c r="AC3347" s="23"/>
    </row>
    <row r="3348" spans="10:29" x14ac:dyDescent="0.25">
      <c r="J3348" s="19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  <c r="AA3348" s="23"/>
      <c r="AB3348" s="23"/>
      <c r="AC3348" s="23"/>
    </row>
    <row r="3349" spans="10:29" x14ac:dyDescent="0.25">
      <c r="J3349" s="19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  <c r="AA3349" s="23"/>
      <c r="AB3349" s="23"/>
      <c r="AC3349" s="23"/>
    </row>
    <row r="3350" spans="10:29" x14ac:dyDescent="0.25">
      <c r="J3350" s="19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  <c r="AA3350" s="23"/>
      <c r="AB3350" s="23"/>
      <c r="AC3350" s="23"/>
    </row>
    <row r="3351" spans="10:29" x14ac:dyDescent="0.25">
      <c r="J3351" s="19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  <c r="AA3351" s="23"/>
      <c r="AB3351" s="23"/>
      <c r="AC3351" s="23"/>
    </row>
    <row r="3352" spans="10:29" x14ac:dyDescent="0.25">
      <c r="J3352" s="19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  <c r="AA3352" s="23"/>
      <c r="AB3352" s="23"/>
      <c r="AC3352" s="23"/>
    </row>
    <row r="3353" spans="10:29" x14ac:dyDescent="0.25">
      <c r="J3353" s="19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  <c r="AA3353" s="23"/>
      <c r="AB3353" s="23"/>
      <c r="AC3353" s="23"/>
    </row>
    <row r="3354" spans="10:29" x14ac:dyDescent="0.25">
      <c r="J3354" s="19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  <c r="AA3354" s="23"/>
      <c r="AB3354" s="23"/>
      <c r="AC3354" s="23"/>
    </row>
    <row r="3355" spans="10:29" x14ac:dyDescent="0.25">
      <c r="J3355" s="19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  <c r="AA3355" s="23"/>
      <c r="AB3355" s="23"/>
      <c r="AC3355" s="23"/>
    </row>
    <row r="3356" spans="10:29" x14ac:dyDescent="0.25">
      <c r="J3356" s="19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  <c r="AA3356" s="23"/>
      <c r="AB3356" s="23"/>
      <c r="AC3356" s="23"/>
    </row>
    <row r="3357" spans="10:29" x14ac:dyDescent="0.25">
      <c r="J3357" s="19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  <c r="AA3357" s="23"/>
      <c r="AB3357" s="23"/>
      <c r="AC3357" s="23"/>
    </row>
    <row r="3358" spans="10:29" x14ac:dyDescent="0.25">
      <c r="J3358" s="19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  <c r="AA3358" s="23"/>
      <c r="AB3358" s="23"/>
      <c r="AC3358" s="23"/>
    </row>
    <row r="3359" spans="10:29" x14ac:dyDescent="0.25">
      <c r="J3359" s="19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  <c r="AA3359" s="23"/>
      <c r="AB3359" s="23"/>
      <c r="AC3359" s="23"/>
    </row>
    <row r="3360" spans="10:29" x14ac:dyDescent="0.25">
      <c r="J3360" s="19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  <c r="AA3360" s="23"/>
      <c r="AB3360" s="23"/>
      <c r="AC3360" s="23"/>
    </row>
    <row r="3361" spans="10:29" x14ac:dyDescent="0.25">
      <c r="J3361" s="19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  <c r="AA3361" s="23"/>
      <c r="AB3361" s="23"/>
      <c r="AC3361" s="23"/>
    </row>
    <row r="3362" spans="10:29" x14ac:dyDescent="0.25">
      <c r="J3362" s="19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  <c r="AA3362" s="23"/>
      <c r="AB3362" s="23"/>
      <c r="AC3362" s="23"/>
    </row>
    <row r="3363" spans="10:29" x14ac:dyDescent="0.25">
      <c r="J3363" s="19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  <c r="AA3363" s="23"/>
      <c r="AB3363" s="23"/>
      <c r="AC3363" s="23"/>
    </row>
    <row r="3364" spans="10:29" x14ac:dyDescent="0.25">
      <c r="J3364" s="19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  <c r="AA3364" s="23"/>
      <c r="AB3364" s="23"/>
      <c r="AC3364" s="23"/>
    </row>
    <row r="3365" spans="10:29" x14ac:dyDescent="0.25">
      <c r="J3365" s="19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  <c r="AA3365" s="23"/>
      <c r="AB3365" s="23"/>
      <c r="AC3365" s="23"/>
    </row>
    <row r="3366" spans="10:29" x14ac:dyDescent="0.25">
      <c r="J3366" s="19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  <c r="AA3366" s="23"/>
      <c r="AB3366" s="23"/>
      <c r="AC3366" s="23"/>
    </row>
    <row r="3367" spans="10:29" x14ac:dyDescent="0.25">
      <c r="J3367" s="19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  <c r="AA3367" s="23"/>
      <c r="AB3367" s="23"/>
      <c r="AC3367" s="23"/>
    </row>
    <row r="3368" spans="10:29" x14ac:dyDescent="0.25">
      <c r="J3368" s="19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  <c r="AA3368" s="23"/>
      <c r="AB3368" s="23"/>
      <c r="AC3368" s="23"/>
    </row>
    <row r="3369" spans="10:29" x14ac:dyDescent="0.25">
      <c r="J3369" s="19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  <c r="AA3369" s="23"/>
      <c r="AB3369" s="23"/>
      <c r="AC3369" s="23"/>
    </row>
    <row r="3370" spans="10:29" x14ac:dyDescent="0.25">
      <c r="J3370" s="19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  <c r="AA3370" s="23"/>
      <c r="AB3370" s="23"/>
      <c r="AC3370" s="23"/>
    </row>
    <row r="3371" spans="10:29" x14ac:dyDescent="0.25">
      <c r="J3371" s="19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  <c r="AA3371" s="23"/>
      <c r="AB3371" s="23"/>
      <c r="AC3371" s="23"/>
    </row>
    <row r="3372" spans="10:29" x14ac:dyDescent="0.25">
      <c r="J3372" s="19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  <c r="AA3372" s="23"/>
      <c r="AB3372" s="23"/>
      <c r="AC3372" s="23"/>
    </row>
    <row r="3373" spans="10:29" x14ac:dyDescent="0.25">
      <c r="J3373" s="19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  <c r="AA3373" s="23"/>
      <c r="AB3373" s="23"/>
      <c r="AC3373" s="23"/>
    </row>
    <row r="3374" spans="10:29" x14ac:dyDescent="0.25">
      <c r="J3374" s="19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  <c r="AA3374" s="23"/>
      <c r="AB3374" s="23"/>
      <c r="AC3374" s="23"/>
    </row>
    <row r="3375" spans="10:29" x14ac:dyDescent="0.25">
      <c r="J3375" s="19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  <c r="AA3375" s="23"/>
      <c r="AB3375" s="23"/>
      <c r="AC3375" s="23"/>
    </row>
    <row r="3376" spans="10:29" x14ac:dyDescent="0.25">
      <c r="J3376" s="19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  <c r="AA3376" s="23"/>
      <c r="AB3376" s="23"/>
      <c r="AC3376" s="23"/>
    </row>
    <row r="3377" spans="10:29" x14ac:dyDescent="0.25">
      <c r="J3377" s="19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  <c r="AA3377" s="23"/>
      <c r="AB3377" s="23"/>
      <c r="AC3377" s="23"/>
    </row>
    <row r="3378" spans="10:29" x14ac:dyDescent="0.25">
      <c r="J3378" s="19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  <c r="AA3378" s="23"/>
      <c r="AB3378" s="23"/>
      <c r="AC3378" s="23"/>
    </row>
    <row r="3379" spans="10:29" x14ac:dyDescent="0.25">
      <c r="J3379" s="19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  <c r="AA3379" s="23"/>
      <c r="AB3379" s="23"/>
      <c r="AC3379" s="23"/>
    </row>
    <row r="3380" spans="10:29" x14ac:dyDescent="0.25">
      <c r="J3380" s="19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  <c r="AA3380" s="23"/>
      <c r="AB3380" s="23"/>
      <c r="AC3380" s="23"/>
    </row>
    <row r="3381" spans="10:29" x14ac:dyDescent="0.25">
      <c r="J3381" s="19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  <c r="AA3381" s="23"/>
      <c r="AB3381" s="23"/>
      <c r="AC3381" s="23"/>
    </row>
    <row r="3382" spans="10:29" x14ac:dyDescent="0.25">
      <c r="J3382" s="19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  <c r="AA3382" s="23"/>
      <c r="AB3382" s="23"/>
      <c r="AC3382" s="23"/>
    </row>
    <row r="3383" spans="10:29" x14ac:dyDescent="0.25">
      <c r="J3383" s="19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  <c r="AA3383" s="23"/>
      <c r="AB3383" s="23"/>
      <c r="AC3383" s="23"/>
    </row>
    <row r="3384" spans="10:29" x14ac:dyDescent="0.25">
      <c r="J3384" s="19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  <c r="AA3384" s="23"/>
      <c r="AB3384" s="23"/>
      <c r="AC3384" s="23"/>
    </row>
    <row r="3385" spans="10:29" x14ac:dyDescent="0.25">
      <c r="J3385" s="19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  <c r="AA3385" s="23"/>
      <c r="AB3385" s="23"/>
      <c r="AC3385" s="23"/>
    </row>
    <row r="3386" spans="10:29" x14ac:dyDescent="0.25">
      <c r="J3386" s="19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  <c r="AA3386" s="23"/>
      <c r="AB3386" s="23"/>
      <c r="AC3386" s="23"/>
    </row>
    <row r="3387" spans="10:29" x14ac:dyDescent="0.25">
      <c r="J3387" s="19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  <c r="AA3387" s="23"/>
      <c r="AB3387" s="23"/>
      <c r="AC3387" s="23"/>
    </row>
    <row r="3388" spans="10:29" x14ac:dyDescent="0.25">
      <c r="J3388" s="19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  <c r="AA3388" s="23"/>
      <c r="AB3388" s="23"/>
      <c r="AC3388" s="23"/>
    </row>
    <row r="3389" spans="10:29" x14ac:dyDescent="0.25">
      <c r="J3389" s="19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  <c r="AA3389" s="23"/>
      <c r="AB3389" s="23"/>
      <c r="AC3389" s="23"/>
    </row>
    <row r="3390" spans="10:29" x14ac:dyDescent="0.25">
      <c r="J3390" s="19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  <c r="AA3390" s="23"/>
      <c r="AB3390" s="23"/>
      <c r="AC3390" s="23"/>
    </row>
    <row r="3391" spans="10:29" x14ac:dyDescent="0.25">
      <c r="J3391" s="19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  <c r="AA3391" s="23"/>
      <c r="AB3391" s="23"/>
      <c r="AC3391" s="23"/>
    </row>
    <row r="3392" spans="10:29" x14ac:dyDescent="0.25">
      <c r="J3392" s="19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  <c r="AA3392" s="23"/>
      <c r="AB3392" s="23"/>
      <c r="AC3392" s="23"/>
    </row>
    <row r="3393" spans="10:29" x14ac:dyDescent="0.25">
      <c r="J3393" s="19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  <c r="AA3393" s="23"/>
      <c r="AB3393" s="23"/>
      <c r="AC3393" s="23"/>
    </row>
    <row r="3394" spans="10:29" x14ac:dyDescent="0.25">
      <c r="J3394" s="19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  <c r="AA3394" s="23"/>
      <c r="AB3394" s="23"/>
      <c r="AC3394" s="23"/>
    </row>
    <row r="3395" spans="10:29" x14ac:dyDescent="0.25">
      <c r="J3395" s="19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  <c r="AA3395" s="23"/>
      <c r="AB3395" s="23"/>
      <c r="AC3395" s="23"/>
    </row>
    <row r="3396" spans="10:29" x14ac:dyDescent="0.25">
      <c r="J3396" s="19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  <c r="AA3396" s="23"/>
      <c r="AB3396" s="23"/>
      <c r="AC3396" s="23"/>
    </row>
    <row r="3397" spans="10:29" x14ac:dyDescent="0.25">
      <c r="J3397" s="19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  <c r="AA3397" s="23"/>
      <c r="AB3397" s="23"/>
      <c r="AC3397" s="23"/>
    </row>
    <row r="3398" spans="10:29" x14ac:dyDescent="0.25">
      <c r="J3398" s="19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  <c r="AA3398" s="23"/>
      <c r="AB3398" s="23"/>
      <c r="AC3398" s="23"/>
    </row>
    <row r="3399" spans="10:29" x14ac:dyDescent="0.25">
      <c r="J3399" s="19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  <c r="AA3399" s="23"/>
      <c r="AB3399" s="23"/>
      <c r="AC3399" s="23"/>
    </row>
    <row r="3400" spans="10:29" x14ac:dyDescent="0.25">
      <c r="J3400" s="19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  <c r="AA3400" s="23"/>
      <c r="AB3400" s="23"/>
      <c r="AC3400" s="23"/>
    </row>
    <row r="3401" spans="10:29" x14ac:dyDescent="0.25">
      <c r="J3401" s="19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  <c r="AA3401" s="23"/>
      <c r="AB3401" s="23"/>
      <c r="AC3401" s="23"/>
    </row>
    <row r="3402" spans="10:29" x14ac:dyDescent="0.25">
      <c r="J3402" s="19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  <c r="AA3402" s="23"/>
      <c r="AB3402" s="23"/>
      <c r="AC3402" s="23"/>
    </row>
    <row r="3403" spans="10:29" x14ac:dyDescent="0.25">
      <c r="J3403" s="19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  <c r="AA3403" s="23"/>
      <c r="AB3403" s="23"/>
      <c r="AC3403" s="23"/>
    </row>
    <row r="3404" spans="10:29" x14ac:dyDescent="0.25">
      <c r="J3404" s="19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  <c r="AA3404" s="23"/>
      <c r="AB3404" s="23"/>
      <c r="AC3404" s="23"/>
    </row>
    <row r="3405" spans="10:29" x14ac:dyDescent="0.25">
      <c r="J3405" s="19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  <c r="AA3405" s="23"/>
      <c r="AB3405" s="23"/>
      <c r="AC3405" s="23"/>
    </row>
    <row r="3406" spans="10:29" x14ac:dyDescent="0.25">
      <c r="J3406" s="19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  <c r="AA3406" s="23"/>
      <c r="AB3406" s="23"/>
      <c r="AC3406" s="23"/>
    </row>
    <row r="3407" spans="10:29" x14ac:dyDescent="0.25">
      <c r="J3407" s="19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  <c r="AA3407" s="23"/>
      <c r="AB3407" s="23"/>
      <c r="AC3407" s="23"/>
    </row>
    <row r="3408" spans="10:29" x14ac:dyDescent="0.25">
      <c r="J3408" s="19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  <c r="AA3408" s="23"/>
      <c r="AB3408" s="23"/>
      <c r="AC3408" s="23"/>
    </row>
    <row r="3409" spans="10:29" x14ac:dyDescent="0.25">
      <c r="J3409" s="19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  <c r="AA3409" s="23"/>
      <c r="AB3409" s="23"/>
      <c r="AC3409" s="23"/>
    </row>
    <row r="3410" spans="10:29" x14ac:dyDescent="0.25">
      <c r="J3410" s="19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  <c r="AA3410" s="23"/>
      <c r="AB3410" s="23"/>
      <c r="AC3410" s="23"/>
    </row>
    <row r="3411" spans="10:29" x14ac:dyDescent="0.25">
      <c r="J3411" s="19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  <c r="AA3411" s="23"/>
      <c r="AB3411" s="23"/>
      <c r="AC3411" s="23"/>
    </row>
    <row r="3412" spans="10:29" x14ac:dyDescent="0.25">
      <c r="J3412" s="19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  <c r="AA3412" s="23"/>
      <c r="AB3412" s="23"/>
      <c r="AC3412" s="23"/>
    </row>
    <row r="3413" spans="10:29" x14ac:dyDescent="0.25">
      <c r="J3413" s="19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  <c r="AA3413" s="23"/>
      <c r="AB3413" s="23"/>
      <c r="AC3413" s="23"/>
    </row>
    <row r="3414" spans="10:29" x14ac:dyDescent="0.25">
      <c r="J3414" s="19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  <c r="AA3414" s="23"/>
      <c r="AB3414" s="23"/>
      <c r="AC3414" s="23"/>
    </row>
    <row r="3415" spans="10:29" x14ac:dyDescent="0.25">
      <c r="J3415" s="19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  <c r="AA3415" s="23"/>
      <c r="AB3415" s="23"/>
      <c r="AC3415" s="23"/>
    </row>
    <row r="3416" spans="10:29" x14ac:dyDescent="0.25">
      <c r="J3416" s="19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  <c r="AA3416" s="23"/>
      <c r="AB3416" s="23"/>
      <c r="AC3416" s="23"/>
    </row>
    <row r="3417" spans="10:29" x14ac:dyDescent="0.25">
      <c r="J3417" s="19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  <c r="AA3417" s="23"/>
      <c r="AB3417" s="23"/>
      <c r="AC3417" s="23"/>
    </row>
    <row r="3418" spans="10:29" x14ac:dyDescent="0.25">
      <c r="J3418" s="19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  <c r="AA3418" s="23"/>
      <c r="AB3418" s="23"/>
      <c r="AC3418" s="23"/>
    </row>
    <row r="3419" spans="10:29" x14ac:dyDescent="0.25">
      <c r="J3419" s="19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  <c r="AA3419" s="23"/>
      <c r="AB3419" s="23"/>
      <c r="AC3419" s="23"/>
    </row>
    <row r="3420" spans="10:29" x14ac:dyDescent="0.25">
      <c r="J3420" s="19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  <c r="AA3420" s="23"/>
      <c r="AB3420" s="23"/>
      <c r="AC3420" s="23"/>
    </row>
    <row r="3421" spans="10:29" x14ac:dyDescent="0.25">
      <c r="J3421" s="19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  <c r="AA3421" s="23"/>
      <c r="AB3421" s="23"/>
      <c r="AC3421" s="23"/>
    </row>
    <row r="3422" spans="10:29" x14ac:dyDescent="0.25">
      <c r="J3422" s="19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  <c r="AA3422" s="23"/>
      <c r="AB3422" s="23"/>
      <c r="AC3422" s="23"/>
    </row>
    <row r="3423" spans="10:29" x14ac:dyDescent="0.25">
      <c r="J3423" s="19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  <c r="AA3423" s="23"/>
      <c r="AB3423" s="23"/>
      <c r="AC3423" s="23"/>
    </row>
    <row r="3424" spans="10:29" x14ac:dyDescent="0.25">
      <c r="J3424" s="19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  <c r="AA3424" s="23"/>
      <c r="AB3424" s="23"/>
      <c r="AC3424" s="23"/>
    </row>
    <row r="3425" spans="10:29" x14ac:dyDescent="0.25">
      <c r="J3425" s="19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  <c r="AA3425" s="23"/>
      <c r="AB3425" s="23"/>
      <c r="AC3425" s="23"/>
    </row>
    <row r="3426" spans="10:29" x14ac:dyDescent="0.25">
      <c r="J3426" s="19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  <c r="AA3426" s="23"/>
      <c r="AB3426" s="23"/>
      <c r="AC3426" s="23"/>
    </row>
    <row r="3427" spans="10:29" x14ac:dyDescent="0.25">
      <c r="J3427" s="19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  <c r="AA3427" s="23"/>
      <c r="AB3427" s="23"/>
      <c r="AC3427" s="23"/>
    </row>
    <row r="3428" spans="10:29" x14ac:dyDescent="0.25">
      <c r="J3428" s="19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  <c r="AA3428" s="23"/>
      <c r="AB3428" s="23"/>
      <c r="AC3428" s="23"/>
    </row>
    <row r="3429" spans="10:29" x14ac:dyDescent="0.25">
      <c r="J3429" s="19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  <c r="AA3429" s="23"/>
      <c r="AB3429" s="23"/>
      <c r="AC3429" s="23"/>
    </row>
    <row r="3430" spans="10:29" x14ac:dyDescent="0.25">
      <c r="J3430" s="19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  <c r="AA3430" s="23"/>
      <c r="AB3430" s="23"/>
      <c r="AC3430" s="23"/>
    </row>
    <row r="3431" spans="10:29" x14ac:dyDescent="0.25">
      <c r="J3431" s="19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  <c r="AA3431" s="23"/>
      <c r="AB3431" s="23"/>
      <c r="AC3431" s="23"/>
    </row>
    <row r="3432" spans="10:29" x14ac:dyDescent="0.25">
      <c r="J3432" s="19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  <c r="AA3432" s="23"/>
      <c r="AB3432" s="23"/>
      <c r="AC3432" s="23"/>
    </row>
    <row r="3433" spans="10:29" x14ac:dyDescent="0.25">
      <c r="J3433" s="19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  <c r="AA3433" s="23"/>
      <c r="AB3433" s="23"/>
      <c r="AC3433" s="23"/>
    </row>
    <row r="3434" spans="10:29" x14ac:dyDescent="0.25">
      <c r="J3434" s="19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  <c r="AA3434" s="23"/>
      <c r="AB3434" s="23"/>
      <c r="AC3434" s="23"/>
    </row>
    <row r="3435" spans="10:29" x14ac:dyDescent="0.25">
      <c r="J3435" s="19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  <c r="AA3435" s="23"/>
      <c r="AB3435" s="23"/>
      <c r="AC3435" s="23"/>
    </row>
    <row r="3436" spans="10:29" x14ac:dyDescent="0.25">
      <c r="J3436" s="19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  <c r="AA3436" s="23"/>
      <c r="AB3436" s="23"/>
      <c r="AC3436" s="23"/>
    </row>
    <row r="3437" spans="10:29" x14ac:dyDescent="0.25">
      <c r="J3437" s="19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  <c r="AA3437" s="23"/>
      <c r="AB3437" s="23"/>
      <c r="AC3437" s="23"/>
    </row>
    <row r="3438" spans="10:29" x14ac:dyDescent="0.25">
      <c r="J3438" s="19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  <c r="AA3438" s="23"/>
      <c r="AB3438" s="23"/>
      <c r="AC3438" s="23"/>
    </row>
    <row r="3439" spans="10:29" x14ac:dyDescent="0.25">
      <c r="J3439" s="19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  <c r="AA3439" s="23"/>
      <c r="AB3439" s="23"/>
      <c r="AC3439" s="23"/>
    </row>
    <row r="3440" spans="10:29" x14ac:dyDescent="0.25">
      <c r="J3440" s="19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  <c r="AA3440" s="23"/>
      <c r="AB3440" s="23"/>
      <c r="AC3440" s="23"/>
    </row>
    <row r="3441" spans="10:29" x14ac:dyDescent="0.25">
      <c r="J3441" s="19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  <c r="AA3441" s="23"/>
      <c r="AB3441" s="23"/>
      <c r="AC3441" s="23"/>
    </row>
    <row r="3442" spans="10:29" x14ac:dyDescent="0.25">
      <c r="J3442" s="19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  <c r="AA3442" s="23"/>
      <c r="AB3442" s="23"/>
      <c r="AC3442" s="23"/>
    </row>
    <row r="3443" spans="10:29" x14ac:dyDescent="0.25">
      <c r="J3443" s="19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  <c r="AA3443" s="23"/>
      <c r="AB3443" s="23"/>
      <c r="AC3443" s="23"/>
    </row>
    <row r="3444" spans="10:29" x14ac:dyDescent="0.25">
      <c r="J3444" s="19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  <c r="AA3444" s="23"/>
      <c r="AB3444" s="23"/>
      <c r="AC3444" s="23"/>
    </row>
    <row r="3445" spans="10:29" x14ac:dyDescent="0.25">
      <c r="J3445" s="19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  <c r="AA3445" s="23"/>
      <c r="AB3445" s="23"/>
      <c r="AC3445" s="23"/>
    </row>
    <row r="3446" spans="10:29" x14ac:dyDescent="0.25">
      <c r="J3446" s="19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  <c r="AA3446" s="23"/>
      <c r="AB3446" s="23"/>
      <c r="AC3446" s="23"/>
    </row>
    <row r="3447" spans="10:29" x14ac:dyDescent="0.25">
      <c r="J3447" s="19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  <c r="AA3447" s="23"/>
      <c r="AB3447" s="23"/>
      <c r="AC3447" s="23"/>
    </row>
    <row r="3448" spans="10:29" x14ac:dyDescent="0.25">
      <c r="J3448" s="19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  <c r="AA3448" s="23"/>
      <c r="AB3448" s="23"/>
      <c r="AC3448" s="23"/>
    </row>
    <row r="3449" spans="10:29" x14ac:dyDescent="0.25">
      <c r="J3449" s="19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  <c r="AA3449" s="23"/>
      <c r="AB3449" s="23"/>
      <c r="AC3449" s="23"/>
    </row>
    <row r="3450" spans="10:29" x14ac:dyDescent="0.25">
      <c r="J3450" s="19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  <c r="AA3450" s="23"/>
      <c r="AB3450" s="23"/>
      <c r="AC3450" s="23"/>
    </row>
    <row r="3451" spans="10:29" x14ac:dyDescent="0.25">
      <c r="J3451" s="19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  <c r="AA3451" s="23"/>
      <c r="AB3451" s="23"/>
      <c r="AC3451" s="23"/>
    </row>
    <row r="3452" spans="10:29" x14ac:dyDescent="0.25">
      <c r="J3452" s="19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  <c r="AA3452" s="23"/>
      <c r="AB3452" s="23"/>
      <c r="AC3452" s="23"/>
    </row>
    <row r="3453" spans="10:29" x14ac:dyDescent="0.25">
      <c r="J3453" s="19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  <c r="AA3453" s="23"/>
      <c r="AB3453" s="23"/>
      <c r="AC3453" s="23"/>
    </row>
    <row r="3454" spans="10:29" x14ac:dyDescent="0.25">
      <c r="J3454" s="19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  <c r="AA3454" s="23"/>
      <c r="AB3454" s="23"/>
      <c r="AC3454" s="23"/>
    </row>
    <row r="3455" spans="10:29" x14ac:dyDescent="0.25">
      <c r="J3455" s="19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  <c r="AA3455" s="23"/>
      <c r="AB3455" s="23"/>
      <c r="AC3455" s="23"/>
    </row>
    <row r="3456" spans="10:29" x14ac:dyDescent="0.25">
      <c r="J3456" s="19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  <c r="AA3456" s="23"/>
      <c r="AB3456" s="23"/>
      <c r="AC3456" s="23"/>
    </row>
    <row r="3457" spans="10:29" x14ac:dyDescent="0.25">
      <c r="J3457" s="19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  <c r="AA3457" s="23"/>
      <c r="AB3457" s="23"/>
      <c r="AC3457" s="23"/>
    </row>
    <row r="3458" spans="10:29" x14ac:dyDescent="0.25">
      <c r="J3458" s="19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  <c r="AA3458" s="23"/>
      <c r="AB3458" s="23"/>
      <c r="AC3458" s="23"/>
    </row>
    <row r="3459" spans="10:29" x14ac:dyDescent="0.25">
      <c r="J3459" s="19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  <c r="AA3459" s="23"/>
      <c r="AB3459" s="23"/>
      <c r="AC3459" s="23"/>
    </row>
    <row r="3460" spans="10:29" x14ac:dyDescent="0.25">
      <c r="J3460" s="19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  <c r="AA3460" s="23"/>
      <c r="AB3460" s="23"/>
      <c r="AC3460" s="23"/>
    </row>
    <row r="3461" spans="10:29" x14ac:dyDescent="0.25">
      <c r="J3461" s="19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  <c r="AA3461" s="23"/>
      <c r="AB3461" s="23"/>
      <c r="AC3461" s="23"/>
    </row>
    <row r="3462" spans="10:29" x14ac:dyDescent="0.25">
      <c r="J3462" s="19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  <c r="AA3462" s="23"/>
      <c r="AB3462" s="23"/>
      <c r="AC3462" s="23"/>
    </row>
    <row r="3463" spans="10:29" x14ac:dyDescent="0.25">
      <c r="J3463" s="19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  <c r="AA3463" s="23"/>
      <c r="AB3463" s="23"/>
      <c r="AC3463" s="23"/>
    </row>
    <row r="3464" spans="10:29" x14ac:dyDescent="0.25">
      <c r="J3464" s="19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  <c r="AA3464" s="23"/>
      <c r="AB3464" s="23"/>
      <c r="AC3464" s="23"/>
    </row>
    <row r="3465" spans="10:29" x14ac:dyDescent="0.25">
      <c r="J3465" s="19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  <c r="AA3465" s="23"/>
      <c r="AB3465" s="23"/>
      <c r="AC3465" s="23"/>
    </row>
    <row r="3466" spans="10:29" x14ac:dyDescent="0.25">
      <c r="J3466" s="19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  <c r="AA3466" s="23"/>
      <c r="AB3466" s="23"/>
      <c r="AC3466" s="23"/>
    </row>
    <row r="3467" spans="10:29" x14ac:dyDescent="0.25">
      <c r="J3467" s="19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  <c r="AA3467" s="23"/>
      <c r="AB3467" s="23"/>
      <c r="AC3467" s="23"/>
    </row>
    <row r="3468" spans="10:29" x14ac:dyDescent="0.25">
      <c r="J3468" s="19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  <c r="AA3468" s="23"/>
      <c r="AB3468" s="23"/>
      <c r="AC3468" s="23"/>
    </row>
    <row r="3469" spans="10:29" x14ac:dyDescent="0.25">
      <c r="J3469" s="19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  <c r="AA3469" s="23"/>
      <c r="AB3469" s="23"/>
      <c r="AC3469" s="23"/>
    </row>
    <row r="3470" spans="10:29" x14ac:dyDescent="0.25">
      <c r="J3470" s="19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  <c r="AA3470" s="23"/>
      <c r="AB3470" s="23"/>
      <c r="AC3470" s="23"/>
    </row>
    <row r="3471" spans="10:29" x14ac:dyDescent="0.25">
      <c r="J3471" s="19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  <c r="AA3471" s="23"/>
      <c r="AB3471" s="23"/>
      <c r="AC3471" s="23"/>
    </row>
    <row r="3472" spans="10:29" x14ac:dyDescent="0.25">
      <c r="J3472" s="19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  <c r="AA3472" s="23"/>
      <c r="AB3472" s="23"/>
      <c r="AC3472" s="23"/>
    </row>
    <row r="3473" spans="10:29" x14ac:dyDescent="0.25">
      <c r="J3473" s="19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  <c r="AA3473" s="23"/>
      <c r="AB3473" s="23"/>
      <c r="AC3473" s="23"/>
    </row>
    <row r="3474" spans="10:29" x14ac:dyDescent="0.25">
      <c r="J3474" s="19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  <c r="AA3474" s="23"/>
      <c r="AB3474" s="23"/>
      <c r="AC3474" s="23"/>
    </row>
    <row r="3475" spans="10:29" x14ac:dyDescent="0.25">
      <c r="J3475" s="19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  <c r="AA3475" s="23"/>
      <c r="AB3475" s="23"/>
      <c r="AC3475" s="23"/>
    </row>
    <row r="3476" spans="10:29" x14ac:dyDescent="0.25">
      <c r="J3476" s="19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  <c r="AA3476" s="23"/>
      <c r="AB3476" s="23"/>
      <c r="AC3476" s="23"/>
    </row>
    <row r="3477" spans="10:29" x14ac:dyDescent="0.25">
      <c r="J3477" s="19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  <c r="AA3477" s="23"/>
      <c r="AB3477" s="23"/>
      <c r="AC3477" s="23"/>
    </row>
    <row r="3478" spans="10:29" x14ac:dyDescent="0.25">
      <c r="J3478" s="19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  <c r="AA3478" s="23"/>
      <c r="AB3478" s="23"/>
      <c r="AC3478" s="23"/>
    </row>
    <row r="3479" spans="10:29" x14ac:dyDescent="0.25">
      <c r="J3479" s="19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  <c r="AA3479" s="23"/>
      <c r="AB3479" s="23"/>
      <c r="AC3479" s="23"/>
    </row>
    <row r="3480" spans="10:29" x14ac:dyDescent="0.25">
      <c r="J3480" s="19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  <c r="AA3480" s="23"/>
      <c r="AB3480" s="23"/>
      <c r="AC3480" s="23"/>
    </row>
    <row r="3481" spans="10:29" x14ac:dyDescent="0.25">
      <c r="J3481" s="19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  <c r="AA3481" s="23"/>
      <c r="AB3481" s="23"/>
      <c r="AC3481" s="23"/>
    </row>
    <row r="3482" spans="10:29" x14ac:dyDescent="0.25">
      <c r="J3482" s="19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  <c r="AA3482" s="23"/>
      <c r="AB3482" s="23"/>
      <c r="AC3482" s="23"/>
    </row>
    <row r="3483" spans="10:29" x14ac:dyDescent="0.25">
      <c r="J3483" s="19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  <c r="AA3483" s="23"/>
      <c r="AB3483" s="23"/>
      <c r="AC3483" s="23"/>
    </row>
    <row r="3484" spans="10:29" x14ac:dyDescent="0.25">
      <c r="J3484" s="19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  <c r="AA3484" s="23"/>
      <c r="AB3484" s="23"/>
      <c r="AC3484" s="23"/>
    </row>
    <row r="3485" spans="10:29" x14ac:dyDescent="0.25">
      <c r="J3485" s="19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  <c r="AA3485" s="23"/>
      <c r="AB3485" s="23"/>
      <c r="AC3485" s="23"/>
    </row>
    <row r="3486" spans="10:29" x14ac:dyDescent="0.25">
      <c r="J3486" s="19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  <c r="AA3486" s="23"/>
      <c r="AB3486" s="23"/>
      <c r="AC3486" s="23"/>
    </row>
    <row r="3487" spans="10:29" x14ac:dyDescent="0.25">
      <c r="J3487" s="19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  <c r="AA3487" s="23"/>
      <c r="AB3487" s="23"/>
      <c r="AC3487" s="23"/>
    </row>
    <row r="3488" spans="10:29" x14ac:dyDescent="0.25">
      <c r="J3488" s="19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  <c r="AA3488" s="23"/>
      <c r="AB3488" s="23"/>
      <c r="AC3488" s="23"/>
    </row>
    <row r="3489" spans="10:29" x14ac:dyDescent="0.25">
      <c r="J3489" s="19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  <c r="AA3489" s="23"/>
      <c r="AB3489" s="23"/>
      <c r="AC3489" s="23"/>
    </row>
    <row r="3490" spans="10:29" x14ac:dyDescent="0.25">
      <c r="J3490" s="19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  <c r="AA3490" s="23"/>
      <c r="AB3490" s="23"/>
      <c r="AC3490" s="23"/>
    </row>
    <row r="3491" spans="10:29" x14ac:dyDescent="0.25">
      <c r="J3491" s="19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  <c r="AA3491" s="23"/>
      <c r="AB3491" s="23"/>
      <c r="AC3491" s="23"/>
    </row>
    <row r="3492" spans="10:29" x14ac:dyDescent="0.25">
      <c r="J3492" s="19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  <c r="AA3492" s="23"/>
      <c r="AB3492" s="23"/>
      <c r="AC3492" s="23"/>
    </row>
    <row r="3493" spans="10:29" x14ac:dyDescent="0.25">
      <c r="J3493" s="19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  <c r="AA3493" s="23"/>
      <c r="AB3493" s="23"/>
      <c r="AC3493" s="23"/>
    </row>
    <row r="3494" spans="10:29" x14ac:dyDescent="0.25">
      <c r="J3494" s="19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  <c r="AA3494" s="23"/>
      <c r="AB3494" s="23"/>
      <c r="AC3494" s="23"/>
    </row>
    <row r="3495" spans="10:29" x14ac:dyDescent="0.25">
      <c r="J3495" s="19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  <c r="AA3495" s="23"/>
      <c r="AB3495" s="23"/>
      <c r="AC3495" s="23"/>
    </row>
    <row r="3496" spans="10:29" x14ac:dyDescent="0.25">
      <c r="J3496" s="19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  <c r="AA3496" s="23"/>
      <c r="AB3496" s="23"/>
      <c r="AC3496" s="23"/>
    </row>
    <row r="3497" spans="10:29" x14ac:dyDescent="0.25">
      <c r="J3497" s="19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  <c r="AA3497" s="23"/>
      <c r="AB3497" s="23"/>
      <c r="AC3497" s="23"/>
    </row>
    <row r="3498" spans="10:29" x14ac:dyDescent="0.25">
      <c r="J3498" s="19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  <c r="AA3498" s="23"/>
      <c r="AB3498" s="23"/>
      <c r="AC3498" s="23"/>
    </row>
    <row r="3499" spans="10:29" x14ac:dyDescent="0.25">
      <c r="J3499" s="19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  <c r="AA3499" s="23"/>
      <c r="AB3499" s="23"/>
      <c r="AC3499" s="23"/>
    </row>
    <row r="3500" spans="10:29" x14ac:dyDescent="0.25">
      <c r="J3500" s="19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  <c r="AA3500" s="23"/>
      <c r="AB3500" s="23"/>
      <c r="AC3500" s="23"/>
    </row>
    <row r="3501" spans="10:29" x14ac:dyDescent="0.25">
      <c r="J3501" s="19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  <c r="AA3501" s="23"/>
      <c r="AB3501" s="23"/>
      <c r="AC3501" s="23"/>
    </row>
    <row r="3502" spans="10:29" x14ac:dyDescent="0.25">
      <c r="J3502" s="19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  <c r="AA3502" s="23"/>
      <c r="AB3502" s="23"/>
      <c r="AC3502" s="23"/>
    </row>
    <row r="3503" spans="10:29" x14ac:dyDescent="0.25">
      <c r="J3503" s="19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  <c r="AA3503" s="23"/>
      <c r="AB3503" s="23"/>
      <c r="AC3503" s="23"/>
    </row>
    <row r="3504" spans="10:29" x14ac:dyDescent="0.25">
      <c r="J3504" s="19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  <c r="AA3504" s="23"/>
      <c r="AB3504" s="23"/>
      <c r="AC3504" s="23"/>
    </row>
    <row r="3505" spans="10:29" x14ac:dyDescent="0.25">
      <c r="J3505" s="19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  <c r="AA3505" s="23"/>
      <c r="AB3505" s="23"/>
      <c r="AC3505" s="23"/>
    </row>
    <row r="3506" spans="10:29" x14ac:dyDescent="0.25">
      <c r="J3506" s="19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  <c r="AA3506" s="23"/>
      <c r="AB3506" s="23"/>
      <c r="AC3506" s="23"/>
    </row>
    <row r="3507" spans="10:29" x14ac:dyDescent="0.25">
      <c r="J3507" s="19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  <c r="AA3507" s="23"/>
      <c r="AB3507" s="23"/>
      <c r="AC3507" s="23"/>
    </row>
    <row r="3508" spans="10:29" x14ac:dyDescent="0.25">
      <c r="J3508" s="19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  <c r="AA3508" s="23"/>
      <c r="AB3508" s="23"/>
      <c r="AC3508" s="23"/>
    </row>
    <row r="3509" spans="10:29" x14ac:dyDescent="0.25">
      <c r="J3509" s="19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  <c r="AA3509" s="23"/>
      <c r="AB3509" s="23"/>
      <c r="AC3509" s="23"/>
    </row>
    <row r="3510" spans="10:29" x14ac:dyDescent="0.25">
      <c r="J3510" s="19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  <c r="AA3510" s="23"/>
      <c r="AB3510" s="23"/>
      <c r="AC3510" s="23"/>
    </row>
    <row r="3511" spans="10:29" x14ac:dyDescent="0.25">
      <c r="J3511" s="19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  <c r="AA3511" s="23"/>
      <c r="AB3511" s="23"/>
      <c r="AC3511" s="23"/>
    </row>
    <row r="3512" spans="10:29" x14ac:dyDescent="0.25">
      <c r="J3512" s="19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  <c r="AA3512" s="23"/>
      <c r="AB3512" s="23"/>
      <c r="AC3512" s="23"/>
    </row>
    <row r="3513" spans="10:29" x14ac:dyDescent="0.25">
      <c r="J3513" s="19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  <c r="AA3513" s="23"/>
      <c r="AB3513" s="23"/>
      <c r="AC3513" s="23"/>
    </row>
    <row r="3514" spans="10:29" x14ac:dyDescent="0.25">
      <c r="J3514" s="19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  <c r="AA3514" s="23"/>
      <c r="AB3514" s="23"/>
      <c r="AC3514" s="23"/>
    </row>
    <row r="3515" spans="10:29" x14ac:dyDescent="0.25">
      <c r="J3515" s="19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  <c r="AA3515" s="23"/>
      <c r="AB3515" s="23"/>
      <c r="AC3515" s="23"/>
    </row>
    <row r="3516" spans="10:29" x14ac:dyDescent="0.25">
      <c r="J3516" s="19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  <c r="AA3516" s="23"/>
      <c r="AB3516" s="23"/>
      <c r="AC3516" s="23"/>
    </row>
    <row r="3517" spans="10:29" x14ac:dyDescent="0.25">
      <c r="J3517" s="19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  <c r="AA3517" s="23"/>
      <c r="AB3517" s="23"/>
      <c r="AC3517" s="23"/>
    </row>
    <row r="3518" spans="10:29" x14ac:dyDescent="0.25">
      <c r="J3518" s="19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  <c r="AA3518" s="23"/>
      <c r="AB3518" s="23"/>
      <c r="AC3518" s="23"/>
    </row>
    <row r="3519" spans="10:29" x14ac:dyDescent="0.25">
      <c r="J3519" s="19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  <c r="AA3519" s="23"/>
      <c r="AB3519" s="23"/>
      <c r="AC3519" s="23"/>
    </row>
    <row r="3520" spans="10:29" x14ac:dyDescent="0.25">
      <c r="J3520" s="19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  <c r="AA3520" s="23"/>
      <c r="AB3520" s="23"/>
      <c r="AC3520" s="23"/>
    </row>
    <row r="3521" spans="10:29" x14ac:dyDescent="0.25">
      <c r="J3521" s="19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  <c r="AA3521" s="23"/>
      <c r="AB3521" s="23"/>
      <c r="AC3521" s="23"/>
    </row>
    <row r="3522" spans="10:29" x14ac:dyDescent="0.25">
      <c r="J3522" s="19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  <c r="AA3522" s="23"/>
      <c r="AB3522" s="23"/>
      <c r="AC3522" s="23"/>
    </row>
    <row r="3523" spans="10:29" x14ac:dyDescent="0.25">
      <c r="J3523" s="19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  <c r="AA3523" s="23"/>
      <c r="AB3523" s="23"/>
      <c r="AC3523" s="23"/>
    </row>
    <row r="3524" spans="10:29" x14ac:dyDescent="0.25">
      <c r="J3524" s="19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  <c r="AA3524" s="23"/>
      <c r="AB3524" s="23"/>
      <c r="AC3524" s="23"/>
    </row>
    <row r="3525" spans="10:29" x14ac:dyDescent="0.25">
      <c r="J3525" s="19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  <c r="AA3525" s="23"/>
      <c r="AB3525" s="23"/>
      <c r="AC3525" s="23"/>
    </row>
    <row r="3526" spans="10:29" x14ac:dyDescent="0.25">
      <c r="J3526" s="19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  <c r="AA3526" s="23"/>
      <c r="AB3526" s="23"/>
      <c r="AC3526" s="23"/>
    </row>
    <row r="3527" spans="10:29" x14ac:dyDescent="0.25">
      <c r="J3527" s="19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  <c r="AA3527" s="23"/>
      <c r="AB3527" s="23"/>
      <c r="AC3527" s="23"/>
    </row>
    <row r="3528" spans="10:29" x14ac:dyDescent="0.25">
      <c r="J3528" s="19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  <c r="AA3528" s="23"/>
      <c r="AB3528" s="23"/>
      <c r="AC3528" s="23"/>
    </row>
    <row r="3529" spans="10:29" x14ac:dyDescent="0.25">
      <c r="J3529" s="19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  <c r="AA3529" s="23"/>
      <c r="AB3529" s="23"/>
      <c r="AC3529" s="23"/>
    </row>
    <row r="3530" spans="10:29" x14ac:dyDescent="0.25">
      <c r="J3530" s="19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  <c r="AA3530" s="23"/>
      <c r="AB3530" s="23"/>
      <c r="AC3530" s="23"/>
    </row>
    <row r="3531" spans="10:29" x14ac:dyDescent="0.25">
      <c r="J3531" s="19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  <c r="AA3531" s="23"/>
      <c r="AB3531" s="23"/>
      <c r="AC3531" s="23"/>
    </row>
    <row r="3532" spans="10:29" x14ac:dyDescent="0.25">
      <c r="J3532" s="19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  <c r="AA3532" s="23"/>
      <c r="AB3532" s="23"/>
      <c r="AC3532" s="23"/>
    </row>
    <row r="3533" spans="10:29" x14ac:dyDescent="0.25">
      <c r="J3533" s="19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  <c r="AA3533" s="23"/>
      <c r="AB3533" s="23"/>
      <c r="AC3533" s="23"/>
    </row>
    <row r="3534" spans="10:29" x14ac:dyDescent="0.25">
      <c r="J3534" s="19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  <c r="AA3534" s="23"/>
      <c r="AB3534" s="23"/>
      <c r="AC3534" s="23"/>
    </row>
    <row r="3535" spans="10:29" x14ac:dyDescent="0.25">
      <c r="J3535" s="19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  <c r="AA3535" s="23"/>
      <c r="AB3535" s="23"/>
      <c r="AC3535" s="23"/>
    </row>
    <row r="3536" spans="10:29" x14ac:dyDescent="0.25">
      <c r="J3536" s="19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  <c r="AA3536" s="23"/>
      <c r="AB3536" s="23"/>
      <c r="AC3536" s="23"/>
    </row>
    <row r="3537" spans="10:29" x14ac:dyDescent="0.25">
      <c r="J3537" s="19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  <c r="AA3537" s="23"/>
      <c r="AB3537" s="23"/>
      <c r="AC3537" s="23"/>
    </row>
    <row r="3538" spans="10:29" x14ac:dyDescent="0.25">
      <c r="J3538" s="19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  <c r="AA3538" s="23"/>
      <c r="AB3538" s="23"/>
      <c r="AC3538" s="23"/>
    </row>
    <row r="3539" spans="10:29" x14ac:dyDescent="0.25">
      <c r="J3539" s="19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  <c r="AA3539" s="23"/>
      <c r="AB3539" s="23"/>
      <c r="AC3539" s="23"/>
    </row>
    <row r="3540" spans="10:29" x14ac:dyDescent="0.25">
      <c r="J3540" s="19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  <c r="AA3540" s="23"/>
      <c r="AB3540" s="23"/>
      <c r="AC3540" s="23"/>
    </row>
    <row r="3541" spans="10:29" x14ac:dyDescent="0.25">
      <c r="J3541" s="19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  <c r="AA3541" s="23"/>
      <c r="AB3541" s="23"/>
      <c r="AC3541" s="23"/>
    </row>
    <row r="3542" spans="10:29" x14ac:dyDescent="0.25">
      <c r="J3542" s="19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  <c r="AA3542" s="23"/>
      <c r="AB3542" s="23"/>
      <c r="AC3542" s="23"/>
    </row>
    <row r="3543" spans="10:29" x14ac:dyDescent="0.25">
      <c r="J3543" s="19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  <c r="AA3543" s="23"/>
      <c r="AB3543" s="23"/>
      <c r="AC3543" s="23"/>
    </row>
    <row r="3544" spans="10:29" x14ac:dyDescent="0.25">
      <c r="J3544" s="19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  <c r="AA3544" s="23"/>
      <c r="AB3544" s="23"/>
      <c r="AC3544" s="23"/>
    </row>
    <row r="3545" spans="10:29" x14ac:dyDescent="0.25">
      <c r="J3545" s="19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  <c r="AA3545" s="23"/>
      <c r="AB3545" s="23"/>
      <c r="AC3545" s="23"/>
    </row>
    <row r="3546" spans="10:29" x14ac:dyDescent="0.25">
      <c r="J3546" s="19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  <c r="AA3546" s="23"/>
      <c r="AB3546" s="23"/>
      <c r="AC3546" s="23"/>
    </row>
    <row r="3547" spans="10:29" x14ac:dyDescent="0.25">
      <c r="J3547" s="19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  <c r="AA3547" s="23"/>
      <c r="AB3547" s="23"/>
      <c r="AC3547" s="23"/>
    </row>
    <row r="3548" spans="10:29" x14ac:dyDescent="0.25">
      <c r="J3548" s="19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  <c r="AA3548" s="23"/>
      <c r="AB3548" s="23"/>
      <c r="AC3548" s="23"/>
    </row>
    <row r="3549" spans="10:29" x14ac:dyDescent="0.25">
      <c r="J3549" s="19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  <c r="AA3549" s="23"/>
      <c r="AB3549" s="23"/>
      <c r="AC3549" s="23"/>
    </row>
    <row r="3550" spans="10:29" x14ac:dyDescent="0.25">
      <c r="J3550" s="19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  <c r="AA3550" s="23"/>
      <c r="AB3550" s="23"/>
      <c r="AC3550" s="23"/>
    </row>
    <row r="3551" spans="10:29" x14ac:dyDescent="0.25">
      <c r="J3551" s="19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  <c r="AA3551" s="23"/>
      <c r="AB3551" s="23"/>
      <c r="AC3551" s="23"/>
    </row>
    <row r="3552" spans="10:29" x14ac:dyDescent="0.25">
      <c r="J3552" s="19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  <c r="AA3552" s="23"/>
      <c r="AB3552" s="23"/>
      <c r="AC3552" s="23"/>
    </row>
    <row r="3553" spans="10:29" x14ac:dyDescent="0.25">
      <c r="J3553" s="19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  <c r="AA3553" s="23"/>
      <c r="AB3553" s="23"/>
      <c r="AC3553" s="23"/>
    </row>
    <row r="3554" spans="10:29" x14ac:dyDescent="0.25">
      <c r="J3554" s="19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  <c r="AA3554" s="23"/>
      <c r="AB3554" s="23"/>
      <c r="AC3554" s="23"/>
    </row>
    <row r="3555" spans="10:29" x14ac:dyDescent="0.25">
      <c r="J3555" s="19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  <c r="AA3555" s="23"/>
      <c r="AB3555" s="23"/>
      <c r="AC3555" s="23"/>
    </row>
    <row r="3556" spans="10:29" x14ac:dyDescent="0.25">
      <c r="J3556" s="19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  <c r="AA3556" s="23"/>
      <c r="AB3556" s="23"/>
      <c r="AC3556" s="23"/>
    </row>
    <row r="3557" spans="10:29" x14ac:dyDescent="0.25">
      <c r="J3557" s="19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  <c r="AA3557" s="23"/>
      <c r="AB3557" s="23"/>
      <c r="AC3557" s="23"/>
    </row>
    <row r="3558" spans="10:29" x14ac:dyDescent="0.25">
      <c r="J3558" s="19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  <c r="AA3558" s="23"/>
      <c r="AB3558" s="23"/>
      <c r="AC3558" s="23"/>
    </row>
    <row r="3559" spans="10:29" x14ac:dyDescent="0.25">
      <c r="J3559" s="19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  <c r="AA3559" s="23"/>
      <c r="AB3559" s="23"/>
      <c r="AC3559" s="23"/>
    </row>
    <row r="3560" spans="10:29" x14ac:dyDescent="0.25">
      <c r="J3560" s="19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  <c r="AA3560" s="23"/>
      <c r="AB3560" s="23"/>
      <c r="AC3560" s="23"/>
    </row>
    <row r="3561" spans="10:29" x14ac:dyDescent="0.25">
      <c r="J3561" s="19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  <c r="AA3561" s="23"/>
      <c r="AB3561" s="23"/>
      <c r="AC3561" s="23"/>
    </row>
    <row r="3562" spans="10:29" x14ac:dyDescent="0.25">
      <c r="J3562" s="19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  <c r="AA3562" s="23"/>
      <c r="AB3562" s="23"/>
      <c r="AC3562" s="23"/>
    </row>
    <row r="3563" spans="10:29" x14ac:dyDescent="0.25">
      <c r="J3563" s="19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  <c r="AA3563" s="23"/>
      <c r="AB3563" s="23"/>
      <c r="AC3563" s="23"/>
    </row>
    <row r="3564" spans="10:29" x14ac:dyDescent="0.25">
      <c r="J3564" s="19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  <c r="AA3564" s="23"/>
      <c r="AB3564" s="23"/>
      <c r="AC3564" s="23"/>
    </row>
    <row r="3565" spans="10:29" x14ac:dyDescent="0.25">
      <c r="J3565" s="19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  <c r="AA3565" s="23"/>
      <c r="AB3565" s="23"/>
      <c r="AC3565" s="23"/>
    </row>
    <row r="3566" spans="10:29" x14ac:dyDescent="0.25">
      <c r="J3566" s="19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  <c r="AA3566" s="23"/>
      <c r="AB3566" s="23"/>
      <c r="AC3566" s="23"/>
    </row>
    <row r="3567" spans="10:29" x14ac:dyDescent="0.25">
      <c r="J3567" s="19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  <c r="AA3567" s="23"/>
      <c r="AB3567" s="23"/>
      <c r="AC3567" s="23"/>
    </row>
    <row r="3568" spans="10:29" x14ac:dyDescent="0.25">
      <c r="J3568" s="19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  <c r="AA3568" s="23"/>
      <c r="AB3568" s="23"/>
      <c r="AC3568" s="23"/>
    </row>
    <row r="3569" spans="10:29" x14ac:dyDescent="0.25">
      <c r="J3569" s="19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  <c r="AA3569" s="23"/>
      <c r="AB3569" s="23"/>
      <c r="AC3569" s="23"/>
    </row>
    <row r="3570" spans="10:29" x14ac:dyDescent="0.25">
      <c r="J3570" s="19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  <c r="AA3570" s="23"/>
      <c r="AB3570" s="23"/>
      <c r="AC3570" s="23"/>
    </row>
    <row r="3571" spans="10:29" x14ac:dyDescent="0.25">
      <c r="J3571" s="19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  <c r="AA3571" s="23"/>
      <c r="AB3571" s="23"/>
      <c r="AC3571" s="23"/>
    </row>
    <row r="3572" spans="10:29" x14ac:dyDescent="0.25">
      <c r="J3572" s="19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  <c r="AA3572" s="23"/>
      <c r="AB3572" s="23"/>
      <c r="AC3572" s="23"/>
    </row>
    <row r="3573" spans="10:29" x14ac:dyDescent="0.25">
      <c r="J3573" s="19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  <c r="AA3573" s="23"/>
      <c r="AB3573" s="23"/>
      <c r="AC3573" s="23"/>
    </row>
    <row r="3574" spans="10:29" x14ac:dyDescent="0.25">
      <c r="J3574" s="19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  <c r="AA3574" s="23"/>
      <c r="AB3574" s="23"/>
      <c r="AC3574" s="23"/>
    </row>
    <row r="3575" spans="10:29" x14ac:dyDescent="0.25">
      <c r="J3575" s="19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  <c r="AA3575" s="23"/>
      <c r="AB3575" s="23"/>
      <c r="AC3575" s="23"/>
    </row>
    <row r="3576" spans="10:29" x14ac:dyDescent="0.25">
      <c r="J3576" s="19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  <c r="AA3576" s="23"/>
      <c r="AB3576" s="23"/>
      <c r="AC3576" s="23"/>
    </row>
    <row r="3577" spans="10:29" x14ac:dyDescent="0.25">
      <c r="J3577" s="19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  <c r="AA3577" s="23"/>
      <c r="AB3577" s="23"/>
      <c r="AC3577" s="23"/>
    </row>
    <row r="3578" spans="10:29" x14ac:dyDescent="0.25">
      <c r="J3578" s="19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  <c r="AA3578" s="23"/>
      <c r="AB3578" s="23"/>
      <c r="AC3578" s="23"/>
    </row>
    <row r="3579" spans="10:29" x14ac:dyDescent="0.25">
      <c r="J3579" s="19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  <c r="AA3579" s="23"/>
      <c r="AB3579" s="23"/>
      <c r="AC3579" s="23"/>
    </row>
    <row r="3580" spans="10:29" x14ac:dyDescent="0.25">
      <c r="J3580" s="19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  <c r="AA3580" s="23"/>
      <c r="AB3580" s="23"/>
      <c r="AC3580" s="23"/>
    </row>
    <row r="3581" spans="10:29" x14ac:dyDescent="0.25">
      <c r="J3581" s="19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  <c r="AA3581" s="23"/>
      <c r="AB3581" s="23"/>
      <c r="AC3581" s="23"/>
    </row>
    <row r="3582" spans="10:29" x14ac:dyDescent="0.25">
      <c r="J3582" s="19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  <c r="AA3582" s="23"/>
      <c r="AB3582" s="23"/>
      <c r="AC3582" s="23"/>
    </row>
    <row r="3583" spans="10:29" x14ac:dyDescent="0.25">
      <c r="J3583" s="19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  <c r="AA3583" s="23"/>
      <c r="AB3583" s="23"/>
      <c r="AC3583" s="23"/>
    </row>
    <row r="3584" spans="10:29" x14ac:dyDescent="0.25">
      <c r="J3584" s="19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  <c r="AA3584" s="23"/>
      <c r="AB3584" s="23"/>
      <c r="AC3584" s="23"/>
    </row>
    <row r="3585" spans="10:29" x14ac:dyDescent="0.25">
      <c r="J3585" s="19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  <c r="AA3585" s="23"/>
      <c r="AB3585" s="23"/>
      <c r="AC3585" s="23"/>
    </row>
    <row r="3586" spans="10:29" x14ac:dyDescent="0.25">
      <c r="J3586" s="19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  <c r="AA3586" s="23"/>
      <c r="AB3586" s="23"/>
      <c r="AC3586" s="23"/>
    </row>
    <row r="3587" spans="10:29" x14ac:dyDescent="0.25">
      <c r="J3587" s="19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  <c r="AA3587" s="23"/>
      <c r="AB3587" s="23"/>
      <c r="AC3587" s="23"/>
    </row>
    <row r="3588" spans="10:29" x14ac:dyDescent="0.25">
      <c r="J3588" s="19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  <c r="AA3588" s="23"/>
      <c r="AB3588" s="23"/>
      <c r="AC3588" s="23"/>
    </row>
    <row r="3589" spans="10:29" x14ac:dyDescent="0.25">
      <c r="J3589" s="19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  <c r="AA3589" s="23"/>
      <c r="AB3589" s="23"/>
      <c r="AC3589" s="23"/>
    </row>
    <row r="3590" spans="10:29" x14ac:dyDescent="0.25">
      <c r="J3590" s="19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  <c r="AA3590" s="23"/>
      <c r="AB3590" s="23"/>
      <c r="AC3590" s="23"/>
    </row>
    <row r="3591" spans="10:29" x14ac:dyDescent="0.25">
      <c r="J3591" s="19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  <c r="AA3591" s="23"/>
      <c r="AB3591" s="23"/>
      <c r="AC3591" s="23"/>
    </row>
    <row r="3592" spans="10:29" x14ac:dyDescent="0.25">
      <c r="J3592" s="19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  <c r="AA3592" s="23"/>
      <c r="AB3592" s="23"/>
      <c r="AC3592" s="23"/>
    </row>
    <row r="3593" spans="10:29" x14ac:dyDescent="0.25">
      <c r="J3593" s="19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  <c r="AA3593" s="23"/>
      <c r="AB3593" s="23"/>
      <c r="AC3593" s="23"/>
    </row>
    <row r="3594" spans="10:29" x14ac:dyDescent="0.25">
      <c r="J3594" s="19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  <c r="AA3594" s="23"/>
      <c r="AB3594" s="23"/>
      <c r="AC3594" s="23"/>
    </row>
    <row r="3595" spans="10:29" x14ac:dyDescent="0.25">
      <c r="J3595" s="19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  <c r="AA3595" s="23"/>
      <c r="AB3595" s="23"/>
      <c r="AC3595" s="23"/>
    </row>
    <row r="3596" spans="10:29" x14ac:dyDescent="0.25">
      <c r="J3596" s="19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  <c r="AA3596" s="23"/>
      <c r="AB3596" s="23"/>
      <c r="AC3596" s="23"/>
    </row>
    <row r="3597" spans="10:29" x14ac:dyDescent="0.25">
      <c r="J3597" s="19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  <c r="AA3597" s="23"/>
      <c r="AB3597" s="23"/>
      <c r="AC3597" s="23"/>
    </row>
    <row r="3598" spans="10:29" x14ac:dyDescent="0.25">
      <c r="J3598" s="19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  <c r="AA3598" s="23"/>
      <c r="AB3598" s="23"/>
      <c r="AC3598" s="23"/>
    </row>
    <row r="3599" spans="10:29" x14ac:dyDescent="0.25">
      <c r="J3599" s="19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  <c r="AA3599" s="23"/>
      <c r="AB3599" s="23"/>
      <c r="AC3599" s="23"/>
    </row>
    <row r="3600" spans="10:29" x14ac:dyDescent="0.25">
      <c r="J3600" s="19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  <c r="AA3600" s="23"/>
      <c r="AB3600" s="23"/>
      <c r="AC3600" s="23"/>
    </row>
    <row r="3601" spans="10:29" x14ac:dyDescent="0.25">
      <c r="J3601" s="19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  <c r="AA3601" s="23"/>
      <c r="AB3601" s="23"/>
      <c r="AC3601" s="23"/>
    </row>
    <row r="3602" spans="10:29" x14ac:dyDescent="0.25">
      <c r="J3602" s="19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  <c r="AA3602" s="23"/>
      <c r="AB3602" s="23"/>
      <c r="AC3602" s="23"/>
    </row>
    <row r="3603" spans="10:29" x14ac:dyDescent="0.25">
      <c r="J3603" s="19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  <c r="AA3603" s="23"/>
      <c r="AB3603" s="23"/>
      <c r="AC3603" s="23"/>
    </row>
    <row r="3604" spans="10:29" x14ac:dyDescent="0.25">
      <c r="J3604" s="19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  <c r="AA3604" s="23"/>
      <c r="AB3604" s="23"/>
      <c r="AC3604" s="23"/>
    </row>
    <row r="3605" spans="10:29" x14ac:dyDescent="0.25">
      <c r="J3605" s="19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  <c r="AA3605" s="23"/>
      <c r="AB3605" s="23"/>
      <c r="AC3605" s="23"/>
    </row>
    <row r="3606" spans="10:29" x14ac:dyDescent="0.25">
      <c r="J3606" s="19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  <c r="AA3606" s="23"/>
      <c r="AB3606" s="23"/>
      <c r="AC3606" s="23"/>
    </row>
    <row r="3607" spans="10:29" x14ac:dyDescent="0.25">
      <c r="J3607" s="19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  <c r="AA3607" s="23"/>
      <c r="AB3607" s="23"/>
      <c r="AC3607" s="23"/>
    </row>
    <row r="3608" spans="10:29" x14ac:dyDescent="0.25">
      <c r="J3608" s="19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  <c r="AA3608" s="23"/>
      <c r="AB3608" s="23"/>
      <c r="AC3608" s="23"/>
    </row>
    <row r="3609" spans="10:29" x14ac:dyDescent="0.25">
      <c r="J3609" s="19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  <c r="AA3609" s="23"/>
      <c r="AB3609" s="23"/>
      <c r="AC3609" s="23"/>
    </row>
    <row r="3610" spans="10:29" x14ac:dyDescent="0.25">
      <c r="J3610" s="19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  <c r="AA3610" s="23"/>
      <c r="AB3610" s="23"/>
      <c r="AC3610" s="23"/>
    </row>
    <row r="3611" spans="10:29" x14ac:dyDescent="0.25">
      <c r="J3611" s="19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  <c r="AA3611" s="23"/>
      <c r="AB3611" s="23"/>
      <c r="AC3611" s="23"/>
    </row>
    <row r="3612" spans="10:29" x14ac:dyDescent="0.25">
      <c r="J3612" s="19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  <c r="AA3612" s="23"/>
      <c r="AB3612" s="23"/>
      <c r="AC3612" s="23"/>
    </row>
    <row r="3613" spans="10:29" x14ac:dyDescent="0.25">
      <c r="J3613" s="19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  <c r="AA3613" s="23"/>
      <c r="AB3613" s="23"/>
      <c r="AC3613" s="23"/>
    </row>
    <row r="3614" spans="10:29" x14ac:dyDescent="0.25">
      <c r="J3614" s="19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  <c r="AA3614" s="23"/>
      <c r="AB3614" s="23"/>
      <c r="AC3614" s="23"/>
    </row>
    <row r="3615" spans="10:29" x14ac:dyDescent="0.25">
      <c r="J3615" s="19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  <c r="AA3615" s="23"/>
      <c r="AB3615" s="23"/>
      <c r="AC3615" s="23"/>
    </row>
    <row r="3616" spans="10:29" x14ac:dyDescent="0.25">
      <c r="J3616" s="19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  <c r="AA3616" s="23"/>
      <c r="AB3616" s="23"/>
      <c r="AC3616" s="23"/>
    </row>
    <row r="3617" spans="10:29" x14ac:dyDescent="0.25">
      <c r="J3617" s="19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  <c r="AA3617" s="23"/>
      <c r="AB3617" s="23"/>
      <c r="AC3617" s="23"/>
    </row>
    <row r="3618" spans="10:29" x14ac:dyDescent="0.25">
      <c r="J3618" s="19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  <c r="AA3618" s="23"/>
      <c r="AB3618" s="23"/>
      <c r="AC3618" s="23"/>
    </row>
    <row r="3619" spans="10:29" x14ac:dyDescent="0.25">
      <c r="J3619" s="19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  <c r="AA3619" s="23"/>
      <c r="AB3619" s="23"/>
      <c r="AC3619" s="23"/>
    </row>
    <row r="3620" spans="10:29" x14ac:dyDescent="0.25">
      <c r="J3620" s="19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  <c r="AA3620" s="23"/>
      <c r="AB3620" s="23"/>
      <c r="AC3620" s="23"/>
    </row>
    <row r="3621" spans="10:29" x14ac:dyDescent="0.25">
      <c r="J3621" s="19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  <c r="AA3621" s="23"/>
      <c r="AB3621" s="23"/>
      <c r="AC3621" s="23"/>
    </row>
    <row r="3622" spans="10:29" x14ac:dyDescent="0.25">
      <c r="J3622" s="19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  <c r="AA3622" s="23"/>
      <c r="AB3622" s="23"/>
      <c r="AC3622" s="23"/>
    </row>
    <row r="3623" spans="10:29" x14ac:dyDescent="0.25">
      <c r="J3623" s="19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  <c r="AA3623" s="23"/>
      <c r="AB3623" s="23"/>
      <c r="AC3623" s="23"/>
    </row>
    <row r="3624" spans="10:29" x14ac:dyDescent="0.25">
      <c r="J3624" s="19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  <c r="AA3624" s="23"/>
      <c r="AB3624" s="23"/>
      <c r="AC3624" s="23"/>
    </row>
    <row r="3625" spans="10:29" x14ac:dyDescent="0.25">
      <c r="J3625" s="19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  <c r="AA3625" s="23"/>
      <c r="AB3625" s="23"/>
      <c r="AC3625" s="23"/>
    </row>
    <row r="3626" spans="10:29" x14ac:dyDescent="0.25">
      <c r="J3626" s="19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  <c r="AA3626" s="23"/>
      <c r="AB3626" s="23"/>
      <c r="AC3626" s="23"/>
    </row>
    <row r="3627" spans="10:29" x14ac:dyDescent="0.25">
      <c r="J3627" s="19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  <c r="AA3627" s="23"/>
      <c r="AB3627" s="23"/>
      <c r="AC3627" s="23"/>
    </row>
    <row r="3628" spans="10:29" x14ac:dyDescent="0.25">
      <c r="J3628" s="19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  <c r="AA3628" s="23"/>
      <c r="AB3628" s="23"/>
      <c r="AC3628" s="23"/>
    </row>
    <row r="3629" spans="10:29" x14ac:dyDescent="0.25">
      <c r="J3629" s="19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  <c r="AA3629" s="23"/>
      <c r="AB3629" s="23"/>
      <c r="AC3629" s="23"/>
    </row>
    <row r="3630" spans="10:29" x14ac:dyDescent="0.25">
      <c r="J3630" s="19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  <c r="AA3630" s="23"/>
      <c r="AB3630" s="23"/>
      <c r="AC3630" s="23"/>
    </row>
    <row r="3631" spans="10:29" x14ac:dyDescent="0.25">
      <c r="J3631" s="19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  <c r="AA3631" s="23"/>
      <c r="AB3631" s="23"/>
      <c r="AC3631" s="23"/>
    </row>
    <row r="3632" spans="10:29" x14ac:dyDescent="0.25">
      <c r="J3632" s="19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  <c r="AA3632" s="23"/>
      <c r="AB3632" s="23"/>
      <c r="AC3632" s="23"/>
    </row>
    <row r="3633" spans="10:29" x14ac:dyDescent="0.25">
      <c r="J3633" s="19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  <c r="AA3633" s="23"/>
      <c r="AB3633" s="23"/>
      <c r="AC3633" s="23"/>
    </row>
    <row r="3634" spans="10:29" x14ac:dyDescent="0.25">
      <c r="J3634" s="19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  <c r="AA3634" s="23"/>
      <c r="AB3634" s="23"/>
      <c r="AC3634" s="23"/>
    </row>
    <row r="3635" spans="10:29" x14ac:dyDescent="0.25">
      <c r="J3635" s="19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  <c r="AA3635" s="23"/>
      <c r="AB3635" s="23"/>
      <c r="AC3635" s="23"/>
    </row>
    <row r="3636" spans="10:29" x14ac:dyDescent="0.25">
      <c r="J3636" s="19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  <c r="AA3636" s="23"/>
      <c r="AB3636" s="23"/>
      <c r="AC3636" s="23"/>
    </row>
    <row r="3637" spans="10:29" x14ac:dyDescent="0.25">
      <c r="J3637" s="19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  <c r="AA3637" s="23"/>
      <c r="AB3637" s="23"/>
      <c r="AC3637" s="23"/>
    </row>
    <row r="3638" spans="10:29" x14ac:dyDescent="0.25">
      <c r="J3638" s="19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  <c r="AA3638" s="23"/>
      <c r="AB3638" s="23"/>
      <c r="AC3638" s="23"/>
    </row>
    <row r="3639" spans="10:29" x14ac:dyDescent="0.25">
      <c r="J3639" s="19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  <c r="AA3639" s="23"/>
      <c r="AB3639" s="23"/>
      <c r="AC3639" s="23"/>
    </row>
    <row r="3640" spans="10:29" x14ac:dyDescent="0.25">
      <c r="J3640" s="19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  <c r="AA3640" s="23"/>
      <c r="AB3640" s="23"/>
      <c r="AC3640" s="23"/>
    </row>
    <row r="3641" spans="10:29" x14ac:dyDescent="0.25">
      <c r="J3641" s="19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  <c r="AA3641" s="23"/>
      <c r="AB3641" s="23"/>
      <c r="AC3641" s="23"/>
    </row>
    <row r="3642" spans="10:29" x14ac:dyDescent="0.25">
      <c r="J3642" s="19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  <c r="AA3642" s="23"/>
      <c r="AB3642" s="23"/>
      <c r="AC3642" s="23"/>
    </row>
    <row r="3643" spans="10:29" x14ac:dyDescent="0.25">
      <c r="J3643" s="19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  <c r="AA3643" s="23"/>
      <c r="AB3643" s="23"/>
      <c r="AC3643" s="23"/>
    </row>
    <row r="3644" spans="10:29" x14ac:dyDescent="0.25">
      <c r="J3644" s="19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  <c r="AA3644" s="23"/>
      <c r="AB3644" s="23"/>
      <c r="AC3644" s="23"/>
    </row>
    <row r="3645" spans="10:29" x14ac:dyDescent="0.25">
      <c r="J3645" s="19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  <c r="AA3645" s="23"/>
      <c r="AB3645" s="23"/>
      <c r="AC3645" s="23"/>
    </row>
    <row r="3646" spans="10:29" x14ac:dyDescent="0.25">
      <c r="J3646" s="19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  <c r="AA3646" s="23"/>
      <c r="AB3646" s="23"/>
      <c r="AC3646" s="23"/>
    </row>
    <row r="3647" spans="10:29" x14ac:dyDescent="0.25">
      <c r="J3647" s="19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  <c r="AA3647" s="23"/>
      <c r="AB3647" s="23"/>
      <c r="AC3647" s="23"/>
    </row>
    <row r="3648" spans="10:29" x14ac:dyDescent="0.25">
      <c r="J3648" s="19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  <c r="AA3648" s="23"/>
      <c r="AB3648" s="23"/>
      <c r="AC3648" s="23"/>
    </row>
    <row r="3649" spans="10:29" x14ac:dyDescent="0.25">
      <c r="J3649" s="19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  <c r="AA3649" s="23"/>
      <c r="AB3649" s="23"/>
      <c r="AC3649" s="23"/>
    </row>
    <row r="3650" spans="10:29" x14ac:dyDescent="0.25">
      <c r="J3650" s="19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  <c r="AA3650" s="23"/>
      <c r="AB3650" s="23"/>
      <c r="AC3650" s="23"/>
    </row>
    <row r="3651" spans="10:29" x14ac:dyDescent="0.25">
      <c r="J3651" s="19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  <c r="AA3651" s="23"/>
      <c r="AB3651" s="23"/>
      <c r="AC3651" s="23"/>
    </row>
    <row r="3652" spans="10:29" x14ac:dyDescent="0.25">
      <c r="J3652" s="19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  <c r="AA3652" s="23"/>
      <c r="AB3652" s="23"/>
      <c r="AC3652" s="23"/>
    </row>
    <row r="3653" spans="10:29" x14ac:dyDescent="0.25">
      <c r="J3653" s="19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  <c r="AA3653" s="23"/>
      <c r="AB3653" s="23"/>
      <c r="AC3653" s="23"/>
    </row>
    <row r="3654" spans="10:29" x14ac:dyDescent="0.25">
      <c r="J3654" s="19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  <c r="AA3654" s="23"/>
      <c r="AB3654" s="23"/>
      <c r="AC3654" s="23"/>
    </row>
    <row r="3655" spans="10:29" x14ac:dyDescent="0.25">
      <c r="J3655" s="19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  <c r="AA3655" s="23"/>
      <c r="AB3655" s="23"/>
      <c r="AC3655" s="23"/>
    </row>
    <row r="3656" spans="10:29" x14ac:dyDescent="0.25">
      <c r="J3656" s="19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  <c r="AA3656" s="23"/>
      <c r="AB3656" s="23"/>
      <c r="AC3656" s="23"/>
    </row>
    <row r="3657" spans="10:29" x14ac:dyDescent="0.25">
      <c r="J3657" s="19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  <c r="AA3657" s="23"/>
      <c r="AB3657" s="23"/>
      <c r="AC3657" s="23"/>
    </row>
    <row r="3658" spans="10:29" x14ac:dyDescent="0.25">
      <c r="J3658" s="19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  <c r="AA3658" s="23"/>
      <c r="AB3658" s="23"/>
      <c r="AC3658" s="23"/>
    </row>
    <row r="3659" spans="10:29" x14ac:dyDescent="0.25">
      <c r="J3659" s="19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  <c r="AA3659" s="23"/>
      <c r="AB3659" s="23"/>
      <c r="AC3659" s="23"/>
    </row>
    <row r="3660" spans="10:29" x14ac:dyDescent="0.25">
      <c r="J3660" s="19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  <c r="AA3660" s="23"/>
      <c r="AB3660" s="23"/>
      <c r="AC3660" s="23"/>
    </row>
    <row r="3661" spans="10:29" x14ac:dyDescent="0.25">
      <c r="J3661" s="19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  <c r="AA3661" s="23"/>
      <c r="AB3661" s="23"/>
      <c r="AC3661" s="23"/>
    </row>
    <row r="3662" spans="10:29" x14ac:dyDescent="0.25">
      <c r="J3662" s="19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  <c r="AA3662" s="23"/>
      <c r="AB3662" s="23"/>
      <c r="AC3662" s="23"/>
    </row>
    <row r="3663" spans="10:29" x14ac:dyDescent="0.25">
      <c r="J3663" s="19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  <c r="AA3663" s="23"/>
      <c r="AB3663" s="23"/>
      <c r="AC3663" s="23"/>
    </row>
    <row r="3664" spans="10:29" x14ac:dyDescent="0.25">
      <c r="J3664" s="19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  <c r="AA3664" s="23"/>
      <c r="AB3664" s="23"/>
      <c r="AC3664" s="23"/>
    </row>
    <row r="3665" spans="10:29" x14ac:dyDescent="0.25">
      <c r="J3665" s="19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  <c r="AA3665" s="23"/>
      <c r="AB3665" s="23"/>
      <c r="AC3665" s="23"/>
    </row>
    <row r="3666" spans="10:29" x14ac:dyDescent="0.25">
      <c r="J3666" s="19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  <c r="AA3666" s="23"/>
      <c r="AB3666" s="23"/>
      <c r="AC3666" s="23"/>
    </row>
    <row r="3667" spans="10:29" x14ac:dyDescent="0.25">
      <c r="J3667" s="19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  <c r="AA3667" s="23"/>
      <c r="AB3667" s="23"/>
      <c r="AC3667" s="23"/>
    </row>
    <row r="3668" spans="10:29" x14ac:dyDescent="0.25">
      <c r="J3668" s="19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  <c r="AA3668" s="23"/>
      <c r="AB3668" s="23"/>
      <c r="AC3668" s="23"/>
    </row>
    <row r="3669" spans="10:29" x14ac:dyDescent="0.25">
      <c r="J3669" s="19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  <c r="AA3669" s="23"/>
      <c r="AB3669" s="23"/>
      <c r="AC3669" s="23"/>
    </row>
    <row r="3670" spans="10:29" x14ac:dyDescent="0.25">
      <c r="J3670" s="19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  <c r="AA3670" s="23"/>
      <c r="AB3670" s="23"/>
      <c r="AC3670" s="23"/>
    </row>
    <row r="3671" spans="10:29" x14ac:dyDescent="0.25">
      <c r="J3671" s="19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  <c r="AA3671" s="23"/>
      <c r="AB3671" s="23"/>
      <c r="AC3671" s="23"/>
    </row>
    <row r="3672" spans="10:29" x14ac:dyDescent="0.25">
      <c r="J3672" s="19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  <c r="AA3672" s="23"/>
      <c r="AB3672" s="23"/>
      <c r="AC3672" s="23"/>
    </row>
    <row r="3673" spans="10:29" x14ac:dyDescent="0.25">
      <c r="J3673" s="19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  <c r="AA3673" s="23"/>
      <c r="AB3673" s="23"/>
      <c r="AC3673" s="23"/>
    </row>
    <row r="3674" spans="10:29" x14ac:dyDescent="0.25">
      <c r="J3674" s="19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  <c r="AA3674" s="23"/>
      <c r="AB3674" s="23"/>
      <c r="AC3674" s="23"/>
    </row>
    <row r="3675" spans="10:29" x14ac:dyDescent="0.25">
      <c r="J3675" s="19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  <c r="AA3675" s="23"/>
      <c r="AB3675" s="23"/>
      <c r="AC3675" s="23"/>
    </row>
    <row r="3676" spans="10:29" x14ac:dyDescent="0.25">
      <c r="J3676" s="19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  <c r="AA3676" s="23"/>
      <c r="AB3676" s="23"/>
      <c r="AC3676" s="23"/>
    </row>
    <row r="3677" spans="10:29" x14ac:dyDescent="0.25">
      <c r="J3677" s="19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  <c r="AA3677" s="23"/>
      <c r="AB3677" s="23"/>
      <c r="AC3677" s="23"/>
    </row>
    <row r="3678" spans="10:29" x14ac:dyDescent="0.25">
      <c r="J3678" s="19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  <c r="AA3678" s="23"/>
      <c r="AB3678" s="23"/>
      <c r="AC3678" s="23"/>
    </row>
    <row r="3679" spans="10:29" x14ac:dyDescent="0.25">
      <c r="J3679" s="19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  <c r="AA3679" s="23"/>
      <c r="AB3679" s="23"/>
      <c r="AC3679" s="23"/>
    </row>
    <row r="3680" spans="10:29" x14ac:dyDescent="0.25">
      <c r="J3680" s="19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  <c r="AA3680" s="23"/>
      <c r="AB3680" s="23"/>
      <c r="AC3680" s="23"/>
    </row>
    <row r="3681" spans="10:29" x14ac:dyDescent="0.25">
      <c r="J3681" s="19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  <c r="AA3681" s="23"/>
      <c r="AB3681" s="23"/>
      <c r="AC3681" s="23"/>
    </row>
    <row r="3682" spans="10:29" x14ac:dyDescent="0.25">
      <c r="J3682" s="19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  <c r="AA3682" s="23"/>
      <c r="AB3682" s="23"/>
      <c r="AC3682" s="23"/>
    </row>
    <row r="3683" spans="10:29" x14ac:dyDescent="0.25">
      <c r="J3683" s="19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  <c r="AA3683" s="23"/>
      <c r="AB3683" s="23"/>
      <c r="AC3683" s="23"/>
    </row>
    <row r="3684" spans="10:29" x14ac:dyDescent="0.25">
      <c r="J3684" s="19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  <c r="AA3684" s="23"/>
      <c r="AB3684" s="23"/>
      <c r="AC3684" s="23"/>
    </row>
    <row r="3685" spans="10:29" x14ac:dyDescent="0.25">
      <c r="J3685" s="19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  <c r="AA3685" s="23"/>
      <c r="AB3685" s="23"/>
      <c r="AC3685" s="23"/>
    </row>
    <row r="3686" spans="10:29" x14ac:dyDescent="0.25">
      <c r="J3686" s="19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  <c r="AA3686" s="23"/>
      <c r="AB3686" s="23"/>
      <c r="AC3686" s="23"/>
    </row>
    <row r="3687" spans="10:29" x14ac:dyDescent="0.25">
      <c r="J3687" s="19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  <c r="AA3687" s="23"/>
      <c r="AB3687" s="23"/>
      <c r="AC3687" s="23"/>
    </row>
    <row r="3688" spans="10:29" x14ac:dyDescent="0.25">
      <c r="J3688" s="19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  <c r="AA3688" s="23"/>
      <c r="AB3688" s="23"/>
      <c r="AC3688" s="23"/>
    </row>
    <row r="3689" spans="10:29" x14ac:dyDescent="0.25">
      <c r="J3689" s="19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  <c r="AA3689" s="23"/>
      <c r="AB3689" s="23"/>
      <c r="AC3689" s="23"/>
    </row>
    <row r="3690" spans="10:29" x14ac:dyDescent="0.25">
      <c r="J3690" s="19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  <c r="AA3690" s="23"/>
      <c r="AB3690" s="23"/>
      <c r="AC3690" s="23"/>
    </row>
    <row r="3691" spans="10:29" x14ac:dyDescent="0.25">
      <c r="J3691" s="19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  <c r="AA3691" s="23"/>
      <c r="AB3691" s="23"/>
      <c r="AC3691" s="23"/>
    </row>
    <row r="3692" spans="10:29" x14ac:dyDescent="0.25">
      <c r="J3692" s="19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  <c r="AA3692" s="23"/>
      <c r="AB3692" s="23"/>
      <c r="AC3692" s="23"/>
    </row>
    <row r="3693" spans="10:29" x14ac:dyDescent="0.25">
      <c r="J3693" s="19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  <c r="AA3693" s="23"/>
      <c r="AB3693" s="23"/>
      <c r="AC3693" s="23"/>
    </row>
    <row r="3694" spans="10:29" x14ac:dyDescent="0.25">
      <c r="J3694" s="19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  <c r="AA3694" s="23"/>
      <c r="AB3694" s="23"/>
      <c r="AC3694" s="23"/>
    </row>
    <row r="3695" spans="10:29" x14ac:dyDescent="0.25">
      <c r="J3695" s="19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  <c r="AA3695" s="23"/>
      <c r="AB3695" s="23"/>
      <c r="AC3695" s="23"/>
    </row>
    <row r="3696" spans="10:29" x14ac:dyDescent="0.25">
      <c r="J3696" s="19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  <c r="AA3696" s="23"/>
      <c r="AB3696" s="23"/>
      <c r="AC3696" s="23"/>
    </row>
    <row r="3697" spans="10:29" x14ac:dyDescent="0.25">
      <c r="J3697" s="19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  <c r="AA3697" s="23"/>
      <c r="AB3697" s="23"/>
      <c r="AC3697" s="23"/>
    </row>
    <row r="3698" spans="10:29" x14ac:dyDescent="0.25">
      <c r="J3698" s="19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  <c r="AA3698" s="23"/>
      <c r="AB3698" s="23"/>
      <c r="AC3698" s="23"/>
    </row>
    <row r="3699" spans="10:29" x14ac:dyDescent="0.25">
      <c r="J3699" s="19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  <c r="AA3699" s="23"/>
      <c r="AB3699" s="23"/>
      <c r="AC3699" s="23"/>
    </row>
    <row r="3700" spans="10:29" x14ac:dyDescent="0.25">
      <c r="J3700" s="19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  <c r="AA3700" s="23"/>
      <c r="AB3700" s="23"/>
      <c r="AC3700" s="23"/>
    </row>
    <row r="3701" spans="10:29" x14ac:dyDescent="0.25">
      <c r="J3701" s="19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  <c r="AA3701" s="23"/>
      <c r="AB3701" s="23"/>
      <c r="AC3701" s="23"/>
    </row>
    <row r="3702" spans="10:29" x14ac:dyDescent="0.25">
      <c r="J3702" s="19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  <c r="AA3702" s="23"/>
      <c r="AB3702" s="23"/>
      <c r="AC3702" s="23"/>
    </row>
    <row r="3703" spans="10:29" x14ac:dyDescent="0.25">
      <c r="J3703" s="19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  <c r="AA3703" s="23"/>
      <c r="AB3703" s="23"/>
      <c r="AC3703" s="23"/>
    </row>
    <row r="3704" spans="10:29" x14ac:dyDescent="0.25">
      <c r="J3704" s="19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  <c r="AA3704" s="23"/>
      <c r="AB3704" s="23"/>
      <c r="AC3704" s="23"/>
    </row>
    <row r="3705" spans="10:29" x14ac:dyDescent="0.25">
      <c r="J3705" s="19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  <c r="AA3705" s="23"/>
      <c r="AB3705" s="23"/>
      <c r="AC3705" s="23"/>
    </row>
    <row r="3706" spans="10:29" x14ac:dyDescent="0.25">
      <c r="J3706" s="19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  <c r="AA3706" s="23"/>
      <c r="AB3706" s="23"/>
      <c r="AC3706" s="23"/>
    </row>
    <row r="3707" spans="10:29" x14ac:dyDescent="0.25">
      <c r="J3707" s="19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  <c r="AA3707" s="23"/>
      <c r="AB3707" s="23"/>
      <c r="AC3707" s="23"/>
    </row>
    <row r="3708" spans="10:29" x14ac:dyDescent="0.25">
      <c r="J3708" s="19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  <c r="AA3708" s="23"/>
      <c r="AB3708" s="23"/>
      <c r="AC3708" s="23"/>
    </row>
    <row r="3709" spans="10:29" x14ac:dyDescent="0.25">
      <c r="J3709" s="19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  <c r="AA3709" s="23"/>
      <c r="AB3709" s="23"/>
      <c r="AC3709" s="23"/>
    </row>
    <row r="3710" spans="10:29" x14ac:dyDescent="0.25">
      <c r="J3710" s="19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  <c r="AA3710" s="23"/>
      <c r="AB3710" s="23"/>
      <c r="AC3710" s="23"/>
    </row>
    <row r="3711" spans="10:29" x14ac:dyDescent="0.25">
      <c r="J3711" s="19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  <c r="AA3711" s="23"/>
      <c r="AB3711" s="23"/>
      <c r="AC3711" s="23"/>
    </row>
    <row r="3712" spans="10:29" x14ac:dyDescent="0.25">
      <c r="J3712" s="19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  <c r="AA3712" s="23"/>
      <c r="AB3712" s="23"/>
      <c r="AC3712" s="23"/>
    </row>
    <row r="3713" spans="10:29" x14ac:dyDescent="0.25">
      <c r="J3713" s="19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  <c r="AA3713" s="23"/>
      <c r="AB3713" s="23"/>
      <c r="AC3713" s="23"/>
    </row>
    <row r="3714" spans="10:29" x14ac:dyDescent="0.25">
      <c r="J3714" s="19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  <c r="AA3714" s="23"/>
      <c r="AB3714" s="23"/>
      <c r="AC3714" s="23"/>
    </row>
    <row r="3715" spans="10:29" x14ac:dyDescent="0.25">
      <c r="J3715" s="19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  <c r="AA3715" s="23"/>
      <c r="AB3715" s="23"/>
      <c r="AC3715" s="23"/>
    </row>
    <row r="3716" spans="10:29" x14ac:dyDescent="0.25">
      <c r="J3716" s="19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  <c r="AA3716" s="23"/>
      <c r="AB3716" s="23"/>
      <c r="AC3716" s="23"/>
    </row>
    <row r="3717" spans="10:29" x14ac:dyDescent="0.25">
      <c r="J3717" s="19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  <c r="AA3717" s="23"/>
      <c r="AB3717" s="23"/>
      <c r="AC3717" s="23"/>
    </row>
    <row r="3718" spans="10:29" x14ac:dyDescent="0.25">
      <c r="J3718" s="19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  <c r="AA3718" s="23"/>
      <c r="AB3718" s="23"/>
      <c r="AC3718" s="23"/>
    </row>
    <row r="3719" spans="10:29" x14ac:dyDescent="0.25">
      <c r="J3719" s="19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  <c r="AA3719" s="23"/>
      <c r="AB3719" s="23"/>
      <c r="AC3719" s="23"/>
    </row>
    <row r="3720" spans="10:29" x14ac:dyDescent="0.25">
      <c r="J3720" s="19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  <c r="AA3720" s="23"/>
      <c r="AB3720" s="23"/>
      <c r="AC3720" s="23"/>
    </row>
    <row r="3721" spans="10:29" x14ac:dyDescent="0.25">
      <c r="J3721" s="19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  <c r="AA3721" s="23"/>
      <c r="AB3721" s="23"/>
      <c r="AC3721" s="23"/>
    </row>
    <row r="3722" spans="10:29" x14ac:dyDescent="0.25">
      <c r="J3722" s="19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  <c r="AA3722" s="23"/>
      <c r="AB3722" s="23"/>
      <c r="AC3722" s="23"/>
    </row>
    <row r="3723" spans="10:29" x14ac:dyDescent="0.25">
      <c r="J3723" s="19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  <c r="AA3723" s="23"/>
      <c r="AB3723" s="23"/>
      <c r="AC3723" s="23"/>
    </row>
    <row r="3724" spans="10:29" x14ac:dyDescent="0.25">
      <c r="J3724" s="19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  <c r="AA3724" s="23"/>
      <c r="AB3724" s="23"/>
      <c r="AC3724" s="23"/>
    </row>
    <row r="3725" spans="10:29" x14ac:dyDescent="0.25">
      <c r="J3725" s="19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  <c r="AA3725" s="23"/>
      <c r="AB3725" s="23"/>
      <c r="AC3725" s="23"/>
    </row>
    <row r="3726" spans="10:29" x14ac:dyDescent="0.25">
      <c r="J3726" s="19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  <c r="AA3726" s="23"/>
      <c r="AB3726" s="23"/>
      <c r="AC3726" s="23"/>
    </row>
    <row r="3727" spans="10:29" x14ac:dyDescent="0.25">
      <c r="J3727" s="19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  <c r="AA3727" s="23"/>
      <c r="AB3727" s="23"/>
      <c r="AC3727" s="23"/>
    </row>
    <row r="3728" spans="10:29" x14ac:dyDescent="0.25">
      <c r="J3728" s="19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  <c r="AA3728" s="23"/>
      <c r="AB3728" s="23"/>
      <c r="AC3728" s="23"/>
    </row>
    <row r="3729" spans="10:29" x14ac:dyDescent="0.25">
      <c r="J3729" s="19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  <c r="AA3729" s="23"/>
      <c r="AB3729" s="23"/>
      <c r="AC3729" s="23"/>
    </row>
    <row r="3730" spans="10:29" x14ac:dyDescent="0.25">
      <c r="J3730" s="19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  <c r="AA3730" s="23"/>
      <c r="AB3730" s="23"/>
      <c r="AC3730" s="23"/>
    </row>
    <row r="3731" spans="10:29" x14ac:dyDescent="0.25">
      <c r="J3731" s="19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  <c r="AA3731" s="23"/>
      <c r="AB3731" s="23"/>
      <c r="AC3731" s="23"/>
    </row>
    <row r="3732" spans="10:29" x14ac:dyDescent="0.25">
      <c r="J3732" s="19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  <c r="AA3732" s="23"/>
      <c r="AB3732" s="23"/>
      <c r="AC3732" s="23"/>
    </row>
    <row r="3733" spans="10:29" x14ac:dyDescent="0.25">
      <c r="J3733" s="19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  <c r="AA3733" s="23"/>
      <c r="AB3733" s="23"/>
      <c r="AC3733" s="23"/>
    </row>
    <row r="3734" spans="10:29" x14ac:dyDescent="0.25">
      <c r="J3734" s="19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  <c r="AA3734" s="23"/>
      <c r="AB3734" s="23"/>
      <c r="AC3734" s="23"/>
    </row>
    <row r="3735" spans="10:29" x14ac:dyDescent="0.25">
      <c r="J3735" s="19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  <c r="AA3735" s="23"/>
      <c r="AB3735" s="23"/>
      <c r="AC3735" s="23"/>
    </row>
    <row r="3736" spans="10:29" x14ac:dyDescent="0.25">
      <c r="J3736" s="19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  <c r="AA3736" s="23"/>
      <c r="AB3736" s="23"/>
      <c r="AC3736" s="23"/>
    </row>
    <row r="3737" spans="10:29" x14ac:dyDescent="0.25">
      <c r="J3737" s="19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  <c r="AA3737" s="23"/>
      <c r="AB3737" s="23"/>
      <c r="AC3737" s="23"/>
    </row>
    <row r="3738" spans="10:29" x14ac:dyDescent="0.25">
      <c r="J3738" s="19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  <c r="AA3738" s="23"/>
      <c r="AB3738" s="23"/>
      <c r="AC3738" s="23"/>
    </row>
    <row r="3739" spans="10:29" x14ac:dyDescent="0.25">
      <c r="J3739" s="19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  <c r="AA3739" s="23"/>
      <c r="AB3739" s="23"/>
      <c r="AC3739" s="23"/>
    </row>
    <row r="3740" spans="10:29" x14ac:dyDescent="0.25">
      <c r="J3740" s="19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  <c r="AA3740" s="23"/>
      <c r="AB3740" s="23"/>
      <c r="AC3740" s="23"/>
    </row>
    <row r="3741" spans="10:29" x14ac:dyDescent="0.25">
      <c r="J3741" s="19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  <c r="AA3741" s="23"/>
      <c r="AB3741" s="23"/>
      <c r="AC3741" s="23"/>
    </row>
    <row r="3742" spans="10:29" x14ac:dyDescent="0.25">
      <c r="J3742" s="19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  <c r="AA3742" s="23"/>
      <c r="AB3742" s="23"/>
      <c r="AC3742" s="23"/>
    </row>
    <row r="3743" spans="10:29" x14ac:dyDescent="0.25">
      <c r="J3743" s="19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  <c r="AA3743" s="23"/>
      <c r="AB3743" s="23"/>
      <c r="AC3743" s="23"/>
    </row>
    <row r="3744" spans="10:29" x14ac:dyDescent="0.25">
      <c r="J3744" s="19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  <c r="AA3744" s="23"/>
      <c r="AB3744" s="23"/>
      <c r="AC3744" s="23"/>
    </row>
    <row r="3745" spans="10:29" x14ac:dyDescent="0.25">
      <c r="J3745" s="19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  <c r="AA3745" s="23"/>
      <c r="AB3745" s="23"/>
      <c r="AC3745" s="23"/>
    </row>
    <row r="3746" spans="10:29" x14ac:dyDescent="0.25">
      <c r="J3746" s="19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  <c r="AA3746" s="23"/>
      <c r="AB3746" s="23"/>
      <c r="AC3746" s="23"/>
    </row>
    <row r="3747" spans="10:29" x14ac:dyDescent="0.25">
      <c r="J3747" s="19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  <c r="AA3747" s="23"/>
      <c r="AB3747" s="23"/>
      <c r="AC3747" s="23"/>
    </row>
    <row r="3748" spans="10:29" x14ac:dyDescent="0.25">
      <c r="J3748" s="19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  <c r="AA3748" s="23"/>
      <c r="AB3748" s="23"/>
      <c r="AC3748" s="23"/>
    </row>
    <row r="3749" spans="10:29" x14ac:dyDescent="0.25">
      <c r="J3749" s="19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  <c r="AA3749" s="23"/>
      <c r="AB3749" s="23"/>
      <c r="AC3749" s="23"/>
    </row>
    <row r="3750" spans="10:29" x14ac:dyDescent="0.25">
      <c r="J3750" s="19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  <c r="AA3750" s="23"/>
      <c r="AB3750" s="23"/>
      <c r="AC3750" s="23"/>
    </row>
    <row r="3751" spans="10:29" x14ac:dyDescent="0.25">
      <c r="J3751" s="19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  <c r="AA3751" s="23"/>
      <c r="AB3751" s="23"/>
      <c r="AC3751" s="23"/>
    </row>
    <row r="3752" spans="10:29" x14ac:dyDescent="0.25">
      <c r="J3752" s="19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  <c r="AA3752" s="23"/>
      <c r="AB3752" s="23"/>
      <c r="AC3752" s="23"/>
    </row>
    <row r="3753" spans="10:29" x14ac:dyDescent="0.25">
      <c r="J3753" s="19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  <c r="AA3753" s="23"/>
      <c r="AB3753" s="23"/>
      <c r="AC3753" s="23"/>
    </row>
    <row r="3754" spans="10:29" x14ac:dyDescent="0.25">
      <c r="J3754" s="19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  <c r="AA3754" s="23"/>
      <c r="AB3754" s="23"/>
      <c r="AC3754" s="23"/>
    </row>
    <row r="3755" spans="10:29" x14ac:dyDescent="0.25">
      <c r="J3755" s="19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  <c r="AA3755" s="23"/>
      <c r="AB3755" s="23"/>
      <c r="AC3755" s="23"/>
    </row>
    <row r="3756" spans="10:29" x14ac:dyDescent="0.25">
      <c r="J3756" s="19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  <c r="AA3756" s="23"/>
      <c r="AB3756" s="23"/>
      <c r="AC3756" s="23"/>
    </row>
    <row r="3757" spans="10:29" x14ac:dyDescent="0.25">
      <c r="J3757" s="19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  <c r="AA3757" s="23"/>
      <c r="AB3757" s="23"/>
      <c r="AC3757" s="23"/>
    </row>
    <row r="3758" spans="10:29" x14ac:dyDescent="0.25">
      <c r="J3758" s="19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  <c r="AA3758" s="23"/>
      <c r="AB3758" s="23"/>
      <c r="AC3758" s="23"/>
    </row>
    <row r="3759" spans="10:29" x14ac:dyDescent="0.25">
      <c r="J3759" s="19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  <c r="AA3759" s="23"/>
      <c r="AB3759" s="23"/>
      <c r="AC3759" s="23"/>
    </row>
    <row r="3760" spans="10:29" x14ac:dyDescent="0.25">
      <c r="J3760" s="19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  <c r="AA3760" s="23"/>
      <c r="AB3760" s="23"/>
      <c r="AC3760" s="23"/>
    </row>
    <row r="3761" spans="10:29" x14ac:dyDescent="0.25">
      <c r="J3761" s="19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  <c r="AA3761" s="23"/>
      <c r="AB3761" s="23"/>
      <c r="AC3761" s="23"/>
    </row>
    <row r="3762" spans="10:29" x14ac:dyDescent="0.25">
      <c r="J3762" s="19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  <c r="AA3762" s="23"/>
      <c r="AB3762" s="23"/>
      <c r="AC3762" s="23"/>
    </row>
    <row r="3763" spans="10:29" x14ac:dyDescent="0.25">
      <c r="J3763" s="19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  <c r="AA3763" s="23"/>
      <c r="AB3763" s="23"/>
      <c r="AC3763" s="23"/>
    </row>
  </sheetData>
  <mergeCells count="12">
    <mergeCell ref="C1:H1"/>
    <mergeCell ref="J1:V1"/>
    <mergeCell ref="X1:Z1"/>
    <mergeCell ref="AV6:AW6"/>
    <mergeCell ref="AJ6:AO6"/>
    <mergeCell ref="AX6:AY6"/>
    <mergeCell ref="BA1:BE1"/>
    <mergeCell ref="AQ5:AS5"/>
    <mergeCell ref="AT5:AU5"/>
    <mergeCell ref="AV5:AW5"/>
    <mergeCell ref="AX5:AY5"/>
    <mergeCell ref="AT6:AU6"/>
  </mergeCells>
  <phoneticPr fontId="39" type="noConversion"/>
  <pageMargins left="0.75" right="0.75" top="1" bottom="1" header="0.5" footer="0.5"/>
  <pageSetup paperSize="5" scale="10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16"/>
  <sheetViews>
    <sheetView workbookViewId="0">
      <selection activeCell="C12" sqref="C12"/>
    </sheetView>
  </sheetViews>
  <sheetFormatPr defaultColWidth="9" defaultRowHeight="15.75" x14ac:dyDescent="0.25"/>
  <cols>
    <col min="1" max="1" width="20.125" style="11" bestFit="1" customWidth="1"/>
    <col min="2" max="2" width="3.5" style="11" customWidth="1"/>
    <col min="3" max="3" width="15.5" style="11" customWidth="1"/>
    <col min="4" max="16384" width="9" style="11"/>
  </cols>
  <sheetData>
    <row r="1" spans="1:3" x14ac:dyDescent="0.25">
      <c r="A1" s="286" t="s">
        <v>137</v>
      </c>
      <c r="B1" s="286"/>
      <c r="C1" s="286"/>
    </row>
    <row r="2" spans="1:3" x14ac:dyDescent="0.25">
      <c r="A2" s="39"/>
      <c r="B2"/>
      <c r="C2"/>
    </row>
    <row r="3" spans="1:3" x14ac:dyDescent="0.25">
      <c r="A3" s="108" t="s">
        <v>138</v>
      </c>
      <c r="B3" s="109"/>
      <c r="C3" s="114"/>
    </row>
    <row r="4" spans="1:3" x14ac:dyDescent="0.25">
      <c r="A4" s="108" t="s">
        <v>139</v>
      </c>
      <c r="B4" s="109"/>
      <c r="C4" s="114"/>
    </row>
    <row r="5" spans="1:3" x14ac:dyDescent="0.25">
      <c r="A5" s="108" t="s">
        <v>140</v>
      </c>
      <c r="B5" s="109"/>
      <c r="C5" s="114"/>
    </row>
    <row r="6" spans="1:3" x14ac:dyDescent="0.25">
      <c r="A6" s="108" t="s">
        <v>141</v>
      </c>
      <c r="B6" s="109"/>
      <c r="C6" s="114"/>
    </row>
    <row r="7" spans="1:3" x14ac:dyDescent="0.25">
      <c r="A7" s="108" t="s">
        <v>142</v>
      </c>
      <c r="B7" s="109"/>
      <c r="C7" s="114"/>
    </row>
    <row r="8" spans="1:3" x14ac:dyDescent="0.25">
      <c r="A8" s="108" t="s">
        <v>143</v>
      </c>
      <c r="B8" s="109"/>
      <c r="C8" s="114"/>
    </row>
    <row r="9" spans="1:3" x14ac:dyDescent="0.25">
      <c r="A9" s="108" t="s">
        <v>144</v>
      </c>
      <c r="B9" s="109"/>
      <c r="C9" s="114"/>
    </row>
    <row r="10" spans="1:3" x14ac:dyDescent="0.25">
      <c r="A10" s="108" t="s">
        <v>145</v>
      </c>
      <c r="B10" s="109"/>
      <c r="C10" s="114"/>
    </row>
    <row r="11" spans="1:3" x14ac:dyDescent="0.25">
      <c r="A11" s="108" t="s">
        <v>146</v>
      </c>
      <c r="B11" s="109"/>
      <c r="C11" s="114"/>
    </row>
    <row r="12" spans="1:3" x14ac:dyDescent="0.25">
      <c r="A12" s="108" t="s">
        <v>147</v>
      </c>
      <c r="B12" s="109"/>
      <c r="C12" s="114">
        <v>-18921</v>
      </c>
    </row>
    <row r="13" spans="1:3" x14ac:dyDescent="0.25">
      <c r="A13" s="108" t="s">
        <v>148</v>
      </c>
      <c r="B13" s="109"/>
      <c r="C13" s="114"/>
    </row>
    <row r="14" spans="1:3" x14ac:dyDescent="0.25">
      <c r="A14" s="110" t="s">
        <v>149</v>
      </c>
      <c r="B14" s="111"/>
      <c r="C14" s="115"/>
    </row>
    <row r="15" spans="1:3" x14ac:dyDescent="0.25">
      <c r="A15" s="112" t="s">
        <v>17</v>
      </c>
      <c r="B15" s="113"/>
      <c r="C15" s="113">
        <f>SUM(C3:C14)</f>
        <v>-18921</v>
      </c>
    </row>
    <row r="16" spans="1:3" x14ac:dyDescent="0.25">
      <c r="A16"/>
      <c r="B16"/>
      <c r="C16"/>
    </row>
  </sheetData>
  <mergeCells count="1">
    <mergeCell ref="A1:C1"/>
  </mergeCells>
  <phoneticPr fontId="3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T3170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H3" sqref="H3"/>
    </sheetView>
  </sheetViews>
  <sheetFormatPr defaultColWidth="9" defaultRowHeight="15.75" x14ac:dyDescent="0.25"/>
  <cols>
    <col min="1" max="1" width="10.125" style="11" bestFit="1" customWidth="1"/>
    <col min="2" max="2" width="5.625" style="11" customWidth="1"/>
    <col min="3" max="4" width="10.125" style="11" customWidth="1"/>
    <col min="5" max="5" width="5.75" style="11" customWidth="1"/>
    <col min="6" max="6" width="12" style="23" bestFit="1" customWidth="1"/>
    <col min="7" max="7" width="14.75" style="23" bestFit="1" customWidth="1"/>
    <col min="8" max="8" width="13.5" style="23" bestFit="1" customWidth="1"/>
    <col min="9" max="9" width="5.625" style="23" customWidth="1"/>
    <col min="10" max="10" width="12" style="42" bestFit="1" customWidth="1"/>
    <col min="11" max="11" width="14.75" style="23" bestFit="1" customWidth="1"/>
    <col min="12" max="12" width="12" style="23" bestFit="1" customWidth="1"/>
    <col min="13" max="13" width="5.625" style="23" customWidth="1"/>
    <col min="14" max="14" width="12" style="23" customWidth="1"/>
    <col min="15" max="15" width="14.75" style="23" bestFit="1" customWidth="1"/>
    <col min="16" max="16" width="12" style="23" customWidth="1"/>
    <col min="17" max="17" width="5.625" style="23" customWidth="1"/>
    <col min="18" max="19" width="14.75" style="11" bestFit="1" customWidth="1"/>
    <col min="20" max="20" width="13.5" style="11" bestFit="1" customWidth="1"/>
    <col min="21" max="16384" width="9" style="11"/>
  </cols>
  <sheetData>
    <row r="1" spans="1:46" ht="18.75" x14ac:dyDescent="0.3">
      <c r="A1" s="209" t="s">
        <v>190</v>
      </c>
      <c r="B1" s="50"/>
      <c r="C1" s="50"/>
      <c r="D1" s="50"/>
      <c r="E1" s="50"/>
      <c r="F1" s="50"/>
      <c r="G1" s="50"/>
      <c r="H1" s="50"/>
      <c r="I1" s="50"/>
      <c r="J1" s="74"/>
      <c r="K1" s="50"/>
      <c r="L1" s="50"/>
      <c r="M1" s="50"/>
      <c r="N1" s="50"/>
      <c r="O1" s="50"/>
      <c r="P1" s="50"/>
      <c r="Q1" s="50"/>
      <c r="R1" s="50"/>
      <c r="S1" s="50"/>
      <c r="T1" s="50"/>
    </row>
    <row r="2" spans="1:46" s="12" customFormat="1" ht="15.75" customHeight="1" x14ac:dyDescent="0.2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13"/>
      <c r="V2" s="13"/>
      <c r="W2" s="13"/>
      <c r="X2" s="13"/>
      <c r="Y2" s="13"/>
      <c r="Z2" s="13"/>
      <c r="AA2" s="13"/>
      <c r="AB2" s="13"/>
      <c r="AC2" s="13"/>
      <c r="AD2" s="13"/>
    </row>
    <row r="3" spans="1:46" ht="18.75" x14ac:dyDescent="0.3">
      <c r="A3" s="191"/>
      <c r="B3" s="1"/>
      <c r="C3" s="1"/>
      <c r="D3" s="1"/>
      <c r="E3" s="1"/>
      <c r="F3" s="1"/>
      <c r="G3" s="1"/>
      <c r="H3" s="1"/>
      <c r="I3" s="1"/>
      <c r="J3" s="213"/>
      <c r="K3" s="1"/>
      <c r="L3" s="1"/>
      <c r="M3" s="1"/>
      <c r="N3" s="1"/>
      <c r="O3" s="1"/>
      <c r="P3" s="1"/>
      <c r="Q3" s="1"/>
      <c r="R3" s="1"/>
      <c r="S3" s="1"/>
      <c r="T3" s="1"/>
    </row>
    <row r="4" spans="1:46" s="12" customFormat="1" ht="15.75" customHeight="1" x14ac:dyDescent="0.2">
      <c r="A4" s="2">
        <v>1</v>
      </c>
      <c r="B4" s="3">
        <v>2</v>
      </c>
      <c r="C4" s="3">
        <f>+B4+1</f>
        <v>3</v>
      </c>
      <c r="D4" s="3">
        <f>+C4+1</f>
        <v>4</v>
      </c>
      <c r="E4" s="3">
        <v>5</v>
      </c>
      <c r="F4" s="3">
        <f>1+E4</f>
        <v>6</v>
      </c>
      <c r="G4" s="3">
        <f>1+F4</f>
        <v>7</v>
      </c>
      <c r="H4" s="3">
        <f>1+G4</f>
        <v>8</v>
      </c>
      <c r="I4" s="3">
        <f>1+H4</f>
        <v>9</v>
      </c>
      <c r="J4" s="3">
        <f t="shared" ref="J4:T4" si="0">1+I4</f>
        <v>10</v>
      </c>
      <c r="K4" s="3">
        <f t="shared" si="0"/>
        <v>11</v>
      </c>
      <c r="L4" s="3">
        <f t="shared" si="0"/>
        <v>12</v>
      </c>
      <c r="M4" s="3">
        <f t="shared" si="0"/>
        <v>13</v>
      </c>
      <c r="N4" s="3">
        <f t="shared" si="0"/>
        <v>14</v>
      </c>
      <c r="O4" s="3">
        <f t="shared" si="0"/>
        <v>15</v>
      </c>
      <c r="P4" s="3">
        <f t="shared" si="0"/>
        <v>16</v>
      </c>
      <c r="Q4" s="3">
        <f t="shared" si="0"/>
        <v>17</v>
      </c>
      <c r="R4" s="3">
        <f t="shared" si="0"/>
        <v>18</v>
      </c>
      <c r="S4" s="3">
        <f t="shared" si="0"/>
        <v>19</v>
      </c>
      <c r="T4" s="3">
        <f t="shared" si="0"/>
        <v>20</v>
      </c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46" s="14" customFormat="1" ht="15.75" customHeight="1" x14ac:dyDescent="0.25">
      <c r="A5" s="9"/>
      <c r="B5" s="9"/>
      <c r="C5" s="283" t="s">
        <v>3</v>
      </c>
      <c r="D5" s="283"/>
      <c r="E5" s="8"/>
      <c r="F5" s="290" t="s">
        <v>133</v>
      </c>
      <c r="G5" s="283"/>
      <c r="H5" s="283"/>
      <c r="I5" s="10"/>
      <c r="J5" s="283" t="s">
        <v>7</v>
      </c>
      <c r="K5" s="283"/>
      <c r="L5" s="283"/>
      <c r="M5" s="25"/>
      <c r="N5" s="290" t="s">
        <v>134</v>
      </c>
      <c r="O5" s="283"/>
      <c r="P5" s="283"/>
      <c r="Q5" s="10"/>
      <c r="R5" s="283" t="s">
        <v>124</v>
      </c>
      <c r="S5" s="283"/>
      <c r="T5" s="283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46" x14ac:dyDescent="0.25">
      <c r="A6"/>
      <c r="B6" s="26"/>
      <c r="C6" s="26" t="s">
        <v>45</v>
      </c>
      <c r="D6" s="26" t="s">
        <v>10</v>
      </c>
      <c r="E6"/>
      <c r="F6" s="288" t="s">
        <v>3</v>
      </c>
      <c r="G6" s="289"/>
      <c r="H6" s="289"/>
      <c r="I6" s="25"/>
      <c r="J6" s="288" t="s">
        <v>3</v>
      </c>
      <c r="K6" s="289"/>
      <c r="L6" s="289"/>
      <c r="M6" s="29"/>
      <c r="N6" s="288" t="s">
        <v>3</v>
      </c>
      <c r="O6" s="289"/>
      <c r="P6" s="289"/>
      <c r="Q6" s="25"/>
      <c r="R6" s="288" t="s">
        <v>3</v>
      </c>
      <c r="S6" s="289"/>
      <c r="T6" s="289"/>
    </row>
    <row r="7" spans="1:46" x14ac:dyDescent="0.25">
      <c r="A7" s="27" t="s">
        <v>58</v>
      </c>
      <c r="B7" s="27"/>
      <c r="C7" s="27" t="s">
        <v>44</v>
      </c>
      <c r="D7" s="27" t="s">
        <v>44</v>
      </c>
      <c r="E7" s="27"/>
      <c r="F7" s="10" t="s">
        <v>94</v>
      </c>
      <c r="G7" s="10" t="s">
        <v>92</v>
      </c>
      <c r="H7" s="54" t="s">
        <v>93</v>
      </c>
      <c r="I7" s="29"/>
      <c r="J7" s="10" t="s">
        <v>94</v>
      </c>
      <c r="K7" s="10" t="s">
        <v>92</v>
      </c>
      <c r="L7" s="54" t="s">
        <v>93</v>
      </c>
      <c r="M7" s="54"/>
      <c r="N7" s="10" t="s">
        <v>94</v>
      </c>
      <c r="O7" s="10" t="s">
        <v>92</v>
      </c>
      <c r="P7" s="54" t="s">
        <v>93</v>
      </c>
      <c r="Q7" s="29"/>
      <c r="R7" s="10" t="s">
        <v>94</v>
      </c>
      <c r="S7" s="10" t="s">
        <v>92</v>
      </c>
      <c r="T7" s="54" t="s">
        <v>93</v>
      </c>
    </row>
    <row r="8" spans="1:46" x14ac:dyDescent="0.25">
      <c r="A8" s="31">
        <f>'M&amp;R Stations'!A2</f>
        <v>38961</v>
      </c>
      <c r="B8" s="89"/>
      <c r="C8" s="227">
        <v>54488</v>
      </c>
      <c r="D8" s="224">
        <v>45791</v>
      </c>
      <c r="E8" s="184"/>
      <c r="F8" s="72" t="e">
        <f>IF('M&amp;R Stations'!#REF!="","",('M&amp;R Stations'!#REF!+'M&amp;R Stations'!#REF!)+('LNG Facilities'!F2+'LNG Facilities'!G2+'LNG Facilities'!H2+'LNG Facilities'!R2+'LNG Facilities'!S2+'LNG Facilities'!T2)-'LNG Facilities'!#REF!-('NG Utilization'!C8+'NG Utilization'!D8+'NG Utilization'!E8))</f>
        <v>#REF!</v>
      </c>
      <c r="G8" s="58" t="e">
        <f>IF('M&amp;R Stations'!#REF!="","",F8)</f>
        <v>#REF!</v>
      </c>
      <c r="H8" s="58" t="e">
        <f>IF('M&amp;R Stations'!#REF!="","",F8)</f>
        <v>#REF!</v>
      </c>
      <c r="I8" s="58"/>
      <c r="J8" s="57" t="e">
        <f t="shared" ref="J8:J37" si="1">IF(F8="","",C8)</f>
        <v>#REF!</v>
      </c>
      <c r="K8" s="58" t="e">
        <f>IF(F8="","",J8)</f>
        <v>#REF!</v>
      </c>
      <c r="L8" s="58" t="e">
        <f>IF(D8="","",J8)</f>
        <v>#REF!</v>
      </c>
      <c r="M8" s="58"/>
      <c r="N8" s="73" t="e">
        <f>IF(D8="","",ROUND((('M&amp;R Stations'!#REF!+'M&amp;R Stations'!#REF!)-('NG Utilization'!C8+'NG Utilization'!D8+'NG Utilization'!E8)-'LNG Facilities'!#REF!)*ROUND(((('M&amp;R Stations'!#REF!*'M&amp;R Stations'!L2)+('M&amp;R Stations'!#REF!*'M&amp;R Stations'!F2))/1000)/('M&amp;R Stations'!#REF!+'M&amp;R Stations'!#REF!),3),0)+ROUND((('LNG Facilities'!F2*'LNG Facilities'!K2+'LNG Facilities'!G2*'LNG Facilities'!L2+'LNG Facilities'!H2*'LNG Facilities'!M2+'LNG Facilities'!R2*'LNG Facilities'!W2+'LNG Facilities'!S2*'LNG Facilities'!X2+'LNG Facilities'!T2*'LNG Facilities'!#REF!)/1000),0))</f>
        <v>#REF!</v>
      </c>
      <c r="O8" s="58" t="e">
        <f>IF(D8="","",N8)</f>
        <v>#REF!</v>
      </c>
      <c r="P8" s="58" t="e">
        <f>IF(D8="","",N8)</f>
        <v>#REF!</v>
      </c>
      <c r="Q8" s="58"/>
      <c r="R8" s="57" t="e">
        <f>IF('M&amp;R Stations'!#REF!="","",D8)</f>
        <v>#REF!</v>
      </c>
      <c r="S8" s="58" t="e">
        <f>IF('M&amp;R Stations'!#REF!="","",R8)</f>
        <v>#REF!</v>
      </c>
      <c r="T8" s="58" t="e">
        <f>IF('M&amp;R Stations'!#REF!="","",R8)</f>
        <v>#REF!</v>
      </c>
      <c r="U8" s="59"/>
      <c r="V8" s="59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</row>
    <row r="9" spans="1:46" x14ac:dyDescent="0.25">
      <c r="A9" s="31">
        <f>'M&amp;R Stations'!A3</f>
        <v>38962</v>
      </c>
      <c r="B9" s="89"/>
      <c r="C9" s="227">
        <v>51932</v>
      </c>
      <c r="D9" s="224">
        <v>45791</v>
      </c>
      <c r="E9" s="185"/>
      <c r="F9" s="72" t="e">
        <f>IF('M&amp;R Stations'!#REF!="","",('M&amp;R Stations'!#REF!+'M&amp;R Stations'!#REF!)+('LNG Facilities'!F3+'LNG Facilities'!G3+'LNG Facilities'!H3+'LNG Facilities'!R3+'LNG Facilities'!S3+'LNG Facilities'!T3)-'LNG Facilities'!#REF!-('NG Utilization'!C9+'NG Utilization'!D9+'NG Utilization'!E9))</f>
        <v>#REF!</v>
      </c>
      <c r="G9" s="58" t="e">
        <f>IF('M&amp;R Stations'!#REF!="","",F9+G8)</f>
        <v>#REF!</v>
      </c>
      <c r="H9" s="58" t="e">
        <f>IF('M&amp;R Stations'!#REF!="","",F9+H8)</f>
        <v>#REF!</v>
      </c>
      <c r="I9" s="58"/>
      <c r="J9" s="57" t="e">
        <f t="shared" si="1"/>
        <v>#REF!</v>
      </c>
      <c r="K9" s="58" t="e">
        <f>IF(J9="","",J9+K8)</f>
        <v>#REF!</v>
      </c>
      <c r="L9" s="58" t="e">
        <f>IF(J9="","",J9+L8)</f>
        <v>#REF!</v>
      </c>
      <c r="M9" s="58"/>
      <c r="N9" s="73" t="e">
        <f>IF(F9="","",ROUND((('M&amp;R Stations'!#REF!+'M&amp;R Stations'!#REF!)-('NG Utilization'!C9+'NG Utilization'!D9+'NG Utilization'!E9)-'LNG Facilities'!#REF!)*ROUND(((('M&amp;R Stations'!#REF!*'M&amp;R Stations'!L3)+('M&amp;R Stations'!#REF!*'M&amp;R Stations'!F3))/1000)/('M&amp;R Stations'!#REF!+'M&amp;R Stations'!#REF!),3),0)+ROUND((('LNG Facilities'!F3*'LNG Facilities'!K3+'LNG Facilities'!G3*'LNG Facilities'!L3+'LNG Facilities'!H3*'LNG Facilities'!M3+'LNG Facilities'!R3*'LNG Facilities'!W3+'LNG Facilities'!S3*'LNG Facilities'!X3+'LNG Facilities'!T3*'LNG Facilities'!#REF!)/1000),0))</f>
        <v>#REF!</v>
      </c>
      <c r="O9" s="58" t="e">
        <f>IF(N9="","",N9+O8)</f>
        <v>#REF!</v>
      </c>
      <c r="P9" s="58" t="e">
        <f>IF(N9="","",N9+P8)</f>
        <v>#REF!</v>
      </c>
      <c r="Q9" s="58"/>
      <c r="R9" s="57" t="e">
        <f t="shared" ref="R9:R37" si="2">IF(F9="","",D9)</f>
        <v>#REF!</v>
      </c>
      <c r="S9" s="58" t="e">
        <f>IF(R9="","",R9+S8)</f>
        <v>#REF!</v>
      </c>
      <c r="T9" s="58" t="e">
        <f>IF(R9="","",R9+T8)</f>
        <v>#REF!</v>
      </c>
      <c r="U9" s="59"/>
      <c r="V9" s="59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</row>
    <row r="10" spans="1:46" x14ac:dyDescent="0.25">
      <c r="A10" s="31">
        <f>'M&amp;R Stations'!A4</f>
        <v>38963</v>
      </c>
      <c r="B10" s="89"/>
      <c r="C10" s="227">
        <v>48924</v>
      </c>
      <c r="D10" s="224">
        <v>45791</v>
      </c>
      <c r="E10" s="185"/>
      <c r="F10" s="72" t="e">
        <f>IF('M&amp;R Stations'!#REF!="","",('M&amp;R Stations'!#REF!+'M&amp;R Stations'!#REF!)+('LNG Facilities'!F4+'LNG Facilities'!G4+'LNG Facilities'!H4+'LNG Facilities'!R4+'LNG Facilities'!S4+'LNG Facilities'!T4)-'LNG Facilities'!#REF!-('NG Utilization'!C10+'NG Utilization'!D10+'NG Utilization'!E10))</f>
        <v>#REF!</v>
      </c>
      <c r="G10" s="58" t="e">
        <f>IF('M&amp;R Stations'!#REF!="","",F10+G9)</f>
        <v>#REF!</v>
      </c>
      <c r="H10" s="58" t="e">
        <f>IF('M&amp;R Stations'!#REF!="","",F10+H9)</f>
        <v>#REF!</v>
      </c>
      <c r="I10" s="58"/>
      <c r="J10" s="57" t="e">
        <f t="shared" si="1"/>
        <v>#REF!</v>
      </c>
      <c r="K10" s="58" t="e">
        <f t="shared" ref="K10:K68" si="3">IF(J10="","",J10+K9)</f>
        <v>#REF!</v>
      </c>
      <c r="L10" s="58" t="e">
        <f t="shared" ref="L10:L68" si="4">IF(J10="","",J10+L9)</f>
        <v>#REF!</v>
      </c>
      <c r="M10" s="58"/>
      <c r="N10" s="73" t="e">
        <f>IF(F10="","",ROUND((('M&amp;R Stations'!#REF!+'M&amp;R Stations'!#REF!)-('NG Utilization'!C10+'NG Utilization'!D10+'NG Utilization'!E10)-'LNG Facilities'!#REF!)*ROUND(((('M&amp;R Stations'!#REF!*'M&amp;R Stations'!L4)+('M&amp;R Stations'!#REF!*'M&amp;R Stations'!F4))/1000)/('M&amp;R Stations'!#REF!+'M&amp;R Stations'!#REF!),3),0)+ROUND((('LNG Facilities'!F4*'LNG Facilities'!K4+'LNG Facilities'!G4*'LNG Facilities'!L4+'LNG Facilities'!H4*'LNG Facilities'!M4+'LNG Facilities'!R4*'LNG Facilities'!W4+'LNG Facilities'!S4*'LNG Facilities'!X4+'LNG Facilities'!T4*'LNG Facilities'!#REF!)/1000),0))</f>
        <v>#REF!</v>
      </c>
      <c r="O10" s="58" t="e">
        <f t="shared" ref="O10:O68" si="5">IF(N10="","",N10+O9)</f>
        <v>#REF!</v>
      </c>
      <c r="P10" s="58" t="e">
        <f t="shared" ref="P10:P68" si="6">IF(N10="","",N10+P9)</f>
        <v>#REF!</v>
      </c>
      <c r="Q10" s="58"/>
      <c r="R10" s="57" t="e">
        <f t="shared" si="2"/>
        <v>#REF!</v>
      </c>
      <c r="S10" s="58" t="e">
        <f t="shared" ref="S10:S68" si="7">IF(R10="","",R10+S9)</f>
        <v>#REF!</v>
      </c>
      <c r="T10" s="58" t="e">
        <f t="shared" ref="T10:T68" si="8">IF(R10="","",R10+T9)</f>
        <v>#REF!</v>
      </c>
      <c r="U10" s="59"/>
      <c r="V10" s="59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</row>
    <row r="11" spans="1:46" x14ac:dyDescent="0.25">
      <c r="A11" s="31">
        <f>'M&amp;R Stations'!A5</f>
        <v>38964</v>
      </c>
      <c r="B11" s="89"/>
      <c r="C11" s="227">
        <v>49085</v>
      </c>
      <c r="D11" s="224">
        <v>45791</v>
      </c>
      <c r="E11" s="185"/>
      <c r="F11" s="72" t="e">
        <f>IF('M&amp;R Stations'!#REF!="","",('M&amp;R Stations'!#REF!+'M&amp;R Stations'!#REF!)+('LNG Facilities'!F5+'LNG Facilities'!G5+'LNG Facilities'!H5+'LNG Facilities'!R5+'LNG Facilities'!S5+'LNG Facilities'!T5)-'LNG Facilities'!#REF!-('NG Utilization'!C11+'NG Utilization'!D11+'NG Utilization'!E11))</f>
        <v>#REF!</v>
      </c>
      <c r="G11" s="58" t="e">
        <f>IF('M&amp;R Stations'!#REF!="","",F11+G10)</f>
        <v>#REF!</v>
      </c>
      <c r="H11" s="58" t="e">
        <f>IF('M&amp;R Stations'!#REF!="","",F11+H10)</f>
        <v>#REF!</v>
      </c>
      <c r="I11" s="58"/>
      <c r="J11" s="57" t="e">
        <f t="shared" si="1"/>
        <v>#REF!</v>
      </c>
      <c r="K11" s="58" t="e">
        <f t="shared" si="3"/>
        <v>#REF!</v>
      </c>
      <c r="L11" s="58" t="e">
        <f t="shared" si="4"/>
        <v>#REF!</v>
      </c>
      <c r="M11" s="58"/>
      <c r="N11" s="73" t="e">
        <f>IF(F11="","",ROUND((('M&amp;R Stations'!#REF!+'M&amp;R Stations'!#REF!)-('NG Utilization'!C11+'NG Utilization'!D11+'NG Utilization'!E11)-'LNG Facilities'!#REF!)*ROUND(((('M&amp;R Stations'!#REF!*'M&amp;R Stations'!L5)+('M&amp;R Stations'!#REF!*'M&amp;R Stations'!F5))/1000)/('M&amp;R Stations'!#REF!+'M&amp;R Stations'!#REF!),3),0)+ROUND((('LNG Facilities'!F5*'LNG Facilities'!K5+'LNG Facilities'!G5*'LNG Facilities'!L5+'LNG Facilities'!H5*'LNG Facilities'!M5+'LNG Facilities'!R5*'LNG Facilities'!W5+'LNG Facilities'!S5*'LNG Facilities'!X5+'LNG Facilities'!T5*'LNG Facilities'!#REF!)/1000),0))</f>
        <v>#REF!</v>
      </c>
      <c r="O11" s="58" t="e">
        <f t="shared" si="5"/>
        <v>#REF!</v>
      </c>
      <c r="P11" s="58" t="e">
        <f t="shared" si="6"/>
        <v>#REF!</v>
      </c>
      <c r="Q11" s="58"/>
      <c r="R11" s="57" t="e">
        <f t="shared" si="2"/>
        <v>#REF!</v>
      </c>
      <c r="S11" s="58" t="e">
        <f t="shared" si="7"/>
        <v>#REF!</v>
      </c>
      <c r="T11" s="58" t="e">
        <f t="shared" si="8"/>
        <v>#REF!</v>
      </c>
      <c r="U11" s="59"/>
      <c r="V11" s="59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</row>
    <row r="12" spans="1:46" x14ac:dyDescent="0.25">
      <c r="A12" s="31">
        <f>'M&amp;R Stations'!A6</f>
        <v>38965</v>
      </c>
      <c r="B12" s="89"/>
      <c r="C12" s="227">
        <v>53371</v>
      </c>
      <c r="D12" s="224">
        <v>45791</v>
      </c>
      <c r="E12" s="185"/>
      <c r="F12" s="72" t="e">
        <f>IF('M&amp;R Stations'!#REF!="","",('M&amp;R Stations'!#REF!+'M&amp;R Stations'!#REF!)+('LNG Facilities'!F6+'LNG Facilities'!G6+'LNG Facilities'!H6+'LNG Facilities'!R6+'LNG Facilities'!S6+'LNG Facilities'!T6)-'LNG Facilities'!#REF!-('NG Utilization'!C12+'NG Utilization'!D12+'NG Utilization'!E12))</f>
        <v>#REF!</v>
      </c>
      <c r="G12" s="58" t="e">
        <f>IF('M&amp;R Stations'!#REF!="","",F12+G11)</f>
        <v>#REF!</v>
      </c>
      <c r="H12" s="58" t="e">
        <f>IF('M&amp;R Stations'!#REF!="","",F12+H11)</f>
        <v>#REF!</v>
      </c>
      <c r="I12" s="58"/>
      <c r="J12" s="57" t="e">
        <f t="shared" si="1"/>
        <v>#REF!</v>
      </c>
      <c r="K12" s="58" t="e">
        <f t="shared" si="3"/>
        <v>#REF!</v>
      </c>
      <c r="L12" s="58" t="e">
        <f t="shared" si="4"/>
        <v>#REF!</v>
      </c>
      <c r="M12" s="58"/>
      <c r="N12" s="73" t="e">
        <f>IF(F12="","",ROUND((('M&amp;R Stations'!#REF!+'M&amp;R Stations'!#REF!)-('NG Utilization'!C12+'NG Utilization'!D12+'NG Utilization'!E12)-'LNG Facilities'!#REF!)*ROUND(((('M&amp;R Stations'!#REF!*'M&amp;R Stations'!L6)+('M&amp;R Stations'!#REF!*'M&amp;R Stations'!F6))/1000)/('M&amp;R Stations'!#REF!+'M&amp;R Stations'!#REF!),3),0)+ROUND((('LNG Facilities'!F6*'LNG Facilities'!K6+'LNG Facilities'!G6*'LNG Facilities'!L6+'LNG Facilities'!H6*'LNG Facilities'!M6+'LNG Facilities'!R6*'LNG Facilities'!W6+'LNG Facilities'!S6*'LNG Facilities'!X6+'LNG Facilities'!T6*'LNG Facilities'!#REF!)/1000),0))</f>
        <v>#REF!</v>
      </c>
      <c r="O12" s="58" t="e">
        <f t="shared" si="5"/>
        <v>#REF!</v>
      </c>
      <c r="P12" s="58" t="e">
        <f t="shared" si="6"/>
        <v>#REF!</v>
      </c>
      <c r="Q12" s="58"/>
      <c r="R12" s="57" t="e">
        <f t="shared" si="2"/>
        <v>#REF!</v>
      </c>
      <c r="S12" s="58" t="e">
        <f t="shared" si="7"/>
        <v>#REF!</v>
      </c>
      <c r="T12" s="58" t="e">
        <f t="shared" si="8"/>
        <v>#REF!</v>
      </c>
      <c r="U12" s="59"/>
      <c r="V12" s="59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</row>
    <row r="13" spans="1:46" x14ac:dyDescent="0.25">
      <c r="A13" s="31">
        <f>'M&amp;R Stations'!A7</f>
        <v>38966</v>
      </c>
      <c r="B13" s="89"/>
      <c r="C13" s="227">
        <v>55445</v>
      </c>
      <c r="D13" s="224">
        <v>45791</v>
      </c>
      <c r="E13" s="185"/>
      <c r="F13" s="72" t="e">
        <f>IF('M&amp;R Stations'!#REF!="","",('M&amp;R Stations'!#REF!+'M&amp;R Stations'!#REF!)+('LNG Facilities'!F7+'LNG Facilities'!G7+'LNG Facilities'!H7+'LNG Facilities'!R7+'LNG Facilities'!S7+'LNG Facilities'!T7)-'LNG Facilities'!#REF!-('NG Utilization'!C13+'NG Utilization'!D13+'NG Utilization'!E13))</f>
        <v>#REF!</v>
      </c>
      <c r="G13" s="58" t="e">
        <f>IF('M&amp;R Stations'!#REF!="","",F13+G12)</f>
        <v>#REF!</v>
      </c>
      <c r="H13" s="58" t="e">
        <f>IF('M&amp;R Stations'!#REF!="","",F13+H12)</f>
        <v>#REF!</v>
      </c>
      <c r="I13" s="58"/>
      <c r="J13" s="57" t="e">
        <f t="shared" si="1"/>
        <v>#REF!</v>
      </c>
      <c r="K13" s="58" t="e">
        <f t="shared" si="3"/>
        <v>#REF!</v>
      </c>
      <c r="L13" s="58" t="e">
        <f t="shared" si="4"/>
        <v>#REF!</v>
      </c>
      <c r="M13" s="58"/>
      <c r="N13" s="73" t="e">
        <f>IF(F13="","",ROUND((('M&amp;R Stations'!#REF!+'M&amp;R Stations'!#REF!)-('NG Utilization'!C13+'NG Utilization'!D13+'NG Utilization'!E13)-'LNG Facilities'!#REF!)*ROUND(((('M&amp;R Stations'!#REF!*'M&amp;R Stations'!L7)+('M&amp;R Stations'!#REF!*'M&amp;R Stations'!F7))/1000)/('M&amp;R Stations'!#REF!+'M&amp;R Stations'!#REF!),3),0)+ROUND((('LNG Facilities'!F7*'LNG Facilities'!K7+'LNG Facilities'!G7*'LNG Facilities'!L7+'LNG Facilities'!H7*'LNG Facilities'!M7+'LNG Facilities'!R7*'LNG Facilities'!W7+'LNG Facilities'!S7*'LNG Facilities'!X7+'LNG Facilities'!T7*'LNG Facilities'!#REF!)/1000),0))</f>
        <v>#REF!</v>
      </c>
      <c r="O13" s="58" t="e">
        <f t="shared" si="5"/>
        <v>#REF!</v>
      </c>
      <c r="P13" s="58" t="e">
        <f t="shared" si="6"/>
        <v>#REF!</v>
      </c>
      <c r="Q13" s="58"/>
      <c r="R13" s="57" t="e">
        <f t="shared" si="2"/>
        <v>#REF!</v>
      </c>
      <c r="S13" s="58" t="e">
        <f t="shared" si="7"/>
        <v>#REF!</v>
      </c>
      <c r="T13" s="58" t="e">
        <f t="shared" si="8"/>
        <v>#REF!</v>
      </c>
      <c r="U13" s="59"/>
      <c r="V13" s="59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</row>
    <row r="14" spans="1:46" x14ac:dyDescent="0.25">
      <c r="A14" s="31">
        <f>'M&amp;R Stations'!A8</f>
        <v>38967</v>
      </c>
      <c r="B14" s="89"/>
      <c r="C14" s="227">
        <v>58178</v>
      </c>
      <c r="D14" s="224">
        <v>45791</v>
      </c>
      <c r="E14" s="185"/>
      <c r="F14" s="72" t="e">
        <f>IF('M&amp;R Stations'!#REF!="","",('M&amp;R Stations'!#REF!+'M&amp;R Stations'!#REF!)+('LNG Facilities'!F8+'LNG Facilities'!G8+'LNG Facilities'!H8+'LNG Facilities'!R8+'LNG Facilities'!S8+'LNG Facilities'!T8)-'LNG Facilities'!#REF!-('NG Utilization'!C14+'NG Utilization'!D14+'NG Utilization'!E14))</f>
        <v>#REF!</v>
      </c>
      <c r="G14" s="58" t="e">
        <f>IF('M&amp;R Stations'!#REF!="","",F14+G13)</f>
        <v>#REF!</v>
      </c>
      <c r="H14" s="58" t="e">
        <f>IF('M&amp;R Stations'!#REF!="","",F14+H13)</f>
        <v>#REF!</v>
      </c>
      <c r="I14" s="58"/>
      <c r="J14" s="57" t="e">
        <f t="shared" si="1"/>
        <v>#REF!</v>
      </c>
      <c r="K14" s="58" t="e">
        <f t="shared" si="3"/>
        <v>#REF!</v>
      </c>
      <c r="L14" s="58" t="e">
        <f t="shared" si="4"/>
        <v>#REF!</v>
      </c>
      <c r="M14" s="58"/>
      <c r="N14" s="73" t="e">
        <f>IF(F14="","",ROUND((('M&amp;R Stations'!#REF!+'M&amp;R Stations'!#REF!)-('NG Utilization'!C14+'NG Utilization'!D14+'NG Utilization'!E14)-'LNG Facilities'!#REF!)*ROUND(((('M&amp;R Stations'!#REF!*'M&amp;R Stations'!L8)+('M&amp;R Stations'!#REF!*'M&amp;R Stations'!F8))/1000)/('M&amp;R Stations'!#REF!+'M&amp;R Stations'!#REF!),3),0)+ROUND((('LNG Facilities'!F8*'LNG Facilities'!K8+'LNG Facilities'!G8*'LNG Facilities'!L8+'LNG Facilities'!H8*'LNG Facilities'!M8+'LNG Facilities'!R8*'LNG Facilities'!W8+'LNG Facilities'!S8*'LNG Facilities'!X8+'LNG Facilities'!T8*'LNG Facilities'!#REF!)/1000),0))</f>
        <v>#REF!</v>
      </c>
      <c r="O14" s="58" t="e">
        <f t="shared" si="5"/>
        <v>#REF!</v>
      </c>
      <c r="P14" s="58" t="e">
        <f t="shared" si="6"/>
        <v>#REF!</v>
      </c>
      <c r="Q14" s="58"/>
      <c r="R14" s="57" t="e">
        <f t="shared" si="2"/>
        <v>#REF!</v>
      </c>
      <c r="S14" s="58" t="e">
        <f t="shared" si="7"/>
        <v>#REF!</v>
      </c>
      <c r="T14" s="58" t="e">
        <f t="shared" si="8"/>
        <v>#REF!</v>
      </c>
      <c r="U14" s="59"/>
      <c r="V14" s="59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</row>
    <row r="15" spans="1:46" x14ac:dyDescent="0.25">
      <c r="A15" s="31">
        <f>'M&amp;R Stations'!A9</f>
        <v>38968</v>
      </c>
      <c r="B15" s="89"/>
      <c r="C15" s="227">
        <v>56991</v>
      </c>
      <c r="D15" s="224">
        <v>45791</v>
      </c>
      <c r="E15" s="185"/>
      <c r="F15" s="72" t="e">
        <f>IF('M&amp;R Stations'!#REF!="","",('M&amp;R Stations'!#REF!+'M&amp;R Stations'!#REF!)+('LNG Facilities'!F9+'LNG Facilities'!G9+'LNG Facilities'!H9+'LNG Facilities'!R9+'LNG Facilities'!S9+'LNG Facilities'!T9)-'LNG Facilities'!#REF!-('NG Utilization'!C15+'NG Utilization'!D15+'NG Utilization'!E15))</f>
        <v>#REF!</v>
      </c>
      <c r="G15" s="58" t="e">
        <f>IF('M&amp;R Stations'!#REF!="","",F15+G14)</f>
        <v>#REF!</v>
      </c>
      <c r="H15" s="58" t="e">
        <f>IF('M&amp;R Stations'!#REF!="","",F15+H14)</f>
        <v>#REF!</v>
      </c>
      <c r="I15" s="58"/>
      <c r="J15" s="57" t="e">
        <f t="shared" si="1"/>
        <v>#REF!</v>
      </c>
      <c r="K15" s="58" t="e">
        <f t="shared" si="3"/>
        <v>#REF!</v>
      </c>
      <c r="L15" s="58" t="e">
        <f t="shared" si="4"/>
        <v>#REF!</v>
      </c>
      <c r="M15" s="58"/>
      <c r="N15" s="73" t="e">
        <f>IF(F15="","",ROUND((('M&amp;R Stations'!#REF!+'M&amp;R Stations'!#REF!)-('NG Utilization'!C15+'NG Utilization'!D15+'NG Utilization'!E15)-'LNG Facilities'!#REF!)*ROUND(((('M&amp;R Stations'!#REF!*'M&amp;R Stations'!L9)+('M&amp;R Stations'!#REF!*'M&amp;R Stations'!F9))/1000)/('M&amp;R Stations'!#REF!+'M&amp;R Stations'!#REF!),3),0)+ROUND((('LNG Facilities'!F9*'LNG Facilities'!K9+'LNG Facilities'!G9*'LNG Facilities'!L9+'LNG Facilities'!H9*'LNG Facilities'!M9+'LNG Facilities'!R9*'LNG Facilities'!W9+'LNG Facilities'!S9*'LNG Facilities'!X9+'LNG Facilities'!T9*'LNG Facilities'!#REF!)/1000),0))</f>
        <v>#REF!</v>
      </c>
      <c r="O15" s="58" t="e">
        <f t="shared" si="5"/>
        <v>#REF!</v>
      </c>
      <c r="P15" s="58" t="e">
        <f t="shared" si="6"/>
        <v>#REF!</v>
      </c>
      <c r="Q15" s="58"/>
      <c r="R15" s="57" t="e">
        <f t="shared" si="2"/>
        <v>#REF!</v>
      </c>
      <c r="S15" s="58" t="e">
        <f t="shared" si="7"/>
        <v>#REF!</v>
      </c>
      <c r="T15" s="58" t="e">
        <f t="shared" si="8"/>
        <v>#REF!</v>
      </c>
      <c r="U15" s="59"/>
      <c r="V15" s="59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</row>
    <row r="16" spans="1:46" x14ac:dyDescent="0.25">
      <c r="A16" s="31">
        <f>'M&amp;R Stations'!A10</f>
        <v>38969</v>
      </c>
      <c r="B16" s="89"/>
      <c r="C16" s="227">
        <v>53829</v>
      </c>
      <c r="D16" s="224">
        <v>45791</v>
      </c>
      <c r="E16" s="185"/>
      <c r="F16" s="72" t="e">
        <f>IF('M&amp;R Stations'!#REF!="","",('M&amp;R Stations'!#REF!+'M&amp;R Stations'!#REF!)+('LNG Facilities'!F10+'LNG Facilities'!G10+'LNG Facilities'!H10+'LNG Facilities'!R10+'LNG Facilities'!S10+'LNG Facilities'!T10)-'LNG Facilities'!#REF!-('NG Utilization'!C16+'NG Utilization'!D16+'NG Utilization'!E16))</f>
        <v>#REF!</v>
      </c>
      <c r="G16" s="58" t="e">
        <f>IF('M&amp;R Stations'!#REF!="","",F16+G15)</f>
        <v>#REF!</v>
      </c>
      <c r="H16" s="58" t="e">
        <f>IF('M&amp;R Stations'!#REF!="","",F16+H15)</f>
        <v>#REF!</v>
      </c>
      <c r="I16" s="58"/>
      <c r="J16" s="57" t="e">
        <f t="shared" si="1"/>
        <v>#REF!</v>
      </c>
      <c r="K16" s="58" t="e">
        <f t="shared" si="3"/>
        <v>#REF!</v>
      </c>
      <c r="L16" s="58" t="e">
        <f t="shared" si="4"/>
        <v>#REF!</v>
      </c>
      <c r="M16" s="58"/>
      <c r="N16" s="73" t="e">
        <f>IF(F16="","",ROUND((('M&amp;R Stations'!#REF!+'M&amp;R Stations'!#REF!)-('NG Utilization'!C16+'NG Utilization'!D16+'NG Utilization'!E16)-'LNG Facilities'!#REF!)*ROUND(((('M&amp;R Stations'!#REF!*'M&amp;R Stations'!L10)+('M&amp;R Stations'!#REF!*'M&amp;R Stations'!F10))/1000)/('M&amp;R Stations'!#REF!+'M&amp;R Stations'!#REF!),3),0)+ROUND((('LNG Facilities'!F10*'LNG Facilities'!K10+'LNG Facilities'!G10*'LNG Facilities'!L10+'LNG Facilities'!H10*'LNG Facilities'!M10+'LNG Facilities'!R10*'LNG Facilities'!W10+'LNG Facilities'!S10*'LNG Facilities'!X10+'LNG Facilities'!T10*'LNG Facilities'!#REF!)/1000),0))</f>
        <v>#REF!</v>
      </c>
      <c r="O16" s="58" t="e">
        <f t="shared" si="5"/>
        <v>#REF!</v>
      </c>
      <c r="P16" s="58" t="e">
        <f t="shared" si="6"/>
        <v>#REF!</v>
      </c>
      <c r="Q16" s="58"/>
      <c r="R16" s="57" t="e">
        <f t="shared" si="2"/>
        <v>#REF!</v>
      </c>
      <c r="S16" s="58" t="e">
        <f t="shared" si="7"/>
        <v>#REF!</v>
      </c>
      <c r="T16" s="58" t="e">
        <f t="shared" si="8"/>
        <v>#REF!</v>
      </c>
      <c r="U16" s="59"/>
      <c r="V16" s="59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</row>
    <row r="17" spans="1:46" x14ac:dyDescent="0.25">
      <c r="A17" s="31">
        <f>'M&amp;R Stations'!A11</f>
        <v>38970</v>
      </c>
      <c r="B17" s="89"/>
      <c r="C17" s="227">
        <v>52267</v>
      </c>
      <c r="D17" s="224">
        <v>45791</v>
      </c>
      <c r="E17" s="185"/>
      <c r="F17" s="72" t="e">
        <f>IF('M&amp;R Stations'!#REF!="","",('M&amp;R Stations'!#REF!+'M&amp;R Stations'!#REF!)+('LNG Facilities'!F11+'LNG Facilities'!G11+'LNG Facilities'!H11+'LNG Facilities'!R11+'LNG Facilities'!S11+'LNG Facilities'!T11)-'LNG Facilities'!#REF!-('NG Utilization'!C17+'NG Utilization'!D17+'NG Utilization'!E17))</f>
        <v>#REF!</v>
      </c>
      <c r="G17" s="58" t="e">
        <f>IF('M&amp;R Stations'!#REF!="","",F17+G16)</f>
        <v>#REF!</v>
      </c>
      <c r="H17" s="58" t="e">
        <f>IF('M&amp;R Stations'!#REF!="","",F17+H16)</f>
        <v>#REF!</v>
      </c>
      <c r="I17" s="58"/>
      <c r="J17" s="57" t="e">
        <f t="shared" si="1"/>
        <v>#REF!</v>
      </c>
      <c r="K17" s="58" t="e">
        <f t="shared" si="3"/>
        <v>#REF!</v>
      </c>
      <c r="L17" s="58" t="e">
        <f t="shared" si="4"/>
        <v>#REF!</v>
      </c>
      <c r="M17" s="58"/>
      <c r="N17" s="73" t="e">
        <f>IF(F17="","",ROUND((('M&amp;R Stations'!#REF!+'M&amp;R Stations'!#REF!)-('NG Utilization'!C17+'NG Utilization'!D17+'NG Utilization'!E17)-'LNG Facilities'!#REF!)*ROUND(((('M&amp;R Stations'!#REF!*'M&amp;R Stations'!L11)+('M&amp;R Stations'!#REF!*'M&amp;R Stations'!F11))/1000)/('M&amp;R Stations'!#REF!+'M&amp;R Stations'!#REF!),3),0)+ROUND((('LNG Facilities'!F11*'LNG Facilities'!K11+'LNG Facilities'!G11*'LNG Facilities'!L11+'LNG Facilities'!H11*'LNG Facilities'!M11+'LNG Facilities'!R11*'LNG Facilities'!W11+'LNG Facilities'!S11*'LNG Facilities'!X11+'LNG Facilities'!T11*'LNG Facilities'!#REF!)/1000),0))</f>
        <v>#REF!</v>
      </c>
      <c r="O17" s="58" t="e">
        <f t="shared" si="5"/>
        <v>#REF!</v>
      </c>
      <c r="P17" s="58" t="e">
        <f t="shared" si="6"/>
        <v>#REF!</v>
      </c>
      <c r="Q17" s="58"/>
      <c r="R17" s="57" t="e">
        <f t="shared" si="2"/>
        <v>#REF!</v>
      </c>
      <c r="S17" s="58" t="e">
        <f t="shared" si="7"/>
        <v>#REF!</v>
      </c>
      <c r="T17" s="58" t="e">
        <f t="shared" si="8"/>
        <v>#REF!</v>
      </c>
      <c r="U17" s="59"/>
      <c r="V17" s="59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</row>
    <row r="18" spans="1:46" x14ac:dyDescent="0.25">
      <c r="A18" s="31">
        <f>'M&amp;R Stations'!A12</f>
        <v>38971</v>
      </c>
      <c r="B18" s="89"/>
      <c r="C18" s="227">
        <v>56226</v>
      </c>
      <c r="D18" s="224">
        <v>45791</v>
      </c>
      <c r="E18" s="185"/>
      <c r="F18" s="72" t="e">
        <f>IF('M&amp;R Stations'!#REF!="","",('M&amp;R Stations'!#REF!+'M&amp;R Stations'!#REF!)+('LNG Facilities'!F12+'LNG Facilities'!G12+'LNG Facilities'!H12+'LNG Facilities'!R12+'LNG Facilities'!S12+'LNG Facilities'!T12)-'LNG Facilities'!#REF!-('NG Utilization'!C18+'NG Utilization'!D18+'NG Utilization'!E18))</f>
        <v>#REF!</v>
      </c>
      <c r="G18" s="58" t="e">
        <f>IF('M&amp;R Stations'!#REF!="","",F18+G17)</f>
        <v>#REF!</v>
      </c>
      <c r="H18" s="58" t="e">
        <f>IF('M&amp;R Stations'!#REF!="","",F18+H17)</f>
        <v>#REF!</v>
      </c>
      <c r="I18" s="58"/>
      <c r="J18" s="57" t="e">
        <f t="shared" si="1"/>
        <v>#REF!</v>
      </c>
      <c r="K18" s="58" t="e">
        <f t="shared" si="3"/>
        <v>#REF!</v>
      </c>
      <c r="L18" s="58" t="e">
        <f t="shared" si="4"/>
        <v>#REF!</v>
      </c>
      <c r="M18" s="58"/>
      <c r="N18" s="73" t="e">
        <f>IF(F18="","",ROUND((('M&amp;R Stations'!#REF!+'M&amp;R Stations'!#REF!)-('NG Utilization'!C18+'NG Utilization'!D18+'NG Utilization'!E18)-'LNG Facilities'!#REF!)*ROUND(((('M&amp;R Stations'!#REF!*'M&amp;R Stations'!L12)+('M&amp;R Stations'!#REF!*'M&amp;R Stations'!F12))/1000)/('M&amp;R Stations'!#REF!+'M&amp;R Stations'!#REF!),3),0)+ROUND((('LNG Facilities'!F12*'LNG Facilities'!K12+'LNG Facilities'!G12*'LNG Facilities'!L12+'LNG Facilities'!H12*'LNG Facilities'!M12+'LNG Facilities'!R12*'LNG Facilities'!W12+'LNG Facilities'!S12*'LNG Facilities'!X12+'LNG Facilities'!T12*'LNG Facilities'!#REF!)/1000),0))</f>
        <v>#REF!</v>
      </c>
      <c r="O18" s="58" t="e">
        <f t="shared" si="5"/>
        <v>#REF!</v>
      </c>
      <c r="P18" s="58" t="e">
        <f t="shared" si="6"/>
        <v>#REF!</v>
      </c>
      <c r="Q18" s="58"/>
      <c r="R18" s="57" t="e">
        <f t="shared" si="2"/>
        <v>#REF!</v>
      </c>
      <c r="S18" s="58" t="e">
        <f t="shared" si="7"/>
        <v>#REF!</v>
      </c>
      <c r="T18" s="58" t="e">
        <f t="shared" si="8"/>
        <v>#REF!</v>
      </c>
      <c r="U18" s="59"/>
      <c r="V18" s="59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</row>
    <row r="19" spans="1:46" x14ac:dyDescent="0.25">
      <c r="A19" s="31">
        <f>'M&amp;R Stations'!A13</f>
        <v>38972</v>
      </c>
      <c r="B19" s="89"/>
      <c r="C19" s="227">
        <v>56033</v>
      </c>
      <c r="D19" s="224">
        <v>45791</v>
      </c>
      <c r="E19" s="185"/>
      <c r="F19" s="72" t="e">
        <f>IF('M&amp;R Stations'!#REF!="","",('M&amp;R Stations'!#REF!+'M&amp;R Stations'!#REF!)+('LNG Facilities'!F13+'LNG Facilities'!G13+'LNG Facilities'!H13+'LNG Facilities'!R13+'LNG Facilities'!S13+'LNG Facilities'!T13)-'LNG Facilities'!#REF!-('NG Utilization'!C19+'NG Utilization'!D19+'NG Utilization'!E19))</f>
        <v>#REF!</v>
      </c>
      <c r="G19" s="58" t="e">
        <f>IF('M&amp;R Stations'!#REF!="","",F19+G18)</f>
        <v>#REF!</v>
      </c>
      <c r="H19" s="58" t="e">
        <f>IF('M&amp;R Stations'!#REF!="","",F19+H18)</f>
        <v>#REF!</v>
      </c>
      <c r="I19" s="58"/>
      <c r="J19" s="57" t="e">
        <f t="shared" si="1"/>
        <v>#REF!</v>
      </c>
      <c r="K19" s="58" t="e">
        <f t="shared" si="3"/>
        <v>#REF!</v>
      </c>
      <c r="L19" s="58" t="e">
        <f t="shared" si="4"/>
        <v>#REF!</v>
      </c>
      <c r="M19" s="58"/>
      <c r="N19" s="73" t="e">
        <f>IF(F19="","",ROUND((('M&amp;R Stations'!#REF!+'M&amp;R Stations'!#REF!)-('NG Utilization'!C19+'NG Utilization'!D19+'NG Utilization'!E19)-'LNG Facilities'!#REF!)*ROUND(((('M&amp;R Stations'!#REF!*'M&amp;R Stations'!L13)+('M&amp;R Stations'!#REF!*'M&amp;R Stations'!F13))/1000)/('M&amp;R Stations'!#REF!+'M&amp;R Stations'!#REF!),3),0)+ROUND((('LNG Facilities'!F13*'LNG Facilities'!K13+'LNG Facilities'!G13*'LNG Facilities'!L13+'LNG Facilities'!H13*'LNG Facilities'!M13+'LNG Facilities'!R13*'LNG Facilities'!W13+'LNG Facilities'!S13*'LNG Facilities'!X13+'LNG Facilities'!T13*'LNG Facilities'!#REF!)/1000),0))</f>
        <v>#REF!</v>
      </c>
      <c r="O19" s="58" t="e">
        <f t="shared" si="5"/>
        <v>#REF!</v>
      </c>
      <c r="P19" s="58" t="e">
        <f t="shared" si="6"/>
        <v>#REF!</v>
      </c>
      <c r="Q19" s="58"/>
      <c r="R19" s="57" t="e">
        <f t="shared" si="2"/>
        <v>#REF!</v>
      </c>
      <c r="S19" s="58" t="e">
        <f t="shared" si="7"/>
        <v>#REF!</v>
      </c>
      <c r="T19" s="58" t="e">
        <f t="shared" si="8"/>
        <v>#REF!</v>
      </c>
      <c r="U19" s="59"/>
      <c r="V19" s="59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</row>
    <row r="20" spans="1:46" x14ac:dyDescent="0.25">
      <c r="A20" s="31">
        <f>'M&amp;R Stations'!A14</f>
        <v>38973</v>
      </c>
      <c r="B20" s="89"/>
      <c r="C20" s="227">
        <v>57448</v>
      </c>
      <c r="D20" s="224">
        <v>45791</v>
      </c>
      <c r="E20" s="185"/>
      <c r="F20" s="72" t="e">
        <f>IF('M&amp;R Stations'!#REF!="","",('M&amp;R Stations'!#REF!+'M&amp;R Stations'!#REF!)+('LNG Facilities'!F14+'LNG Facilities'!G14+'LNG Facilities'!H14+'LNG Facilities'!R14+'LNG Facilities'!S14+'LNG Facilities'!T14)-'LNG Facilities'!#REF!-('NG Utilization'!C20+'NG Utilization'!D20+'NG Utilization'!E20))</f>
        <v>#REF!</v>
      </c>
      <c r="G20" s="58" t="e">
        <f>IF('M&amp;R Stations'!#REF!="","",F20+G19)</f>
        <v>#REF!</v>
      </c>
      <c r="H20" s="58" t="e">
        <f>IF('M&amp;R Stations'!#REF!="","",F20+H19)</f>
        <v>#REF!</v>
      </c>
      <c r="I20" s="58"/>
      <c r="J20" s="57" t="e">
        <f t="shared" si="1"/>
        <v>#REF!</v>
      </c>
      <c r="K20" s="58" t="e">
        <f t="shared" si="3"/>
        <v>#REF!</v>
      </c>
      <c r="L20" s="58" t="e">
        <f t="shared" si="4"/>
        <v>#REF!</v>
      </c>
      <c r="M20" s="58"/>
      <c r="N20" s="73" t="e">
        <f>IF(F20="","",ROUND((('M&amp;R Stations'!#REF!+'M&amp;R Stations'!#REF!)-('NG Utilization'!C20+'NG Utilization'!D20+'NG Utilization'!E20)-'LNG Facilities'!#REF!)*ROUND(((('M&amp;R Stations'!#REF!*'M&amp;R Stations'!L14)+('M&amp;R Stations'!#REF!*'M&amp;R Stations'!F14))/1000)/('M&amp;R Stations'!#REF!+'M&amp;R Stations'!#REF!),3),0)+ROUND((('LNG Facilities'!F14*'LNG Facilities'!K14+'LNG Facilities'!G14*'LNG Facilities'!L14+'LNG Facilities'!H14*'LNG Facilities'!M14+'LNG Facilities'!R14*'LNG Facilities'!W14+'LNG Facilities'!S14*'LNG Facilities'!X14+'LNG Facilities'!T14*'LNG Facilities'!#REF!)/1000),0))</f>
        <v>#REF!</v>
      </c>
      <c r="O20" s="58" t="e">
        <f t="shared" si="5"/>
        <v>#REF!</v>
      </c>
      <c r="P20" s="58" t="e">
        <f t="shared" si="6"/>
        <v>#REF!</v>
      </c>
      <c r="Q20" s="58"/>
      <c r="R20" s="57" t="e">
        <f t="shared" si="2"/>
        <v>#REF!</v>
      </c>
      <c r="S20" s="58" t="e">
        <f t="shared" si="7"/>
        <v>#REF!</v>
      </c>
      <c r="T20" s="58" t="e">
        <f t="shared" si="8"/>
        <v>#REF!</v>
      </c>
      <c r="U20" s="59"/>
      <c r="V20" s="59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</row>
    <row r="21" spans="1:46" x14ac:dyDescent="0.25">
      <c r="A21" s="31">
        <f>'M&amp;R Stations'!A15</f>
        <v>38974</v>
      </c>
      <c r="B21" s="89"/>
      <c r="C21" s="227">
        <v>56958</v>
      </c>
      <c r="D21" s="224">
        <v>45791</v>
      </c>
      <c r="E21" s="185"/>
      <c r="F21" s="72" t="e">
        <f>IF('M&amp;R Stations'!#REF!="","",('M&amp;R Stations'!#REF!+'M&amp;R Stations'!#REF!)+('LNG Facilities'!F15+'LNG Facilities'!G15+'LNG Facilities'!H15+'LNG Facilities'!R15+'LNG Facilities'!S15+'LNG Facilities'!T15)-'LNG Facilities'!#REF!-('NG Utilization'!C21+'NG Utilization'!D21+'NG Utilization'!E21))</f>
        <v>#REF!</v>
      </c>
      <c r="G21" s="58" t="e">
        <f>IF('M&amp;R Stations'!#REF!="","",F21+G20)</f>
        <v>#REF!</v>
      </c>
      <c r="H21" s="58" t="e">
        <f>IF('M&amp;R Stations'!#REF!="","",F21+H20)</f>
        <v>#REF!</v>
      </c>
      <c r="I21" s="58"/>
      <c r="J21" s="57" t="e">
        <f t="shared" si="1"/>
        <v>#REF!</v>
      </c>
      <c r="K21" s="58" t="e">
        <f t="shared" si="3"/>
        <v>#REF!</v>
      </c>
      <c r="L21" s="58" t="e">
        <f t="shared" si="4"/>
        <v>#REF!</v>
      </c>
      <c r="M21" s="58"/>
      <c r="N21" s="73" t="e">
        <f>IF(F21="","",ROUND((('M&amp;R Stations'!#REF!+'M&amp;R Stations'!#REF!)-('NG Utilization'!C21+'NG Utilization'!D21+'NG Utilization'!E21)-'LNG Facilities'!#REF!)*ROUND(((('M&amp;R Stations'!#REF!*'M&amp;R Stations'!L15)+('M&amp;R Stations'!#REF!*'M&amp;R Stations'!F15))/1000)/('M&amp;R Stations'!#REF!+'M&amp;R Stations'!#REF!),3),0)+ROUND((('LNG Facilities'!F15*'LNG Facilities'!K15+'LNG Facilities'!G15*'LNG Facilities'!L15+'LNG Facilities'!H15*'LNG Facilities'!M15+'LNG Facilities'!R15*'LNG Facilities'!W15+'LNG Facilities'!S15*'LNG Facilities'!X15+'LNG Facilities'!T15*'LNG Facilities'!#REF!)/1000),0))</f>
        <v>#REF!</v>
      </c>
      <c r="O21" s="58" t="e">
        <f t="shared" si="5"/>
        <v>#REF!</v>
      </c>
      <c r="P21" s="58" t="e">
        <f t="shared" si="6"/>
        <v>#REF!</v>
      </c>
      <c r="Q21" s="58"/>
      <c r="R21" s="57" t="e">
        <f t="shared" si="2"/>
        <v>#REF!</v>
      </c>
      <c r="S21" s="58" t="e">
        <f t="shared" si="7"/>
        <v>#REF!</v>
      </c>
      <c r="T21" s="58" t="e">
        <f t="shared" si="8"/>
        <v>#REF!</v>
      </c>
      <c r="U21" s="59"/>
      <c r="V21" s="59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</row>
    <row r="22" spans="1:46" x14ac:dyDescent="0.25">
      <c r="A22" s="31">
        <f>'M&amp;R Stations'!A16</f>
        <v>38975</v>
      </c>
      <c r="B22" s="89"/>
      <c r="C22" s="227">
        <v>56066</v>
      </c>
      <c r="D22" s="224">
        <v>45791</v>
      </c>
      <c r="E22" s="185"/>
      <c r="F22" s="72" t="e">
        <f>IF('M&amp;R Stations'!#REF!="","",('M&amp;R Stations'!#REF!+'M&amp;R Stations'!#REF!)+('LNG Facilities'!F16+'LNG Facilities'!G16+'LNG Facilities'!H16+'LNG Facilities'!R16+'LNG Facilities'!S16+'LNG Facilities'!T16)-'LNG Facilities'!#REF!-('NG Utilization'!C22+'NG Utilization'!D22+'NG Utilization'!E22))</f>
        <v>#REF!</v>
      </c>
      <c r="G22" s="58" t="e">
        <f>IF('M&amp;R Stations'!#REF!="","",F22+G21)</f>
        <v>#REF!</v>
      </c>
      <c r="H22" s="58" t="e">
        <f>IF('M&amp;R Stations'!#REF!="","",F22+H21)</f>
        <v>#REF!</v>
      </c>
      <c r="I22" s="58"/>
      <c r="J22" s="57" t="e">
        <f t="shared" si="1"/>
        <v>#REF!</v>
      </c>
      <c r="K22" s="58" t="e">
        <f t="shared" si="3"/>
        <v>#REF!</v>
      </c>
      <c r="L22" s="58" t="e">
        <f t="shared" si="4"/>
        <v>#REF!</v>
      </c>
      <c r="M22" s="58"/>
      <c r="N22" s="73" t="e">
        <f>IF(F22="","",ROUND((('M&amp;R Stations'!#REF!+'M&amp;R Stations'!#REF!)-('NG Utilization'!C22+'NG Utilization'!D22+'NG Utilization'!E22)-'LNG Facilities'!#REF!)*ROUND(((('M&amp;R Stations'!#REF!*'M&amp;R Stations'!L16)+('M&amp;R Stations'!#REF!*'M&amp;R Stations'!F16))/1000)/('M&amp;R Stations'!#REF!+'M&amp;R Stations'!#REF!),3),0)+ROUND((('LNG Facilities'!F16*'LNG Facilities'!K16+'LNG Facilities'!G16*'LNG Facilities'!L16+'LNG Facilities'!H16*'LNG Facilities'!M16+'LNG Facilities'!R16*'LNG Facilities'!W16+'LNG Facilities'!S16*'LNG Facilities'!X16+'LNG Facilities'!T16*'LNG Facilities'!#REF!)/1000),0))</f>
        <v>#REF!</v>
      </c>
      <c r="O22" s="58" t="e">
        <f t="shared" si="5"/>
        <v>#REF!</v>
      </c>
      <c r="P22" s="58" t="e">
        <f t="shared" si="6"/>
        <v>#REF!</v>
      </c>
      <c r="Q22" s="58"/>
      <c r="R22" s="57" t="e">
        <f t="shared" si="2"/>
        <v>#REF!</v>
      </c>
      <c r="S22" s="58" t="e">
        <f t="shared" si="7"/>
        <v>#REF!</v>
      </c>
      <c r="T22" s="58" t="e">
        <f t="shared" si="8"/>
        <v>#REF!</v>
      </c>
      <c r="U22" s="59"/>
      <c r="V22" s="59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</row>
    <row r="23" spans="1:46" x14ac:dyDescent="0.25">
      <c r="A23" s="31">
        <f>'M&amp;R Stations'!A17</f>
        <v>38976</v>
      </c>
      <c r="B23" s="89"/>
      <c r="C23" s="227">
        <v>54607</v>
      </c>
      <c r="D23" s="224">
        <v>45791</v>
      </c>
      <c r="E23" s="185"/>
      <c r="F23" s="72" t="e">
        <f>IF('M&amp;R Stations'!#REF!="","",('M&amp;R Stations'!#REF!+'M&amp;R Stations'!#REF!)+('LNG Facilities'!F17+'LNG Facilities'!G17+'LNG Facilities'!H17+'LNG Facilities'!R17+'LNG Facilities'!S17+'LNG Facilities'!T17)-'LNG Facilities'!#REF!-('NG Utilization'!C23+'NG Utilization'!D23+'NG Utilization'!E23))</f>
        <v>#REF!</v>
      </c>
      <c r="G23" s="58" t="e">
        <f>IF('M&amp;R Stations'!#REF!="","",F23+G22)</f>
        <v>#REF!</v>
      </c>
      <c r="H23" s="58" t="e">
        <f>IF('M&amp;R Stations'!#REF!="","",F23+H22)</f>
        <v>#REF!</v>
      </c>
      <c r="I23" s="58"/>
      <c r="J23" s="57" t="e">
        <f t="shared" si="1"/>
        <v>#REF!</v>
      </c>
      <c r="K23" s="58" t="e">
        <f t="shared" si="3"/>
        <v>#REF!</v>
      </c>
      <c r="L23" s="58" t="e">
        <f t="shared" si="4"/>
        <v>#REF!</v>
      </c>
      <c r="M23" s="58"/>
      <c r="N23" s="73" t="e">
        <f>IF(F23="","",ROUND((('M&amp;R Stations'!#REF!+'M&amp;R Stations'!#REF!)-('NG Utilization'!C23+'NG Utilization'!D23+'NG Utilization'!E23)-'LNG Facilities'!#REF!)*ROUND(((('M&amp;R Stations'!#REF!*'M&amp;R Stations'!L17)+('M&amp;R Stations'!#REF!*'M&amp;R Stations'!F17))/1000)/('M&amp;R Stations'!#REF!+'M&amp;R Stations'!#REF!),3),0)+ROUND((('LNG Facilities'!F17*'LNG Facilities'!K17+'LNG Facilities'!G17*'LNG Facilities'!L17+'LNG Facilities'!H17*'LNG Facilities'!M17+'LNG Facilities'!R17*'LNG Facilities'!W17+'LNG Facilities'!S17*'LNG Facilities'!X17+'LNG Facilities'!T17*'LNG Facilities'!#REF!)/1000),0))</f>
        <v>#REF!</v>
      </c>
      <c r="O23" s="58" t="e">
        <f t="shared" si="5"/>
        <v>#REF!</v>
      </c>
      <c r="P23" s="58" t="e">
        <f t="shared" si="6"/>
        <v>#REF!</v>
      </c>
      <c r="Q23" s="58"/>
      <c r="R23" s="57" t="e">
        <f t="shared" si="2"/>
        <v>#REF!</v>
      </c>
      <c r="S23" s="58" t="e">
        <f t="shared" si="7"/>
        <v>#REF!</v>
      </c>
      <c r="T23" s="58" t="e">
        <f t="shared" si="8"/>
        <v>#REF!</v>
      </c>
      <c r="U23" s="59"/>
      <c r="V23" s="59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</row>
    <row r="24" spans="1:46" x14ac:dyDescent="0.25">
      <c r="A24" s="31">
        <f>'M&amp;R Stations'!A18</f>
        <v>38977</v>
      </c>
      <c r="B24" s="89"/>
      <c r="C24" s="227">
        <v>50151</v>
      </c>
      <c r="D24" s="224">
        <v>45791</v>
      </c>
      <c r="E24" s="185"/>
      <c r="F24" s="72" t="e">
        <f>IF('M&amp;R Stations'!#REF!="","",('M&amp;R Stations'!#REF!+'M&amp;R Stations'!#REF!)+('LNG Facilities'!F18+'LNG Facilities'!G18+'LNG Facilities'!H18+'LNG Facilities'!R18+'LNG Facilities'!S18+'LNG Facilities'!T18)-'LNG Facilities'!#REF!-('NG Utilization'!C24+'NG Utilization'!D24+'NG Utilization'!E24))</f>
        <v>#REF!</v>
      </c>
      <c r="G24" s="58" t="e">
        <f>IF('M&amp;R Stations'!#REF!="","",F24+G23)</f>
        <v>#REF!</v>
      </c>
      <c r="H24" s="58" t="e">
        <f>IF('M&amp;R Stations'!#REF!="","",F24+H23)</f>
        <v>#REF!</v>
      </c>
      <c r="I24" s="58"/>
      <c r="J24" s="57" t="e">
        <f t="shared" si="1"/>
        <v>#REF!</v>
      </c>
      <c r="K24" s="58" t="e">
        <f t="shared" si="3"/>
        <v>#REF!</v>
      </c>
      <c r="L24" s="58" t="e">
        <f t="shared" si="4"/>
        <v>#REF!</v>
      </c>
      <c r="M24" s="58"/>
      <c r="N24" s="73" t="e">
        <f>IF(F24="","",ROUND((('M&amp;R Stations'!#REF!+'M&amp;R Stations'!#REF!)-('NG Utilization'!C24+'NG Utilization'!D24+'NG Utilization'!E24)-'LNG Facilities'!#REF!)*ROUND(((('M&amp;R Stations'!#REF!*'M&amp;R Stations'!L18)+('M&amp;R Stations'!#REF!*'M&amp;R Stations'!F18))/1000)/('M&amp;R Stations'!#REF!+'M&amp;R Stations'!#REF!),3),0)+ROUND((('LNG Facilities'!F18*'LNG Facilities'!K18+'LNG Facilities'!G18*'LNG Facilities'!L18+'LNG Facilities'!H18*'LNG Facilities'!M18+'LNG Facilities'!R18*'LNG Facilities'!W18+'LNG Facilities'!S18*'LNG Facilities'!X18+'LNG Facilities'!T18*'LNG Facilities'!#REF!)/1000),0))</f>
        <v>#REF!</v>
      </c>
      <c r="O24" s="58" t="e">
        <f t="shared" si="5"/>
        <v>#REF!</v>
      </c>
      <c r="P24" s="58" t="e">
        <f t="shared" si="6"/>
        <v>#REF!</v>
      </c>
      <c r="Q24" s="58"/>
      <c r="R24" s="57" t="e">
        <f t="shared" si="2"/>
        <v>#REF!</v>
      </c>
      <c r="S24" s="58" t="e">
        <f t="shared" si="7"/>
        <v>#REF!</v>
      </c>
      <c r="T24" s="58" t="e">
        <f t="shared" si="8"/>
        <v>#REF!</v>
      </c>
      <c r="U24" s="59"/>
      <c r="V24" s="59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</row>
    <row r="25" spans="1:46" x14ac:dyDescent="0.25">
      <c r="A25" s="31">
        <f>'M&amp;R Stations'!A19</f>
        <v>38978</v>
      </c>
      <c r="B25" s="89"/>
      <c r="C25" s="227">
        <v>60068</v>
      </c>
      <c r="D25" s="224">
        <v>45791</v>
      </c>
      <c r="E25" s="185"/>
      <c r="F25" s="72" t="e">
        <f>IF('M&amp;R Stations'!#REF!="","",('M&amp;R Stations'!#REF!+'M&amp;R Stations'!#REF!)+('LNG Facilities'!F19+'LNG Facilities'!G19+'LNG Facilities'!H19+'LNG Facilities'!R19+'LNG Facilities'!S19+'LNG Facilities'!T19)-'LNG Facilities'!#REF!-('NG Utilization'!C25+'NG Utilization'!D25+'NG Utilization'!E25))</f>
        <v>#REF!</v>
      </c>
      <c r="G25" s="58" t="e">
        <f>IF('M&amp;R Stations'!#REF!="","",F25+G24)</f>
        <v>#REF!</v>
      </c>
      <c r="H25" s="58" t="e">
        <f>IF('M&amp;R Stations'!#REF!="","",F25+H24)</f>
        <v>#REF!</v>
      </c>
      <c r="I25" s="58"/>
      <c r="J25" s="57" t="e">
        <f t="shared" si="1"/>
        <v>#REF!</v>
      </c>
      <c r="K25" s="58" t="e">
        <f t="shared" si="3"/>
        <v>#REF!</v>
      </c>
      <c r="L25" s="58" t="e">
        <f t="shared" si="4"/>
        <v>#REF!</v>
      </c>
      <c r="M25" s="58"/>
      <c r="N25" s="73" t="e">
        <f>IF(F25="","",ROUND((('M&amp;R Stations'!#REF!+'M&amp;R Stations'!#REF!)-('NG Utilization'!C25+'NG Utilization'!D25+'NG Utilization'!E25)-'LNG Facilities'!#REF!)*ROUND(((('M&amp;R Stations'!#REF!*'M&amp;R Stations'!L19)+('M&amp;R Stations'!#REF!*'M&amp;R Stations'!F19))/1000)/('M&amp;R Stations'!#REF!+'M&amp;R Stations'!#REF!),3),0)+ROUND((('LNG Facilities'!F19*'LNG Facilities'!K19+'LNG Facilities'!G19*'LNG Facilities'!L19+'LNG Facilities'!H19*'LNG Facilities'!M19+'LNG Facilities'!R19*'LNG Facilities'!W19+'LNG Facilities'!S19*'LNG Facilities'!X19+'LNG Facilities'!T19*'LNG Facilities'!#REF!)/1000),0))</f>
        <v>#REF!</v>
      </c>
      <c r="O25" s="58" t="e">
        <f t="shared" si="5"/>
        <v>#REF!</v>
      </c>
      <c r="P25" s="58" t="e">
        <f t="shared" si="6"/>
        <v>#REF!</v>
      </c>
      <c r="Q25" s="58"/>
      <c r="R25" s="57" t="e">
        <f t="shared" si="2"/>
        <v>#REF!</v>
      </c>
      <c r="S25" s="58" t="e">
        <f t="shared" si="7"/>
        <v>#REF!</v>
      </c>
      <c r="T25" s="58" t="e">
        <f t="shared" si="8"/>
        <v>#REF!</v>
      </c>
      <c r="U25" s="59"/>
      <c r="V25" s="59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</row>
    <row r="26" spans="1:46" x14ac:dyDescent="0.25">
      <c r="A26" s="31">
        <f>'M&amp;R Stations'!A20</f>
        <v>38979</v>
      </c>
      <c r="B26" s="89"/>
      <c r="C26" s="227">
        <v>58512</v>
      </c>
      <c r="D26" s="224">
        <v>45791</v>
      </c>
      <c r="E26" s="185"/>
      <c r="F26" s="72" t="e">
        <f>IF('M&amp;R Stations'!#REF!="","",('M&amp;R Stations'!#REF!+'M&amp;R Stations'!#REF!)+('LNG Facilities'!F20+'LNG Facilities'!G20+'LNG Facilities'!H20+'LNG Facilities'!R20+'LNG Facilities'!S20+'LNG Facilities'!T20)-'LNG Facilities'!#REF!-('NG Utilization'!C26+'NG Utilization'!D26+'NG Utilization'!E26))</f>
        <v>#REF!</v>
      </c>
      <c r="G26" s="58" t="e">
        <f>IF('M&amp;R Stations'!#REF!="","",F26+G25)</f>
        <v>#REF!</v>
      </c>
      <c r="H26" s="58" t="e">
        <f>IF('M&amp;R Stations'!#REF!="","",F26+H25)</f>
        <v>#REF!</v>
      </c>
      <c r="I26" s="58"/>
      <c r="J26" s="57" t="e">
        <f t="shared" si="1"/>
        <v>#REF!</v>
      </c>
      <c r="K26" s="58" t="e">
        <f t="shared" si="3"/>
        <v>#REF!</v>
      </c>
      <c r="L26" s="58" t="e">
        <f t="shared" si="4"/>
        <v>#REF!</v>
      </c>
      <c r="M26" s="58"/>
      <c r="N26" s="73" t="e">
        <f>IF(F26="","",ROUND((('M&amp;R Stations'!#REF!+'M&amp;R Stations'!#REF!)-('NG Utilization'!C26+'NG Utilization'!D26+'NG Utilization'!E26)-'LNG Facilities'!#REF!)*ROUND(((('M&amp;R Stations'!#REF!*'M&amp;R Stations'!L20)+('M&amp;R Stations'!#REF!*'M&amp;R Stations'!F20))/1000)/('M&amp;R Stations'!#REF!+'M&amp;R Stations'!#REF!),3),0)+ROUND((('LNG Facilities'!F20*'LNG Facilities'!K20+'LNG Facilities'!G20*'LNG Facilities'!L20+'LNG Facilities'!H20*'LNG Facilities'!M20+'LNG Facilities'!R20*'LNG Facilities'!W20+'LNG Facilities'!S20*'LNG Facilities'!X20+'LNG Facilities'!T20*'LNG Facilities'!#REF!)/1000),0))</f>
        <v>#REF!</v>
      </c>
      <c r="O26" s="58" t="e">
        <f t="shared" si="5"/>
        <v>#REF!</v>
      </c>
      <c r="P26" s="58" t="e">
        <f t="shared" si="6"/>
        <v>#REF!</v>
      </c>
      <c r="Q26" s="58"/>
      <c r="R26" s="57" t="e">
        <f t="shared" si="2"/>
        <v>#REF!</v>
      </c>
      <c r="S26" s="58" t="e">
        <f t="shared" si="7"/>
        <v>#REF!</v>
      </c>
      <c r="T26" s="58" t="e">
        <f t="shared" si="8"/>
        <v>#REF!</v>
      </c>
      <c r="U26" s="59"/>
      <c r="V26" s="59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</row>
    <row r="27" spans="1:46" x14ac:dyDescent="0.25">
      <c r="A27" s="31">
        <f>'M&amp;R Stations'!A21</f>
        <v>38980</v>
      </c>
      <c r="B27" s="89"/>
      <c r="C27" s="227">
        <v>59113</v>
      </c>
      <c r="D27" s="224">
        <v>45791</v>
      </c>
      <c r="E27" s="185"/>
      <c r="F27" s="72" t="e">
        <f>IF('M&amp;R Stations'!#REF!="","",('M&amp;R Stations'!#REF!+'M&amp;R Stations'!#REF!)+('LNG Facilities'!F21+'LNG Facilities'!G21+'LNG Facilities'!H21+'LNG Facilities'!R21+'LNG Facilities'!S21+'LNG Facilities'!T21)-'LNG Facilities'!#REF!-('NG Utilization'!C27+'NG Utilization'!D27+'NG Utilization'!E27))</f>
        <v>#REF!</v>
      </c>
      <c r="G27" s="58" t="e">
        <f>IF('M&amp;R Stations'!#REF!="","",F27+G26)</f>
        <v>#REF!</v>
      </c>
      <c r="H27" s="58" t="e">
        <f>IF('M&amp;R Stations'!#REF!="","",F27+H26)</f>
        <v>#REF!</v>
      </c>
      <c r="I27" s="58"/>
      <c r="J27" s="57" t="e">
        <f t="shared" si="1"/>
        <v>#REF!</v>
      </c>
      <c r="K27" s="58" t="e">
        <f t="shared" si="3"/>
        <v>#REF!</v>
      </c>
      <c r="L27" s="58" t="e">
        <f t="shared" si="4"/>
        <v>#REF!</v>
      </c>
      <c r="M27" s="58"/>
      <c r="N27" s="73" t="e">
        <f>IF(F27="","",ROUND((('M&amp;R Stations'!#REF!+'M&amp;R Stations'!#REF!)-('NG Utilization'!C27+'NG Utilization'!D27+'NG Utilization'!E27)-'LNG Facilities'!#REF!)*ROUND(((('M&amp;R Stations'!#REF!*'M&amp;R Stations'!L21)+('M&amp;R Stations'!#REF!*'M&amp;R Stations'!F21))/1000)/('M&amp;R Stations'!#REF!+'M&amp;R Stations'!#REF!),3),0)+ROUND((('LNG Facilities'!F21*'LNG Facilities'!K21+'LNG Facilities'!G21*'LNG Facilities'!L21+'LNG Facilities'!H21*'LNG Facilities'!M21+'LNG Facilities'!R21*'LNG Facilities'!W21+'LNG Facilities'!S21*'LNG Facilities'!X21+'LNG Facilities'!T21*'LNG Facilities'!#REF!)/1000),0))</f>
        <v>#REF!</v>
      </c>
      <c r="O27" s="58" t="e">
        <f t="shared" si="5"/>
        <v>#REF!</v>
      </c>
      <c r="P27" s="58" t="e">
        <f t="shared" si="6"/>
        <v>#REF!</v>
      </c>
      <c r="Q27" s="58"/>
      <c r="R27" s="57" t="e">
        <f t="shared" si="2"/>
        <v>#REF!</v>
      </c>
      <c r="S27" s="58" t="e">
        <f t="shared" si="7"/>
        <v>#REF!</v>
      </c>
      <c r="T27" s="58" t="e">
        <f t="shared" si="8"/>
        <v>#REF!</v>
      </c>
      <c r="U27" s="59"/>
      <c r="V27" s="59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</row>
    <row r="28" spans="1:46" x14ac:dyDescent="0.25">
      <c r="A28" s="31">
        <f>'M&amp;R Stations'!A22</f>
        <v>38981</v>
      </c>
      <c r="B28" s="89"/>
      <c r="C28" s="227">
        <v>59193</v>
      </c>
      <c r="D28" s="224">
        <v>45791</v>
      </c>
      <c r="E28" s="185"/>
      <c r="F28" s="72" t="e">
        <f>IF('M&amp;R Stations'!#REF!="","",('M&amp;R Stations'!#REF!+'M&amp;R Stations'!#REF!)+('LNG Facilities'!F22+'LNG Facilities'!G22+'LNG Facilities'!H22+'LNG Facilities'!R22+'LNG Facilities'!S22+'LNG Facilities'!T22)-'LNG Facilities'!#REF!-('NG Utilization'!C28+'NG Utilization'!D28+'NG Utilization'!E28))</f>
        <v>#REF!</v>
      </c>
      <c r="G28" s="58" t="e">
        <f>IF('M&amp;R Stations'!#REF!="","",F28+G27)</f>
        <v>#REF!</v>
      </c>
      <c r="H28" s="58" t="e">
        <f>IF('M&amp;R Stations'!#REF!="","",F28+H27)</f>
        <v>#REF!</v>
      </c>
      <c r="I28" s="58"/>
      <c r="J28" s="57" t="e">
        <f t="shared" si="1"/>
        <v>#REF!</v>
      </c>
      <c r="K28" s="58" t="e">
        <f t="shared" si="3"/>
        <v>#REF!</v>
      </c>
      <c r="L28" s="58" t="e">
        <f t="shared" si="4"/>
        <v>#REF!</v>
      </c>
      <c r="M28" s="58"/>
      <c r="N28" s="73" t="e">
        <f>IF(F28="","",ROUND((('M&amp;R Stations'!#REF!+'M&amp;R Stations'!#REF!)-('NG Utilization'!C28+'NG Utilization'!D28+'NG Utilization'!E28)-'LNG Facilities'!#REF!)*ROUND(((('M&amp;R Stations'!#REF!*'M&amp;R Stations'!L22)+('M&amp;R Stations'!#REF!*'M&amp;R Stations'!F22))/1000)/('M&amp;R Stations'!#REF!+'M&amp;R Stations'!#REF!),3),0)+ROUND((('LNG Facilities'!F22*'LNG Facilities'!K22+'LNG Facilities'!G22*'LNG Facilities'!L22+'LNG Facilities'!H22*'LNG Facilities'!M22+'LNG Facilities'!R22*'LNG Facilities'!W22+'LNG Facilities'!S22*'LNG Facilities'!X22+'LNG Facilities'!T22*'LNG Facilities'!#REF!)/1000),0))</f>
        <v>#REF!</v>
      </c>
      <c r="O28" s="58" t="e">
        <f t="shared" si="5"/>
        <v>#REF!</v>
      </c>
      <c r="P28" s="58" t="e">
        <f t="shared" si="6"/>
        <v>#REF!</v>
      </c>
      <c r="Q28" s="58"/>
      <c r="R28" s="57" t="e">
        <f t="shared" si="2"/>
        <v>#REF!</v>
      </c>
      <c r="S28" s="58" t="e">
        <f t="shared" si="7"/>
        <v>#REF!</v>
      </c>
      <c r="T28" s="58" t="e">
        <f t="shared" si="8"/>
        <v>#REF!</v>
      </c>
      <c r="U28" s="59"/>
      <c r="V28" s="59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</row>
    <row r="29" spans="1:46" x14ac:dyDescent="0.25">
      <c r="A29" s="31">
        <f>'M&amp;R Stations'!A23</f>
        <v>38982</v>
      </c>
      <c r="B29" s="89"/>
      <c r="C29" s="227">
        <v>57362</v>
      </c>
      <c r="D29" s="224">
        <v>45791</v>
      </c>
      <c r="E29" s="185"/>
      <c r="F29" s="72" t="e">
        <f>IF('M&amp;R Stations'!#REF!="","",('M&amp;R Stations'!#REF!+'M&amp;R Stations'!#REF!)+('LNG Facilities'!F23+'LNG Facilities'!G23+'LNG Facilities'!H23+'LNG Facilities'!R23+'LNG Facilities'!S23+'LNG Facilities'!T23)-'LNG Facilities'!#REF!-('NG Utilization'!C29+'NG Utilization'!D29+'NG Utilization'!E29))</f>
        <v>#REF!</v>
      </c>
      <c r="G29" s="58" t="e">
        <f>IF('M&amp;R Stations'!#REF!="","",F29+G28)</f>
        <v>#REF!</v>
      </c>
      <c r="H29" s="58" t="e">
        <f>IF('M&amp;R Stations'!#REF!="","",F29+H28)</f>
        <v>#REF!</v>
      </c>
      <c r="I29" s="58"/>
      <c r="J29" s="57" t="e">
        <f t="shared" si="1"/>
        <v>#REF!</v>
      </c>
      <c r="K29" s="58" t="e">
        <f t="shared" si="3"/>
        <v>#REF!</v>
      </c>
      <c r="L29" s="58" t="e">
        <f t="shared" si="4"/>
        <v>#REF!</v>
      </c>
      <c r="M29" s="58"/>
      <c r="N29" s="73" t="e">
        <f>IF(F29="","",ROUND((('M&amp;R Stations'!#REF!+'M&amp;R Stations'!#REF!)-('NG Utilization'!C29+'NG Utilization'!D29+'NG Utilization'!E29)-'LNG Facilities'!#REF!)*ROUND(((('M&amp;R Stations'!#REF!*'M&amp;R Stations'!L23)+('M&amp;R Stations'!#REF!*'M&amp;R Stations'!F23))/1000)/('M&amp;R Stations'!#REF!+'M&amp;R Stations'!#REF!),3),0)+ROUND((('LNG Facilities'!F23*'LNG Facilities'!K23+'LNG Facilities'!G23*'LNG Facilities'!L23+'LNG Facilities'!H23*'LNG Facilities'!M23+'LNG Facilities'!R23*'LNG Facilities'!W23+'LNG Facilities'!S23*'LNG Facilities'!X23+'LNG Facilities'!T23*'LNG Facilities'!#REF!)/1000),0))</f>
        <v>#REF!</v>
      </c>
      <c r="O29" s="58" t="e">
        <f t="shared" si="5"/>
        <v>#REF!</v>
      </c>
      <c r="P29" s="58" t="e">
        <f t="shared" si="6"/>
        <v>#REF!</v>
      </c>
      <c r="Q29" s="58"/>
      <c r="R29" s="57" t="e">
        <f t="shared" si="2"/>
        <v>#REF!</v>
      </c>
      <c r="S29" s="58" t="e">
        <f t="shared" si="7"/>
        <v>#REF!</v>
      </c>
      <c r="T29" s="58" t="e">
        <f t="shared" si="8"/>
        <v>#REF!</v>
      </c>
      <c r="U29" s="59"/>
      <c r="V29" s="59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</row>
    <row r="30" spans="1:46" x14ac:dyDescent="0.25">
      <c r="A30" s="31">
        <f>'M&amp;R Stations'!A24</f>
        <v>38983</v>
      </c>
      <c r="B30" s="89"/>
      <c r="C30" s="227">
        <v>53256</v>
      </c>
      <c r="D30" s="224">
        <v>50932</v>
      </c>
      <c r="E30" s="185"/>
      <c r="F30" s="72" t="e">
        <f>IF('M&amp;R Stations'!#REF!="","",('M&amp;R Stations'!#REF!+'M&amp;R Stations'!#REF!)+('LNG Facilities'!F24+'LNG Facilities'!G24+'LNG Facilities'!H24+'LNG Facilities'!R24+'LNG Facilities'!S24+'LNG Facilities'!T24)-'LNG Facilities'!#REF!-('NG Utilization'!C30+'NG Utilization'!D30+'NG Utilization'!E30))</f>
        <v>#REF!</v>
      </c>
      <c r="G30" s="58" t="e">
        <f>IF('M&amp;R Stations'!#REF!="","",F30+G29)</f>
        <v>#REF!</v>
      </c>
      <c r="H30" s="58" t="e">
        <f>IF('M&amp;R Stations'!#REF!="","",F30+H29)</f>
        <v>#REF!</v>
      </c>
      <c r="I30" s="58"/>
      <c r="J30" s="57" t="e">
        <f t="shared" si="1"/>
        <v>#REF!</v>
      </c>
      <c r="K30" s="58" t="e">
        <f t="shared" si="3"/>
        <v>#REF!</v>
      </c>
      <c r="L30" s="58" t="e">
        <f t="shared" si="4"/>
        <v>#REF!</v>
      </c>
      <c r="M30" s="58"/>
      <c r="N30" s="73" t="e">
        <f>IF(F30="","",ROUND((('M&amp;R Stations'!#REF!+'M&amp;R Stations'!#REF!)-('NG Utilization'!C30+'NG Utilization'!D30+'NG Utilization'!E30)-'LNG Facilities'!#REF!)*ROUND(((('M&amp;R Stations'!#REF!*'M&amp;R Stations'!L24)+('M&amp;R Stations'!#REF!*'M&amp;R Stations'!F24))/1000)/('M&amp;R Stations'!#REF!+'M&amp;R Stations'!#REF!),3),0)+ROUND((('LNG Facilities'!F24*'LNG Facilities'!K24+'LNG Facilities'!G24*'LNG Facilities'!L24+'LNG Facilities'!H24*'LNG Facilities'!M24+'LNG Facilities'!R24*'LNG Facilities'!W24+'LNG Facilities'!S24*'LNG Facilities'!X24+'LNG Facilities'!T24*'LNG Facilities'!#REF!)/1000),0))</f>
        <v>#REF!</v>
      </c>
      <c r="O30" s="58" t="e">
        <f t="shared" si="5"/>
        <v>#REF!</v>
      </c>
      <c r="P30" s="58" t="e">
        <f t="shared" si="6"/>
        <v>#REF!</v>
      </c>
      <c r="Q30" s="58"/>
      <c r="R30" s="57" t="e">
        <f t="shared" si="2"/>
        <v>#REF!</v>
      </c>
      <c r="S30" s="58" t="e">
        <f t="shared" si="7"/>
        <v>#REF!</v>
      </c>
      <c r="T30" s="58" t="e">
        <f t="shared" si="8"/>
        <v>#REF!</v>
      </c>
      <c r="U30" s="59"/>
      <c r="V30" s="59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</row>
    <row r="31" spans="1:46" x14ac:dyDescent="0.25">
      <c r="A31" s="31">
        <f>'M&amp;R Stations'!A25</f>
        <v>38984</v>
      </c>
      <c r="B31" s="89"/>
      <c r="C31" s="227">
        <v>51177</v>
      </c>
      <c r="D31" s="224">
        <v>50932</v>
      </c>
      <c r="E31" s="185"/>
      <c r="F31" s="72" t="e">
        <f>IF('M&amp;R Stations'!#REF!="","",('M&amp;R Stations'!#REF!+'M&amp;R Stations'!#REF!)+('LNG Facilities'!F25+'LNG Facilities'!G25+'LNG Facilities'!H25+'LNG Facilities'!R25+'LNG Facilities'!S25+'LNG Facilities'!T25)-'LNG Facilities'!#REF!-('NG Utilization'!C31+'NG Utilization'!D31+'NG Utilization'!E31))</f>
        <v>#REF!</v>
      </c>
      <c r="G31" s="58" t="e">
        <f>IF('M&amp;R Stations'!#REF!="","",F31+G30)</f>
        <v>#REF!</v>
      </c>
      <c r="H31" s="58" t="e">
        <f>IF('M&amp;R Stations'!#REF!="","",F31+H30)</f>
        <v>#REF!</v>
      </c>
      <c r="I31" s="58"/>
      <c r="J31" s="57" t="e">
        <f t="shared" si="1"/>
        <v>#REF!</v>
      </c>
      <c r="K31" s="58" t="e">
        <f t="shared" si="3"/>
        <v>#REF!</v>
      </c>
      <c r="L31" s="58" t="e">
        <f t="shared" si="4"/>
        <v>#REF!</v>
      </c>
      <c r="M31" s="58"/>
      <c r="N31" s="73" t="e">
        <f>IF(F31="","",ROUND((('M&amp;R Stations'!#REF!+'M&amp;R Stations'!#REF!)-('NG Utilization'!C31+'NG Utilization'!D31+'NG Utilization'!E31)-'LNG Facilities'!#REF!)*ROUND(((('M&amp;R Stations'!#REF!*'M&amp;R Stations'!L25)+('M&amp;R Stations'!#REF!*'M&amp;R Stations'!F25))/1000)/('M&amp;R Stations'!#REF!+'M&amp;R Stations'!#REF!),3),0)+ROUND((('LNG Facilities'!F25*'LNG Facilities'!K25+'LNG Facilities'!G25*'LNG Facilities'!L25+'LNG Facilities'!H25*'LNG Facilities'!M25+'LNG Facilities'!R25*'LNG Facilities'!W25+'LNG Facilities'!S25*'LNG Facilities'!X25+'LNG Facilities'!T25*'LNG Facilities'!#REF!)/1000),0))</f>
        <v>#REF!</v>
      </c>
      <c r="O31" s="58" t="e">
        <f t="shared" si="5"/>
        <v>#REF!</v>
      </c>
      <c r="P31" s="58" t="e">
        <f t="shared" si="6"/>
        <v>#REF!</v>
      </c>
      <c r="Q31" s="58"/>
      <c r="R31" s="57" t="e">
        <f t="shared" si="2"/>
        <v>#REF!</v>
      </c>
      <c r="S31" s="58" t="e">
        <f t="shared" si="7"/>
        <v>#REF!</v>
      </c>
      <c r="T31" s="58" t="e">
        <f t="shared" si="8"/>
        <v>#REF!</v>
      </c>
      <c r="U31" s="59"/>
      <c r="V31" s="59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</row>
    <row r="32" spans="1:46" x14ac:dyDescent="0.25">
      <c r="A32" s="31">
        <f>'M&amp;R Stations'!A26</f>
        <v>38985</v>
      </c>
      <c r="B32" s="89"/>
      <c r="C32" s="227">
        <v>55742</v>
      </c>
      <c r="D32" s="224">
        <v>61214</v>
      </c>
      <c r="E32" s="185"/>
      <c r="F32" s="72" t="e">
        <f>IF('M&amp;R Stations'!#REF!="","",('M&amp;R Stations'!#REF!+'M&amp;R Stations'!#REF!)+('LNG Facilities'!F26+'LNG Facilities'!G26+'LNG Facilities'!H26+'LNG Facilities'!R26+'LNG Facilities'!S26+'LNG Facilities'!T26)-'LNG Facilities'!#REF!-('NG Utilization'!C32+'NG Utilization'!D32+'NG Utilization'!E32))</f>
        <v>#REF!</v>
      </c>
      <c r="G32" s="58" t="e">
        <f>IF('M&amp;R Stations'!#REF!="","",F32+G31)</f>
        <v>#REF!</v>
      </c>
      <c r="H32" s="58" t="e">
        <f>IF('M&amp;R Stations'!#REF!="","",F32+H31)</f>
        <v>#REF!</v>
      </c>
      <c r="I32" s="58"/>
      <c r="J32" s="57" t="e">
        <f t="shared" si="1"/>
        <v>#REF!</v>
      </c>
      <c r="K32" s="58" t="e">
        <f t="shared" ref="K32:K37" si="9">IF(J32="","",J32+K31)</f>
        <v>#REF!</v>
      </c>
      <c r="L32" s="58" t="e">
        <f t="shared" ref="L32:L37" si="10">IF(J32="","",J32+L31)</f>
        <v>#REF!</v>
      </c>
      <c r="M32" s="58"/>
      <c r="N32" s="73" t="e">
        <f>IF(F32="","",ROUND((('M&amp;R Stations'!#REF!+'M&amp;R Stations'!#REF!)-('NG Utilization'!C32+'NG Utilization'!D32+'NG Utilization'!E32)-'LNG Facilities'!#REF!)*ROUND(((('M&amp;R Stations'!#REF!*'M&amp;R Stations'!L26)+('M&amp;R Stations'!#REF!*'M&amp;R Stations'!F26))/1000)/('M&amp;R Stations'!#REF!+'M&amp;R Stations'!#REF!),3),0)+ROUND((('LNG Facilities'!F26*'LNG Facilities'!K26+'LNG Facilities'!G26*'LNG Facilities'!L26+'LNG Facilities'!H26*'LNG Facilities'!M26+'LNG Facilities'!R26*'LNG Facilities'!W26+'LNG Facilities'!S26*'LNG Facilities'!X26+'LNG Facilities'!T26*'LNG Facilities'!#REF!)/1000),0))</f>
        <v>#REF!</v>
      </c>
      <c r="O32" s="58" t="e">
        <f t="shared" ref="O32:O37" si="11">IF(N32="","",N32+O31)</f>
        <v>#REF!</v>
      </c>
      <c r="P32" s="58" t="e">
        <f t="shared" ref="P32:P37" si="12">IF(N32="","",N32+P31)</f>
        <v>#REF!</v>
      </c>
      <c r="Q32" s="58"/>
      <c r="R32" s="57" t="e">
        <f t="shared" si="2"/>
        <v>#REF!</v>
      </c>
      <c r="S32" s="58" t="e">
        <f t="shared" ref="S32:S37" si="13">IF(R32="","",R32+S31)</f>
        <v>#REF!</v>
      </c>
      <c r="T32" s="58" t="e">
        <f t="shared" ref="T32:T37" si="14">IF(R32="","",R32+T31)</f>
        <v>#REF!</v>
      </c>
      <c r="U32" s="59"/>
      <c r="V32" s="59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</row>
    <row r="33" spans="1:46" x14ac:dyDescent="0.25">
      <c r="A33" s="31">
        <f>'M&amp;R Stations'!A27</f>
        <v>38986</v>
      </c>
      <c r="B33" s="89"/>
      <c r="C33" s="227">
        <v>56502</v>
      </c>
      <c r="D33" s="224">
        <v>61214</v>
      </c>
      <c r="E33" s="185"/>
      <c r="F33" s="72" t="e">
        <f>IF('M&amp;R Stations'!#REF!="","",('M&amp;R Stations'!#REF!+'M&amp;R Stations'!#REF!)+('LNG Facilities'!F27+'LNG Facilities'!G27+'LNG Facilities'!H27+'LNG Facilities'!R27+'LNG Facilities'!S27+'LNG Facilities'!T27)-'LNG Facilities'!#REF!-('NG Utilization'!C33+'NG Utilization'!D33+'NG Utilization'!E33))</f>
        <v>#REF!</v>
      </c>
      <c r="G33" s="58" t="e">
        <f>IF('M&amp;R Stations'!#REF!="","",F33+G32)</f>
        <v>#REF!</v>
      </c>
      <c r="H33" s="58" t="e">
        <f>IF('M&amp;R Stations'!#REF!="","",F33+H32)</f>
        <v>#REF!</v>
      </c>
      <c r="I33" s="58"/>
      <c r="J33" s="57" t="e">
        <f t="shared" si="1"/>
        <v>#REF!</v>
      </c>
      <c r="K33" s="58" t="e">
        <f t="shared" si="9"/>
        <v>#REF!</v>
      </c>
      <c r="L33" s="58" t="e">
        <f t="shared" si="10"/>
        <v>#REF!</v>
      </c>
      <c r="M33" s="58"/>
      <c r="N33" s="73" t="e">
        <f>IF(F33="","",ROUND((('M&amp;R Stations'!#REF!+'M&amp;R Stations'!#REF!)-('NG Utilization'!C33+'NG Utilization'!D33+'NG Utilization'!E33)-'LNG Facilities'!#REF!)*ROUND(((('M&amp;R Stations'!#REF!*'M&amp;R Stations'!L27)+('M&amp;R Stations'!#REF!*'M&amp;R Stations'!F27))/1000)/('M&amp;R Stations'!#REF!+'M&amp;R Stations'!#REF!),3),0)+ROUND((('LNG Facilities'!F27*'LNG Facilities'!K27+'LNG Facilities'!G27*'LNG Facilities'!L27+'LNG Facilities'!H27*'LNG Facilities'!M27+'LNG Facilities'!R27*'LNG Facilities'!W27+'LNG Facilities'!S27*'LNG Facilities'!X27+'LNG Facilities'!T27*'LNG Facilities'!#REF!)/1000),0))</f>
        <v>#REF!</v>
      </c>
      <c r="O33" s="58" t="e">
        <f t="shared" si="11"/>
        <v>#REF!</v>
      </c>
      <c r="P33" s="58" t="e">
        <f t="shared" si="12"/>
        <v>#REF!</v>
      </c>
      <c r="Q33" s="58"/>
      <c r="R33" s="57" t="e">
        <f t="shared" si="2"/>
        <v>#REF!</v>
      </c>
      <c r="S33" s="58" t="e">
        <f t="shared" si="13"/>
        <v>#REF!</v>
      </c>
      <c r="T33" s="58" t="e">
        <f t="shared" si="14"/>
        <v>#REF!</v>
      </c>
      <c r="U33" s="59"/>
      <c r="V33" s="59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</row>
    <row r="34" spans="1:46" x14ac:dyDescent="0.25">
      <c r="A34" s="31">
        <f>'M&amp;R Stations'!A28</f>
        <v>38987</v>
      </c>
      <c r="B34" s="89"/>
      <c r="C34" s="227">
        <v>59004</v>
      </c>
      <c r="D34" s="224">
        <v>66355</v>
      </c>
      <c r="E34" s="185"/>
      <c r="F34" s="72" t="e">
        <f>IF('M&amp;R Stations'!#REF!="","",('M&amp;R Stations'!#REF!+'M&amp;R Stations'!#REF!)+('LNG Facilities'!F28+'LNG Facilities'!G28+'LNG Facilities'!H28+'LNG Facilities'!R28+'LNG Facilities'!S28+'LNG Facilities'!T28)-'LNG Facilities'!#REF!-('NG Utilization'!C34+'NG Utilization'!D34+'NG Utilization'!E34))</f>
        <v>#REF!</v>
      </c>
      <c r="G34" s="58" t="e">
        <f>IF('M&amp;R Stations'!#REF!="","",F34+G33)</f>
        <v>#REF!</v>
      </c>
      <c r="H34" s="58" t="e">
        <f>IF('M&amp;R Stations'!#REF!="","",F34+H33)</f>
        <v>#REF!</v>
      </c>
      <c r="I34" s="58"/>
      <c r="J34" s="57" t="e">
        <f t="shared" si="1"/>
        <v>#REF!</v>
      </c>
      <c r="K34" s="58" t="e">
        <f t="shared" si="9"/>
        <v>#REF!</v>
      </c>
      <c r="L34" s="58" t="e">
        <f t="shared" si="10"/>
        <v>#REF!</v>
      </c>
      <c r="M34" s="58"/>
      <c r="N34" s="73" t="e">
        <f>IF(F34="","",ROUND((('M&amp;R Stations'!#REF!+'M&amp;R Stations'!#REF!)-('NG Utilization'!C34+'NG Utilization'!D34+'NG Utilization'!E34)-'LNG Facilities'!#REF!)*ROUND(((('M&amp;R Stations'!#REF!*'M&amp;R Stations'!L28)+('M&amp;R Stations'!#REF!*'M&amp;R Stations'!F28))/1000)/('M&amp;R Stations'!#REF!+'M&amp;R Stations'!#REF!),3),0)+ROUND((('LNG Facilities'!F28*'LNG Facilities'!K28+'LNG Facilities'!G28*'LNG Facilities'!L28+'LNG Facilities'!H28*'LNG Facilities'!M28+'LNG Facilities'!R28*'LNG Facilities'!W28+'LNG Facilities'!S28*'LNG Facilities'!X28+'LNG Facilities'!T28*'LNG Facilities'!#REF!)/1000),0))</f>
        <v>#REF!</v>
      </c>
      <c r="O34" s="58" t="e">
        <f t="shared" si="11"/>
        <v>#REF!</v>
      </c>
      <c r="P34" s="58" t="e">
        <f t="shared" si="12"/>
        <v>#REF!</v>
      </c>
      <c r="Q34" s="58"/>
      <c r="R34" s="57" t="e">
        <f t="shared" si="2"/>
        <v>#REF!</v>
      </c>
      <c r="S34" s="58" t="e">
        <f t="shared" si="13"/>
        <v>#REF!</v>
      </c>
      <c r="T34" s="58" t="e">
        <f t="shared" si="14"/>
        <v>#REF!</v>
      </c>
      <c r="U34" s="59"/>
      <c r="V34" s="59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</row>
    <row r="35" spans="1:46" x14ac:dyDescent="0.25">
      <c r="A35" s="31">
        <f>'M&amp;R Stations'!A29</f>
        <v>38988</v>
      </c>
      <c r="B35" s="89"/>
      <c r="C35" s="227">
        <v>57563</v>
      </c>
      <c r="D35" s="224">
        <v>71496</v>
      </c>
      <c r="E35" s="185"/>
      <c r="F35" s="72" t="e">
        <f>IF('M&amp;R Stations'!#REF!="","",('M&amp;R Stations'!#REF!+'M&amp;R Stations'!#REF!)+('LNG Facilities'!F29+'LNG Facilities'!G29+'LNG Facilities'!H29+'LNG Facilities'!R29+'LNG Facilities'!S29+'LNG Facilities'!T29)-'LNG Facilities'!#REF!-('NG Utilization'!C35+'NG Utilization'!D35+'NG Utilization'!E35))</f>
        <v>#REF!</v>
      </c>
      <c r="G35" s="58" t="e">
        <f>IF('M&amp;R Stations'!#REF!="","",F35+G34)</f>
        <v>#REF!</v>
      </c>
      <c r="H35" s="58" t="e">
        <f>IF('M&amp;R Stations'!#REF!="","",F35+H34)</f>
        <v>#REF!</v>
      </c>
      <c r="I35" s="58"/>
      <c r="J35" s="57" t="e">
        <f t="shared" si="1"/>
        <v>#REF!</v>
      </c>
      <c r="K35" s="58" t="e">
        <f t="shared" si="9"/>
        <v>#REF!</v>
      </c>
      <c r="L35" s="58" t="e">
        <f t="shared" si="10"/>
        <v>#REF!</v>
      </c>
      <c r="M35" s="58"/>
      <c r="N35" s="73" t="e">
        <f>IF(F35="","",ROUND((('M&amp;R Stations'!#REF!+'M&amp;R Stations'!#REF!)-('NG Utilization'!C35+'NG Utilization'!D35+'NG Utilization'!E35)-'LNG Facilities'!#REF!)*ROUND(((('M&amp;R Stations'!#REF!*'M&amp;R Stations'!L29)+('M&amp;R Stations'!#REF!*'M&amp;R Stations'!F29))/1000)/('M&amp;R Stations'!#REF!+'M&amp;R Stations'!#REF!),3),0)+ROUND((('LNG Facilities'!F29*'LNG Facilities'!K29+'LNG Facilities'!G29*'LNG Facilities'!L29+'LNG Facilities'!H29*'LNG Facilities'!M29+'LNG Facilities'!R29*'LNG Facilities'!W29+'LNG Facilities'!S29*'LNG Facilities'!X29+'LNG Facilities'!T29*'LNG Facilities'!#REF!)/1000),0))</f>
        <v>#REF!</v>
      </c>
      <c r="O35" s="58" t="e">
        <f t="shared" si="11"/>
        <v>#REF!</v>
      </c>
      <c r="P35" s="58" t="e">
        <f t="shared" si="12"/>
        <v>#REF!</v>
      </c>
      <c r="Q35" s="58"/>
      <c r="R35" s="57" t="e">
        <f t="shared" si="2"/>
        <v>#REF!</v>
      </c>
      <c r="S35" s="58" t="e">
        <f t="shared" si="13"/>
        <v>#REF!</v>
      </c>
      <c r="T35" s="58" t="e">
        <f t="shared" si="14"/>
        <v>#REF!</v>
      </c>
      <c r="U35" s="59"/>
      <c r="V35" s="59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</row>
    <row r="36" spans="1:46" x14ac:dyDescent="0.25">
      <c r="A36" s="31">
        <f>'M&amp;R Stations'!A30</f>
        <v>38989</v>
      </c>
      <c r="B36" s="89"/>
      <c r="C36" s="227">
        <v>62024</v>
      </c>
      <c r="D36" s="224">
        <v>92061</v>
      </c>
      <c r="E36" s="185"/>
      <c r="F36" s="72" t="e">
        <f>IF('M&amp;R Stations'!#REF!="","",('M&amp;R Stations'!#REF!+'M&amp;R Stations'!#REF!)+('LNG Facilities'!F30+'LNG Facilities'!G30+'LNG Facilities'!H30+'LNG Facilities'!R30+'LNG Facilities'!S30+'LNG Facilities'!T30)-'LNG Facilities'!#REF!-('NG Utilization'!C36+'NG Utilization'!D36+'NG Utilization'!E36))</f>
        <v>#REF!</v>
      </c>
      <c r="G36" s="58" t="e">
        <f>IF('M&amp;R Stations'!#REF!="","",F36+G35)</f>
        <v>#REF!</v>
      </c>
      <c r="H36" s="58" t="e">
        <f>IF('M&amp;R Stations'!#REF!="","",F36+H35)</f>
        <v>#REF!</v>
      </c>
      <c r="I36" s="58"/>
      <c r="J36" s="57" t="e">
        <f t="shared" si="1"/>
        <v>#REF!</v>
      </c>
      <c r="K36" s="58" t="e">
        <f t="shared" si="9"/>
        <v>#REF!</v>
      </c>
      <c r="L36" s="58" t="e">
        <f t="shared" si="10"/>
        <v>#REF!</v>
      </c>
      <c r="M36" s="58"/>
      <c r="N36" s="73" t="e">
        <f>IF(F36="","",ROUND((('M&amp;R Stations'!#REF!+'M&amp;R Stations'!#REF!)-('NG Utilization'!C36+'NG Utilization'!D36+'NG Utilization'!E36)-'LNG Facilities'!#REF!)*ROUND(((('M&amp;R Stations'!#REF!*'M&amp;R Stations'!L30)+('M&amp;R Stations'!#REF!*'M&amp;R Stations'!F30))/1000)/('M&amp;R Stations'!#REF!+'M&amp;R Stations'!#REF!),3),0)+ROUND((('LNG Facilities'!F30*'LNG Facilities'!K30+'LNG Facilities'!G30*'LNG Facilities'!L30+'LNG Facilities'!H30*'LNG Facilities'!M30+'LNG Facilities'!R30*'LNG Facilities'!W30+'LNG Facilities'!S30*'LNG Facilities'!X30+'LNG Facilities'!T30*'LNG Facilities'!#REF!)/1000),0))</f>
        <v>#REF!</v>
      </c>
      <c r="O36" s="58" t="e">
        <f t="shared" si="11"/>
        <v>#REF!</v>
      </c>
      <c r="P36" s="58" t="e">
        <f t="shared" si="12"/>
        <v>#REF!</v>
      </c>
      <c r="Q36" s="58"/>
      <c r="R36" s="57" t="e">
        <f t="shared" si="2"/>
        <v>#REF!</v>
      </c>
      <c r="S36" s="58" t="e">
        <f t="shared" si="13"/>
        <v>#REF!</v>
      </c>
      <c r="T36" s="58" t="e">
        <f t="shared" si="14"/>
        <v>#REF!</v>
      </c>
      <c r="U36" s="59"/>
      <c r="V36" s="59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</row>
    <row r="37" spans="1:46" x14ac:dyDescent="0.25">
      <c r="A37" s="31">
        <f>'M&amp;R Stations'!A31</f>
        <v>38990</v>
      </c>
      <c r="B37" s="89"/>
      <c r="C37" s="227">
        <v>60759</v>
      </c>
      <c r="D37" s="224">
        <v>102343</v>
      </c>
      <c r="E37" s="185"/>
      <c r="F37" s="72" t="e">
        <f>IF('M&amp;R Stations'!#REF!="","",('M&amp;R Stations'!#REF!+'M&amp;R Stations'!#REF!)+('LNG Facilities'!F31+'LNG Facilities'!G31+'LNG Facilities'!H31+'LNG Facilities'!R31+'LNG Facilities'!S31+'LNG Facilities'!T31)-'LNG Facilities'!#REF!-('NG Utilization'!C37+'NG Utilization'!D37+'NG Utilization'!E37))</f>
        <v>#REF!</v>
      </c>
      <c r="G37" s="58" t="e">
        <f>IF('M&amp;R Stations'!#REF!="","",F37+G36)</f>
        <v>#REF!</v>
      </c>
      <c r="H37" s="58" t="e">
        <f>IF('M&amp;R Stations'!#REF!="","",F37+H36)</f>
        <v>#REF!</v>
      </c>
      <c r="I37" s="58"/>
      <c r="J37" s="57" t="e">
        <f t="shared" si="1"/>
        <v>#REF!</v>
      </c>
      <c r="K37" s="58" t="e">
        <f t="shared" si="9"/>
        <v>#REF!</v>
      </c>
      <c r="L37" s="58" t="e">
        <f t="shared" si="10"/>
        <v>#REF!</v>
      </c>
      <c r="M37" s="58"/>
      <c r="N37" s="73" t="e">
        <f>IF(F37="","",ROUND((('M&amp;R Stations'!#REF!+'M&amp;R Stations'!#REF!)-('NG Utilization'!C37+'NG Utilization'!D37+'NG Utilization'!E37)-'LNG Facilities'!#REF!)*ROUND(((('M&amp;R Stations'!#REF!*'M&amp;R Stations'!L31)+('M&amp;R Stations'!#REF!*'M&amp;R Stations'!F31))/1000)/('M&amp;R Stations'!#REF!+'M&amp;R Stations'!#REF!),3),0)+ROUND((('LNG Facilities'!F31*'LNG Facilities'!K31+'LNG Facilities'!G31*'LNG Facilities'!L31+'LNG Facilities'!H31*'LNG Facilities'!M31+'LNG Facilities'!R31*'LNG Facilities'!W31+'LNG Facilities'!S31*'LNG Facilities'!X31+'LNG Facilities'!T31*'LNG Facilities'!#REF!)/1000),0))</f>
        <v>#REF!</v>
      </c>
      <c r="O37" s="58" t="e">
        <f t="shared" si="11"/>
        <v>#REF!</v>
      </c>
      <c r="P37" s="58" t="e">
        <f t="shared" si="12"/>
        <v>#REF!</v>
      </c>
      <c r="Q37" s="58"/>
      <c r="R37" s="57" t="e">
        <f t="shared" si="2"/>
        <v>#REF!</v>
      </c>
      <c r="S37" s="58" t="e">
        <f t="shared" si="13"/>
        <v>#REF!</v>
      </c>
      <c r="T37" s="58" t="e">
        <f t="shared" si="14"/>
        <v>#REF!</v>
      </c>
      <c r="U37" s="59"/>
      <c r="V37" s="59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</row>
    <row r="38" spans="1:46" x14ac:dyDescent="0.25">
      <c r="A38" s="96"/>
      <c r="B38" s="95"/>
      <c r="C38" s="95"/>
      <c r="D38" s="95"/>
      <c r="E38" s="186"/>
      <c r="F38" s="186"/>
      <c r="G38" s="186"/>
      <c r="H38" s="186"/>
      <c r="I38" s="100"/>
      <c r="J38" s="101"/>
      <c r="K38" s="100"/>
      <c r="L38" s="100"/>
      <c r="M38" s="100"/>
      <c r="N38" s="102"/>
      <c r="O38" s="100"/>
      <c r="P38" s="100"/>
      <c r="Q38" s="100"/>
      <c r="R38" s="101"/>
      <c r="S38" s="100"/>
      <c r="T38" s="100"/>
      <c r="U38" s="59"/>
      <c r="V38" s="59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</row>
    <row r="39" spans="1:46" x14ac:dyDescent="0.25">
      <c r="A39" s="31">
        <f>'M&amp;R Stations'!A32</f>
        <v>38991</v>
      </c>
      <c r="B39" s="89"/>
      <c r="C39" s="227">
        <v>57739</v>
      </c>
      <c r="D39" s="224">
        <v>60260</v>
      </c>
      <c r="E39" s="185"/>
      <c r="F39" s="72" t="e">
        <f>IF('M&amp;R Stations'!#REF!="","",('M&amp;R Stations'!#REF!+'M&amp;R Stations'!#REF!)+('LNG Facilities'!F32+'LNG Facilities'!G32+'LNG Facilities'!H32+'LNG Facilities'!R32+'LNG Facilities'!S32+'LNG Facilities'!T32)-'LNG Facilities'!#REF!-('NG Utilization'!C39+'NG Utilization'!D39+'NG Utilization'!E39))</f>
        <v>#REF!</v>
      </c>
      <c r="G39" s="58" t="e">
        <f>IF('M&amp;R Stations'!#REF!="","",F39)</f>
        <v>#REF!</v>
      </c>
      <c r="H39" s="58" t="e">
        <f>IF('M&amp;R Stations'!#REF!="","",F39+H37)</f>
        <v>#REF!</v>
      </c>
      <c r="I39" s="58"/>
      <c r="J39" s="57" t="e">
        <f t="shared" ref="J39:J69" si="15">IF(F39="","",C39)</f>
        <v>#REF!</v>
      </c>
      <c r="K39" s="58" t="e">
        <f>IF(J39="","",J39)</f>
        <v>#REF!</v>
      </c>
      <c r="L39" s="58" t="e">
        <f>IF(J39="","",J39+L37)</f>
        <v>#REF!</v>
      </c>
      <c r="M39" s="58"/>
      <c r="N39" s="73" t="e">
        <f>IF(F39="","",ROUND((('M&amp;R Stations'!#REF!+'M&amp;R Stations'!#REF!)-('NG Utilization'!C39+'NG Utilization'!D39+'NG Utilization'!E39)-'LNG Facilities'!#REF!)*ROUND(((('M&amp;R Stations'!#REF!*'M&amp;R Stations'!L32)+('M&amp;R Stations'!#REF!*'M&amp;R Stations'!F32))/1000)/('M&amp;R Stations'!#REF!+'M&amp;R Stations'!#REF!),3),0)+ROUND((('LNG Facilities'!F32*'LNG Facilities'!K32+'LNG Facilities'!G32*'LNG Facilities'!L32+'LNG Facilities'!H32*'LNG Facilities'!M32+'LNG Facilities'!R32*'LNG Facilities'!W32+'LNG Facilities'!S32*'LNG Facilities'!X32+'LNG Facilities'!T32*'LNG Facilities'!#REF!)/1000),0))</f>
        <v>#REF!</v>
      </c>
      <c r="O39" s="58" t="e">
        <f>IF(N39="","",N39)</f>
        <v>#REF!</v>
      </c>
      <c r="P39" s="58" t="e">
        <f>IF(N39="","",N39+P37)</f>
        <v>#REF!</v>
      </c>
      <c r="Q39" s="58"/>
      <c r="R39" s="57" t="e">
        <f t="shared" ref="R39:R69" si="16">IF(F39="","",D39)</f>
        <v>#REF!</v>
      </c>
      <c r="S39" s="58" t="e">
        <f>IF(R39="","",R39)</f>
        <v>#REF!</v>
      </c>
      <c r="T39" s="58" t="e">
        <f>IF(R39="","",R39+T37)</f>
        <v>#REF!</v>
      </c>
      <c r="U39" s="59"/>
      <c r="V39" s="59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</row>
    <row r="40" spans="1:46" x14ac:dyDescent="0.25">
      <c r="A40" s="31">
        <f>'M&amp;R Stations'!A33</f>
        <v>38992</v>
      </c>
      <c r="B40" s="89"/>
      <c r="C40" s="227">
        <v>60560</v>
      </c>
      <c r="D40" s="224">
        <v>45624</v>
      </c>
      <c r="E40" s="185"/>
      <c r="F40" s="72" t="e">
        <f>IF('M&amp;R Stations'!#REF!="","",('M&amp;R Stations'!#REF!+'M&amp;R Stations'!#REF!)+('LNG Facilities'!F33+'LNG Facilities'!G33+'LNG Facilities'!H33+'LNG Facilities'!R33+'LNG Facilities'!S33+'LNG Facilities'!T33)-'LNG Facilities'!#REF!-('NG Utilization'!C40+'NG Utilization'!D40+'NG Utilization'!E40))</f>
        <v>#REF!</v>
      </c>
      <c r="G40" s="58" t="e">
        <f>IF('M&amp;R Stations'!#REF!="","",F40+G39)</f>
        <v>#REF!</v>
      </c>
      <c r="H40" s="58" t="e">
        <f>IF('M&amp;R Stations'!#REF!="","",F40+H39)</f>
        <v>#REF!</v>
      </c>
      <c r="I40" s="58"/>
      <c r="J40" s="57" t="e">
        <f t="shared" si="15"/>
        <v>#REF!</v>
      </c>
      <c r="K40" s="58" t="e">
        <f t="shared" si="3"/>
        <v>#REF!</v>
      </c>
      <c r="L40" s="58" t="e">
        <f t="shared" si="4"/>
        <v>#REF!</v>
      </c>
      <c r="M40" s="58"/>
      <c r="N40" s="73" t="e">
        <f>IF(F40="","",ROUND((('M&amp;R Stations'!#REF!+'M&amp;R Stations'!#REF!)-('NG Utilization'!C40+'NG Utilization'!D40+'NG Utilization'!E40)-'LNG Facilities'!#REF!)*ROUND(((('M&amp;R Stations'!#REF!*'M&amp;R Stations'!L33)+('M&amp;R Stations'!#REF!*'M&amp;R Stations'!F33))/1000)/('M&amp;R Stations'!#REF!+'M&amp;R Stations'!#REF!),3),0)+ROUND((('LNG Facilities'!F33*'LNG Facilities'!K33+'LNG Facilities'!G33*'LNG Facilities'!L33+'LNG Facilities'!H33*'LNG Facilities'!M33+'LNG Facilities'!R33*'LNG Facilities'!W33+'LNG Facilities'!S33*'LNG Facilities'!X33+'LNG Facilities'!T33*'LNG Facilities'!#REF!)/1000),0))</f>
        <v>#REF!</v>
      </c>
      <c r="O40" s="58" t="e">
        <f t="shared" si="5"/>
        <v>#REF!</v>
      </c>
      <c r="P40" s="58" t="e">
        <f t="shared" si="6"/>
        <v>#REF!</v>
      </c>
      <c r="Q40" s="58"/>
      <c r="R40" s="57" t="e">
        <f t="shared" si="16"/>
        <v>#REF!</v>
      </c>
      <c r="S40" s="58" t="e">
        <f t="shared" si="7"/>
        <v>#REF!</v>
      </c>
      <c r="T40" s="58" t="e">
        <f t="shared" si="8"/>
        <v>#REF!</v>
      </c>
      <c r="U40" s="59"/>
      <c r="V40" s="59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</row>
    <row r="41" spans="1:46" x14ac:dyDescent="0.25">
      <c r="A41" s="31">
        <f>'M&amp;R Stations'!A34</f>
        <v>38993</v>
      </c>
      <c r="B41" s="89"/>
      <c r="C41" s="227">
        <v>56886</v>
      </c>
      <c r="D41" s="224">
        <v>45624</v>
      </c>
      <c r="E41" s="185"/>
      <c r="F41" s="72" t="e">
        <f>IF('M&amp;R Stations'!#REF!="","",('M&amp;R Stations'!#REF!+'M&amp;R Stations'!#REF!)+('LNG Facilities'!F34+'LNG Facilities'!G34+'LNG Facilities'!H34+'LNG Facilities'!R34+'LNG Facilities'!S34+'LNG Facilities'!T34)-'LNG Facilities'!#REF!-('NG Utilization'!C41+'NG Utilization'!D41+'NG Utilization'!E41))</f>
        <v>#REF!</v>
      </c>
      <c r="G41" s="58" t="e">
        <f>IF('M&amp;R Stations'!#REF!="","",F41+G40)</f>
        <v>#REF!</v>
      </c>
      <c r="H41" s="58" t="e">
        <f>IF('M&amp;R Stations'!#REF!="","",F41+H40)</f>
        <v>#REF!</v>
      </c>
      <c r="I41" s="58"/>
      <c r="J41" s="57" t="e">
        <f t="shared" si="15"/>
        <v>#REF!</v>
      </c>
      <c r="K41" s="58" t="e">
        <f t="shared" si="3"/>
        <v>#REF!</v>
      </c>
      <c r="L41" s="58" t="e">
        <f t="shared" si="4"/>
        <v>#REF!</v>
      </c>
      <c r="M41" s="58"/>
      <c r="N41" s="73" t="e">
        <f>IF(F41="","",ROUND((('M&amp;R Stations'!#REF!+'M&amp;R Stations'!#REF!)-('NG Utilization'!C41+'NG Utilization'!D41+'NG Utilization'!E41)-'LNG Facilities'!#REF!)*ROUND(((('M&amp;R Stations'!#REF!*'M&amp;R Stations'!L34)+('M&amp;R Stations'!#REF!*'M&amp;R Stations'!F34))/1000)/('M&amp;R Stations'!#REF!+'M&amp;R Stations'!#REF!),3),0)+ROUND((('LNG Facilities'!F34*'LNG Facilities'!K34+'LNG Facilities'!G34*'LNG Facilities'!L34+'LNG Facilities'!H34*'LNG Facilities'!M34+'LNG Facilities'!R34*'LNG Facilities'!W34+'LNG Facilities'!S34*'LNG Facilities'!X34+'LNG Facilities'!T34*'LNG Facilities'!#REF!)/1000),0))</f>
        <v>#REF!</v>
      </c>
      <c r="O41" s="58" t="e">
        <f t="shared" si="5"/>
        <v>#REF!</v>
      </c>
      <c r="P41" s="58" t="e">
        <f t="shared" si="6"/>
        <v>#REF!</v>
      </c>
      <c r="Q41" s="58"/>
      <c r="R41" s="57" t="e">
        <f t="shared" si="16"/>
        <v>#REF!</v>
      </c>
      <c r="S41" s="58" t="e">
        <f t="shared" si="7"/>
        <v>#REF!</v>
      </c>
      <c r="T41" s="58" t="e">
        <f t="shared" si="8"/>
        <v>#REF!</v>
      </c>
      <c r="U41" s="59"/>
      <c r="V41" s="59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</row>
    <row r="42" spans="1:46" x14ac:dyDescent="0.25">
      <c r="A42" s="31">
        <f>'M&amp;R Stations'!A35</f>
        <v>38994</v>
      </c>
      <c r="B42" s="89"/>
      <c r="C42" s="227">
        <v>57912</v>
      </c>
      <c r="D42" s="224">
        <v>45624</v>
      </c>
      <c r="E42" s="185"/>
      <c r="F42" s="72" t="e">
        <f>IF('M&amp;R Stations'!#REF!="","",('M&amp;R Stations'!#REF!+'M&amp;R Stations'!#REF!)+('LNG Facilities'!F35+'LNG Facilities'!G35+'LNG Facilities'!H35+'LNG Facilities'!R35+'LNG Facilities'!S35+'LNG Facilities'!T35)-'LNG Facilities'!#REF!-('NG Utilization'!C42+'NG Utilization'!D42+'NG Utilization'!E42))</f>
        <v>#REF!</v>
      </c>
      <c r="G42" s="58" t="e">
        <f>IF('M&amp;R Stations'!#REF!="","",F42+G41)</f>
        <v>#REF!</v>
      </c>
      <c r="H42" s="58" t="e">
        <f>IF('M&amp;R Stations'!#REF!="","",F42+H41)</f>
        <v>#REF!</v>
      </c>
      <c r="I42" s="58"/>
      <c r="J42" s="57" t="e">
        <f t="shared" si="15"/>
        <v>#REF!</v>
      </c>
      <c r="K42" s="58" t="e">
        <f t="shared" si="3"/>
        <v>#REF!</v>
      </c>
      <c r="L42" s="58" t="e">
        <f t="shared" si="4"/>
        <v>#REF!</v>
      </c>
      <c r="M42" s="58"/>
      <c r="N42" s="73" t="e">
        <f>IF(F42="","",ROUND((('M&amp;R Stations'!#REF!+'M&amp;R Stations'!#REF!)-('NG Utilization'!C42+'NG Utilization'!D42+'NG Utilization'!E42)-'LNG Facilities'!#REF!)*ROUND(((('M&amp;R Stations'!#REF!*'M&amp;R Stations'!L35)+('M&amp;R Stations'!#REF!*'M&amp;R Stations'!F35))/1000)/('M&amp;R Stations'!#REF!+'M&amp;R Stations'!#REF!),3),0)+ROUND((('LNG Facilities'!F35*'LNG Facilities'!K35+'LNG Facilities'!G35*'LNG Facilities'!L35+'LNG Facilities'!H35*'LNG Facilities'!M35+'LNG Facilities'!R35*'LNG Facilities'!W35+'LNG Facilities'!S35*'LNG Facilities'!X35+'LNG Facilities'!T35*'LNG Facilities'!#REF!)/1000),0))</f>
        <v>#REF!</v>
      </c>
      <c r="O42" s="58" t="e">
        <f t="shared" si="5"/>
        <v>#REF!</v>
      </c>
      <c r="P42" s="58" t="e">
        <f t="shared" si="6"/>
        <v>#REF!</v>
      </c>
      <c r="Q42" s="58"/>
      <c r="R42" s="57" t="e">
        <f t="shared" si="16"/>
        <v>#REF!</v>
      </c>
      <c r="S42" s="58" t="e">
        <f t="shared" si="7"/>
        <v>#REF!</v>
      </c>
      <c r="T42" s="58" t="e">
        <f t="shared" si="8"/>
        <v>#REF!</v>
      </c>
      <c r="U42" s="59"/>
      <c r="V42" s="59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</row>
    <row r="43" spans="1:46" x14ac:dyDescent="0.25">
      <c r="A43" s="31">
        <f>'M&amp;R Stations'!A36</f>
        <v>38995</v>
      </c>
      <c r="B43" s="89"/>
      <c r="C43" s="227">
        <v>54145</v>
      </c>
      <c r="D43" s="224">
        <v>82215</v>
      </c>
      <c r="E43" s="185"/>
      <c r="F43" s="72" t="e">
        <f>IF('M&amp;R Stations'!#REF!="","",('M&amp;R Stations'!#REF!+'M&amp;R Stations'!#REF!)+('LNG Facilities'!F36+'LNG Facilities'!G36+'LNG Facilities'!H36+'LNG Facilities'!R36+'LNG Facilities'!S36+'LNG Facilities'!T36)-'LNG Facilities'!#REF!-('NG Utilization'!C43+'NG Utilization'!D43+'NG Utilization'!E43))</f>
        <v>#REF!</v>
      </c>
      <c r="G43" s="58" t="e">
        <f>IF('M&amp;R Stations'!#REF!="","",F43+G42)</f>
        <v>#REF!</v>
      </c>
      <c r="H43" s="58" t="e">
        <f>IF('M&amp;R Stations'!#REF!="","",F43+H42)</f>
        <v>#REF!</v>
      </c>
      <c r="I43" s="58"/>
      <c r="J43" s="57" t="e">
        <f t="shared" si="15"/>
        <v>#REF!</v>
      </c>
      <c r="K43" s="58" t="e">
        <f t="shared" si="3"/>
        <v>#REF!</v>
      </c>
      <c r="L43" s="58" t="e">
        <f t="shared" si="4"/>
        <v>#REF!</v>
      </c>
      <c r="M43" s="58"/>
      <c r="N43" s="73" t="e">
        <f>IF(F43="","",ROUND((('M&amp;R Stations'!#REF!+'M&amp;R Stations'!#REF!)-('NG Utilization'!C43+'NG Utilization'!D43+'NG Utilization'!E43)-'LNG Facilities'!#REF!)*ROUND(((('M&amp;R Stations'!#REF!*'M&amp;R Stations'!L36)+('M&amp;R Stations'!#REF!*'M&amp;R Stations'!F36))/1000)/('M&amp;R Stations'!#REF!+'M&amp;R Stations'!#REF!),3),0)+ROUND((('LNG Facilities'!F36*'LNG Facilities'!K36+'LNG Facilities'!G36*'LNG Facilities'!L36+'LNG Facilities'!H36*'LNG Facilities'!M36+'LNG Facilities'!R36*'LNG Facilities'!W36+'LNG Facilities'!S36*'LNG Facilities'!X36+'LNG Facilities'!T36*'LNG Facilities'!#REF!)/1000),0))</f>
        <v>#REF!</v>
      </c>
      <c r="O43" s="58" t="e">
        <f t="shared" si="5"/>
        <v>#REF!</v>
      </c>
      <c r="P43" s="58" t="e">
        <f t="shared" si="6"/>
        <v>#REF!</v>
      </c>
      <c r="Q43" s="58"/>
      <c r="R43" s="57" t="e">
        <f t="shared" si="16"/>
        <v>#REF!</v>
      </c>
      <c r="S43" s="58" t="e">
        <f t="shared" si="7"/>
        <v>#REF!</v>
      </c>
      <c r="T43" s="58" t="e">
        <f t="shared" si="8"/>
        <v>#REF!</v>
      </c>
      <c r="U43" s="59"/>
      <c r="V43" s="59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</row>
    <row r="44" spans="1:46" x14ac:dyDescent="0.25">
      <c r="A44" s="31">
        <f>'M&amp;R Stations'!A37</f>
        <v>38996</v>
      </c>
      <c r="B44" s="89"/>
      <c r="C44" s="227">
        <v>56955</v>
      </c>
      <c r="D44" s="224">
        <v>118806.1</v>
      </c>
      <c r="E44" s="185"/>
      <c r="F44" s="72" t="e">
        <f>IF('M&amp;R Stations'!#REF!="","",('M&amp;R Stations'!#REF!+'M&amp;R Stations'!#REF!)+('LNG Facilities'!F37+'LNG Facilities'!G37+'LNG Facilities'!H37+'LNG Facilities'!R37+'LNG Facilities'!S37+'LNG Facilities'!T37)-'LNG Facilities'!#REF!-('NG Utilization'!C44+'NG Utilization'!D44+'NG Utilization'!E44))</f>
        <v>#REF!</v>
      </c>
      <c r="G44" s="58" t="e">
        <f>IF('M&amp;R Stations'!#REF!="","",F44+G43)</f>
        <v>#REF!</v>
      </c>
      <c r="H44" s="58" t="e">
        <f>IF('M&amp;R Stations'!#REF!="","",F44+H43)</f>
        <v>#REF!</v>
      </c>
      <c r="I44" s="58"/>
      <c r="J44" s="57" t="e">
        <f t="shared" si="15"/>
        <v>#REF!</v>
      </c>
      <c r="K44" s="58" t="e">
        <f t="shared" si="3"/>
        <v>#REF!</v>
      </c>
      <c r="L44" s="58" t="e">
        <f t="shared" si="4"/>
        <v>#REF!</v>
      </c>
      <c r="M44" s="58"/>
      <c r="N44" s="73" t="e">
        <f>IF(F44="","",ROUND((('M&amp;R Stations'!#REF!+'M&amp;R Stations'!#REF!)-('NG Utilization'!C44+'NG Utilization'!D44+'NG Utilization'!E44)-'LNG Facilities'!#REF!)*ROUND(((('M&amp;R Stations'!#REF!*'M&amp;R Stations'!L37)+('M&amp;R Stations'!#REF!*'M&amp;R Stations'!F37))/1000)/('M&amp;R Stations'!#REF!+'M&amp;R Stations'!#REF!),3),0)+ROUND((('LNG Facilities'!F37*'LNG Facilities'!K37+'LNG Facilities'!G37*'LNG Facilities'!L37+'LNG Facilities'!H37*'LNG Facilities'!M37+'LNG Facilities'!R37*'LNG Facilities'!W37+'LNG Facilities'!S37*'LNG Facilities'!X37+'LNG Facilities'!T37*'LNG Facilities'!#REF!)/1000),0))</f>
        <v>#REF!</v>
      </c>
      <c r="O44" s="58" t="e">
        <f t="shared" si="5"/>
        <v>#REF!</v>
      </c>
      <c r="P44" s="58" t="e">
        <f t="shared" si="6"/>
        <v>#REF!</v>
      </c>
      <c r="Q44" s="58"/>
      <c r="R44" s="57" t="e">
        <f t="shared" si="16"/>
        <v>#REF!</v>
      </c>
      <c r="S44" s="58" t="e">
        <f t="shared" si="7"/>
        <v>#REF!</v>
      </c>
      <c r="T44" s="58" t="e">
        <f t="shared" si="8"/>
        <v>#REF!</v>
      </c>
      <c r="U44" s="59"/>
      <c r="V44" s="59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</row>
    <row r="45" spans="1:46" x14ac:dyDescent="0.25">
      <c r="A45" s="31">
        <f>'M&amp;R Stations'!A38</f>
        <v>38997</v>
      </c>
      <c r="B45" s="89"/>
      <c r="C45" s="227">
        <v>54703</v>
      </c>
      <c r="D45" s="224">
        <v>89533.25</v>
      </c>
      <c r="E45" s="185"/>
      <c r="F45" s="72" t="e">
        <f>IF('M&amp;R Stations'!#REF!="","",('M&amp;R Stations'!#REF!+'M&amp;R Stations'!#REF!)+('LNG Facilities'!F38+'LNG Facilities'!G38+'LNG Facilities'!H38+'LNG Facilities'!R38+'LNG Facilities'!S38+'LNG Facilities'!T38)-'LNG Facilities'!#REF!-('NG Utilization'!C45+'NG Utilization'!D45+'NG Utilization'!E45))</f>
        <v>#REF!</v>
      </c>
      <c r="G45" s="58" t="e">
        <f>IF('M&amp;R Stations'!#REF!="","",F45+G44)</f>
        <v>#REF!</v>
      </c>
      <c r="H45" s="58" t="e">
        <f>IF('M&amp;R Stations'!#REF!="","",F45+H44)</f>
        <v>#REF!</v>
      </c>
      <c r="I45" s="58"/>
      <c r="J45" s="57" t="e">
        <f t="shared" si="15"/>
        <v>#REF!</v>
      </c>
      <c r="K45" s="58" t="e">
        <f t="shared" si="3"/>
        <v>#REF!</v>
      </c>
      <c r="L45" s="58" t="e">
        <f t="shared" si="4"/>
        <v>#REF!</v>
      </c>
      <c r="M45" s="58"/>
      <c r="N45" s="73" t="e">
        <f>IF(F45="","",ROUND((('M&amp;R Stations'!#REF!+'M&amp;R Stations'!#REF!)-('NG Utilization'!C45+'NG Utilization'!D45+'NG Utilization'!E45)-'LNG Facilities'!#REF!)*ROUND(((('M&amp;R Stations'!#REF!*'M&amp;R Stations'!L38)+('M&amp;R Stations'!#REF!*'M&amp;R Stations'!F38))/1000)/('M&amp;R Stations'!#REF!+'M&amp;R Stations'!#REF!),3),0)+ROUND((('LNG Facilities'!F38*'LNG Facilities'!K38+'LNG Facilities'!G38*'LNG Facilities'!L38+'LNG Facilities'!H38*'LNG Facilities'!M38+'LNG Facilities'!R38*'LNG Facilities'!W38+'LNG Facilities'!S38*'LNG Facilities'!X38+'LNG Facilities'!T38*'LNG Facilities'!#REF!)/1000),0))</f>
        <v>#REF!</v>
      </c>
      <c r="O45" s="58" t="e">
        <f t="shared" si="5"/>
        <v>#REF!</v>
      </c>
      <c r="P45" s="58" t="e">
        <f t="shared" si="6"/>
        <v>#REF!</v>
      </c>
      <c r="Q45" s="58"/>
      <c r="R45" s="57" t="e">
        <f t="shared" si="16"/>
        <v>#REF!</v>
      </c>
      <c r="S45" s="58" t="e">
        <f t="shared" si="7"/>
        <v>#REF!</v>
      </c>
      <c r="T45" s="58" t="e">
        <f t="shared" si="8"/>
        <v>#REF!</v>
      </c>
      <c r="U45" s="59"/>
      <c r="V45" s="59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</row>
    <row r="46" spans="1:46" x14ac:dyDescent="0.25">
      <c r="A46" s="31">
        <f>'M&amp;R Stations'!A39</f>
        <v>38998</v>
      </c>
      <c r="B46" s="89"/>
      <c r="C46" s="227">
        <v>55920</v>
      </c>
      <c r="D46" s="224">
        <v>45623.91</v>
      </c>
      <c r="E46" s="185"/>
      <c r="F46" s="72" t="e">
        <f>IF('M&amp;R Stations'!#REF!="","",('M&amp;R Stations'!#REF!+'M&amp;R Stations'!#REF!)+('LNG Facilities'!F39+'LNG Facilities'!G39+'LNG Facilities'!H39+'LNG Facilities'!R39+'LNG Facilities'!S39+'LNG Facilities'!T39)-'LNG Facilities'!#REF!-('NG Utilization'!C46+'NG Utilization'!D46+'NG Utilization'!E46))</f>
        <v>#REF!</v>
      </c>
      <c r="G46" s="58" t="e">
        <f>IF('M&amp;R Stations'!#REF!="","",F46+G45)</f>
        <v>#REF!</v>
      </c>
      <c r="H46" s="58" t="e">
        <f>IF('M&amp;R Stations'!#REF!="","",F46+H45)</f>
        <v>#REF!</v>
      </c>
      <c r="I46" s="58"/>
      <c r="J46" s="57" t="e">
        <f t="shared" si="15"/>
        <v>#REF!</v>
      </c>
      <c r="K46" s="58" t="e">
        <f t="shared" si="3"/>
        <v>#REF!</v>
      </c>
      <c r="L46" s="58" t="e">
        <f t="shared" si="4"/>
        <v>#REF!</v>
      </c>
      <c r="M46" s="58"/>
      <c r="N46" s="73" t="e">
        <f>IF(F46="","",ROUND((('M&amp;R Stations'!#REF!+'M&amp;R Stations'!#REF!)-('NG Utilization'!C46+'NG Utilization'!D46+'NG Utilization'!E46)-'LNG Facilities'!#REF!)*ROUND(((('M&amp;R Stations'!#REF!*'M&amp;R Stations'!L39)+('M&amp;R Stations'!#REF!*'M&amp;R Stations'!F39))/1000)/('M&amp;R Stations'!#REF!+'M&amp;R Stations'!#REF!),3),0)+ROUND((('LNG Facilities'!F39*'LNG Facilities'!K39+'LNG Facilities'!G39*'LNG Facilities'!L39+'LNG Facilities'!H39*'LNG Facilities'!M39+'LNG Facilities'!R39*'LNG Facilities'!W39+'LNG Facilities'!S39*'LNG Facilities'!X39+'LNG Facilities'!T39*'LNG Facilities'!#REF!)/1000),0))</f>
        <v>#REF!</v>
      </c>
      <c r="O46" s="58" t="e">
        <f t="shared" si="5"/>
        <v>#REF!</v>
      </c>
      <c r="P46" s="58" t="e">
        <f t="shared" si="6"/>
        <v>#REF!</v>
      </c>
      <c r="Q46" s="58"/>
      <c r="R46" s="57" t="e">
        <f t="shared" si="16"/>
        <v>#REF!</v>
      </c>
      <c r="S46" s="58" t="e">
        <f t="shared" si="7"/>
        <v>#REF!</v>
      </c>
      <c r="T46" s="58" t="e">
        <f t="shared" si="8"/>
        <v>#REF!</v>
      </c>
      <c r="U46" s="59"/>
      <c r="V46" s="59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</row>
    <row r="47" spans="1:46" x14ac:dyDescent="0.25">
      <c r="A47" s="31">
        <f>'M&amp;R Stations'!A40</f>
        <v>38999</v>
      </c>
      <c r="B47" s="89"/>
      <c r="C47" s="227">
        <v>64063</v>
      </c>
      <c r="D47" s="224">
        <v>45623.91</v>
      </c>
      <c r="E47" s="185"/>
      <c r="F47" s="72" t="e">
        <f>IF('M&amp;R Stations'!#REF!="","",('M&amp;R Stations'!#REF!+'M&amp;R Stations'!#REF!)+('LNG Facilities'!F40+'LNG Facilities'!G40+'LNG Facilities'!H40+'LNG Facilities'!R40+'LNG Facilities'!S40+'LNG Facilities'!T40)-'LNG Facilities'!#REF!-('NG Utilization'!C47+'NG Utilization'!D47+'NG Utilization'!E47))</f>
        <v>#REF!</v>
      </c>
      <c r="G47" s="58" t="e">
        <f>IF('M&amp;R Stations'!#REF!="","",F47+G46)</f>
        <v>#REF!</v>
      </c>
      <c r="H47" s="58" t="e">
        <f>IF('M&amp;R Stations'!#REF!="","",F47+H46)</f>
        <v>#REF!</v>
      </c>
      <c r="I47" s="58"/>
      <c r="J47" s="57" t="e">
        <f t="shared" si="15"/>
        <v>#REF!</v>
      </c>
      <c r="K47" s="58" t="e">
        <f t="shared" si="3"/>
        <v>#REF!</v>
      </c>
      <c r="L47" s="58" t="e">
        <f t="shared" si="4"/>
        <v>#REF!</v>
      </c>
      <c r="M47" s="58"/>
      <c r="N47" s="73" t="e">
        <f>IF(F47="","",ROUND((('M&amp;R Stations'!#REF!+'M&amp;R Stations'!#REF!)-('NG Utilization'!C47+'NG Utilization'!D47+'NG Utilization'!E47)-'LNG Facilities'!#REF!)*ROUND(((('M&amp;R Stations'!#REF!*'M&amp;R Stations'!L40)+('M&amp;R Stations'!#REF!*'M&amp;R Stations'!F40))/1000)/('M&amp;R Stations'!#REF!+'M&amp;R Stations'!#REF!),3),0)+ROUND((('LNG Facilities'!F40*'LNG Facilities'!K40+'LNG Facilities'!G40*'LNG Facilities'!L40+'LNG Facilities'!H40*'LNG Facilities'!M40+'LNG Facilities'!R40*'LNG Facilities'!W40+'LNG Facilities'!S40*'LNG Facilities'!X40+'LNG Facilities'!T40*'LNG Facilities'!#REF!)/1000),0))</f>
        <v>#REF!</v>
      </c>
      <c r="O47" s="58" t="e">
        <f t="shared" si="5"/>
        <v>#REF!</v>
      </c>
      <c r="P47" s="58" t="e">
        <f t="shared" si="6"/>
        <v>#REF!</v>
      </c>
      <c r="Q47" s="58"/>
      <c r="R47" s="57" t="e">
        <f t="shared" si="16"/>
        <v>#REF!</v>
      </c>
      <c r="S47" s="58" t="e">
        <f t="shared" si="7"/>
        <v>#REF!</v>
      </c>
      <c r="T47" s="58" t="e">
        <f t="shared" si="8"/>
        <v>#REF!</v>
      </c>
      <c r="U47" s="59"/>
      <c r="V47" s="59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</row>
    <row r="48" spans="1:46" x14ac:dyDescent="0.25">
      <c r="A48" s="31">
        <f>'M&amp;R Stations'!A41</f>
        <v>39000</v>
      </c>
      <c r="B48" s="89"/>
      <c r="C48" s="227">
        <v>67565</v>
      </c>
      <c r="D48" s="224">
        <v>45623.91</v>
      </c>
      <c r="E48" s="185"/>
      <c r="F48" s="72" t="e">
        <f>IF('M&amp;R Stations'!#REF!="","",('M&amp;R Stations'!#REF!+'M&amp;R Stations'!#REF!)+('LNG Facilities'!F41+'LNG Facilities'!G41+'LNG Facilities'!H41+'LNG Facilities'!R41+'LNG Facilities'!S41+'LNG Facilities'!T41)-'LNG Facilities'!#REF!-('NG Utilization'!C48+'NG Utilization'!D48+'NG Utilization'!E48))</f>
        <v>#REF!</v>
      </c>
      <c r="G48" s="58" t="e">
        <f>IF('M&amp;R Stations'!#REF!="","",F48+G47)</f>
        <v>#REF!</v>
      </c>
      <c r="H48" s="58" t="e">
        <f>IF('M&amp;R Stations'!#REF!="","",F48+H47)</f>
        <v>#REF!</v>
      </c>
      <c r="I48" s="58"/>
      <c r="J48" s="57" t="e">
        <f t="shared" si="15"/>
        <v>#REF!</v>
      </c>
      <c r="K48" s="58" t="e">
        <f t="shared" si="3"/>
        <v>#REF!</v>
      </c>
      <c r="L48" s="58" t="e">
        <f t="shared" si="4"/>
        <v>#REF!</v>
      </c>
      <c r="M48" s="58"/>
      <c r="N48" s="73" t="e">
        <f>IF(F48="","",ROUND((('M&amp;R Stations'!#REF!+'M&amp;R Stations'!#REF!)-('NG Utilization'!C48+'NG Utilization'!D48+'NG Utilization'!E48)-'LNG Facilities'!#REF!)*ROUND(((('M&amp;R Stations'!#REF!*'M&amp;R Stations'!L41)+('M&amp;R Stations'!#REF!*'M&amp;R Stations'!F41))/1000)/('M&amp;R Stations'!#REF!+'M&amp;R Stations'!#REF!),3),0)+ROUND((('LNG Facilities'!F41*'LNG Facilities'!K41+'LNG Facilities'!G41*'LNG Facilities'!L41+'LNG Facilities'!H41*'LNG Facilities'!M41+'LNG Facilities'!R41*'LNG Facilities'!W41+'LNG Facilities'!S41*'LNG Facilities'!X41+'LNG Facilities'!T41*'LNG Facilities'!#REF!)/1000),0))</f>
        <v>#REF!</v>
      </c>
      <c r="O48" s="58" t="e">
        <f t="shared" si="5"/>
        <v>#REF!</v>
      </c>
      <c r="P48" s="58" t="e">
        <f t="shared" si="6"/>
        <v>#REF!</v>
      </c>
      <c r="Q48" s="58"/>
      <c r="R48" s="57" t="e">
        <f t="shared" si="16"/>
        <v>#REF!</v>
      </c>
      <c r="S48" s="58" t="e">
        <f t="shared" si="7"/>
        <v>#REF!</v>
      </c>
      <c r="T48" s="58" t="e">
        <f t="shared" si="8"/>
        <v>#REF!</v>
      </c>
      <c r="U48" s="59"/>
      <c r="V48" s="59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</row>
    <row r="49" spans="1:46" x14ac:dyDescent="0.25">
      <c r="A49" s="31">
        <f>'M&amp;R Stations'!A42</f>
        <v>39001</v>
      </c>
      <c r="B49" s="89"/>
      <c r="C49" s="227">
        <v>67298</v>
      </c>
      <c r="D49" s="224">
        <v>45623.91</v>
      </c>
      <c r="E49" s="185"/>
      <c r="F49" s="72" t="e">
        <f>IF('M&amp;R Stations'!#REF!="","",('M&amp;R Stations'!#REF!+'M&amp;R Stations'!#REF!)+('LNG Facilities'!F42+'LNG Facilities'!G42+'LNG Facilities'!H42+'LNG Facilities'!R42+'LNG Facilities'!S42+'LNG Facilities'!T42)-'LNG Facilities'!#REF!-('NG Utilization'!C49+'NG Utilization'!D49+'NG Utilization'!E49))</f>
        <v>#REF!</v>
      </c>
      <c r="G49" s="58" t="e">
        <f>IF('M&amp;R Stations'!#REF!="","",F49+G48)</f>
        <v>#REF!</v>
      </c>
      <c r="H49" s="58" t="e">
        <f>IF('M&amp;R Stations'!#REF!="","",F49+H48)</f>
        <v>#REF!</v>
      </c>
      <c r="I49" s="58"/>
      <c r="J49" s="57" t="e">
        <f t="shared" si="15"/>
        <v>#REF!</v>
      </c>
      <c r="K49" s="58" t="e">
        <f t="shared" si="3"/>
        <v>#REF!</v>
      </c>
      <c r="L49" s="58" t="e">
        <f t="shared" si="4"/>
        <v>#REF!</v>
      </c>
      <c r="M49" s="58"/>
      <c r="N49" s="73" t="e">
        <f>IF(F49="","",ROUND((('M&amp;R Stations'!#REF!+'M&amp;R Stations'!#REF!)-('NG Utilization'!C49+'NG Utilization'!D49+'NG Utilization'!E49)-'LNG Facilities'!#REF!)*ROUND(((('M&amp;R Stations'!#REF!*'M&amp;R Stations'!L42)+('M&amp;R Stations'!#REF!*'M&amp;R Stations'!F42))/1000)/('M&amp;R Stations'!#REF!+'M&amp;R Stations'!#REF!),3),0)+ROUND((('LNG Facilities'!F42*'LNG Facilities'!K42+'LNG Facilities'!G42*'LNG Facilities'!L42+'LNG Facilities'!H42*'LNG Facilities'!M42+'LNG Facilities'!R42*'LNG Facilities'!W42+'LNG Facilities'!S42*'LNG Facilities'!X42+'LNG Facilities'!T42*'LNG Facilities'!#REF!)/1000),0))</f>
        <v>#REF!</v>
      </c>
      <c r="O49" s="58" t="e">
        <f t="shared" si="5"/>
        <v>#REF!</v>
      </c>
      <c r="P49" s="58" t="e">
        <f t="shared" si="6"/>
        <v>#REF!</v>
      </c>
      <c r="Q49" s="58"/>
      <c r="R49" s="57" t="e">
        <f t="shared" si="16"/>
        <v>#REF!</v>
      </c>
      <c r="S49" s="58" t="e">
        <f t="shared" si="7"/>
        <v>#REF!</v>
      </c>
      <c r="T49" s="58" t="e">
        <f t="shared" si="8"/>
        <v>#REF!</v>
      </c>
      <c r="U49" s="59"/>
      <c r="V49" s="59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</row>
    <row r="50" spans="1:46" x14ac:dyDescent="0.25">
      <c r="A50" s="31">
        <f>'M&amp;R Stations'!A43</f>
        <v>39002</v>
      </c>
      <c r="B50" s="89"/>
      <c r="C50" s="227">
        <v>80833</v>
      </c>
      <c r="D50" s="224">
        <v>104170</v>
      </c>
      <c r="E50" s="185"/>
      <c r="F50" s="72" t="e">
        <f>IF('M&amp;R Stations'!#REF!="","",('M&amp;R Stations'!#REF!+'M&amp;R Stations'!#REF!)+('LNG Facilities'!F43+'LNG Facilities'!G43+'LNG Facilities'!H43+'LNG Facilities'!R43+'LNG Facilities'!S43+'LNG Facilities'!T43)-'LNG Facilities'!#REF!-('NG Utilization'!C50+'NG Utilization'!D50+'NG Utilization'!E50))</f>
        <v>#REF!</v>
      </c>
      <c r="G50" s="58" t="e">
        <f>IF('M&amp;R Stations'!#REF!="","",F50+G49)</f>
        <v>#REF!</v>
      </c>
      <c r="H50" s="58" t="e">
        <f>IF('M&amp;R Stations'!#REF!="","",F50+H49)</f>
        <v>#REF!</v>
      </c>
      <c r="I50" s="58"/>
      <c r="J50" s="57" t="e">
        <f t="shared" si="15"/>
        <v>#REF!</v>
      </c>
      <c r="K50" s="58" t="e">
        <f t="shared" si="3"/>
        <v>#REF!</v>
      </c>
      <c r="L50" s="58" t="e">
        <f t="shared" si="4"/>
        <v>#REF!</v>
      </c>
      <c r="M50" s="58"/>
      <c r="N50" s="73" t="e">
        <f>IF(F50="","",ROUND((('M&amp;R Stations'!#REF!+'M&amp;R Stations'!#REF!)-('NG Utilization'!C50+'NG Utilization'!D50+'NG Utilization'!E50)-'LNG Facilities'!#REF!)*ROUND(((('M&amp;R Stations'!#REF!*'M&amp;R Stations'!L43)+('M&amp;R Stations'!#REF!*'M&amp;R Stations'!F43))/1000)/('M&amp;R Stations'!#REF!+'M&amp;R Stations'!#REF!),3),0)+ROUND((('LNG Facilities'!F43*'LNG Facilities'!K43+'LNG Facilities'!G43*'LNG Facilities'!L43+'LNG Facilities'!H43*'LNG Facilities'!M43+'LNG Facilities'!R43*'LNG Facilities'!W43+'LNG Facilities'!S43*'LNG Facilities'!X43+'LNG Facilities'!T43*'LNG Facilities'!#REF!)/1000),0))</f>
        <v>#REF!</v>
      </c>
      <c r="O50" s="58" t="e">
        <f t="shared" si="5"/>
        <v>#REF!</v>
      </c>
      <c r="P50" s="58" t="e">
        <f t="shared" si="6"/>
        <v>#REF!</v>
      </c>
      <c r="Q50" s="58"/>
      <c r="R50" s="57" t="e">
        <f t="shared" si="16"/>
        <v>#REF!</v>
      </c>
      <c r="S50" s="58" t="e">
        <f t="shared" si="7"/>
        <v>#REF!</v>
      </c>
      <c r="T50" s="58" t="e">
        <f t="shared" si="8"/>
        <v>#REF!</v>
      </c>
      <c r="U50" s="59"/>
      <c r="V50" s="59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</row>
    <row r="51" spans="1:46" x14ac:dyDescent="0.25">
      <c r="A51" s="31">
        <f>'M&amp;R Stations'!A44</f>
        <v>39003</v>
      </c>
      <c r="B51" s="89"/>
      <c r="C51" s="227">
        <v>75203</v>
      </c>
      <c r="D51" s="224">
        <v>140761</v>
      </c>
      <c r="E51" s="185"/>
      <c r="F51" s="72" t="e">
        <f>IF('M&amp;R Stations'!#REF!="","",('M&amp;R Stations'!#REF!+'M&amp;R Stations'!#REF!)+('LNG Facilities'!F44+'LNG Facilities'!G44+'LNG Facilities'!H44+'LNG Facilities'!R44+'LNG Facilities'!S44+'LNG Facilities'!T44)-'LNG Facilities'!#REF!-('NG Utilization'!C51+'NG Utilization'!D51+'NG Utilization'!E51))</f>
        <v>#REF!</v>
      </c>
      <c r="G51" s="58" t="e">
        <f>IF('M&amp;R Stations'!#REF!="","",F51+G50)</f>
        <v>#REF!</v>
      </c>
      <c r="H51" s="58" t="e">
        <f>IF('M&amp;R Stations'!#REF!="","",F51+H50)</f>
        <v>#REF!</v>
      </c>
      <c r="I51" s="58"/>
      <c r="J51" s="57" t="e">
        <f t="shared" si="15"/>
        <v>#REF!</v>
      </c>
      <c r="K51" s="58" t="e">
        <f t="shared" si="3"/>
        <v>#REF!</v>
      </c>
      <c r="L51" s="58" t="e">
        <f t="shared" si="4"/>
        <v>#REF!</v>
      </c>
      <c r="M51" s="58"/>
      <c r="N51" s="73" t="e">
        <f>IF(F51="","",ROUND((('M&amp;R Stations'!#REF!+'M&amp;R Stations'!#REF!)-('NG Utilization'!C51+'NG Utilization'!D51+'NG Utilization'!E51)-'LNG Facilities'!#REF!)*ROUND(((('M&amp;R Stations'!#REF!*'M&amp;R Stations'!L44)+('M&amp;R Stations'!#REF!*'M&amp;R Stations'!F44))/1000)/('M&amp;R Stations'!#REF!+'M&amp;R Stations'!#REF!),3),0)+ROUND((('LNG Facilities'!F44*'LNG Facilities'!K44+'LNG Facilities'!G44*'LNG Facilities'!L44+'LNG Facilities'!H44*'LNG Facilities'!M44+'LNG Facilities'!R44*'LNG Facilities'!W44+'LNG Facilities'!S44*'LNG Facilities'!X44+'LNG Facilities'!T44*'LNG Facilities'!#REF!)/1000),0))</f>
        <v>#REF!</v>
      </c>
      <c r="O51" s="58" t="e">
        <f t="shared" si="5"/>
        <v>#REF!</v>
      </c>
      <c r="P51" s="58" t="e">
        <f t="shared" si="6"/>
        <v>#REF!</v>
      </c>
      <c r="Q51" s="58"/>
      <c r="R51" s="57" t="e">
        <f t="shared" si="16"/>
        <v>#REF!</v>
      </c>
      <c r="S51" s="58" t="e">
        <f t="shared" si="7"/>
        <v>#REF!</v>
      </c>
      <c r="T51" s="58" t="e">
        <f t="shared" si="8"/>
        <v>#REF!</v>
      </c>
      <c r="U51" s="59"/>
      <c r="V51" s="59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</row>
    <row r="52" spans="1:46" x14ac:dyDescent="0.25">
      <c r="A52" s="31">
        <f>'M&amp;R Stations'!A45</f>
        <v>39004</v>
      </c>
      <c r="B52" s="89"/>
      <c r="C52" s="227">
        <v>70373</v>
      </c>
      <c r="D52" s="224">
        <v>126124</v>
      </c>
      <c r="E52" s="185"/>
      <c r="F52" s="72" t="e">
        <f>IF('M&amp;R Stations'!#REF!="","",('M&amp;R Stations'!#REF!+'M&amp;R Stations'!#REF!)+('LNG Facilities'!F45+'LNG Facilities'!G45+'LNG Facilities'!H45+'LNG Facilities'!R45+'LNG Facilities'!S45+'LNG Facilities'!T45)-'LNG Facilities'!#REF!-('NG Utilization'!C52+'NG Utilization'!D52+'NG Utilization'!E52))</f>
        <v>#REF!</v>
      </c>
      <c r="G52" s="58" t="e">
        <f>IF('M&amp;R Stations'!#REF!="","",F52+G51)</f>
        <v>#REF!</v>
      </c>
      <c r="H52" s="58" t="e">
        <f>IF('M&amp;R Stations'!#REF!="","",F52+H51)</f>
        <v>#REF!</v>
      </c>
      <c r="I52" s="58"/>
      <c r="J52" s="57" t="e">
        <f t="shared" si="15"/>
        <v>#REF!</v>
      </c>
      <c r="K52" s="58" t="e">
        <f t="shared" si="3"/>
        <v>#REF!</v>
      </c>
      <c r="L52" s="58" t="e">
        <f t="shared" si="4"/>
        <v>#REF!</v>
      </c>
      <c r="M52" s="58"/>
      <c r="N52" s="73" t="e">
        <f>IF(F52="","",ROUND((('M&amp;R Stations'!#REF!+'M&amp;R Stations'!#REF!)-('NG Utilization'!C52+'NG Utilization'!D52+'NG Utilization'!E52)-'LNG Facilities'!#REF!)*ROUND(((('M&amp;R Stations'!#REF!*'M&amp;R Stations'!L45)+('M&amp;R Stations'!#REF!*'M&amp;R Stations'!F45))/1000)/('M&amp;R Stations'!#REF!+'M&amp;R Stations'!#REF!),3),0)+ROUND((('LNG Facilities'!F45*'LNG Facilities'!K45+'LNG Facilities'!G45*'LNG Facilities'!L45+'LNG Facilities'!H45*'LNG Facilities'!M45+'LNG Facilities'!R45*'LNG Facilities'!W45+'LNG Facilities'!S45*'LNG Facilities'!X45+'LNG Facilities'!T45*'LNG Facilities'!#REF!)/1000),0))</f>
        <v>#REF!</v>
      </c>
      <c r="O52" s="58" t="e">
        <f t="shared" si="5"/>
        <v>#REF!</v>
      </c>
      <c r="P52" s="58" t="e">
        <f t="shared" si="6"/>
        <v>#REF!</v>
      </c>
      <c r="Q52" s="58"/>
      <c r="R52" s="57" t="e">
        <f t="shared" si="16"/>
        <v>#REF!</v>
      </c>
      <c r="S52" s="58" t="e">
        <f t="shared" si="7"/>
        <v>#REF!</v>
      </c>
      <c r="T52" s="58" t="e">
        <f t="shared" si="8"/>
        <v>#REF!</v>
      </c>
      <c r="U52" s="59"/>
      <c r="V52" s="59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</row>
    <row r="53" spans="1:46" x14ac:dyDescent="0.25">
      <c r="A53" s="31">
        <f>'M&amp;R Stations'!A46</f>
        <v>39005</v>
      </c>
      <c r="B53" s="89"/>
      <c r="C53" s="227">
        <v>69494</v>
      </c>
      <c r="D53" s="224">
        <v>140761</v>
      </c>
      <c r="E53" s="185"/>
      <c r="F53" s="72" t="e">
        <f>IF('M&amp;R Stations'!#REF!="","",('M&amp;R Stations'!#REF!+'M&amp;R Stations'!#REF!)+('LNG Facilities'!F46+'LNG Facilities'!G46+'LNG Facilities'!H46+'LNG Facilities'!R46+'LNG Facilities'!S46+'LNG Facilities'!T46)-'LNG Facilities'!#REF!-('NG Utilization'!C53+'NG Utilization'!D53+'NG Utilization'!E53))</f>
        <v>#REF!</v>
      </c>
      <c r="G53" s="58" t="e">
        <f>IF('M&amp;R Stations'!#REF!="","",F53+G52)</f>
        <v>#REF!</v>
      </c>
      <c r="H53" s="58" t="e">
        <f>IF('M&amp;R Stations'!#REF!="","",F53+H52)</f>
        <v>#REF!</v>
      </c>
      <c r="I53" s="58"/>
      <c r="J53" s="57" t="e">
        <f t="shared" si="15"/>
        <v>#REF!</v>
      </c>
      <c r="K53" s="58" t="e">
        <f t="shared" si="3"/>
        <v>#REF!</v>
      </c>
      <c r="L53" s="58" t="e">
        <f t="shared" si="4"/>
        <v>#REF!</v>
      </c>
      <c r="M53" s="58"/>
      <c r="N53" s="73" t="e">
        <f>IF(F53="","",ROUND((('M&amp;R Stations'!#REF!+'M&amp;R Stations'!#REF!)-('NG Utilization'!C53+'NG Utilization'!D53+'NG Utilization'!E53)-'LNG Facilities'!#REF!)*ROUND(((('M&amp;R Stations'!#REF!*'M&amp;R Stations'!L46)+('M&amp;R Stations'!#REF!*'M&amp;R Stations'!F46))/1000)/('M&amp;R Stations'!#REF!+'M&amp;R Stations'!#REF!),3),0)+ROUND((('LNG Facilities'!F46*'LNG Facilities'!K46+'LNG Facilities'!G46*'LNG Facilities'!L46+'LNG Facilities'!H46*'LNG Facilities'!M46+'LNG Facilities'!R46*'LNG Facilities'!W46+'LNG Facilities'!S46*'LNG Facilities'!X46+'LNG Facilities'!T46*'LNG Facilities'!#REF!)/1000),0))</f>
        <v>#REF!</v>
      </c>
      <c r="O53" s="58" t="e">
        <f t="shared" si="5"/>
        <v>#REF!</v>
      </c>
      <c r="P53" s="58" t="e">
        <f t="shared" si="6"/>
        <v>#REF!</v>
      </c>
      <c r="Q53" s="58"/>
      <c r="R53" s="57" t="e">
        <f t="shared" si="16"/>
        <v>#REF!</v>
      </c>
      <c r="S53" s="58" t="e">
        <f t="shared" si="7"/>
        <v>#REF!</v>
      </c>
      <c r="T53" s="58" t="e">
        <f t="shared" si="8"/>
        <v>#REF!</v>
      </c>
      <c r="U53" s="59"/>
      <c r="V53" s="59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</row>
    <row r="54" spans="1:46" x14ac:dyDescent="0.25">
      <c r="A54" s="31">
        <f>'M&amp;R Stations'!A47</f>
        <v>39006</v>
      </c>
      <c r="B54" s="89"/>
      <c r="C54" s="227">
        <v>84845</v>
      </c>
      <c r="D54" s="224">
        <v>82215</v>
      </c>
      <c r="E54" s="185"/>
      <c r="F54" s="72" t="e">
        <f>IF('M&amp;R Stations'!#REF!="","",('M&amp;R Stations'!#REF!+'M&amp;R Stations'!#REF!)+('LNG Facilities'!F47+'LNG Facilities'!G47+'LNG Facilities'!H47+'LNG Facilities'!R47+'LNG Facilities'!S47+'LNG Facilities'!T47)-'LNG Facilities'!#REF!-('NG Utilization'!C54+'NG Utilization'!D54+'NG Utilization'!E54))</f>
        <v>#REF!</v>
      </c>
      <c r="G54" s="58" t="e">
        <f>IF('M&amp;R Stations'!#REF!="","",F54+G53)</f>
        <v>#REF!</v>
      </c>
      <c r="H54" s="58" t="e">
        <f>IF('M&amp;R Stations'!#REF!="","",F54+H53)</f>
        <v>#REF!</v>
      </c>
      <c r="I54" s="58"/>
      <c r="J54" s="57" t="e">
        <f t="shared" si="15"/>
        <v>#REF!</v>
      </c>
      <c r="K54" s="58" t="e">
        <f t="shared" si="3"/>
        <v>#REF!</v>
      </c>
      <c r="L54" s="58" t="e">
        <f t="shared" si="4"/>
        <v>#REF!</v>
      </c>
      <c r="M54" s="58"/>
      <c r="N54" s="73" t="e">
        <f>IF(F54="","",ROUND((('M&amp;R Stations'!#REF!+'M&amp;R Stations'!#REF!)-('NG Utilization'!C54+'NG Utilization'!D54+'NG Utilization'!E54)-'LNG Facilities'!#REF!)*ROUND(((('M&amp;R Stations'!#REF!*'M&amp;R Stations'!L47)+('M&amp;R Stations'!#REF!*'M&amp;R Stations'!F47))/1000)/('M&amp;R Stations'!#REF!+'M&amp;R Stations'!#REF!),3),0)+ROUND((('LNG Facilities'!F47*'LNG Facilities'!K47+'LNG Facilities'!G47*'LNG Facilities'!L47+'LNG Facilities'!H47*'LNG Facilities'!M47+'LNG Facilities'!R47*'LNG Facilities'!W47+'LNG Facilities'!S47*'LNG Facilities'!X47+'LNG Facilities'!T47*'LNG Facilities'!#REF!)/1000),0))</f>
        <v>#REF!</v>
      </c>
      <c r="O54" s="58" t="e">
        <f t="shared" si="5"/>
        <v>#REF!</v>
      </c>
      <c r="P54" s="58" t="e">
        <f t="shared" si="6"/>
        <v>#REF!</v>
      </c>
      <c r="Q54" s="58"/>
      <c r="R54" s="57" t="e">
        <f t="shared" si="16"/>
        <v>#REF!</v>
      </c>
      <c r="S54" s="58" t="e">
        <f t="shared" si="7"/>
        <v>#REF!</v>
      </c>
      <c r="T54" s="58" t="e">
        <f t="shared" si="8"/>
        <v>#REF!</v>
      </c>
      <c r="U54" s="59"/>
      <c r="V54" s="59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</row>
    <row r="55" spans="1:46" x14ac:dyDescent="0.25">
      <c r="A55" s="31">
        <f>'M&amp;R Stations'!A48</f>
        <v>39007</v>
      </c>
      <c r="B55" s="89"/>
      <c r="C55" s="227">
        <v>84135</v>
      </c>
      <c r="D55" s="224">
        <v>67579</v>
      </c>
      <c r="E55" s="185"/>
      <c r="F55" s="72" t="e">
        <f>IF('M&amp;R Stations'!#REF!="","",('M&amp;R Stations'!#REF!+'M&amp;R Stations'!#REF!)+('LNG Facilities'!F48+'LNG Facilities'!G48+'LNG Facilities'!H48+'LNG Facilities'!R48+'LNG Facilities'!S48+'LNG Facilities'!T48)-'LNG Facilities'!#REF!-('NG Utilization'!C55+'NG Utilization'!D55+'NG Utilization'!E55))</f>
        <v>#REF!</v>
      </c>
      <c r="G55" s="58" t="e">
        <f>IF('M&amp;R Stations'!#REF!="","",F55+G54)</f>
        <v>#REF!</v>
      </c>
      <c r="H55" s="58" t="e">
        <f>IF('M&amp;R Stations'!#REF!="","",F55+H54)</f>
        <v>#REF!</v>
      </c>
      <c r="I55" s="58"/>
      <c r="J55" s="57" t="e">
        <f t="shared" si="15"/>
        <v>#REF!</v>
      </c>
      <c r="K55" s="58" t="e">
        <f t="shared" si="3"/>
        <v>#REF!</v>
      </c>
      <c r="L55" s="58" t="e">
        <f t="shared" si="4"/>
        <v>#REF!</v>
      </c>
      <c r="M55" s="58"/>
      <c r="N55" s="73" t="e">
        <f>IF(F55="","",ROUND((('M&amp;R Stations'!#REF!+'M&amp;R Stations'!#REF!)-('NG Utilization'!C55+'NG Utilization'!D55+'NG Utilization'!E55)-'LNG Facilities'!#REF!)*ROUND(((('M&amp;R Stations'!#REF!*'M&amp;R Stations'!L48)+('M&amp;R Stations'!#REF!*'M&amp;R Stations'!F48))/1000)/('M&amp;R Stations'!#REF!+'M&amp;R Stations'!#REF!),3),0)+ROUND((('LNG Facilities'!F48*'LNG Facilities'!K48+'LNG Facilities'!G48*'LNG Facilities'!L48+'LNG Facilities'!H48*'LNG Facilities'!M48+'LNG Facilities'!R48*'LNG Facilities'!W48+'LNG Facilities'!S48*'LNG Facilities'!X48+'LNG Facilities'!T48*'LNG Facilities'!#REF!)/1000),0))</f>
        <v>#REF!</v>
      </c>
      <c r="O55" s="58" t="e">
        <f t="shared" si="5"/>
        <v>#REF!</v>
      </c>
      <c r="P55" s="58" t="e">
        <f t="shared" si="6"/>
        <v>#REF!</v>
      </c>
      <c r="Q55" s="58"/>
      <c r="R55" s="57" t="e">
        <f t="shared" si="16"/>
        <v>#REF!</v>
      </c>
      <c r="S55" s="58" t="e">
        <f t="shared" si="7"/>
        <v>#REF!</v>
      </c>
      <c r="T55" s="58" t="e">
        <f t="shared" si="8"/>
        <v>#REF!</v>
      </c>
      <c r="U55" s="59"/>
      <c r="V55" s="59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</row>
    <row r="56" spans="1:46" x14ac:dyDescent="0.25">
      <c r="A56" s="31">
        <f>'M&amp;R Stations'!A49</f>
        <v>39008</v>
      </c>
      <c r="B56" s="89"/>
      <c r="C56" s="227">
        <v>78183</v>
      </c>
      <c r="D56" s="224">
        <v>67579</v>
      </c>
      <c r="E56" s="185"/>
      <c r="F56" s="72" t="e">
        <f>IF('M&amp;R Stations'!#REF!="","",('M&amp;R Stations'!#REF!+'M&amp;R Stations'!#REF!)+('LNG Facilities'!F49+'LNG Facilities'!G49+'LNG Facilities'!H49+'LNG Facilities'!R49+'LNG Facilities'!S49+'LNG Facilities'!T49)-'LNG Facilities'!#REF!-('NG Utilization'!C56+'NG Utilization'!D56+'NG Utilization'!E56))</f>
        <v>#REF!</v>
      </c>
      <c r="G56" s="58" t="e">
        <f>IF('M&amp;R Stations'!#REF!="","",F56+G55)</f>
        <v>#REF!</v>
      </c>
      <c r="H56" s="58" t="e">
        <f>IF('M&amp;R Stations'!#REF!="","",F56+H55)</f>
        <v>#REF!</v>
      </c>
      <c r="I56" s="58"/>
      <c r="J56" s="57" t="e">
        <f t="shared" si="15"/>
        <v>#REF!</v>
      </c>
      <c r="K56" s="58" t="e">
        <f t="shared" si="3"/>
        <v>#REF!</v>
      </c>
      <c r="L56" s="58" t="e">
        <f t="shared" si="4"/>
        <v>#REF!</v>
      </c>
      <c r="M56" s="58"/>
      <c r="N56" s="73" t="e">
        <f>IF(F56="","",ROUND((('M&amp;R Stations'!#REF!+'M&amp;R Stations'!#REF!)-('NG Utilization'!C56+'NG Utilization'!D56+'NG Utilization'!E56)-'LNG Facilities'!#REF!)*ROUND(((('M&amp;R Stations'!#REF!*'M&amp;R Stations'!L49)+('M&amp;R Stations'!#REF!*'M&amp;R Stations'!F49))/1000)/('M&amp;R Stations'!#REF!+'M&amp;R Stations'!#REF!),3),0)+ROUND((('LNG Facilities'!F49*'LNG Facilities'!K49+'LNG Facilities'!G49*'LNG Facilities'!L49+'LNG Facilities'!H49*'LNG Facilities'!M49+'LNG Facilities'!R49*'LNG Facilities'!W49+'LNG Facilities'!S49*'LNG Facilities'!X49+'LNG Facilities'!T49*'LNG Facilities'!#REF!)/1000),0))</f>
        <v>#REF!</v>
      </c>
      <c r="O56" s="58" t="e">
        <f t="shared" si="5"/>
        <v>#REF!</v>
      </c>
      <c r="P56" s="58" t="e">
        <f t="shared" si="6"/>
        <v>#REF!</v>
      </c>
      <c r="Q56" s="58"/>
      <c r="R56" s="57" t="e">
        <f t="shared" si="16"/>
        <v>#REF!</v>
      </c>
      <c r="S56" s="58" t="e">
        <f t="shared" si="7"/>
        <v>#REF!</v>
      </c>
      <c r="T56" s="58" t="e">
        <f t="shared" si="8"/>
        <v>#REF!</v>
      </c>
      <c r="U56" s="59"/>
      <c r="V56" s="59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</row>
    <row r="57" spans="1:46" x14ac:dyDescent="0.25">
      <c r="A57" s="31">
        <f>'M&amp;R Stations'!A50</f>
        <v>39009</v>
      </c>
      <c r="B57" s="89"/>
      <c r="C57" s="227">
        <v>76914</v>
      </c>
      <c r="D57" s="224">
        <v>82215</v>
      </c>
      <c r="E57" s="185"/>
      <c r="F57" s="72" t="e">
        <f>IF('M&amp;R Stations'!#REF!="","",('M&amp;R Stations'!#REF!+'M&amp;R Stations'!#REF!)+('LNG Facilities'!F50+'LNG Facilities'!G50+'LNG Facilities'!H50+'LNG Facilities'!R50+'LNG Facilities'!S50+'LNG Facilities'!T50)-'LNG Facilities'!#REF!-('NG Utilization'!C57+'NG Utilization'!D57+'NG Utilization'!E57))</f>
        <v>#REF!</v>
      </c>
      <c r="G57" s="58" t="e">
        <f>IF('M&amp;R Stations'!#REF!="","",F57+G56)</f>
        <v>#REF!</v>
      </c>
      <c r="H57" s="58" t="e">
        <f>IF('M&amp;R Stations'!#REF!="","",F57+H56)</f>
        <v>#REF!</v>
      </c>
      <c r="I57" s="58"/>
      <c r="J57" s="57" t="e">
        <f t="shared" si="15"/>
        <v>#REF!</v>
      </c>
      <c r="K57" s="58" t="e">
        <f t="shared" si="3"/>
        <v>#REF!</v>
      </c>
      <c r="L57" s="58" t="e">
        <f t="shared" si="4"/>
        <v>#REF!</v>
      </c>
      <c r="M57" s="58"/>
      <c r="N57" s="73" t="e">
        <f>IF(F57="","",ROUND((('M&amp;R Stations'!#REF!+'M&amp;R Stations'!#REF!)-('NG Utilization'!C57+'NG Utilization'!D57+'NG Utilization'!E57)-'LNG Facilities'!#REF!)*ROUND(((('M&amp;R Stations'!#REF!*'M&amp;R Stations'!L50)+('M&amp;R Stations'!#REF!*'M&amp;R Stations'!F50))/1000)/('M&amp;R Stations'!#REF!+'M&amp;R Stations'!#REF!),3),0)+ROUND((('LNG Facilities'!F50*'LNG Facilities'!K50+'LNG Facilities'!G50*'LNG Facilities'!L50+'LNG Facilities'!H50*'LNG Facilities'!M50+'LNG Facilities'!R50*'LNG Facilities'!W50+'LNG Facilities'!S50*'LNG Facilities'!X50+'LNG Facilities'!T50*'LNG Facilities'!#REF!)/1000),0))</f>
        <v>#REF!</v>
      </c>
      <c r="O57" s="58" t="e">
        <f t="shared" si="5"/>
        <v>#REF!</v>
      </c>
      <c r="P57" s="58" t="e">
        <f t="shared" si="6"/>
        <v>#REF!</v>
      </c>
      <c r="Q57" s="58"/>
      <c r="R57" s="57" t="e">
        <f t="shared" si="16"/>
        <v>#REF!</v>
      </c>
      <c r="S57" s="58" t="e">
        <f t="shared" si="7"/>
        <v>#REF!</v>
      </c>
      <c r="T57" s="58" t="e">
        <f t="shared" si="8"/>
        <v>#REF!</v>
      </c>
      <c r="U57" s="59"/>
      <c r="V57" s="59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</row>
    <row r="58" spans="1:46" x14ac:dyDescent="0.25">
      <c r="A58" s="31">
        <f>'M&amp;R Stations'!A51</f>
        <v>39010</v>
      </c>
      <c r="B58" s="89"/>
      <c r="C58" s="227">
        <v>90588</v>
      </c>
      <c r="D58" s="224">
        <v>118806.1</v>
      </c>
      <c r="E58" s="185"/>
      <c r="F58" s="72" t="e">
        <f>IF('M&amp;R Stations'!#REF!="","",('M&amp;R Stations'!#REF!+'M&amp;R Stations'!#REF!)+('LNG Facilities'!F51+'LNG Facilities'!G51+'LNG Facilities'!H51+'LNG Facilities'!R51+'LNG Facilities'!S51+'LNG Facilities'!T51)-'LNG Facilities'!#REF!-('NG Utilization'!C58+'NG Utilization'!D58+'NG Utilization'!E58))</f>
        <v>#REF!</v>
      </c>
      <c r="G58" s="58" t="e">
        <f>IF('M&amp;R Stations'!#REF!="","",F58+G57)</f>
        <v>#REF!</v>
      </c>
      <c r="H58" s="58" t="e">
        <f>IF('M&amp;R Stations'!#REF!="","",F58+H57)</f>
        <v>#REF!</v>
      </c>
      <c r="I58" s="58"/>
      <c r="J58" s="57" t="e">
        <f t="shared" si="15"/>
        <v>#REF!</v>
      </c>
      <c r="K58" s="58" t="e">
        <f t="shared" si="3"/>
        <v>#REF!</v>
      </c>
      <c r="L58" s="58" t="e">
        <f t="shared" si="4"/>
        <v>#REF!</v>
      </c>
      <c r="M58" s="58"/>
      <c r="N58" s="73" t="e">
        <f>IF(F58="","",ROUND((('M&amp;R Stations'!#REF!+'M&amp;R Stations'!#REF!)-('NG Utilization'!C58+'NG Utilization'!D58+'NG Utilization'!E58)-'LNG Facilities'!#REF!)*ROUND(((('M&amp;R Stations'!#REF!*'M&amp;R Stations'!L51)+('M&amp;R Stations'!#REF!*'M&amp;R Stations'!F51))/1000)/('M&amp;R Stations'!#REF!+'M&amp;R Stations'!#REF!),3),0)+ROUND((('LNG Facilities'!F51*'LNG Facilities'!K51+'LNG Facilities'!G51*'LNG Facilities'!L51+'LNG Facilities'!H51*'LNG Facilities'!M51+'LNG Facilities'!R51*'LNG Facilities'!W51+'LNG Facilities'!S51*'LNG Facilities'!X51+'LNG Facilities'!T51*'LNG Facilities'!#REF!)/1000),0))</f>
        <v>#REF!</v>
      </c>
      <c r="O58" s="58" t="e">
        <f t="shared" si="5"/>
        <v>#REF!</v>
      </c>
      <c r="P58" s="58" t="e">
        <f t="shared" si="6"/>
        <v>#REF!</v>
      </c>
      <c r="Q58" s="58"/>
      <c r="R58" s="57" t="e">
        <f t="shared" si="16"/>
        <v>#REF!</v>
      </c>
      <c r="S58" s="58" t="e">
        <f t="shared" si="7"/>
        <v>#REF!</v>
      </c>
      <c r="T58" s="58" t="e">
        <f t="shared" si="8"/>
        <v>#REF!</v>
      </c>
      <c r="U58" s="59"/>
      <c r="V58" s="59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</row>
    <row r="59" spans="1:46" x14ac:dyDescent="0.25">
      <c r="A59" s="31">
        <f>'M&amp;R Stations'!A52</f>
        <v>39011</v>
      </c>
      <c r="B59" s="89"/>
      <c r="C59" s="227">
        <v>106871</v>
      </c>
      <c r="D59" s="224">
        <v>140760.79999999999</v>
      </c>
      <c r="E59" s="185"/>
      <c r="F59" s="72" t="e">
        <f>IF('M&amp;R Stations'!#REF!="","",('M&amp;R Stations'!#REF!+'M&amp;R Stations'!#REF!)+('LNG Facilities'!F52+'LNG Facilities'!G52+'LNG Facilities'!H52+'LNG Facilities'!R52+'LNG Facilities'!S52+'LNG Facilities'!T52)-'LNG Facilities'!#REF!-('NG Utilization'!C59+'NG Utilization'!D59+'NG Utilization'!E59))</f>
        <v>#REF!</v>
      </c>
      <c r="G59" s="58" t="e">
        <f>IF('M&amp;R Stations'!#REF!="","",F59+G58)</f>
        <v>#REF!</v>
      </c>
      <c r="H59" s="58" t="e">
        <f>IF('M&amp;R Stations'!#REF!="","",F59+H58)</f>
        <v>#REF!</v>
      </c>
      <c r="I59" s="58"/>
      <c r="J59" s="57" t="e">
        <f t="shared" si="15"/>
        <v>#REF!</v>
      </c>
      <c r="K59" s="58" t="e">
        <f t="shared" si="3"/>
        <v>#REF!</v>
      </c>
      <c r="L59" s="58" t="e">
        <f t="shared" si="4"/>
        <v>#REF!</v>
      </c>
      <c r="M59" s="58"/>
      <c r="N59" s="73" t="e">
        <f>IF(F59="","",ROUND((('M&amp;R Stations'!#REF!+'M&amp;R Stations'!#REF!)-('NG Utilization'!C59+'NG Utilization'!D59+'NG Utilization'!E59)-'LNG Facilities'!#REF!)*ROUND(((('M&amp;R Stations'!#REF!*'M&amp;R Stations'!L52)+('M&amp;R Stations'!#REF!*'M&amp;R Stations'!F52))/1000)/('M&amp;R Stations'!#REF!+'M&amp;R Stations'!#REF!),3),0)+ROUND((('LNG Facilities'!F52*'LNG Facilities'!K52+'LNG Facilities'!G52*'LNG Facilities'!L52+'LNG Facilities'!H52*'LNG Facilities'!M52+'LNG Facilities'!R52*'LNG Facilities'!W52+'LNG Facilities'!S52*'LNG Facilities'!X52+'LNG Facilities'!T52*'LNG Facilities'!#REF!)/1000),0))</f>
        <v>#REF!</v>
      </c>
      <c r="O59" s="58" t="e">
        <f t="shared" si="5"/>
        <v>#REF!</v>
      </c>
      <c r="P59" s="58" t="e">
        <f t="shared" si="6"/>
        <v>#REF!</v>
      </c>
      <c r="Q59" s="58"/>
      <c r="R59" s="57" t="e">
        <f t="shared" si="16"/>
        <v>#REF!</v>
      </c>
      <c r="S59" s="58" t="e">
        <f t="shared" si="7"/>
        <v>#REF!</v>
      </c>
      <c r="T59" s="58" t="e">
        <f t="shared" si="8"/>
        <v>#REF!</v>
      </c>
      <c r="U59" s="59"/>
      <c r="V59" s="59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</row>
    <row r="60" spans="1:46" x14ac:dyDescent="0.25">
      <c r="A60" s="31">
        <f>'M&amp;R Stations'!A53</f>
        <v>39012</v>
      </c>
      <c r="B60" s="89"/>
      <c r="C60" s="227">
        <v>117108</v>
      </c>
      <c r="D60" s="224">
        <v>104169.7</v>
      </c>
      <c r="E60" s="185"/>
      <c r="F60" s="72" t="e">
        <f>IF('M&amp;R Stations'!#REF!="","",('M&amp;R Stations'!#REF!+'M&amp;R Stations'!#REF!)+('LNG Facilities'!F53+'LNG Facilities'!G53+'LNG Facilities'!H53+'LNG Facilities'!R53+'LNG Facilities'!S53+'LNG Facilities'!T53)-'LNG Facilities'!#REF!-('NG Utilization'!C60+'NG Utilization'!D60+'NG Utilization'!E60))</f>
        <v>#REF!</v>
      </c>
      <c r="G60" s="58" t="e">
        <f>IF('M&amp;R Stations'!#REF!="","",F60+G59)</f>
        <v>#REF!</v>
      </c>
      <c r="H60" s="58" t="e">
        <f>IF('M&amp;R Stations'!#REF!="","",F60+H59)</f>
        <v>#REF!</v>
      </c>
      <c r="I60" s="58"/>
      <c r="J60" s="57" t="e">
        <f t="shared" si="15"/>
        <v>#REF!</v>
      </c>
      <c r="K60" s="58" t="e">
        <f t="shared" si="3"/>
        <v>#REF!</v>
      </c>
      <c r="L60" s="58" t="e">
        <f t="shared" si="4"/>
        <v>#REF!</v>
      </c>
      <c r="M60" s="58"/>
      <c r="N60" s="73" t="e">
        <f>IF(F60="","",ROUND((('M&amp;R Stations'!#REF!+'M&amp;R Stations'!#REF!)-('NG Utilization'!C60+'NG Utilization'!D60+'NG Utilization'!E60)-'LNG Facilities'!#REF!)*ROUND(((('M&amp;R Stations'!#REF!*'M&amp;R Stations'!L53)+('M&amp;R Stations'!#REF!*'M&amp;R Stations'!F53))/1000)/('M&amp;R Stations'!#REF!+'M&amp;R Stations'!#REF!),3),0)+ROUND((('LNG Facilities'!F53*'LNG Facilities'!K53+'LNG Facilities'!G53*'LNG Facilities'!L53+'LNG Facilities'!H53*'LNG Facilities'!M53+'LNG Facilities'!R53*'LNG Facilities'!W53+'LNG Facilities'!S53*'LNG Facilities'!X53+'LNG Facilities'!T53*'LNG Facilities'!#REF!)/1000),0))</f>
        <v>#REF!</v>
      </c>
      <c r="O60" s="58" t="e">
        <f t="shared" si="5"/>
        <v>#REF!</v>
      </c>
      <c r="P60" s="58" t="e">
        <f t="shared" si="6"/>
        <v>#REF!</v>
      </c>
      <c r="Q60" s="58"/>
      <c r="R60" s="57" t="e">
        <f t="shared" si="16"/>
        <v>#REF!</v>
      </c>
      <c r="S60" s="58" t="e">
        <f t="shared" si="7"/>
        <v>#REF!</v>
      </c>
      <c r="T60" s="58" t="e">
        <f t="shared" si="8"/>
        <v>#REF!</v>
      </c>
      <c r="U60" s="59"/>
      <c r="V60" s="59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</row>
    <row r="61" spans="1:46" x14ac:dyDescent="0.25">
      <c r="A61" s="31">
        <f>'M&amp;R Stations'!A54</f>
        <v>39013</v>
      </c>
      <c r="B61" s="89"/>
      <c r="C61" s="227">
        <v>124616</v>
      </c>
      <c r="D61" s="224">
        <v>177351.9</v>
      </c>
      <c r="E61" s="185"/>
      <c r="F61" s="72" t="e">
        <f>IF('M&amp;R Stations'!#REF!="","",('M&amp;R Stations'!#REF!+'M&amp;R Stations'!#REF!)+('LNG Facilities'!F54+'LNG Facilities'!G54+'LNG Facilities'!H54+'LNG Facilities'!R54+'LNG Facilities'!S54+'LNG Facilities'!T54)-'LNG Facilities'!#REF!-('NG Utilization'!C61+'NG Utilization'!D61+'NG Utilization'!E61))</f>
        <v>#REF!</v>
      </c>
      <c r="G61" s="58" t="e">
        <f>IF('M&amp;R Stations'!#REF!="","",F61+G60)</f>
        <v>#REF!</v>
      </c>
      <c r="H61" s="58" t="e">
        <f>IF('M&amp;R Stations'!#REF!="","",F61+H60)</f>
        <v>#REF!</v>
      </c>
      <c r="I61" s="58"/>
      <c r="J61" s="57" t="e">
        <f t="shared" si="15"/>
        <v>#REF!</v>
      </c>
      <c r="K61" s="58" t="e">
        <f t="shared" si="3"/>
        <v>#REF!</v>
      </c>
      <c r="L61" s="58" t="e">
        <f t="shared" si="4"/>
        <v>#REF!</v>
      </c>
      <c r="M61" s="58"/>
      <c r="N61" s="73" t="e">
        <f>IF(F61="","",ROUND((('M&amp;R Stations'!#REF!+'M&amp;R Stations'!#REF!)-('NG Utilization'!C61+'NG Utilization'!D61+'NG Utilization'!E61)-'LNG Facilities'!#REF!)*ROUND(((('M&amp;R Stations'!#REF!*'M&amp;R Stations'!L54)+('M&amp;R Stations'!#REF!*'M&amp;R Stations'!F54))/1000)/('M&amp;R Stations'!#REF!+'M&amp;R Stations'!#REF!),3),0)+ROUND((('LNG Facilities'!F54*'LNG Facilities'!K54+'LNG Facilities'!G54*'LNG Facilities'!L54+'LNG Facilities'!H54*'LNG Facilities'!M54+'LNG Facilities'!R54*'LNG Facilities'!W54+'LNG Facilities'!S54*'LNG Facilities'!X54+'LNG Facilities'!T54*'LNG Facilities'!#REF!)/1000),0))</f>
        <v>#REF!</v>
      </c>
      <c r="O61" s="58" t="e">
        <f t="shared" si="5"/>
        <v>#REF!</v>
      </c>
      <c r="P61" s="58" t="e">
        <f t="shared" si="6"/>
        <v>#REF!</v>
      </c>
      <c r="Q61" s="58"/>
      <c r="R61" s="57" t="e">
        <f t="shared" si="16"/>
        <v>#REF!</v>
      </c>
      <c r="S61" s="58" t="e">
        <f t="shared" si="7"/>
        <v>#REF!</v>
      </c>
      <c r="T61" s="58" t="e">
        <f t="shared" si="8"/>
        <v>#REF!</v>
      </c>
      <c r="U61" s="59"/>
      <c r="V61" s="59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</row>
    <row r="62" spans="1:46" x14ac:dyDescent="0.25">
      <c r="A62" s="31">
        <f>'M&amp;R Stations'!A55</f>
        <v>39014</v>
      </c>
      <c r="B62" s="89"/>
      <c r="C62" s="227">
        <v>146678</v>
      </c>
      <c r="D62" s="224">
        <v>162715.5</v>
      </c>
      <c r="E62" s="185"/>
      <c r="F62" s="72" t="e">
        <f>IF('M&amp;R Stations'!#REF!="","",('M&amp;R Stations'!#REF!+'M&amp;R Stations'!#REF!)+('LNG Facilities'!F55+'LNG Facilities'!G55+'LNG Facilities'!H55+'LNG Facilities'!R55+'LNG Facilities'!S55+'LNG Facilities'!T55)-'LNG Facilities'!#REF!-('NG Utilization'!C62+'NG Utilization'!D62+'NG Utilization'!E62))</f>
        <v>#REF!</v>
      </c>
      <c r="G62" s="58" t="e">
        <f>IF('M&amp;R Stations'!#REF!="","",F62+G61)</f>
        <v>#REF!</v>
      </c>
      <c r="H62" s="58" t="e">
        <f>IF('M&amp;R Stations'!#REF!="","",F62+H61)</f>
        <v>#REF!</v>
      </c>
      <c r="I62" s="58"/>
      <c r="J62" s="57" t="e">
        <f t="shared" si="15"/>
        <v>#REF!</v>
      </c>
      <c r="K62" s="58" t="e">
        <f t="shared" si="3"/>
        <v>#REF!</v>
      </c>
      <c r="L62" s="58" t="e">
        <f t="shared" si="4"/>
        <v>#REF!</v>
      </c>
      <c r="M62" s="58"/>
      <c r="N62" s="73" t="e">
        <f>IF(F62="","",ROUND((('M&amp;R Stations'!#REF!+'M&amp;R Stations'!#REF!)-('NG Utilization'!C62+'NG Utilization'!D62+'NG Utilization'!E62)-'LNG Facilities'!#REF!)*ROUND(((('M&amp;R Stations'!#REF!*'M&amp;R Stations'!L55)+('M&amp;R Stations'!#REF!*'M&amp;R Stations'!F55))/1000)/('M&amp;R Stations'!#REF!+'M&amp;R Stations'!#REF!),3),0)+ROUND((('LNG Facilities'!F55*'LNG Facilities'!K55+'LNG Facilities'!G55*'LNG Facilities'!L55+'LNG Facilities'!H55*'LNG Facilities'!M55+'LNG Facilities'!R55*'LNG Facilities'!W55+'LNG Facilities'!S55*'LNG Facilities'!X55+'LNG Facilities'!T55*'LNG Facilities'!#REF!)/1000),0))</f>
        <v>#REF!</v>
      </c>
      <c r="O62" s="58" t="e">
        <f t="shared" si="5"/>
        <v>#REF!</v>
      </c>
      <c r="P62" s="58" t="e">
        <f t="shared" si="6"/>
        <v>#REF!</v>
      </c>
      <c r="Q62" s="58"/>
      <c r="R62" s="57" t="e">
        <f t="shared" si="16"/>
        <v>#REF!</v>
      </c>
      <c r="S62" s="58" t="e">
        <f t="shared" si="7"/>
        <v>#REF!</v>
      </c>
      <c r="T62" s="58" t="e">
        <f t="shared" si="8"/>
        <v>#REF!</v>
      </c>
      <c r="U62" s="59"/>
      <c r="V62" s="59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</row>
    <row r="63" spans="1:46" x14ac:dyDescent="0.25">
      <c r="A63" s="31">
        <f>'M&amp;R Stations'!A56</f>
        <v>39015</v>
      </c>
      <c r="B63" s="89"/>
      <c r="C63" s="227">
        <v>183523</v>
      </c>
      <c r="D63" s="224">
        <v>162715.5</v>
      </c>
      <c r="E63" s="185"/>
      <c r="F63" s="72" t="e">
        <f>IF('M&amp;R Stations'!#REF!="","",('M&amp;R Stations'!#REF!+'M&amp;R Stations'!#REF!)+('LNG Facilities'!F56+'LNG Facilities'!G56+'LNG Facilities'!H56+'LNG Facilities'!R56+'LNG Facilities'!S56+'LNG Facilities'!T56)-'LNG Facilities'!#REF!-('NG Utilization'!C63+'NG Utilization'!D63+'NG Utilization'!E63))</f>
        <v>#REF!</v>
      </c>
      <c r="G63" s="58" t="e">
        <f>IF('M&amp;R Stations'!#REF!="","",F63+G62)</f>
        <v>#REF!</v>
      </c>
      <c r="H63" s="58" t="e">
        <f>IF('M&amp;R Stations'!#REF!="","",F63+H62)</f>
        <v>#REF!</v>
      </c>
      <c r="I63" s="58"/>
      <c r="J63" s="57" t="e">
        <f t="shared" si="15"/>
        <v>#REF!</v>
      </c>
      <c r="K63" s="58" t="e">
        <f t="shared" si="3"/>
        <v>#REF!</v>
      </c>
      <c r="L63" s="58" t="e">
        <f t="shared" si="4"/>
        <v>#REF!</v>
      </c>
      <c r="M63" s="58"/>
      <c r="N63" s="73" t="e">
        <f>IF(F63="","",ROUND((('M&amp;R Stations'!#REF!+'M&amp;R Stations'!#REF!)-('NG Utilization'!C63+'NG Utilization'!D63+'NG Utilization'!E63)-'LNG Facilities'!#REF!)*ROUND(((('M&amp;R Stations'!#REF!*'M&amp;R Stations'!L56)+('M&amp;R Stations'!#REF!*'M&amp;R Stations'!F56))/1000)/('M&amp;R Stations'!#REF!+'M&amp;R Stations'!#REF!),3),0)+ROUND((('LNG Facilities'!F56*'LNG Facilities'!K56+'LNG Facilities'!G56*'LNG Facilities'!L56+'LNG Facilities'!H56*'LNG Facilities'!M56+'LNG Facilities'!R56*'LNG Facilities'!W56+'LNG Facilities'!S56*'LNG Facilities'!X56+'LNG Facilities'!T56*'LNG Facilities'!#REF!)/1000),0))</f>
        <v>#REF!</v>
      </c>
      <c r="O63" s="58" t="e">
        <f t="shared" si="5"/>
        <v>#REF!</v>
      </c>
      <c r="P63" s="58" t="e">
        <f t="shared" si="6"/>
        <v>#REF!</v>
      </c>
      <c r="Q63" s="58"/>
      <c r="R63" s="57" t="e">
        <f t="shared" si="16"/>
        <v>#REF!</v>
      </c>
      <c r="S63" s="58" t="e">
        <f t="shared" si="7"/>
        <v>#REF!</v>
      </c>
      <c r="T63" s="58" t="e">
        <f t="shared" si="8"/>
        <v>#REF!</v>
      </c>
      <c r="U63" s="59"/>
      <c r="V63" s="59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</row>
    <row r="64" spans="1:46" x14ac:dyDescent="0.25">
      <c r="A64" s="31">
        <f>'M&amp;R Stations'!A57</f>
        <v>39016</v>
      </c>
      <c r="B64" s="89"/>
      <c r="C64" s="227">
        <v>185897</v>
      </c>
      <c r="D64" s="224">
        <v>184670.2</v>
      </c>
      <c r="E64" s="185"/>
      <c r="F64" s="72" t="e">
        <f>IF('M&amp;R Stations'!#REF!="","",('M&amp;R Stations'!#REF!+'M&amp;R Stations'!#REF!)+('LNG Facilities'!F57+'LNG Facilities'!G57+'LNG Facilities'!H57+'LNG Facilities'!R57+'LNG Facilities'!S57+'LNG Facilities'!T57)-'LNG Facilities'!#REF!-('NG Utilization'!C64+'NG Utilization'!D64+'NG Utilization'!E64))</f>
        <v>#REF!</v>
      </c>
      <c r="G64" s="58" t="e">
        <f>IF('M&amp;R Stations'!#REF!="","",F64+G63)</f>
        <v>#REF!</v>
      </c>
      <c r="H64" s="58" t="e">
        <f>IF('M&amp;R Stations'!#REF!="","",F64+H63)</f>
        <v>#REF!</v>
      </c>
      <c r="I64" s="58"/>
      <c r="J64" s="57" t="e">
        <f t="shared" si="15"/>
        <v>#REF!</v>
      </c>
      <c r="K64" s="58" t="e">
        <f t="shared" si="3"/>
        <v>#REF!</v>
      </c>
      <c r="L64" s="58" t="e">
        <f t="shared" si="4"/>
        <v>#REF!</v>
      </c>
      <c r="M64" s="58"/>
      <c r="N64" s="73" t="e">
        <f>IF(F64="","",ROUND((('M&amp;R Stations'!#REF!+'M&amp;R Stations'!#REF!)-('NG Utilization'!C64+'NG Utilization'!D64+'NG Utilization'!E64)-'LNG Facilities'!#REF!)*ROUND(((('M&amp;R Stations'!#REF!*'M&amp;R Stations'!L57)+('M&amp;R Stations'!#REF!*'M&amp;R Stations'!F57))/1000)/('M&amp;R Stations'!#REF!+'M&amp;R Stations'!#REF!),3),0)+ROUND((('LNG Facilities'!F57*'LNG Facilities'!K57+'LNG Facilities'!G57*'LNG Facilities'!L57+'LNG Facilities'!H57*'LNG Facilities'!M57+'LNG Facilities'!R57*'LNG Facilities'!W57+'LNG Facilities'!S57*'LNG Facilities'!X57+'LNG Facilities'!T57*'LNG Facilities'!#REF!)/1000),0))</f>
        <v>#REF!</v>
      </c>
      <c r="O64" s="58" t="e">
        <f t="shared" si="5"/>
        <v>#REF!</v>
      </c>
      <c r="P64" s="58" t="e">
        <f t="shared" si="6"/>
        <v>#REF!</v>
      </c>
      <c r="Q64" s="58"/>
      <c r="R64" s="57" t="e">
        <f t="shared" si="16"/>
        <v>#REF!</v>
      </c>
      <c r="S64" s="58" t="e">
        <f t="shared" si="7"/>
        <v>#REF!</v>
      </c>
      <c r="T64" s="58" t="e">
        <f t="shared" si="8"/>
        <v>#REF!</v>
      </c>
      <c r="U64" s="59"/>
      <c r="V64" s="59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</row>
    <row r="65" spans="1:46" x14ac:dyDescent="0.25">
      <c r="A65" s="31">
        <f>'M&amp;R Stations'!A58</f>
        <v>39017</v>
      </c>
      <c r="B65" s="89"/>
      <c r="C65" s="227">
        <v>188388</v>
      </c>
      <c r="D65" s="224">
        <v>148079</v>
      </c>
      <c r="E65" s="185"/>
      <c r="F65" s="72" t="e">
        <f>IF('M&amp;R Stations'!#REF!="","",('M&amp;R Stations'!#REF!+'M&amp;R Stations'!#REF!)+('LNG Facilities'!F58+'LNG Facilities'!G58+'LNG Facilities'!H58+'LNG Facilities'!R58+'LNG Facilities'!S58+'LNG Facilities'!T58)-'LNG Facilities'!#REF!-('NG Utilization'!C65+'NG Utilization'!D65+'NG Utilization'!E65))</f>
        <v>#REF!</v>
      </c>
      <c r="G65" s="58" t="e">
        <f>IF('M&amp;R Stations'!#REF!="","",F65+G64)</f>
        <v>#REF!</v>
      </c>
      <c r="H65" s="58" t="e">
        <f>IF('M&amp;R Stations'!#REF!="","",F65+H64)</f>
        <v>#REF!</v>
      </c>
      <c r="I65" s="58"/>
      <c r="J65" s="57" t="e">
        <f t="shared" si="15"/>
        <v>#REF!</v>
      </c>
      <c r="K65" s="58" t="e">
        <f t="shared" si="3"/>
        <v>#REF!</v>
      </c>
      <c r="L65" s="58" t="e">
        <f t="shared" si="4"/>
        <v>#REF!</v>
      </c>
      <c r="M65" s="58"/>
      <c r="N65" s="73" t="e">
        <f>IF(F65="","",ROUND((('M&amp;R Stations'!#REF!+'M&amp;R Stations'!#REF!)-('NG Utilization'!C65+'NG Utilization'!D65+'NG Utilization'!E65)-'LNG Facilities'!#REF!)*ROUND(((('M&amp;R Stations'!#REF!*'M&amp;R Stations'!L58)+('M&amp;R Stations'!#REF!*'M&amp;R Stations'!F58))/1000)/('M&amp;R Stations'!#REF!+'M&amp;R Stations'!#REF!),3),0)+ROUND((('LNG Facilities'!F58*'LNG Facilities'!K58+'LNG Facilities'!G58*'LNG Facilities'!L58+'LNG Facilities'!H58*'LNG Facilities'!M58+'LNG Facilities'!R58*'LNG Facilities'!W58+'LNG Facilities'!S58*'LNG Facilities'!X58+'LNG Facilities'!T58*'LNG Facilities'!#REF!)/1000),0))</f>
        <v>#REF!</v>
      </c>
      <c r="O65" s="58" t="e">
        <f t="shared" si="5"/>
        <v>#REF!</v>
      </c>
      <c r="P65" s="58" t="e">
        <f t="shared" si="6"/>
        <v>#REF!</v>
      </c>
      <c r="Q65" s="58"/>
      <c r="R65" s="57" t="e">
        <f t="shared" si="16"/>
        <v>#REF!</v>
      </c>
      <c r="S65" s="58" t="e">
        <f t="shared" si="7"/>
        <v>#REF!</v>
      </c>
      <c r="T65" s="58" t="e">
        <f t="shared" si="8"/>
        <v>#REF!</v>
      </c>
      <c r="U65" s="59"/>
      <c r="V65" s="59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</row>
    <row r="66" spans="1:46" x14ac:dyDescent="0.25">
      <c r="A66" s="31">
        <f>'M&amp;R Stations'!A59</f>
        <v>39018</v>
      </c>
      <c r="B66" s="89"/>
      <c r="C66" s="227">
        <v>184621</v>
      </c>
      <c r="D66" s="224">
        <v>111487.9</v>
      </c>
      <c r="E66" s="185"/>
      <c r="F66" s="72" t="e">
        <f>IF('M&amp;R Stations'!#REF!="","",('M&amp;R Stations'!#REF!+'M&amp;R Stations'!#REF!)+('LNG Facilities'!F59+'LNG Facilities'!G59+'LNG Facilities'!H59+'LNG Facilities'!R59+'LNG Facilities'!S59+'LNG Facilities'!T59)-'LNG Facilities'!#REF!-('NG Utilization'!C66+'NG Utilization'!D66+'NG Utilization'!E66))</f>
        <v>#REF!</v>
      </c>
      <c r="G66" s="58" t="e">
        <f>IF('M&amp;R Stations'!#REF!="","",F66+G65)</f>
        <v>#REF!</v>
      </c>
      <c r="H66" s="58" t="e">
        <f>IF('M&amp;R Stations'!#REF!="","",F66+H65)</f>
        <v>#REF!</v>
      </c>
      <c r="I66" s="58"/>
      <c r="J66" s="57" t="e">
        <f t="shared" si="15"/>
        <v>#REF!</v>
      </c>
      <c r="K66" s="58" t="e">
        <f t="shared" si="3"/>
        <v>#REF!</v>
      </c>
      <c r="L66" s="58" t="e">
        <f t="shared" si="4"/>
        <v>#REF!</v>
      </c>
      <c r="M66" s="58"/>
      <c r="N66" s="73" t="e">
        <f>IF(F66="","",ROUND((('M&amp;R Stations'!#REF!+'M&amp;R Stations'!#REF!)-('NG Utilization'!C66+'NG Utilization'!D66+'NG Utilization'!E66)-'LNG Facilities'!#REF!)*ROUND(((('M&amp;R Stations'!#REF!*'M&amp;R Stations'!L59)+('M&amp;R Stations'!#REF!*'M&amp;R Stations'!F59))/1000)/('M&amp;R Stations'!#REF!+'M&amp;R Stations'!#REF!),3),0)+ROUND((('LNG Facilities'!F59*'LNG Facilities'!K59+'LNG Facilities'!G59*'LNG Facilities'!L59+'LNG Facilities'!H59*'LNG Facilities'!M59+'LNG Facilities'!R59*'LNG Facilities'!W59+'LNG Facilities'!S59*'LNG Facilities'!X59+'LNG Facilities'!T59*'LNG Facilities'!#REF!)/1000),0))</f>
        <v>#REF!</v>
      </c>
      <c r="O66" s="58" t="e">
        <f t="shared" si="5"/>
        <v>#REF!</v>
      </c>
      <c r="P66" s="58" t="e">
        <f t="shared" si="6"/>
        <v>#REF!</v>
      </c>
      <c r="Q66" s="58"/>
      <c r="R66" s="57" t="e">
        <f t="shared" si="16"/>
        <v>#REF!</v>
      </c>
      <c r="S66" s="58" t="e">
        <f t="shared" si="7"/>
        <v>#REF!</v>
      </c>
      <c r="T66" s="58" t="e">
        <f t="shared" si="8"/>
        <v>#REF!</v>
      </c>
      <c r="U66" s="59"/>
      <c r="V66" s="59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</row>
    <row r="67" spans="1:46" x14ac:dyDescent="0.25">
      <c r="A67" s="31">
        <f>'M&amp;R Stations'!A60</f>
        <v>39019</v>
      </c>
      <c r="B67" s="89"/>
      <c r="C67" s="227">
        <v>201266</v>
      </c>
      <c r="D67" s="224">
        <v>148079</v>
      </c>
      <c r="E67" s="185"/>
      <c r="F67" s="72" t="e">
        <f>IF('M&amp;R Stations'!#REF!="","",('M&amp;R Stations'!#REF!+'M&amp;R Stations'!#REF!)+('LNG Facilities'!F60+'LNG Facilities'!G60+'LNG Facilities'!H60+'LNG Facilities'!R60+'LNG Facilities'!S60+'LNG Facilities'!T60)-'LNG Facilities'!#REF!-('NG Utilization'!C67+'NG Utilization'!D67+'NG Utilization'!E67))</f>
        <v>#REF!</v>
      </c>
      <c r="G67" s="58" t="e">
        <f>IF('M&amp;R Stations'!#REF!="","",F67+G66)</f>
        <v>#REF!</v>
      </c>
      <c r="H67" s="58" t="e">
        <f>IF('M&amp;R Stations'!#REF!="","",F67+H66)</f>
        <v>#REF!</v>
      </c>
      <c r="I67" s="58"/>
      <c r="J67" s="57" t="e">
        <f t="shared" si="15"/>
        <v>#REF!</v>
      </c>
      <c r="K67" s="58" t="e">
        <f t="shared" si="3"/>
        <v>#REF!</v>
      </c>
      <c r="L67" s="58" t="e">
        <f t="shared" si="4"/>
        <v>#REF!</v>
      </c>
      <c r="M67" s="58"/>
      <c r="N67" s="73" t="e">
        <f>IF(F67="","",ROUND((('M&amp;R Stations'!#REF!+'M&amp;R Stations'!#REF!)-('NG Utilization'!C67+'NG Utilization'!D67+'NG Utilization'!E67)-'LNG Facilities'!#REF!)*ROUND(((('M&amp;R Stations'!#REF!*'M&amp;R Stations'!L60)+('M&amp;R Stations'!#REF!*'M&amp;R Stations'!F60))/1000)/('M&amp;R Stations'!#REF!+'M&amp;R Stations'!#REF!),3),0)+ROUND((('LNG Facilities'!F60*'LNG Facilities'!K60+'LNG Facilities'!G60*'LNG Facilities'!L60+'LNG Facilities'!H60*'LNG Facilities'!M60+'LNG Facilities'!R60*'LNG Facilities'!W60+'LNG Facilities'!S60*'LNG Facilities'!X60+'LNG Facilities'!T60*'LNG Facilities'!#REF!)/1000),0))</f>
        <v>#REF!</v>
      </c>
      <c r="O67" s="58" t="e">
        <f t="shared" si="5"/>
        <v>#REF!</v>
      </c>
      <c r="P67" s="58" t="e">
        <f t="shared" si="6"/>
        <v>#REF!</v>
      </c>
      <c r="Q67" s="58"/>
      <c r="R67" s="57" t="e">
        <f t="shared" si="16"/>
        <v>#REF!</v>
      </c>
      <c r="S67" s="58" t="e">
        <f t="shared" si="7"/>
        <v>#REF!</v>
      </c>
      <c r="T67" s="58" t="e">
        <f t="shared" si="8"/>
        <v>#REF!</v>
      </c>
      <c r="U67" s="59"/>
      <c r="V67" s="59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</row>
    <row r="68" spans="1:46" x14ac:dyDescent="0.25">
      <c r="A68" s="31">
        <f>'M&amp;R Stations'!A61</f>
        <v>39020</v>
      </c>
      <c r="B68" s="89"/>
      <c r="C68" s="227">
        <v>144818</v>
      </c>
      <c r="D68" s="224">
        <v>104170</v>
      </c>
      <c r="E68" s="185"/>
      <c r="F68" s="72" t="e">
        <f>IF('M&amp;R Stations'!#REF!="","",('M&amp;R Stations'!#REF!+'M&amp;R Stations'!#REF!)+('LNG Facilities'!F61+'LNG Facilities'!G61+'LNG Facilities'!H61+'LNG Facilities'!R61+'LNG Facilities'!S61+'LNG Facilities'!T61)-'LNG Facilities'!#REF!-('NG Utilization'!C68+'NG Utilization'!D68+'NG Utilization'!E68))</f>
        <v>#REF!</v>
      </c>
      <c r="G68" s="58" t="e">
        <f>IF('M&amp;R Stations'!#REF!="","",F68+G67)</f>
        <v>#REF!</v>
      </c>
      <c r="H68" s="58" t="e">
        <f>IF('M&amp;R Stations'!#REF!="","",F68+H67)</f>
        <v>#REF!</v>
      </c>
      <c r="I68" s="58"/>
      <c r="J68" s="57" t="e">
        <f t="shared" si="15"/>
        <v>#REF!</v>
      </c>
      <c r="K68" s="58" t="e">
        <f t="shared" si="3"/>
        <v>#REF!</v>
      </c>
      <c r="L68" s="58" t="e">
        <f t="shared" si="4"/>
        <v>#REF!</v>
      </c>
      <c r="M68" s="58"/>
      <c r="N68" s="73" t="e">
        <f>IF(F68="","",ROUND((('M&amp;R Stations'!#REF!+'M&amp;R Stations'!#REF!)-('NG Utilization'!C68+'NG Utilization'!D68+'NG Utilization'!E68)-'LNG Facilities'!#REF!)*ROUND(((('M&amp;R Stations'!#REF!*'M&amp;R Stations'!L61)+('M&amp;R Stations'!#REF!*'M&amp;R Stations'!F61))/1000)/('M&amp;R Stations'!#REF!+'M&amp;R Stations'!#REF!),3),0)+ROUND((('LNG Facilities'!F61*'LNG Facilities'!K61+'LNG Facilities'!G61*'LNG Facilities'!L61+'LNG Facilities'!H61*'LNG Facilities'!M61+'LNG Facilities'!R61*'LNG Facilities'!W61+'LNG Facilities'!S61*'LNG Facilities'!X61+'LNG Facilities'!T61*'LNG Facilities'!#REF!)/1000),0))</f>
        <v>#REF!</v>
      </c>
      <c r="O68" s="58" t="e">
        <f t="shared" si="5"/>
        <v>#REF!</v>
      </c>
      <c r="P68" s="58" t="e">
        <f t="shared" si="6"/>
        <v>#REF!</v>
      </c>
      <c r="Q68" s="58"/>
      <c r="R68" s="57" t="e">
        <f t="shared" si="16"/>
        <v>#REF!</v>
      </c>
      <c r="S68" s="58" t="e">
        <f t="shared" si="7"/>
        <v>#REF!</v>
      </c>
      <c r="T68" s="58" t="e">
        <f t="shared" si="8"/>
        <v>#REF!</v>
      </c>
      <c r="U68" s="59"/>
      <c r="V68" s="59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</row>
    <row r="69" spans="1:46" x14ac:dyDescent="0.25">
      <c r="A69" s="31">
        <f>'M&amp;R Stations'!A62</f>
        <v>39021</v>
      </c>
      <c r="B69" s="89"/>
      <c r="C69" s="227">
        <v>115680</v>
      </c>
      <c r="D69" s="224">
        <v>213943</v>
      </c>
      <c r="E69" s="185"/>
      <c r="F69" s="72" t="e">
        <f>IF('M&amp;R Stations'!#REF!="","",('M&amp;R Stations'!#REF!+'M&amp;R Stations'!#REF!)+('LNG Facilities'!F62+'LNG Facilities'!G62+'LNG Facilities'!H62+'LNG Facilities'!R62+'LNG Facilities'!S62+'LNG Facilities'!T62)-'LNG Facilities'!#REF!-('NG Utilization'!C69+'NG Utilization'!D69+'NG Utilization'!E69))</f>
        <v>#REF!</v>
      </c>
      <c r="G69" s="58" t="e">
        <f>IF('M&amp;R Stations'!#REF!="","",F69+G68)</f>
        <v>#REF!</v>
      </c>
      <c r="H69" s="58" t="e">
        <f>IF('M&amp;R Stations'!#REF!="","",F69+H68)</f>
        <v>#REF!</v>
      </c>
      <c r="I69" s="58"/>
      <c r="J69" s="57" t="e">
        <f t="shared" si="15"/>
        <v>#REF!</v>
      </c>
      <c r="K69" s="58" t="e">
        <f>IF(J69="","",J69+K68)</f>
        <v>#REF!</v>
      </c>
      <c r="L69" s="58" t="e">
        <f>IF(J69="","",J69+L68)</f>
        <v>#REF!</v>
      </c>
      <c r="M69" s="58"/>
      <c r="N69" s="73" t="e">
        <f>IF(F69="","",ROUND((('M&amp;R Stations'!#REF!+'M&amp;R Stations'!#REF!)-('NG Utilization'!C69+'NG Utilization'!D69+'NG Utilization'!E69)-'LNG Facilities'!#REF!)*ROUND(((('M&amp;R Stations'!#REF!*'M&amp;R Stations'!L62)+('M&amp;R Stations'!#REF!*'M&amp;R Stations'!F62))/1000)/('M&amp;R Stations'!#REF!+'M&amp;R Stations'!#REF!),3),0)+ROUND((('LNG Facilities'!F62*'LNG Facilities'!K62+'LNG Facilities'!G62*'LNG Facilities'!L62+'LNG Facilities'!H62*'LNG Facilities'!M62+'LNG Facilities'!R62*'LNG Facilities'!W62+'LNG Facilities'!S62*'LNG Facilities'!X62+'LNG Facilities'!T62*'LNG Facilities'!#REF!)/1000),0))</f>
        <v>#REF!</v>
      </c>
      <c r="O69" s="58" t="e">
        <f>IF(N69="","",N69+O68)</f>
        <v>#REF!</v>
      </c>
      <c r="P69" s="58" t="e">
        <f>IF(N69="","",N69+P68)</f>
        <v>#REF!</v>
      </c>
      <c r="Q69" s="58"/>
      <c r="R69" s="57" t="e">
        <f t="shared" si="16"/>
        <v>#REF!</v>
      </c>
      <c r="S69" s="58" t="e">
        <f>IF(R69="","",R69+S68)</f>
        <v>#REF!</v>
      </c>
      <c r="T69" s="58" t="e">
        <f>IF(R69="","",R69+T68)</f>
        <v>#REF!</v>
      </c>
      <c r="U69" s="59"/>
      <c r="V69" s="59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</row>
    <row r="70" spans="1:46" x14ac:dyDescent="0.25">
      <c r="A70" s="96"/>
      <c r="B70" s="95"/>
      <c r="C70" s="95"/>
      <c r="D70" s="95"/>
      <c r="E70" s="186"/>
      <c r="F70" s="99"/>
      <c r="G70" s="100"/>
      <c r="H70" s="100"/>
      <c r="I70" s="100"/>
      <c r="J70" s="101"/>
      <c r="K70" s="100"/>
      <c r="L70" s="100"/>
      <c r="M70" s="100"/>
      <c r="N70" s="102"/>
      <c r="O70" s="100"/>
      <c r="P70" s="100"/>
      <c r="Q70" s="100"/>
      <c r="R70" s="101"/>
      <c r="S70" s="100"/>
      <c r="T70" s="100"/>
      <c r="U70" s="59"/>
      <c r="V70" s="59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</row>
    <row r="71" spans="1:46" x14ac:dyDescent="0.25">
      <c r="A71" s="31">
        <f>'M&amp;R Stations'!A63</f>
        <v>39022</v>
      </c>
      <c r="B71" s="89"/>
      <c r="C71" s="227">
        <v>111614</v>
      </c>
      <c r="D71" s="225">
        <v>82810.48</v>
      </c>
      <c r="E71" s="185"/>
      <c r="F71" s="72" t="e">
        <f>IF('M&amp;R Stations'!#REF!="","",('M&amp;R Stations'!#REF!+'M&amp;R Stations'!#REF!)+('LNG Facilities'!F63+'LNG Facilities'!G63+'LNG Facilities'!H63+'LNG Facilities'!R63+'LNG Facilities'!S63+'LNG Facilities'!T63)-'LNG Facilities'!#REF!-('NG Utilization'!C71+'NG Utilization'!D71+'NG Utilization'!E71))</f>
        <v>#REF!</v>
      </c>
      <c r="G71" s="58" t="e">
        <f>IF('M&amp;R Stations'!#REF!="","",F71)</f>
        <v>#REF!</v>
      </c>
      <c r="H71" s="58" t="e">
        <f>IF('M&amp;R Stations'!#REF!="","",F71+H69)</f>
        <v>#REF!</v>
      </c>
      <c r="I71" s="58"/>
      <c r="J71" s="57" t="e">
        <f t="shared" ref="J71:J100" si="17">IF(F71="","",C71)</f>
        <v>#REF!</v>
      </c>
      <c r="K71" s="58" t="e">
        <f>IF(J71="","",J71)</f>
        <v>#REF!</v>
      </c>
      <c r="L71" s="58" t="e">
        <f>IF(J71="","",J71+L69)</f>
        <v>#REF!</v>
      </c>
      <c r="M71" s="58"/>
      <c r="N71" s="73" t="e">
        <f>IF(F71="","",ROUND((('M&amp;R Stations'!#REF!+'M&amp;R Stations'!#REF!)-('NG Utilization'!C71+'NG Utilization'!D71+'NG Utilization'!E71)-'LNG Facilities'!#REF!)*ROUND(((('M&amp;R Stations'!#REF!*'M&amp;R Stations'!L63)+('M&amp;R Stations'!#REF!*'M&amp;R Stations'!F63))/1000)/('M&amp;R Stations'!#REF!+'M&amp;R Stations'!#REF!),3),0)+ROUND((('LNG Facilities'!F63*'LNG Facilities'!K63+'LNG Facilities'!G63*'LNG Facilities'!L63+'LNG Facilities'!H63*'LNG Facilities'!M63+'LNG Facilities'!R63*'LNG Facilities'!W63+'LNG Facilities'!S63*'LNG Facilities'!X63+'LNG Facilities'!T63*'LNG Facilities'!#REF!)/1000),0))</f>
        <v>#REF!</v>
      </c>
      <c r="O71" s="58" t="e">
        <f>IF(N71="","",N71)</f>
        <v>#REF!</v>
      </c>
      <c r="P71" s="58" t="e">
        <f>IF(N71="","",N71+P69)</f>
        <v>#REF!</v>
      </c>
      <c r="Q71" s="58"/>
      <c r="R71" s="57" t="e">
        <f t="shared" ref="R71:R100" si="18">IF(F71="","",D71)</f>
        <v>#REF!</v>
      </c>
      <c r="S71" s="58" t="e">
        <f>IF(R71="","",R71)</f>
        <v>#REF!</v>
      </c>
      <c r="T71" s="58" t="e">
        <f>IF(R71="","",R71+T69)</f>
        <v>#REF!</v>
      </c>
      <c r="U71" s="59"/>
      <c r="V71" s="59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</row>
    <row r="72" spans="1:46" x14ac:dyDescent="0.25">
      <c r="A72" s="31">
        <f>'M&amp;R Stations'!A64</f>
        <v>39023</v>
      </c>
      <c r="B72" s="89"/>
      <c r="C72" s="227">
        <v>142000</v>
      </c>
      <c r="D72" s="225">
        <v>202496.2</v>
      </c>
      <c r="E72" s="185"/>
      <c r="F72" s="72" t="e">
        <f>IF('M&amp;R Stations'!#REF!="","",('M&amp;R Stations'!#REF!+'M&amp;R Stations'!#REF!)+('LNG Facilities'!F64+'LNG Facilities'!G64+'LNG Facilities'!H64+'LNG Facilities'!R64+'LNG Facilities'!S64+'LNG Facilities'!T64)-'LNG Facilities'!#REF!-('NG Utilization'!C72+'NG Utilization'!D72+'NG Utilization'!E72))</f>
        <v>#REF!</v>
      </c>
      <c r="G72" s="58" t="e">
        <f>IF('M&amp;R Stations'!#REF!="","",F72+G71)</f>
        <v>#REF!</v>
      </c>
      <c r="H72" s="58" t="e">
        <f>IF('M&amp;R Stations'!#REF!="","",F72+H71)</f>
        <v>#REF!</v>
      </c>
      <c r="I72" s="58"/>
      <c r="J72" s="57" t="e">
        <f t="shared" si="17"/>
        <v>#REF!</v>
      </c>
      <c r="K72" s="58" t="e">
        <f t="shared" ref="K72:K100" si="19">IF(J72="","",J72+K71)</f>
        <v>#REF!</v>
      </c>
      <c r="L72" s="58" t="e">
        <f t="shared" ref="L72:L100" si="20">IF(J72="","",J72+L71)</f>
        <v>#REF!</v>
      </c>
      <c r="M72" s="58"/>
      <c r="N72" s="73" t="e">
        <f>IF(F72="","",ROUND((('M&amp;R Stations'!#REF!+'M&amp;R Stations'!#REF!)-('NG Utilization'!C72+'NG Utilization'!D72+'NG Utilization'!E72)-'LNG Facilities'!#REF!)*ROUND(((('M&amp;R Stations'!#REF!*'M&amp;R Stations'!L64)+('M&amp;R Stations'!#REF!*'M&amp;R Stations'!F64))/1000)/('M&amp;R Stations'!#REF!+'M&amp;R Stations'!#REF!),3),0)+ROUND((('LNG Facilities'!F64*'LNG Facilities'!K64+'LNG Facilities'!G64*'LNG Facilities'!L64+'LNG Facilities'!H64*'LNG Facilities'!M64+'LNG Facilities'!R64*'LNG Facilities'!W64+'LNG Facilities'!S64*'LNG Facilities'!X64+'LNG Facilities'!T64*'LNG Facilities'!#REF!)/1000),0))</f>
        <v>#REF!</v>
      </c>
      <c r="O72" s="58" t="e">
        <f t="shared" ref="O72:O100" si="21">IF(N72="","",N72+O71)</f>
        <v>#REF!</v>
      </c>
      <c r="P72" s="58" t="e">
        <f t="shared" ref="P72:P100" si="22">IF(N72="","",N72+P71)</f>
        <v>#REF!</v>
      </c>
      <c r="Q72" s="58"/>
      <c r="R72" s="57" t="e">
        <f t="shared" si="18"/>
        <v>#REF!</v>
      </c>
      <c r="S72" s="58" t="e">
        <f t="shared" ref="S72:S100" si="23">IF(R72="","",R72+S71)</f>
        <v>#REF!</v>
      </c>
      <c r="T72" s="58" t="e">
        <f t="shared" ref="T72:T100" si="24">IF(R72="","",R72+T71)</f>
        <v>#REF!</v>
      </c>
      <c r="U72" s="59"/>
      <c r="V72" s="59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</row>
    <row r="73" spans="1:46" x14ac:dyDescent="0.25">
      <c r="A73" s="31">
        <f>'M&amp;R Stations'!A65</f>
        <v>39024</v>
      </c>
      <c r="B73" s="89"/>
      <c r="C73" s="227">
        <v>119718</v>
      </c>
      <c r="D73" s="225">
        <v>257735.8</v>
      </c>
      <c r="E73" s="185"/>
      <c r="F73" s="72" t="e">
        <f>IF('M&amp;R Stations'!#REF!="","",('M&amp;R Stations'!#REF!+'M&amp;R Stations'!#REF!)+('LNG Facilities'!F65+'LNG Facilities'!G65+'LNG Facilities'!H65+'LNG Facilities'!R65+'LNG Facilities'!S65+'LNG Facilities'!T65)-'LNG Facilities'!#REF!-('NG Utilization'!C73+'NG Utilization'!D73+'NG Utilization'!E73))</f>
        <v>#REF!</v>
      </c>
      <c r="G73" s="58" t="e">
        <f>IF('M&amp;R Stations'!#REF!="","",F73+G72)</f>
        <v>#REF!</v>
      </c>
      <c r="H73" s="58" t="e">
        <f>IF('M&amp;R Stations'!#REF!="","",F73+H72)</f>
        <v>#REF!</v>
      </c>
      <c r="I73" s="58"/>
      <c r="J73" s="57" t="e">
        <f t="shared" si="17"/>
        <v>#REF!</v>
      </c>
      <c r="K73" s="58" t="e">
        <f t="shared" si="19"/>
        <v>#REF!</v>
      </c>
      <c r="L73" s="58" t="e">
        <f t="shared" si="20"/>
        <v>#REF!</v>
      </c>
      <c r="M73" s="58"/>
      <c r="N73" s="73" t="e">
        <f>IF(F73="","",ROUND((('M&amp;R Stations'!#REF!+'M&amp;R Stations'!#REF!)-('NG Utilization'!C73+'NG Utilization'!D73+'NG Utilization'!E73)-'LNG Facilities'!#REF!)*ROUND(((('M&amp;R Stations'!#REF!*'M&amp;R Stations'!L65)+('M&amp;R Stations'!#REF!*'M&amp;R Stations'!F65))/1000)/('M&amp;R Stations'!#REF!+'M&amp;R Stations'!#REF!),3),0)+ROUND((('LNG Facilities'!F65*'LNG Facilities'!K65+'LNG Facilities'!G65*'LNG Facilities'!L65+'LNG Facilities'!H65*'LNG Facilities'!M65+'LNG Facilities'!R65*'LNG Facilities'!W65+'LNG Facilities'!S65*'LNG Facilities'!X65+'LNG Facilities'!T65*'LNG Facilities'!#REF!)/1000),0))</f>
        <v>#REF!</v>
      </c>
      <c r="O73" s="58" t="e">
        <f t="shared" si="21"/>
        <v>#REF!</v>
      </c>
      <c r="P73" s="58" t="e">
        <f t="shared" si="22"/>
        <v>#REF!</v>
      </c>
      <c r="Q73" s="58"/>
      <c r="R73" s="57" t="e">
        <f t="shared" si="18"/>
        <v>#REF!</v>
      </c>
      <c r="S73" s="58" t="e">
        <f t="shared" si="23"/>
        <v>#REF!</v>
      </c>
      <c r="T73" s="58" t="e">
        <f t="shared" si="24"/>
        <v>#REF!</v>
      </c>
      <c r="U73" s="59"/>
      <c r="V73" s="59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</row>
    <row r="74" spans="1:46" x14ac:dyDescent="0.25">
      <c r="A74" s="31">
        <f>'M&amp;R Stations'!A66</f>
        <v>39025</v>
      </c>
      <c r="B74" s="89"/>
      <c r="C74" s="227">
        <v>98913</v>
      </c>
      <c r="D74" s="225">
        <v>239322.6</v>
      </c>
      <c r="E74" s="185"/>
      <c r="F74" s="72" t="e">
        <f>IF('M&amp;R Stations'!#REF!="","",('M&amp;R Stations'!#REF!+'M&amp;R Stations'!#REF!)+('LNG Facilities'!F66+'LNG Facilities'!G66+'LNG Facilities'!H66+'LNG Facilities'!R66+'LNG Facilities'!S66+'LNG Facilities'!T66)-'LNG Facilities'!#REF!-('NG Utilization'!C74+'NG Utilization'!D74+'NG Utilization'!E74))</f>
        <v>#REF!</v>
      </c>
      <c r="G74" s="58" t="e">
        <f>IF('M&amp;R Stations'!#REF!="","",F74+G73)</f>
        <v>#REF!</v>
      </c>
      <c r="H74" s="58" t="e">
        <f>IF('M&amp;R Stations'!#REF!="","",F74+H73)</f>
        <v>#REF!</v>
      </c>
      <c r="I74" s="58"/>
      <c r="J74" s="57" t="e">
        <f t="shared" si="17"/>
        <v>#REF!</v>
      </c>
      <c r="K74" s="58" t="e">
        <f t="shared" si="19"/>
        <v>#REF!</v>
      </c>
      <c r="L74" s="58" t="e">
        <f t="shared" si="20"/>
        <v>#REF!</v>
      </c>
      <c r="M74" s="58"/>
      <c r="N74" s="73" t="e">
        <f>IF(F74="","",ROUND((('M&amp;R Stations'!#REF!+'M&amp;R Stations'!#REF!)-('NG Utilization'!C74+'NG Utilization'!D74+'NG Utilization'!E74)-'LNG Facilities'!#REF!)*ROUND(((('M&amp;R Stations'!#REF!*'M&amp;R Stations'!L66)+('M&amp;R Stations'!#REF!*'M&amp;R Stations'!F66))/1000)/('M&amp;R Stations'!#REF!+'M&amp;R Stations'!#REF!),3),0)+ROUND((('LNG Facilities'!F66*'LNG Facilities'!K66+'LNG Facilities'!G66*'LNG Facilities'!L66+'LNG Facilities'!H66*'LNG Facilities'!M66+'LNG Facilities'!R66*'LNG Facilities'!W66+'LNG Facilities'!S66*'LNG Facilities'!X66+'LNG Facilities'!T66*'LNG Facilities'!#REF!)/1000),0))</f>
        <v>#REF!</v>
      </c>
      <c r="O74" s="58" t="e">
        <f t="shared" si="21"/>
        <v>#REF!</v>
      </c>
      <c r="P74" s="58" t="e">
        <f t="shared" si="22"/>
        <v>#REF!</v>
      </c>
      <c r="Q74" s="58"/>
      <c r="R74" s="57" t="e">
        <f t="shared" si="18"/>
        <v>#REF!</v>
      </c>
      <c r="S74" s="58" t="e">
        <f t="shared" si="23"/>
        <v>#REF!</v>
      </c>
      <c r="T74" s="58" t="e">
        <f t="shared" si="24"/>
        <v>#REF!</v>
      </c>
      <c r="U74" s="59"/>
      <c r="V74" s="59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</row>
    <row r="75" spans="1:46" x14ac:dyDescent="0.25">
      <c r="A75" s="31">
        <f>'M&amp;R Stations'!A67</f>
        <v>39026</v>
      </c>
      <c r="B75" s="89"/>
      <c r="C75" s="227">
        <v>89710</v>
      </c>
      <c r="D75" s="225">
        <v>220909.4</v>
      </c>
      <c r="E75" s="185"/>
      <c r="F75" s="72" t="e">
        <f>IF('M&amp;R Stations'!#REF!="","",('M&amp;R Stations'!#REF!+'M&amp;R Stations'!#REF!)+('LNG Facilities'!F67+'LNG Facilities'!G67+'LNG Facilities'!H67+'LNG Facilities'!R67+'LNG Facilities'!S67+'LNG Facilities'!T67)-'LNG Facilities'!#REF!-('NG Utilization'!C75+'NG Utilization'!D75+'NG Utilization'!E75))</f>
        <v>#REF!</v>
      </c>
      <c r="G75" s="58" t="e">
        <f>IF('M&amp;R Stations'!#REF!="","",F75+G74)</f>
        <v>#REF!</v>
      </c>
      <c r="H75" s="58" t="e">
        <f>IF('M&amp;R Stations'!#REF!="","",F75+H74)</f>
        <v>#REF!</v>
      </c>
      <c r="I75" s="58"/>
      <c r="J75" s="57" t="e">
        <f t="shared" si="17"/>
        <v>#REF!</v>
      </c>
      <c r="K75" s="58" t="e">
        <f t="shared" si="19"/>
        <v>#REF!</v>
      </c>
      <c r="L75" s="58" t="e">
        <f t="shared" si="20"/>
        <v>#REF!</v>
      </c>
      <c r="M75" s="58"/>
      <c r="N75" s="73" t="e">
        <f>IF(F75="","",ROUND((('M&amp;R Stations'!#REF!+'M&amp;R Stations'!#REF!)-('NG Utilization'!C75+'NG Utilization'!D75+'NG Utilization'!E75)-'LNG Facilities'!#REF!)*ROUND(((('M&amp;R Stations'!#REF!*'M&amp;R Stations'!L67)+('M&amp;R Stations'!#REF!*'M&amp;R Stations'!F67))/1000)/('M&amp;R Stations'!#REF!+'M&amp;R Stations'!#REF!),3),0)+ROUND((('LNG Facilities'!F67*'LNG Facilities'!K67+'LNG Facilities'!G67*'LNG Facilities'!L67+'LNG Facilities'!H67*'LNG Facilities'!M67+'LNG Facilities'!R67*'LNG Facilities'!W67+'LNG Facilities'!S67*'LNG Facilities'!X67+'LNG Facilities'!T67*'LNG Facilities'!#REF!)/1000),0))</f>
        <v>#REF!</v>
      </c>
      <c r="O75" s="58" t="e">
        <f t="shared" si="21"/>
        <v>#REF!</v>
      </c>
      <c r="P75" s="58" t="e">
        <f t="shared" si="22"/>
        <v>#REF!</v>
      </c>
      <c r="Q75" s="58"/>
      <c r="R75" s="57" t="e">
        <f t="shared" si="18"/>
        <v>#REF!</v>
      </c>
      <c r="S75" s="58" t="e">
        <f t="shared" si="23"/>
        <v>#REF!</v>
      </c>
      <c r="T75" s="58" t="e">
        <f t="shared" si="24"/>
        <v>#REF!</v>
      </c>
      <c r="U75" s="59"/>
      <c r="V75" s="59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</row>
    <row r="76" spans="1:46" x14ac:dyDescent="0.25">
      <c r="A76" s="31">
        <f>'M&amp;R Stations'!A68</f>
        <v>39027</v>
      </c>
      <c r="B76" s="89"/>
      <c r="C76" s="227">
        <v>89553</v>
      </c>
      <c r="D76" s="225">
        <v>165669.79999999999</v>
      </c>
      <c r="E76" s="185"/>
      <c r="F76" s="72" t="e">
        <f>IF('M&amp;R Stations'!#REF!="","",('M&amp;R Stations'!#REF!+'M&amp;R Stations'!#REF!)+('LNG Facilities'!F68+'LNG Facilities'!G68+'LNG Facilities'!H68+'LNG Facilities'!R68+'LNG Facilities'!S68+'LNG Facilities'!T68)-'LNG Facilities'!#REF!-('NG Utilization'!C76+'NG Utilization'!D76+'NG Utilization'!E76))</f>
        <v>#REF!</v>
      </c>
      <c r="G76" s="58" t="e">
        <f>IF('M&amp;R Stations'!#REF!="","",F76+G75)</f>
        <v>#REF!</v>
      </c>
      <c r="H76" s="58" t="e">
        <f>IF('M&amp;R Stations'!#REF!="","",F76+H75)</f>
        <v>#REF!</v>
      </c>
      <c r="I76" s="58"/>
      <c r="J76" s="57" t="e">
        <f t="shared" si="17"/>
        <v>#REF!</v>
      </c>
      <c r="K76" s="58" t="e">
        <f t="shared" si="19"/>
        <v>#REF!</v>
      </c>
      <c r="L76" s="58" t="e">
        <f t="shared" si="20"/>
        <v>#REF!</v>
      </c>
      <c r="M76" s="58"/>
      <c r="N76" s="73" t="e">
        <f>IF(F76="","",ROUND((('M&amp;R Stations'!#REF!+'M&amp;R Stations'!#REF!)-('NG Utilization'!C76+'NG Utilization'!D76+'NG Utilization'!E76)-'LNG Facilities'!#REF!)*ROUND(((('M&amp;R Stations'!#REF!*'M&amp;R Stations'!L68)+('M&amp;R Stations'!#REF!*'M&amp;R Stations'!F68))/1000)/('M&amp;R Stations'!#REF!+'M&amp;R Stations'!#REF!),3),0)+ROUND((('LNG Facilities'!F68*'LNG Facilities'!K68+'LNG Facilities'!G68*'LNG Facilities'!L68+'LNG Facilities'!H68*'LNG Facilities'!M68+'LNG Facilities'!R68*'LNG Facilities'!W68+'LNG Facilities'!S68*'LNG Facilities'!X68+'LNG Facilities'!T68*'LNG Facilities'!#REF!)/1000),0))</f>
        <v>#REF!</v>
      </c>
      <c r="O76" s="58" t="e">
        <f t="shared" si="21"/>
        <v>#REF!</v>
      </c>
      <c r="P76" s="58" t="e">
        <f t="shared" si="22"/>
        <v>#REF!</v>
      </c>
      <c r="Q76" s="58"/>
      <c r="R76" s="57" t="e">
        <f t="shared" si="18"/>
        <v>#REF!</v>
      </c>
      <c r="S76" s="58" t="e">
        <f t="shared" si="23"/>
        <v>#REF!</v>
      </c>
      <c r="T76" s="58" t="e">
        <f t="shared" si="24"/>
        <v>#REF!</v>
      </c>
      <c r="U76" s="59"/>
      <c r="V76" s="59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</row>
    <row r="77" spans="1:46" x14ac:dyDescent="0.25">
      <c r="A77" s="31">
        <f>'M&amp;R Stations'!A69</f>
        <v>39028</v>
      </c>
      <c r="B77" s="89"/>
      <c r="C77" s="227">
        <v>117794</v>
      </c>
      <c r="D77" s="225">
        <v>82810</v>
      </c>
      <c r="E77" s="185"/>
      <c r="F77" s="72" t="e">
        <f>IF('M&amp;R Stations'!#REF!="","",('M&amp;R Stations'!#REF!+'M&amp;R Stations'!#REF!)+('LNG Facilities'!F69+'LNG Facilities'!G69+'LNG Facilities'!H69+'LNG Facilities'!R69+'LNG Facilities'!S69+'LNG Facilities'!T69)-'LNG Facilities'!#REF!-('NG Utilization'!C77+'NG Utilization'!D77+'NG Utilization'!E77))</f>
        <v>#REF!</v>
      </c>
      <c r="G77" s="58" t="e">
        <f>IF('M&amp;R Stations'!#REF!="","",F77+G76)</f>
        <v>#REF!</v>
      </c>
      <c r="H77" s="58" t="e">
        <f>IF('M&amp;R Stations'!#REF!="","",F77+H76)</f>
        <v>#REF!</v>
      </c>
      <c r="I77" s="58"/>
      <c r="J77" s="57" t="e">
        <f t="shared" si="17"/>
        <v>#REF!</v>
      </c>
      <c r="K77" s="58" t="e">
        <f t="shared" si="19"/>
        <v>#REF!</v>
      </c>
      <c r="L77" s="58" t="e">
        <f t="shared" si="20"/>
        <v>#REF!</v>
      </c>
      <c r="M77" s="58"/>
      <c r="N77" s="73" t="e">
        <f>IF(F77="","",ROUND((('M&amp;R Stations'!#REF!+'M&amp;R Stations'!#REF!)-('NG Utilization'!C77+'NG Utilization'!D77+'NG Utilization'!E77)-'LNG Facilities'!#REF!)*ROUND(((('M&amp;R Stations'!#REF!*'M&amp;R Stations'!L69)+('M&amp;R Stations'!#REF!*'M&amp;R Stations'!F69))/1000)/('M&amp;R Stations'!#REF!+'M&amp;R Stations'!#REF!),3),0)+ROUND((('LNG Facilities'!F69*'LNG Facilities'!K69+'LNG Facilities'!G69*'LNG Facilities'!L69+'LNG Facilities'!H69*'LNG Facilities'!M69+'LNG Facilities'!R69*'LNG Facilities'!W69+'LNG Facilities'!S69*'LNG Facilities'!X69+'LNG Facilities'!T69*'LNG Facilities'!#REF!)/1000),0))</f>
        <v>#REF!</v>
      </c>
      <c r="O77" s="58" t="e">
        <f t="shared" si="21"/>
        <v>#REF!</v>
      </c>
      <c r="P77" s="58" t="e">
        <f t="shared" si="22"/>
        <v>#REF!</v>
      </c>
      <c r="Q77" s="58"/>
      <c r="R77" s="57" t="e">
        <f t="shared" si="18"/>
        <v>#REF!</v>
      </c>
      <c r="S77" s="58" t="e">
        <f t="shared" si="23"/>
        <v>#REF!</v>
      </c>
      <c r="T77" s="58" t="e">
        <f t="shared" si="24"/>
        <v>#REF!</v>
      </c>
      <c r="U77" s="59"/>
      <c r="V77" s="59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</row>
    <row r="78" spans="1:46" x14ac:dyDescent="0.25">
      <c r="A78" s="31">
        <f>'M&amp;R Stations'!A70</f>
        <v>39029</v>
      </c>
      <c r="B78" s="89"/>
      <c r="C78" s="227">
        <v>109357</v>
      </c>
      <c r="D78" s="225">
        <v>101224</v>
      </c>
      <c r="E78" s="185"/>
      <c r="F78" s="72" t="e">
        <f>IF('M&amp;R Stations'!#REF!="","",('M&amp;R Stations'!#REF!+'M&amp;R Stations'!#REF!)+('LNG Facilities'!F70+'LNG Facilities'!G70+'LNG Facilities'!H70+'LNG Facilities'!R70+'LNG Facilities'!S70+'LNG Facilities'!T70)-'LNG Facilities'!#REF!-('NG Utilization'!C78+'NG Utilization'!D78+'NG Utilization'!E78))</f>
        <v>#REF!</v>
      </c>
      <c r="G78" s="58" t="e">
        <f>IF('M&amp;R Stations'!#REF!="","",F78+G77)</f>
        <v>#REF!</v>
      </c>
      <c r="H78" s="58" t="e">
        <f>IF('M&amp;R Stations'!#REF!="","",F78+H77)</f>
        <v>#REF!</v>
      </c>
      <c r="I78" s="58"/>
      <c r="J78" s="57" t="e">
        <f t="shared" si="17"/>
        <v>#REF!</v>
      </c>
      <c r="K78" s="58" t="e">
        <f t="shared" si="19"/>
        <v>#REF!</v>
      </c>
      <c r="L78" s="58" t="e">
        <f t="shared" si="20"/>
        <v>#REF!</v>
      </c>
      <c r="M78" s="58"/>
      <c r="N78" s="73" t="e">
        <f>IF(F78="","",ROUND((('M&amp;R Stations'!#REF!+'M&amp;R Stations'!#REF!)-('NG Utilization'!C78+'NG Utilization'!D78+'NG Utilization'!E78)-'LNG Facilities'!#REF!)*ROUND(((('M&amp;R Stations'!#REF!*'M&amp;R Stations'!L70)+('M&amp;R Stations'!#REF!*'M&amp;R Stations'!F70))/1000)/('M&amp;R Stations'!#REF!+'M&amp;R Stations'!#REF!),3),0)+ROUND((('LNG Facilities'!F70*'LNG Facilities'!K70+'LNG Facilities'!G70*'LNG Facilities'!L70+'LNG Facilities'!H70*'LNG Facilities'!M70+'LNG Facilities'!R70*'LNG Facilities'!W70+'LNG Facilities'!S70*'LNG Facilities'!X70+'LNG Facilities'!T70*'LNG Facilities'!#REF!)/1000),0))</f>
        <v>#REF!</v>
      </c>
      <c r="O78" s="58" t="e">
        <f t="shared" si="21"/>
        <v>#REF!</v>
      </c>
      <c r="P78" s="58" t="e">
        <f t="shared" si="22"/>
        <v>#REF!</v>
      </c>
      <c r="Q78" s="58"/>
      <c r="R78" s="57" t="e">
        <f t="shared" si="18"/>
        <v>#REF!</v>
      </c>
      <c r="S78" s="58" t="e">
        <f t="shared" si="23"/>
        <v>#REF!</v>
      </c>
      <c r="T78" s="58" t="e">
        <f t="shared" si="24"/>
        <v>#REF!</v>
      </c>
      <c r="U78" s="59"/>
      <c r="V78" s="59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</row>
    <row r="79" spans="1:46" x14ac:dyDescent="0.25">
      <c r="A79" s="31">
        <f>'M&amp;R Stations'!A71</f>
        <v>39030</v>
      </c>
      <c r="B79" s="89"/>
      <c r="C79" s="227">
        <v>101691</v>
      </c>
      <c r="D79" s="225">
        <v>45984.1</v>
      </c>
      <c r="E79" s="185"/>
      <c r="F79" s="72" t="e">
        <f>IF('M&amp;R Stations'!#REF!="","",('M&amp;R Stations'!#REF!+'M&amp;R Stations'!#REF!)+('LNG Facilities'!F71+'LNG Facilities'!G71+'LNG Facilities'!H71+'LNG Facilities'!R71+'LNG Facilities'!S71+'LNG Facilities'!T71)-'LNG Facilities'!#REF!-('NG Utilization'!C79+'NG Utilization'!D79+'NG Utilization'!E79))</f>
        <v>#REF!</v>
      </c>
      <c r="G79" s="58" t="e">
        <f>IF('M&amp;R Stations'!#REF!="","",F79+G78)</f>
        <v>#REF!</v>
      </c>
      <c r="H79" s="58" t="e">
        <f>IF('M&amp;R Stations'!#REF!="","",F79+H78)</f>
        <v>#REF!</v>
      </c>
      <c r="I79" s="58"/>
      <c r="J79" s="57" t="e">
        <f t="shared" si="17"/>
        <v>#REF!</v>
      </c>
      <c r="K79" s="58" t="e">
        <f t="shared" si="19"/>
        <v>#REF!</v>
      </c>
      <c r="L79" s="58" t="e">
        <f t="shared" si="20"/>
        <v>#REF!</v>
      </c>
      <c r="M79" s="58"/>
      <c r="N79" s="73" t="e">
        <f>IF(F79="","",ROUND((('M&amp;R Stations'!#REF!+'M&amp;R Stations'!#REF!)-('NG Utilization'!C79+'NG Utilization'!D79+'NG Utilization'!E79)-'LNG Facilities'!#REF!)*ROUND(((('M&amp;R Stations'!#REF!*'M&amp;R Stations'!L71)+('M&amp;R Stations'!#REF!*'M&amp;R Stations'!F71))/1000)/('M&amp;R Stations'!#REF!+'M&amp;R Stations'!#REF!),3),0)+ROUND((('LNG Facilities'!F71*'LNG Facilities'!K71+'LNG Facilities'!G71*'LNG Facilities'!L71+'LNG Facilities'!H71*'LNG Facilities'!M71+'LNG Facilities'!R71*'LNG Facilities'!W71+'LNG Facilities'!S71*'LNG Facilities'!X71+'LNG Facilities'!T71*'LNG Facilities'!#REF!)/1000),0))</f>
        <v>#REF!</v>
      </c>
      <c r="O79" s="58" t="e">
        <f t="shared" si="21"/>
        <v>#REF!</v>
      </c>
      <c r="P79" s="58" t="e">
        <f t="shared" si="22"/>
        <v>#REF!</v>
      </c>
      <c r="Q79" s="58"/>
      <c r="R79" s="57" t="e">
        <f t="shared" si="18"/>
        <v>#REF!</v>
      </c>
      <c r="S79" s="58" t="e">
        <f t="shared" si="23"/>
        <v>#REF!</v>
      </c>
      <c r="T79" s="58" t="e">
        <f t="shared" si="24"/>
        <v>#REF!</v>
      </c>
      <c r="U79" s="59"/>
      <c r="V79" s="59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</row>
    <row r="80" spans="1:46" x14ac:dyDescent="0.25">
      <c r="A80" s="31">
        <f>'M&amp;R Stations'!A72</f>
        <v>39031</v>
      </c>
      <c r="B80" s="89"/>
      <c r="C80" s="227">
        <v>163194</v>
      </c>
      <c r="D80" s="225">
        <v>110430.3</v>
      </c>
      <c r="E80" s="185"/>
      <c r="F80" s="72" t="e">
        <f>IF('M&amp;R Stations'!#REF!="","",('M&amp;R Stations'!#REF!+'M&amp;R Stations'!#REF!)+('LNG Facilities'!F72+'LNG Facilities'!G72+'LNG Facilities'!H72+'LNG Facilities'!R72+'LNG Facilities'!S72+'LNG Facilities'!T72)-'LNG Facilities'!#REF!-('NG Utilization'!C80+'NG Utilization'!D80+'NG Utilization'!E80))</f>
        <v>#REF!</v>
      </c>
      <c r="G80" s="58" t="e">
        <f>IF('M&amp;R Stations'!#REF!="","",F80+G79)</f>
        <v>#REF!</v>
      </c>
      <c r="H80" s="58" t="e">
        <f>IF('M&amp;R Stations'!#REF!="","",F80+H79)</f>
        <v>#REF!</v>
      </c>
      <c r="I80" s="58"/>
      <c r="J80" s="57" t="e">
        <f t="shared" si="17"/>
        <v>#REF!</v>
      </c>
      <c r="K80" s="58" t="e">
        <f t="shared" si="19"/>
        <v>#REF!</v>
      </c>
      <c r="L80" s="58" t="e">
        <f t="shared" si="20"/>
        <v>#REF!</v>
      </c>
      <c r="M80" s="58"/>
      <c r="N80" s="73" t="e">
        <f>IF(F80="","",ROUND((('M&amp;R Stations'!#REF!+'M&amp;R Stations'!#REF!)-('NG Utilization'!C80+'NG Utilization'!D80+'NG Utilization'!E80)-'LNG Facilities'!#REF!)*ROUND(((('M&amp;R Stations'!#REF!*'M&amp;R Stations'!L72)+('M&amp;R Stations'!#REF!*'M&amp;R Stations'!F72))/1000)/('M&amp;R Stations'!#REF!+'M&amp;R Stations'!#REF!),3),0)+ROUND((('LNG Facilities'!F72*'LNG Facilities'!K72+'LNG Facilities'!G72*'LNG Facilities'!L72+'LNG Facilities'!H72*'LNG Facilities'!M72+'LNG Facilities'!R72*'LNG Facilities'!W72+'LNG Facilities'!S72*'LNG Facilities'!X72+'LNG Facilities'!T72*'LNG Facilities'!#REF!)/1000),0))</f>
        <v>#REF!</v>
      </c>
      <c r="O80" s="58" t="e">
        <f t="shared" si="21"/>
        <v>#REF!</v>
      </c>
      <c r="P80" s="58" t="e">
        <f t="shared" si="22"/>
        <v>#REF!</v>
      </c>
      <c r="Q80" s="58"/>
      <c r="R80" s="57" t="e">
        <f t="shared" si="18"/>
        <v>#REF!</v>
      </c>
      <c r="S80" s="58" t="e">
        <f t="shared" si="23"/>
        <v>#REF!</v>
      </c>
      <c r="T80" s="58" t="e">
        <f t="shared" si="24"/>
        <v>#REF!</v>
      </c>
      <c r="U80" s="59"/>
      <c r="V80" s="59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</row>
    <row r="81" spans="1:46" x14ac:dyDescent="0.25">
      <c r="A81" s="31">
        <f>'M&amp;R Stations'!A73</f>
        <v>39032</v>
      </c>
      <c r="B81" s="89"/>
      <c r="C81" s="227">
        <v>205140</v>
      </c>
      <c r="D81" s="225">
        <v>119636.8</v>
      </c>
      <c r="E81" s="185"/>
      <c r="F81" s="72" t="e">
        <f>IF('M&amp;R Stations'!#REF!="","",('M&amp;R Stations'!#REF!+'M&amp;R Stations'!#REF!)+('LNG Facilities'!F73+'LNG Facilities'!G73+'LNG Facilities'!H73+'LNG Facilities'!R73+'LNG Facilities'!S73+'LNG Facilities'!T73)-'LNG Facilities'!#REF!-('NG Utilization'!C81+'NG Utilization'!D81+'NG Utilization'!E81))</f>
        <v>#REF!</v>
      </c>
      <c r="G81" s="58" t="e">
        <f>IF('M&amp;R Stations'!#REF!="","",F81+G80)</f>
        <v>#REF!</v>
      </c>
      <c r="H81" s="58" t="e">
        <f>IF('M&amp;R Stations'!#REF!="","",F81+H80)</f>
        <v>#REF!</v>
      </c>
      <c r="I81" s="58"/>
      <c r="J81" s="57" t="e">
        <f t="shared" si="17"/>
        <v>#REF!</v>
      </c>
      <c r="K81" s="58" t="e">
        <f t="shared" si="19"/>
        <v>#REF!</v>
      </c>
      <c r="L81" s="58" t="e">
        <f t="shared" si="20"/>
        <v>#REF!</v>
      </c>
      <c r="M81" s="58"/>
      <c r="N81" s="73" t="e">
        <f>IF(F81="","",ROUND((('M&amp;R Stations'!#REF!+'M&amp;R Stations'!#REF!)-('NG Utilization'!C81+'NG Utilization'!D81+'NG Utilization'!E81)-'LNG Facilities'!#REF!)*ROUND(((('M&amp;R Stations'!#REF!*'M&amp;R Stations'!L73)+('M&amp;R Stations'!#REF!*'M&amp;R Stations'!F73))/1000)/('M&amp;R Stations'!#REF!+'M&amp;R Stations'!#REF!),3),0)+ROUND((('LNG Facilities'!F73*'LNG Facilities'!K73+'LNG Facilities'!G73*'LNG Facilities'!L73+'LNG Facilities'!H73*'LNG Facilities'!M73+'LNG Facilities'!R73*'LNG Facilities'!W73+'LNG Facilities'!S73*'LNG Facilities'!X73+'LNG Facilities'!T73*'LNG Facilities'!#REF!)/1000),0))</f>
        <v>#REF!</v>
      </c>
      <c r="O81" s="58" t="e">
        <f t="shared" si="21"/>
        <v>#REF!</v>
      </c>
      <c r="P81" s="58" t="e">
        <f t="shared" si="22"/>
        <v>#REF!</v>
      </c>
      <c r="Q81" s="58"/>
      <c r="R81" s="57" t="e">
        <f t="shared" si="18"/>
        <v>#REF!</v>
      </c>
      <c r="S81" s="58" t="e">
        <f t="shared" si="23"/>
        <v>#REF!</v>
      </c>
      <c r="T81" s="58" t="e">
        <f t="shared" si="24"/>
        <v>#REF!</v>
      </c>
      <c r="U81" s="59"/>
      <c r="V81" s="59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</row>
    <row r="82" spans="1:46" x14ac:dyDescent="0.25">
      <c r="A82" s="31">
        <f>'M&amp;R Stations'!A74</f>
        <v>39033</v>
      </c>
      <c r="B82" s="89"/>
      <c r="C82" s="227">
        <v>157430</v>
      </c>
      <c r="D82" s="225">
        <v>128843.4</v>
      </c>
      <c r="E82" s="185"/>
      <c r="F82" s="72" t="e">
        <f>IF('M&amp;R Stations'!#REF!="","",('M&amp;R Stations'!#REF!+'M&amp;R Stations'!#REF!)+('LNG Facilities'!F74+'LNG Facilities'!G74+'LNG Facilities'!H74+'LNG Facilities'!R74+'LNG Facilities'!S74+'LNG Facilities'!T74)-'LNG Facilities'!#REF!-('NG Utilization'!C82+'NG Utilization'!D82+'NG Utilization'!E82))</f>
        <v>#REF!</v>
      </c>
      <c r="G82" s="58" t="e">
        <f>IF('M&amp;R Stations'!#REF!="","",F82+G81)</f>
        <v>#REF!</v>
      </c>
      <c r="H82" s="58" t="e">
        <f>IF('M&amp;R Stations'!#REF!="","",F82+H81)</f>
        <v>#REF!</v>
      </c>
      <c r="I82" s="58"/>
      <c r="J82" s="57" t="e">
        <f t="shared" si="17"/>
        <v>#REF!</v>
      </c>
      <c r="K82" s="58" t="e">
        <f t="shared" si="19"/>
        <v>#REF!</v>
      </c>
      <c r="L82" s="58" t="e">
        <f t="shared" si="20"/>
        <v>#REF!</v>
      </c>
      <c r="M82" s="58"/>
      <c r="N82" s="73" t="e">
        <f>IF(F82="","",ROUND((('M&amp;R Stations'!#REF!+'M&amp;R Stations'!#REF!)-('NG Utilization'!C82+'NG Utilization'!D82+'NG Utilization'!E82)-'LNG Facilities'!#REF!)*ROUND(((('M&amp;R Stations'!#REF!*'M&amp;R Stations'!L74)+('M&amp;R Stations'!#REF!*'M&amp;R Stations'!F74))/1000)/('M&amp;R Stations'!#REF!+'M&amp;R Stations'!#REF!),3),0)+ROUND((('LNG Facilities'!F74*'LNG Facilities'!K74+'LNG Facilities'!G74*'LNG Facilities'!L74+'LNG Facilities'!H74*'LNG Facilities'!M74+'LNG Facilities'!R74*'LNG Facilities'!W74+'LNG Facilities'!S74*'LNG Facilities'!X74+'LNG Facilities'!T74*'LNG Facilities'!#REF!)/1000),0))</f>
        <v>#REF!</v>
      </c>
      <c r="O82" s="58" t="e">
        <f t="shared" si="21"/>
        <v>#REF!</v>
      </c>
      <c r="P82" s="58" t="e">
        <f t="shared" si="22"/>
        <v>#REF!</v>
      </c>
      <c r="Q82" s="58"/>
      <c r="R82" s="57" t="e">
        <f t="shared" si="18"/>
        <v>#REF!</v>
      </c>
      <c r="S82" s="58" t="e">
        <f t="shared" si="23"/>
        <v>#REF!</v>
      </c>
      <c r="T82" s="58" t="e">
        <f t="shared" si="24"/>
        <v>#REF!</v>
      </c>
      <c r="U82" s="59"/>
      <c r="V82" s="59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</row>
    <row r="83" spans="1:46" x14ac:dyDescent="0.25">
      <c r="A83" s="31">
        <f>'M&amp;R Stations'!A75</f>
        <v>39034</v>
      </c>
      <c r="B83" s="89"/>
      <c r="C83" s="227">
        <v>116304</v>
      </c>
      <c r="D83" s="225">
        <v>138050</v>
      </c>
      <c r="E83" s="185"/>
      <c r="F83" s="72" t="e">
        <f>IF('M&amp;R Stations'!#REF!="","",('M&amp;R Stations'!#REF!+'M&amp;R Stations'!#REF!)+('LNG Facilities'!F75+'LNG Facilities'!G75+'LNG Facilities'!H75+'LNG Facilities'!R75+'LNG Facilities'!S75+'LNG Facilities'!T75)-'LNG Facilities'!#REF!-('NG Utilization'!C83+'NG Utilization'!D83+'NG Utilization'!E83))</f>
        <v>#REF!</v>
      </c>
      <c r="G83" s="58" t="e">
        <f>IF('M&amp;R Stations'!#REF!="","",F83+G82)</f>
        <v>#REF!</v>
      </c>
      <c r="H83" s="58" t="e">
        <f>IF('M&amp;R Stations'!#REF!="","",F83+H82)</f>
        <v>#REF!</v>
      </c>
      <c r="I83" s="58"/>
      <c r="J83" s="57" t="e">
        <f t="shared" si="17"/>
        <v>#REF!</v>
      </c>
      <c r="K83" s="58" t="e">
        <f t="shared" si="19"/>
        <v>#REF!</v>
      </c>
      <c r="L83" s="58" t="e">
        <f t="shared" si="20"/>
        <v>#REF!</v>
      </c>
      <c r="M83" s="58"/>
      <c r="N83" s="73" t="e">
        <f>IF(F83="","",ROUND((('M&amp;R Stations'!#REF!+'M&amp;R Stations'!#REF!)-('NG Utilization'!C83+'NG Utilization'!D83+'NG Utilization'!E83)-'LNG Facilities'!#REF!)*ROUND(((('M&amp;R Stations'!#REF!*'M&amp;R Stations'!L75)+('M&amp;R Stations'!#REF!*'M&amp;R Stations'!F75))/1000)/('M&amp;R Stations'!#REF!+'M&amp;R Stations'!#REF!),3),0)+ROUND((('LNG Facilities'!F75*'LNG Facilities'!K75+'LNG Facilities'!G75*'LNG Facilities'!L75+'LNG Facilities'!H75*'LNG Facilities'!M75+'LNG Facilities'!R75*'LNG Facilities'!W75+'LNG Facilities'!S75*'LNG Facilities'!X75+'LNG Facilities'!T75*'LNG Facilities'!#REF!)/1000),0))</f>
        <v>#REF!</v>
      </c>
      <c r="O83" s="58" t="e">
        <f t="shared" si="21"/>
        <v>#REF!</v>
      </c>
      <c r="P83" s="58" t="e">
        <f t="shared" si="22"/>
        <v>#REF!</v>
      </c>
      <c r="Q83" s="58"/>
      <c r="R83" s="57" t="e">
        <f t="shared" si="18"/>
        <v>#REF!</v>
      </c>
      <c r="S83" s="58" t="e">
        <f t="shared" si="23"/>
        <v>#REF!</v>
      </c>
      <c r="T83" s="58" t="e">
        <f t="shared" si="24"/>
        <v>#REF!</v>
      </c>
      <c r="U83" s="59"/>
      <c r="V83" s="59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</row>
    <row r="84" spans="1:46" x14ac:dyDescent="0.25">
      <c r="A84" s="31">
        <f>'M&amp;R Stations'!A76</f>
        <v>39035</v>
      </c>
      <c r="B84" s="89"/>
      <c r="C84" s="227">
        <v>104685</v>
      </c>
      <c r="D84" s="225">
        <v>147257</v>
      </c>
      <c r="E84" s="185"/>
      <c r="F84" s="72" t="e">
        <f>IF('M&amp;R Stations'!#REF!="","",('M&amp;R Stations'!#REF!+'M&amp;R Stations'!#REF!)+('LNG Facilities'!F76+'LNG Facilities'!G76+'LNG Facilities'!H76+'LNG Facilities'!R76+'LNG Facilities'!S76+'LNG Facilities'!T76)-'LNG Facilities'!#REF!-('NG Utilization'!C84+'NG Utilization'!D84+'NG Utilization'!E84))</f>
        <v>#REF!</v>
      </c>
      <c r="G84" s="58" t="e">
        <f>IF('M&amp;R Stations'!#REF!="","",F84+G83)</f>
        <v>#REF!</v>
      </c>
      <c r="H84" s="58" t="e">
        <f>IF('M&amp;R Stations'!#REF!="","",F84+H83)</f>
        <v>#REF!</v>
      </c>
      <c r="I84" s="58"/>
      <c r="J84" s="57" t="e">
        <f t="shared" si="17"/>
        <v>#REF!</v>
      </c>
      <c r="K84" s="58" t="e">
        <f t="shared" si="19"/>
        <v>#REF!</v>
      </c>
      <c r="L84" s="58" t="e">
        <f t="shared" si="20"/>
        <v>#REF!</v>
      </c>
      <c r="M84" s="58"/>
      <c r="N84" s="73" t="e">
        <f>IF(F84="","",ROUND((('M&amp;R Stations'!#REF!+'M&amp;R Stations'!#REF!)-('NG Utilization'!C84+'NG Utilization'!D84+'NG Utilization'!E84)-'LNG Facilities'!#REF!)*ROUND(((('M&amp;R Stations'!#REF!*'M&amp;R Stations'!L76)+('M&amp;R Stations'!#REF!*'M&amp;R Stations'!F76))/1000)/('M&amp;R Stations'!#REF!+'M&amp;R Stations'!#REF!),3),0)+ROUND((('LNG Facilities'!F76*'LNG Facilities'!K76+'LNG Facilities'!G76*'LNG Facilities'!L76+'LNG Facilities'!H76*'LNG Facilities'!M76+'LNG Facilities'!R76*'LNG Facilities'!W76+'LNG Facilities'!S76*'LNG Facilities'!X76+'LNG Facilities'!T76*'LNG Facilities'!#REF!)/1000),0))</f>
        <v>#REF!</v>
      </c>
      <c r="O84" s="58" t="e">
        <f t="shared" si="21"/>
        <v>#REF!</v>
      </c>
      <c r="P84" s="58" t="e">
        <f t="shared" si="22"/>
        <v>#REF!</v>
      </c>
      <c r="Q84" s="58"/>
      <c r="R84" s="57" t="e">
        <f t="shared" si="18"/>
        <v>#REF!</v>
      </c>
      <c r="S84" s="58" t="e">
        <f t="shared" si="23"/>
        <v>#REF!</v>
      </c>
      <c r="T84" s="58" t="e">
        <f t="shared" si="24"/>
        <v>#REF!</v>
      </c>
      <c r="U84" s="59"/>
      <c r="V84" s="59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</row>
    <row r="85" spans="1:46" x14ac:dyDescent="0.25">
      <c r="A85" s="31">
        <f>'M&amp;R Stations'!A77</f>
        <v>39036</v>
      </c>
      <c r="B85" s="89"/>
      <c r="C85" s="227">
        <v>82192</v>
      </c>
      <c r="D85" s="225">
        <v>156463.20000000001</v>
      </c>
      <c r="E85" s="185"/>
      <c r="F85" s="72" t="e">
        <f>IF('M&amp;R Stations'!#REF!="","",('M&amp;R Stations'!#REF!+'M&amp;R Stations'!#REF!)+('LNG Facilities'!F77+'LNG Facilities'!G77+'LNG Facilities'!H77+'LNG Facilities'!R77+'LNG Facilities'!S77+'LNG Facilities'!T77)-'LNG Facilities'!#REF!-('NG Utilization'!C85+'NG Utilization'!D85+'NG Utilization'!E85))</f>
        <v>#REF!</v>
      </c>
      <c r="G85" s="58" t="e">
        <f>IF('M&amp;R Stations'!#REF!="","",F85+G84)</f>
        <v>#REF!</v>
      </c>
      <c r="H85" s="58" t="e">
        <f>IF('M&amp;R Stations'!#REF!="","",F85+H84)</f>
        <v>#REF!</v>
      </c>
      <c r="I85" s="58"/>
      <c r="J85" s="57" t="e">
        <f t="shared" si="17"/>
        <v>#REF!</v>
      </c>
      <c r="K85" s="58" t="e">
        <f t="shared" si="19"/>
        <v>#REF!</v>
      </c>
      <c r="L85" s="58" t="e">
        <f t="shared" si="20"/>
        <v>#REF!</v>
      </c>
      <c r="M85" s="58"/>
      <c r="N85" s="73" t="e">
        <f>IF(F85="","",ROUND((('M&amp;R Stations'!#REF!+'M&amp;R Stations'!#REF!)-('NG Utilization'!C85+'NG Utilization'!D85+'NG Utilization'!E85)-'LNG Facilities'!#REF!)*ROUND(((('M&amp;R Stations'!#REF!*'M&amp;R Stations'!L77)+('M&amp;R Stations'!#REF!*'M&amp;R Stations'!F77))/1000)/('M&amp;R Stations'!#REF!+'M&amp;R Stations'!#REF!),3),0)+ROUND((('LNG Facilities'!F77*'LNG Facilities'!K77+'LNG Facilities'!G77*'LNG Facilities'!L77+'LNG Facilities'!H77*'LNG Facilities'!M77+'LNG Facilities'!R77*'LNG Facilities'!W77+'LNG Facilities'!S77*'LNG Facilities'!X77+'LNG Facilities'!T77*'LNG Facilities'!#REF!)/1000),0))</f>
        <v>#REF!</v>
      </c>
      <c r="O85" s="58" t="e">
        <f t="shared" si="21"/>
        <v>#REF!</v>
      </c>
      <c r="P85" s="58" t="e">
        <f t="shared" si="22"/>
        <v>#REF!</v>
      </c>
      <c r="Q85" s="58"/>
      <c r="R85" s="57" t="e">
        <f t="shared" si="18"/>
        <v>#REF!</v>
      </c>
      <c r="S85" s="58" t="e">
        <f t="shared" si="23"/>
        <v>#REF!</v>
      </c>
      <c r="T85" s="58" t="e">
        <f t="shared" si="24"/>
        <v>#REF!</v>
      </c>
      <c r="U85" s="59"/>
      <c r="V85" s="59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</row>
    <row r="86" spans="1:46" x14ac:dyDescent="0.25">
      <c r="A86" s="31">
        <f>'M&amp;R Stations'!A78</f>
        <v>39037</v>
      </c>
      <c r="B86" s="89"/>
      <c r="C86" s="227">
        <v>125777</v>
      </c>
      <c r="D86" s="225">
        <v>174876</v>
      </c>
      <c r="E86" s="185"/>
      <c r="F86" s="72" t="e">
        <f>IF('M&amp;R Stations'!#REF!="","",('M&amp;R Stations'!#REF!+'M&amp;R Stations'!#REF!)+('LNG Facilities'!F78+'LNG Facilities'!G78+'LNG Facilities'!H78+'LNG Facilities'!R78+'LNG Facilities'!S78+'LNG Facilities'!T78)-'LNG Facilities'!#REF!-('NG Utilization'!C86+'NG Utilization'!D86+'NG Utilization'!E86))</f>
        <v>#REF!</v>
      </c>
      <c r="G86" s="58" t="e">
        <f>IF('M&amp;R Stations'!#REF!="","",F86+G85)</f>
        <v>#REF!</v>
      </c>
      <c r="H86" s="58" t="e">
        <f>IF('M&amp;R Stations'!#REF!="","",F86+H85)</f>
        <v>#REF!</v>
      </c>
      <c r="I86" s="58"/>
      <c r="J86" s="57" t="e">
        <f t="shared" si="17"/>
        <v>#REF!</v>
      </c>
      <c r="K86" s="58" t="e">
        <f t="shared" si="19"/>
        <v>#REF!</v>
      </c>
      <c r="L86" s="58" t="e">
        <f t="shared" si="20"/>
        <v>#REF!</v>
      </c>
      <c r="M86" s="58"/>
      <c r="N86" s="73" t="e">
        <f>IF(F86="","",ROUND((('M&amp;R Stations'!#REF!+'M&amp;R Stations'!#REF!)-('NG Utilization'!C86+'NG Utilization'!D86+'NG Utilization'!E86)-'LNG Facilities'!#REF!)*ROUND(((('M&amp;R Stations'!#REF!*'M&amp;R Stations'!L78)+('M&amp;R Stations'!#REF!*'M&amp;R Stations'!F78))/1000)/('M&amp;R Stations'!#REF!+'M&amp;R Stations'!#REF!),3),0)+ROUND((('LNG Facilities'!F78*'LNG Facilities'!K78+'LNG Facilities'!G78*'LNG Facilities'!L78+'LNG Facilities'!H78*'LNG Facilities'!M78+'LNG Facilities'!R78*'LNG Facilities'!W78+'LNG Facilities'!S78*'LNG Facilities'!X78+'LNG Facilities'!T78*'LNG Facilities'!#REF!)/1000),0))</f>
        <v>#REF!</v>
      </c>
      <c r="O86" s="58" t="e">
        <f t="shared" si="21"/>
        <v>#REF!</v>
      </c>
      <c r="P86" s="58" t="e">
        <f t="shared" si="22"/>
        <v>#REF!</v>
      </c>
      <c r="Q86" s="58"/>
      <c r="R86" s="57" t="e">
        <f t="shared" si="18"/>
        <v>#REF!</v>
      </c>
      <c r="S86" s="58" t="e">
        <f t="shared" si="23"/>
        <v>#REF!</v>
      </c>
      <c r="T86" s="58" t="e">
        <f t="shared" si="24"/>
        <v>#REF!</v>
      </c>
      <c r="U86" s="59"/>
      <c r="V86" s="59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</row>
    <row r="87" spans="1:46" x14ac:dyDescent="0.25">
      <c r="A87" s="31">
        <f>'M&amp;R Stations'!A79</f>
        <v>39038</v>
      </c>
      <c r="B87" s="89"/>
      <c r="C87" s="227">
        <v>265003</v>
      </c>
      <c r="D87" s="225">
        <v>184083</v>
      </c>
      <c r="E87" s="185"/>
      <c r="F87" s="72" t="e">
        <f>IF('M&amp;R Stations'!#REF!="","",('M&amp;R Stations'!#REF!+'M&amp;R Stations'!#REF!)+('LNG Facilities'!F79+'LNG Facilities'!G79+'LNG Facilities'!H79+'LNG Facilities'!R79+'LNG Facilities'!S79+'LNG Facilities'!T79)-'LNG Facilities'!#REF!-('NG Utilization'!C87+'NG Utilization'!D87+'NG Utilization'!E87))</f>
        <v>#REF!</v>
      </c>
      <c r="G87" s="58" t="e">
        <f>IF('M&amp;R Stations'!#REF!="","",F87+G86)</f>
        <v>#REF!</v>
      </c>
      <c r="H87" s="58" t="e">
        <f>IF('M&amp;R Stations'!#REF!="","",F87+H86)</f>
        <v>#REF!</v>
      </c>
      <c r="I87" s="58"/>
      <c r="J87" s="57" t="e">
        <f t="shared" si="17"/>
        <v>#REF!</v>
      </c>
      <c r="K87" s="58" t="e">
        <f t="shared" si="19"/>
        <v>#REF!</v>
      </c>
      <c r="L87" s="58" t="e">
        <f t="shared" si="20"/>
        <v>#REF!</v>
      </c>
      <c r="M87" s="58"/>
      <c r="N87" s="73" t="e">
        <f>IF(F87="","",ROUND((('M&amp;R Stations'!#REF!+'M&amp;R Stations'!#REF!)-('NG Utilization'!C87+'NG Utilization'!D87+'NG Utilization'!E87)-'LNG Facilities'!#REF!)*ROUND(((('M&amp;R Stations'!#REF!*'M&amp;R Stations'!L79)+('M&amp;R Stations'!#REF!*'M&amp;R Stations'!F79))/1000)/('M&amp;R Stations'!#REF!+'M&amp;R Stations'!#REF!),3),0)+ROUND((('LNG Facilities'!F79*'LNG Facilities'!K79+'LNG Facilities'!G79*'LNG Facilities'!L79+'LNG Facilities'!H79*'LNG Facilities'!M79+'LNG Facilities'!R79*'LNG Facilities'!W79+'LNG Facilities'!S79*'LNG Facilities'!X79+'LNG Facilities'!T79*'LNG Facilities'!#REF!)/1000),0))</f>
        <v>#REF!</v>
      </c>
      <c r="O87" s="58" t="e">
        <f t="shared" si="21"/>
        <v>#REF!</v>
      </c>
      <c r="P87" s="58" t="e">
        <f t="shared" si="22"/>
        <v>#REF!</v>
      </c>
      <c r="Q87" s="58"/>
      <c r="R87" s="57" t="e">
        <f t="shared" si="18"/>
        <v>#REF!</v>
      </c>
      <c r="S87" s="58" t="e">
        <f t="shared" si="23"/>
        <v>#REF!</v>
      </c>
      <c r="T87" s="58" t="e">
        <f t="shared" si="24"/>
        <v>#REF!</v>
      </c>
      <c r="U87" s="59"/>
      <c r="V87" s="59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</row>
    <row r="88" spans="1:46" x14ac:dyDescent="0.25">
      <c r="A88" s="31">
        <f>'M&amp;R Stations'!A80</f>
        <v>39039</v>
      </c>
      <c r="B88" s="89"/>
      <c r="C88" s="227">
        <v>285964</v>
      </c>
      <c r="D88" s="225">
        <v>211702.8</v>
      </c>
      <c r="E88" s="185"/>
      <c r="F88" s="72" t="e">
        <f>IF('M&amp;R Stations'!#REF!="","",('M&amp;R Stations'!#REF!+'M&amp;R Stations'!#REF!)+('LNG Facilities'!F80+'LNG Facilities'!G80+'LNG Facilities'!H80+'LNG Facilities'!R80+'LNG Facilities'!S80+'LNG Facilities'!T80)-'LNG Facilities'!#REF!-('NG Utilization'!C88+'NG Utilization'!D88+'NG Utilization'!E88))</f>
        <v>#REF!</v>
      </c>
      <c r="G88" s="58" t="e">
        <f>IF('M&amp;R Stations'!#REF!="","",F88+G87)</f>
        <v>#REF!</v>
      </c>
      <c r="H88" s="58" t="e">
        <f>IF('M&amp;R Stations'!#REF!="","",F88+H87)</f>
        <v>#REF!</v>
      </c>
      <c r="I88" s="58"/>
      <c r="J88" s="57" t="e">
        <f t="shared" si="17"/>
        <v>#REF!</v>
      </c>
      <c r="K88" s="58" t="e">
        <f t="shared" si="19"/>
        <v>#REF!</v>
      </c>
      <c r="L88" s="58" t="e">
        <f t="shared" si="20"/>
        <v>#REF!</v>
      </c>
      <c r="M88" s="58"/>
      <c r="N88" s="73" t="e">
        <f>IF(F88="","",ROUND((('M&amp;R Stations'!#REF!+'M&amp;R Stations'!#REF!)-('NG Utilization'!C88+'NG Utilization'!D88+'NG Utilization'!E88)-'LNG Facilities'!#REF!)*ROUND(((('M&amp;R Stations'!#REF!*'M&amp;R Stations'!L80)+('M&amp;R Stations'!#REF!*'M&amp;R Stations'!F80))/1000)/('M&amp;R Stations'!#REF!+'M&amp;R Stations'!#REF!),3),0)+ROUND((('LNG Facilities'!F80*'LNG Facilities'!K80+'LNG Facilities'!G80*'LNG Facilities'!L80+'LNG Facilities'!H80*'LNG Facilities'!M80+'LNG Facilities'!R80*'LNG Facilities'!W80+'LNG Facilities'!S80*'LNG Facilities'!X80+'LNG Facilities'!T80*'LNG Facilities'!#REF!)/1000),0))</f>
        <v>#REF!</v>
      </c>
      <c r="O88" s="58" t="e">
        <f t="shared" si="21"/>
        <v>#REF!</v>
      </c>
      <c r="P88" s="58" t="e">
        <f t="shared" si="22"/>
        <v>#REF!</v>
      </c>
      <c r="Q88" s="58"/>
      <c r="R88" s="57" t="e">
        <f t="shared" si="18"/>
        <v>#REF!</v>
      </c>
      <c r="S88" s="58" t="e">
        <f t="shared" si="23"/>
        <v>#REF!</v>
      </c>
      <c r="T88" s="58" t="e">
        <f t="shared" si="24"/>
        <v>#REF!</v>
      </c>
      <c r="U88" s="59"/>
      <c r="V88" s="59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</row>
    <row r="89" spans="1:46" x14ac:dyDescent="0.25">
      <c r="A89" s="31">
        <f>'M&amp;R Stations'!A81</f>
        <v>39040</v>
      </c>
      <c r="B89" s="89"/>
      <c r="C89" s="227">
        <v>236824</v>
      </c>
      <c r="D89" s="225">
        <v>211702.8</v>
      </c>
      <c r="E89" s="185"/>
      <c r="F89" s="72" t="e">
        <f>IF('M&amp;R Stations'!#REF!="","",('M&amp;R Stations'!#REF!+'M&amp;R Stations'!#REF!)+('LNG Facilities'!F81+'LNG Facilities'!G81+'LNG Facilities'!H81+'LNG Facilities'!R81+'LNG Facilities'!S81+'LNG Facilities'!T81)-'LNG Facilities'!#REF!-('NG Utilization'!C89+'NG Utilization'!D89+'NG Utilization'!E89))</f>
        <v>#REF!</v>
      </c>
      <c r="G89" s="58" t="e">
        <f>IF('M&amp;R Stations'!#REF!="","",F89+G88)</f>
        <v>#REF!</v>
      </c>
      <c r="H89" s="58" t="e">
        <f>IF('M&amp;R Stations'!#REF!="","",F89+H88)</f>
        <v>#REF!</v>
      </c>
      <c r="I89" s="58"/>
      <c r="J89" s="57" t="e">
        <f t="shared" si="17"/>
        <v>#REF!</v>
      </c>
      <c r="K89" s="58" t="e">
        <f t="shared" si="19"/>
        <v>#REF!</v>
      </c>
      <c r="L89" s="58" t="e">
        <f t="shared" si="20"/>
        <v>#REF!</v>
      </c>
      <c r="M89" s="58"/>
      <c r="N89" s="73" t="e">
        <f>IF(F89="","",ROUND((('M&amp;R Stations'!#REF!+'M&amp;R Stations'!#REF!)-('NG Utilization'!C89+'NG Utilization'!D89+'NG Utilization'!E89)-'LNG Facilities'!#REF!)*ROUND(((('M&amp;R Stations'!#REF!*'M&amp;R Stations'!L81)+('M&amp;R Stations'!#REF!*'M&amp;R Stations'!F81))/1000)/('M&amp;R Stations'!#REF!+'M&amp;R Stations'!#REF!),3),0)+ROUND((('LNG Facilities'!F81*'LNG Facilities'!K81+'LNG Facilities'!G81*'LNG Facilities'!L81+'LNG Facilities'!H81*'LNG Facilities'!M81+'LNG Facilities'!R81*'LNG Facilities'!W81+'LNG Facilities'!S81*'LNG Facilities'!X81+'LNG Facilities'!T81*'LNG Facilities'!#REF!)/1000),0))</f>
        <v>#REF!</v>
      </c>
      <c r="O89" s="58" t="e">
        <f t="shared" si="21"/>
        <v>#REF!</v>
      </c>
      <c r="P89" s="58" t="e">
        <f t="shared" si="22"/>
        <v>#REF!</v>
      </c>
      <c r="Q89" s="58"/>
      <c r="R89" s="57" t="e">
        <f t="shared" si="18"/>
        <v>#REF!</v>
      </c>
      <c r="S89" s="58" t="e">
        <f t="shared" si="23"/>
        <v>#REF!</v>
      </c>
      <c r="T89" s="58" t="e">
        <f t="shared" si="24"/>
        <v>#REF!</v>
      </c>
      <c r="U89" s="59"/>
      <c r="V89" s="59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</row>
    <row r="90" spans="1:46" x14ac:dyDescent="0.25">
      <c r="A90" s="31">
        <f>'M&amp;R Stations'!A82</f>
        <v>39041</v>
      </c>
      <c r="B90" s="89"/>
      <c r="C90" s="227">
        <v>192733</v>
      </c>
      <c r="D90" s="225">
        <v>266942</v>
      </c>
      <c r="E90" s="185"/>
      <c r="F90" s="72" t="e">
        <f>IF('M&amp;R Stations'!#REF!="","",('M&amp;R Stations'!#REF!+'M&amp;R Stations'!#REF!)+('LNG Facilities'!F82+'LNG Facilities'!G82+'LNG Facilities'!H82+'LNG Facilities'!R82+'LNG Facilities'!S82+'LNG Facilities'!T82)-'LNG Facilities'!#REF!-('NG Utilization'!C90+'NG Utilization'!D90+'NG Utilization'!E90))</f>
        <v>#REF!</v>
      </c>
      <c r="G90" s="58" t="e">
        <f>IF('M&amp;R Stations'!#REF!="","",F90+G89)</f>
        <v>#REF!</v>
      </c>
      <c r="H90" s="58" t="e">
        <f>IF('M&amp;R Stations'!#REF!="","",F90+H89)</f>
        <v>#REF!</v>
      </c>
      <c r="I90" s="58"/>
      <c r="J90" s="57" t="e">
        <f t="shared" si="17"/>
        <v>#REF!</v>
      </c>
      <c r="K90" s="58" t="e">
        <f t="shared" si="19"/>
        <v>#REF!</v>
      </c>
      <c r="L90" s="58" t="e">
        <f t="shared" si="20"/>
        <v>#REF!</v>
      </c>
      <c r="M90" s="58"/>
      <c r="N90" s="73" t="e">
        <f>IF(F90="","",ROUND((('M&amp;R Stations'!#REF!+'M&amp;R Stations'!#REF!)-('NG Utilization'!C90+'NG Utilization'!D90+'NG Utilization'!E90)-'LNG Facilities'!#REF!)*ROUND(((('M&amp;R Stations'!#REF!*'M&amp;R Stations'!L82)+('M&amp;R Stations'!#REF!*'M&amp;R Stations'!F82))/1000)/('M&amp;R Stations'!#REF!+'M&amp;R Stations'!#REF!),3),0)+ROUND((('LNG Facilities'!F82*'LNG Facilities'!K82+'LNG Facilities'!G82*'LNG Facilities'!L82+'LNG Facilities'!H82*'LNG Facilities'!M82+'LNG Facilities'!R82*'LNG Facilities'!W82+'LNG Facilities'!S82*'LNG Facilities'!X82+'LNG Facilities'!T82*'LNG Facilities'!#REF!)/1000),0))</f>
        <v>#REF!</v>
      </c>
      <c r="O90" s="58" t="e">
        <f t="shared" si="21"/>
        <v>#REF!</v>
      </c>
      <c r="P90" s="58" t="e">
        <f t="shared" si="22"/>
        <v>#REF!</v>
      </c>
      <c r="Q90" s="58"/>
      <c r="R90" s="57" t="e">
        <f t="shared" si="18"/>
        <v>#REF!</v>
      </c>
      <c r="S90" s="58" t="e">
        <f t="shared" si="23"/>
        <v>#REF!</v>
      </c>
      <c r="T90" s="58" t="e">
        <f t="shared" si="24"/>
        <v>#REF!</v>
      </c>
      <c r="U90" s="59"/>
      <c r="V90" s="59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</row>
    <row r="91" spans="1:46" x14ac:dyDescent="0.25">
      <c r="A91" s="31">
        <f>'M&amp;R Stations'!A83</f>
        <v>39042</v>
      </c>
      <c r="B91" s="89"/>
      <c r="C91" s="227">
        <v>194810</v>
      </c>
      <c r="D91" s="225">
        <v>239323</v>
      </c>
      <c r="E91" s="185"/>
      <c r="F91" s="72" t="e">
        <f>IF('M&amp;R Stations'!#REF!="","",('M&amp;R Stations'!#REF!+'M&amp;R Stations'!#REF!)+('LNG Facilities'!F83+'LNG Facilities'!G83+'LNG Facilities'!H83+'LNG Facilities'!R83+'LNG Facilities'!S83+'LNG Facilities'!T83)-'LNG Facilities'!#REF!-('NG Utilization'!C91+'NG Utilization'!D91+'NG Utilization'!E91))</f>
        <v>#REF!</v>
      </c>
      <c r="G91" s="58" t="e">
        <f>IF('M&amp;R Stations'!#REF!="","",F91+G90)</f>
        <v>#REF!</v>
      </c>
      <c r="H91" s="58" t="e">
        <f>IF('M&amp;R Stations'!#REF!="","",F91+H90)</f>
        <v>#REF!</v>
      </c>
      <c r="I91" s="58"/>
      <c r="J91" s="57" t="e">
        <f t="shared" si="17"/>
        <v>#REF!</v>
      </c>
      <c r="K91" s="58" t="e">
        <f t="shared" si="19"/>
        <v>#REF!</v>
      </c>
      <c r="L91" s="58" t="e">
        <f t="shared" si="20"/>
        <v>#REF!</v>
      </c>
      <c r="M91" s="58"/>
      <c r="N91" s="73" t="e">
        <f>IF(F91="","",ROUND((('M&amp;R Stations'!#REF!+'M&amp;R Stations'!#REF!)-('NG Utilization'!C91+'NG Utilization'!D91+'NG Utilization'!E91)-'LNG Facilities'!#REF!)*ROUND(((('M&amp;R Stations'!#REF!*'M&amp;R Stations'!L83)+('M&amp;R Stations'!#REF!*'M&amp;R Stations'!F83))/1000)/('M&amp;R Stations'!#REF!+'M&amp;R Stations'!#REF!),3),0)+ROUND((('LNG Facilities'!F83*'LNG Facilities'!K83+'LNG Facilities'!G83*'LNG Facilities'!L83+'LNG Facilities'!H83*'LNG Facilities'!M83+'LNG Facilities'!R83*'LNG Facilities'!W83+'LNG Facilities'!S83*'LNG Facilities'!X83+'LNG Facilities'!T83*'LNG Facilities'!#REF!)/1000),0))</f>
        <v>#REF!</v>
      </c>
      <c r="O91" s="58" t="e">
        <f t="shared" si="21"/>
        <v>#REF!</v>
      </c>
      <c r="P91" s="58" t="e">
        <f t="shared" si="22"/>
        <v>#REF!</v>
      </c>
      <c r="Q91" s="58"/>
      <c r="R91" s="57" t="e">
        <f t="shared" si="18"/>
        <v>#REF!</v>
      </c>
      <c r="S91" s="58" t="e">
        <f t="shared" si="23"/>
        <v>#REF!</v>
      </c>
      <c r="T91" s="58" t="e">
        <f t="shared" si="24"/>
        <v>#REF!</v>
      </c>
      <c r="U91" s="59"/>
      <c r="V91" s="59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</row>
    <row r="92" spans="1:46" x14ac:dyDescent="0.25">
      <c r="A92" s="31">
        <f>'M&amp;R Stations'!A84</f>
        <v>39043</v>
      </c>
      <c r="B92" s="89"/>
      <c r="C92" s="227">
        <v>292269</v>
      </c>
      <c r="D92" s="225">
        <v>266942.3</v>
      </c>
      <c r="E92" s="185"/>
      <c r="F92" s="72" t="e">
        <f>IF('M&amp;R Stations'!#REF!="","",('M&amp;R Stations'!#REF!+'M&amp;R Stations'!#REF!)+('LNG Facilities'!F84+'LNG Facilities'!G84+'LNG Facilities'!H84+'LNG Facilities'!R84+'LNG Facilities'!S84+'LNG Facilities'!T84)-'LNG Facilities'!#REF!-('NG Utilization'!C92+'NG Utilization'!D92+'NG Utilization'!E92))</f>
        <v>#REF!</v>
      </c>
      <c r="G92" s="58" t="e">
        <f>IF('M&amp;R Stations'!#REF!="","",F92+G91)</f>
        <v>#REF!</v>
      </c>
      <c r="H92" s="58" t="e">
        <f>IF('M&amp;R Stations'!#REF!="","",F92+H91)</f>
        <v>#REF!</v>
      </c>
      <c r="I92" s="58"/>
      <c r="J92" s="57" t="e">
        <f t="shared" si="17"/>
        <v>#REF!</v>
      </c>
      <c r="K92" s="58" t="e">
        <f t="shared" si="19"/>
        <v>#REF!</v>
      </c>
      <c r="L92" s="58" t="e">
        <f t="shared" si="20"/>
        <v>#REF!</v>
      </c>
      <c r="M92" s="58"/>
      <c r="N92" s="73" t="e">
        <f>IF(F92="","",ROUND((('M&amp;R Stations'!#REF!+'M&amp;R Stations'!#REF!)-('NG Utilization'!C92+'NG Utilization'!D92+'NG Utilization'!E92)-'LNG Facilities'!#REF!)*ROUND(((('M&amp;R Stations'!#REF!*'M&amp;R Stations'!L84)+('M&amp;R Stations'!#REF!*'M&amp;R Stations'!F84))/1000)/('M&amp;R Stations'!#REF!+'M&amp;R Stations'!#REF!),3),0)+ROUND((('LNG Facilities'!F84*'LNG Facilities'!K84+'LNG Facilities'!G84*'LNG Facilities'!L84+'LNG Facilities'!H84*'LNG Facilities'!M84+'LNG Facilities'!R84*'LNG Facilities'!W84+'LNG Facilities'!S84*'LNG Facilities'!X84+'LNG Facilities'!T84*'LNG Facilities'!#REF!)/1000),0))</f>
        <v>#REF!</v>
      </c>
      <c r="O92" s="58" t="e">
        <f t="shared" si="21"/>
        <v>#REF!</v>
      </c>
      <c r="P92" s="58" t="e">
        <f t="shared" si="22"/>
        <v>#REF!</v>
      </c>
      <c r="Q92" s="58"/>
      <c r="R92" s="57" t="e">
        <f t="shared" si="18"/>
        <v>#REF!</v>
      </c>
      <c r="S92" s="58" t="e">
        <f t="shared" si="23"/>
        <v>#REF!</v>
      </c>
      <c r="T92" s="58" t="e">
        <f t="shared" si="24"/>
        <v>#REF!</v>
      </c>
      <c r="U92" s="59"/>
      <c r="V92" s="59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</row>
    <row r="93" spans="1:46" x14ac:dyDescent="0.25">
      <c r="A93" s="31">
        <f>'M&amp;R Stations'!A85</f>
        <v>39044</v>
      </c>
      <c r="B93" s="89"/>
      <c r="C93" s="227">
        <v>296318</v>
      </c>
      <c r="D93" s="225">
        <v>193289.60000000001</v>
      </c>
      <c r="E93" s="185"/>
      <c r="F93" s="72" t="e">
        <f>IF('M&amp;R Stations'!#REF!="","",('M&amp;R Stations'!#REF!+'M&amp;R Stations'!#REF!)+('LNG Facilities'!F85+'LNG Facilities'!G85+'LNG Facilities'!H85+'LNG Facilities'!R85+'LNG Facilities'!S85+'LNG Facilities'!T85)-'LNG Facilities'!#REF!-('NG Utilization'!C93+'NG Utilization'!D93+'NG Utilization'!E93))</f>
        <v>#REF!</v>
      </c>
      <c r="G93" s="58" t="e">
        <f>IF('M&amp;R Stations'!#REF!="","",F93+G92)</f>
        <v>#REF!</v>
      </c>
      <c r="H93" s="58" t="e">
        <f>IF('M&amp;R Stations'!#REF!="","",F93+H92)</f>
        <v>#REF!</v>
      </c>
      <c r="I93" s="58"/>
      <c r="J93" s="57" t="e">
        <f t="shared" si="17"/>
        <v>#REF!</v>
      </c>
      <c r="K93" s="58" t="e">
        <f t="shared" si="19"/>
        <v>#REF!</v>
      </c>
      <c r="L93" s="58" t="e">
        <f t="shared" si="20"/>
        <v>#REF!</v>
      </c>
      <c r="M93" s="58"/>
      <c r="N93" s="73" t="e">
        <f>IF(F93="","",ROUND((('M&amp;R Stations'!#REF!+'M&amp;R Stations'!#REF!)-('NG Utilization'!C93+'NG Utilization'!D93+'NG Utilization'!E93)-'LNG Facilities'!#REF!)*ROUND(((('M&amp;R Stations'!#REF!*'M&amp;R Stations'!L85)+('M&amp;R Stations'!#REF!*'M&amp;R Stations'!F85))/1000)/('M&amp;R Stations'!#REF!+'M&amp;R Stations'!#REF!),3),0)+ROUND((('LNG Facilities'!F85*'LNG Facilities'!K85+'LNG Facilities'!G85*'LNG Facilities'!L85+'LNG Facilities'!H85*'LNG Facilities'!M85+'LNG Facilities'!R85*'LNG Facilities'!W85+'LNG Facilities'!S85*'LNG Facilities'!X85+'LNG Facilities'!T85*'LNG Facilities'!#REF!)/1000),0))</f>
        <v>#REF!</v>
      </c>
      <c r="O93" s="58" t="e">
        <f t="shared" si="21"/>
        <v>#REF!</v>
      </c>
      <c r="P93" s="58" t="e">
        <f t="shared" si="22"/>
        <v>#REF!</v>
      </c>
      <c r="Q93" s="58"/>
      <c r="R93" s="57" t="e">
        <f t="shared" si="18"/>
        <v>#REF!</v>
      </c>
      <c r="S93" s="58" t="e">
        <f t="shared" si="23"/>
        <v>#REF!</v>
      </c>
      <c r="T93" s="58" t="e">
        <f t="shared" si="24"/>
        <v>#REF!</v>
      </c>
      <c r="U93" s="59"/>
      <c r="V93" s="59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</row>
    <row r="94" spans="1:46" x14ac:dyDescent="0.25">
      <c r="A94" s="31">
        <f>'M&amp;R Stations'!A86</f>
        <v>39045</v>
      </c>
      <c r="B94" s="89"/>
      <c r="C94" s="227">
        <v>327477</v>
      </c>
      <c r="D94" s="225">
        <v>266942.3</v>
      </c>
      <c r="E94" s="185"/>
      <c r="F94" s="72" t="e">
        <f>IF('M&amp;R Stations'!#REF!="","",('M&amp;R Stations'!#REF!+'M&amp;R Stations'!#REF!)+('LNG Facilities'!F86+'LNG Facilities'!G86+'LNG Facilities'!H86+'LNG Facilities'!R86+'LNG Facilities'!S86+'LNG Facilities'!T86)-'LNG Facilities'!#REF!-('NG Utilization'!C94+'NG Utilization'!D94+'NG Utilization'!E94))</f>
        <v>#REF!</v>
      </c>
      <c r="G94" s="58" t="e">
        <f>IF('M&amp;R Stations'!#REF!="","",F94+G93)</f>
        <v>#REF!</v>
      </c>
      <c r="H94" s="58" t="e">
        <f>IF('M&amp;R Stations'!#REF!="","",F94+H93)</f>
        <v>#REF!</v>
      </c>
      <c r="I94" s="58"/>
      <c r="J94" s="57" t="e">
        <f t="shared" si="17"/>
        <v>#REF!</v>
      </c>
      <c r="K94" s="58" t="e">
        <f t="shared" si="19"/>
        <v>#REF!</v>
      </c>
      <c r="L94" s="58" t="e">
        <f t="shared" si="20"/>
        <v>#REF!</v>
      </c>
      <c r="M94" s="58"/>
      <c r="N94" s="73" t="e">
        <f>IF(F94="","",ROUND((('M&amp;R Stations'!#REF!+'M&amp;R Stations'!#REF!)-('NG Utilization'!C94+'NG Utilization'!D94+'NG Utilization'!E94)-'LNG Facilities'!#REF!)*ROUND(((('M&amp;R Stations'!#REF!*'M&amp;R Stations'!L86)+('M&amp;R Stations'!#REF!*'M&amp;R Stations'!F86))/1000)/('M&amp;R Stations'!#REF!+'M&amp;R Stations'!#REF!),3),0)+ROUND((('LNG Facilities'!F86*'LNG Facilities'!K86+'LNG Facilities'!G86*'LNG Facilities'!L86+'LNG Facilities'!H86*'LNG Facilities'!M86+'LNG Facilities'!R86*'LNG Facilities'!W86+'LNG Facilities'!S86*'LNG Facilities'!X86+'LNG Facilities'!T86*'LNG Facilities'!#REF!)/1000),0))</f>
        <v>#REF!</v>
      </c>
      <c r="O94" s="58" t="e">
        <f t="shared" si="21"/>
        <v>#REF!</v>
      </c>
      <c r="P94" s="58" t="e">
        <f t="shared" si="22"/>
        <v>#REF!</v>
      </c>
      <c r="Q94" s="58"/>
      <c r="R94" s="57" t="e">
        <f t="shared" si="18"/>
        <v>#REF!</v>
      </c>
      <c r="S94" s="58" t="e">
        <f t="shared" si="23"/>
        <v>#REF!</v>
      </c>
      <c r="T94" s="58" t="e">
        <f t="shared" si="24"/>
        <v>#REF!</v>
      </c>
      <c r="U94" s="59"/>
      <c r="V94" s="59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</row>
    <row r="95" spans="1:46" x14ac:dyDescent="0.25">
      <c r="A95" s="31">
        <f>'M&amp;R Stations'!A87</f>
        <v>39046</v>
      </c>
      <c r="B95" s="89"/>
      <c r="C95" s="227">
        <v>357582</v>
      </c>
      <c r="D95" s="225">
        <v>276148.90000000002</v>
      </c>
      <c r="E95" s="185"/>
      <c r="F95" s="72" t="e">
        <f>IF('M&amp;R Stations'!#REF!="","",('M&amp;R Stations'!#REF!+'M&amp;R Stations'!#REF!)+('LNG Facilities'!F87+'LNG Facilities'!G87+'LNG Facilities'!H87+'LNG Facilities'!R87+'LNG Facilities'!S87+'LNG Facilities'!T87)-'LNG Facilities'!#REF!-('NG Utilization'!C95+'NG Utilization'!D95+'NG Utilization'!E95))</f>
        <v>#REF!</v>
      </c>
      <c r="G95" s="58" t="e">
        <f>IF('M&amp;R Stations'!#REF!="","",F95+G94)</f>
        <v>#REF!</v>
      </c>
      <c r="H95" s="58" t="e">
        <f>IF('M&amp;R Stations'!#REF!="","",F95+H94)</f>
        <v>#REF!</v>
      </c>
      <c r="I95" s="58"/>
      <c r="J95" s="57" t="e">
        <f t="shared" si="17"/>
        <v>#REF!</v>
      </c>
      <c r="K95" s="58" t="e">
        <f t="shared" si="19"/>
        <v>#REF!</v>
      </c>
      <c r="L95" s="58" t="e">
        <f t="shared" si="20"/>
        <v>#REF!</v>
      </c>
      <c r="M95" s="58"/>
      <c r="N95" s="73" t="e">
        <f>IF(F95="","",ROUND((('M&amp;R Stations'!#REF!+'M&amp;R Stations'!#REF!)-('NG Utilization'!C95+'NG Utilization'!D95+'NG Utilization'!E95)-'LNG Facilities'!#REF!)*ROUND(((('M&amp;R Stations'!#REF!*'M&amp;R Stations'!L87)+('M&amp;R Stations'!#REF!*'M&amp;R Stations'!F87))/1000)/('M&amp;R Stations'!#REF!+'M&amp;R Stations'!#REF!),3),0)+ROUND((('LNG Facilities'!F87*'LNG Facilities'!K87+'LNG Facilities'!G87*'LNG Facilities'!L87+'LNG Facilities'!H87*'LNG Facilities'!M87+'LNG Facilities'!R87*'LNG Facilities'!W87+'LNG Facilities'!S87*'LNG Facilities'!X87+'LNG Facilities'!T87*'LNG Facilities'!#REF!)/1000),0))</f>
        <v>#REF!</v>
      </c>
      <c r="O95" s="58" t="e">
        <f t="shared" si="21"/>
        <v>#REF!</v>
      </c>
      <c r="P95" s="58" t="e">
        <f t="shared" si="22"/>
        <v>#REF!</v>
      </c>
      <c r="Q95" s="58"/>
      <c r="R95" s="57" t="e">
        <f t="shared" si="18"/>
        <v>#REF!</v>
      </c>
      <c r="S95" s="58" t="e">
        <f t="shared" si="23"/>
        <v>#REF!</v>
      </c>
      <c r="T95" s="58" t="e">
        <f t="shared" si="24"/>
        <v>#REF!</v>
      </c>
      <c r="U95" s="59"/>
      <c r="V95" s="59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</row>
    <row r="96" spans="1:46" x14ac:dyDescent="0.25">
      <c r="A96" s="31">
        <f>'M&amp;R Stations'!A88</f>
        <v>39047</v>
      </c>
      <c r="B96" s="89"/>
      <c r="C96" s="227">
        <v>295187</v>
      </c>
      <c r="D96" s="225">
        <v>276148.90000000002</v>
      </c>
      <c r="E96" s="185"/>
      <c r="F96" s="72" t="e">
        <f>IF('M&amp;R Stations'!#REF!="","",('M&amp;R Stations'!#REF!+'M&amp;R Stations'!#REF!)+('LNG Facilities'!F88+'LNG Facilities'!G88+'LNG Facilities'!H88+'LNG Facilities'!R88+'LNG Facilities'!S88+'LNG Facilities'!T88)-'LNG Facilities'!#REF!-('NG Utilization'!C96+'NG Utilization'!D96+'NG Utilization'!E96))</f>
        <v>#REF!</v>
      </c>
      <c r="G96" s="58" t="e">
        <f>IF('M&amp;R Stations'!#REF!="","",F96+G95)</f>
        <v>#REF!</v>
      </c>
      <c r="H96" s="58" t="e">
        <f>IF('M&amp;R Stations'!#REF!="","",F96+H95)</f>
        <v>#REF!</v>
      </c>
      <c r="I96" s="58"/>
      <c r="J96" s="57" t="e">
        <f t="shared" si="17"/>
        <v>#REF!</v>
      </c>
      <c r="K96" s="58" t="e">
        <f t="shared" si="19"/>
        <v>#REF!</v>
      </c>
      <c r="L96" s="58" t="e">
        <f t="shared" si="20"/>
        <v>#REF!</v>
      </c>
      <c r="M96" s="58"/>
      <c r="N96" s="73" t="e">
        <f>IF(F96="","",ROUND((('M&amp;R Stations'!#REF!+'M&amp;R Stations'!#REF!)-('NG Utilization'!C96+'NG Utilization'!D96+'NG Utilization'!E96)-'LNG Facilities'!#REF!)*ROUND(((('M&amp;R Stations'!#REF!*'M&amp;R Stations'!L88)+('M&amp;R Stations'!#REF!*'M&amp;R Stations'!F88))/1000)/('M&amp;R Stations'!#REF!+'M&amp;R Stations'!#REF!),3),0)+ROUND((('LNG Facilities'!F88*'LNG Facilities'!K88+'LNG Facilities'!G88*'LNG Facilities'!L88+'LNG Facilities'!H88*'LNG Facilities'!M88+'LNG Facilities'!R88*'LNG Facilities'!W88+'LNG Facilities'!S88*'LNG Facilities'!X88+'LNG Facilities'!T88*'LNG Facilities'!#REF!)/1000),0))</f>
        <v>#REF!</v>
      </c>
      <c r="O96" s="58" t="e">
        <f t="shared" si="21"/>
        <v>#REF!</v>
      </c>
      <c r="P96" s="58" t="e">
        <f t="shared" si="22"/>
        <v>#REF!</v>
      </c>
      <c r="Q96" s="58"/>
      <c r="R96" s="57" t="e">
        <f t="shared" si="18"/>
        <v>#REF!</v>
      </c>
      <c r="S96" s="58" t="e">
        <f t="shared" si="23"/>
        <v>#REF!</v>
      </c>
      <c r="T96" s="58" t="e">
        <f t="shared" si="24"/>
        <v>#REF!</v>
      </c>
      <c r="U96" s="59"/>
      <c r="V96" s="59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</row>
    <row r="97" spans="1:46" x14ac:dyDescent="0.25">
      <c r="A97" s="31">
        <f>'M&amp;R Stations'!A89</f>
        <v>39048</v>
      </c>
      <c r="B97" s="89"/>
      <c r="C97" s="227">
        <v>203625</v>
      </c>
      <c r="D97" s="225">
        <v>285355.5</v>
      </c>
      <c r="E97" s="185"/>
      <c r="F97" s="72" t="e">
        <f>IF('M&amp;R Stations'!#REF!="","",('M&amp;R Stations'!#REF!+'M&amp;R Stations'!#REF!)+('LNG Facilities'!F89+'LNG Facilities'!G89+'LNG Facilities'!H89+'LNG Facilities'!R89+'LNG Facilities'!S89+'LNG Facilities'!T89)-'LNG Facilities'!#REF!-('NG Utilization'!C97+'NG Utilization'!D97+'NG Utilization'!E97))</f>
        <v>#REF!</v>
      </c>
      <c r="G97" s="58" t="e">
        <f>IF('M&amp;R Stations'!#REF!="","",F97+G96)</f>
        <v>#REF!</v>
      </c>
      <c r="H97" s="58" t="e">
        <f>IF('M&amp;R Stations'!#REF!="","",F97+H96)</f>
        <v>#REF!</v>
      </c>
      <c r="I97" s="58"/>
      <c r="J97" s="57" t="e">
        <f t="shared" si="17"/>
        <v>#REF!</v>
      </c>
      <c r="K97" s="58" t="e">
        <f t="shared" si="19"/>
        <v>#REF!</v>
      </c>
      <c r="L97" s="58" t="e">
        <f t="shared" si="20"/>
        <v>#REF!</v>
      </c>
      <c r="M97" s="58"/>
      <c r="N97" s="73" t="e">
        <f>IF(F97="","",ROUND((('M&amp;R Stations'!#REF!+'M&amp;R Stations'!#REF!)-('NG Utilization'!C97+'NG Utilization'!D97+'NG Utilization'!E97)-'LNG Facilities'!#REF!)*ROUND(((('M&amp;R Stations'!#REF!*'M&amp;R Stations'!L89)+('M&amp;R Stations'!#REF!*'M&amp;R Stations'!F89))/1000)/('M&amp;R Stations'!#REF!+'M&amp;R Stations'!#REF!),3),0)+ROUND((('LNG Facilities'!F89*'LNG Facilities'!K89+'LNG Facilities'!G89*'LNG Facilities'!L89+'LNG Facilities'!H89*'LNG Facilities'!M89+'LNG Facilities'!R89*'LNG Facilities'!W89+'LNG Facilities'!S89*'LNG Facilities'!X89+'LNG Facilities'!T89*'LNG Facilities'!#REF!)/1000),0))</f>
        <v>#REF!</v>
      </c>
      <c r="O97" s="58" t="e">
        <f t="shared" si="21"/>
        <v>#REF!</v>
      </c>
      <c r="P97" s="58" t="e">
        <f t="shared" si="22"/>
        <v>#REF!</v>
      </c>
      <c r="Q97" s="58"/>
      <c r="R97" s="57" t="e">
        <f t="shared" si="18"/>
        <v>#REF!</v>
      </c>
      <c r="S97" s="58" t="e">
        <f t="shared" si="23"/>
        <v>#REF!</v>
      </c>
      <c r="T97" s="58" t="e">
        <f t="shared" si="24"/>
        <v>#REF!</v>
      </c>
      <c r="U97" s="59"/>
      <c r="V97" s="59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</row>
    <row r="98" spans="1:46" x14ac:dyDescent="0.25">
      <c r="A98" s="31">
        <f>'M&amp;R Stations'!A90</f>
        <v>39049</v>
      </c>
      <c r="B98" s="89"/>
      <c r="C98" s="227">
        <v>118135</v>
      </c>
      <c r="D98" s="225">
        <v>303768.7</v>
      </c>
      <c r="E98" s="185"/>
      <c r="F98" s="72" t="e">
        <f>IF('M&amp;R Stations'!#REF!="","",('M&amp;R Stations'!#REF!+'M&amp;R Stations'!#REF!)+('LNG Facilities'!F90+'LNG Facilities'!G90+'LNG Facilities'!H90+'LNG Facilities'!R90+'LNG Facilities'!S90+'LNG Facilities'!T90)-'LNG Facilities'!#REF!-('NG Utilization'!C98+'NG Utilization'!D98+'NG Utilization'!E98))</f>
        <v>#REF!</v>
      </c>
      <c r="G98" s="58" t="e">
        <f>IF('M&amp;R Stations'!#REF!="","",F98+G97)</f>
        <v>#REF!</v>
      </c>
      <c r="H98" s="58" t="e">
        <f>IF('M&amp;R Stations'!#REF!="","",F98+H97)</f>
        <v>#REF!</v>
      </c>
      <c r="I98" s="58"/>
      <c r="J98" s="57" t="e">
        <f t="shared" si="17"/>
        <v>#REF!</v>
      </c>
      <c r="K98" s="58" t="e">
        <f t="shared" si="19"/>
        <v>#REF!</v>
      </c>
      <c r="L98" s="58" t="e">
        <f t="shared" si="20"/>
        <v>#REF!</v>
      </c>
      <c r="M98" s="58"/>
      <c r="N98" s="73" t="e">
        <f>IF(F98="","",ROUND((('M&amp;R Stations'!#REF!+'M&amp;R Stations'!#REF!)-('NG Utilization'!C98+'NG Utilization'!D98+'NG Utilization'!E98)-'LNG Facilities'!#REF!)*ROUND(((('M&amp;R Stations'!#REF!*'M&amp;R Stations'!L90)+('M&amp;R Stations'!#REF!*'M&amp;R Stations'!F90))/1000)/('M&amp;R Stations'!#REF!+'M&amp;R Stations'!#REF!),3),0)+ROUND((('LNG Facilities'!F90*'LNG Facilities'!K90+'LNG Facilities'!G90*'LNG Facilities'!L90+'LNG Facilities'!H90*'LNG Facilities'!M90+'LNG Facilities'!R90*'LNG Facilities'!W90+'LNG Facilities'!S90*'LNG Facilities'!X90+'LNG Facilities'!T90*'LNG Facilities'!#REF!)/1000),0))</f>
        <v>#REF!</v>
      </c>
      <c r="O98" s="58" t="e">
        <f t="shared" si="21"/>
        <v>#REF!</v>
      </c>
      <c r="P98" s="58" t="e">
        <f t="shared" si="22"/>
        <v>#REF!</v>
      </c>
      <c r="Q98" s="58"/>
      <c r="R98" s="57" t="e">
        <f t="shared" si="18"/>
        <v>#REF!</v>
      </c>
      <c r="S98" s="58" t="e">
        <f t="shared" si="23"/>
        <v>#REF!</v>
      </c>
      <c r="T98" s="58" t="e">
        <f t="shared" si="24"/>
        <v>#REF!</v>
      </c>
      <c r="U98" s="59"/>
      <c r="V98" s="59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</row>
    <row r="99" spans="1:46" x14ac:dyDescent="0.25">
      <c r="A99" s="31">
        <f>'M&amp;R Stations'!A91</f>
        <v>39050</v>
      </c>
      <c r="B99" s="89"/>
      <c r="C99" s="227">
        <v>101577</v>
      </c>
      <c r="D99" s="225">
        <v>322181.90000000002</v>
      </c>
      <c r="E99" s="185"/>
      <c r="F99" s="72" t="e">
        <f>IF('M&amp;R Stations'!#REF!="","",('M&amp;R Stations'!#REF!+'M&amp;R Stations'!#REF!)+('LNG Facilities'!F91+'LNG Facilities'!G91+'LNG Facilities'!H91+'LNG Facilities'!R91+'LNG Facilities'!S91+'LNG Facilities'!T91)-'LNG Facilities'!#REF!-('NG Utilization'!C99+'NG Utilization'!D99+'NG Utilization'!E99))</f>
        <v>#REF!</v>
      </c>
      <c r="G99" s="58" t="e">
        <f>IF('M&amp;R Stations'!#REF!="","",F99+G98)</f>
        <v>#REF!</v>
      </c>
      <c r="H99" s="58" t="e">
        <f>IF('M&amp;R Stations'!#REF!="","",F99+H98)</f>
        <v>#REF!</v>
      </c>
      <c r="I99" s="58"/>
      <c r="J99" s="57" t="e">
        <f t="shared" si="17"/>
        <v>#REF!</v>
      </c>
      <c r="K99" s="58" t="e">
        <f t="shared" si="19"/>
        <v>#REF!</v>
      </c>
      <c r="L99" s="58" t="e">
        <f t="shared" si="20"/>
        <v>#REF!</v>
      </c>
      <c r="M99" s="58"/>
      <c r="N99" s="73" t="e">
        <f>IF(F99="","",ROUND((('M&amp;R Stations'!#REF!+'M&amp;R Stations'!#REF!)-('NG Utilization'!C99+'NG Utilization'!D99+'NG Utilization'!E99)-'LNG Facilities'!#REF!)*ROUND(((('M&amp;R Stations'!#REF!*'M&amp;R Stations'!L91)+('M&amp;R Stations'!#REF!*'M&amp;R Stations'!F91))/1000)/('M&amp;R Stations'!#REF!+'M&amp;R Stations'!#REF!),3),0)+ROUND((('LNG Facilities'!F91*'LNG Facilities'!K91+'LNG Facilities'!G91*'LNG Facilities'!L91+'LNG Facilities'!H91*'LNG Facilities'!M91+'LNG Facilities'!R91*'LNG Facilities'!W91+'LNG Facilities'!S91*'LNG Facilities'!X91+'LNG Facilities'!T91*'LNG Facilities'!#REF!)/1000),0))</f>
        <v>#REF!</v>
      </c>
      <c r="O99" s="58" t="e">
        <f t="shared" si="21"/>
        <v>#REF!</v>
      </c>
      <c r="P99" s="58" t="e">
        <f t="shared" si="22"/>
        <v>#REF!</v>
      </c>
      <c r="Q99" s="58"/>
      <c r="R99" s="57" t="e">
        <f t="shared" si="18"/>
        <v>#REF!</v>
      </c>
      <c r="S99" s="58" t="e">
        <f t="shared" si="23"/>
        <v>#REF!</v>
      </c>
      <c r="T99" s="58" t="e">
        <f t="shared" si="24"/>
        <v>#REF!</v>
      </c>
      <c r="U99" s="59"/>
      <c r="V99" s="59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</row>
    <row r="100" spans="1:46" x14ac:dyDescent="0.25">
      <c r="A100" s="31">
        <f>'M&amp;R Stations'!A92</f>
        <v>39051</v>
      </c>
      <c r="B100" s="89"/>
      <c r="C100" s="227">
        <v>186327</v>
      </c>
      <c r="D100" s="225">
        <v>368214.9</v>
      </c>
      <c r="E100" s="185"/>
      <c r="F100" s="72" t="e">
        <f>IF('M&amp;R Stations'!#REF!="","",('M&amp;R Stations'!#REF!+'M&amp;R Stations'!#REF!)+('LNG Facilities'!F92+'LNG Facilities'!G92+'LNG Facilities'!H92+'LNG Facilities'!R92+'LNG Facilities'!S92+'LNG Facilities'!T92)-'LNG Facilities'!#REF!-('NG Utilization'!C100+'NG Utilization'!D100+'NG Utilization'!E100))</f>
        <v>#REF!</v>
      </c>
      <c r="G100" s="58" t="e">
        <f>IF('M&amp;R Stations'!#REF!="","",F100+G99)</f>
        <v>#REF!</v>
      </c>
      <c r="H100" s="58" t="e">
        <f>IF('M&amp;R Stations'!#REF!="","",F100+H99)</f>
        <v>#REF!</v>
      </c>
      <c r="I100" s="58"/>
      <c r="J100" s="57" t="e">
        <f t="shared" si="17"/>
        <v>#REF!</v>
      </c>
      <c r="K100" s="58" t="e">
        <f t="shared" si="19"/>
        <v>#REF!</v>
      </c>
      <c r="L100" s="58" t="e">
        <f t="shared" si="20"/>
        <v>#REF!</v>
      </c>
      <c r="M100" s="58"/>
      <c r="N100" s="73" t="e">
        <f>IF(F100="","",ROUND((('M&amp;R Stations'!#REF!+'M&amp;R Stations'!#REF!)-('NG Utilization'!C100+'NG Utilization'!D100+'NG Utilization'!E100)-'LNG Facilities'!#REF!)*ROUND(((('M&amp;R Stations'!#REF!*'M&amp;R Stations'!L92)+('M&amp;R Stations'!#REF!*'M&amp;R Stations'!F92))/1000)/('M&amp;R Stations'!#REF!+'M&amp;R Stations'!#REF!),3),0)+ROUND((('LNG Facilities'!F92*'LNG Facilities'!K92+'LNG Facilities'!G92*'LNG Facilities'!L92+'LNG Facilities'!H92*'LNG Facilities'!M92+'LNG Facilities'!R92*'LNG Facilities'!W92+'LNG Facilities'!S92*'LNG Facilities'!X92+'LNG Facilities'!T92*'LNG Facilities'!#REF!)/1000),0))</f>
        <v>#REF!</v>
      </c>
      <c r="O100" s="58" t="e">
        <f t="shared" si="21"/>
        <v>#REF!</v>
      </c>
      <c r="P100" s="58" t="e">
        <f t="shared" si="22"/>
        <v>#REF!</v>
      </c>
      <c r="Q100" s="58"/>
      <c r="R100" s="57" t="e">
        <f t="shared" si="18"/>
        <v>#REF!</v>
      </c>
      <c r="S100" s="58" t="e">
        <f t="shared" si="23"/>
        <v>#REF!</v>
      </c>
      <c r="T100" s="58" t="e">
        <f t="shared" si="24"/>
        <v>#REF!</v>
      </c>
      <c r="U100" s="59"/>
      <c r="V100" s="59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</row>
    <row r="101" spans="1:46" x14ac:dyDescent="0.25">
      <c r="A101" s="96"/>
      <c r="B101" s="95"/>
      <c r="C101" s="95"/>
      <c r="D101" s="95"/>
      <c r="E101" s="186"/>
      <c r="F101" s="99"/>
      <c r="G101" s="100"/>
      <c r="H101" s="100"/>
      <c r="I101" s="100"/>
      <c r="J101" s="101"/>
      <c r="K101" s="100"/>
      <c r="L101" s="100"/>
      <c r="M101" s="100"/>
      <c r="N101" s="102"/>
      <c r="O101" s="100"/>
      <c r="P101" s="100"/>
      <c r="Q101" s="100"/>
      <c r="R101" s="101"/>
      <c r="S101" s="100"/>
      <c r="T101" s="100"/>
      <c r="U101" s="59"/>
      <c r="V101" s="59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</row>
    <row r="102" spans="1:46" x14ac:dyDescent="0.25">
      <c r="A102" s="31">
        <f>'M&amp;R Stations'!A93</f>
        <v>39052</v>
      </c>
      <c r="B102" s="89"/>
      <c r="C102" s="227">
        <v>244762</v>
      </c>
      <c r="D102" s="225">
        <v>114590.1</v>
      </c>
      <c r="E102" s="185"/>
      <c r="F102" s="72" t="e">
        <f>IF('M&amp;R Stations'!#REF!="","",('M&amp;R Stations'!#REF!+'M&amp;R Stations'!#REF!)+('LNG Facilities'!F93+'LNG Facilities'!G93+'LNG Facilities'!H93+'LNG Facilities'!R93+'LNG Facilities'!S93+'LNG Facilities'!T93)-'LNG Facilities'!#REF!-('NG Utilization'!C102+'NG Utilization'!D102+'NG Utilization'!E102))</f>
        <v>#REF!</v>
      </c>
      <c r="G102" s="58" t="e">
        <f>IF('M&amp;R Stations'!#REF!="","",F102)</f>
        <v>#REF!</v>
      </c>
      <c r="H102" s="58" t="e">
        <f>IF('M&amp;R Stations'!#REF!="","",F102+H100)</f>
        <v>#REF!</v>
      </c>
      <c r="I102" s="58"/>
      <c r="J102" s="57" t="e">
        <f t="shared" ref="J102:J132" si="25">IF(F102="","",C102)</f>
        <v>#REF!</v>
      </c>
      <c r="K102" s="58" t="e">
        <f>IF(J102="","",J102)</f>
        <v>#REF!</v>
      </c>
      <c r="L102" s="58" t="e">
        <f>IF(J102="","",J102+L100)</f>
        <v>#REF!</v>
      </c>
      <c r="M102" s="58"/>
      <c r="N102" s="73" t="e">
        <f>IF(F102="","",ROUND((('M&amp;R Stations'!#REF!+'M&amp;R Stations'!#REF!)-('NG Utilization'!C102+'NG Utilization'!D102+'NG Utilization'!E102)-'LNG Facilities'!#REF!)*ROUND(((('M&amp;R Stations'!#REF!*'M&amp;R Stations'!L93)+('M&amp;R Stations'!#REF!*'M&amp;R Stations'!F93))/1000)/('M&amp;R Stations'!#REF!+'M&amp;R Stations'!#REF!),3),0)+ROUND((('LNG Facilities'!F93*'LNG Facilities'!K93+'LNG Facilities'!G93*'LNG Facilities'!L93+'LNG Facilities'!H93*'LNG Facilities'!M93+'LNG Facilities'!R93*'LNG Facilities'!W93+'LNG Facilities'!S93*'LNG Facilities'!X93+'LNG Facilities'!T93*'LNG Facilities'!#REF!)/1000),0))</f>
        <v>#REF!</v>
      </c>
      <c r="O102" s="58" t="e">
        <f>IF(N102="","",N102)</f>
        <v>#REF!</v>
      </c>
      <c r="P102" s="58" t="e">
        <f>IF(N102="","",N102+P100)</f>
        <v>#REF!</v>
      </c>
      <c r="Q102" s="58"/>
      <c r="R102" s="57" t="e">
        <f t="shared" ref="R102:R132" si="26">IF(F102="","",D102)</f>
        <v>#REF!</v>
      </c>
      <c r="S102" s="58" t="e">
        <f>IF(R102="","",R102)</f>
        <v>#REF!</v>
      </c>
      <c r="T102" s="58" t="e">
        <f>IF(R102="","",R102+T100)</f>
        <v>#REF!</v>
      </c>
      <c r="U102" s="59"/>
      <c r="V102" s="59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</row>
    <row r="103" spans="1:46" x14ac:dyDescent="0.25">
      <c r="A103" s="31">
        <f>'M&amp;R Stations'!A94</f>
        <v>39053</v>
      </c>
      <c r="B103" s="89"/>
      <c r="C103" s="227">
        <v>337626</v>
      </c>
      <c r="D103" s="225">
        <v>270815.2</v>
      </c>
      <c r="E103" s="185"/>
      <c r="F103" s="72" t="e">
        <f>IF('M&amp;R Stations'!#REF!="","",('M&amp;R Stations'!#REF!+'M&amp;R Stations'!#REF!)+('LNG Facilities'!F94+'LNG Facilities'!G94+'LNG Facilities'!H94+'LNG Facilities'!R94+'LNG Facilities'!S94+'LNG Facilities'!T94)-'LNG Facilities'!#REF!-('NG Utilization'!C103+'NG Utilization'!D103+'NG Utilization'!E103))</f>
        <v>#REF!</v>
      </c>
      <c r="G103" s="58" t="e">
        <f>IF('M&amp;R Stations'!#REF!="","",F103+G102)</f>
        <v>#REF!</v>
      </c>
      <c r="H103" s="58" t="e">
        <f>IF('M&amp;R Stations'!#REF!="","",F103+H102)</f>
        <v>#REF!</v>
      </c>
      <c r="I103" s="58"/>
      <c r="J103" s="57" t="e">
        <f t="shared" si="25"/>
        <v>#REF!</v>
      </c>
      <c r="K103" s="58" t="e">
        <f t="shared" ref="K103:K131" si="27">IF(J103="","",J103+K102)</f>
        <v>#REF!</v>
      </c>
      <c r="L103" s="58" t="e">
        <f t="shared" ref="L103:L131" si="28">IF(J103="","",J103+L102)</f>
        <v>#REF!</v>
      </c>
      <c r="M103" s="58"/>
      <c r="N103" s="73" t="e">
        <f>IF(F103="","",ROUND((('M&amp;R Stations'!#REF!+'M&amp;R Stations'!#REF!)-('NG Utilization'!C103+'NG Utilization'!D103+'NG Utilization'!E103)-'LNG Facilities'!#REF!)*ROUND(((('M&amp;R Stations'!#REF!*'M&amp;R Stations'!L94)+('M&amp;R Stations'!#REF!*'M&amp;R Stations'!F94))/1000)/('M&amp;R Stations'!#REF!+'M&amp;R Stations'!#REF!),3),0)+ROUND((('LNG Facilities'!F94*'LNG Facilities'!K94+'LNG Facilities'!G94*'LNG Facilities'!L94+'LNG Facilities'!H94*'LNG Facilities'!M94+'LNG Facilities'!R94*'LNG Facilities'!W94+'LNG Facilities'!S94*'LNG Facilities'!X94+'LNG Facilities'!T94*'LNG Facilities'!#REF!)/1000),0))</f>
        <v>#REF!</v>
      </c>
      <c r="O103" s="58" t="e">
        <f t="shared" ref="O103:O131" si="29">IF(N103="","",N103+O102)</f>
        <v>#REF!</v>
      </c>
      <c r="P103" s="58" t="e">
        <f t="shared" ref="P103:P131" si="30">IF(N103="","",N103+P102)</f>
        <v>#REF!</v>
      </c>
      <c r="Q103" s="58"/>
      <c r="R103" s="57" t="e">
        <f t="shared" si="26"/>
        <v>#REF!</v>
      </c>
      <c r="S103" s="58" t="e">
        <f t="shared" ref="S103:S131" si="31">IF(R103="","",R103+S102)</f>
        <v>#REF!</v>
      </c>
      <c r="T103" s="58" t="e">
        <f t="shared" ref="T103:T131" si="32">IF(R103="","",R103+T102)</f>
        <v>#REF!</v>
      </c>
      <c r="U103" s="59"/>
      <c r="V103" s="59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</row>
    <row r="104" spans="1:46" x14ac:dyDescent="0.25">
      <c r="A104" s="31">
        <f>'M&amp;R Stations'!A95</f>
        <v>39054</v>
      </c>
      <c r="B104" s="89"/>
      <c r="C104" s="227">
        <v>340397</v>
      </c>
      <c r="D104" s="225">
        <v>241523</v>
      </c>
      <c r="E104" s="185"/>
      <c r="F104" s="72" t="e">
        <f>IF('M&amp;R Stations'!#REF!="","",('M&amp;R Stations'!#REF!+'M&amp;R Stations'!#REF!)+('LNG Facilities'!F95+'LNG Facilities'!G95+'LNG Facilities'!H95+'LNG Facilities'!R95+'LNG Facilities'!S95+'LNG Facilities'!T95)-'LNG Facilities'!#REF!-('NG Utilization'!C104+'NG Utilization'!D104+'NG Utilization'!E104))</f>
        <v>#REF!</v>
      </c>
      <c r="G104" s="58" t="e">
        <f>IF('M&amp;R Stations'!#REF!="","",F104+G103)</f>
        <v>#REF!</v>
      </c>
      <c r="H104" s="58" t="e">
        <f>IF('M&amp;R Stations'!#REF!="","",F104+H103)</f>
        <v>#REF!</v>
      </c>
      <c r="I104" s="58"/>
      <c r="J104" s="57" t="e">
        <f t="shared" si="25"/>
        <v>#REF!</v>
      </c>
      <c r="K104" s="58" t="e">
        <f t="shared" si="27"/>
        <v>#REF!</v>
      </c>
      <c r="L104" s="58" t="e">
        <f t="shared" si="28"/>
        <v>#REF!</v>
      </c>
      <c r="M104" s="58"/>
      <c r="N104" s="73" t="e">
        <f>IF(F104="","",ROUND((('M&amp;R Stations'!#REF!+'M&amp;R Stations'!#REF!)-('NG Utilization'!C104+'NG Utilization'!D104+'NG Utilization'!E104)-'LNG Facilities'!#REF!)*ROUND(((('M&amp;R Stations'!#REF!*'M&amp;R Stations'!L95)+('M&amp;R Stations'!#REF!*'M&amp;R Stations'!F95))/1000)/('M&amp;R Stations'!#REF!+'M&amp;R Stations'!#REF!),3),0)+ROUND((('LNG Facilities'!F95*'LNG Facilities'!K95+'LNG Facilities'!G95*'LNG Facilities'!L95+'LNG Facilities'!H95*'LNG Facilities'!M95+'LNG Facilities'!R95*'LNG Facilities'!W95+'LNG Facilities'!S95*'LNG Facilities'!X95+'LNG Facilities'!T95*'LNG Facilities'!#REF!)/1000),0))</f>
        <v>#REF!</v>
      </c>
      <c r="O104" s="58" t="e">
        <f t="shared" si="29"/>
        <v>#REF!</v>
      </c>
      <c r="P104" s="58" t="e">
        <f t="shared" si="30"/>
        <v>#REF!</v>
      </c>
      <c r="Q104" s="58"/>
      <c r="R104" s="57" t="e">
        <f t="shared" si="26"/>
        <v>#REF!</v>
      </c>
      <c r="S104" s="58" t="e">
        <f t="shared" si="31"/>
        <v>#REF!</v>
      </c>
      <c r="T104" s="58" t="e">
        <f t="shared" si="32"/>
        <v>#REF!</v>
      </c>
      <c r="U104" s="59"/>
      <c r="V104" s="59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</row>
    <row r="105" spans="1:46" x14ac:dyDescent="0.25">
      <c r="A105" s="31">
        <f>'M&amp;R Stations'!A96</f>
        <v>39055</v>
      </c>
      <c r="B105" s="89"/>
      <c r="C105" s="227">
        <v>339439</v>
      </c>
      <c r="D105" s="225">
        <v>329400</v>
      </c>
      <c r="E105" s="185"/>
      <c r="F105" s="72" t="e">
        <f>IF('M&amp;R Stations'!#REF!="","",('M&amp;R Stations'!#REF!+'M&amp;R Stations'!#REF!)+('LNG Facilities'!F96+'LNG Facilities'!G96+'LNG Facilities'!H96+'LNG Facilities'!R96+'LNG Facilities'!S96+'LNG Facilities'!T96)-'LNG Facilities'!#REF!-('NG Utilization'!C105+'NG Utilization'!D105+'NG Utilization'!E105))</f>
        <v>#REF!</v>
      </c>
      <c r="G105" s="58" t="e">
        <f>IF('M&amp;R Stations'!#REF!="","",F105+G104)</f>
        <v>#REF!</v>
      </c>
      <c r="H105" s="58" t="e">
        <f>IF('M&amp;R Stations'!#REF!="","",F105+H104)</f>
        <v>#REF!</v>
      </c>
      <c r="I105" s="58"/>
      <c r="J105" s="57" t="e">
        <f t="shared" si="25"/>
        <v>#REF!</v>
      </c>
      <c r="K105" s="58" t="e">
        <f t="shared" si="27"/>
        <v>#REF!</v>
      </c>
      <c r="L105" s="58" t="e">
        <f t="shared" si="28"/>
        <v>#REF!</v>
      </c>
      <c r="M105" s="58"/>
      <c r="N105" s="73" t="e">
        <f>IF(F105="","",ROUND((('M&amp;R Stations'!#REF!+'M&amp;R Stations'!#REF!)-('NG Utilization'!C105+'NG Utilization'!D105+'NG Utilization'!E105)-'LNG Facilities'!#REF!)*ROUND(((('M&amp;R Stations'!#REF!*'M&amp;R Stations'!L96)+('M&amp;R Stations'!#REF!*'M&amp;R Stations'!F96))/1000)/('M&amp;R Stations'!#REF!+'M&amp;R Stations'!#REF!),3),0)+ROUND((('LNG Facilities'!F96*'LNG Facilities'!K96+'LNG Facilities'!G96*'LNG Facilities'!L96+'LNG Facilities'!H96*'LNG Facilities'!M96+'LNG Facilities'!R96*'LNG Facilities'!W96+'LNG Facilities'!S96*'LNG Facilities'!X96+'LNG Facilities'!T96*'LNG Facilities'!#REF!)/1000),0))</f>
        <v>#REF!</v>
      </c>
      <c r="O105" s="58" t="e">
        <f t="shared" si="29"/>
        <v>#REF!</v>
      </c>
      <c r="P105" s="58" t="e">
        <f t="shared" si="30"/>
        <v>#REF!</v>
      </c>
      <c r="Q105" s="58"/>
      <c r="R105" s="57" t="e">
        <f t="shared" si="26"/>
        <v>#REF!</v>
      </c>
      <c r="S105" s="58" t="e">
        <f t="shared" si="31"/>
        <v>#REF!</v>
      </c>
      <c r="T105" s="58" t="e">
        <f t="shared" si="32"/>
        <v>#REF!</v>
      </c>
      <c r="U105" s="59"/>
      <c r="V105" s="59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</row>
    <row r="106" spans="1:46" x14ac:dyDescent="0.25">
      <c r="A106" s="31">
        <f>'M&amp;R Stations'!A97</f>
        <v>39056</v>
      </c>
      <c r="B106" s="89"/>
      <c r="C106" s="227">
        <v>353559</v>
      </c>
      <c r="D106" s="225">
        <v>329400</v>
      </c>
      <c r="E106" s="185"/>
      <c r="F106" s="72" t="e">
        <f>IF('M&amp;R Stations'!#REF!="","",('M&amp;R Stations'!#REF!+'M&amp;R Stations'!#REF!)+('LNG Facilities'!F97+'LNG Facilities'!G97+'LNG Facilities'!H97+'LNG Facilities'!R97+'LNG Facilities'!S97+'LNG Facilities'!T97)-'LNG Facilities'!#REF!-('NG Utilization'!C106+'NG Utilization'!D106+'NG Utilization'!E106))</f>
        <v>#REF!</v>
      </c>
      <c r="G106" s="58" t="e">
        <f>IF('M&amp;R Stations'!#REF!="","",F106+G105)</f>
        <v>#REF!</v>
      </c>
      <c r="H106" s="58" t="e">
        <f>IF('M&amp;R Stations'!#REF!="","",F106+H105)</f>
        <v>#REF!</v>
      </c>
      <c r="I106" s="58"/>
      <c r="J106" s="57" t="e">
        <f t="shared" si="25"/>
        <v>#REF!</v>
      </c>
      <c r="K106" s="58" t="e">
        <f t="shared" si="27"/>
        <v>#REF!</v>
      </c>
      <c r="L106" s="58" t="e">
        <f t="shared" si="28"/>
        <v>#REF!</v>
      </c>
      <c r="M106" s="58"/>
      <c r="N106" s="73" t="e">
        <f>IF(F106="","",ROUND((('M&amp;R Stations'!#REF!+'M&amp;R Stations'!#REF!)-('NG Utilization'!C106+'NG Utilization'!D106+'NG Utilization'!E106)-'LNG Facilities'!#REF!)*ROUND(((('M&amp;R Stations'!#REF!*'M&amp;R Stations'!L97)+('M&amp;R Stations'!#REF!*'M&amp;R Stations'!F97))/1000)/('M&amp;R Stations'!#REF!+'M&amp;R Stations'!#REF!),3),0)+ROUND((('LNG Facilities'!F97*'LNG Facilities'!K97+'LNG Facilities'!G97*'LNG Facilities'!L97+'LNG Facilities'!H97*'LNG Facilities'!M97+'LNG Facilities'!R97*'LNG Facilities'!W97+'LNG Facilities'!S97*'LNG Facilities'!X97+'LNG Facilities'!T97*'LNG Facilities'!#REF!)/1000),0))</f>
        <v>#REF!</v>
      </c>
      <c r="O106" s="58" t="e">
        <f t="shared" si="29"/>
        <v>#REF!</v>
      </c>
      <c r="P106" s="58" t="e">
        <f t="shared" si="30"/>
        <v>#REF!</v>
      </c>
      <c r="Q106" s="58"/>
      <c r="R106" s="57" t="e">
        <f t="shared" si="26"/>
        <v>#REF!</v>
      </c>
      <c r="S106" s="58" t="e">
        <f t="shared" si="31"/>
        <v>#REF!</v>
      </c>
      <c r="T106" s="58" t="e">
        <f t="shared" si="32"/>
        <v>#REF!</v>
      </c>
      <c r="U106" s="59"/>
      <c r="V106" s="59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</row>
    <row r="107" spans="1:46" x14ac:dyDescent="0.25">
      <c r="A107" s="31">
        <f>'M&amp;R Stations'!A98</f>
        <v>39057</v>
      </c>
      <c r="B107" s="89"/>
      <c r="C107" s="227">
        <v>369658</v>
      </c>
      <c r="D107" s="225">
        <v>212231</v>
      </c>
      <c r="E107" s="185"/>
      <c r="F107" s="72" t="e">
        <f>IF('M&amp;R Stations'!#REF!="","",('M&amp;R Stations'!#REF!+'M&amp;R Stations'!#REF!)+('LNG Facilities'!F98+'LNG Facilities'!G98+'LNG Facilities'!H98+'LNG Facilities'!R98+'LNG Facilities'!S98+'LNG Facilities'!T98)-'LNG Facilities'!#REF!-('NG Utilization'!C107+'NG Utilization'!D107+'NG Utilization'!E107))</f>
        <v>#REF!</v>
      </c>
      <c r="G107" s="58" t="e">
        <f>IF('M&amp;R Stations'!#REF!="","",F107+G106)</f>
        <v>#REF!</v>
      </c>
      <c r="H107" s="58" t="e">
        <f>IF('M&amp;R Stations'!#REF!="","",F107+H106)</f>
        <v>#REF!</v>
      </c>
      <c r="I107" s="58"/>
      <c r="J107" s="57" t="e">
        <f t="shared" si="25"/>
        <v>#REF!</v>
      </c>
      <c r="K107" s="58" t="e">
        <f t="shared" si="27"/>
        <v>#REF!</v>
      </c>
      <c r="L107" s="58" t="e">
        <f t="shared" si="28"/>
        <v>#REF!</v>
      </c>
      <c r="M107" s="58"/>
      <c r="N107" s="73" t="e">
        <f>IF(F107="","",ROUND((('M&amp;R Stations'!#REF!+'M&amp;R Stations'!#REF!)-('NG Utilization'!C107+'NG Utilization'!D107+'NG Utilization'!E107)-'LNG Facilities'!#REF!)*ROUND(((('M&amp;R Stations'!#REF!*'M&amp;R Stations'!L98)+('M&amp;R Stations'!#REF!*'M&amp;R Stations'!F98))/1000)/('M&amp;R Stations'!#REF!+'M&amp;R Stations'!#REF!),3),0)+ROUND((('LNG Facilities'!F98*'LNG Facilities'!K98+'LNG Facilities'!G98*'LNG Facilities'!L98+'LNG Facilities'!H98*'LNG Facilities'!M98+'LNG Facilities'!R98*'LNG Facilities'!W98+'LNG Facilities'!S98*'LNG Facilities'!X98+'LNG Facilities'!T98*'LNG Facilities'!#REF!)/1000),0))</f>
        <v>#REF!</v>
      </c>
      <c r="O107" s="58" t="e">
        <f t="shared" si="29"/>
        <v>#REF!</v>
      </c>
      <c r="P107" s="58" t="e">
        <f t="shared" si="30"/>
        <v>#REF!</v>
      </c>
      <c r="Q107" s="58"/>
      <c r="R107" s="57" t="e">
        <f t="shared" si="26"/>
        <v>#REF!</v>
      </c>
      <c r="S107" s="58" t="e">
        <f t="shared" si="31"/>
        <v>#REF!</v>
      </c>
      <c r="T107" s="58" t="e">
        <f t="shared" si="32"/>
        <v>#REF!</v>
      </c>
      <c r="U107" s="59"/>
      <c r="V107" s="59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</row>
    <row r="108" spans="1:46" x14ac:dyDescent="0.25">
      <c r="A108" s="31">
        <f>'M&amp;R Stations'!A99</f>
        <v>39058</v>
      </c>
      <c r="B108" s="89"/>
      <c r="C108" s="227">
        <v>409070</v>
      </c>
      <c r="D108" s="225">
        <v>309871.5</v>
      </c>
      <c r="E108" s="185"/>
      <c r="F108" s="72" t="e">
        <f>IF('M&amp;R Stations'!#REF!="","",('M&amp;R Stations'!#REF!+'M&amp;R Stations'!#REF!)+('LNG Facilities'!F99+'LNG Facilities'!G99+'LNG Facilities'!H99+'LNG Facilities'!R99+'LNG Facilities'!S99+'LNG Facilities'!T99)-'LNG Facilities'!#REF!-('NG Utilization'!C108+'NG Utilization'!D108+'NG Utilization'!E108))</f>
        <v>#REF!</v>
      </c>
      <c r="G108" s="58" t="e">
        <f>IF('M&amp;R Stations'!#REF!="","",F108+G107)</f>
        <v>#REF!</v>
      </c>
      <c r="H108" s="58" t="e">
        <f>IF('M&amp;R Stations'!#REF!="","",F108+H107)</f>
        <v>#REF!</v>
      </c>
      <c r="I108" s="58"/>
      <c r="J108" s="57" t="e">
        <f t="shared" si="25"/>
        <v>#REF!</v>
      </c>
      <c r="K108" s="58" t="e">
        <f t="shared" si="27"/>
        <v>#REF!</v>
      </c>
      <c r="L108" s="58" t="e">
        <f t="shared" si="28"/>
        <v>#REF!</v>
      </c>
      <c r="M108" s="58"/>
      <c r="N108" s="73" t="e">
        <f>IF(F108="","",ROUND((('M&amp;R Stations'!#REF!+'M&amp;R Stations'!#REF!)-('NG Utilization'!C108+'NG Utilization'!D108+'NG Utilization'!E108)-'LNG Facilities'!#REF!)*ROUND(((('M&amp;R Stations'!#REF!*'M&amp;R Stations'!L99)+('M&amp;R Stations'!#REF!*'M&amp;R Stations'!F99))/1000)/('M&amp;R Stations'!#REF!+'M&amp;R Stations'!#REF!),3),0)+ROUND((('LNG Facilities'!F99*'LNG Facilities'!K99+'LNG Facilities'!G99*'LNG Facilities'!L99+'LNG Facilities'!H99*'LNG Facilities'!M99+'LNG Facilities'!R99*'LNG Facilities'!W99+'LNG Facilities'!S99*'LNG Facilities'!X99+'LNG Facilities'!T99*'LNG Facilities'!#REF!)/1000),0))</f>
        <v>#REF!</v>
      </c>
      <c r="O108" s="58" t="e">
        <f t="shared" si="29"/>
        <v>#REF!</v>
      </c>
      <c r="P108" s="58" t="e">
        <f t="shared" si="30"/>
        <v>#REF!</v>
      </c>
      <c r="Q108" s="58"/>
      <c r="R108" s="57" t="e">
        <f t="shared" si="26"/>
        <v>#REF!</v>
      </c>
      <c r="S108" s="58" t="e">
        <f t="shared" si="31"/>
        <v>#REF!</v>
      </c>
      <c r="T108" s="58" t="e">
        <f t="shared" si="32"/>
        <v>#REF!</v>
      </c>
      <c r="U108" s="59"/>
      <c r="V108" s="59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</row>
    <row r="109" spans="1:46" x14ac:dyDescent="0.25">
      <c r="A109" s="31">
        <f>'M&amp;R Stations'!A100</f>
        <v>39059</v>
      </c>
      <c r="B109" s="89"/>
      <c r="C109" s="227">
        <v>383920</v>
      </c>
      <c r="D109" s="225">
        <v>397748.1</v>
      </c>
      <c r="E109" s="185"/>
      <c r="F109" s="72" t="e">
        <f>IF('M&amp;R Stations'!#REF!="","",('M&amp;R Stations'!#REF!+'M&amp;R Stations'!#REF!)+('LNG Facilities'!F100+'LNG Facilities'!G100+'LNG Facilities'!H100+'LNG Facilities'!R100+'LNG Facilities'!S100+'LNG Facilities'!T100)-'LNG Facilities'!#REF!-('NG Utilization'!C109+'NG Utilization'!D109+'NG Utilization'!E109))</f>
        <v>#REF!</v>
      </c>
      <c r="G109" s="58" t="e">
        <f>IF('M&amp;R Stations'!#REF!="","",F109+G108)</f>
        <v>#REF!</v>
      </c>
      <c r="H109" s="58" t="e">
        <f>IF('M&amp;R Stations'!#REF!="","",F109+H108)</f>
        <v>#REF!</v>
      </c>
      <c r="I109" s="58"/>
      <c r="J109" s="57" t="e">
        <f t="shared" si="25"/>
        <v>#REF!</v>
      </c>
      <c r="K109" s="58" t="e">
        <f t="shared" si="27"/>
        <v>#REF!</v>
      </c>
      <c r="L109" s="58" t="e">
        <f t="shared" si="28"/>
        <v>#REF!</v>
      </c>
      <c r="M109" s="58"/>
      <c r="N109" s="73" t="e">
        <f>IF(F109="","",ROUND((('M&amp;R Stations'!#REF!+'M&amp;R Stations'!#REF!)-('NG Utilization'!C109+'NG Utilization'!D109+'NG Utilization'!E109)-'LNG Facilities'!#REF!)*ROUND(((('M&amp;R Stations'!#REF!*'M&amp;R Stations'!L100)+('M&amp;R Stations'!#REF!*'M&amp;R Stations'!F100))/1000)/('M&amp;R Stations'!#REF!+'M&amp;R Stations'!#REF!),3),0)+ROUND((('LNG Facilities'!F100*'LNG Facilities'!K100+'LNG Facilities'!G100*'LNG Facilities'!L100+'LNG Facilities'!H100*'LNG Facilities'!M100+'LNG Facilities'!R100*'LNG Facilities'!W100+'LNG Facilities'!S100*'LNG Facilities'!X100+'LNG Facilities'!T100*'LNG Facilities'!#REF!)/1000),0))</f>
        <v>#REF!</v>
      </c>
      <c r="O109" s="58" t="e">
        <f t="shared" si="29"/>
        <v>#REF!</v>
      </c>
      <c r="P109" s="58" t="e">
        <f t="shared" si="30"/>
        <v>#REF!</v>
      </c>
      <c r="Q109" s="58"/>
      <c r="R109" s="57" t="e">
        <f t="shared" si="26"/>
        <v>#REF!</v>
      </c>
      <c r="S109" s="58" t="e">
        <f t="shared" si="31"/>
        <v>#REF!</v>
      </c>
      <c r="T109" s="58" t="e">
        <f t="shared" si="32"/>
        <v>#REF!</v>
      </c>
      <c r="U109" s="59"/>
      <c r="V109" s="59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</row>
    <row r="110" spans="1:46" x14ac:dyDescent="0.25">
      <c r="A110" s="31">
        <f>'M&amp;R Stations'!A101</f>
        <v>39060</v>
      </c>
      <c r="B110" s="89"/>
      <c r="C110" s="227">
        <v>375605</v>
      </c>
      <c r="D110" s="225">
        <v>300107.40000000002</v>
      </c>
      <c r="E110" s="185"/>
      <c r="F110" s="72" t="e">
        <f>IF('M&amp;R Stations'!#REF!="","",('M&amp;R Stations'!#REF!+'M&amp;R Stations'!#REF!)+('LNG Facilities'!F101+'LNG Facilities'!G101+'LNG Facilities'!H101+'LNG Facilities'!R101+'LNG Facilities'!S101+'LNG Facilities'!T101)-'LNG Facilities'!#REF!-('NG Utilization'!C110+'NG Utilization'!D110+'NG Utilization'!E110))</f>
        <v>#REF!</v>
      </c>
      <c r="G110" s="58" t="e">
        <f>IF('M&amp;R Stations'!#REF!="","",F110+G109)</f>
        <v>#REF!</v>
      </c>
      <c r="H110" s="58" t="e">
        <f>IF('M&amp;R Stations'!#REF!="","",F110+H109)</f>
        <v>#REF!</v>
      </c>
      <c r="I110" s="58"/>
      <c r="J110" s="57" t="e">
        <f t="shared" si="25"/>
        <v>#REF!</v>
      </c>
      <c r="K110" s="58" t="e">
        <f t="shared" si="27"/>
        <v>#REF!</v>
      </c>
      <c r="L110" s="58" t="e">
        <f t="shared" si="28"/>
        <v>#REF!</v>
      </c>
      <c r="M110" s="58"/>
      <c r="N110" s="73" t="e">
        <f>IF(F110="","",ROUND((('M&amp;R Stations'!#REF!+'M&amp;R Stations'!#REF!)-('NG Utilization'!C110+'NG Utilization'!D110+'NG Utilization'!E110)-'LNG Facilities'!#REF!)*ROUND(((('M&amp;R Stations'!#REF!*'M&amp;R Stations'!L101)+('M&amp;R Stations'!#REF!*'M&amp;R Stations'!F101))/1000)/('M&amp;R Stations'!#REF!+'M&amp;R Stations'!#REF!),3),0)+ROUND((('LNG Facilities'!F101*'LNG Facilities'!K101+'LNG Facilities'!G101*'LNG Facilities'!L101+'LNG Facilities'!H101*'LNG Facilities'!M101+'LNG Facilities'!R101*'LNG Facilities'!W101+'LNG Facilities'!S101*'LNG Facilities'!X101+'LNG Facilities'!T101*'LNG Facilities'!#REF!)/1000),0))</f>
        <v>#REF!</v>
      </c>
      <c r="O110" s="58" t="e">
        <f t="shared" si="29"/>
        <v>#REF!</v>
      </c>
      <c r="P110" s="58" t="e">
        <f t="shared" si="30"/>
        <v>#REF!</v>
      </c>
      <c r="Q110" s="58"/>
      <c r="R110" s="57" t="e">
        <f t="shared" si="26"/>
        <v>#REF!</v>
      </c>
      <c r="S110" s="58" t="e">
        <f t="shared" si="31"/>
        <v>#REF!</v>
      </c>
      <c r="T110" s="58" t="e">
        <f t="shared" si="32"/>
        <v>#REF!</v>
      </c>
      <c r="U110" s="59"/>
      <c r="V110" s="59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</row>
    <row r="111" spans="1:46" x14ac:dyDescent="0.25">
      <c r="A111" s="31">
        <f>'M&amp;R Stations'!A102</f>
        <v>39061</v>
      </c>
      <c r="B111" s="89"/>
      <c r="C111" s="227">
        <v>358069</v>
      </c>
      <c r="D111" s="225">
        <v>221994.8</v>
      </c>
      <c r="E111" s="185"/>
      <c r="F111" s="72" t="e">
        <f>IF('M&amp;R Stations'!#REF!="","",('M&amp;R Stations'!#REF!+'M&amp;R Stations'!#REF!)+('LNG Facilities'!F102+'LNG Facilities'!G102+'LNG Facilities'!H102+'LNG Facilities'!R102+'LNG Facilities'!S102+'LNG Facilities'!T102)-'LNG Facilities'!#REF!-('NG Utilization'!C111+'NG Utilization'!D111+'NG Utilization'!E111))</f>
        <v>#REF!</v>
      </c>
      <c r="G111" s="58" t="e">
        <f>IF('M&amp;R Stations'!#REF!="","",F111+G110)</f>
        <v>#REF!</v>
      </c>
      <c r="H111" s="58" t="e">
        <f>IF('M&amp;R Stations'!#REF!="","",F111+H110)</f>
        <v>#REF!</v>
      </c>
      <c r="I111" s="58"/>
      <c r="J111" s="57" t="e">
        <f t="shared" si="25"/>
        <v>#REF!</v>
      </c>
      <c r="K111" s="58" t="e">
        <f t="shared" si="27"/>
        <v>#REF!</v>
      </c>
      <c r="L111" s="58" t="e">
        <f t="shared" si="28"/>
        <v>#REF!</v>
      </c>
      <c r="M111" s="58"/>
      <c r="N111" s="73" t="e">
        <f>IF(F111="","",ROUND((('M&amp;R Stations'!#REF!+'M&amp;R Stations'!#REF!)-('NG Utilization'!C111+'NG Utilization'!D111+'NG Utilization'!E111)-'LNG Facilities'!#REF!)*ROUND(((('M&amp;R Stations'!#REF!*'M&amp;R Stations'!L102)+('M&amp;R Stations'!#REF!*'M&amp;R Stations'!F102))/1000)/('M&amp;R Stations'!#REF!+'M&amp;R Stations'!#REF!),3),0)+ROUND((('LNG Facilities'!F102*'LNG Facilities'!K102+'LNG Facilities'!G102*'LNG Facilities'!L102+'LNG Facilities'!H102*'LNG Facilities'!M102+'LNG Facilities'!R102*'LNG Facilities'!W102+'LNG Facilities'!S102*'LNG Facilities'!X102+'LNG Facilities'!T102*'LNG Facilities'!#REF!)/1000),0))</f>
        <v>#REF!</v>
      </c>
      <c r="O111" s="58" t="e">
        <f t="shared" si="29"/>
        <v>#REF!</v>
      </c>
      <c r="P111" s="58" t="e">
        <f t="shared" si="30"/>
        <v>#REF!</v>
      </c>
      <c r="Q111" s="58"/>
      <c r="R111" s="57" t="e">
        <f t="shared" si="26"/>
        <v>#REF!</v>
      </c>
      <c r="S111" s="58" t="e">
        <f t="shared" si="31"/>
        <v>#REF!</v>
      </c>
      <c r="T111" s="58" t="e">
        <f t="shared" si="32"/>
        <v>#REF!</v>
      </c>
      <c r="U111" s="59"/>
      <c r="V111" s="59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</row>
    <row r="112" spans="1:46" x14ac:dyDescent="0.25">
      <c r="A112" s="31">
        <f>'M&amp;R Stations'!A103</f>
        <v>39062</v>
      </c>
      <c r="B112" s="89"/>
      <c r="C112" s="227">
        <v>333828</v>
      </c>
      <c r="D112" s="225">
        <v>163410.4</v>
      </c>
      <c r="E112" s="185"/>
      <c r="F112" s="72" t="e">
        <f>IF('M&amp;R Stations'!#REF!="","",('M&amp;R Stations'!#REF!+'M&amp;R Stations'!#REF!)+('LNG Facilities'!F103+'LNG Facilities'!G103+'LNG Facilities'!H103+'LNG Facilities'!R103+'LNG Facilities'!S103+'LNG Facilities'!T103)-'LNG Facilities'!#REF!-('NG Utilization'!C112+'NG Utilization'!D112+'NG Utilization'!E112))</f>
        <v>#REF!</v>
      </c>
      <c r="G112" s="58" t="e">
        <f>IF('M&amp;R Stations'!#REF!="","",F112+G111)</f>
        <v>#REF!</v>
      </c>
      <c r="H112" s="58" t="e">
        <f>IF('M&amp;R Stations'!#REF!="","",F112+H111)</f>
        <v>#REF!</v>
      </c>
      <c r="I112" s="58"/>
      <c r="J112" s="57" t="e">
        <f t="shared" si="25"/>
        <v>#REF!</v>
      </c>
      <c r="K112" s="58" t="e">
        <f t="shared" si="27"/>
        <v>#REF!</v>
      </c>
      <c r="L112" s="58" t="e">
        <f t="shared" si="28"/>
        <v>#REF!</v>
      </c>
      <c r="M112" s="58"/>
      <c r="N112" s="73" t="e">
        <f>IF(F112="","",ROUND((('M&amp;R Stations'!#REF!+'M&amp;R Stations'!#REF!)-('NG Utilization'!C112+'NG Utilization'!D112+'NG Utilization'!E112)-'LNG Facilities'!#REF!)*ROUND(((('M&amp;R Stations'!#REF!*'M&amp;R Stations'!L103)+('M&amp;R Stations'!#REF!*'M&amp;R Stations'!F103))/1000)/('M&amp;R Stations'!#REF!+'M&amp;R Stations'!#REF!),3),0)+ROUND((('LNG Facilities'!F103*'LNG Facilities'!K103+'LNG Facilities'!G103*'LNG Facilities'!L103+'LNG Facilities'!H103*'LNG Facilities'!M103+'LNG Facilities'!R103*'LNG Facilities'!W103+'LNG Facilities'!S103*'LNG Facilities'!X103+'LNG Facilities'!T103*'LNG Facilities'!#REF!)/1000),0))</f>
        <v>#REF!</v>
      </c>
      <c r="O112" s="58" t="e">
        <f t="shared" si="29"/>
        <v>#REF!</v>
      </c>
      <c r="P112" s="58" t="e">
        <f t="shared" si="30"/>
        <v>#REF!</v>
      </c>
      <c r="Q112" s="58"/>
      <c r="R112" s="57" t="e">
        <f t="shared" si="26"/>
        <v>#REF!</v>
      </c>
      <c r="S112" s="58" t="e">
        <f t="shared" si="31"/>
        <v>#REF!</v>
      </c>
      <c r="T112" s="58" t="e">
        <f t="shared" si="32"/>
        <v>#REF!</v>
      </c>
      <c r="U112" s="59"/>
      <c r="V112" s="59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</row>
    <row r="113" spans="1:46" x14ac:dyDescent="0.25">
      <c r="A113" s="31">
        <f>'M&amp;R Stations'!A104</f>
        <v>39063</v>
      </c>
      <c r="B113" s="89"/>
      <c r="C113" s="227">
        <v>390077</v>
      </c>
      <c r="D113" s="225">
        <v>192702.6</v>
      </c>
      <c r="E113" s="185"/>
      <c r="F113" s="72" t="e">
        <f>IF('M&amp;R Stations'!#REF!="","",('M&amp;R Stations'!#REF!+'M&amp;R Stations'!#REF!)+('LNG Facilities'!F104+'LNG Facilities'!G104+'LNG Facilities'!H104+'LNG Facilities'!R104+'LNG Facilities'!S104+'LNG Facilities'!T104)-'LNG Facilities'!#REF!-('NG Utilization'!C113+'NG Utilization'!D113+'NG Utilization'!E113))</f>
        <v>#REF!</v>
      </c>
      <c r="G113" s="58" t="e">
        <f>IF('M&amp;R Stations'!#REF!="","",F113+G112)</f>
        <v>#REF!</v>
      </c>
      <c r="H113" s="58" t="e">
        <f>IF('M&amp;R Stations'!#REF!="","",F113+H112)</f>
        <v>#REF!</v>
      </c>
      <c r="I113" s="58"/>
      <c r="J113" s="57" t="e">
        <f t="shared" si="25"/>
        <v>#REF!</v>
      </c>
      <c r="K113" s="58" t="e">
        <f t="shared" si="27"/>
        <v>#REF!</v>
      </c>
      <c r="L113" s="58" t="e">
        <f t="shared" si="28"/>
        <v>#REF!</v>
      </c>
      <c r="M113" s="58"/>
      <c r="N113" s="73" t="e">
        <f>IF(F113="","",ROUND((('M&amp;R Stations'!#REF!+'M&amp;R Stations'!#REF!)-('NG Utilization'!C113+'NG Utilization'!D113+'NG Utilization'!E113)-'LNG Facilities'!#REF!)*ROUND(((('M&amp;R Stations'!#REF!*'M&amp;R Stations'!L104)+('M&amp;R Stations'!#REF!*'M&amp;R Stations'!F104))/1000)/('M&amp;R Stations'!#REF!+'M&amp;R Stations'!#REF!),3),0)+ROUND((('LNG Facilities'!F104*'LNG Facilities'!K104+'LNG Facilities'!G104*'LNG Facilities'!L104+'LNG Facilities'!H104*'LNG Facilities'!M104+'LNG Facilities'!R104*'LNG Facilities'!W104+'LNG Facilities'!S104*'LNG Facilities'!X104+'LNG Facilities'!T104*'LNG Facilities'!#REF!)/1000),0))</f>
        <v>#REF!</v>
      </c>
      <c r="O113" s="58" t="e">
        <f t="shared" si="29"/>
        <v>#REF!</v>
      </c>
      <c r="P113" s="58" t="e">
        <f t="shared" si="30"/>
        <v>#REF!</v>
      </c>
      <c r="Q113" s="58"/>
      <c r="R113" s="57" t="e">
        <f t="shared" si="26"/>
        <v>#REF!</v>
      </c>
      <c r="S113" s="58" t="e">
        <f t="shared" si="31"/>
        <v>#REF!</v>
      </c>
      <c r="T113" s="58" t="e">
        <f t="shared" si="32"/>
        <v>#REF!</v>
      </c>
      <c r="U113" s="59"/>
      <c r="V113" s="59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</row>
    <row r="114" spans="1:46" x14ac:dyDescent="0.25">
      <c r="A114" s="31">
        <f>'M&amp;R Stations'!A105</f>
        <v>39064</v>
      </c>
      <c r="B114" s="89"/>
      <c r="C114" s="227">
        <v>463325</v>
      </c>
      <c r="D114" s="225">
        <v>231758.9</v>
      </c>
      <c r="E114" s="185"/>
      <c r="F114" s="72" t="e">
        <f>IF('M&amp;R Stations'!#REF!="","",('M&amp;R Stations'!#REF!+'M&amp;R Stations'!#REF!)+('LNG Facilities'!F105+'LNG Facilities'!G105+'LNG Facilities'!H105+'LNG Facilities'!R105+'LNG Facilities'!S105+'LNG Facilities'!T105)-'LNG Facilities'!#REF!-('NG Utilization'!C114+'NG Utilization'!D114+'NG Utilization'!E114))</f>
        <v>#REF!</v>
      </c>
      <c r="G114" s="58" t="e">
        <f>IF('M&amp;R Stations'!#REF!="","",F114+G113)</f>
        <v>#REF!</v>
      </c>
      <c r="H114" s="58" t="e">
        <f>IF('M&amp;R Stations'!#REF!="","",F114+H113)</f>
        <v>#REF!</v>
      </c>
      <c r="I114" s="58"/>
      <c r="J114" s="57" t="e">
        <f t="shared" si="25"/>
        <v>#REF!</v>
      </c>
      <c r="K114" s="58" t="e">
        <f t="shared" si="27"/>
        <v>#REF!</v>
      </c>
      <c r="L114" s="58" t="e">
        <f t="shared" si="28"/>
        <v>#REF!</v>
      </c>
      <c r="M114" s="58"/>
      <c r="N114" s="73" t="e">
        <f>IF(F114="","",ROUND((('M&amp;R Stations'!#REF!+'M&amp;R Stations'!#REF!)-('NG Utilization'!C114+'NG Utilization'!D114+'NG Utilization'!E114)-'LNG Facilities'!#REF!)*ROUND(((('M&amp;R Stations'!#REF!*'M&amp;R Stations'!L105)+('M&amp;R Stations'!#REF!*'M&amp;R Stations'!F105))/1000)/('M&amp;R Stations'!#REF!+'M&amp;R Stations'!#REF!),3),0)+ROUND((('LNG Facilities'!F105*'LNG Facilities'!K105+'LNG Facilities'!G105*'LNG Facilities'!L105+'LNG Facilities'!H105*'LNG Facilities'!M105+'LNG Facilities'!R105*'LNG Facilities'!W105+'LNG Facilities'!S105*'LNG Facilities'!X105+'LNG Facilities'!T105*'LNG Facilities'!#REF!)/1000),0))</f>
        <v>#REF!</v>
      </c>
      <c r="O114" s="58" t="e">
        <f t="shared" si="29"/>
        <v>#REF!</v>
      </c>
      <c r="P114" s="58" t="e">
        <f t="shared" si="30"/>
        <v>#REF!</v>
      </c>
      <c r="Q114" s="58"/>
      <c r="R114" s="57" t="e">
        <f t="shared" si="26"/>
        <v>#REF!</v>
      </c>
      <c r="S114" s="58" t="e">
        <f t="shared" si="31"/>
        <v>#REF!</v>
      </c>
      <c r="T114" s="58" t="e">
        <f t="shared" si="32"/>
        <v>#REF!</v>
      </c>
      <c r="U114" s="59"/>
      <c r="V114" s="59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</row>
    <row r="115" spans="1:46" x14ac:dyDescent="0.25">
      <c r="A115" s="31">
        <f>'M&amp;R Stations'!A106</f>
        <v>39065</v>
      </c>
      <c r="B115" s="89"/>
      <c r="C115" s="227">
        <v>490906</v>
      </c>
      <c r="D115" s="225">
        <v>231758.9</v>
      </c>
      <c r="E115" s="185"/>
      <c r="F115" s="72" t="e">
        <f>IF('M&amp;R Stations'!#REF!="","",('M&amp;R Stations'!#REF!+'M&amp;R Stations'!#REF!)+('LNG Facilities'!F106+'LNG Facilities'!G106+'LNG Facilities'!H106+'LNG Facilities'!R106+'LNG Facilities'!S106+'LNG Facilities'!T106)-'LNG Facilities'!#REF!-('NG Utilization'!C115+'NG Utilization'!D115+'NG Utilization'!E115))</f>
        <v>#REF!</v>
      </c>
      <c r="G115" s="58" t="e">
        <f>IF('M&amp;R Stations'!#REF!="","",F115+G114)</f>
        <v>#REF!</v>
      </c>
      <c r="H115" s="58" t="e">
        <f>IF('M&amp;R Stations'!#REF!="","",F115+H114)</f>
        <v>#REF!</v>
      </c>
      <c r="I115" s="58"/>
      <c r="J115" s="57" t="e">
        <f t="shared" si="25"/>
        <v>#REF!</v>
      </c>
      <c r="K115" s="58" t="e">
        <f t="shared" si="27"/>
        <v>#REF!</v>
      </c>
      <c r="L115" s="58" t="e">
        <f t="shared" si="28"/>
        <v>#REF!</v>
      </c>
      <c r="M115" s="58"/>
      <c r="N115" s="73" t="e">
        <f>IF(F115="","",ROUND((('M&amp;R Stations'!#REF!+'M&amp;R Stations'!#REF!)-('NG Utilization'!C115+'NG Utilization'!D115+'NG Utilization'!E115)-'LNG Facilities'!#REF!)*ROUND(((('M&amp;R Stations'!#REF!*'M&amp;R Stations'!L106)+('M&amp;R Stations'!#REF!*'M&amp;R Stations'!F106))/1000)/('M&amp;R Stations'!#REF!+'M&amp;R Stations'!#REF!),3),0)+ROUND((('LNG Facilities'!F106*'LNG Facilities'!K106+'LNG Facilities'!G106*'LNG Facilities'!L106+'LNG Facilities'!H106*'LNG Facilities'!M106+'LNG Facilities'!R106*'LNG Facilities'!W106+'LNG Facilities'!S106*'LNG Facilities'!X106+'LNG Facilities'!T106*'LNG Facilities'!#REF!)/1000),0))</f>
        <v>#REF!</v>
      </c>
      <c r="O115" s="58" t="e">
        <f t="shared" si="29"/>
        <v>#REF!</v>
      </c>
      <c r="P115" s="58" t="e">
        <f t="shared" si="30"/>
        <v>#REF!</v>
      </c>
      <c r="Q115" s="58"/>
      <c r="R115" s="57" t="e">
        <f t="shared" si="26"/>
        <v>#REF!</v>
      </c>
      <c r="S115" s="58" t="e">
        <f t="shared" si="31"/>
        <v>#REF!</v>
      </c>
      <c r="T115" s="58" t="e">
        <f t="shared" si="32"/>
        <v>#REF!</v>
      </c>
      <c r="U115" s="59"/>
      <c r="V115" s="59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</row>
    <row r="116" spans="1:46" x14ac:dyDescent="0.25">
      <c r="A116" s="31">
        <f>'M&amp;R Stations'!A107</f>
        <v>39066</v>
      </c>
      <c r="B116" s="89"/>
      <c r="C116" s="227">
        <v>371667</v>
      </c>
      <c r="D116" s="225">
        <v>270815.2</v>
      </c>
      <c r="E116" s="185"/>
      <c r="F116" s="72" t="e">
        <f>IF('M&amp;R Stations'!#REF!="","",('M&amp;R Stations'!#REF!+'M&amp;R Stations'!#REF!)+('LNG Facilities'!F107+'LNG Facilities'!G107+'LNG Facilities'!H107+'LNG Facilities'!R107+'LNG Facilities'!S107+'LNG Facilities'!T107)-'LNG Facilities'!#REF!-('NG Utilization'!C116+'NG Utilization'!D116+'NG Utilization'!E116))</f>
        <v>#REF!</v>
      </c>
      <c r="G116" s="58" t="e">
        <f>IF('M&amp;R Stations'!#REF!="","",F116+G115)</f>
        <v>#REF!</v>
      </c>
      <c r="H116" s="58" t="e">
        <f>IF('M&amp;R Stations'!#REF!="","",F116+H115)</f>
        <v>#REF!</v>
      </c>
      <c r="I116" s="58"/>
      <c r="J116" s="57" t="e">
        <f t="shared" si="25"/>
        <v>#REF!</v>
      </c>
      <c r="K116" s="58" t="e">
        <f t="shared" si="27"/>
        <v>#REF!</v>
      </c>
      <c r="L116" s="58" t="e">
        <f t="shared" si="28"/>
        <v>#REF!</v>
      </c>
      <c r="M116" s="58"/>
      <c r="N116" s="73" t="e">
        <f>IF(F116="","",ROUND((('M&amp;R Stations'!#REF!+'M&amp;R Stations'!#REF!)-('NG Utilization'!C116+'NG Utilization'!D116+'NG Utilization'!E116)-'LNG Facilities'!#REF!)*ROUND(((('M&amp;R Stations'!#REF!*'M&amp;R Stations'!L107)+('M&amp;R Stations'!#REF!*'M&amp;R Stations'!F107))/1000)/('M&amp;R Stations'!#REF!+'M&amp;R Stations'!#REF!),3),0)+ROUND((('LNG Facilities'!F107*'LNG Facilities'!K107+'LNG Facilities'!G107*'LNG Facilities'!L107+'LNG Facilities'!H107*'LNG Facilities'!M107+'LNG Facilities'!R107*'LNG Facilities'!W107+'LNG Facilities'!S107*'LNG Facilities'!X107+'LNG Facilities'!T107*'LNG Facilities'!#REF!)/1000),0))</f>
        <v>#REF!</v>
      </c>
      <c r="O116" s="58" t="e">
        <f t="shared" si="29"/>
        <v>#REF!</v>
      </c>
      <c r="P116" s="58" t="e">
        <f t="shared" si="30"/>
        <v>#REF!</v>
      </c>
      <c r="Q116" s="58"/>
      <c r="R116" s="57" t="e">
        <f t="shared" si="26"/>
        <v>#REF!</v>
      </c>
      <c r="S116" s="58" t="e">
        <f t="shared" si="31"/>
        <v>#REF!</v>
      </c>
      <c r="T116" s="58" t="e">
        <f t="shared" si="32"/>
        <v>#REF!</v>
      </c>
      <c r="U116" s="59"/>
      <c r="V116" s="59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</row>
    <row r="117" spans="1:46" x14ac:dyDescent="0.25">
      <c r="A117" s="31">
        <f>'M&amp;R Stations'!A108</f>
        <v>39067</v>
      </c>
      <c r="B117" s="89"/>
      <c r="C117" s="227">
        <v>296252</v>
      </c>
      <c r="D117" s="225">
        <v>280579.3</v>
      </c>
      <c r="E117" s="185"/>
      <c r="F117" s="72" t="e">
        <f>IF('M&amp;R Stations'!#REF!="","",('M&amp;R Stations'!#REF!+'M&amp;R Stations'!#REF!)+('LNG Facilities'!F108+'LNG Facilities'!G108+'LNG Facilities'!H108+'LNG Facilities'!R108+'LNG Facilities'!S108+'LNG Facilities'!T108)-'LNG Facilities'!#REF!-('NG Utilization'!C117+'NG Utilization'!D117+'NG Utilization'!E117))</f>
        <v>#REF!</v>
      </c>
      <c r="G117" s="58" t="e">
        <f>IF('M&amp;R Stations'!#REF!="","",F117+G116)</f>
        <v>#REF!</v>
      </c>
      <c r="H117" s="58" t="e">
        <f>IF('M&amp;R Stations'!#REF!="","",F117+H116)</f>
        <v>#REF!</v>
      </c>
      <c r="I117" s="58"/>
      <c r="J117" s="57" t="e">
        <f t="shared" si="25"/>
        <v>#REF!</v>
      </c>
      <c r="K117" s="58" t="e">
        <f t="shared" si="27"/>
        <v>#REF!</v>
      </c>
      <c r="L117" s="58" t="e">
        <f t="shared" si="28"/>
        <v>#REF!</v>
      </c>
      <c r="M117" s="58"/>
      <c r="N117" s="73" t="e">
        <f>IF(F117="","",ROUND((('M&amp;R Stations'!#REF!+'M&amp;R Stations'!#REF!)-('NG Utilization'!C117+'NG Utilization'!D117+'NG Utilization'!E117)-'LNG Facilities'!#REF!)*ROUND(((('M&amp;R Stations'!#REF!*'M&amp;R Stations'!L108)+('M&amp;R Stations'!#REF!*'M&amp;R Stations'!F108))/1000)/('M&amp;R Stations'!#REF!+'M&amp;R Stations'!#REF!),3),0)+ROUND((('LNG Facilities'!F108*'LNG Facilities'!K108+'LNG Facilities'!G108*'LNG Facilities'!L108+'LNG Facilities'!H108*'LNG Facilities'!M108+'LNG Facilities'!R108*'LNG Facilities'!W108+'LNG Facilities'!S108*'LNG Facilities'!X108+'LNG Facilities'!T108*'LNG Facilities'!#REF!)/1000),0))</f>
        <v>#REF!</v>
      </c>
      <c r="O117" s="58" t="e">
        <f t="shared" si="29"/>
        <v>#REF!</v>
      </c>
      <c r="P117" s="58" t="e">
        <f t="shared" si="30"/>
        <v>#REF!</v>
      </c>
      <c r="Q117" s="58"/>
      <c r="R117" s="57" t="e">
        <f t="shared" si="26"/>
        <v>#REF!</v>
      </c>
      <c r="S117" s="58" t="e">
        <f t="shared" si="31"/>
        <v>#REF!</v>
      </c>
      <c r="T117" s="58" t="e">
        <f t="shared" si="32"/>
        <v>#REF!</v>
      </c>
      <c r="U117" s="59"/>
      <c r="V117" s="59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</row>
    <row r="118" spans="1:46" x14ac:dyDescent="0.25">
      <c r="A118" s="31">
        <f>'M&amp;R Stations'!A109</f>
        <v>39068</v>
      </c>
      <c r="B118" s="89"/>
      <c r="C118" s="227">
        <v>319432</v>
      </c>
      <c r="D118" s="225">
        <v>290343.3</v>
      </c>
      <c r="E118" s="185"/>
      <c r="F118" s="72" t="e">
        <f>IF('M&amp;R Stations'!#REF!="","",('M&amp;R Stations'!#REF!+'M&amp;R Stations'!#REF!)+('LNG Facilities'!F109+'LNG Facilities'!G109+'LNG Facilities'!H109+'LNG Facilities'!R109+'LNG Facilities'!S109+'LNG Facilities'!T109)-'LNG Facilities'!#REF!-('NG Utilization'!C118+'NG Utilization'!D118+'NG Utilization'!E118))</f>
        <v>#REF!</v>
      </c>
      <c r="G118" s="58" t="e">
        <f>IF('M&amp;R Stations'!#REF!="","",F118+G117)</f>
        <v>#REF!</v>
      </c>
      <c r="H118" s="58" t="e">
        <f>IF('M&amp;R Stations'!#REF!="","",F118+H117)</f>
        <v>#REF!</v>
      </c>
      <c r="I118" s="58"/>
      <c r="J118" s="57" t="e">
        <f t="shared" si="25"/>
        <v>#REF!</v>
      </c>
      <c r="K118" s="58" t="e">
        <f t="shared" si="27"/>
        <v>#REF!</v>
      </c>
      <c r="L118" s="58" t="e">
        <f t="shared" si="28"/>
        <v>#REF!</v>
      </c>
      <c r="M118" s="58"/>
      <c r="N118" s="73" t="e">
        <f>IF(F118="","",ROUND((('M&amp;R Stations'!#REF!+'M&amp;R Stations'!#REF!)-('NG Utilization'!C118+'NG Utilization'!D118+'NG Utilization'!E118)-'LNG Facilities'!#REF!)*ROUND(((('M&amp;R Stations'!#REF!*'M&amp;R Stations'!L109)+('M&amp;R Stations'!#REF!*'M&amp;R Stations'!F109))/1000)/('M&amp;R Stations'!#REF!+'M&amp;R Stations'!#REF!),3),0)+ROUND((('LNG Facilities'!F109*'LNG Facilities'!K109+'LNG Facilities'!G109*'LNG Facilities'!L109+'LNG Facilities'!H109*'LNG Facilities'!M109+'LNG Facilities'!R109*'LNG Facilities'!W109+'LNG Facilities'!S109*'LNG Facilities'!X109+'LNG Facilities'!T109*'LNG Facilities'!#REF!)/1000),0))</f>
        <v>#REF!</v>
      </c>
      <c r="O118" s="58" t="e">
        <f t="shared" si="29"/>
        <v>#REF!</v>
      </c>
      <c r="P118" s="58" t="e">
        <f t="shared" si="30"/>
        <v>#REF!</v>
      </c>
      <c r="Q118" s="58"/>
      <c r="R118" s="57" t="e">
        <f t="shared" si="26"/>
        <v>#REF!</v>
      </c>
      <c r="S118" s="58" t="e">
        <f t="shared" si="31"/>
        <v>#REF!</v>
      </c>
      <c r="T118" s="58" t="e">
        <f t="shared" si="32"/>
        <v>#REF!</v>
      </c>
      <c r="U118" s="59"/>
      <c r="V118" s="59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</row>
    <row r="119" spans="1:46" x14ac:dyDescent="0.25">
      <c r="A119" s="31">
        <f>'M&amp;R Stations'!A110</f>
        <v>39069</v>
      </c>
      <c r="B119" s="89"/>
      <c r="C119" s="227">
        <v>316941</v>
      </c>
      <c r="D119" s="225">
        <v>290343.3</v>
      </c>
      <c r="E119" s="185"/>
      <c r="F119" s="72" t="e">
        <f>IF('M&amp;R Stations'!#REF!="","",('M&amp;R Stations'!#REF!+'M&amp;R Stations'!#REF!)+('LNG Facilities'!F110+'LNG Facilities'!G110+'LNG Facilities'!H110+'LNG Facilities'!R110+'LNG Facilities'!S110+'LNG Facilities'!T110)-'LNG Facilities'!#REF!-('NG Utilization'!C119+'NG Utilization'!D119+'NG Utilization'!E119))</f>
        <v>#REF!</v>
      </c>
      <c r="G119" s="58" t="e">
        <f>IF('M&amp;R Stations'!#REF!="","",F119+G118)</f>
        <v>#REF!</v>
      </c>
      <c r="H119" s="58" t="e">
        <f>IF('M&amp;R Stations'!#REF!="","",F119+H118)</f>
        <v>#REF!</v>
      </c>
      <c r="I119" s="58"/>
      <c r="J119" s="57" t="e">
        <f t="shared" si="25"/>
        <v>#REF!</v>
      </c>
      <c r="K119" s="58" t="e">
        <f t="shared" si="27"/>
        <v>#REF!</v>
      </c>
      <c r="L119" s="58" t="e">
        <f t="shared" si="28"/>
        <v>#REF!</v>
      </c>
      <c r="M119" s="58"/>
      <c r="N119" s="73" t="e">
        <f>IF(F119="","",ROUND((('M&amp;R Stations'!#REF!+'M&amp;R Stations'!#REF!)-('NG Utilization'!C119+'NG Utilization'!D119+'NG Utilization'!E119)-'LNG Facilities'!#REF!)*ROUND(((('M&amp;R Stations'!#REF!*'M&amp;R Stations'!L110)+('M&amp;R Stations'!#REF!*'M&amp;R Stations'!F110))/1000)/('M&amp;R Stations'!#REF!+'M&amp;R Stations'!#REF!),3),0)+ROUND((('LNG Facilities'!F110*'LNG Facilities'!K110+'LNG Facilities'!G110*'LNG Facilities'!L110+'LNG Facilities'!H110*'LNG Facilities'!M110+'LNG Facilities'!R110*'LNG Facilities'!W110+'LNG Facilities'!S110*'LNG Facilities'!X110+'LNG Facilities'!T110*'LNG Facilities'!#REF!)/1000),0))</f>
        <v>#REF!</v>
      </c>
      <c r="O119" s="58" t="e">
        <f t="shared" si="29"/>
        <v>#REF!</v>
      </c>
      <c r="P119" s="58" t="e">
        <f t="shared" si="30"/>
        <v>#REF!</v>
      </c>
      <c r="Q119" s="58"/>
      <c r="R119" s="57" t="e">
        <f t="shared" si="26"/>
        <v>#REF!</v>
      </c>
      <c r="S119" s="58" t="e">
        <f t="shared" si="31"/>
        <v>#REF!</v>
      </c>
      <c r="T119" s="58" t="e">
        <f t="shared" si="32"/>
        <v>#REF!</v>
      </c>
      <c r="U119" s="59"/>
      <c r="V119" s="59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</row>
    <row r="120" spans="1:46" x14ac:dyDescent="0.25">
      <c r="A120" s="31">
        <f>'M&amp;R Stations'!A111</f>
        <v>39070</v>
      </c>
      <c r="B120" s="89"/>
      <c r="C120" s="227">
        <v>393734</v>
      </c>
      <c r="D120" s="225">
        <v>300107</v>
      </c>
      <c r="E120" s="185"/>
      <c r="F120" s="72" t="e">
        <f>IF('M&amp;R Stations'!#REF!="","",('M&amp;R Stations'!#REF!+'M&amp;R Stations'!#REF!)+('LNG Facilities'!F111+'LNG Facilities'!G111+'LNG Facilities'!H111+'LNG Facilities'!R111+'LNG Facilities'!S111+'LNG Facilities'!T111)-'LNG Facilities'!#REF!-('NG Utilization'!C120+'NG Utilization'!D120+'NG Utilization'!E120))</f>
        <v>#REF!</v>
      </c>
      <c r="G120" s="58" t="e">
        <f>IF('M&amp;R Stations'!#REF!="","",F120+G119)</f>
        <v>#REF!</v>
      </c>
      <c r="H120" s="58" t="e">
        <f>IF('M&amp;R Stations'!#REF!="","",F120+H119)</f>
        <v>#REF!</v>
      </c>
      <c r="I120" s="58"/>
      <c r="J120" s="57" t="e">
        <f t="shared" si="25"/>
        <v>#REF!</v>
      </c>
      <c r="K120" s="58" t="e">
        <f t="shared" si="27"/>
        <v>#REF!</v>
      </c>
      <c r="L120" s="58" t="e">
        <f t="shared" si="28"/>
        <v>#REF!</v>
      </c>
      <c r="M120" s="58"/>
      <c r="N120" s="73" t="e">
        <f>IF(F120="","",ROUND((('M&amp;R Stations'!#REF!+'M&amp;R Stations'!#REF!)-('NG Utilization'!C120+'NG Utilization'!D120+'NG Utilization'!E120)-'LNG Facilities'!#REF!)*ROUND(((('M&amp;R Stations'!#REF!*'M&amp;R Stations'!L111)+('M&amp;R Stations'!#REF!*'M&amp;R Stations'!F111))/1000)/('M&amp;R Stations'!#REF!+'M&amp;R Stations'!#REF!),3),0)+ROUND((('LNG Facilities'!F111*'LNG Facilities'!K111+'LNG Facilities'!G111*'LNG Facilities'!L111+'LNG Facilities'!H111*'LNG Facilities'!M111+'LNG Facilities'!R111*'LNG Facilities'!W111+'LNG Facilities'!S111*'LNG Facilities'!X111+'LNG Facilities'!T111*'LNG Facilities'!#REF!)/1000),0))</f>
        <v>#REF!</v>
      </c>
      <c r="O120" s="58" t="e">
        <f t="shared" si="29"/>
        <v>#REF!</v>
      </c>
      <c r="P120" s="58" t="e">
        <f t="shared" si="30"/>
        <v>#REF!</v>
      </c>
      <c r="Q120" s="58"/>
      <c r="R120" s="57" t="e">
        <f t="shared" si="26"/>
        <v>#REF!</v>
      </c>
      <c r="S120" s="58" t="e">
        <f t="shared" si="31"/>
        <v>#REF!</v>
      </c>
      <c r="T120" s="58" t="e">
        <f t="shared" si="32"/>
        <v>#REF!</v>
      </c>
      <c r="U120" s="59"/>
      <c r="V120" s="59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</row>
    <row r="121" spans="1:46" x14ac:dyDescent="0.25">
      <c r="A121" s="31">
        <f>'M&amp;R Stations'!A112</f>
        <v>39071</v>
      </c>
      <c r="B121" s="89"/>
      <c r="C121" s="227">
        <v>409605</v>
      </c>
      <c r="D121" s="225">
        <v>319636</v>
      </c>
      <c r="E121" s="185"/>
      <c r="F121" s="72" t="e">
        <f>IF('M&amp;R Stations'!#REF!="","",('M&amp;R Stations'!#REF!+'M&amp;R Stations'!#REF!)+('LNG Facilities'!F112+'LNG Facilities'!G112+'LNG Facilities'!H112+'LNG Facilities'!R112+'LNG Facilities'!S112+'LNG Facilities'!T112)-'LNG Facilities'!#REF!-('NG Utilization'!C121+'NG Utilization'!D121+'NG Utilization'!E121))</f>
        <v>#REF!</v>
      </c>
      <c r="G121" s="58" t="e">
        <f>IF('M&amp;R Stations'!#REF!="","",F121+G120)</f>
        <v>#REF!</v>
      </c>
      <c r="H121" s="58" t="e">
        <f>IF('M&amp;R Stations'!#REF!="","",F121+H120)</f>
        <v>#REF!</v>
      </c>
      <c r="I121" s="58"/>
      <c r="J121" s="57" t="e">
        <f t="shared" si="25"/>
        <v>#REF!</v>
      </c>
      <c r="K121" s="58" t="e">
        <f t="shared" si="27"/>
        <v>#REF!</v>
      </c>
      <c r="L121" s="58" t="e">
        <f t="shared" si="28"/>
        <v>#REF!</v>
      </c>
      <c r="M121" s="58"/>
      <c r="N121" s="73" t="e">
        <f>IF(F121="","",ROUND((('M&amp;R Stations'!#REF!+'M&amp;R Stations'!#REF!)-('NG Utilization'!C121+'NG Utilization'!D121+'NG Utilization'!E121)-'LNG Facilities'!#REF!)*ROUND(((('M&amp;R Stations'!#REF!*'M&amp;R Stations'!L112)+('M&amp;R Stations'!#REF!*'M&amp;R Stations'!F112))/1000)/('M&amp;R Stations'!#REF!+'M&amp;R Stations'!#REF!),3),0)+ROUND((('LNG Facilities'!F112*'LNG Facilities'!K112+'LNG Facilities'!G112*'LNG Facilities'!L112+'LNG Facilities'!H112*'LNG Facilities'!M112+'LNG Facilities'!R112*'LNG Facilities'!W112+'LNG Facilities'!S112*'LNG Facilities'!X112+'LNG Facilities'!T112*'LNG Facilities'!#REF!)/1000),0))</f>
        <v>#REF!</v>
      </c>
      <c r="O121" s="58" t="e">
        <f t="shared" si="29"/>
        <v>#REF!</v>
      </c>
      <c r="P121" s="58" t="e">
        <f t="shared" si="30"/>
        <v>#REF!</v>
      </c>
      <c r="Q121" s="58"/>
      <c r="R121" s="57" t="e">
        <f t="shared" si="26"/>
        <v>#REF!</v>
      </c>
      <c r="S121" s="58" t="e">
        <f t="shared" si="31"/>
        <v>#REF!</v>
      </c>
      <c r="T121" s="58" t="e">
        <f t="shared" si="32"/>
        <v>#REF!</v>
      </c>
      <c r="U121" s="59"/>
      <c r="V121" s="59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</row>
    <row r="122" spans="1:46" x14ac:dyDescent="0.25">
      <c r="A122" s="31">
        <f>'M&amp;R Stations'!A113</f>
        <v>39072</v>
      </c>
      <c r="B122" s="89"/>
      <c r="C122" s="227">
        <v>375741</v>
      </c>
      <c r="D122" s="225">
        <v>319635.5</v>
      </c>
      <c r="E122" s="185"/>
      <c r="F122" s="72" t="e">
        <f>IF('M&amp;R Stations'!#REF!="","",('M&amp;R Stations'!#REF!+'M&amp;R Stations'!#REF!)+('LNG Facilities'!F113+'LNG Facilities'!G113+'LNG Facilities'!H113+'LNG Facilities'!R113+'LNG Facilities'!S113+'LNG Facilities'!T113)-'LNG Facilities'!#REF!-('NG Utilization'!C122+'NG Utilization'!D122+'NG Utilization'!E122))</f>
        <v>#REF!</v>
      </c>
      <c r="G122" s="58" t="e">
        <f>IF('M&amp;R Stations'!#REF!="","",F122+G121)</f>
        <v>#REF!</v>
      </c>
      <c r="H122" s="58" t="e">
        <f>IF('M&amp;R Stations'!#REF!="","",F122+H121)</f>
        <v>#REF!</v>
      </c>
      <c r="I122" s="58"/>
      <c r="J122" s="57" t="e">
        <f t="shared" si="25"/>
        <v>#REF!</v>
      </c>
      <c r="K122" s="58" t="e">
        <f t="shared" si="27"/>
        <v>#REF!</v>
      </c>
      <c r="L122" s="58" t="e">
        <f t="shared" si="28"/>
        <v>#REF!</v>
      </c>
      <c r="M122" s="58"/>
      <c r="N122" s="73" t="e">
        <f>IF(F122="","",ROUND((('M&amp;R Stations'!#REF!+'M&amp;R Stations'!#REF!)-('NG Utilization'!C122+'NG Utilization'!D122+'NG Utilization'!E122)-'LNG Facilities'!#REF!)*ROUND(((('M&amp;R Stations'!#REF!*'M&amp;R Stations'!L113)+('M&amp;R Stations'!#REF!*'M&amp;R Stations'!F113))/1000)/('M&amp;R Stations'!#REF!+'M&amp;R Stations'!#REF!),3),0)+ROUND((('LNG Facilities'!F113*'LNG Facilities'!K113+'LNG Facilities'!G113*'LNG Facilities'!L113+'LNG Facilities'!H113*'LNG Facilities'!M113+'LNG Facilities'!R113*'LNG Facilities'!W113+'LNG Facilities'!S113*'LNG Facilities'!X113+'LNG Facilities'!T113*'LNG Facilities'!#REF!)/1000),0))</f>
        <v>#REF!</v>
      </c>
      <c r="O122" s="58" t="e">
        <f t="shared" si="29"/>
        <v>#REF!</v>
      </c>
      <c r="P122" s="58" t="e">
        <f t="shared" si="30"/>
        <v>#REF!</v>
      </c>
      <c r="Q122" s="58"/>
      <c r="R122" s="57" t="e">
        <f t="shared" si="26"/>
        <v>#REF!</v>
      </c>
      <c r="S122" s="58" t="e">
        <f t="shared" si="31"/>
        <v>#REF!</v>
      </c>
      <c r="T122" s="58" t="e">
        <f t="shared" si="32"/>
        <v>#REF!</v>
      </c>
      <c r="U122" s="59"/>
      <c r="V122" s="59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</row>
    <row r="123" spans="1:46" x14ac:dyDescent="0.25">
      <c r="A123" s="31">
        <f>'M&amp;R Stations'!A114</f>
        <v>39073</v>
      </c>
      <c r="B123" s="89"/>
      <c r="C123" s="227">
        <v>343899</v>
      </c>
      <c r="D123" s="225">
        <v>339163.7</v>
      </c>
      <c r="E123" s="185"/>
      <c r="F123" s="72" t="e">
        <f>IF('M&amp;R Stations'!#REF!="","",('M&amp;R Stations'!#REF!+'M&amp;R Stations'!#REF!)+('LNG Facilities'!F114+'LNG Facilities'!G114+'LNG Facilities'!H114+'LNG Facilities'!R114+'LNG Facilities'!S114+'LNG Facilities'!T114)-'LNG Facilities'!#REF!-('NG Utilization'!C123+'NG Utilization'!D123+'NG Utilization'!E123))</f>
        <v>#REF!</v>
      </c>
      <c r="G123" s="58" t="e">
        <f>IF('M&amp;R Stations'!#REF!="","",F123+G122)</f>
        <v>#REF!</v>
      </c>
      <c r="H123" s="58" t="e">
        <f>IF('M&amp;R Stations'!#REF!="","",F123+H122)</f>
        <v>#REF!</v>
      </c>
      <c r="I123" s="58"/>
      <c r="J123" s="57" t="e">
        <f t="shared" si="25"/>
        <v>#REF!</v>
      </c>
      <c r="K123" s="58" t="e">
        <f t="shared" si="27"/>
        <v>#REF!</v>
      </c>
      <c r="L123" s="58" t="e">
        <f t="shared" si="28"/>
        <v>#REF!</v>
      </c>
      <c r="M123" s="58"/>
      <c r="N123" s="73" t="e">
        <f>IF(F123="","",ROUND((('M&amp;R Stations'!#REF!+'M&amp;R Stations'!#REF!)-('NG Utilization'!C123+'NG Utilization'!D123+'NG Utilization'!E123)-'LNG Facilities'!#REF!)*ROUND(((('M&amp;R Stations'!#REF!*'M&amp;R Stations'!L114)+('M&amp;R Stations'!#REF!*'M&amp;R Stations'!F114))/1000)/('M&amp;R Stations'!#REF!+'M&amp;R Stations'!#REF!),3),0)+ROUND((('LNG Facilities'!F114*'LNG Facilities'!K114+'LNG Facilities'!G114*'LNG Facilities'!L114+'LNG Facilities'!H114*'LNG Facilities'!M114+'LNG Facilities'!R114*'LNG Facilities'!W114+'LNG Facilities'!S114*'LNG Facilities'!X114+'LNG Facilities'!T114*'LNG Facilities'!#REF!)/1000),0))</f>
        <v>#REF!</v>
      </c>
      <c r="O123" s="58" t="e">
        <f t="shared" si="29"/>
        <v>#REF!</v>
      </c>
      <c r="P123" s="58" t="e">
        <f t="shared" si="30"/>
        <v>#REF!</v>
      </c>
      <c r="Q123" s="58"/>
      <c r="R123" s="57" t="e">
        <f t="shared" si="26"/>
        <v>#REF!</v>
      </c>
      <c r="S123" s="58" t="e">
        <f t="shared" si="31"/>
        <v>#REF!</v>
      </c>
      <c r="T123" s="58" t="e">
        <f t="shared" si="32"/>
        <v>#REF!</v>
      </c>
      <c r="U123" s="59"/>
      <c r="V123" s="59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</row>
    <row r="124" spans="1:46" x14ac:dyDescent="0.25">
      <c r="A124" s="31">
        <f>'M&amp;R Stations'!A115</f>
        <v>39074</v>
      </c>
      <c r="B124" s="89"/>
      <c r="C124" s="227">
        <v>262098</v>
      </c>
      <c r="D124" s="225">
        <v>348927.8</v>
      </c>
      <c r="E124" s="185"/>
      <c r="F124" s="72" t="e">
        <f>IF('M&amp;R Stations'!#REF!="","",('M&amp;R Stations'!#REF!+'M&amp;R Stations'!#REF!)+('LNG Facilities'!F115+'LNG Facilities'!G115+'LNG Facilities'!H115+'LNG Facilities'!R115+'LNG Facilities'!S115+'LNG Facilities'!T115)-'LNG Facilities'!#REF!-('NG Utilization'!C124+'NG Utilization'!D124+'NG Utilization'!E124))</f>
        <v>#REF!</v>
      </c>
      <c r="G124" s="58" t="e">
        <f>IF('M&amp;R Stations'!#REF!="","",F124+G123)</f>
        <v>#REF!</v>
      </c>
      <c r="H124" s="58" t="e">
        <f>IF('M&amp;R Stations'!#REF!="","",F124+H123)</f>
        <v>#REF!</v>
      </c>
      <c r="I124" s="58"/>
      <c r="J124" s="57" t="e">
        <f t="shared" si="25"/>
        <v>#REF!</v>
      </c>
      <c r="K124" s="58" t="e">
        <f t="shared" si="27"/>
        <v>#REF!</v>
      </c>
      <c r="L124" s="58" t="e">
        <f t="shared" si="28"/>
        <v>#REF!</v>
      </c>
      <c r="M124" s="58"/>
      <c r="N124" s="73" t="e">
        <f>IF(F124="","",ROUND((('M&amp;R Stations'!#REF!+'M&amp;R Stations'!#REF!)-('NG Utilization'!C124+'NG Utilization'!D124+'NG Utilization'!E124)-'LNG Facilities'!#REF!)*ROUND(((('M&amp;R Stations'!#REF!*'M&amp;R Stations'!L115)+('M&amp;R Stations'!#REF!*'M&amp;R Stations'!F115))/1000)/('M&amp;R Stations'!#REF!+'M&amp;R Stations'!#REF!),3),0)+ROUND((('LNG Facilities'!F115*'LNG Facilities'!K115+'LNG Facilities'!G115*'LNG Facilities'!L115+'LNG Facilities'!H115*'LNG Facilities'!M115+'LNG Facilities'!R115*'LNG Facilities'!W115+'LNG Facilities'!S115*'LNG Facilities'!X115+'LNG Facilities'!T115*'LNG Facilities'!#REF!)/1000),0))</f>
        <v>#REF!</v>
      </c>
      <c r="O124" s="58" t="e">
        <f t="shared" si="29"/>
        <v>#REF!</v>
      </c>
      <c r="P124" s="58" t="e">
        <f t="shared" si="30"/>
        <v>#REF!</v>
      </c>
      <c r="Q124" s="58"/>
      <c r="R124" s="57" t="e">
        <f t="shared" si="26"/>
        <v>#REF!</v>
      </c>
      <c r="S124" s="58" t="e">
        <f t="shared" si="31"/>
        <v>#REF!</v>
      </c>
      <c r="T124" s="58" t="e">
        <f t="shared" si="32"/>
        <v>#REF!</v>
      </c>
      <c r="U124" s="59"/>
      <c r="V124" s="59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</row>
    <row r="125" spans="1:46" x14ac:dyDescent="0.25">
      <c r="A125" s="31">
        <f>'M&amp;R Stations'!A116</f>
        <v>39075</v>
      </c>
      <c r="B125" s="89"/>
      <c r="C125" s="227">
        <v>245819</v>
      </c>
      <c r="D125" s="225">
        <v>358691.8</v>
      </c>
      <c r="E125" s="185"/>
      <c r="F125" s="72" t="e">
        <f>IF('M&amp;R Stations'!#REF!="","",('M&amp;R Stations'!#REF!+'M&amp;R Stations'!#REF!)+('LNG Facilities'!F116+'LNG Facilities'!G116+'LNG Facilities'!H116+'LNG Facilities'!R116+'LNG Facilities'!S116+'LNG Facilities'!T116)-'LNG Facilities'!#REF!-('NG Utilization'!C125+'NG Utilization'!D125+'NG Utilization'!E125))</f>
        <v>#REF!</v>
      </c>
      <c r="G125" s="58" t="e">
        <f>IF('M&amp;R Stations'!#REF!="","",F125+G124)</f>
        <v>#REF!</v>
      </c>
      <c r="H125" s="58" t="e">
        <f>IF('M&amp;R Stations'!#REF!="","",F125+H124)</f>
        <v>#REF!</v>
      </c>
      <c r="I125" s="58"/>
      <c r="J125" s="57" t="e">
        <f t="shared" si="25"/>
        <v>#REF!</v>
      </c>
      <c r="K125" s="58" t="e">
        <f t="shared" si="27"/>
        <v>#REF!</v>
      </c>
      <c r="L125" s="58" t="e">
        <f t="shared" si="28"/>
        <v>#REF!</v>
      </c>
      <c r="M125" s="58"/>
      <c r="N125" s="73" t="e">
        <f>IF(F125="","",ROUND((('M&amp;R Stations'!#REF!+'M&amp;R Stations'!#REF!)-('NG Utilization'!C125+'NG Utilization'!D125+'NG Utilization'!E125)-'LNG Facilities'!#REF!)*ROUND(((('M&amp;R Stations'!#REF!*'M&amp;R Stations'!L116)+('M&amp;R Stations'!#REF!*'M&amp;R Stations'!F116))/1000)/('M&amp;R Stations'!#REF!+'M&amp;R Stations'!#REF!),3),0)+ROUND((('LNG Facilities'!F116*'LNG Facilities'!K116+'LNG Facilities'!G116*'LNG Facilities'!L116+'LNG Facilities'!H116*'LNG Facilities'!M116+'LNG Facilities'!R116*'LNG Facilities'!W116+'LNG Facilities'!S116*'LNG Facilities'!X116+'LNG Facilities'!T116*'LNG Facilities'!#REF!)/1000),0))</f>
        <v>#REF!</v>
      </c>
      <c r="O125" s="58" t="e">
        <f t="shared" si="29"/>
        <v>#REF!</v>
      </c>
      <c r="P125" s="58" t="e">
        <f t="shared" si="30"/>
        <v>#REF!</v>
      </c>
      <c r="Q125" s="58"/>
      <c r="R125" s="57" t="e">
        <f t="shared" si="26"/>
        <v>#REF!</v>
      </c>
      <c r="S125" s="58" t="e">
        <f t="shared" si="31"/>
        <v>#REF!</v>
      </c>
      <c r="T125" s="58" t="e">
        <f t="shared" si="32"/>
        <v>#REF!</v>
      </c>
      <c r="U125" s="59"/>
      <c r="V125" s="59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</row>
    <row r="126" spans="1:46" x14ac:dyDescent="0.25">
      <c r="A126" s="31">
        <f>'M&amp;R Stations'!A117</f>
        <v>39076</v>
      </c>
      <c r="B126" s="89"/>
      <c r="C126" s="227">
        <v>233701</v>
      </c>
      <c r="D126" s="225">
        <v>368455.9</v>
      </c>
      <c r="E126" s="185"/>
      <c r="F126" s="72" t="e">
        <f>IF('M&amp;R Stations'!#REF!="","",('M&amp;R Stations'!#REF!+'M&amp;R Stations'!#REF!)+('LNG Facilities'!F117+'LNG Facilities'!G117+'LNG Facilities'!H117+'LNG Facilities'!R117+'LNG Facilities'!S117+'LNG Facilities'!T117)-'LNG Facilities'!#REF!-('NG Utilization'!C126+'NG Utilization'!D126+'NG Utilization'!E126))</f>
        <v>#REF!</v>
      </c>
      <c r="G126" s="58" t="e">
        <f>IF('M&amp;R Stations'!#REF!="","",F126+G125)</f>
        <v>#REF!</v>
      </c>
      <c r="H126" s="58" t="e">
        <f>IF('M&amp;R Stations'!#REF!="","",F126+H125)</f>
        <v>#REF!</v>
      </c>
      <c r="I126" s="58"/>
      <c r="J126" s="57" t="e">
        <f t="shared" si="25"/>
        <v>#REF!</v>
      </c>
      <c r="K126" s="58" t="e">
        <f t="shared" si="27"/>
        <v>#REF!</v>
      </c>
      <c r="L126" s="58" t="e">
        <f t="shared" si="28"/>
        <v>#REF!</v>
      </c>
      <c r="M126" s="58"/>
      <c r="N126" s="73" t="e">
        <f>IF(F126="","",ROUND((('M&amp;R Stations'!#REF!+'M&amp;R Stations'!#REF!)-('NG Utilization'!C126+'NG Utilization'!D126+'NG Utilization'!E126)-'LNG Facilities'!#REF!)*ROUND(((('M&amp;R Stations'!#REF!*'M&amp;R Stations'!L117)+('M&amp;R Stations'!#REF!*'M&amp;R Stations'!F117))/1000)/('M&amp;R Stations'!#REF!+'M&amp;R Stations'!#REF!),3),0)+ROUND((('LNG Facilities'!F117*'LNG Facilities'!K117+'LNG Facilities'!G117*'LNG Facilities'!L117+'LNG Facilities'!H117*'LNG Facilities'!M117+'LNG Facilities'!R117*'LNG Facilities'!W117+'LNG Facilities'!S117*'LNG Facilities'!X117+'LNG Facilities'!T117*'LNG Facilities'!#REF!)/1000),0))</f>
        <v>#REF!</v>
      </c>
      <c r="O126" s="58" t="e">
        <f t="shared" si="29"/>
        <v>#REF!</v>
      </c>
      <c r="P126" s="58" t="e">
        <f t="shared" si="30"/>
        <v>#REF!</v>
      </c>
      <c r="Q126" s="58"/>
      <c r="R126" s="57" t="e">
        <f t="shared" si="26"/>
        <v>#REF!</v>
      </c>
      <c r="S126" s="58" t="e">
        <f t="shared" si="31"/>
        <v>#REF!</v>
      </c>
      <c r="T126" s="58" t="e">
        <f t="shared" si="32"/>
        <v>#REF!</v>
      </c>
      <c r="U126" s="59"/>
      <c r="V126" s="59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</row>
    <row r="127" spans="1:46" x14ac:dyDescent="0.25">
      <c r="A127" s="31">
        <f>'M&amp;R Stations'!A118</f>
        <v>39077</v>
      </c>
      <c r="B127" s="89"/>
      <c r="C127" s="227">
        <v>268634</v>
      </c>
      <c r="D127" s="225">
        <v>378220</v>
      </c>
      <c r="E127" s="185"/>
      <c r="F127" s="72" t="e">
        <f>IF('M&amp;R Stations'!#REF!="","",('M&amp;R Stations'!#REF!+'M&amp;R Stations'!#REF!)+('LNG Facilities'!F118+'LNG Facilities'!G118+'LNG Facilities'!H118+'LNG Facilities'!R118+'LNG Facilities'!S118+'LNG Facilities'!T118)-'LNG Facilities'!#REF!-('NG Utilization'!C127+'NG Utilization'!D127+'NG Utilization'!E127))</f>
        <v>#REF!</v>
      </c>
      <c r="G127" s="58" t="e">
        <f>IF('M&amp;R Stations'!#REF!="","",F127+G126)</f>
        <v>#REF!</v>
      </c>
      <c r="H127" s="58" t="e">
        <f>IF('M&amp;R Stations'!#REF!="","",F127+H126)</f>
        <v>#REF!</v>
      </c>
      <c r="I127" s="58"/>
      <c r="J127" s="57" t="e">
        <f t="shared" si="25"/>
        <v>#REF!</v>
      </c>
      <c r="K127" s="58" t="e">
        <f t="shared" si="27"/>
        <v>#REF!</v>
      </c>
      <c r="L127" s="58" t="e">
        <f t="shared" si="28"/>
        <v>#REF!</v>
      </c>
      <c r="M127" s="58"/>
      <c r="N127" s="73" t="e">
        <f>IF(F127="","",ROUND((('M&amp;R Stations'!#REF!+'M&amp;R Stations'!#REF!)-('NG Utilization'!C127+'NG Utilization'!D127+'NG Utilization'!E127)-'LNG Facilities'!#REF!)*ROUND(((('M&amp;R Stations'!#REF!*'M&amp;R Stations'!L118)+('M&amp;R Stations'!#REF!*'M&amp;R Stations'!F118))/1000)/('M&amp;R Stations'!#REF!+'M&amp;R Stations'!#REF!),3),0)+ROUND((('LNG Facilities'!F118*'LNG Facilities'!K118+'LNG Facilities'!G118*'LNG Facilities'!L118+'LNG Facilities'!H118*'LNG Facilities'!M118+'LNG Facilities'!R118*'LNG Facilities'!W118+'LNG Facilities'!S118*'LNG Facilities'!X118+'LNG Facilities'!T118*'LNG Facilities'!#REF!)/1000),0))</f>
        <v>#REF!</v>
      </c>
      <c r="O127" s="58" t="e">
        <f t="shared" si="29"/>
        <v>#REF!</v>
      </c>
      <c r="P127" s="58" t="e">
        <f t="shared" si="30"/>
        <v>#REF!</v>
      </c>
      <c r="Q127" s="58"/>
      <c r="R127" s="57" t="e">
        <f t="shared" si="26"/>
        <v>#REF!</v>
      </c>
      <c r="S127" s="58" t="e">
        <f t="shared" si="31"/>
        <v>#REF!</v>
      </c>
      <c r="T127" s="58" t="e">
        <f t="shared" si="32"/>
        <v>#REF!</v>
      </c>
      <c r="U127" s="59"/>
      <c r="V127" s="59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</row>
    <row r="128" spans="1:46" x14ac:dyDescent="0.25">
      <c r="A128" s="31">
        <f>'M&amp;R Stations'!A119</f>
        <v>39078</v>
      </c>
      <c r="B128" s="89"/>
      <c r="C128" s="227">
        <v>270182</v>
      </c>
      <c r="D128" s="225">
        <v>407512</v>
      </c>
      <c r="E128" s="185"/>
      <c r="F128" s="72" t="e">
        <f>IF('M&amp;R Stations'!#REF!="","",('M&amp;R Stations'!#REF!+'M&amp;R Stations'!#REF!)+('LNG Facilities'!F119+'LNG Facilities'!G119+'LNG Facilities'!H119+'LNG Facilities'!R119+'LNG Facilities'!S119+'LNG Facilities'!T119)-'LNG Facilities'!#REF!-('NG Utilization'!C128+'NG Utilization'!D128+'NG Utilization'!E128))</f>
        <v>#REF!</v>
      </c>
      <c r="G128" s="58" t="e">
        <f>IF('M&amp;R Stations'!#REF!="","",F128+G127)</f>
        <v>#REF!</v>
      </c>
      <c r="H128" s="58" t="e">
        <f>IF('M&amp;R Stations'!#REF!="","",F128+H127)</f>
        <v>#REF!</v>
      </c>
      <c r="I128" s="58"/>
      <c r="J128" s="57" t="e">
        <f t="shared" si="25"/>
        <v>#REF!</v>
      </c>
      <c r="K128" s="58" t="e">
        <f t="shared" si="27"/>
        <v>#REF!</v>
      </c>
      <c r="L128" s="58" t="e">
        <f t="shared" si="28"/>
        <v>#REF!</v>
      </c>
      <c r="M128" s="58"/>
      <c r="N128" s="73" t="e">
        <f>IF(F128="","",ROUND((('M&amp;R Stations'!#REF!+'M&amp;R Stations'!#REF!)-('NG Utilization'!C128+'NG Utilization'!D128+'NG Utilization'!E128)-'LNG Facilities'!#REF!)*ROUND(((('M&amp;R Stations'!#REF!*'M&amp;R Stations'!L119)+('M&amp;R Stations'!#REF!*'M&amp;R Stations'!F119))/1000)/('M&amp;R Stations'!#REF!+'M&amp;R Stations'!#REF!),3),0)+ROUND((('LNG Facilities'!F119*'LNG Facilities'!K119+'LNG Facilities'!G119*'LNG Facilities'!L119+'LNG Facilities'!H119*'LNG Facilities'!M119+'LNG Facilities'!R119*'LNG Facilities'!W119+'LNG Facilities'!S119*'LNG Facilities'!X119+'LNG Facilities'!T119*'LNG Facilities'!#REF!)/1000),0))</f>
        <v>#REF!</v>
      </c>
      <c r="O128" s="58" t="e">
        <f t="shared" si="29"/>
        <v>#REF!</v>
      </c>
      <c r="P128" s="58" t="e">
        <f t="shared" si="30"/>
        <v>#REF!</v>
      </c>
      <c r="Q128" s="58"/>
      <c r="R128" s="57" t="e">
        <f t="shared" si="26"/>
        <v>#REF!</v>
      </c>
      <c r="S128" s="58" t="e">
        <f t="shared" si="31"/>
        <v>#REF!</v>
      </c>
      <c r="T128" s="58" t="e">
        <f t="shared" si="32"/>
        <v>#REF!</v>
      </c>
      <c r="U128" s="59"/>
      <c r="V128" s="59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</row>
    <row r="129" spans="1:46" x14ac:dyDescent="0.25">
      <c r="A129" s="31">
        <f>'M&amp;R Stations'!A120</f>
        <v>39079</v>
      </c>
      <c r="B129" s="89"/>
      <c r="C129" s="227">
        <v>220495</v>
      </c>
      <c r="D129" s="225">
        <v>427040</v>
      </c>
      <c r="E129" s="185"/>
      <c r="F129" s="72" t="e">
        <f>IF('M&amp;R Stations'!#REF!="","",('M&amp;R Stations'!#REF!+'M&amp;R Stations'!#REF!)+('LNG Facilities'!F120+'LNG Facilities'!G120+'LNG Facilities'!H120+'LNG Facilities'!R120+'LNG Facilities'!S120+'LNG Facilities'!T120)-'LNG Facilities'!#REF!-('NG Utilization'!C129+'NG Utilization'!D129+'NG Utilization'!E129))</f>
        <v>#REF!</v>
      </c>
      <c r="G129" s="58" t="e">
        <f>IF('M&amp;R Stations'!#REF!="","",F129+G128)</f>
        <v>#REF!</v>
      </c>
      <c r="H129" s="58" t="e">
        <f>IF('M&amp;R Stations'!#REF!="","",F129+H128)</f>
        <v>#REF!</v>
      </c>
      <c r="I129" s="58"/>
      <c r="J129" s="57" t="e">
        <f t="shared" si="25"/>
        <v>#REF!</v>
      </c>
      <c r="K129" s="58" t="e">
        <f t="shared" si="27"/>
        <v>#REF!</v>
      </c>
      <c r="L129" s="58" t="e">
        <f t="shared" si="28"/>
        <v>#REF!</v>
      </c>
      <c r="M129" s="58"/>
      <c r="N129" s="73" t="e">
        <f>IF(F129="","",ROUND((('M&amp;R Stations'!#REF!+'M&amp;R Stations'!#REF!)-('NG Utilization'!C129+'NG Utilization'!D129+'NG Utilization'!E129)-'LNG Facilities'!#REF!)*ROUND(((('M&amp;R Stations'!#REF!*'M&amp;R Stations'!L120)+('M&amp;R Stations'!#REF!*'M&amp;R Stations'!F120))/1000)/('M&amp;R Stations'!#REF!+'M&amp;R Stations'!#REF!),3),0)+ROUND((('LNG Facilities'!F120*'LNG Facilities'!K120+'LNG Facilities'!G120*'LNG Facilities'!L120+'LNG Facilities'!H120*'LNG Facilities'!M120+'LNG Facilities'!R120*'LNG Facilities'!W120+'LNG Facilities'!S120*'LNG Facilities'!X120+'LNG Facilities'!T120*'LNG Facilities'!#REF!)/1000),0))</f>
        <v>#REF!</v>
      </c>
      <c r="O129" s="58" t="e">
        <f t="shared" si="29"/>
        <v>#REF!</v>
      </c>
      <c r="P129" s="58" t="e">
        <f t="shared" si="30"/>
        <v>#REF!</v>
      </c>
      <c r="Q129" s="58"/>
      <c r="R129" s="57" t="e">
        <f t="shared" si="26"/>
        <v>#REF!</v>
      </c>
      <c r="S129" s="58" t="e">
        <f t="shared" si="31"/>
        <v>#REF!</v>
      </c>
      <c r="T129" s="58" t="e">
        <f t="shared" si="32"/>
        <v>#REF!</v>
      </c>
      <c r="U129" s="59"/>
      <c r="V129" s="59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</row>
    <row r="130" spans="1:46" x14ac:dyDescent="0.25">
      <c r="A130" s="31">
        <f>'M&amp;R Stations'!A121</f>
        <v>39080</v>
      </c>
      <c r="B130" s="89"/>
      <c r="C130" s="227">
        <v>226100</v>
      </c>
      <c r="D130" s="225">
        <v>436804.4</v>
      </c>
      <c r="E130" s="185"/>
      <c r="F130" s="72" t="e">
        <f>IF('M&amp;R Stations'!#REF!="","",('M&amp;R Stations'!#REF!+'M&amp;R Stations'!#REF!)+('LNG Facilities'!F121+'LNG Facilities'!G121+'LNG Facilities'!H121+'LNG Facilities'!R121+'LNG Facilities'!S121+'LNG Facilities'!T121)-'LNG Facilities'!#REF!-('NG Utilization'!C130+'NG Utilization'!D130+'NG Utilization'!E130))</f>
        <v>#REF!</v>
      </c>
      <c r="G130" s="58" t="e">
        <f>IF('M&amp;R Stations'!#REF!="","",F130+G129)</f>
        <v>#REF!</v>
      </c>
      <c r="H130" s="58" t="e">
        <f>IF('M&amp;R Stations'!#REF!="","",F130+H129)</f>
        <v>#REF!</v>
      </c>
      <c r="I130" s="58"/>
      <c r="J130" s="57" t="e">
        <f t="shared" si="25"/>
        <v>#REF!</v>
      </c>
      <c r="K130" s="58" t="e">
        <f t="shared" si="27"/>
        <v>#REF!</v>
      </c>
      <c r="L130" s="58" t="e">
        <f t="shared" si="28"/>
        <v>#REF!</v>
      </c>
      <c r="M130" s="58"/>
      <c r="N130" s="73" t="e">
        <f>IF(F130="","",ROUND((('M&amp;R Stations'!#REF!+'M&amp;R Stations'!#REF!)-('NG Utilization'!C130+'NG Utilization'!D130+'NG Utilization'!E130)-'LNG Facilities'!#REF!)*ROUND(((('M&amp;R Stations'!#REF!*'M&amp;R Stations'!L121)+('M&amp;R Stations'!#REF!*'M&amp;R Stations'!F121))/1000)/('M&amp;R Stations'!#REF!+'M&amp;R Stations'!#REF!),3),0)+ROUND((('LNG Facilities'!F121*'LNG Facilities'!K121+'LNG Facilities'!G121*'LNG Facilities'!L121+'LNG Facilities'!H121*'LNG Facilities'!M121+'LNG Facilities'!R121*'LNG Facilities'!W121+'LNG Facilities'!S121*'LNG Facilities'!X121+'LNG Facilities'!T121*'LNG Facilities'!#REF!)/1000),0))</f>
        <v>#REF!</v>
      </c>
      <c r="O130" s="58" t="e">
        <f t="shared" si="29"/>
        <v>#REF!</v>
      </c>
      <c r="P130" s="58" t="e">
        <f t="shared" si="30"/>
        <v>#REF!</v>
      </c>
      <c r="Q130" s="58"/>
      <c r="R130" s="57" t="e">
        <f t="shared" si="26"/>
        <v>#REF!</v>
      </c>
      <c r="S130" s="58" t="e">
        <f t="shared" si="31"/>
        <v>#REF!</v>
      </c>
      <c r="T130" s="58" t="e">
        <f t="shared" si="32"/>
        <v>#REF!</v>
      </c>
      <c r="U130" s="59"/>
      <c r="V130" s="59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</row>
    <row r="131" spans="1:46" x14ac:dyDescent="0.25">
      <c r="A131" s="31">
        <f>'M&amp;R Stations'!A122</f>
        <v>39081</v>
      </c>
      <c r="B131" s="89"/>
      <c r="C131" s="227">
        <v>265141</v>
      </c>
      <c r="D131" s="225">
        <v>446568.4</v>
      </c>
      <c r="E131" s="185"/>
      <c r="F131" s="72" t="e">
        <f>IF('M&amp;R Stations'!#REF!="","",('M&amp;R Stations'!#REF!+'M&amp;R Stations'!#REF!)+('LNG Facilities'!F122+'LNG Facilities'!G122+'LNG Facilities'!H122+'LNG Facilities'!R122+'LNG Facilities'!S122+'LNG Facilities'!T122)-'LNG Facilities'!#REF!-('NG Utilization'!C131+'NG Utilization'!D131+'NG Utilization'!E131))</f>
        <v>#REF!</v>
      </c>
      <c r="G131" s="58" t="e">
        <f>IF('M&amp;R Stations'!#REF!="","",F131+G130)</f>
        <v>#REF!</v>
      </c>
      <c r="H131" s="58" t="e">
        <f>IF('M&amp;R Stations'!#REF!="","",F131+H130)</f>
        <v>#REF!</v>
      </c>
      <c r="I131" s="58"/>
      <c r="J131" s="57" t="e">
        <f t="shared" si="25"/>
        <v>#REF!</v>
      </c>
      <c r="K131" s="58" t="e">
        <f t="shared" si="27"/>
        <v>#REF!</v>
      </c>
      <c r="L131" s="58" t="e">
        <f t="shared" si="28"/>
        <v>#REF!</v>
      </c>
      <c r="M131" s="58"/>
      <c r="N131" s="73" t="e">
        <f>IF(F131="","",ROUND((('M&amp;R Stations'!#REF!+'M&amp;R Stations'!#REF!)-('NG Utilization'!C131+'NG Utilization'!D131+'NG Utilization'!E131)-'LNG Facilities'!#REF!)*ROUND(((('M&amp;R Stations'!#REF!*'M&amp;R Stations'!L122)+('M&amp;R Stations'!#REF!*'M&amp;R Stations'!F122))/1000)/('M&amp;R Stations'!#REF!+'M&amp;R Stations'!#REF!),3),0)+ROUND((('LNG Facilities'!F122*'LNG Facilities'!K122+'LNG Facilities'!G122*'LNG Facilities'!L122+'LNG Facilities'!H122*'LNG Facilities'!M122+'LNG Facilities'!R122*'LNG Facilities'!W122+'LNG Facilities'!S122*'LNG Facilities'!X122+'LNG Facilities'!T122*'LNG Facilities'!#REF!)/1000),0))</f>
        <v>#REF!</v>
      </c>
      <c r="O131" s="58" t="e">
        <f t="shared" si="29"/>
        <v>#REF!</v>
      </c>
      <c r="P131" s="58" t="e">
        <f t="shared" si="30"/>
        <v>#REF!</v>
      </c>
      <c r="Q131" s="58"/>
      <c r="R131" s="57" t="e">
        <f t="shared" si="26"/>
        <v>#REF!</v>
      </c>
      <c r="S131" s="58" t="e">
        <f t="shared" si="31"/>
        <v>#REF!</v>
      </c>
      <c r="T131" s="58" t="e">
        <f t="shared" si="32"/>
        <v>#REF!</v>
      </c>
      <c r="U131" s="59"/>
      <c r="V131" s="59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</row>
    <row r="132" spans="1:46" x14ac:dyDescent="0.25">
      <c r="A132" s="31">
        <f>'M&amp;R Stations'!A123</f>
        <v>39082</v>
      </c>
      <c r="B132" s="89"/>
      <c r="C132" s="227">
        <v>288111</v>
      </c>
      <c r="D132" s="225">
        <v>485624.7</v>
      </c>
      <c r="E132" s="185"/>
      <c r="F132" s="72" t="e">
        <f>IF('M&amp;R Stations'!#REF!="","",('M&amp;R Stations'!#REF!+'M&amp;R Stations'!#REF!)+('LNG Facilities'!F123+'LNG Facilities'!G123+'LNG Facilities'!H123+'LNG Facilities'!R123+'LNG Facilities'!S123+'LNG Facilities'!T123)-'LNG Facilities'!#REF!-('NG Utilization'!C132+'NG Utilization'!D132+'NG Utilization'!E132))</f>
        <v>#REF!</v>
      </c>
      <c r="G132" s="58" t="e">
        <f>IF('M&amp;R Stations'!#REF!="","",F132+G131)</f>
        <v>#REF!</v>
      </c>
      <c r="H132" s="58" t="e">
        <f>IF('M&amp;R Stations'!#REF!="","",F132+H131)</f>
        <v>#REF!</v>
      </c>
      <c r="I132" s="58"/>
      <c r="J132" s="57" t="e">
        <f t="shared" si="25"/>
        <v>#REF!</v>
      </c>
      <c r="K132" s="58" t="e">
        <f>IF(J132="","",J132+K131)</f>
        <v>#REF!</v>
      </c>
      <c r="L132" s="58" t="e">
        <f>IF(J132="","",J132+L131)</f>
        <v>#REF!</v>
      </c>
      <c r="M132" s="58"/>
      <c r="N132" s="73" t="e">
        <f>IF(F132="","",ROUND((('M&amp;R Stations'!#REF!+'M&amp;R Stations'!#REF!)-('NG Utilization'!C132+'NG Utilization'!D132+'NG Utilization'!E132)-'LNG Facilities'!#REF!)*ROUND(((('M&amp;R Stations'!#REF!*'M&amp;R Stations'!L123)+('M&amp;R Stations'!#REF!*'M&amp;R Stations'!F123))/1000)/('M&amp;R Stations'!#REF!+'M&amp;R Stations'!#REF!),3),0)+ROUND((('LNG Facilities'!F123*'LNG Facilities'!K123+'LNG Facilities'!G123*'LNG Facilities'!L123+'LNG Facilities'!H123*'LNG Facilities'!M123+'LNG Facilities'!R123*'LNG Facilities'!W123+'LNG Facilities'!S123*'LNG Facilities'!X123+'LNG Facilities'!T123*'LNG Facilities'!#REF!)/1000),0))</f>
        <v>#REF!</v>
      </c>
      <c r="O132" s="58" t="e">
        <f>IF(N132="","",N132+O131)</f>
        <v>#REF!</v>
      </c>
      <c r="P132" s="58" t="e">
        <f>IF(N132="","",N132+P131)</f>
        <v>#REF!</v>
      </c>
      <c r="Q132" s="58"/>
      <c r="R132" s="57" t="e">
        <f t="shared" si="26"/>
        <v>#REF!</v>
      </c>
      <c r="S132" s="58" t="e">
        <f>IF(R132="","",R132+S131)</f>
        <v>#REF!</v>
      </c>
      <c r="T132" s="58" t="e">
        <f>IF(R132="","",R132+T131)</f>
        <v>#REF!</v>
      </c>
      <c r="U132" s="59"/>
      <c r="V132" s="59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</row>
    <row r="133" spans="1:46" x14ac:dyDescent="0.25">
      <c r="A133" s="96"/>
      <c r="B133" s="95"/>
      <c r="C133" s="95"/>
      <c r="D133" s="95"/>
      <c r="E133" s="186"/>
      <c r="F133" s="99"/>
      <c r="G133" s="100"/>
      <c r="H133" s="100"/>
      <c r="I133" s="100"/>
      <c r="J133" s="101"/>
      <c r="K133" s="100"/>
      <c r="L133" s="100"/>
      <c r="M133" s="100"/>
      <c r="N133" s="102"/>
      <c r="O133" s="100"/>
      <c r="P133" s="100"/>
      <c r="Q133" s="100"/>
      <c r="R133" s="101"/>
      <c r="S133" s="100"/>
      <c r="T133" s="100"/>
      <c r="U133" s="59"/>
      <c r="V133" s="59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</row>
    <row r="134" spans="1:46" x14ac:dyDescent="0.25">
      <c r="A134" s="31">
        <f>'M&amp;R Stations'!A124</f>
        <v>39083</v>
      </c>
      <c r="B134" s="89"/>
      <c r="C134" s="227">
        <v>275468</v>
      </c>
      <c r="D134" s="225">
        <v>178245</v>
      </c>
      <c r="E134" s="185"/>
      <c r="F134" s="72" t="e">
        <f>IF('M&amp;R Stations'!#REF!="","",('M&amp;R Stations'!#REF!+'M&amp;R Stations'!#REF!)+('LNG Facilities'!F124+'LNG Facilities'!G124+'LNG Facilities'!H124+'LNG Facilities'!R124+'LNG Facilities'!S124+'LNG Facilities'!T124)-'LNG Facilities'!#REF!-('NG Utilization'!C134+'NG Utilization'!D134+'NG Utilization'!E134))</f>
        <v>#REF!</v>
      </c>
      <c r="G134" s="58" t="e">
        <f>IF('M&amp;R Stations'!#REF!="","",F134)</f>
        <v>#REF!</v>
      </c>
      <c r="H134" s="58" t="e">
        <f>IF('M&amp;R Stations'!#REF!="","",F134+H132)</f>
        <v>#REF!</v>
      </c>
      <c r="I134" s="58"/>
      <c r="J134" s="57" t="e">
        <f t="shared" ref="J134:J164" si="33">IF(F134="","",C134)</f>
        <v>#REF!</v>
      </c>
      <c r="K134" s="58" t="e">
        <f>IF(J134="","",J134)</f>
        <v>#REF!</v>
      </c>
      <c r="L134" s="58" t="e">
        <f>IF(J134="","",J134+L132)</f>
        <v>#REF!</v>
      </c>
      <c r="M134" s="58"/>
      <c r="N134" s="73" t="e">
        <f>IF(F134="","",ROUND((('M&amp;R Stations'!#REF!+'M&amp;R Stations'!#REF!)-('NG Utilization'!C134+'NG Utilization'!D134+'NG Utilization'!E134)-'LNG Facilities'!#REF!)*ROUND(((('M&amp;R Stations'!#REF!*'M&amp;R Stations'!L124)+('M&amp;R Stations'!#REF!*'M&amp;R Stations'!F124))/1000)/('M&amp;R Stations'!#REF!+'M&amp;R Stations'!#REF!),3),0)+ROUND((('LNG Facilities'!F124*'LNG Facilities'!K124+'LNG Facilities'!G124*'LNG Facilities'!L124+'LNG Facilities'!H124*'LNG Facilities'!M124+'LNG Facilities'!R124*'LNG Facilities'!W124+'LNG Facilities'!S124*'LNG Facilities'!X124+'LNG Facilities'!T124*'LNG Facilities'!#REF!)/1000),0))</f>
        <v>#REF!</v>
      </c>
      <c r="O134" s="58" t="e">
        <f>IF(N134="","",N134)</f>
        <v>#REF!</v>
      </c>
      <c r="P134" s="58" t="e">
        <f>IF(N134="","",N134+P132)</f>
        <v>#REF!</v>
      </c>
      <c r="Q134" s="58"/>
      <c r="R134" s="57" t="e">
        <f t="shared" ref="R134:R164" si="34">IF(F134="","",D134)</f>
        <v>#REF!</v>
      </c>
      <c r="S134" s="58" t="e">
        <f>IF(R134="","",R134)</f>
        <v>#REF!</v>
      </c>
      <c r="T134" s="58" t="e">
        <f>IF(R134="","",R134+T132)</f>
        <v>#REF!</v>
      </c>
      <c r="U134" s="59"/>
      <c r="V134" s="59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</row>
    <row r="135" spans="1:46" x14ac:dyDescent="0.25">
      <c r="A135" s="31">
        <f>'M&amp;R Stations'!A125</f>
        <v>39084</v>
      </c>
      <c r="B135" s="89"/>
      <c r="C135" s="227">
        <v>273175</v>
      </c>
      <c r="D135" s="225">
        <v>255564</v>
      </c>
      <c r="E135" s="185"/>
      <c r="F135" s="72" t="e">
        <f>IF('M&amp;R Stations'!#REF!="","",('M&amp;R Stations'!#REF!+'M&amp;R Stations'!#REF!)+('LNG Facilities'!F125+'LNG Facilities'!G125+'LNG Facilities'!H125+'LNG Facilities'!R125+'LNG Facilities'!S125+'LNG Facilities'!T125)-'LNG Facilities'!#REF!-('NG Utilization'!C135+'NG Utilization'!D135+'NG Utilization'!E135))</f>
        <v>#REF!</v>
      </c>
      <c r="G135" s="58" t="e">
        <f>IF('M&amp;R Stations'!#REF!="","",F135+G134)</f>
        <v>#REF!</v>
      </c>
      <c r="H135" s="58" t="e">
        <f>IF('M&amp;R Stations'!#REF!="","",F135+H134)</f>
        <v>#REF!</v>
      </c>
      <c r="I135" s="58"/>
      <c r="J135" s="57" t="e">
        <f t="shared" si="33"/>
        <v>#REF!</v>
      </c>
      <c r="K135" s="58" t="e">
        <f t="shared" ref="K135:K163" si="35">IF(J135="","",J135+K134)</f>
        <v>#REF!</v>
      </c>
      <c r="L135" s="58" t="e">
        <f t="shared" ref="L135:L163" si="36">IF(J135="","",J135+L134)</f>
        <v>#REF!</v>
      </c>
      <c r="M135" s="58"/>
      <c r="N135" s="73" t="e">
        <f>IF(F135="","",ROUND((('M&amp;R Stations'!#REF!+'M&amp;R Stations'!#REF!)-('NG Utilization'!C135+'NG Utilization'!D135+'NG Utilization'!E135)-'LNG Facilities'!#REF!)*ROUND(((('M&amp;R Stations'!#REF!*'M&amp;R Stations'!L125)+('M&amp;R Stations'!#REF!*'M&amp;R Stations'!F125))/1000)/('M&amp;R Stations'!#REF!+'M&amp;R Stations'!#REF!),3),0)+ROUND((('LNG Facilities'!F125*'LNG Facilities'!K125+'LNG Facilities'!G125*'LNG Facilities'!L125+'LNG Facilities'!H125*'LNG Facilities'!M125+'LNG Facilities'!R125*'LNG Facilities'!W125+'LNG Facilities'!S125*'LNG Facilities'!X125+'LNG Facilities'!T125*'LNG Facilities'!#REF!)/1000),0))</f>
        <v>#REF!</v>
      </c>
      <c r="O135" s="58" t="e">
        <f t="shared" ref="O135:O163" si="37">IF(N135="","",N135+O134)</f>
        <v>#REF!</v>
      </c>
      <c r="P135" s="58" t="e">
        <f t="shared" ref="P135:P163" si="38">IF(N135="","",N135+P134)</f>
        <v>#REF!</v>
      </c>
      <c r="Q135" s="58"/>
      <c r="R135" s="57" t="e">
        <f t="shared" si="34"/>
        <v>#REF!</v>
      </c>
      <c r="S135" s="58" t="e">
        <f t="shared" ref="S135:S163" si="39">IF(R135="","",R135+S134)</f>
        <v>#REF!</v>
      </c>
      <c r="T135" s="58" t="e">
        <f t="shared" ref="T135:T163" si="40">IF(R135="","",R135+T134)</f>
        <v>#REF!</v>
      </c>
      <c r="U135" s="59"/>
      <c r="V135" s="59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</row>
    <row r="136" spans="1:46" x14ac:dyDescent="0.25">
      <c r="A136" s="31">
        <f>'M&amp;R Stations'!A126</f>
        <v>39085</v>
      </c>
      <c r="B136" s="89"/>
      <c r="C136" s="227">
        <v>311378</v>
      </c>
      <c r="D136" s="225">
        <v>239123</v>
      </c>
      <c r="E136" s="185"/>
      <c r="F136" s="72" t="e">
        <f>IF('M&amp;R Stations'!#REF!="","",('M&amp;R Stations'!#REF!+'M&amp;R Stations'!#REF!)+('LNG Facilities'!F126+'LNG Facilities'!G126+'LNG Facilities'!H126+'LNG Facilities'!R126+'LNG Facilities'!S126+'LNG Facilities'!T126)-'LNG Facilities'!#REF!-('NG Utilization'!C136+'NG Utilization'!D136+'NG Utilization'!E136))</f>
        <v>#REF!</v>
      </c>
      <c r="G136" s="58" t="e">
        <f>IF('M&amp;R Stations'!#REF!="","",F136+G135)</f>
        <v>#REF!</v>
      </c>
      <c r="H136" s="58" t="e">
        <f>IF('M&amp;R Stations'!#REF!="","",F136+H135)</f>
        <v>#REF!</v>
      </c>
      <c r="I136" s="58"/>
      <c r="J136" s="57" t="e">
        <f t="shared" si="33"/>
        <v>#REF!</v>
      </c>
      <c r="K136" s="58" t="e">
        <f t="shared" si="35"/>
        <v>#REF!</v>
      </c>
      <c r="L136" s="58" t="e">
        <f t="shared" si="36"/>
        <v>#REF!</v>
      </c>
      <c r="M136" s="58"/>
      <c r="N136" s="73" t="e">
        <f>IF(F136="","",ROUND((('M&amp;R Stations'!#REF!+'M&amp;R Stations'!#REF!)-('NG Utilization'!C136+'NG Utilization'!D136+'NG Utilization'!E136)-'LNG Facilities'!#REF!)*ROUND(((('M&amp;R Stations'!#REF!*'M&amp;R Stations'!L126)+('M&amp;R Stations'!#REF!*'M&amp;R Stations'!F126))/1000)/('M&amp;R Stations'!#REF!+'M&amp;R Stations'!#REF!),3),0)+ROUND((('LNG Facilities'!F126*'LNG Facilities'!K126+'LNG Facilities'!G126*'LNG Facilities'!L126+'LNG Facilities'!H126*'LNG Facilities'!M126+'LNG Facilities'!R126*'LNG Facilities'!W126+'LNG Facilities'!S126*'LNG Facilities'!X126+'LNG Facilities'!T126*'LNG Facilities'!#REF!)/1000),0))</f>
        <v>#REF!</v>
      </c>
      <c r="O136" s="58" t="e">
        <f t="shared" si="37"/>
        <v>#REF!</v>
      </c>
      <c r="P136" s="58" t="e">
        <f t="shared" si="38"/>
        <v>#REF!</v>
      </c>
      <c r="Q136" s="58"/>
      <c r="R136" s="57" t="e">
        <f t="shared" si="34"/>
        <v>#REF!</v>
      </c>
      <c r="S136" s="58" t="e">
        <f t="shared" si="39"/>
        <v>#REF!</v>
      </c>
      <c r="T136" s="58" t="e">
        <f t="shared" si="40"/>
        <v>#REF!</v>
      </c>
      <c r="U136" s="59"/>
      <c r="V136" s="59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</row>
    <row r="137" spans="1:46" x14ac:dyDescent="0.25">
      <c r="A137" s="31">
        <f>'M&amp;R Stations'!A127</f>
        <v>39086</v>
      </c>
      <c r="B137" s="89"/>
      <c r="C137" s="227">
        <v>276511</v>
      </c>
      <c r="D137" s="225">
        <v>279708.2</v>
      </c>
      <c r="E137" s="185"/>
      <c r="F137" s="72" t="e">
        <f>IF('M&amp;R Stations'!#REF!="","",('M&amp;R Stations'!#REF!+'M&amp;R Stations'!#REF!)+('LNG Facilities'!F127+'LNG Facilities'!G127+'LNG Facilities'!H127+'LNG Facilities'!R127+'LNG Facilities'!S127+'LNG Facilities'!T127)-'LNG Facilities'!#REF!-('NG Utilization'!C137+'NG Utilization'!D137+'NG Utilization'!E137))</f>
        <v>#REF!</v>
      </c>
      <c r="G137" s="58" t="e">
        <f>IF('M&amp;R Stations'!#REF!="","",F137+G136)</f>
        <v>#REF!</v>
      </c>
      <c r="H137" s="58" t="e">
        <f>IF('M&amp;R Stations'!#REF!="","",F137+H136)</f>
        <v>#REF!</v>
      </c>
      <c r="I137" s="58"/>
      <c r="J137" s="57" t="e">
        <f t="shared" si="33"/>
        <v>#REF!</v>
      </c>
      <c r="K137" s="58" t="e">
        <f t="shared" si="35"/>
        <v>#REF!</v>
      </c>
      <c r="L137" s="58" t="e">
        <f t="shared" si="36"/>
        <v>#REF!</v>
      </c>
      <c r="M137" s="58"/>
      <c r="N137" s="73" t="e">
        <f>IF(F137="","",ROUND((('M&amp;R Stations'!#REF!+'M&amp;R Stations'!#REF!)-('NG Utilization'!C137+'NG Utilization'!D137+'NG Utilization'!E137)-'LNG Facilities'!#REF!)*ROUND(((('M&amp;R Stations'!#REF!*'M&amp;R Stations'!L127)+('M&amp;R Stations'!#REF!*'M&amp;R Stations'!F127))/1000)/('M&amp;R Stations'!#REF!+'M&amp;R Stations'!#REF!),3),0)+ROUND((('LNG Facilities'!F127*'LNG Facilities'!K127+'LNG Facilities'!G127*'LNG Facilities'!L127+'LNG Facilities'!H127*'LNG Facilities'!M127+'LNG Facilities'!R127*'LNG Facilities'!W127+'LNG Facilities'!S127*'LNG Facilities'!X127+'LNG Facilities'!T127*'LNG Facilities'!#REF!)/1000),0))</f>
        <v>#REF!</v>
      </c>
      <c r="O137" s="58" t="e">
        <f t="shared" si="37"/>
        <v>#REF!</v>
      </c>
      <c r="P137" s="58" t="e">
        <f t="shared" si="38"/>
        <v>#REF!</v>
      </c>
      <c r="Q137" s="58"/>
      <c r="R137" s="57" t="e">
        <f t="shared" si="34"/>
        <v>#REF!</v>
      </c>
      <c r="S137" s="58" t="e">
        <f t="shared" si="39"/>
        <v>#REF!</v>
      </c>
      <c r="T137" s="58" t="e">
        <f t="shared" si="40"/>
        <v>#REF!</v>
      </c>
      <c r="U137" s="59"/>
      <c r="V137" s="59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</row>
    <row r="138" spans="1:46" x14ac:dyDescent="0.25">
      <c r="A138" s="31">
        <f>'M&amp;R Stations'!A128</f>
        <v>39087</v>
      </c>
      <c r="B138" s="89"/>
      <c r="C138" s="227">
        <v>248624</v>
      </c>
      <c r="D138" s="225">
        <v>279708.2</v>
      </c>
      <c r="E138" s="185"/>
      <c r="F138" s="72" t="e">
        <f>IF('M&amp;R Stations'!#REF!="","",('M&amp;R Stations'!#REF!+'M&amp;R Stations'!#REF!)+('LNG Facilities'!F128+'LNG Facilities'!G128+'LNG Facilities'!H128+'LNG Facilities'!R128+'LNG Facilities'!S128+'LNG Facilities'!T128)-'LNG Facilities'!#REF!-('NG Utilization'!C138+'NG Utilization'!D138+'NG Utilization'!E138))</f>
        <v>#REF!</v>
      </c>
      <c r="G138" s="58" t="e">
        <f>IF('M&amp;R Stations'!#REF!="","",F138+G137)</f>
        <v>#REF!</v>
      </c>
      <c r="H138" s="58" t="e">
        <f>IF('M&amp;R Stations'!#REF!="","",F138+H137)</f>
        <v>#REF!</v>
      </c>
      <c r="I138" s="58"/>
      <c r="J138" s="57" t="e">
        <f t="shared" si="33"/>
        <v>#REF!</v>
      </c>
      <c r="K138" s="58" t="e">
        <f t="shared" si="35"/>
        <v>#REF!</v>
      </c>
      <c r="L138" s="58" t="e">
        <f t="shared" si="36"/>
        <v>#REF!</v>
      </c>
      <c r="M138" s="58"/>
      <c r="N138" s="73" t="e">
        <f>IF(F138="","",ROUND((('M&amp;R Stations'!#REF!+'M&amp;R Stations'!#REF!)-('NG Utilization'!C138+'NG Utilization'!D138+'NG Utilization'!E138)-'LNG Facilities'!#REF!)*ROUND(((('M&amp;R Stations'!#REF!*'M&amp;R Stations'!L128)+('M&amp;R Stations'!#REF!*'M&amp;R Stations'!F128))/1000)/('M&amp;R Stations'!#REF!+'M&amp;R Stations'!#REF!),3),0)+ROUND((('LNG Facilities'!F128*'LNG Facilities'!K128+'LNG Facilities'!G128*'LNG Facilities'!L128+'LNG Facilities'!H128*'LNG Facilities'!M128+'LNG Facilities'!R128*'LNG Facilities'!W128+'LNG Facilities'!S128*'LNG Facilities'!X128+'LNG Facilities'!T128*'LNG Facilities'!#REF!)/1000),0))</f>
        <v>#REF!</v>
      </c>
      <c r="O138" s="58" t="e">
        <f t="shared" si="37"/>
        <v>#REF!</v>
      </c>
      <c r="P138" s="58" t="e">
        <f t="shared" si="38"/>
        <v>#REF!</v>
      </c>
      <c r="Q138" s="58"/>
      <c r="R138" s="57" t="e">
        <f t="shared" si="34"/>
        <v>#REF!</v>
      </c>
      <c r="S138" s="58" t="e">
        <f t="shared" si="39"/>
        <v>#REF!</v>
      </c>
      <c r="T138" s="58" t="e">
        <f t="shared" si="40"/>
        <v>#REF!</v>
      </c>
      <c r="U138" s="59"/>
      <c r="V138" s="59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</row>
    <row r="139" spans="1:46" x14ac:dyDescent="0.25">
      <c r="A139" s="31">
        <f>'M&amp;R Stations'!A129</f>
        <v>39088</v>
      </c>
      <c r="B139" s="89"/>
      <c r="C139" s="227">
        <v>324276</v>
      </c>
      <c r="D139" s="225">
        <v>310147.3</v>
      </c>
      <c r="E139" s="185"/>
      <c r="F139" s="72" t="e">
        <f>IF('M&amp;R Stations'!#REF!="","",('M&amp;R Stations'!#REF!+'M&amp;R Stations'!#REF!)+('LNG Facilities'!F129+'LNG Facilities'!G129+'LNG Facilities'!H129+'LNG Facilities'!R129+'LNG Facilities'!S129+'LNG Facilities'!T129)-'LNG Facilities'!#REF!-('NG Utilization'!C139+'NG Utilization'!D139+'NG Utilization'!E139))</f>
        <v>#REF!</v>
      </c>
      <c r="G139" s="58" t="e">
        <f>IF('M&amp;R Stations'!#REF!="","",F139+G138)</f>
        <v>#REF!</v>
      </c>
      <c r="H139" s="58" t="e">
        <f>IF('M&amp;R Stations'!#REF!="","",F139+H138)</f>
        <v>#REF!</v>
      </c>
      <c r="I139" s="58"/>
      <c r="J139" s="57" t="e">
        <f t="shared" si="33"/>
        <v>#REF!</v>
      </c>
      <c r="K139" s="58" t="e">
        <f t="shared" si="35"/>
        <v>#REF!</v>
      </c>
      <c r="L139" s="58" t="e">
        <f t="shared" si="36"/>
        <v>#REF!</v>
      </c>
      <c r="M139" s="58"/>
      <c r="N139" s="73" t="e">
        <f>IF(F139="","",ROUND((('M&amp;R Stations'!#REF!+'M&amp;R Stations'!#REF!)-('NG Utilization'!C139+'NG Utilization'!D139+'NG Utilization'!E139)-'LNG Facilities'!#REF!)*ROUND(((('M&amp;R Stations'!#REF!*'M&amp;R Stations'!L129)+('M&amp;R Stations'!#REF!*'M&amp;R Stations'!F129))/1000)/('M&amp;R Stations'!#REF!+'M&amp;R Stations'!#REF!),3),0)+ROUND((('LNG Facilities'!F129*'LNG Facilities'!K129+'LNG Facilities'!G129*'LNG Facilities'!L129+'LNG Facilities'!H129*'LNG Facilities'!M129+'LNG Facilities'!R129*'LNG Facilities'!W129+'LNG Facilities'!S129*'LNG Facilities'!X129+'LNG Facilities'!T129*'LNG Facilities'!#REF!)/1000),0))</f>
        <v>#REF!</v>
      </c>
      <c r="O139" s="58" t="e">
        <f t="shared" si="37"/>
        <v>#REF!</v>
      </c>
      <c r="P139" s="58" t="e">
        <f t="shared" si="38"/>
        <v>#REF!</v>
      </c>
      <c r="Q139" s="58"/>
      <c r="R139" s="57" t="e">
        <f t="shared" si="34"/>
        <v>#REF!</v>
      </c>
      <c r="S139" s="58" t="e">
        <f t="shared" si="39"/>
        <v>#REF!</v>
      </c>
      <c r="T139" s="58" t="e">
        <f t="shared" si="40"/>
        <v>#REF!</v>
      </c>
      <c r="U139" s="59"/>
      <c r="V139" s="59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</row>
    <row r="140" spans="1:46" x14ac:dyDescent="0.25">
      <c r="A140" s="31">
        <f>'M&amp;R Stations'!A130</f>
        <v>39089</v>
      </c>
      <c r="B140" s="89"/>
      <c r="C140" s="227">
        <v>325705</v>
      </c>
      <c r="D140" s="225">
        <v>320293.7</v>
      </c>
      <c r="E140" s="185"/>
      <c r="F140" s="72" t="e">
        <f>IF('M&amp;R Stations'!#REF!="","",('M&amp;R Stations'!#REF!+'M&amp;R Stations'!#REF!)+('LNG Facilities'!F130+'LNG Facilities'!G130+'LNG Facilities'!H130+'LNG Facilities'!R130+'LNG Facilities'!S130+'LNG Facilities'!T130)-'LNG Facilities'!#REF!-('NG Utilization'!C140+'NG Utilization'!D140+'NG Utilization'!E140))</f>
        <v>#REF!</v>
      </c>
      <c r="G140" s="58" t="e">
        <f>IF('M&amp;R Stations'!#REF!="","",F140+G139)</f>
        <v>#REF!</v>
      </c>
      <c r="H140" s="58" t="e">
        <f>IF('M&amp;R Stations'!#REF!="","",F140+H139)</f>
        <v>#REF!</v>
      </c>
      <c r="I140" s="58"/>
      <c r="J140" s="57" t="e">
        <f t="shared" si="33"/>
        <v>#REF!</v>
      </c>
      <c r="K140" s="58" t="e">
        <f t="shared" si="35"/>
        <v>#REF!</v>
      </c>
      <c r="L140" s="58" t="e">
        <f t="shared" si="36"/>
        <v>#REF!</v>
      </c>
      <c r="M140" s="58"/>
      <c r="N140" s="73" t="e">
        <f>IF(F140="","",ROUND((('M&amp;R Stations'!#REF!+'M&amp;R Stations'!#REF!)-('NG Utilization'!C140+'NG Utilization'!D140+'NG Utilization'!E140)-'LNG Facilities'!#REF!)*ROUND(((('M&amp;R Stations'!#REF!*'M&amp;R Stations'!L130)+('M&amp;R Stations'!#REF!*'M&amp;R Stations'!F130))/1000)/('M&amp;R Stations'!#REF!+'M&amp;R Stations'!#REF!),3),0)+ROUND((('LNG Facilities'!F130*'LNG Facilities'!K130+'LNG Facilities'!G130*'LNG Facilities'!L130+'LNG Facilities'!H130*'LNG Facilities'!M130+'LNG Facilities'!R130*'LNG Facilities'!W130+'LNG Facilities'!S130*'LNG Facilities'!X130+'LNG Facilities'!T130*'LNG Facilities'!#REF!)/1000),0))</f>
        <v>#REF!</v>
      </c>
      <c r="O140" s="58" t="e">
        <f t="shared" si="37"/>
        <v>#REF!</v>
      </c>
      <c r="P140" s="58" t="e">
        <f t="shared" si="38"/>
        <v>#REF!</v>
      </c>
      <c r="Q140" s="58"/>
      <c r="R140" s="57" t="e">
        <f t="shared" si="34"/>
        <v>#REF!</v>
      </c>
      <c r="S140" s="58" t="e">
        <f t="shared" si="39"/>
        <v>#REF!</v>
      </c>
      <c r="T140" s="58" t="e">
        <f t="shared" si="40"/>
        <v>#REF!</v>
      </c>
      <c r="U140" s="59"/>
      <c r="V140" s="59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</row>
    <row r="141" spans="1:46" x14ac:dyDescent="0.25">
      <c r="A141" s="31">
        <f>'M&amp;R Stations'!A131</f>
        <v>39090</v>
      </c>
      <c r="B141" s="89"/>
      <c r="C141" s="227">
        <v>272958</v>
      </c>
      <c r="D141" s="225">
        <v>320293.7</v>
      </c>
      <c r="E141" s="185"/>
      <c r="F141" s="72" t="e">
        <f>IF('M&amp;R Stations'!#REF!="","",('M&amp;R Stations'!#REF!+'M&amp;R Stations'!#REF!)+('LNG Facilities'!F131+'LNG Facilities'!G131+'LNG Facilities'!H131+'LNG Facilities'!R131+'LNG Facilities'!S131+'LNG Facilities'!T131)-'LNG Facilities'!#REF!-('NG Utilization'!C141+'NG Utilization'!D141+'NG Utilization'!E141))</f>
        <v>#REF!</v>
      </c>
      <c r="G141" s="58" t="e">
        <f>IF('M&amp;R Stations'!#REF!="","",F141+G140)</f>
        <v>#REF!</v>
      </c>
      <c r="H141" s="58" t="e">
        <f>IF('M&amp;R Stations'!#REF!="","",F141+H140)</f>
        <v>#REF!</v>
      </c>
      <c r="I141" s="58"/>
      <c r="J141" s="57" t="e">
        <f t="shared" si="33"/>
        <v>#REF!</v>
      </c>
      <c r="K141" s="58" t="e">
        <f t="shared" si="35"/>
        <v>#REF!</v>
      </c>
      <c r="L141" s="58" t="e">
        <f t="shared" si="36"/>
        <v>#REF!</v>
      </c>
      <c r="M141" s="58"/>
      <c r="N141" s="73" t="e">
        <f>IF(F141="","",ROUND((('M&amp;R Stations'!#REF!+'M&amp;R Stations'!#REF!)-('NG Utilization'!C141+'NG Utilization'!D141+'NG Utilization'!E141)-'LNG Facilities'!#REF!)*ROUND(((('M&amp;R Stations'!#REF!*'M&amp;R Stations'!L131)+('M&amp;R Stations'!#REF!*'M&amp;R Stations'!F131))/1000)/('M&amp;R Stations'!#REF!+'M&amp;R Stations'!#REF!),3),0)+ROUND((('LNG Facilities'!F131*'LNG Facilities'!K131+'LNG Facilities'!G131*'LNG Facilities'!L131+'LNG Facilities'!H131*'LNG Facilities'!M131+'LNG Facilities'!R131*'LNG Facilities'!W131+'LNG Facilities'!S131*'LNG Facilities'!X131+'LNG Facilities'!T131*'LNG Facilities'!#REF!)/1000),0))</f>
        <v>#REF!</v>
      </c>
      <c r="O141" s="58" t="e">
        <f t="shared" si="37"/>
        <v>#REF!</v>
      </c>
      <c r="P141" s="58" t="e">
        <f t="shared" si="38"/>
        <v>#REF!</v>
      </c>
      <c r="Q141" s="58"/>
      <c r="R141" s="57" t="e">
        <f t="shared" si="34"/>
        <v>#REF!</v>
      </c>
      <c r="S141" s="58" t="e">
        <f t="shared" si="39"/>
        <v>#REF!</v>
      </c>
      <c r="T141" s="58" t="e">
        <f t="shared" si="40"/>
        <v>#REF!</v>
      </c>
      <c r="U141" s="59"/>
      <c r="V141" s="59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</row>
    <row r="142" spans="1:46" x14ac:dyDescent="0.25">
      <c r="A142" s="31">
        <f>'M&amp;R Stations'!A132</f>
        <v>39091</v>
      </c>
      <c r="B142" s="89"/>
      <c r="C142" s="227">
        <v>220795</v>
      </c>
      <c r="D142" s="225">
        <v>330440.09999999998</v>
      </c>
      <c r="E142" s="185"/>
      <c r="F142" s="72" t="e">
        <f>IF('M&amp;R Stations'!#REF!="","",('M&amp;R Stations'!#REF!+'M&amp;R Stations'!#REF!)+('LNG Facilities'!F132+'LNG Facilities'!G132+'LNG Facilities'!H132+'LNG Facilities'!R132+'LNG Facilities'!S132+'LNG Facilities'!T132)-'LNG Facilities'!#REF!-('NG Utilization'!C142+'NG Utilization'!D142+'NG Utilization'!E142))</f>
        <v>#REF!</v>
      </c>
      <c r="G142" s="58" t="e">
        <f>IF('M&amp;R Stations'!#REF!="","",F142+G141)</f>
        <v>#REF!</v>
      </c>
      <c r="H142" s="58" t="e">
        <f>IF('M&amp;R Stations'!#REF!="","",F142+H141)</f>
        <v>#REF!</v>
      </c>
      <c r="I142" s="58"/>
      <c r="J142" s="57" t="e">
        <f t="shared" si="33"/>
        <v>#REF!</v>
      </c>
      <c r="K142" s="58" t="e">
        <f t="shared" si="35"/>
        <v>#REF!</v>
      </c>
      <c r="L142" s="58" t="e">
        <f t="shared" si="36"/>
        <v>#REF!</v>
      </c>
      <c r="M142" s="58"/>
      <c r="N142" s="73" t="e">
        <f>IF(F142="","",ROUND((('M&amp;R Stations'!#REF!+'M&amp;R Stations'!#REF!)-('NG Utilization'!C142+'NG Utilization'!D142+'NG Utilization'!E142)-'LNG Facilities'!#REF!)*ROUND(((('M&amp;R Stations'!#REF!*'M&amp;R Stations'!L132)+('M&amp;R Stations'!#REF!*'M&amp;R Stations'!F132))/1000)/('M&amp;R Stations'!#REF!+'M&amp;R Stations'!#REF!),3),0)+ROUND((('LNG Facilities'!F132*'LNG Facilities'!K132+'LNG Facilities'!G132*'LNG Facilities'!L132+'LNG Facilities'!H132*'LNG Facilities'!M132+'LNG Facilities'!R132*'LNG Facilities'!W132+'LNG Facilities'!S132*'LNG Facilities'!X132+'LNG Facilities'!T132*'LNG Facilities'!#REF!)/1000),0))</f>
        <v>#REF!</v>
      </c>
      <c r="O142" s="58" t="e">
        <f t="shared" si="37"/>
        <v>#REF!</v>
      </c>
      <c r="P142" s="58" t="e">
        <f t="shared" si="38"/>
        <v>#REF!</v>
      </c>
      <c r="Q142" s="58"/>
      <c r="R142" s="57" t="e">
        <f t="shared" si="34"/>
        <v>#REF!</v>
      </c>
      <c r="S142" s="58" t="e">
        <f t="shared" si="39"/>
        <v>#REF!</v>
      </c>
      <c r="T142" s="58" t="e">
        <f t="shared" si="40"/>
        <v>#REF!</v>
      </c>
      <c r="U142" s="59"/>
      <c r="V142" s="59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</row>
    <row r="143" spans="1:46" x14ac:dyDescent="0.25">
      <c r="A143" s="31">
        <f>'M&amp;R Stations'!A133</f>
        <v>39092</v>
      </c>
      <c r="B143" s="89"/>
      <c r="C143" s="227">
        <v>238767</v>
      </c>
      <c r="D143" s="225">
        <v>360879</v>
      </c>
      <c r="E143" s="185"/>
      <c r="F143" s="72" t="e">
        <f>IF('M&amp;R Stations'!#REF!="","",('M&amp;R Stations'!#REF!+'M&amp;R Stations'!#REF!)+('LNG Facilities'!F133+'LNG Facilities'!G133+'LNG Facilities'!H133+'LNG Facilities'!R133+'LNG Facilities'!S133+'LNG Facilities'!T133)-'LNG Facilities'!#REF!-('NG Utilization'!C143+'NG Utilization'!D143+'NG Utilization'!E143))</f>
        <v>#REF!</v>
      </c>
      <c r="G143" s="58" t="e">
        <f>IF('M&amp;R Stations'!#REF!="","",F143+G142)</f>
        <v>#REF!</v>
      </c>
      <c r="H143" s="58" t="e">
        <f>IF('M&amp;R Stations'!#REF!="","",F143+H142)</f>
        <v>#REF!</v>
      </c>
      <c r="I143" s="58"/>
      <c r="J143" s="57" t="e">
        <f t="shared" si="33"/>
        <v>#REF!</v>
      </c>
      <c r="K143" s="58" t="e">
        <f t="shared" si="35"/>
        <v>#REF!</v>
      </c>
      <c r="L143" s="58" t="e">
        <f t="shared" si="36"/>
        <v>#REF!</v>
      </c>
      <c r="M143" s="58"/>
      <c r="N143" s="73" t="e">
        <f>IF(F143="","",ROUND((('M&amp;R Stations'!#REF!+'M&amp;R Stations'!#REF!)-('NG Utilization'!C143+'NG Utilization'!D143+'NG Utilization'!E143)-'LNG Facilities'!#REF!)*ROUND(((('M&amp;R Stations'!#REF!*'M&amp;R Stations'!L133)+('M&amp;R Stations'!#REF!*'M&amp;R Stations'!F133))/1000)/('M&amp;R Stations'!#REF!+'M&amp;R Stations'!#REF!),3),0)+ROUND((('LNG Facilities'!F133*'LNG Facilities'!K133+'LNG Facilities'!G133*'LNG Facilities'!L133+'LNG Facilities'!H133*'LNG Facilities'!M133+'LNG Facilities'!R133*'LNG Facilities'!W133+'LNG Facilities'!S133*'LNG Facilities'!X133+'LNG Facilities'!T133*'LNG Facilities'!#REF!)/1000),0))</f>
        <v>#REF!</v>
      </c>
      <c r="O143" s="58" t="e">
        <f t="shared" si="37"/>
        <v>#REF!</v>
      </c>
      <c r="P143" s="58" t="e">
        <f t="shared" si="38"/>
        <v>#REF!</v>
      </c>
      <c r="Q143" s="58"/>
      <c r="R143" s="57" t="e">
        <f t="shared" si="34"/>
        <v>#REF!</v>
      </c>
      <c r="S143" s="58" t="e">
        <f t="shared" si="39"/>
        <v>#REF!</v>
      </c>
      <c r="T143" s="58" t="e">
        <f t="shared" si="40"/>
        <v>#REF!</v>
      </c>
      <c r="U143" s="59"/>
      <c r="V143" s="59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</row>
    <row r="144" spans="1:46" x14ac:dyDescent="0.25">
      <c r="A144" s="31">
        <f>'M&amp;R Stations'!A134</f>
        <v>39093</v>
      </c>
      <c r="B144" s="89"/>
      <c r="C144" s="227">
        <v>199601</v>
      </c>
      <c r="D144" s="225">
        <v>340586</v>
      </c>
      <c r="E144" s="185"/>
      <c r="F144" s="72" t="e">
        <f>IF('M&amp;R Stations'!#REF!="","",('M&amp;R Stations'!#REF!+'M&amp;R Stations'!#REF!)+('LNG Facilities'!F134+'LNG Facilities'!G134+'LNG Facilities'!H134+'LNG Facilities'!R134+'LNG Facilities'!S134+'LNG Facilities'!T134)-'LNG Facilities'!#REF!-('NG Utilization'!C144+'NG Utilization'!D144+'NG Utilization'!E144))</f>
        <v>#REF!</v>
      </c>
      <c r="G144" s="58" t="e">
        <f>IF('M&amp;R Stations'!#REF!="","",F144+G143)</f>
        <v>#REF!</v>
      </c>
      <c r="H144" s="58" t="e">
        <f>IF('M&amp;R Stations'!#REF!="","",F144+H143)</f>
        <v>#REF!</v>
      </c>
      <c r="I144" s="58"/>
      <c r="J144" s="57" t="e">
        <f t="shared" si="33"/>
        <v>#REF!</v>
      </c>
      <c r="K144" s="58" t="e">
        <f t="shared" si="35"/>
        <v>#REF!</v>
      </c>
      <c r="L144" s="58" t="e">
        <f t="shared" si="36"/>
        <v>#REF!</v>
      </c>
      <c r="M144" s="58"/>
      <c r="N144" s="73" t="e">
        <f>IF(F144="","",ROUND((('M&amp;R Stations'!#REF!+'M&amp;R Stations'!#REF!)-('NG Utilization'!C144+'NG Utilization'!D144+'NG Utilization'!E144)-'LNG Facilities'!#REF!)*ROUND(((('M&amp;R Stations'!#REF!*'M&amp;R Stations'!L134)+('M&amp;R Stations'!#REF!*'M&amp;R Stations'!F134))/1000)/('M&amp;R Stations'!#REF!+'M&amp;R Stations'!#REF!),3),0)+ROUND((('LNG Facilities'!F134*'LNG Facilities'!K134+'LNG Facilities'!G134*'LNG Facilities'!L134+'LNG Facilities'!H134*'LNG Facilities'!M134+'LNG Facilities'!R134*'LNG Facilities'!W134+'LNG Facilities'!S134*'LNG Facilities'!X134+'LNG Facilities'!T134*'LNG Facilities'!#REF!)/1000),0))</f>
        <v>#REF!</v>
      </c>
      <c r="O144" s="58" t="e">
        <f t="shared" si="37"/>
        <v>#REF!</v>
      </c>
      <c r="P144" s="58" t="e">
        <f t="shared" si="38"/>
        <v>#REF!</v>
      </c>
      <c r="Q144" s="58"/>
      <c r="R144" s="57" t="e">
        <f t="shared" si="34"/>
        <v>#REF!</v>
      </c>
      <c r="S144" s="58" t="e">
        <f t="shared" si="39"/>
        <v>#REF!</v>
      </c>
      <c r="T144" s="58" t="e">
        <f t="shared" si="40"/>
        <v>#REF!</v>
      </c>
      <c r="U144" s="59"/>
      <c r="V144" s="59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</row>
    <row r="145" spans="1:46" x14ac:dyDescent="0.25">
      <c r="A145" s="31">
        <f>'M&amp;R Stations'!A135</f>
        <v>39094</v>
      </c>
      <c r="B145" s="89"/>
      <c r="C145" s="227">
        <v>184349</v>
      </c>
      <c r="D145" s="225">
        <v>340586.4</v>
      </c>
      <c r="E145" s="185"/>
      <c r="F145" s="72" t="e">
        <f>IF('M&amp;R Stations'!#REF!="","",('M&amp;R Stations'!#REF!+'M&amp;R Stations'!#REF!)+('LNG Facilities'!F135+'LNG Facilities'!G135+'LNG Facilities'!H135+'LNG Facilities'!R135+'LNG Facilities'!S135+'LNG Facilities'!T135)-'LNG Facilities'!#REF!-('NG Utilization'!C145+'NG Utilization'!D145+'NG Utilization'!E145))</f>
        <v>#REF!</v>
      </c>
      <c r="G145" s="58" t="e">
        <f>IF('M&amp;R Stations'!#REF!="","",F145+G144)</f>
        <v>#REF!</v>
      </c>
      <c r="H145" s="58" t="e">
        <f>IF('M&amp;R Stations'!#REF!="","",F145+H144)</f>
        <v>#REF!</v>
      </c>
      <c r="I145" s="58"/>
      <c r="J145" s="57" t="e">
        <f t="shared" si="33"/>
        <v>#REF!</v>
      </c>
      <c r="K145" s="58" t="e">
        <f t="shared" si="35"/>
        <v>#REF!</v>
      </c>
      <c r="L145" s="58" t="e">
        <f t="shared" si="36"/>
        <v>#REF!</v>
      </c>
      <c r="M145" s="58"/>
      <c r="N145" s="73" t="e">
        <f>IF(F145="","",ROUND((('M&amp;R Stations'!#REF!+'M&amp;R Stations'!#REF!)-('NG Utilization'!C145+'NG Utilization'!D145+'NG Utilization'!E145)-'LNG Facilities'!#REF!)*ROUND(((('M&amp;R Stations'!#REF!*'M&amp;R Stations'!L135)+('M&amp;R Stations'!#REF!*'M&amp;R Stations'!F135))/1000)/('M&amp;R Stations'!#REF!+'M&amp;R Stations'!#REF!),3),0)+ROUND((('LNG Facilities'!F135*'LNG Facilities'!K135+'LNG Facilities'!G135*'LNG Facilities'!L135+'LNG Facilities'!H135*'LNG Facilities'!M135+'LNG Facilities'!R135*'LNG Facilities'!W135+'LNG Facilities'!S135*'LNG Facilities'!X135+'LNG Facilities'!T135*'LNG Facilities'!#REF!)/1000),0))</f>
        <v>#REF!</v>
      </c>
      <c r="O145" s="58" t="e">
        <f t="shared" si="37"/>
        <v>#REF!</v>
      </c>
      <c r="P145" s="58" t="e">
        <f t="shared" si="38"/>
        <v>#REF!</v>
      </c>
      <c r="Q145" s="58"/>
      <c r="R145" s="57" t="e">
        <f t="shared" si="34"/>
        <v>#REF!</v>
      </c>
      <c r="S145" s="58" t="e">
        <f t="shared" si="39"/>
        <v>#REF!</v>
      </c>
      <c r="T145" s="58" t="e">
        <f t="shared" si="40"/>
        <v>#REF!</v>
      </c>
      <c r="U145" s="59"/>
      <c r="V145" s="59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</row>
    <row r="146" spans="1:46" x14ac:dyDescent="0.25">
      <c r="A146" s="31">
        <f>'M&amp;R Stations'!A136</f>
        <v>39095</v>
      </c>
      <c r="B146" s="89"/>
      <c r="C146" s="227">
        <v>173954</v>
      </c>
      <c r="D146" s="225">
        <v>350732.79999999999</v>
      </c>
      <c r="E146" s="185"/>
      <c r="F146" s="72" t="e">
        <f>IF('M&amp;R Stations'!#REF!="","",('M&amp;R Stations'!#REF!+'M&amp;R Stations'!#REF!)+('LNG Facilities'!F136+'LNG Facilities'!G136+'LNG Facilities'!H136+'LNG Facilities'!R136+'LNG Facilities'!S136+'LNG Facilities'!T136)-'LNG Facilities'!#REF!-('NG Utilization'!C146+'NG Utilization'!D146+'NG Utilization'!E146))</f>
        <v>#REF!</v>
      </c>
      <c r="G146" s="58" t="e">
        <f>IF('M&amp;R Stations'!#REF!="","",F146+G145)</f>
        <v>#REF!</v>
      </c>
      <c r="H146" s="58" t="e">
        <f>IF('M&amp;R Stations'!#REF!="","",F146+H145)</f>
        <v>#REF!</v>
      </c>
      <c r="I146" s="58"/>
      <c r="J146" s="57" t="e">
        <f t="shared" si="33"/>
        <v>#REF!</v>
      </c>
      <c r="K146" s="58" t="e">
        <f t="shared" si="35"/>
        <v>#REF!</v>
      </c>
      <c r="L146" s="58" t="e">
        <f t="shared" si="36"/>
        <v>#REF!</v>
      </c>
      <c r="M146" s="58"/>
      <c r="N146" s="73" t="e">
        <f>IF(F146="","",ROUND((('M&amp;R Stations'!#REF!+'M&amp;R Stations'!#REF!)-('NG Utilization'!C146+'NG Utilization'!D146+'NG Utilization'!E146)-'LNG Facilities'!#REF!)*ROUND(((('M&amp;R Stations'!#REF!*'M&amp;R Stations'!L136)+('M&amp;R Stations'!#REF!*'M&amp;R Stations'!F136))/1000)/('M&amp;R Stations'!#REF!+'M&amp;R Stations'!#REF!),3),0)+ROUND((('LNG Facilities'!F136*'LNG Facilities'!K136+'LNG Facilities'!G136*'LNG Facilities'!L136+'LNG Facilities'!H136*'LNG Facilities'!M136+'LNG Facilities'!R136*'LNG Facilities'!W136+'LNG Facilities'!S136*'LNG Facilities'!X136+'LNG Facilities'!T136*'LNG Facilities'!#REF!)/1000),0))</f>
        <v>#REF!</v>
      </c>
      <c r="O146" s="58" t="e">
        <f t="shared" si="37"/>
        <v>#REF!</v>
      </c>
      <c r="P146" s="58" t="e">
        <f t="shared" si="38"/>
        <v>#REF!</v>
      </c>
      <c r="Q146" s="58"/>
      <c r="R146" s="57" t="e">
        <f t="shared" si="34"/>
        <v>#REF!</v>
      </c>
      <c r="S146" s="58" t="e">
        <f t="shared" si="39"/>
        <v>#REF!</v>
      </c>
      <c r="T146" s="58" t="e">
        <f t="shared" si="40"/>
        <v>#REF!</v>
      </c>
      <c r="U146" s="59"/>
      <c r="V146" s="59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</row>
    <row r="147" spans="1:46" x14ac:dyDescent="0.25">
      <c r="A147" s="31">
        <f>'M&amp;R Stations'!A137</f>
        <v>39096</v>
      </c>
      <c r="B147" s="89"/>
      <c r="C147" s="227">
        <v>277941</v>
      </c>
      <c r="D147" s="225">
        <v>350732.79999999999</v>
      </c>
      <c r="E147" s="185"/>
      <c r="F147" s="72" t="e">
        <f>IF('M&amp;R Stations'!#REF!="","",('M&amp;R Stations'!#REF!+'M&amp;R Stations'!#REF!)+('LNG Facilities'!F137+'LNG Facilities'!G137+'LNG Facilities'!H137+'LNG Facilities'!R137+'LNG Facilities'!S137+'LNG Facilities'!T137)-'LNG Facilities'!#REF!-('NG Utilization'!C147+'NG Utilization'!D147+'NG Utilization'!E147))</f>
        <v>#REF!</v>
      </c>
      <c r="G147" s="58" t="e">
        <f>IF('M&amp;R Stations'!#REF!="","",F147+G146)</f>
        <v>#REF!</v>
      </c>
      <c r="H147" s="58" t="e">
        <f>IF('M&amp;R Stations'!#REF!="","",F147+H146)</f>
        <v>#REF!</v>
      </c>
      <c r="I147" s="58"/>
      <c r="J147" s="57" t="e">
        <f t="shared" si="33"/>
        <v>#REF!</v>
      </c>
      <c r="K147" s="58" t="e">
        <f t="shared" si="35"/>
        <v>#REF!</v>
      </c>
      <c r="L147" s="58" t="e">
        <f t="shared" si="36"/>
        <v>#REF!</v>
      </c>
      <c r="M147" s="58"/>
      <c r="N147" s="73" t="e">
        <f>IF(F147="","",ROUND((('M&amp;R Stations'!#REF!+'M&amp;R Stations'!#REF!)-('NG Utilization'!C147+'NG Utilization'!D147+'NG Utilization'!E147)-'LNG Facilities'!#REF!)*ROUND(((('M&amp;R Stations'!#REF!*'M&amp;R Stations'!L137)+('M&amp;R Stations'!#REF!*'M&amp;R Stations'!F137))/1000)/('M&amp;R Stations'!#REF!+'M&amp;R Stations'!#REF!),3),0)+ROUND((('LNG Facilities'!F137*'LNG Facilities'!K137+'LNG Facilities'!G137*'LNG Facilities'!L137+'LNG Facilities'!H137*'LNG Facilities'!M137+'LNG Facilities'!R137*'LNG Facilities'!W137+'LNG Facilities'!S137*'LNG Facilities'!X137+'LNG Facilities'!T137*'LNG Facilities'!#REF!)/1000),0))</f>
        <v>#REF!</v>
      </c>
      <c r="O147" s="58" t="e">
        <f t="shared" si="37"/>
        <v>#REF!</v>
      </c>
      <c r="P147" s="58" t="e">
        <f t="shared" si="38"/>
        <v>#REF!</v>
      </c>
      <c r="Q147" s="58"/>
      <c r="R147" s="57" t="e">
        <f t="shared" si="34"/>
        <v>#REF!</v>
      </c>
      <c r="S147" s="58" t="e">
        <f t="shared" si="39"/>
        <v>#REF!</v>
      </c>
      <c r="T147" s="58" t="e">
        <f t="shared" si="40"/>
        <v>#REF!</v>
      </c>
      <c r="U147" s="59"/>
      <c r="V147" s="59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</row>
    <row r="148" spans="1:46" x14ac:dyDescent="0.25">
      <c r="A148" s="31">
        <f>'M&amp;R Stations'!A138</f>
        <v>39097</v>
      </c>
      <c r="B148" s="89"/>
      <c r="C148" s="227">
        <v>409772</v>
      </c>
      <c r="D148" s="225">
        <v>360879</v>
      </c>
      <c r="E148" s="185"/>
      <c r="F148" s="72" t="e">
        <f>IF('M&amp;R Stations'!#REF!="","",('M&amp;R Stations'!#REF!+'M&amp;R Stations'!#REF!)+('LNG Facilities'!F138+'LNG Facilities'!G138+'LNG Facilities'!H138+'LNG Facilities'!R138+'LNG Facilities'!S138+'LNG Facilities'!T138)-'LNG Facilities'!#REF!-('NG Utilization'!C148+'NG Utilization'!D148+'NG Utilization'!E148))</f>
        <v>#REF!</v>
      </c>
      <c r="G148" s="58" t="e">
        <f>IF('M&amp;R Stations'!#REF!="","",F148+G147)</f>
        <v>#REF!</v>
      </c>
      <c r="H148" s="58" t="e">
        <f>IF('M&amp;R Stations'!#REF!="","",F148+H147)</f>
        <v>#REF!</v>
      </c>
      <c r="I148" s="58"/>
      <c r="J148" s="57" t="e">
        <f t="shared" si="33"/>
        <v>#REF!</v>
      </c>
      <c r="K148" s="58" t="e">
        <f t="shared" si="35"/>
        <v>#REF!</v>
      </c>
      <c r="L148" s="58" t="e">
        <f t="shared" si="36"/>
        <v>#REF!</v>
      </c>
      <c r="M148" s="58"/>
      <c r="N148" s="73" t="e">
        <f>IF(F148="","",ROUND((('M&amp;R Stations'!#REF!+'M&amp;R Stations'!#REF!)-('NG Utilization'!C148+'NG Utilization'!D148+'NG Utilization'!E148)-'LNG Facilities'!#REF!)*ROUND(((('M&amp;R Stations'!#REF!*'M&amp;R Stations'!L138)+('M&amp;R Stations'!#REF!*'M&amp;R Stations'!F138))/1000)/('M&amp;R Stations'!#REF!+'M&amp;R Stations'!#REF!),3),0)+ROUND((('LNG Facilities'!F138*'LNG Facilities'!K138+'LNG Facilities'!G138*'LNG Facilities'!L138+'LNG Facilities'!H138*'LNG Facilities'!M138+'LNG Facilities'!R138*'LNG Facilities'!W138+'LNG Facilities'!S138*'LNG Facilities'!X138+'LNG Facilities'!T138*'LNG Facilities'!#REF!)/1000),0))</f>
        <v>#REF!</v>
      </c>
      <c r="O148" s="58" t="e">
        <f t="shared" si="37"/>
        <v>#REF!</v>
      </c>
      <c r="P148" s="58" t="e">
        <f t="shared" si="38"/>
        <v>#REF!</v>
      </c>
      <c r="Q148" s="58"/>
      <c r="R148" s="57" t="e">
        <f t="shared" si="34"/>
        <v>#REF!</v>
      </c>
      <c r="S148" s="58" t="e">
        <f t="shared" si="39"/>
        <v>#REF!</v>
      </c>
      <c r="T148" s="58" t="e">
        <f t="shared" si="40"/>
        <v>#REF!</v>
      </c>
      <c r="U148" s="59"/>
      <c r="V148" s="59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</row>
    <row r="149" spans="1:46" x14ac:dyDescent="0.25">
      <c r="A149" s="31">
        <f>'M&amp;R Stations'!A139</f>
        <v>39098</v>
      </c>
      <c r="B149" s="89"/>
      <c r="C149" s="227">
        <v>405334</v>
      </c>
      <c r="D149" s="225">
        <v>371026</v>
      </c>
      <c r="E149" s="185"/>
      <c r="F149" s="72" t="e">
        <f>IF('M&amp;R Stations'!#REF!="","",('M&amp;R Stations'!#REF!+'M&amp;R Stations'!#REF!)+('LNG Facilities'!F139+'LNG Facilities'!G139+'LNG Facilities'!H139+'LNG Facilities'!R139+'LNG Facilities'!S139+'LNG Facilities'!T139)-'LNG Facilities'!#REF!-('NG Utilization'!C149+'NG Utilization'!D149+'NG Utilization'!E149))</f>
        <v>#REF!</v>
      </c>
      <c r="G149" s="58" t="e">
        <f>IF('M&amp;R Stations'!#REF!="","",F149+G148)</f>
        <v>#REF!</v>
      </c>
      <c r="H149" s="58" t="e">
        <f>IF('M&amp;R Stations'!#REF!="","",F149+H148)</f>
        <v>#REF!</v>
      </c>
      <c r="I149" s="58"/>
      <c r="J149" s="57" t="e">
        <f t="shared" si="33"/>
        <v>#REF!</v>
      </c>
      <c r="K149" s="58" t="e">
        <f t="shared" si="35"/>
        <v>#REF!</v>
      </c>
      <c r="L149" s="58" t="e">
        <f t="shared" si="36"/>
        <v>#REF!</v>
      </c>
      <c r="M149" s="58"/>
      <c r="N149" s="73" t="e">
        <f>IF(F149="","",ROUND((('M&amp;R Stations'!#REF!+'M&amp;R Stations'!#REF!)-('NG Utilization'!C149+'NG Utilization'!D149+'NG Utilization'!E149)-'LNG Facilities'!#REF!)*ROUND(((('M&amp;R Stations'!#REF!*'M&amp;R Stations'!L139)+('M&amp;R Stations'!#REF!*'M&amp;R Stations'!F139))/1000)/('M&amp;R Stations'!#REF!+'M&amp;R Stations'!#REF!),3),0)+ROUND((('LNG Facilities'!F139*'LNG Facilities'!K139+'LNG Facilities'!G139*'LNG Facilities'!L139+'LNG Facilities'!H139*'LNG Facilities'!M139+'LNG Facilities'!R139*'LNG Facilities'!W139+'LNG Facilities'!S139*'LNG Facilities'!X139+'LNG Facilities'!T139*'LNG Facilities'!#REF!)/1000),0))</f>
        <v>#REF!</v>
      </c>
      <c r="O149" s="58" t="e">
        <f t="shared" si="37"/>
        <v>#REF!</v>
      </c>
      <c r="P149" s="58" t="e">
        <f t="shared" si="38"/>
        <v>#REF!</v>
      </c>
      <c r="Q149" s="58"/>
      <c r="R149" s="57" t="e">
        <f t="shared" si="34"/>
        <v>#REF!</v>
      </c>
      <c r="S149" s="58" t="e">
        <f t="shared" si="39"/>
        <v>#REF!</v>
      </c>
      <c r="T149" s="58" t="e">
        <f t="shared" si="40"/>
        <v>#REF!</v>
      </c>
      <c r="U149" s="59"/>
      <c r="V149" s="59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</row>
    <row r="150" spans="1:46" x14ac:dyDescent="0.25">
      <c r="A150" s="31">
        <f>'M&amp;R Stations'!A140</f>
        <v>39099</v>
      </c>
      <c r="B150" s="89"/>
      <c r="C150" s="227">
        <v>273480</v>
      </c>
      <c r="D150" s="225">
        <v>401465</v>
      </c>
      <c r="E150" s="185"/>
      <c r="F150" s="72" t="e">
        <f>IF('M&amp;R Stations'!#REF!="","",('M&amp;R Stations'!#REF!+'M&amp;R Stations'!#REF!)+('LNG Facilities'!F140+'LNG Facilities'!G140+'LNG Facilities'!H140+'LNG Facilities'!R140+'LNG Facilities'!S140+'LNG Facilities'!T140)-'LNG Facilities'!#REF!-('NG Utilization'!C150+'NG Utilization'!D150+'NG Utilization'!E150))</f>
        <v>#REF!</v>
      </c>
      <c r="G150" s="58" t="e">
        <f>IF('M&amp;R Stations'!#REF!="","",F150+G149)</f>
        <v>#REF!</v>
      </c>
      <c r="H150" s="58" t="e">
        <f>IF('M&amp;R Stations'!#REF!="","",F150+H149)</f>
        <v>#REF!</v>
      </c>
      <c r="I150" s="58"/>
      <c r="J150" s="57" t="e">
        <f t="shared" si="33"/>
        <v>#REF!</v>
      </c>
      <c r="K150" s="58" t="e">
        <f t="shared" si="35"/>
        <v>#REF!</v>
      </c>
      <c r="L150" s="58" t="e">
        <f t="shared" si="36"/>
        <v>#REF!</v>
      </c>
      <c r="M150" s="58"/>
      <c r="N150" s="73" t="e">
        <f>IF(F150="","",ROUND((('M&amp;R Stations'!#REF!+'M&amp;R Stations'!#REF!)-('NG Utilization'!C150+'NG Utilization'!D150+'NG Utilization'!E150)-'LNG Facilities'!#REF!)*ROUND(((('M&amp;R Stations'!#REF!*'M&amp;R Stations'!L140)+('M&amp;R Stations'!#REF!*'M&amp;R Stations'!F140))/1000)/('M&amp;R Stations'!#REF!+'M&amp;R Stations'!#REF!),3),0)+ROUND((('LNG Facilities'!F140*'LNG Facilities'!K140+'LNG Facilities'!G140*'LNG Facilities'!L140+'LNG Facilities'!H140*'LNG Facilities'!M140+'LNG Facilities'!R140*'LNG Facilities'!W140+'LNG Facilities'!S140*'LNG Facilities'!X140+'LNG Facilities'!T140*'LNG Facilities'!#REF!)/1000),0))</f>
        <v>#REF!</v>
      </c>
      <c r="O150" s="58" t="e">
        <f t="shared" si="37"/>
        <v>#REF!</v>
      </c>
      <c r="P150" s="58" t="e">
        <f t="shared" si="38"/>
        <v>#REF!</v>
      </c>
      <c r="Q150" s="58"/>
      <c r="R150" s="57" t="e">
        <f t="shared" si="34"/>
        <v>#REF!</v>
      </c>
      <c r="S150" s="58" t="e">
        <f t="shared" si="39"/>
        <v>#REF!</v>
      </c>
      <c r="T150" s="58" t="e">
        <f t="shared" si="40"/>
        <v>#REF!</v>
      </c>
      <c r="U150" s="59"/>
      <c r="V150" s="59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</row>
    <row r="151" spans="1:46" x14ac:dyDescent="0.25">
      <c r="A151" s="31">
        <f>'M&amp;R Stations'!A141</f>
        <v>39100</v>
      </c>
      <c r="B151" s="89"/>
      <c r="C151" s="227">
        <v>292027</v>
      </c>
      <c r="D151" s="225">
        <v>371026</v>
      </c>
      <c r="E151" s="185"/>
      <c r="F151" s="72" t="e">
        <f>IF('M&amp;R Stations'!#REF!="","",('M&amp;R Stations'!#REF!+'M&amp;R Stations'!#REF!)+('LNG Facilities'!F141+'LNG Facilities'!G141+'LNG Facilities'!H141+'LNG Facilities'!R141+'LNG Facilities'!S141+'LNG Facilities'!T141)-'LNG Facilities'!#REF!-('NG Utilization'!C151+'NG Utilization'!D151+'NG Utilization'!E151))</f>
        <v>#REF!</v>
      </c>
      <c r="G151" s="58" t="e">
        <f>IF('M&amp;R Stations'!#REF!="","",F151+G150)</f>
        <v>#REF!</v>
      </c>
      <c r="H151" s="58" t="e">
        <f>IF('M&amp;R Stations'!#REF!="","",F151+H150)</f>
        <v>#REF!</v>
      </c>
      <c r="I151" s="58"/>
      <c r="J151" s="57" t="e">
        <f t="shared" si="33"/>
        <v>#REF!</v>
      </c>
      <c r="K151" s="58" t="e">
        <f t="shared" si="35"/>
        <v>#REF!</v>
      </c>
      <c r="L151" s="58" t="e">
        <f t="shared" si="36"/>
        <v>#REF!</v>
      </c>
      <c r="M151" s="58"/>
      <c r="N151" s="73" t="e">
        <f>IF(F151="","",ROUND((('M&amp;R Stations'!#REF!+'M&amp;R Stations'!#REF!)-('NG Utilization'!C151+'NG Utilization'!D151+'NG Utilization'!E151)-'LNG Facilities'!#REF!)*ROUND(((('M&amp;R Stations'!#REF!*'M&amp;R Stations'!L141)+('M&amp;R Stations'!#REF!*'M&amp;R Stations'!F141))/1000)/('M&amp;R Stations'!#REF!+'M&amp;R Stations'!#REF!),3),0)+ROUND((('LNG Facilities'!F141*'LNG Facilities'!K141+'LNG Facilities'!G141*'LNG Facilities'!L141+'LNG Facilities'!H141*'LNG Facilities'!M141+'LNG Facilities'!R141*'LNG Facilities'!W141+'LNG Facilities'!S141*'LNG Facilities'!X141+'LNG Facilities'!T141*'LNG Facilities'!#REF!)/1000),0))</f>
        <v>#REF!</v>
      </c>
      <c r="O151" s="58" t="e">
        <f t="shared" si="37"/>
        <v>#REF!</v>
      </c>
      <c r="P151" s="58" t="e">
        <f t="shared" si="38"/>
        <v>#REF!</v>
      </c>
      <c r="Q151" s="58"/>
      <c r="R151" s="57" t="e">
        <f t="shared" si="34"/>
        <v>#REF!</v>
      </c>
      <c r="S151" s="58" t="e">
        <f t="shared" si="39"/>
        <v>#REF!</v>
      </c>
      <c r="T151" s="58" t="e">
        <f t="shared" si="40"/>
        <v>#REF!</v>
      </c>
      <c r="U151" s="59"/>
      <c r="V151" s="59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</row>
    <row r="152" spans="1:46" x14ac:dyDescent="0.25">
      <c r="A152" s="31">
        <f>'M&amp;R Stations'!A142</f>
        <v>39101</v>
      </c>
      <c r="B152" s="89"/>
      <c r="C152" s="227">
        <v>276651</v>
      </c>
      <c r="D152" s="225">
        <v>381171.9</v>
      </c>
      <c r="E152" s="185"/>
      <c r="F152" s="72" t="e">
        <f>IF('M&amp;R Stations'!#REF!="","",('M&amp;R Stations'!#REF!+'M&amp;R Stations'!#REF!)+('LNG Facilities'!F142+'LNG Facilities'!G142+'LNG Facilities'!H142+'LNG Facilities'!R142+'LNG Facilities'!S142+'LNG Facilities'!T142)-'LNG Facilities'!#REF!-('NG Utilization'!C152+'NG Utilization'!D152+'NG Utilization'!E152))</f>
        <v>#REF!</v>
      </c>
      <c r="G152" s="58" t="e">
        <f>IF('M&amp;R Stations'!#REF!="","",F152+G151)</f>
        <v>#REF!</v>
      </c>
      <c r="H152" s="58" t="e">
        <f>IF('M&amp;R Stations'!#REF!="","",F152+H151)</f>
        <v>#REF!</v>
      </c>
      <c r="I152" s="58"/>
      <c r="J152" s="57" t="e">
        <f t="shared" si="33"/>
        <v>#REF!</v>
      </c>
      <c r="K152" s="58" t="e">
        <f t="shared" si="35"/>
        <v>#REF!</v>
      </c>
      <c r="L152" s="58" t="e">
        <f t="shared" si="36"/>
        <v>#REF!</v>
      </c>
      <c r="M152" s="58"/>
      <c r="N152" s="73" t="e">
        <f>IF(F152="","",ROUND((('M&amp;R Stations'!#REF!+'M&amp;R Stations'!#REF!)-('NG Utilization'!C152+'NG Utilization'!D152+'NG Utilization'!E152)-'LNG Facilities'!#REF!)*ROUND(((('M&amp;R Stations'!#REF!*'M&amp;R Stations'!L142)+('M&amp;R Stations'!#REF!*'M&amp;R Stations'!F142))/1000)/('M&amp;R Stations'!#REF!+'M&amp;R Stations'!#REF!),3),0)+ROUND((('LNG Facilities'!F142*'LNG Facilities'!K142+'LNG Facilities'!G142*'LNG Facilities'!L142+'LNG Facilities'!H142*'LNG Facilities'!M142+'LNG Facilities'!R142*'LNG Facilities'!W142+'LNG Facilities'!S142*'LNG Facilities'!X142+'LNG Facilities'!T142*'LNG Facilities'!#REF!)/1000),0))</f>
        <v>#REF!</v>
      </c>
      <c r="O152" s="58" t="e">
        <f t="shared" si="37"/>
        <v>#REF!</v>
      </c>
      <c r="P152" s="58" t="e">
        <f t="shared" si="38"/>
        <v>#REF!</v>
      </c>
      <c r="Q152" s="58"/>
      <c r="R152" s="57" t="e">
        <f t="shared" si="34"/>
        <v>#REF!</v>
      </c>
      <c r="S152" s="58" t="e">
        <f t="shared" si="39"/>
        <v>#REF!</v>
      </c>
      <c r="T152" s="58" t="e">
        <f t="shared" si="40"/>
        <v>#REF!</v>
      </c>
      <c r="U152" s="59"/>
      <c r="V152" s="59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</row>
    <row r="153" spans="1:46" x14ac:dyDescent="0.25">
      <c r="A153" s="31">
        <f>'M&amp;R Stations'!A143</f>
        <v>39102</v>
      </c>
      <c r="B153" s="89"/>
      <c r="C153" s="227">
        <v>197622</v>
      </c>
      <c r="D153" s="225">
        <v>421757.4</v>
      </c>
      <c r="E153" s="185"/>
      <c r="F153" s="72" t="e">
        <f>IF('M&amp;R Stations'!#REF!="","",('M&amp;R Stations'!#REF!+'M&amp;R Stations'!#REF!)+('LNG Facilities'!F143+'LNG Facilities'!G143+'LNG Facilities'!H143+'LNG Facilities'!R143+'LNG Facilities'!S143+'LNG Facilities'!T143)-'LNG Facilities'!#REF!-('NG Utilization'!C153+'NG Utilization'!D153+'NG Utilization'!E153))</f>
        <v>#REF!</v>
      </c>
      <c r="G153" s="58" t="e">
        <f>IF('M&amp;R Stations'!#REF!="","",F153+G152)</f>
        <v>#REF!</v>
      </c>
      <c r="H153" s="58" t="e">
        <f>IF('M&amp;R Stations'!#REF!="","",F153+H152)</f>
        <v>#REF!</v>
      </c>
      <c r="I153" s="58"/>
      <c r="J153" s="57" t="e">
        <f t="shared" si="33"/>
        <v>#REF!</v>
      </c>
      <c r="K153" s="58" t="e">
        <f t="shared" si="35"/>
        <v>#REF!</v>
      </c>
      <c r="L153" s="58" t="e">
        <f t="shared" si="36"/>
        <v>#REF!</v>
      </c>
      <c r="M153" s="58"/>
      <c r="N153" s="73" t="e">
        <f>IF(F153="","",ROUND((('M&amp;R Stations'!#REF!+'M&amp;R Stations'!#REF!)-('NG Utilization'!C153+'NG Utilization'!D153+'NG Utilization'!E153)-'LNG Facilities'!#REF!)*ROUND(((('M&amp;R Stations'!#REF!*'M&amp;R Stations'!L143)+('M&amp;R Stations'!#REF!*'M&amp;R Stations'!F143))/1000)/('M&amp;R Stations'!#REF!+'M&amp;R Stations'!#REF!),3),0)+ROUND((('LNG Facilities'!F143*'LNG Facilities'!K143+'LNG Facilities'!G143*'LNG Facilities'!L143+'LNG Facilities'!H143*'LNG Facilities'!M143+'LNG Facilities'!R143*'LNG Facilities'!W143+'LNG Facilities'!S143*'LNG Facilities'!X143+'LNG Facilities'!T143*'LNG Facilities'!#REF!)/1000),0))</f>
        <v>#REF!</v>
      </c>
      <c r="O153" s="58" t="e">
        <f t="shared" si="37"/>
        <v>#REF!</v>
      </c>
      <c r="P153" s="58" t="e">
        <f t="shared" si="38"/>
        <v>#REF!</v>
      </c>
      <c r="Q153" s="58"/>
      <c r="R153" s="57" t="e">
        <f t="shared" si="34"/>
        <v>#REF!</v>
      </c>
      <c r="S153" s="58" t="e">
        <f t="shared" si="39"/>
        <v>#REF!</v>
      </c>
      <c r="T153" s="58" t="e">
        <f t="shared" si="40"/>
        <v>#REF!</v>
      </c>
      <c r="U153" s="59"/>
      <c r="V153" s="59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</row>
    <row r="154" spans="1:46" x14ac:dyDescent="0.25">
      <c r="A154" s="31">
        <f>'M&amp;R Stations'!A144</f>
        <v>39103</v>
      </c>
      <c r="B154" s="89"/>
      <c r="C154" s="227">
        <v>222587</v>
      </c>
      <c r="D154" s="225">
        <v>431903.8</v>
      </c>
      <c r="E154" s="185"/>
      <c r="F154" s="72" t="e">
        <f>IF('M&amp;R Stations'!#REF!="","",('M&amp;R Stations'!#REF!+'M&amp;R Stations'!#REF!)+('LNG Facilities'!F144+'LNG Facilities'!G144+'LNG Facilities'!H144+'LNG Facilities'!R144+'LNG Facilities'!S144+'LNG Facilities'!T144)-'LNG Facilities'!#REF!-('NG Utilization'!C154+'NG Utilization'!D154+'NG Utilization'!E154))</f>
        <v>#REF!</v>
      </c>
      <c r="G154" s="58" t="e">
        <f>IF('M&amp;R Stations'!#REF!="","",F154+G153)</f>
        <v>#REF!</v>
      </c>
      <c r="H154" s="58" t="e">
        <f>IF('M&amp;R Stations'!#REF!="","",F154+H153)</f>
        <v>#REF!</v>
      </c>
      <c r="I154" s="58"/>
      <c r="J154" s="57" t="e">
        <f t="shared" si="33"/>
        <v>#REF!</v>
      </c>
      <c r="K154" s="58" t="e">
        <f t="shared" si="35"/>
        <v>#REF!</v>
      </c>
      <c r="L154" s="58" t="e">
        <f t="shared" si="36"/>
        <v>#REF!</v>
      </c>
      <c r="M154" s="58"/>
      <c r="N154" s="73" t="e">
        <f>IF(F154="","",ROUND((('M&amp;R Stations'!#REF!+'M&amp;R Stations'!#REF!)-('NG Utilization'!C154+'NG Utilization'!D154+'NG Utilization'!E154)-'LNG Facilities'!#REF!)*ROUND(((('M&amp;R Stations'!#REF!*'M&amp;R Stations'!L144)+('M&amp;R Stations'!#REF!*'M&amp;R Stations'!F144))/1000)/('M&amp;R Stations'!#REF!+'M&amp;R Stations'!#REF!),3),0)+ROUND((('LNG Facilities'!F144*'LNG Facilities'!K144+'LNG Facilities'!G144*'LNG Facilities'!L144+'LNG Facilities'!H144*'LNG Facilities'!M144+'LNG Facilities'!R144*'LNG Facilities'!W144+'LNG Facilities'!S144*'LNG Facilities'!X144+'LNG Facilities'!T144*'LNG Facilities'!#REF!)/1000),0))</f>
        <v>#REF!</v>
      </c>
      <c r="O154" s="58" t="e">
        <f t="shared" si="37"/>
        <v>#REF!</v>
      </c>
      <c r="P154" s="58" t="e">
        <f t="shared" si="38"/>
        <v>#REF!</v>
      </c>
      <c r="Q154" s="58"/>
      <c r="R154" s="57" t="e">
        <f t="shared" si="34"/>
        <v>#REF!</v>
      </c>
      <c r="S154" s="58" t="e">
        <f t="shared" si="39"/>
        <v>#REF!</v>
      </c>
      <c r="T154" s="58" t="e">
        <f t="shared" si="40"/>
        <v>#REF!</v>
      </c>
      <c r="U154" s="59"/>
      <c r="V154" s="59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</row>
    <row r="155" spans="1:46" x14ac:dyDescent="0.25">
      <c r="A155" s="31">
        <f>'M&amp;R Stations'!A145</f>
        <v>39104</v>
      </c>
      <c r="B155" s="89"/>
      <c r="C155" s="227">
        <v>266588</v>
      </c>
      <c r="D155" s="225">
        <v>381171.9</v>
      </c>
      <c r="E155" s="185"/>
      <c r="F155" s="72" t="e">
        <f>IF('M&amp;R Stations'!#REF!="","",('M&amp;R Stations'!#REF!+'M&amp;R Stations'!#REF!)+('LNG Facilities'!F145+'LNG Facilities'!G145+'LNG Facilities'!H145+'LNG Facilities'!R145+'LNG Facilities'!S145+'LNG Facilities'!T145)-'LNG Facilities'!#REF!-('NG Utilization'!C155+'NG Utilization'!D155+'NG Utilization'!E155))</f>
        <v>#REF!</v>
      </c>
      <c r="G155" s="58" t="e">
        <f>IF('M&amp;R Stations'!#REF!="","",F155+G154)</f>
        <v>#REF!</v>
      </c>
      <c r="H155" s="58" t="e">
        <f>IF('M&amp;R Stations'!#REF!="","",F155+H154)</f>
        <v>#REF!</v>
      </c>
      <c r="I155" s="58"/>
      <c r="J155" s="57" t="e">
        <f t="shared" si="33"/>
        <v>#REF!</v>
      </c>
      <c r="K155" s="58" t="e">
        <f t="shared" si="35"/>
        <v>#REF!</v>
      </c>
      <c r="L155" s="58" t="e">
        <f t="shared" si="36"/>
        <v>#REF!</v>
      </c>
      <c r="M155" s="58"/>
      <c r="N155" s="73" t="e">
        <f>IF(F155="","",ROUND((('M&amp;R Stations'!#REF!+'M&amp;R Stations'!#REF!)-('NG Utilization'!C155+'NG Utilization'!D155+'NG Utilization'!E155)-'LNG Facilities'!#REF!)*ROUND(((('M&amp;R Stations'!#REF!*'M&amp;R Stations'!L145)+('M&amp;R Stations'!#REF!*'M&amp;R Stations'!F145))/1000)/('M&amp;R Stations'!#REF!+'M&amp;R Stations'!#REF!),3),0)+ROUND((('LNG Facilities'!F145*'LNG Facilities'!K145+'LNG Facilities'!G145*'LNG Facilities'!L145+'LNG Facilities'!H145*'LNG Facilities'!M145+'LNG Facilities'!R145*'LNG Facilities'!W145+'LNG Facilities'!S145*'LNG Facilities'!X145+'LNG Facilities'!T145*'LNG Facilities'!#REF!)/1000),0))</f>
        <v>#REF!</v>
      </c>
      <c r="O155" s="58" t="e">
        <f t="shared" si="37"/>
        <v>#REF!</v>
      </c>
      <c r="P155" s="58" t="e">
        <f t="shared" si="38"/>
        <v>#REF!</v>
      </c>
      <c r="Q155" s="58"/>
      <c r="R155" s="57" t="e">
        <f t="shared" si="34"/>
        <v>#REF!</v>
      </c>
      <c r="S155" s="58" t="e">
        <f t="shared" si="39"/>
        <v>#REF!</v>
      </c>
      <c r="T155" s="58" t="e">
        <f t="shared" si="40"/>
        <v>#REF!</v>
      </c>
      <c r="U155" s="59"/>
      <c r="V155" s="59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</row>
    <row r="156" spans="1:46" x14ac:dyDescent="0.25">
      <c r="A156" s="31">
        <f>'M&amp;R Stations'!A146</f>
        <v>39105</v>
      </c>
      <c r="B156" s="89"/>
      <c r="C156" s="227">
        <v>282375</v>
      </c>
      <c r="D156" s="225">
        <v>381171.9</v>
      </c>
      <c r="E156" s="185"/>
      <c r="F156" s="72" t="e">
        <f>IF('M&amp;R Stations'!#REF!="","",('M&amp;R Stations'!#REF!+'M&amp;R Stations'!#REF!)+('LNG Facilities'!F146+'LNG Facilities'!G146+'LNG Facilities'!H146+'LNG Facilities'!R146+'LNG Facilities'!S146+'LNG Facilities'!T146)-'LNG Facilities'!#REF!-('NG Utilization'!C156+'NG Utilization'!D156+'NG Utilization'!E156))</f>
        <v>#REF!</v>
      </c>
      <c r="G156" s="58" t="e">
        <f>IF('M&amp;R Stations'!#REF!="","",F156+G155)</f>
        <v>#REF!</v>
      </c>
      <c r="H156" s="58" t="e">
        <f>IF('M&amp;R Stations'!#REF!="","",F156+H155)</f>
        <v>#REF!</v>
      </c>
      <c r="I156" s="58"/>
      <c r="J156" s="57" t="e">
        <f t="shared" si="33"/>
        <v>#REF!</v>
      </c>
      <c r="K156" s="58" t="e">
        <f t="shared" si="35"/>
        <v>#REF!</v>
      </c>
      <c r="L156" s="58" t="e">
        <f t="shared" si="36"/>
        <v>#REF!</v>
      </c>
      <c r="M156" s="58"/>
      <c r="N156" s="73" t="e">
        <f>IF(F156="","",ROUND((('M&amp;R Stations'!#REF!+'M&amp;R Stations'!#REF!)-('NG Utilization'!C156+'NG Utilization'!D156+'NG Utilization'!E156)-'LNG Facilities'!#REF!)*ROUND(((('M&amp;R Stations'!#REF!*'M&amp;R Stations'!L146)+('M&amp;R Stations'!#REF!*'M&amp;R Stations'!F146))/1000)/('M&amp;R Stations'!#REF!+'M&amp;R Stations'!#REF!),3),0)+ROUND((('LNG Facilities'!F146*'LNG Facilities'!K146+'LNG Facilities'!G146*'LNG Facilities'!L146+'LNG Facilities'!H146*'LNG Facilities'!M146+'LNG Facilities'!R146*'LNG Facilities'!W146+'LNG Facilities'!S146*'LNG Facilities'!X146+'LNG Facilities'!T146*'LNG Facilities'!#REF!)/1000),0))</f>
        <v>#REF!</v>
      </c>
      <c r="O156" s="58" t="e">
        <f t="shared" si="37"/>
        <v>#REF!</v>
      </c>
      <c r="P156" s="58" t="e">
        <f t="shared" si="38"/>
        <v>#REF!</v>
      </c>
      <c r="Q156" s="58"/>
      <c r="R156" s="57" t="e">
        <f t="shared" si="34"/>
        <v>#REF!</v>
      </c>
      <c r="S156" s="58" t="e">
        <f t="shared" si="39"/>
        <v>#REF!</v>
      </c>
      <c r="T156" s="58" t="e">
        <f t="shared" si="40"/>
        <v>#REF!</v>
      </c>
      <c r="U156" s="59"/>
      <c r="V156" s="59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</row>
    <row r="157" spans="1:46" x14ac:dyDescent="0.25">
      <c r="A157" s="31">
        <f>'M&amp;R Stations'!A147</f>
        <v>39106</v>
      </c>
      <c r="B157" s="89"/>
      <c r="C157" s="227">
        <v>264285</v>
      </c>
      <c r="D157" s="225">
        <v>391318</v>
      </c>
      <c r="E157" s="185"/>
      <c r="F157" s="72" t="e">
        <f>IF('M&amp;R Stations'!#REF!="","",('M&amp;R Stations'!#REF!+'M&amp;R Stations'!#REF!)+('LNG Facilities'!F147+'LNG Facilities'!G147+'LNG Facilities'!H147+'LNG Facilities'!R147+'LNG Facilities'!S147+'LNG Facilities'!T147)-'LNG Facilities'!#REF!-('NG Utilization'!C157+'NG Utilization'!D157+'NG Utilization'!E157))</f>
        <v>#REF!</v>
      </c>
      <c r="G157" s="58" t="e">
        <f>IF('M&amp;R Stations'!#REF!="","",F157+G156)</f>
        <v>#REF!</v>
      </c>
      <c r="H157" s="58" t="e">
        <f>IF('M&amp;R Stations'!#REF!="","",F157+H156)</f>
        <v>#REF!</v>
      </c>
      <c r="I157" s="58"/>
      <c r="J157" s="57" t="e">
        <f t="shared" si="33"/>
        <v>#REF!</v>
      </c>
      <c r="K157" s="58" t="e">
        <f t="shared" si="35"/>
        <v>#REF!</v>
      </c>
      <c r="L157" s="58" t="e">
        <f t="shared" si="36"/>
        <v>#REF!</v>
      </c>
      <c r="M157" s="58"/>
      <c r="N157" s="73" t="e">
        <f>IF(F157="","",ROUND((('M&amp;R Stations'!#REF!+'M&amp;R Stations'!#REF!)-('NG Utilization'!C157+'NG Utilization'!D157+'NG Utilization'!E157)-'LNG Facilities'!#REF!)*ROUND(((('M&amp;R Stations'!#REF!*'M&amp;R Stations'!L147)+('M&amp;R Stations'!#REF!*'M&amp;R Stations'!F147))/1000)/('M&amp;R Stations'!#REF!+'M&amp;R Stations'!#REF!),3),0)+ROUND((('LNG Facilities'!F147*'LNG Facilities'!K147+'LNG Facilities'!G147*'LNG Facilities'!L147+'LNG Facilities'!H147*'LNG Facilities'!M147+'LNG Facilities'!R147*'LNG Facilities'!W147+'LNG Facilities'!S147*'LNG Facilities'!X147+'LNG Facilities'!T147*'LNG Facilities'!#REF!)/1000),0))</f>
        <v>#REF!</v>
      </c>
      <c r="O157" s="58" t="e">
        <f t="shared" si="37"/>
        <v>#REF!</v>
      </c>
      <c r="P157" s="58" t="e">
        <f t="shared" si="38"/>
        <v>#REF!</v>
      </c>
      <c r="Q157" s="58"/>
      <c r="R157" s="57" t="e">
        <f t="shared" si="34"/>
        <v>#REF!</v>
      </c>
      <c r="S157" s="58" t="e">
        <f t="shared" si="39"/>
        <v>#REF!</v>
      </c>
      <c r="T157" s="58" t="e">
        <f t="shared" si="40"/>
        <v>#REF!</v>
      </c>
      <c r="U157" s="59"/>
      <c r="V157" s="59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</row>
    <row r="158" spans="1:46" x14ac:dyDescent="0.25">
      <c r="A158" s="31">
        <f>'M&amp;R Stations'!A148</f>
        <v>39107</v>
      </c>
      <c r="B158" s="89"/>
      <c r="C158" s="227">
        <v>342080</v>
      </c>
      <c r="D158" s="225">
        <v>452196.5</v>
      </c>
      <c r="E158" s="185"/>
      <c r="F158" s="72" t="e">
        <f>IF('M&amp;R Stations'!#REF!="","",('M&amp;R Stations'!#REF!+'M&amp;R Stations'!#REF!)+('LNG Facilities'!F148+'LNG Facilities'!G148+'LNG Facilities'!H148+'LNG Facilities'!R148+'LNG Facilities'!S148+'LNG Facilities'!T148)-'LNG Facilities'!#REF!-('NG Utilization'!C158+'NG Utilization'!D158+'NG Utilization'!E158))</f>
        <v>#REF!</v>
      </c>
      <c r="G158" s="58" t="e">
        <f>IF('M&amp;R Stations'!#REF!="","",F158+G157)</f>
        <v>#REF!</v>
      </c>
      <c r="H158" s="58" t="e">
        <f>IF('M&amp;R Stations'!#REF!="","",F158+H157)</f>
        <v>#REF!</v>
      </c>
      <c r="I158" s="58"/>
      <c r="J158" s="57" t="e">
        <f t="shared" si="33"/>
        <v>#REF!</v>
      </c>
      <c r="K158" s="58" t="e">
        <f t="shared" si="35"/>
        <v>#REF!</v>
      </c>
      <c r="L158" s="58" t="e">
        <f t="shared" si="36"/>
        <v>#REF!</v>
      </c>
      <c r="M158" s="58"/>
      <c r="N158" s="73" t="e">
        <f>IF(F158="","",ROUND((('M&amp;R Stations'!#REF!+'M&amp;R Stations'!#REF!)-('NG Utilization'!C158+'NG Utilization'!D158+'NG Utilization'!E158)-'LNG Facilities'!#REF!)*ROUND(((('M&amp;R Stations'!#REF!*'M&amp;R Stations'!L148)+('M&amp;R Stations'!#REF!*'M&amp;R Stations'!F148))/1000)/('M&amp;R Stations'!#REF!+'M&amp;R Stations'!#REF!),3),0)+ROUND((('LNG Facilities'!F148*'LNG Facilities'!K148+'LNG Facilities'!G148*'LNG Facilities'!L148+'LNG Facilities'!H148*'LNG Facilities'!M148+'LNG Facilities'!R148*'LNG Facilities'!W148+'LNG Facilities'!S148*'LNG Facilities'!X148+'LNG Facilities'!T148*'LNG Facilities'!#REF!)/1000),0))</f>
        <v>#REF!</v>
      </c>
      <c r="O158" s="58" t="e">
        <f t="shared" si="37"/>
        <v>#REF!</v>
      </c>
      <c r="P158" s="58" t="e">
        <f t="shared" si="38"/>
        <v>#REF!</v>
      </c>
      <c r="Q158" s="58"/>
      <c r="R158" s="57" t="e">
        <f t="shared" si="34"/>
        <v>#REF!</v>
      </c>
      <c r="S158" s="58" t="e">
        <f t="shared" si="39"/>
        <v>#REF!</v>
      </c>
      <c r="T158" s="58" t="e">
        <f t="shared" si="40"/>
        <v>#REF!</v>
      </c>
      <c r="U158" s="59"/>
      <c r="V158" s="59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</row>
    <row r="159" spans="1:46" x14ac:dyDescent="0.25">
      <c r="A159" s="31">
        <f>'M&amp;R Stations'!A149</f>
        <v>39108</v>
      </c>
      <c r="B159" s="89"/>
      <c r="C159" s="227">
        <v>387885</v>
      </c>
      <c r="D159" s="225">
        <v>472489.2</v>
      </c>
      <c r="E159" s="185"/>
      <c r="F159" s="72" t="e">
        <f>IF('M&amp;R Stations'!#REF!="","",('M&amp;R Stations'!#REF!+'M&amp;R Stations'!#REF!)+('LNG Facilities'!F149+'LNG Facilities'!G149+'LNG Facilities'!H149+'LNG Facilities'!R149+'LNG Facilities'!S149+'LNG Facilities'!T149)-'LNG Facilities'!#REF!-('NG Utilization'!C159+'NG Utilization'!D159+'NG Utilization'!E159))</f>
        <v>#REF!</v>
      </c>
      <c r="G159" s="58" t="e">
        <f>IF('M&amp;R Stations'!#REF!="","",F159+G158)</f>
        <v>#REF!</v>
      </c>
      <c r="H159" s="58" t="e">
        <f>IF('M&amp;R Stations'!#REF!="","",F159+H158)</f>
        <v>#REF!</v>
      </c>
      <c r="I159" s="58"/>
      <c r="J159" s="57" t="e">
        <f t="shared" si="33"/>
        <v>#REF!</v>
      </c>
      <c r="K159" s="58" t="e">
        <f t="shared" si="35"/>
        <v>#REF!</v>
      </c>
      <c r="L159" s="58" t="e">
        <f t="shared" si="36"/>
        <v>#REF!</v>
      </c>
      <c r="M159" s="58"/>
      <c r="N159" s="73" t="e">
        <f>IF(F159="","",ROUND((('M&amp;R Stations'!#REF!+'M&amp;R Stations'!#REF!)-('NG Utilization'!C159+'NG Utilization'!D159+'NG Utilization'!E159)-'LNG Facilities'!#REF!)*ROUND(((('M&amp;R Stations'!#REF!*'M&amp;R Stations'!L149)+('M&amp;R Stations'!#REF!*'M&amp;R Stations'!F149))/1000)/('M&amp;R Stations'!#REF!+'M&amp;R Stations'!#REF!),3),0)+ROUND((('LNG Facilities'!F149*'LNG Facilities'!K149+'LNG Facilities'!G149*'LNG Facilities'!L149+'LNG Facilities'!H149*'LNG Facilities'!M149+'LNG Facilities'!R149*'LNG Facilities'!W149+'LNG Facilities'!S149*'LNG Facilities'!X149+'LNG Facilities'!T149*'LNG Facilities'!#REF!)/1000),0))</f>
        <v>#REF!</v>
      </c>
      <c r="O159" s="58" t="e">
        <f t="shared" si="37"/>
        <v>#REF!</v>
      </c>
      <c r="P159" s="58" t="e">
        <f t="shared" si="38"/>
        <v>#REF!</v>
      </c>
      <c r="Q159" s="58"/>
      <c r="R159" s="57" t="e">
        <f t="shared" si="34"/>
        <v>#REF!</v>
      </c>
      <c r="S159" s="58" t="e">
        <f t="shared" si="39"/>
        <v>#REF!</v>
      </c>
      <c r="T159" s="58" t="e">
        <f t="shared" si="40"/>
        <v>#REF!</v>
      </c>
      <c r="U159" s="59"/>
      <c r="V159" s="59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</row>
    <row r="160" spans="1:46" x14ac:dyDescent="0.25">
      <c r="A160" s="31">
        <f>'M&amp;R Stations'!A150</f>
        <v>39109</v>
      </c>
      <c r="B160" s="89"/>
      <c r="C160" s="227">
        <v>322329</v>
      </c>
      <c r="D160" s="225">
        <v>442050.1</v>
      </c>
      <c r="E160" s="185"/>
      <c r="F160" s="72" t="e">
        <f>IF('M&amp;R Stations'!#REF!="","",('M&amp;R Stations'!#REF!+'M&amp;R Stations'!#REF!)+('LNG Facilities'!F150+'LNG Facilities'!G150+'LNG Facilities'!H150+'LNG Facilities'!R150+'LNG Facilities'!S150+'LNG Facilities'!T150)-'LNG Facilities'!#REF!-('NG Utilization'!C160+'NG Utilization'!D160+'NG Utilization'!E160))</f>
        <v>#REF!</v>
      </c>
      <c r="G160" s="58" t="e">
        <f>IF('M&amp;R Stations'!#REF!="","",F160+G159)</f>
        <v>#REF!</v>
      </c>
      <c r="H160" s="58" t="e">
        <f>IF('M&amp;R Stations'!#REF!="","",F160+H159)</f>
        <v>#REF!</v>
      </c>
      <c r="I160" s="58"/>
      <c r="J160" s="57" t="e">
        <f t="shared" si="33"/>
        <v>#REF!</v>
      </c>
      <c r="K160" s="58" t="e">
        <f t="shared" si="35"/>
        <v>#REF!</v>
      </c>
      <c r="L160" s="58" t="e">
        <f t="shared" si="36"/>
        <v>#REF!</v>
      </c>
      <c r="M160" s="58"/>
      <c r="N160" s="73" t="e">
        <f>IF(F160="","",ROUND((('M&amp;R Stations'!#REF!+'M&amp;R Stations'!#REF!)-('NG Utilization'!C160+'NG Utilization'!D160+'NG Utilization'!E160)-'LNG Facilities'!#REF!)*ROUND(((('M&amp;R Stations'!#REF!*'M&amp;R Stations'!L150)+('M&amp;R Stations'!#REF!*'M&amp;R Stations'!F150))/1000)/('M&amp;R Stations'!#REF!+'M&amp;R Stations'!#REF!),3),0)+ROUND((('LNG Facilities'!F150*'LNG Facilities'!K150+'LNG Facilities'!G150*'LNG Facilities'!L150+'LNG Facilities'!H150*'LNG Facilities'!M150+'LNG Facilities'!R150*'LNG Facilities'!W150+'LNG Facilities'!S150*'LNG Facilities'!X150+'LNG Facilities'!T150*'LNG Facilities'!#REF!)/1000),0))</f>
        <v>#REF!</v>
      </c>
      <c r="O160" s="58" t="e">
        <f t="shared" si="37"/>
        <v>#REF!</v>
      </c>
      <c r="P160" s="58" t="e">
        <f t="shared" si="38"/>
        <v>#REF!</v>
      </c>
      <c r="Q160" s="58"/>
      <c r="R160" s="57" t="e">
        <f t="shared" si="34"/>
        <v>#REF!</v>
      </c>
      <c r="S160" s="58" t="e">
        <f t="shared" si="39"/>
        <v>#REF!</v>
      </c>
      <c r="T160" s="58" t="e">
        <f t="shared" si="40"/>
        <v>#REF!</v>
      </c>
      <c r="U160" s="59"/>
      <c r="V160" s="59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</row>
    <row r="161" spans="1:46" x14ac:dyDescent="0.25">
      <c r="A161" s="31">
        <f>'M&amp;R Stations'!A151</f>
        <v>39110</v>
      </c>
      <c r="B161" s="89"/>
      <c r="C161" s="227">
        <v>227632</v>
      </c>
      <c r="D161" s="225">
        <v>462342.9</v>
      </c>
      <c r="E161" s="185"/>
      <c r="F161" s="72" t="e">
        <f>IF('M&amp;R Stations'!#REF!="","",('M&amp;R Stations'!#REF!+'M&amp;R Stations'!#REF!)+('LNG Facilities'!F151+'LNG Facilities'!G151+'LNG Facilities'!H151+'LNG Facilities'!R151+'LNG Facilities'!S151+'LNG Facilities'!T151)-'LNG Facilities'!#REF!-('NG Utilization'!C161+'NG Utilization'!D161+'NG Utilization'!E161))</f>
        <v>#REF!</v>
      </c>
      <c r="G161" s="58" t="e">
        <f>IF('M&amp;R Stations'!#REF!="","",F161+G160)</f>
        <v>#REF!</v>
      </c>
      <c r="H161" s="58" t="e">
        <f>IF('M&amp;R Stations'!#REF!="","",F161+H160)</f>
        <v>#REF!</v>
      </c>
      <c r="I161" s="58"/>
      <c r="J161" s="57" t="e">
        <f t="shared" si="33"/>
        <v>#REF!</v>
      </c>
      <c r="K161" s="58" t="e">
        <f t="shared" si="35"/>
        <v>#REF!</v>
      </c>
      <c r="L161" s="58" t="e">
        <f t="shared" si="36"/>
        <v>#REF!</v>
      </c>
      <c r="M161" s="58"/>
      <c r="N161" s="73" t="e">
        <f>IF(F161="","",ROUND((('M&amp;R Stations'!#REF!+'M&amp;R Stations'!#REF!)-('NG Utilization'!C161+'NG Utilization'!D161+'NG Utilization'!E161)-'LNG Facilities'!#REF!)*ROUND(((('M&amp;R Stations'!#REF!*'M&amp;R Stations'!L151)+('M&amp;R Stations'!#REF!*'M&amp;R Stations'!F151))/1000)/('M&amp;R Stations'!#REF!+'M&amp;R Stations'!#REF!),3),0)+ROUND((('LNG Facilities'!F151*'LNG Facilities'!K151+'LNG Facilities'!G151*'LNG Facilities'!L151+'LNG Facilities'!H151*'LNG Facilities'!M151+'LNG Facilities'!R151*'LNG Facilities'!W151+'LNG Facilities'!S151*'LNG Facilities'!X151+'LNG Facilities'!T151*'LNG Facilities'!#REF!)/1000),0))</f>
        <v>#REF!</v>
      </c>
      <c r="O161" s="58" t="e">
        <f t="shared" si="37"/>
        <v>#REF!</v>
      </c>
      <c r="P161" s="58" t="e">
        <f t="shared" si="38"/>
        <v>#REF!</v>
      </c>
      <c r="Q161" s="58"/>
      <c r="R161" s="57" t="e">
        <f t="shared" si="34"/>
        <v>#REF!</v>
      </c>
      <c r="S161" s="58" t="e">
        <f t="shared" si="39"/>
        <v>#REF!</v>
      </c>
      <c r="T161" s="58" t="e">
        <f t="shared" si="40"/>
        <v>#REF!</v>
      </c>
      <c r="U161" s="59"/>
      <c r="V161" s="59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</row>
    <row r="162" spans="1:46" x14ac:dyDescent="0.25">
      <c r="A162" s="31">
        <f>'M&amp;R Stations'!A152</f>
        <v>39111</v>
      </c>
      <c r="B162" s="89"/>
      <c r="C162" s="227">
        <v>215367</v>
      </c>
      <c r="D162" s="225">
        <v>482635.6</v>
      </c>
      <c r="E162" s="185"/>
      <c r="F162" s="72" t="e">
        <f>IF('M&amp;R Stations'!#REF!="","",('M&amp;R Stations'!#REF!+'M&amp;R Stations'!#REF!)+('LNG Facilities'!F152+'LNG Facilities'!G152+'LNG Facilities'!H152+'LNG Facilities'!R152+'LNG Facilities'!S152+'LNG Facilities'!T152)-'LNG Facilities'!#REF!-('NG Utilization'!C162+'NG Utilization'!D162+'NG Utilization'!E162))</f>
        <v>#REF!</v>
      </c>
      <c r="G162" s="58" t="e">
        <f>IF('M&amp;R Stations'!#REF!="","",F162+G161)</f>
        <v>#REF!</v>
      </c>
      <c r="H162" s="58" t="e">
        <f>IF('M&amp;R Stations'!#REF!="","",F162+H161)</f>
        <v>#REF!</v>
      </c>
      <c r="I162" s="58"/>
      <c r="J162" s="57" t="e">
        <f t="shared" si="33"/>
        <v>#REF!</v>
      </c>
      <c r="K162" s="58" t="e">
        <f t="shared" si="35"/>
        <v>#REF!</v>
      </c>
      <c r="L162" s="58" t="e">
        <f t="shared" si="36"/>
        <v>#REF!</v>
      </c>
      <c r="M162" s="58"/>
      <c r="N162" s="73" t="e">
        <f>IF(F162="","",ROUND((('M&amp;R Stations'!#REF!+'M&amp;R Stations'!#REF!)-('NG Utilization'!C162+'NG Utilization'!D162+'NG Utilization'!E162)-'LNG Facilities'!#REF!)*ROUND(((('M&amp;R Stations'!#REF!*'M&amp;R Stations'!L152)+('M&amp;R Stations'!#REF!*'M&amp;R Stations'!F152))/1000)/('M&amp;R Stations'!#REF!+'M&amp;R Stations'!#REF!),3),0)+ROUND((('LNG Facilities'!F152*'LNG Facilities'!K152+'LNG Facilities'!G152*'LNG Facilities'!L152+'LNG Facilities'!H152*'LNG Facilities'!M152+'LNG Facilities'!R152*'LNG Facilities'!W152+'LNG Facilities'!S152*'LNG Facilities'!X152+'LNG Facilities'!T152*'LNG Facilities'!#REF!)/1000),0))</f>
        <v>#REF!</v>
      </c>
      <c r="O162" s="58" t="e">
        <f t="shared" si="37"/>
        <v>#REF!</v>
      </c>
      <c r="P162" s="58" t="e">
        <f t="shared" si="38"/>
        <v>#REF!</v>
      </c>
      <c r="Q162" s="58"/>
      <c r="R162" s="57" t="e">
        <f t="shared" si="34"/>
        <v>#REF!</v>
      </c>
      <c r="S162" s="58" t="e">
        <f t="shared" si="39"/>
        <v>#REF!</v>
      </c>
      <c r="T162" s="58" t="e">
        <f t="shared" si="40"/>
        <v>#REF!</v>
      </c>
      <c r="U162" s="59"/>
      <c r="V162" s="59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</row>
    <row r="163" spans="1:46" x14ac:dyDescent="0.25">
      <c r="A163" s="31">
        <f>'M&amp;R Stations'!A153</f>
        <v>39112</v>
      </c>
      <c r="B163" s="89"/>
      <c r="C163" s="227">
        <v>168766</v>
      </c>
      <c r="D163" s="225">
        <v>502928.3</v>
      </c>
      <c r="E163" s="185"/>
      <c r="F163" s="72" t="e">
        <f>IF('M&amp;R Stations'!#REF!="","",('M&amp;R Stations'!#REF!+'M&amp;R Stations'!#REF!)+('LNG Facilities'!F153+'LNG Facilities'!G153+'LNG Facilities'!H153+'LNG Facilities'!R153+'LNG Facilities'!S153+'LNG Facilities'!T153)-'LNG Facilities'!#REF!-('NG Utilization'!C163+'NG Utilization'!D163+'NG Utilization'!E163))</f>
        <v>#REF!</v>
      </c>
      <c r="G163" s="58" t="e">
        <f>IF('M&amp;R Stations'!#REF!="","",F163+G162)</f>
        <v>#REF!</v>
      </c>
      <c r="H163" s="58" t="e">
        <f>IF('M&amp;R Stations'!#REF!="","",F163+H162)</f>
        <v>#REF!</v>
      </c>
      <c r="I163" s="58"/>
      <c r="J163" s="57" t="e">
        <f t="shared" si="33"/>
        <v>#REF!</v>
      </c>
      <c r="K163" s="58" t="e">
        <f t="shared" si="35"/>
        <v>#REF!</v>
      </c>
      <c r="L163" s="58" t="e">
        <f t="shared" si="36"/>
        <v>#REF!</v>
      </c>
      <c r="M163" s="58"/>
      <c r="N163" s="73" t="e">
        <f>IF(F163="","",ROUND((('M&amp;R Stations'!#REF!+'M&amp;R Stations'!#REF!)-('NG Utilization'!C163+'NG Utilization'!D163+'NG Utilization'!E163)-'LNG Facilities'!#REF!)*ROUND(((('M&amp;R Stations'!#REF!*'M&amp;R Stations'!L153)+('M&amp;R Stations'!#REF!*'M&amp;R Stations'!F153))/1000)/('M&amp;R Stations'!#REF!+'M&amp;R Stations'!#REF!),3),0)+ROUND((('LNG Facilities'!F153*'LNG Facilities'!K153+'LNG Facilities'!G153*'LNG Facilities'!L153+'LNG Facilities'!H153*'LNG Facilities'!M153+'LNG Facilities'!R153*'LNG Facilities'!W153+'LNG Facilities'!S153*'LNG Facilities'!X153+'LNG Facilities'!T153*'LNG Facilities'!#REF!)/1000),0))</f>
        <v>#REF!</v>
      </c>
      <c r="O163" s="58" t="e">
        <f t="shared" si="37"/>
        <v>#REF!</v>
      </c>
      <c r="P163" s="58" t="e">
        <f t="shared" si="38"/>
        <v>#REF!</v>
      </c>
      <c r="Q163" s="58"/>
      <c r="R163" s="57" t="e">
        <f t="shared" si="34"/>
        <v>#REF!</v>
      </c>
      <c r="S163" s="58" t="e">
        <f t="shared" si="39"/>
        <v>#REF!</v>
      </c>
      <c r="T163" s="58" t="e">
        <f t="shared" si="40"/>
        <v>#REF!</v>
      </c>
      <c r="U163" s="59"/>
      <c r="V163" s="59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</row>
    <row r="164" spans="1:46" x14ac:dyDescent="0.25">
      <c r="A164" s="31">
        <f>'M&amp;R Stations'!A154</f>
        <v>39113</v>
      </c>
      <c r="B164" s="89"/>
      <c r="C164" s="227">
        <v>264095</v>
      </c>
      <c r="D164" s="225">
        <v>553660.19999999995</v>
      </c>
      <c r="E164" s="185"/>
      <c r="F164" s="72" t="e">
        <f>IF('M&amp;R Stations'!#REF!="","",('M&amp;R Stations'!#REF!+'M&amp;R Stations'!#REF!)+('LNG Facilities'!F154+'LNG Facilities'!G154+'LNG Facilities'!H154+'LNG Facilities'!R154+'LNG Facilities'!S154+'LNG Facilities'!T154)-'LNG Facilities'!#REF!-('NG Utilization'!C164+'NG Utilization'!D164+'NG Utilization'!E164))</f>
        <v>#REF!</v>
      </c>
      <c r="G164" s="58" t="e">
        <f>IF('M&amp;R Stations'!#REF!="","",F164+G163)</f>
        <v>#REF!</v>
      </c>
      <c r="H164" s="58" t="e">
        <f>IF('M&amp;R Stations'!#REF!="","",F164+H163)</f>
        <v>#REF!</v>
      </c>
      <c r="I164" s="58"/>
      <c r="J164" s="57" t="e">
        <f t="shared" si="33"/>
        <v>#REF!</v>
      </c>
      <c r="K164" s="58" t="e">
        <f>IF(J164="","",J164+K163)</f>
        <v>#REF!</v>
      </c>
      <c r="L164" s="58" t="e">
        <f>IF(J164="","",J164+L163)</f>
        <v>#REF!</v>
      </c>
      <c r="M164" s="58"/>
      <c r="N164" s="73" t="e">
        <f>IF(F164="","",ROUND((('M&amp;R Stations'!#REF!+'M&amp;R Stations'!#REF!)-('NG Utilization'!C164+'NG Utilization'!D164+'NG Utilization'!E164)-'LNG Facilities'!#REF!)*ROUND(((('M&amp;R Stations'!#REF!*'M&amp;R Stations'!L154)+('M&amp;R Stations'!#REF!*'M&amp;R Stations'!F154))/1000)/('M&amp;R Stations'!#REF!+'M&amp;R Stations'!#REF!),3),0)+ROUND((('LNG Facilities'!F154*'LNG Facilities'!K154+'LNG Facilities'!G154*'LNG Facilities'!L154+'LNG Facilities'!H154*'LNG Facilities'!M154+'LNG Facilities'!R154*'LNG Facilities'!W154+'LNG Facilities'!S154*'LNG Facilities'!X154+'LNG Facilities'!T154*'LNG Facilities'!#REF!)/1000),0))</f>
        <v>#REF!</v>
      </c>
      <c r="O164" s="58" t="e">
        <f>IF(N164="","",N164+O163)</f>
        <v>#REF!</v>
      </c>
      <c r="P164" s="58" t="e">
        <f>IF(N164="","",N164+P163)</f>
        <v>#REF!</v>
      </c>
      <c r="Q164" s="58"/>
      <c r="R164" s="57" t="e">
        <f t="shared" si="34"/>
        <v>#REF!</v>
      </c>
      <c r="S164" s="58" t="e">
        <f>IF(R164="","",R164+S163)</f>
        <v>#REF!</v>
      </c>
      <c r="T164" s="58" t="e">
        <f>IF(R164="","",R164+T163)</f>
        <v>#REF!</v>
      </c>
      <c r="U164" s="59"/>
      <c r="V164" s="59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</row>
    <row r="165" spans="1:46" x14ac:dyDescent="0.25">
      <c r="A165" s="96"/>
      <c r="B165" s="95"/>
      <c r="C165" s="95"/>
      <c r="D165" s="95"/>
      <c r="E165" s="186"/>
      <c r="F165" s="99"/>
      <c r="G165" s="100"/>
      <c r="H165" s="100"/>
      <c r="I165" s="100"/>
      <c r="J165" s="101"/>
      <c r="K165" s="100"/>
      <c r="L165" s="100"/>
      <c r="M165" s="100"/>
      <c r="N165" s="102"/>
      <c r="O165" s="100"/>
      <c r="P165" s="100"/>
      <c r="Q165" s="100"/>
      <c r="R165" s="101"/>
      <c r="S165" s="100"/>
      <c r="T165" s="100"/>
      <c r="U165" s="59"/>
      <c r="V165" s="59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</row>
    <row r="166" spans="1:46" x14ac:dyDescent="0.25">
      <c r="A166" s="31">
        <f>'M&amp;R Stations'!A155</f>
        <v>39114</v>
      </c>
      <c r="B166" s="89"/>
      <c r="C166" s="227">
        <v>282599</v>
      </c>
      <c r="D166" s="225">
        <v>378365.3</v>
      </c>
      <c r="E166" s="185"/>
      <c r="F166" s="72" t="e">
        <f>IF('M&amp;R Stations'!#REF!="","",('M&amp;R Stations'!#REF!+'M&amp;R Stations'!#REF!)+('LNG Facilities'!F155+'LNG Facilities'!G155+'LNG Facilities'!H155+'LNG Facilities'!R155+'LNG Facilities'!S155+'LNG Facilities'!T155)-'LNG Facilities'!#REF!-('NG Utilization'!C166+'NG Utilization'!D166+'NG Utilization'!E166))</f>
        <v>#REF!</v>
      </c>
      <c r="G166" s="58" t="e">
        <f>IF('M&amp;R Stations'!#REF!="","",F166)</f>
        <v>#REF!</v>
      </c>
      <c r="H166" s="58" t="e">
        <f>IF('M&amp;R Stations'!#REF!="","",F166+H164)</f>
        <v>#REF!</v>
      </c>
      <c r="I166" s="58"/>
      <c r="J166" s="57" t="e">
        <f t="shared" ref="J166:J194" si="41">IF(F166="","",C166)</f>
        <v>#REF!</v>
      </c>
      <c r="K166" s="58" t="e">
        <f>IF(J166="","",J166)</f>
        <v>#REF!</v>
      </c>
      <c r="L166" s="58" t="e">
        <f>IF(J166="","",J166+L164)</f>
        <v>#REF!</v>
      </c>
      <c r="M166" s="58"/>
      <c r="N166" s="73" t="e">
        <f>IF(F166="","",ROUND((('M&amp;R Stations'!#REF!+'M&amp;R Stations'!#REF!)-('NG Utilization'!C166+'NG Utilization'!D166+'NG Utilization'!E166)-'LNG Facilities'!#REF!)*ROUND(((('M&amp;R Stations'!#REF!*'M&amp;R Stations'!L155)+('M&amp;R Stations'!#REF!*'M&amp;R Stations'!F155))/1000)/('M&amp;R Stations'!#REF!+'M&amp;R Stations'!#REF!),3),0)+ROUND((('LNG Facilities'!F155*'LNG Facilities'!K155+'LNG Facilities'!G155*'LNG Facilities'!L155+'LNG Facilities'!H155*'LNG Facilities'!M155+'LNG Facilities'!R155*'LNG Facilities'!W155+'LNG Facilities'!S155*'LNG Facilities'!X155+'LNG Facilities'!T155*'LNG Facilities'!#REF!)/1000),0))</f>
        <v>#REF!</v>
      </c>
      <c r="O166" s="58" t="e">
        <f>IF(N166="","",N166)</f>
        <v>#REF!</v>
      </c>
      <c r="P166" s="58" t="e">
        <f>IF(N166="","",N166+P164)</f>
        <v>#REF!</v>
      </c>
      <c r="Q166" s="58"/>
      <c r="R166" s="57" t="e">
        <f t="shared" ref="R166:R194" si="42">IF(F166="","",D166)</f>
        <v>#REF!</v>
      </c>
      <c r="S166" s="58" t="e">
        <f>IF(R166="","",R166)</f>
        <v>#REF!</v>
      </c>
      <c r="T166" s="58" t="e">
        <f>IF(R166="","",R166+T164)</f>
        <v>#REF!</v>
      </c>
      <c r="U166" s="59"/>
      <c r="V166" s="59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</row>
    <row r="167" spans="1:46" x14ac:dyDescent="0.25">
      <c r="A167" s="31">
        <f>'M&amp;R Stations'!A156</f>
        <v>39115</v>
      </c>
      <c r="B167" s="89"/>
      <c r="C167" s="227">
        <v>193084</v>
      </c>
      <c r="D167" s="225">
        <v>358244.2</v>
      </c>
      <c r="E167" s="185"/>
      <c r="F167" s="72" t="e">
        <f>IF('M&amp;R Stations'!#REF!="","",('M&amp;R Stations'!#REF!+'M&amp;R Stations'!#REF!)+('LNG Facilities'!F156+'LNG Facilities'!G156+'LNG Facilities'!H156+'LNG Facilities'!R156+'LNG Facilities'!S156+'LNG Facilities'!T156)-'LNG Facilities'!#REF!-('NG Utilization'!C167+'NG Utilization'!D167+'NG Utilization'!E167))</f>
        <v>#REF!</v>
      </c>
      <c r="G167" s="58" t="e">
        <f>IF('M&amp;R Stations'!#REF!="","",F167+G166)</f>
        <v>#REF!</v>
      </c>
      <c r="H167" s="58" t="e">
        <f>IF('M&amp;R Stations'!#REF!="","",F167+H166)</f>
        <v>#REF!</v>
      </c>
      <c r="I167" s="58"/>
      <c r="J167" s="57" t="e">
        <f t="shared" si="41"/>
        <v>#REF!</v>
      </c>
      <c r="K167" s="58" t="e">
        <f>IF(J167="","",J167+K166)</f>
        <v>#REF!</v>
      </c>
      <c r="L167" s="58" t="e">
        <f>IF(J167="","",J167+L166)</f>
        <v>#REF!</v>
      </c>
      <c r="M167" s="58"/>
      <c r="N167" s="73" t="e">
        <f>IF(F167="","",ROUND((('M&amp;R Stations'!#REF!+'M&amp;R Stations'!#REF!)-('NG Utilization'!C167+'NG Utilization'!D167+'NG Utilization'!E167)-'LNG Facilities'!#REF!)*ROUND(((('M&amp;R Stations'!#REF!*'M&amp;R Stations'!L156)+('M&amp;R Stations'!#REF!*'M&amp;R Stations'!F156))/1000)/('M&amp;R Stations'!#REF!+'M&amp;R Stations'!#REF!),3),0)+ROUND((('LNG Facilities'!F156*'LNG Facilities'!K156+'LNG Facilities'!G156*'LNG Facilities'!L156+'LNG Facilities'!H156*'LNG Facilities'!M156+'LNG Facilities'!R156*'LNG Facilities'!W156+'LNG Facilities'!S156*'LNG Facilities'!X156+'LNG Facilities'!T156*'LNG Facilities'!#REF!)/1000),0))</f>
        <v>#REF!</v>
      </c>
      <c r="O167" s="58" t="e">
        <f>IF(N167="","",N167+O166)</f>
        <v>#REF!</v>
      </c>
      <c r="P167" s="58" t="e">
        <f>IF(N167="","",N167+P166)</f>
        <v>#REF!</v>
      </c>
      <c r="Q167" s="58"/>
      <c r="R167" s="57" t="e">
        <f t="shared" si="42"/>
        <v>#REF!</v>
      </c>
      <c r="S167" s="58" t="e">
        <f>IF(R167="","",R167+S166)</f>
        <v>#REF!</v>
      </c>
      <c r="T167" s="58" t="e">
        <f>IF(R167="","",R167+T166)</f>
        <v>#REF!</v>
      </c>
      <c r="U167" s="59"/>
      <c r="V167" s="59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</row>
    <row r="168" spans="1:46" x14ac:dyDescent="0.25">
      <c r="A168" s="31">
        <f>'M&amp;R Stations'!A157</f>
        <v>39116</v>
      </c>
      <c r="B168" s="89"/>
      <c r="C168" s="227">
        <v>154257</v>
      </c>
      <c r="D168" s="225">
        <v>428668.1</v>
      </c>
      <c r="E168" s="185"/>
      <c r="F168" s="72" t="e">
        <f>IF('M&amp;R Stations'!#REF!="","",('M&amp;R Stations'!#REF!+'M&amp;R Stations'!#REF!)+('LNG Facilities'!F157+'LNG Facilities'!G157+'LNG Facilities'!H157+'LNG Facilities'!R157+'LNG Facilities'!S157+'LNG Facilities'!T157)-'LNG Facilities'!#REF!-('NG Utilization'!C168+'NG Utilization'!D168+'NG Utilization'!E168))</f>
        <v>#REF!</v>
      </c>
      <c r="G168" s="58" t="e">
        <f>IF('M&amp;R Stations'!#REF!="","",F168+G167)</f>
        <v>#REF!</v>
      </c>
      <c r="H168" s="58" t="e">
        <f>IF('M&amp;R Stations'!#REF!="","",F168+H167)</f>
        <v>#REF!</v>
      </c>
      <c r="I168" s="58"/>
      <c r="J168" s="57" t="e">
        <f t="shared" si="41"/>
        <v>#REF!</v>
      </c>
      <c r="K168" s="58" t="e">
        <f t="shared" ref="K168:K193" si="43">IF(J168="","",J168+K167)</f>
        <v>#REF!</v>
      </c>
      <c r="L168" s="58" t="e">
        <f t="shared" ref="L168:L193" si="44">IF(J168="","",J168+L167)</f>
        <v>#REF!</v>
      </c>
      <c r="M168" s="58"/>
      <c r="N168" s="73" t="e">
        <f>IF(F168="","",ROUND((('M&amp;R Stations'!#REF!+'M&amp;R Stations'!#REF!)-('NG Utilization'!C168+'NG Utilization'!D168+'NG Utilization'!E168)-'LNG Facilities'!#REF!)*ROUND(((('M&amp;R Stations'!#REF!*'M&amp;R Stations'!L157)+('M&amp;R Stations'!#REF!*'M&amp;R Stations'!F157))/1000)/('M&amp;R Stations'!#REF!+'M&amp;R Stations'!#REF!),3),0)+ROUND((('LNG Facilities'!F157*'LNG Facilities'!K157+'LNG Facilities'!G157*'LNG Facilities'!L157+'LNG Facilities'!H157*'LNG Facilities'!M157+'LNG Facilities'!R157*'LNG Facilities'!W157+'LNG Facilities'!S157*'LNG Facilities'!X157+'LNG Facilities'!T157*'LNG Facilities'!#REF!)/1000),0))</f>
        <v>#REF!</v>
      </c>
      <c r="O168" s="58" t="e">
        <f t="shared" ref="O168:O193" si="45">IF(N168="","",N168+O167)</f>
        <v>#REF!</v>
      </c>
      <c r="P168" s="58" t="e">
        <f t="shared" ref="P168:P193" si="46">IF(N168="","",N168+P167)</f>
        <v>#REF!</v>
      </c>
      <c r="Q168" s="58"/>
      <c r="R168" s="57" t="e">
        <f t="shared" si="42"/>
        <v>#REF!</v>
      </c>
      <c r="S168" s="58" t="e">
        <f t="shared" ref="S168:S193" si="47">IF(R168="","",R168+S167)</f>
        <v>#REF!</v>
      </c>
      <c r="T168" s="58" t="e">
        <f t="shared" ref="T168:T193" si="48">IF(R168="","",R168+T167)</f>
        <v>#REF!</v>
      </c>
      <c r="U168" s="59"/>
      <c r="V168" s="59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</row>
    <row r="169" spans="1:46" x14ac:dyDescent="0.25">
      <c r="A169" s="31">
        <f>'M&amp;R Stations'!A158</f>
        <v>39117</v>
      </c>
      <c r="B169" s="89"/>
      <c r="C169" s="227">
        <v>196610</v>
      </c>
      <c r="D169" s="225">
        <v>499091.9</v>
      </c>
      <c r="E169" s="185"/>
      <c r="F169" s="72" t="e">
        <f>IF('M&amp;R Stations'!#REF!="","",('M&amp;R Stations'!#REF!+'M&amp;R Stations'!#REF!)+('LNG Facilities'!F158+'LNG Facilities'!G158+'LNG Facilities'!H158+'LNG Facilities'!R158+'LNG Facilities'!S158+'LNG Facilities'!T158)-'LNG Facilities'!#REF!-('NG Utilization'!C169+'NG Utilization'!D169+'NG Utilization'!E169))</f>
        <v>#REF!</v>
      </c>
      <c r="G169" s="58" t="e">
        <f>IF('M&amp;R Stations'!#REF!="","",F169+G168)</f>
        <v>#REF!</v>
      </c>
      <c r="H169" s="58" t="e">
        <f>IF('M&amp;R Stations'!#REF!="","",F169+H168)</f>
        <v>#REF!</v>
      </c>
      <c r="I169" s="58"/>
      <c r="J169" s="57" t="e">
        <f t="shared" si="41"/>
        <v>#REF!</v>
      </c>
      <c r="K169" s="58" t="e">
        <f t="shared" si="43"/>
        <v>#REF!</v>
      </c>
      <c r="L169" s="58" t="e">
        <f t="shared" si="44"/>
        <v>#REF!</v>
      </c>
      <c r="M169" s="58"/>
      <c r="N169" s="73" t="e">
        <f>IF(F169="","",ROUND((('M&amp;R Stations'!#REF!+'M&amp;R Stations'!#REF!)-('NG Utilization'!C169+'NG Utilization'!D169+'NG Utilization'!E169)-'LNG Facilities'!#REF!)*ROUND(((('M&amp;R Stations'!#REF!*'M&amp;R Stations'!L158)+('M&amp;R Stations'!#REF!*'M&amp;R Stations'!F158))/1000)/('M&amp;R Stations'!#REF!+'M&amp;R Stations'!#REF!),3),0)+ROUND((('LNG Facilities'!F158*'LNG Facilities'!K158+'LNG Facilities'!G158*'LNG Facilities'!L158+'LNG Facilities'!H158*'LNG Facilities'!M158+'LNG Facilities'!R158*'LNG Facilities'!W158+'LNG Facilities'!S158*'LNG Facilities'!X158+'LNG Facilities'!T158*'LNG Facilities'!#REF!)/1000),0))</f>
        <v>#REF!</v>
      </c>
      <c r="O169" s="58" t="e">
        <f t="shared" si="45"/>
        <v>#REF!</v>
      </c>
      <c r="P169" s="58" t="e">
        <f t="shared" si="46"/>
        <v>#REF!</v>
      </c>
      <c r="Q169" s="58"/>
      <c r="R169" s="57" t="e">
        <f t="shared" si="42"/>
        <v>#REF!</v>
      </c>
      <c r="S169" s="58" t="e">
        <f t="shared" si="47"/>
        <v>#REF!</v>
      </c>
      <c r="T169" s="58" t="e">
        <f t="shared" si="48"/>
        <v>#REF!</v>
      </c>
      <c r="U169" s="59"/>
      <c r="V169" s="59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</row>
    <row r="170" spans="1:46" x14ac:dyDescent="0.25">
      <c r="A170" s="31">
        <f>'M&amp;R Stations'!A159</f>
        <v>39118</v>
      </c>
      <c r="B170" s="89"/>
      <c r="C170" s="227">
        <v>282880</v>
      </c>
      <c r="D170" s="225">
        <v>539334</v>
      </c>
      <c r="E170" s="185"/>
      <c r="F170" s="72" t="e">
        <f>IF('M&amp;R Stations'!#REF!="","",('M&amp;R Stations'!#REF!+'M&amp;R Stations'!#REF!)+('LNG Facilities'!F159+'LNG Facilities'!G159+'LNG Facilities'!H159+'LNG Facilities'!R159+'LNG Facilities'!S159+'LNG Facilities'!T159)-'LNG Facilities'!#REF!-('NG Utilization'!C170+'NG Utilization'!D170+'NG Utilization'!E170))</f>
        <v>#REF!</v>
      </c>
      <c r="G170" s="58" t="e">
        <f>IF('M&amp;R Stations'!#REF!="","",F170+G169)</f>
        <v>#REF!</v>
      </c>
      <c r="H170" s="58" t="e">
        <f>IF('M&amp;R Stations'!#REF!="","",F170+H169)</f>
        <v>#REF!</v>
      </c>
      <c r="I170" s="58"/>
      <c r="J170" s="57" t="e">
        <f t="shared" si="41"/>
        <v>#REF!</v>
      </c>
      <c r="K170" s="58" t="e">
        <f t="shared" si="43"/>
        <v>#REF!</v>
      </c>
      <c r="L170" s="58" t="e">
        <f t="shared" si="44"/>
        <v>#REF!</v>
      </c>
      <c r="M170" s="58"/>
      <c r="N170" s="73" t="e">
        <f>IF(F170="","",ROUND((('M&amp;R Stations'!#REF!+'M&amp;R Stations'!#REF!)-('NG Utilization'!C170+'NG Utilization'!D170+'NG Utilization'!E170)-'LNG Facilities'!#REF!)*ROUND(((('M&amp;R Stations'!#REF!*'M&amp;R Stations'!L159)+('M&amp;R Stations'!#REF!*'M&amp;R Stations'!F159))/1000)/('M&amp;R Stations'!#REF!+'M&amp;R Stations'!#REF!),3),0)+ROUND((('LNG Facilities'!F159*'LNG Facilities'!K159+'LNG Facilities'!G159*'LNG Facilities'!L159+'LNG Facilities'!H159*'LNG Facilities'!M159+'LNG Facilities'!R159*'LNG Facilities'!W159+'LNG Facilities'!S159*'LNG Facilities'!X159+'LNG Facilities'!T159*'LNG Facilities'!#REF!)/1000),0))</f>
        <v>#REF!</v>
      </c>
      <c r="O170" s="58" t="e">
        <f t="shared" si="45"/>
        <v>#REF!</v>
      </c>
      <c r="P170" s="58" t="e">
        <f t="shared" si="46"/>
        <v>#REF!</v>
      </c>
      <c r="Q170" s="58"/>
      <c r="R170" s="57" t="e">
        <f t="shared" si="42"/>
        <v>#REF!</v>
      </c>
      <c r="S170" s="58" t="e">
        <f t="shared" si="47"/>
        <v>#REF!</v>
      </c>
      <c r="T170" s="58" t="e">
        <f t="shared" si="48"/>
        <v>#REF!</v>
      </c>
      <c r="U170" s="59"/>
      <c r="V170" s="59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</row>
    <row r="171" spans="1:46" x14ac:dyDescent="0.25">
      <c r="A171" s="31">
        <f>'M&amp;R Stations'!A160</f>
        <v>39119</v>
      </c>
      <c r="B171" s="89"/>
      <c r="C171" s="227">
        <v>330480</v>
      </c>
      <c r="D171" s="225">
        <v>468910</v>
      </c>
      <c r="E171" s="185"/>
      <c r="F171" s="72" t="e">
        <f>IF('M&amp;R Stations'!#REF!="","",('M&amp;R Stations'!#REF!+'M&amp;R Stations'!#REF!)+('LNG Facilities'!F160+'LNG Facilities'!G160+'LNG Facilities'!H160+'LNG Facilities'!R160+'LNG Facilities'!S160+'LNG Facilities'!T160)-'LNG Facilities'!#REF!-('NG Utilization'!C171+'NG Utilization'!D171+'NG Utilization'!E171))</f>
        <v>#REF!</v>
      </c>
      <c r="G171" s="58" t="e">
        <f>IF('M&amp;R Stations'!#REF!="","",F171+G170)</f>
        <v>#REF!</v>
      </c>
      <c r="H171" s="58" t="e">
        <f>IF('M&amp;R Stations'!#REF!="","",F171+H170)</f>
        <v>#REF!</v>
      </c>
      <c r="I171" s="58"/>
      <c r="J171" s="57" t="e">
        <f t="shared" si="41"/>
        <v>#REF!</v>
      </c>
      <c r="K171" s="58" t="e">
        <f t="shared" si="43"/>
        <v>#REF!</v>
      </c>
      <c r="L171" s="58" t="e">
        <f t="shared" si="44"/>
        <v>#REF!</v>
      </c>
      <c r="M171" s="58"/>
      <c r="N171" s="73" t="e">
        <f>IF(F171="","",ROUND((('M&amp;R Stations'!#REF!+'M&amp;R Stations'!#REF!)-('NG Utilization'!C171+'NG Utilization'!D171+'NG Utilization'!E171)-'LNG Facilities'!#REF!)*ROUND(((('M&amp;R Stations'!#REF!*'M&amp;R Stations'!L160)+('M&amp;R Stations'!#REF!*'M&amp;R Stations'!F160))/1000)/('M&amp;R Stations'!#REF!+'M&amp;R Stations'!#REF!),3),0)+ROUND((('LNG Facilities'!F160*'LNG Facilities'!K160+'LNG Facilities'!G160*'LNG Facilities'!L160+'LNG Facilities'!H160*'LNG Facilities'!M160+'LNG Facilities'!R160*'LNG Facilities'!W160+'LNG Facilities'!S160*'LNG Facilities'!X160+'LNG Facilities'!T160*'LNG Facilities'!#REF!)/1000),0))</f>
        <v>#REF!</v>
      </c>
      <c r="O171" s="58" t="e">
        <f t="shared" si="45"/>
        <v>#REF!</v>
      </c>
      <c r="P171" s="58" t="e">
        <f t="shared" si="46"/>
        <v>#REF!</v>
      </c>
      <c r="Q171" s="58"/>
      <c r="R171" s="57" t="e">
        <f t="shared" si="42"/>
        <v>#REF!</v>
      </c>
      <c r="S171" s="58" t="e">
        <f t="shared" si="47"/>
        <v>#REF!</v>
      </c>
      <c r="T171" s="58" t="e">
        <f t="shared" si="48"/>
        <v>#REF!</v>
      </c>
      <c r="U171" s="59"/>
      <c r="V171" s="59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</row>
    <row r="172" spans="1:46" x14ac:dyDescent="0.25">
      <c r="A172" s="31">
        <f>'M&amp;R Stations'!A161</f>
        <v>39120</v>
      </c>
      <c r="B172" s="89"/>
      <c r="C172" s="227">
        <v>330309</v>
      </c>
      <c r="D172" s="225">
        <v>448789.1</v>
      </c>
      <c r="E172" s="185"/>
      <c r="F172" s="72" t="e">
        <f>IF('M&amp;R Stations'!#REF!="","",('M&amp;R Stations'!#REF!+'M&amp;R Stations'!#REF!)+('LNG Facilities'!F161+'LNG Facilities'!G161+'LNG Facilities'!H161+'LNG Facilities'!R161+'LNG Facilities'!S161+'LNG Facilities'!T161)-'LNG Facilities'!#REF!-('NG Utilization'!C172+'NG Utilization'!D172+'NG Utilization'!E172))</f>
        <v>#REF!</v>
      </c>
      <c r="G172" s="58" t="e">
        <f>IF('M&amp;R Stations'!#REF!="","",F172+G171)</f>
        <v>#REF!</v>
      </c>
      <c r="H172" s="58" t="e">
        <f>IF('M&amp;R Stations'!#REF!="","",F172+H171)</f>
        <v>#REF!</v>
      </c>
      <c r="I172" s="58"/>
      <c r="J172" s="57" t="e">
        <f t="shared" si="41"/>
        <v>#REF!</v>
      </c>
      <c r="K172" s="58" t="e">
        <f t="shared" si="43"/>
        <v>#REF!</v>
      </c>
      <c r="L172" s="58" t="e">
        <f t="shared" si="44"/>
        <v>#REF!</v>
      </c>
      <c r="M172" s="58"/>
      <c r="N172" s="73" t="e">
        <f>IF(F172="","",ROUND((('M&amp;R Stations'!#REF!+'M&amp;R Stations'!#REF!)-('NG Utilization'!C172+'NG Utilization'!D172+'NG Utilization'!E172)-'LNG Facilities'!#REF!)*ROUND(((('M&amp;R Stations'!#REF!*'M&amp;R Stations'!L161)+('M&amp;R Stations'!#REF!*'M&amp;R Stations'!F161))/1000)/('M&amp;R Stations'!#REF!+'M&amp;R Stations'!#REF!),3),0)+ROUND((('LNG Facilities'!F161*'LNG Facilities'!K161+'LNG Facilities'!G161*'LNG Facilities'!L161+'LNG Facilities'!H161*'LNG Facilities'!M161+'LNG Facilities'!R161*'LNG Facilities'!W161+'LNG Facilities'!S161*'LNG Facilities'!X161+'LNG Facilities'!T161*'LNG Facilities'!#REF!)/1000),0))</f>
        <v>#REF!</v>
      </c>
      <c r="O172" s="58" t="e">
        <f t="shared" si="45"/>
        <v>#REF!</v>
      </c>
      <c r="P172" s="58" t="e">
        <f t="shared" si="46"/>
        <v>#REF!</v>
      </c>
      <c r="Q172" s="58"/>
      <c r="R172" s="57" t="e">
        <f t="shared" si="42"/>
        <v>#REF!</v>
      </c>
      <c r="S172" s="58" t="e">
        <f t="shared" si="47"/>
        <v>#REF!</v>
      </c>
      <c r="T172" s="58" t="e">
        <f t="shared" si="48"/>
        <v>#REF!</v>
      </c>
      <c r="U172" s="59"/>
      <c r="V172" s="59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</row>
    <row r="173" spans="1:46" x14ac:dyDescent="0.25">
      <c r="A173" s="31">
        <f>'M&amp;R Stations'!A162</f>
        <v>39121</v>
      </c>
      <c r="B173" s="89"/>
      <c r="C173" s="227">
        <v>359051</v>
      </c>
      <c r="D173" s="225">
        <v>418608</v>
      </c>
      <c r="E173" s="185"/>
      <c r="F173" s="72" t="e">
        <f>IF('M&amp;R Stations'!#REF!="","",('M&amp;R Stations'!#REF!+'M&amp;R Stations'!#REF!)+('LNG Facilities'!F162+'LNG Facilities'!G162+'LNG Facilities'!H162+'LNG Facilities'!R162+'LNG Facilities'!S162+'LNG Facilities'!T162)-'LNG Facilities'!#REF!-('NG Utilization'!C173+'NG Utilization'!D173+'NG Utilization'!E173))</f>
        <v>#REF!</v>
      </c>
      <c r="G173" s="58" t="e">
        <f>IF('M&amp;R Stations'!#REF!="","",F173+G172)</f>
        <v>#REF!</v>
      </c>
      <c r="H173" s="58" t="e">
        <f>IF('M&amp;R Stations'!#REF!="","",F173+H172)</f>
        <v>#REF!</v>
      </c>
      <c r="I173" s="58"/>
      <c r="J173" s="57" t="e">
        <f t="shared" si="41"/>
        <v>#REF!</v>
      </c>
      <c r="K173" s="58" t="e">
        <f t="shared" si="43"/>
        <v>#REF!</v>
      </c>
      <c r="L173" s="58" t="e">
        <f t="shared" si="44"/>
        <v>#REF!</v>
      </c>
      <c r="M173" s="58"/>
      <c r="N173" s="73" t="e">
        <f>IF(F173="","",ROUND((('M&amp;R Stations'!#REF!+'M&amp;R Stations'!#REF!)-('NG Utilization'!C173+'NG Utilization'!D173+'NG Utilization'!E173)-'LNG Facilities'!#REF!)*ROUND(((('M&amp;R Stations'!#REF!*'M&amp;R Stations'!L162)+('M&amp;R Stations'!#REF!*'M&amp;R Stations'!F162))/1000)/('M&amp;R Stations'!#REF!+'M&amp;R Stations'!#REF!),3),0)+ROUND((('LNG Facilities'!F162*'LNG Facilities'!K162+'LNG Facilities'!G162*'LNG Facilities'!L162+'LNG Facilities'!H162*'LNG Facilities'!M162+'LNG Facilities'!R162*'LNG Facilities'!W162+'LNG Facilities'!S162*'LNG Facilities'!X162+'LNG Facilities'!T162*'LNG Facilities'!#REF!)/1000),0))</f>
        <v>#REF!</v>
      </c>
      <c r="O173" s="58" t="e">
        <f t="shared" si="45"/>
        <v>#REF!</v>
      </c>
      <c r="P173" s="58" t="e">
        <f t="shared" si="46"/>
        <v>#REF!</v>
      </c>
      <c r="Q173" s="58"/>
      <c r="R173" s="57" t="e">
        <f t="shared" si="42"/>
        <v>#REF!</v>
      </c>
      <c r="S173" s="58" t="e">
        <f t="shared" si="47"/>
        <v>#REF!</v>
      </c>
      <c r="T173" s="58" t="e">
        <f t="shared" si="48"/>
        <v>#REF!</v>
      </c>
      <c r="U173" s="59"/>
      <c r="V173" s="59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</row>
    <row r="174" spans="1:46" x14ac:dyDescent="0.25">
      <c r="A174" s="31">
        <f>'M&amp;R Stations'!A163</f>
        <v>39122</v>
      </c>
      <c r="B174" s="89"/>
      <c r="C174" s="227">
        <v>371482</v>
      </c>
      <c r="D174" s="225">
        <v>398486.4</v>
      </c>
      <c r="E174" s="185"/>
      <c r="F174" s="72" t="e">
        <f>IF('M&amp;R Stations'!#REF!="","",('M&amp;R Stations'!#REF!+'M&amp;R Stations'!#REF!)+('LNG Facilities'!F163+'LNG Facilities'!G163+'LNG Facilities'!H163+'LNG Facilities'!R163+'LNG Facilities'!S163+'LNG Facilities'!T163)-'LNG Facilities'!#REF!-('NG Utilization'!C174+'NG Utilization'!D174+'NG Utilization'!E174))</f>
        <v>#REF!</v>
      </c>
      <c r="G174" s="58" t="e">
        <f>IF('M&amp;R Stations'!#REF!="","",F174+G173)</f>
        <v>#REF!</v>
      </c>
      <c r="H174" s="58" t="e">
        <f>IF('M&amp;R Stations'!#REF!="","",F174+H173)</f>
        <v>#REF!</v>
      </c>
      <c r="I174" s="58"/>
      <c r="J174" s="57" t="e">
        <f t="shared" si="41"/>
        <v>#REF!</v>
      </c>
      <c r="K174" s="58" t="e">
        <f t="shared" si="43"/>
        <v>#REF!</v>
      </c>
      <c r="L174" s="58" t="e">
        <f t="shared" si="44"/>
        <v>#REF!</v>
      </c>
      <c r="M174" s="58"/>
      <c r="N174" s="73" t="e">
        <f>IF(F174="","",ROUND((('M&amp;R Stations'!#REF!+'M&amp;R Stations'!#REF!)-('NG Utilization'!C174+'NG Utilization'!D174+'NG Utilization'!E174)-'LNG Facilities'!#REF!)*ROUND(((('M&amp;R Stations'!#REF!*'M&amp;R Stations'!L163)+('M&amp;R Stations'!#REF!*'M&amp;R Stations'!F163))/1000)/('M&amp;R Stations'!#REF!+'M&amp;R Stations'!#REF!),3),0)+ROUND((('LNG Facilities'!F163*'LNG Facilities'!K163+'LNG Facilities'!G163*'LNG Facilities'!L163+'LNG Facilities'!H163*'LNG Facilities'!M163+'LNG Facilities'!R163*'LNG Facilities'!W163+'LNG Facilities'!S163*'LNG Facilities'!X163+'LNG Facilities'!T163*'LNG Facilities'!#REF!)/1000),0))</f>
        <v>#REF!</v>
      </c>
      <c r="O174" s="58" t="e">
        <f t="shared" si="45"/>
        <v>#REF!</v>
      </c>
      <c r="P174" s="58" t="e">
        <f t="shared" si="46"/>
        <v>#REF!</v>
      </c>
      <c r="Q174" s="58"/>
      <c r="R174" s="57" t="e">
        <f t="shared" si="42"/>
        <v>#REF!</v>
      </c>
      <c r="S174" s="58" t="e">
        <f t="shared" si="47"/>
        <v>#REF!</v>
      </c>
      <c r="T174" s="58" t="e">
        <f t="shared" si="48"/>
        <v>#REF!</v>
      </c>
      <c r="U174" s="59"/>
      <c r="V174" s="59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</row>
    <row r="175" spans="1:46" x14ac:dyDescent="0.25">
      <c r="A175" s="31">
        <f>'M&amp;R Stations'!A164</f>
        <v>39123</v>
      </c>
      <c r="B175" s="89"/>
      <c r="C175" s="227">
        <v>339399</v>
      </c>
      <c r="D175" s="225">
        <v>348183.7</v>
      </c>
      <c r="E175" s="185"/>
      <c r="F175" s="72" t="e">
        <f>IF('M&amp;R Stations'!#REF!="","",('M&amp;R Stations'!#REF!+'M&amp;R Stations'!#REF!)+('LNG Facilities'!F164+'LNG Facilities'!G164+'LNG Facilities'!H164+'LNG Facilities'!R164+'LNG Facilities'!S164+'LNG Facilities'!T164)-'LNG Facilities'!#REF!-('NG Utilization'!C175+'NG Utilization'!D175+'NG Utilization'!E175))</f>
        <v>#REF!</v>
      </c>
      <c r="G175" s="58" t="e">
        <f>IF('M&amp;R Stations'!#REF!="","",F175+G174)</f>
        <v>#REF!</v>
      </c>
      <c r="H175" s="58" t="e">
        <f>IF('M&amp;R Stations'!#REF!="","",F175+H174)</f>
        <v>#REF!</v>
      </c>
      <c r="I175" s="58"/>
      <c r="J175" s="57" t="e">
        <f t="shared" si="41"/>
        <v>#REF!</v>
      </c>
      <c r="K175" s="58" t="e">
        <f t="shared" si="43"/>
        <v>#REF!</v>
      </c>
      <c r="L175" s="58" t="e">
        <f t="shared" si="44"/>
        <v>#REF!</v>
      </c>
      <c r="M175" s="58"/>
      <c r="N175" s="73" t="e">
        <f>IF(F175="","",ROUND((('M&amp;R Stations'!#REF!+'M&amp;R Stations'!#REF!)-('NG Utilization'!C175+'NG Utilization'!D175+'NG Utilization'!E175)-'LNG Facilities'!#REF!)*ROUND(((('M&amp;R Stations'!#REF!*'M&amp;R Stations'!L164)+('M&amp;R Stations'!#REF!*'M&amp;R Stations'!F164))/1000)/('M&amp;R Stations'!#REF!+'M&amp;R Stations'!#REF!),3),0)+ROUND((('LNG Facilities'!F164*'LNG Facilities'!K164+'LNG Facilities'!G164*'LNG Facilities'!L164+'LNG Facilities'!H164*'LNG Facilities'!M164+'LNG Facilities'!R164*'LNG Facilities'!W164+'LNG Facilities'!S164*'LNG Facilities'!X164+'LNG Facilities'!T164*'LNG Facilities'!#REF!)/1000),0))</f>
        <v>#REF!</v>
      </c>
      <c r="O175" s="58" t="e">
        <f t="shared" si="45"/>
        <v>#REF!</v>
      </c>
      <c r="P175" s="58" t="e">
        <f t="shared" si="46"/>
        <v>#REF!</v>
      </c>
      <c r="Q175" s="58"/>
      <c r="R175" s="57" t="e">
        <f t="shared" si="42"/>
        <v>#REF!</v>
      </c>
      <c r="S175" s="58" t="e">
        <f t="shared" si="47"/>
        <v>#REF!</v>
      </c>
      <c r="T175" s="58" t="e">
        <f t="shared" si="48"/>
        <v>#REF!</v>
      </c>
      <c r="U175" s="59"/>
      <c r="V175" s="59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</row>
    <row r="176" spans="1:46" x14ac:dyDescent="0.25">
      <c r="A176" s="31">
        <f>'M&amp;R Stations'!A165</f>
        <v>39124</v>
      </c>
      <c r="B176" s="89"/>
      <c r="C176" s="227">
        <v>358909</v>
      </c>
      <c r="D176" s="225">
        <v>338123.2</v>
      </c>
      <c r="E176" s="185"/>
      <c r="F176" s="72" t="e">
        <f>IF('M&amp;R Stations'!#REF!="","",('M&amp;R Stations'!#REF!+'M&amp;R Stations'!#REF!)+('LNG Facilities'!F165+'LNG Facilities'!G165+'LNG Facilities'!H165+'LNG Facilities'!R165+'LNG Facilities'!S165+'LNG Facilities'!T165)-'LNG Facilities'!#REF!-('NG Utilization'!C176+'NG Utilization'!D176+'NG Utilization'!E176))</f>
        <v>#REF!</v>
      </c>
      <c r="G176" s="58" t="e">
        <f>IF('M&amp;R Stations'!#REF!="","",F176+G175)</f>
        <v>#REF!</v>
      </c>
      <c r="H176" s="58" t="e">
        <f>IF('M&amp;R Stations'!#REF!="","",F176+H175)</f>
        <v>#REF!</v>
      </c>
      <c r="I176" s="58"/>
      <c r="J176" s="57" t="e">
        <f t="shared" si="41"/>
        <v>#REF!</v>
      </c>
      <c r="K176" s="58" t="e">
        <f t="shared" si="43"/>
        <v>#REF!</v>
      </c>
      <c r="L176" s="58" t="e">
        <f t="shared" si="44"/>
        <v>#REF!</v>
      </c>
      <c r="M176" s="58"/>
      <c r="N176" s="73" t="e">
        <f>IF(F176="","",ROUND((('M&amp;R Stations'!#REF!+'M&amp;R Stations'!#REF!)-('NG Utilization'!C176+'NG Utilization'!D176+'NG Utilization'!E176)-'LNG Facilities'!#REF!)*ROUND(((('M&amp;R Stations'!#REF!*'M&amp;R Stations'!L165)+('M&amp;R Stations'!#REF!*'M&amp;R Stations'!F165))/1000)/('M&amp;R Stations'!#REF!+'M&amp;R Stations'!#REF!),3),0)+ROUND((('LNG Facilities'!F165*'LNG Facilities'!K165+'LNG Facilities'!G165*'LNG Facilities'!L165+'LNG Facilities'!H165*'LNG Facilities'!M165+'LNG Facilities'!R165*'LNG Facilities'!W165+'LNG Facilities'!S165*'LNG Facilities'!X165+'LNG Facilities'!T165*'LNG Facilities'!#REF!)/1000),0))</f>
        <v>#REF!</v>
      </c>
      <c r="O176" s="58" t="e">
        <f t="shared" si="45"/>
        <v>#REF!</v>
      </c>
      <c r="P176" s="58" t="e">
        <f t="shared" si="46"/>
        <v>#REF!</v>
      </c>
      <c r="Q176" s="58"/>
      <c r="R176" s="57" t="e">
        <f t="shared" si="42"/>
        <v>#REF!</v>
      </c>
      <c r="S176" s="58" t="e">
        <f t="shared" si="47"/>
        <v>#REF!</v>
      </c>
      <c r="T176" s="58" t="e">
        <f t="shared" si="48"/>
        <v>#REF!</v>
      </c>
      <c r="U176" s="59"/>
      <c r="V176" s="59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</row>
    <row r="177" spans="1:46" x14ac:dyDescent="0.25">
      <c r="A177" s="31">
        <f>'M&amp;R Stations'!A166</f>
        <v>39125</v>
      </c>
      <c r="B177" s="89"/>
      <c r="C177" s="227">
        <v>414266</v>
      </c>
      <c r="D177" s="225">
        <v>307941.5</v>
      </c>
      <c r="E177" s="185"/>
      <c r="F177" s="72" t="e">
        <f>IF('M&amp;R Stations'!#REF!="","",('M&amp;R Stations'!#REF!+'M&amp;R Stations'!#REF!)+('LNG Facilities'!F166+'LNG Facilities'!G166+'LNG Facilities'!H166+'LNG Facilities'!R166+'LNG Facilities'!S166+'LNG Facilities'!T166)-'LNG Facilities'!#REF!-('NG Utilization'!C177+'NG Utilization'!D177+'NG Utilization'!E177))</f>
        <v>#REF!</v>
      </c>
      <c r="G177" s="58" t="e">
        <f>IF('M&amp;R Stations'!#REF!="","",F177+G176)</f>
        <v>#REF!</v>
      </c>
      <c r="H177" s="58" t="e">
        <f>IF('M&amp;R Stations'!#REF!="","",F177+H176)</f>
        <v>#REF!</v>
      </c>
      <c r="I177" s="58"/>
      <c r="J177" s="57" t="e">
        <f t="shared" si="41"/>
        <v>#REF!</v>
      </c>
      <c r="K177" s="58" t="e">
        <f t="shared" si="43"/>
        <v>#REF!</v>
      </c>
      <c r="L177" s="58" t="e">
        <f t="shared" si="44"/>
        <v>#REF!</v>
      </c>
      <c r="M177" s="58"/>
      <c r="N177" s="73" t="e">
        <f>IF(F177="","",ROUND((('M&amp;R Stations'!#REF!+'M&amp;R Stations'!#REF!)-('NG Utilization'!C177+'NG Utilization'!D177+'NG Utilization'!E177)-'LNG Facilities'!#REF!)*ROUND(((('M&amp;R Stations'!#REF!*'M&amp;R Stations'!L166)+('M&amp;R Stations'!#REF!*'M&amp;R Stations'!F166))/1000)/('M&amp;R Stations'!#REF!+'M&amp;R Stations'!#REF!),3),0)+ROUND((('LNG Facilities'!F166*'LNG Facilities'!K166+'LNG Facilities'!G166*'LNG Facilities'!L166+'LNG Facilities'!H166*'LNG Facilities'!M166+'LNG Facilities'!R166*'LNG Facilities'!W166+'LNG Facilities'!S166*'LNG Facilities'!X166+'LNG Facilities'!T166*'LNG Facilities'!#REF!)/1000),0))</f>
        <v>#REF!</v>
      </c>
      <c r="O177" s="58" t="e">
        <f t="shared" si="45"/>
        <v>#REF!</v>
      </c>
      <c r="P177" s="58" t="e">
        <f t="shared" si="46"/>
        <v>#REF!</v>
      </c>
      <c r="Q177" s="58"/>
      <c r="R177" s="57" t="e">
        <f t="shared" si="42"/>
        <v>#REF!</v>
      </c>
      <c r="S177" s="58" t="e">
        <f t="shared" si="47"/>
        <v>#REF!</v>
      </c>
      <c r="T177" s="58" t="e">
        <f t="shared" si="48"/>
        <v>#REF!</v>
      </c>
      <c r="U177" s="59"/>
      <c r="V177" s="59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</row>
    <row r="178" spans="1:46" x14ac:dyDescent="0.25">
      <c r="A178" s="31">
        <f>'M&amp;R Stations'!A167</f>
        <v>39126</v>
      </c>
      <c r="B178" s="89"/>
      <c r="C178" s="227">
        <v>377622</v>
      </c>
      <c r="D178" s="225">
        <v>338123.2</v>
      </c>
      <c r="E178" s="185"/>
      <c r="F178" s="72" t="e">
        <f>IF('M&amp;R Stations'!#REF!="","",('M&amp;R Stations'!#REF!+'M&amp;R Stations'!#REF!)+('LNG Facilities'!F167+'LNG Facilities'!G167+'LNG Facilities'!H167+'LNG Facilities'!R167+'LNG Facilities'!S167+'LNG Facilities'!T167)-'LNG Facilities'!#REF!-('NG Utilization'!C178+'NG Utilization'!D178+'NG Utilization'!E178))</f>
        <v>#REF!</v>
      </c>
      <c r="G178" s="58" t="e">
        <f>IF('M&amp;R Stations'!#REF!="","",F178+G177)</f>
        <v>#REF!</v>
      </c>
      <c r="H178" s="58" t="e">
        <f>IF('M&amp;R Stations'!#REF!="","",F178+H177)</f>
        <v>#REF!</v>
      </c>
      <c r="I178" s="58"/>
      <c r="J178" s="57" t="e">
        <f t="shared" si="41"/>
        <v>#REF!</v>
      </c>
      <c r="K178" s="58" t="e">
        <f t="shared" si="43"/>
        <v>#REF!</v>
      </c>
      <c r="L178" s="58" t="e">
        <f t="shared" si="44"/>
        <v>#REF!</v>
      </c>
      <c r="M178" s="58"/>
      <c r="N178" s="73" t="e">
        <f>IF(F178="","",ROUND((('M&amp;R Stations'!#REF!+'M&amp;R Stations'!#REF!)-('NG Utilization'!C178+'NG Utilization'!D178+'NG Utilization'!E178)-'LNG Facilities'!#REF!)*ROUND(((('M&amp;R Stations'!#REF!*'M&amp;R Stations'!L167)+('M&amp;R Stations'!#REF!*'M&amp;R Stations'!F167))/1000)/('M&amp;R Stations'!#REF!+'M&amp;R Stations'!#REF!),3),0)+ROUND((('LNG Facilities'!F167*'LNG Facilities'!K167+'LNG Facilities'!G167*'LNG Facilities'!L167+'LNG Facilities'!H167*'LNG Facilities'!M167+'LNG Facilities'!R167*'LNG Facilities'!W167+'LNG Facilities'!S167*'LNG Facilities'!X167+'LNG Facilities'!T167*'LNG Facilities'!#REF!)/1000),0))</f>
        <v>#REF!</v>
      </c>
      <c r="O178" s="58" t="e">
        <f t="shared" si="45"/>
        <v>#REF!</v>
      </c>
      <c r="P178" s="58" t="e">
        <f t="shared" si="46"/>
        <v>#REF!</v>
      </c>
      <c r="Q178" s="58"/>
      <c r="R178" s="57" t="e">
        <f t="shared" si="42"/>
        <v>#REF!</v>
      </c>
      <c r="S178" s="58" t="e">
        <f t="shared" si="47"/>
        <v>#REF!</v>
      </c>
      <c r="T178" s="58" t="e">
        <f t="shared" si="48"/>
        <v>#REF!</v>
      </c>
      <c r="U178" s="59"/>
      <c r="V178" s="59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</row>
    <row r="179" spans="1:46" x14ac:dyDescent="0.25">
      <c r="A179" s="31">
        <f>'M&amp;R Stations'!A168</f>
        <v>39127</v>
      </c>
      <c r="B179" s="89"/>
      <c r="C179" s="227">
        <v>319577</v>
      </c>
      <c r="D179" s="225">
        <v>328062.59999999998</v>
      </c>
      <c r="E179" s="185"/>
      <c r="F179" s="72" t="e">
        <f>IF('M&amp;R Stations'!#REF!="","",('M&amp;R Stations'!#REF!+'M&amp;R Stations'!#REF!)+('LNG Facilities'!F168+'LNG Facilities'!G168+'LNG Facilities'!H168+'LNG Facilities'!R168+'LNG Facilities'!S168+'LNG Facilities'!T168)-'LNG Facilities'!#REF!-('NG Utilization'!C179+'NG Utilization'!D179+'NG Utilization'!E179))</f>
        <v>#REF!</v>
      </c>
      <c r="G179" s="58" t="e">
        <f>IF('M&amp;R Stations'!#REF!="","",F179+G178)</f>
        <v>#REF!</v>
      </c>
      <c r="H179" s="58" t="e">
        <f>IF('M&amp;R Stations'!#REF!="","",F179+H178)</f>
        <v>#REF!</v>
      </c>
      <c r="I179" s="58"/>
      <c r="J179" s="57" t="e">
        <f t="shared" si="41"/>
        <v>#REF!</v>
      </c>
      <c r="K179" s="58" t="e">
        <f t="shared" si="43"/>
        <v>#REF!</v>
      </c>
      <c r="L179" s="58" t="e">
        <f t="shared" si="44"/>
        <v>#REF!</v>
      </c>
      <c r="M179" s="58"/>
      <c r="N179" s="73" t="e">
        <f>IF(F179="","",ROUND((('M&amp;R Stations'!#REF!+'M&amp;R Stations'!#REF!)-('NG Utilization'!C179+'NG Utilization'!D179+'NG Utilization'!E179)-'LNG Facilities'!#REF!)*ROUND(((('M&amp;R Stations'!#REF!*'M&amp;R Stations'!L168)+('M&amp;R Stations'!#REF!*'M&amp;R Stations'!F168))/1000)/('M&amp;R Stations'!#REF!+'M&amp;R Stations'!#REF!),3),0)+ROUND((('LNG Facilities'!F168*'LNG Facilities'!K168+'LNG Facilities'!G168*'LNG Facilities'!L168+'LNG Facilities'!H168*'LNG Facilities'!M168+'LNG Facilities'!R168*'LNG Facilities'!W168+'LNG Facilities'!S168*'LNG Facilities'!X168+'LNG Facilities'!T168*'LNG Facilities'!#REF!)/1000),0))</f>
        <v>#REF!</v>
      </c>
      <c r="O179" s="58" t="e">
        <f t="shared" si="45"/>
        <v>#REF!</v>
      </c>
      <c r="P179" s="58" t="e">
        <f t="shared" si="46"/>
        <v>#REF!</v>
      </c>
      <c r="Q179" s="58"/>
      <c r="R179" s="57" t="e">
        <f t="shared" si="42"/>
        <v>#REF!</v>
      </c>
      <c r="S179" s="58" t="e">
        <f t="shared" si="47"/>
        <v>#REF!</v>
      </c>
      <c r="T179" s="58" t="e">
        <f t="shared" si="48"/>
        <v>#REF!</v>
      </c>
      <c r="U179" s="59"/>
      <c r="V179" s="59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</row>
    <row r="180" spans="1:46" x14ac:dyDescent="0.25">
      <c r="A180" s="31">
        <f>'M&amp;R Stations'!A169</f>
        <v>39128</v>
      </c>
      <c r="B180" s="89"/>
      <c r="C180" s="227">
        <v>242885</v>
      </c>
      <c r="D180" s="225">
        <v>328062.59999999998</v>
      </c>
      <c r="E180" s="185"/>
      <c r="F180" s="72" t="e">
        <f>IF('M&amp;R Stations'!#REF!="","",('M&amp;R Stations'!#REF!+'M&amp;R Stations'!#REF!)+('LNG Facilities'!F169+'LNG Facilities'!G169+'LNG Facilities'!H169+'LNG Facilities'!R169+'LNG Facilities'!S169+'LNG Facilities'!T169)-'LNG Facilities'!#REF!-('NG Utilization'!C180+'NG Utilization'!D180+'NG Utilization'!E180))</f>
        <v>#REF!</v>
      </c>
      <c r="G180" s="58" t="e">
        <f>IF('M&amp;R Stations'!#REF!="","",F180+G179)</f>
        <v>#REF!</v>
      </c>
      <c r="H180" s="58" t="e">
        <f>IF('M&amp;R Stations'!#REF!="","",F180+H179)</f>
        <v>#REF!</v>
      </c>
      <c r="I180" s="58"/>
      <c r="J180" s="57" t="e">
        <f t="shared" si="41"/>
        <v>#REF!</v>
      </c>
      <c r="K180" s="58" t="e">
        <f t="shared" si="43"/>
        <v>#REF!</v>
      </c>
      <c r="L180" s="58" t="e">
        <f t="shared" si="44"/>
        <v>#REF!</v>
      </c>
      <c r="M180" s="58"/>
      <c r="N180" s="73" t="e">
        <f>IF(F180="","",ROUND((('M&amp;R Stations'!#REF!+'M&amp;R Stations'!#REF!)-('NG Utilization'!C180+'NG Utilization'!D180+'NG Utilization'!E180)-'LNG Facilities'!#REF!)*ROUND(((('M&amp;R Stations'!#REF!*'M&amp;R Stations'!L169)+('M&amp;R Stations'!#REF!*'M&amp;R Stations'!F169))/1000)/('M&amp;R Stations'!#REF!+'M&amp;R Stations'!#REF!),3),0)+ROUND((('LNG Facilities'!F169*'LNG Facilities'!K169+'LNG Facilities'!G169*'LNG Facilities'!L169+'LNG Facilities'!H169*'LNG Facilities'!M169+'LNG Facilities'!R169*'LNG Facilities'!W169+'LNG Facilities'!S169*'LNG Facilities'!X169+'LNG Facilities'!T169*'LNG Facilities'!#REF!)/1000),0))</f>
        <v>#REF!</v>
      </c>
      <c r="O180" s="58" t="e">
        <f t="shared" si="45"/>
        <v>#REF!</v>
      </c>
      <c r="P180" s="58" t="e">
        <f t="shared" si="46"/>
        <v>#REF!</v>
      </c>
      <c r="Q180" s="58"/>
      <c r="R180" s="57" t="e">
        <f t="shared" si="42"/>
        <v>#REF!</v>
      </c>
      <c r="S180" s="58" t="e">
        <f t="shared" si="47"/>
        <v>#REF!</v>
      </c>
      <c r="T180" s="58" t="e">
        <f t="shared" si="48"/>
        <v>#REF!</v>
      </c>
      <c r="U180" s="59"/>
      <c r="V180" s="59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</row>
    <row r="181" spans="1:46" x14ac:dyDescent="0.25">
      <c r="A181" s="31">
        <f>'M&amp;R Stations'!A170</f>
        <v>39129</v>
      </c>
      <c r="B181" s="89"/>
      <c r="C181" s="227">
        <v>171195</v>
      </c>
      <c r="D181" s="225">
        <v>328062.59999999998</v>
      </c>
      <c r="E181" s="185"/>
      <c r="F181" s="72" t="e">
        <f>IF('M&amp;R Stations'!#REF!="","",('M&amp;R Stations'!#REF!+'M&amp;R Stations'!#REF!)+('LNG Facilities'!F170+'LNG Facilities'!G170+'LNG Facilities'!H170+'LNG Facilities'!R170+'LNG Facilities'!S170+'LNG Facilities'!T170)-'LNG Facilities'!#REF!-('NG Utilization'!C181+'NG Utilization'!D181+'NG Utilization'!E181))</f>
        <v>#REF!</v>
      </c>
      <c r="G181" s="58" t="e">
        <f>IF('M&amp;R Stations'!#REF!="","",F181+G180)</f>
        <v>#REF!</v>
      </c>
      <c r="H181" s="58" t="e">
        <f>IF('M&amp;R Stations'!#REF!="","",F181+H180)</f>
        <v>#REF!</v>
      </c>
      <c r="I181" s="58"/>
      <c r="J181" s="57" t="e">
        <f t="shared" si="41"/>
        <v>#REF!</v>
      </c>
      <c r="K181" s="58" t="e">
        <f t="shared" si="43"/>
        <v>#REF!</v>
      </c>
      <c r="L181" s="58" t="e">
        <f t="shared" si="44"/>
        <v>#REF!</v>
      </c>
      <c r="M181" s="58"/>
      <c r="N181" s="73" t="e">
        <f>IF(F181="","",ROUND((('M&amp;R Stations'!#REF!+'M&amp;R Stations'!#REF!)-('NG Utilization'!C181+'NG Utilization'!D181+'NG Utilization'!E181)-'LNG Facilities'!#REF!)*ROUND(((('M&amp;R Stations'!#REF!*'M&amp;R Stations'!L170)+('M&amp;R Stations'!#REF!*'M&amp;R Stations'!F170))/1000)/('M&amp;R Stations'!#REF!+'M&amp;R Stations'!#REF!),3),0)+ROUND((('LNG Facilities'!F170*'LNG Facilities'!K170+'LNG Facilities'!G170*'LNG Facilities'!L170+'LNG Facilities'!H170*'LNG Facilities'!M170+'LNG Facilities'!R170*'LNG Facilities'!W170+'LNG Facilities'!S170*'LNG Facilities'!X170+'LNG Facilities'!T170*'LNG Facilities'!#REF!)/1000),0))</f>
        <v>#REF!</v>
      </c>
      <c r="O181" s="58" t="e">
        <f t="shared" si="45"/>
        <v>#REF!</v>
      </c>
      <c r="P181" s="58" t="e">
        <f t="shared" si="46"/>
        <v>#REF!</v>
      </c>
      <c r="Q181" s="58"/>
      <c r="R181" s="57" t="e">
        <f t="shared" si="42"/>
        <v>#REF!</v>
      </c>
      <c r="S181" s="58" t="e">
        <f t="shared" si="47"/>
        <v>#REF!</v>
      </c>
      <c r="T181" s="58" t="e">
        <f t="shared" si="48"/>
        <v>#REF!</v>
      </c>
      <c r="U181" s="59"/>
      <c r="V181" s="59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</row>
    <row r="182" spans="1:46" x14ac:dyDescent="0.25">
      <c r="A182" s="31">
        <f>'M&amp;R Stations'!A171</f>
        <v>39130</v>
      </c>
      <c r="B182" s="89"/>
      <c r="C182" s="227">
        <v>259222</v>
      </c>
      <c r="D182" s="225">
        <v>318002.09999999998</v>
      </c>
      <c r="E182" s="185"/>
      <c r="F182" s="72" t="e">
        <f>IF('M&amp;R Stations'!#REF!="","",('M&amp;R Stations'!#REF!+'M&amp;R Stations'!#REF!)+('LNG Facilities'!F171+'LNG Facilities'!G171+'LNG Facilities'!H171+'LNG Facilities'!R171+'LNG Facilities'!S171+'LNG Facilities'!T171)-'LNG Facilities'!#REF!-('NG Utilization'!C182+'NG Utilization'!D182+'NG Utilization'!E182))</f>
        <v>#REF!</v>
      </c>
      <c r="G182" s="58" t="e">
        <f>IF('M&amp;R Stations'!#REF!="","",F182+G181)</f>
        <v>#REF!</v>
      </c>
      <c r="H182" s="58" t="e">
        <f>IF('M&amp;R Stations'!#REF!="","",F182+H181)</f>
        <v>#REF!</v>
      </c>
      <c r="I182" s="58"/>
      <c r="J182" s="57" t="e">
        <f t="shared" si="41"/>
        <v>#REF!</v>
      </c>
      <c r="K182" s="58" t="e">
        <f t="shared" si="43"/>
        <v>#REF!</v>
      </c>
      <c r="L182" s="58" t="e">
        <f t="shared" si="44"/>
        <v>#REF!</v>
      </c>
      <c r="M182" s="58"/>
      <c r="N182" s="73" t="e">
        <f>IF(F182="","",ROUND((('M&amp;R Stations'!#REF!+'M&amp;R Stations'!#REF!)-('NG Utilization'!C182+'NG Utilization'!D182+'NG Utilization'!E182)-'LNG Facilities'!#REF!)*ROUND(((('M&amp;R Stations'!#REF!*'M&amp;R Stations'!L171)+('M&amp;R Stations'!#REF!*'M&amp;R Stations'!F171))/1000)/('M&amp;R Stations'!#REF!+'M&amp;R Stations'!#REF!),3),0)+ROUND((('LNG Facilities'!F171*'LNG Facilities'!K171+'LNG Facilities'!G171*'LNG Facilities'!L171+'LNG Facilities'!H171*'LNG Facilities'!M171+'LNG Facilities'!R171*'LNG Facilities'!W171+'LNG Facilities'!S171*'LNG Facilities'!X171+'LNG Facilities'!T171*'LNG Facilities'!#REF!)/1000),0))</f>
        <v>#REF!</v>
      </c>
      <c r="O182" s="58" t="e">
        <f t="shared" si="45"/>
        <v>#REF!</v>
      </c>
      <c r="P182" s="58" t="e">
        <f t="shared" si="46"/>
        <v>#REF!</v>
      </c>
      <c r="Q182" s="58"/>
      <c r="R182" s="57" t="e">
        <f t="shared" si="42"/>
        <v>#REF!</v>
      </c>
      <c r="S182" s="58" t="e">
        <f t="shared" si="47"/>
        <v>#REF!</v>
      </c>
      <c r="T182" s="58" t="e">
        <f t="shared" si="48"/>
        <v>#REF!</v>
      </c>
      <c r="U182" s="59"/>
      <c r="V182" s="59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</row>
    <row r="183" spans="1:46" x14ac:dyDescent="0.25">
      <c r="A183" s="31">
        <f>'M&amp;R Stations'!A172</f>
        <v>39131</v>
      </c>
      <c r="B183" s="89"/>
      <c r="C183" s="227">
        <v>431737</v>
      </c>
      <c r="D183" s="225">
        <v>318002.09999999998</v>
      </c>
      <c r="E183" s="185"/>
      <c r="F183" s="72" t="e">
        <f>IF('M&amp;R Stations'!#REF!="","",('M&amp;R Stations'!#REF!+'M&amp;R Stations'!#REF!)+('LNG Facilities'!F172+'LNG Facilities'!G172+'LNG Facilities'!H172+'LNG Facilities'!R172+'LNG Facilities'!S172+'LNG Facilities'!T172)-'LNG Facilities'!#REF!-('NG Utilization'!C183+'NG Utilization'!D183+'NG Utilization'!E183))</f>
        <v>#REF!</v>
      </c>
      <c r="G183" s="58" t="e">
        <f>IF('M&amp;R Stations'!#REF!="","",F183+G182)</f>
        <v>#REF!</v>
      </c>
      <c r="H183" s="58" t="e">
        <f>IF('M&amp;R Stations'!#REF!="","",F183+H182)</f>
        <v>#REF!</v>
      </c>
      <c r="I183" s="58"/>
      <c r="J183" s="57" t="e">
        <f t="shared" si="41"/>
        <v>#REF!</v>
      </c>
      <c r="K183" s="58" t="e">
        <f t="shared" si="43"/>
        <v>#REF!</v>
      </c>
      <c r="L183" s="58" t="e">
        <f t="shared" si="44"/>
        <v>#REF!</v>
      </c>
      <c r="M183" s="58"/>
      <c r="N183" s="73" t="e">
        <f>IF(F183="","",ROUND((('M&amp;R Stations'!#REF!+'M&amp;R Stations'!#REF!)-('NG Utilization'!C183+'NG Utilization'!D183+'NG Utilization'!E183)-'LNG Facilities'!#REF!)*ROUND(((('M&amp;R Stations'!#REF!*'M&amp;R Stations'!L172)+('M&amp;R Stations'!#REF!*'M&amp;R Stations'!F172))/1000)/('M&amp;R Stations'!#REF!+'M&amp;R Stations'!#REF!),3),0)+ROUND((('LNG Facilities'!F172*'LNG Facilities'!K172+'LNG Facilities'!G172*'LNG Facilities'!L172+'LNG Facilities'!H172*'LNG Facilities'!M172+'LNG Facilities'!R172*'LNG Facilities'!W172+'LNG Facilities'!S172*'LNG Facilities'!X172+'LNG Facilities'!T172*'LNG Facilities'!#REF!)/1000),0))</f>
        <v>#REF!</v>
      </c>
      <c r="O183" s="58" t="e">
        <f t="shared" si="45"/>
        <v>#REF!</v>
      </c>
      <c r="P183" s="58" t="e">
        <f t="shared" si="46"/>
        <v>#REF!</v>
      </c>
      <c r="Q183" s="58"/>
      <c r="R183" s="57" t="e">
        <f t="shared" si="42"/>
        <v>#REF!</v>
      </c>
      <c r="S183" s="58" t="e">
        <f t="shared" si="47"/>
        <v>#REF!</v>
      </c>
      <c r="T183" s="58" t="e">
        <f t="shared" si="48"/>
        <v>#REF!</v>
      </c>
      <c r="U183" s="59"/>
      <c r="V183" s="59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</row>
    <row r="184" spans="1:46" x14ac:dyDescent="0.25">
      <c r="A184" s="31">
        <f>'M&amp;R Stations'!A173</f>
        <v>39132</v>
      </c>
      <c r="B184" s="89"/>
      <c r="C184" s="227">
        <v>427133</v>
      </c>
      <c r="D184" s="225">
        <v>307941.5</v>
      </c>
      <c r="E184" s="185"/>
      <c r="F184" s="72" t="e">
        <f>IF('M&amp;R Stations'!#REF!="","",('M&amp;R Stations'!#REF!+'M&amp;R Stations'!#REF!)+('LNG Facilities'!F173+'LNG Facilities'!G173+'LNG Facilities'!H173+'LNG Facilities'!R173+'LNG Facilities'!S173+'LNG Facilities'!T173)-'LNG Facilities'!#REF!-('NG Utilization'!C184+'NG Utilization'!D184+'NG Utilization'!E184))</f>
        <v>#REF!</v>
      </c>
      <c r="G184" s="58" t="e">
        <f>IF('M&amp;R Stations'!#REF!="","",F184+G183)</f>
        <v>#REF!</v>
      </c>
      <c r="H184" s="58" t="e">
        <f>IF('M&amp;R Stations'!#REF!="","",F184+H183)</f>
        <v>#REF!</v>
      </c>
      <c r="I184" s="58"/>
      <c r="J184" s="57" t="e">
        <f t="shared" si="41"/>
        <v>#REF!</v>
      </c>
      <c r="K184" s="58" t="e">
        <f t="shared" si="43"/>
        <v>#REF!</v>
      </c>
      <c r="L184" s="58" t="e">
        <f t="shared" si="44"/>
        <v>#REF!</v>
      </c>
      <c r="M184" s="58"/>
      <c r="N184" s="73" t="e">
        <f>IF(F184="","",ROUND((('M&amp;R Stations'!#REF!+'M&amp;R Stations'!#REF!)-('NG Utilization'!C184+'NG Utilization'!D184+'NG Utilization'!E184)-'LNG Facilities'!#REF!)*ROUND(((('M&amp;R Stations'!#REF!*'M&amp;R Stations'!L173)+('M&amp;R Stations'!#REF!*'M&amp;R Stations'!F173))/1000)/('M&amp;R Stations'!#REF!+'M&amp;R Stations'!#REF!),3),0)+ROUND((('LNG Facilities'!F173*'LNG Facilities'!K173+'LNG Facilities'!G173*'LNG Facilities'!L173+'LNG Facilities'!H173*'LNG Facilities'!M173+'LNG Facilities'!R173*'LNG Facilities'!W173+'LNG Facilities'!S173*'LNG Facilities'!X173+'LNG Facilities'!T173*'LNG Facilities'!#REF!)/1000),0))</f>
        <v>#REF!</v>
      </c>
      <c r="O184" s="58" t="e">
        <f t="shared" si="45"/>
        <v>#REF!</v>
      </c>
      <c r="P184" s="58" t="e">
        <f t="shared" si="46"/>
        <v>#REF!</v>
      </c>
      <c r="Q184" s="58"/>
      <c r="R184" s="57" t="e">
        <f t="shared" si="42"/>
        <v>#REF!</v>
      </c>
      <c r="S184" s="58" t="e">
        <f t="shared" si="47"/>
        <v>#REF!</v>
      </c>
      <c r="T184" s="58" t="e">
        <f t="shared" si="48"/>
        <v>#REF!</v>
      </c>
      <c r="U184" s="59"/>
      <c r="V184" s="59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</row>
    <row r="185" spans="1:46" x14ac:dyDescent="0.25">
      <c r="A185" s="31">
        <f>'M&amp;R Stations'!A174</f>
        <v>39133</v>
      </c>
      <c r="B185" s="89"/>
      <c r="C185" s="227">
        <v>363854</v>
      </c>
      <c r="D185" s="225">
        <v>247578.3</v>
      </c>
      <c r="E185" s="185"/>
      <c r="F185" s="72" t="e">
        <f>IF('M&amp;R Stations'!#REF!="","",('M&amp;R Stations'!#REF!+'M&amp;R Stations'!#REF!)+('LNG Facilities'!F174+'LNG Facilities'!G174+'LNG Facilities'!H174+'LNG Facilities'!R174+'LNG Facilities'!S174+'LNG Facilities'!T174)-'LNG Facilities'!#REF!-('NG Utilization'!C185+'NG Utilization'!D185+'NG Utilization'!E185))</f>
        <v>#REF!</v>
      </c>
      <c r="G185" s="58" t="e">
        <f>IF('M&amp;R Stations'!#REF!="","",F185+G184)</f>
        <v>#REF!</v>
      </c>
      <c r="H185" s="58" t="e">
        <f>IF('M&amp;R Stations'!#REF!="","",F185+H184)</f>
        <v>#REF!</v>
      </c>
      <c r="I185" s="58"/>
      <c r="J185" s="57" t="e">
        <f t="shared" si="41"/>
        <v>#REF!</v>
      </c>
      <c r="K185" s="58" t="e">
        <f t="shared" si="43"/>
        <v>#REF!</v>
      </c>
      <c r="L185" s="58" t="e">
        <f t="shared" si="44"/>
        <v>#REF!</v>
      </c>
      <c r="M185" s="58"/>
      <c r="N185" s="73" t="e">
        <f>IF(F185="","",ROUND((('M&amp;R Stations'!#REF!+'M&amp;R Stations'!#REF!)-('NG Utilization'!C185+'NG Utilization'!D185+'NG Utilization'!E185)-'LNG Facilities'!#REF!)*ROUND(((('M&amp;R Stations'!#REF!*'M&amp;R Stations'!L174)+('M&amp;R Stations'!#REF!*'M&amp;R Stations'!F174))/1000)/('M&amp;R Stations'!#REF!+'M&amp;R Stations'!#REF!),3),0)+ROUND((('LNG Facilities'!F174*'LNG Facilities'!K174+'LNG Facilities'!G174*'LNG Facilities'!L174+'LNG Facilities'!H174*'LNG Facilities'!M174+'LNG Facilities'!R174*'LNG Facilities'!W174+'LNG Facilities'!S174*'LNG Facilities'!X174+'LNG Facilities'!T174*'LNG Facilities'!#REF!)/1000),0))</f>
        <v>#REF!</v>
      </c>
      <c r="O185" s="58" t="e">
        <f t="shared" si="45"/>
        <v>#REF!</v>
      </c>
      <c r="P185" s="58" t="e">
        <f t="shared" si="46"/>
        <v>#REF!</v>
      </c>
      <c r="Q185" s="58"/>
      <c r="R185" s="57" t="e">
        <f t="shared" si="42"/>
        <v>#REF!</v>
      </c>
      <c r="S185" s="58" t="e">
        <f t="shared" si="47"/>
        <v>#REF!</v>
      </c>
      <c r="T185" s="58" t="e">
        <f t="shared" si="48"/>
        <v>#REF!</v>
      </c>
      <c r="U185" s="59"/>
      <c r="V185" s="59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</row>
    <row r="186" spans="1:46" x14ac:dyDescent="0.25">
      <c r="A186" s="31">
        <f>'M&amp;R Stations'!A175</f>
        <v>39134</v>
      </c>
      <c r="B186" s="89"/>
      <c r="C186" s="227">
        <v>319422</v>
      </c>
      <c r="D186" s="225">
        <v>277759.90000000002</v>
      </c>
      <c r="E186" s="185"/>
      <c r="F186" s="72" t="e">
        <f>IF('M&amp;R Stations'!#REF!="","",('M&amp;R Stations'!#REF!+'M&amp;R Stations'!#REF!)+('LNG Facilities'!F175+'LNG Facilities'!G175+'LNG Facilities'!H175+'LNG Facilities'!R175+'LNG Facilities'!S175+'LNG Facilities'!T175)-'LNG Facilities'!#REF!-('NG Utilization'!C186+'NG Utilization'!D186+'NG Utilization'!E186))</f>
        <v>#REF!</v>
      </c>
      <c r="G186" s="58" t="e">
        <f>IF('M&amp;R Stations'!#REF!="","",F186+G185)</f>
        <v>#REF!</v>
      </c>
      <c r="H186" s="58" t="e">
        <f>IF('M&amp;R Stations'!#REF!="","",F186+H185)</f>
        <v>#REF!</v>
      </c>
      <c r="I186" s="58"/>
      <c r="J186" s="57" t="e">
        <f t="shared" si="41"/>
        <v>#REF!</v>
      </c>
      <c r="K186" s="58" t="e">
        <f t="shared" si="43"/>
        <v>#REF!</v>
      </c>
      <c r="L186" s="58" t="e">
        <f t="shared" si="44"/>
        <v>#REF!</v>
      </c>
      <c r="M186" s="58"/>
      <c r="N186" s="73" t="e">
        <f>IF(F186="","",ROUND((('M&amp;R Stations'!#REF!+'M&amp;R Stations'!#REF!)-('NG Utilization'!C186+'NG Utilization'!D186+'NG Utilization'!E186)-'LNG Facilities'!#REF!)*ROUND(((('M&amp;R Stations'!#REF!*'M&amp;R Stations'!L175)+('M&amp;R Stations'!#REF!*'M&amp;R Stations'!F175))/1000)/('M&amp;R Stations'!#REF!+'M&amp;R Stations'!#REF!),3),0)+ROUND((('LNG Facilities'!F175*'LNG Facilities'!K175+'LNG Facilities'!G175*'LNG Facilities'!L175+'LNG Facilities'!H175*'LNG Facilities'!M175+'LNG Facilities'!R175*'LNG Facilities'!W175+'LNG Facilities'!S175*'LNG Facilities'!X175+'LNG Facilities'!T175*'LNG Facilities'!#REF!)/1000),0))</f>
        <v>#REF!</v>
      </c>
      <c r="O186" s="58" t="e">
        <f t="shared" si="45"/>
        <v>#REF!</v>
      </c>
      <c r="P186" s="58" t="e">
        <f t="shared" si="46"/>
        <v>#REF!</v>
      </c>
      <c r="Q186" s="58"/>
      <c r="R186" s="57" t="e">
        <f t="shared" si="42"/>
        <v>#REF!</v>
      </c>
      <c r="S186" s="58" t="e">
        <f t="shared" si="47"/>
        <v>#REF!</v>
      </c>
      <c r="T186" s="58" t="e">
        <f t="shared" si="48"/>
        <v>#REF!</v>
      </c>
      <c r="U186" s="59"/>
      <c r="V186" s="59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</row>
    <row r="187" spans="1:46" x14ac:dyDescent="0.25">
      <c r="A187" s="31">
        <f>'M&amp;R Stations'!A176</f>
        <v>39135</v>
      </c>
      <c r="B187" s="89"/>
      <c r="C187" s="227">
        <v>304122</v>
      </c>
      <c r="D187" s="225">
        <v>297881</v>
      </c>
      <c r="E187" s="185"/>
      <c r="F187" s="72" t="e">
        <f>IF('M&amp;R Stations'!#REF!="","",('M&amp;R Stations'!#REF!+'M&amp;R Stations'!#REF!)+('LNG Facilities'!F176+'LNG Facilities'!G176+'LNG Facilities'!H176+'LNG Facilities'!R176+'LNG Facilities'!S176+'LNG Facilities'!T176)-'LNG Facilities'!#REF!-('NG Utilization'!C187+'NG Utilization'!D187+'NG Utilization'!E187))</f>
        <v>#REF!</v>
      </c>
      <c r="G187" s="58" t="e">
        <f>IF('M&amp;R Stations'!#REF!="","",F187+G186)</f>
        <v>#REF!</v>
      </c>
      <c r="H187" s="58" t="e">
        <f>IF('M&amp;R Stations'!#REF!="","",F187+H186)</f>
        <v>#REF!</v>
      </c>
      <c r="I187" s="58"/>
      <c r="J187" s="57" t="e">
        <f t="shared" si="41"/>
        <v>#REF!</v>
      </c>
      <c r="K187" s="58" t="e">
        <f t="shared" si="43"/>
        <v>#REF!</v>
      </c>
      <c r="L187" s="58" t="e">
        <f t="shared" si="44"/>
        <v>#REF!</v>
      </c>
      <c r="M187" s="58"/>
      <c r="N187" s="73" t="e">
        <f>IF(F187="","",ROUND((('M&amp;R Stations'!#REF!+'M&amp;R Stations'!#REF!)-('NG Utilization'!C187+'NG Utilization'!D187+'NG Utilization'!E187)-'LNG Facilities'!#REF!)*ROUND(((('M&amp;R Stations'!#REF!*'M&amp;R Stations'!L176)+('M&amp;R Stations'!#REF!*'M&amp;R Stations'!F176))/1000)/('M&amp;R Stations'!#REF!+'M&amp;R Stations'!#REF!),3),0)+ROUND((('LNG Facilities'!F176*'LNG Facilities'!K176+'LNG Facilities'!G176*'LNG Facilities'!L176+'LNG Facilities'!H176*'LNG Facilities'!M176+'LNG Facilities'!R176*'LNG Facilities'!W176+'LNG Facilities'!S176*'LNG Facilities'!X176+'LNG Facilities'!T176*'LNG Facilities'!#REF!)/1000),0))</f>
        <v>#REF!</v>
      </c>
      <c r="O187" s="58" t="e">
        <f t="shared" si="45"/>
        <v>#REF!</v>
      </c>
      <c r="P187" s="58" t="e">
        <f t="shared" si="46"/>
        <v>#REF!</v>
      </c>
      <c r="Q187" s="58"/>
      <c r="R187" s="57" t="e">
        <f t="shared" si="42"/>
        <v>#REF!</v>
      </c>
      <c r="S187" s="58" t="e">
        <f t="shared" si="47"/>
        <v>#REF!</v>
      </c>
      <c r="T187" s="58" t="e">
        <f t="shared" si="48"/>
        <v>#REF!</v>
      </c>
      <c r="U187" s="59"/>
      <c r="V187" s="59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</row>
    <row r="188" spans="1:46" x14ac:dyDescent="0.25">
      <c r="A188" s="31">
        <f>'M&amp;R Stations'!A177</f>
        <v>39136</v>
      </c>
      <c r="B188" s="89"/>
      <c r="C188" s="227">
        <v>296496</v>
      </c>
      <c r="D188" s="225">
        <v>287820.40000000002</v>
      </c>
      <c r="E188" s="185"/>
      <c r="F188" s="72" t="e">
        <f>IF('M&amp;R Stations'!#REF!="","",('M&amp;R Stations'!#REF!+'M&amp;R Stations'!#REF!)+('LNG Facilities'!F177+'LNG Facilities'!G177+'LNG Facilities'!H177+'LNG Facilities'!R177+'LNG Facilities'!S177+'LNG Facilities'!T177)-'LNG Facilities'!#REF!-('NG Utilization'!C188+'NG Utilization'!D188+'NG Utilization'!E188))</f>
        <v>#REF!</v>
      </c>
      <c r="G188" s="58" t="e">
        <f>IF('M&amp;R Stations'!#REF!="","",F188+G187)</f>
        <v>#REF!</v>
      </c>
      <c r="H188" s="58" t="e">
        <f>IF('M&amp;R Stations'!#REF!="","",F188+H187)</f>
        <v>#REF!</v>
      </c>
      <c r="I188" s="58"/>
      <c r="J188" s="57" t="e">
        <f t="shared" si="41"/>
        <v>#REF!</v>
      </c>
      <c r="K188" s="58" t="e">
        <f t="shared" si="43"/>
        <v>#REF!</v>
      </c>
      <c r="L188" s="58" t="e">
        <f t="shared" si="44"/>
        <v>#REF!</v>
      </c>
      <c r="M188" s="58"/>
      <c r="N188" s="73" t="e">
        <f>IF(F188="","",ROUND((('M&amp;R Stations'!#REF!+'M&amp;R Stations'!#REF!)-('NG Utilization'!C188+'NG Utilization'!D188+'NG Utilization'!E188)-'LNG Facilities'!#REF!)*ROUND(((('M&amp;R Stations'!#REF!*'M&amp;R Stations'!L177)+('M&amp;R Stations'!#REF!*'M&amp;R Stations'!F177))/1000)/('M&amp;R Stations'!#REF!+'M&amp;R Stations'!#REF!),3),0)+ROUND((('LNG Facilities'!F177*'LNG Facilities'!K177+'LNG Facilities'!G177*'LNG Facilities'!L177+'LNG Facilities'!H177*'LNG Facilities'!M177+'LNG Facilities'!R177*'LNG Facilities'!W177+'LNG Facilities'!S177*'LNG Facilities'!X177+'LNG Facilities'!T177*'LNG Facilities'!#REF!)/1000),0))</f>
        <v>#REF!</v>
      </c>
      <c r="O188" s="58" t="e">
        <f t="shared" si="45"/>
        <v>#REF!</v>
      </c>
      <c r="P188" s="58" t="e">
        <f t="shared" si="46"/>
        <v>#REF!</v>
      </c>
      <c r="Q188" s="58"/>
      <c r="R188" s="57" t="e">
        <f t="shared" si="42"/>
        <v>#REF!</v>
      </c>
      <c r="S188" s="58" t="e">
        <f t="shared" si="47"/>
        <v>#REF!</v>
      </c>
      <c r="T188" s="58" t="e">
        <f t="shared" si="48"/>
        <v>#REF!</v>
      </c>
      <c r="U188" s="59"/>
      <c r="V188" s="59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</row>
    <row r="189" spans="1:46" x14ac:dyDescent="0.25">
      <c r="A189" s="31">
        <f>'M&amp;R Stations'!A178</f>
        <v>39137</v>
      </c>
      <c r="B189" s="89"/>
      <c r="C189" s="227">
        <v>348735</v>
      </c>
      <c r="D189" s="225">
        <v>267699.3</v>
      </c>
      <c r="E189" s="185"/>
      <c r="F189" s="72" t="e">
        <f>IF('M&amp;R Stations'!#REF!="","",('M&amp;R Stations'!#REF!+'M&amp;R Stations'!#REF!)+('LNG Facilities'!F178+'LNG Facilities'!G178+'LNG Facilities'!H178+'LNG Facilities'!R178+'LNG Facilities'!S178+'LNG Facilities'!T178)-'LNG Facilities'!#REF!-('NG Utilization'!C189+'NG Utilization'!D189+'NG Utilization'!E189))</f>
        <v>#REF!</v>
      </c>
      <c r="G189" s="58" t="e">
        <f>IF('M&amp;R Stations'!#REF!="","",F189+G188)</f>
        <v>#REF!</v>
      </c>
      <c r="H189" s="58" t="e">
        <f>IF('M&amp;R Stations'!#REF!="","",F189+H188)</f>
        <v>#REF!</v>
      </c>
      <c r="I189" s="58"/>
      <c r="J189" s="57" t="e">
        <f t="shared" si="41"/>
        <v>#REF!</v>
      </c>
      <c r="K189" s="58" t="e">
        <f t="shared" si="43"/>
        <v>#REF!</v>
      </c>
      <c r="L189" s="58" t="e">
        <f t="shared" si="44"/>
        <v>#REF!</v>
      </c>
      <c r="M189" s="58"/>
      <c r="N189" s="73" t="e">
        <f>IF(F189="","",ROUND((('M&amp;R Stations'!#REF!+'M&amp;R Stations'!#REF!)-('NG Utilization'!C189+'NG Utilization'!D189+'NG Utilization'!E189)-'LNG Facilities'!#REF!)*ROUND(((('M&amp;R Stations'!#REF!*'M&amp;R Stations'!L178)+('M&amp;R Stations'!#REF!*'M&amp;R Stations'!F178))/1000)/('M&amp;R Stations'!#REF!+'M&amp;R Stations'!#REF!),3),0)+ROUND((('LNG Facilities'!F178*'LNG Facilities'!K178+'LNG Facilities'!G178*'LNG Facilities'!L178+'LNG Facilities'!H178*'LNG Facilities'!M178+'LNG Facilities'!R178*'LNG Facilities'!W178+'LNG Facilities'!S178*'LNG Facilities'!X178+'LNG Facilities'!T178*'LNG Facilities'!#REF!)/1000),0))</f>
        <v>#REF!</v>
      </c>
      <c r="O189" s="58" t="e">
        <f t="shared" si="45"/>
        <v>#REF!</v>
      </c>
      <c r="P189" s="58" t="e">
        <f t="shared" si="46"/>
        <v>#REF!</v>
      </c>
      <c r="Q189" s="58"/>
      <c r="R189" s="57" t="e">
        <f t="shared" si="42"/>
        <v>#REF!</v>
      </c>
      <c r="S189" s="58" t="e">
        <f t="shared" si="47"/>
        <v>#REF!</v>
      </c>
      <c r="T189" s="58" t="e">
        <f t="shared" si="48"/>
        <v>#REF!</v>
      </c>
      <c r="U189" s="59"/>
      <c r="V189" s="59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</row>
    <row r="190" spans="1:46" x14ac:dyDescent="0.25">
      <c r="A190" s="31">
        <f>'M&amp;R Stations'!A179</f>
        <v>39138</v>
      </c>
      <c r="B190" s="89"/>
      <c r="C190" s="227">
        <v>315878</v>
      </c>
      <c r="D190" s="225">
        <v>257638.8</v>
      </c>
      <c r="E190" s="185"/>
      <c r="F190" s="72" t="e">
        <f>IF('M&amp;R Stations'!#REF!="","",('M&amp;R Stations'!#REF!+'M&amp;R Stations'!#REF!)+('LNG Facilities'!F179+'LNG Facilities'!G179+'LNG Facilities'!H179+'LNG Facilities'!R179+'LNG Facilities'!S179+'LNG Facilities'!T179)-'LNG Facilities'!#REF!-('NG Utilization'!C190+'NG Utilization'!D190+'NG Utilization'!E190))</f>
        <v>#REF!</v>
      </c>
      <c r="G190" s="58" t="e">
        <f>IF('M&amp;R Stations'!#REF!="","",F190+G189)</f>
        <v>#REF!</v>
      </c>
      <c r="H190" s="58" t="e">
        <f>IF('M&amp;R Stations'!#REF!="","",F190+H189)</f>
        <v>#REF!</v>
      </c>
      <c r="I190" s="58"/>
      <c r="J190" s="57" t="e">
        <f t="shared" si="41"/>
        <v>#REF!</v>
      </c>
      <c r="K190" s="58" t="e">
        <f t="shared" si="43"/>
        <v>#REF!</v>
      </c>
      <c r="L190" s="58" t="e">
        <f t="shared" si="44"/>
        <v>#REF!</v>
      </c>
      <c r="M190" s="58"/>
      <c r="N190" s="73" t="e">
        <f>IF(F190="","",ROUND((('M&amp;R Stations'!#REF!+'M&amp;R Stations'!#REF!)-('NG Utilization'!C190+'NG Utilization'!D190+'NG Utilization'!E190)-'LNG Facilities'!#REF!)*ROUND(((('M&amp;R Stations'!#REF!*'M&amp;R Stations'!L179)+('M&amp;R Stations'!#REF!*'M&amp;R Stations'!F179))/1000)/('M&amp;R Stations'!#REF!+'M&amp;R Stations'!#REF!),3),0)+ROUND((('LNG Facilities'!F179*'LNG Facilities'!K179+'LNG Facilities'!G179*'LNG Facilities'!L179+'LNG Facilities'!H179*'LNG Facilities'!M179+'LNG Facilities'!R179*'LNG Facilities'!W179+'LNG Facilities'!S179*'LNG Facilities'!X179+'LNG Facilities'!T179*'LNG Facilities'!#REF!)/1000),0))</f>
        <v>#REF!</v>
      </c>
      <c r="O190" s="58" t="e">
        <f t="shared" si="45"/>
        <v>#REF!</v>
      </c>
      <c r="P190" s="58" t="e">
        <f t="shared" si="46"/>
        <v>#REF!</v>
      </c>
      <c r="Q190" s="58"/>
      <c r="R190" s="57" t="e">
        <f t="shared" si="42"/>
        <v>#REF!</v>
      </c>
      <c r="S190" s="58" t="e">
        <f t="shared" si="47"/>
        <v>#REF!</v>
      </c>
      <c r="T190" s="58" t="e">
        <f t="shared" si="48"/>
        <v>#REF!</v>
      </c>
      <c r="U190" s="59"/>
      <c r="V190" s="59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</row>
    <row r="191" spans="1:46" x14ac:dyDescent="0.25">
      <c r="A191" s="31">
        <f>'M&amp;R Stations'!A180</f>
        <v>39139</v>
      </c>
      <c r="B191" s="89"/>
      <c r="C191" s="227">
        <v>424631</v>
      </c>
      <c r="D191" s="225">
        <v>247578.3</v>
      </c>
      <c r="E191" s="185"/>
      <c r="F191" s="72" t="e">
        <f>IF('M&amp;R Stations'!#REF!="","",('M&amp;R Stations'!#REF!+'M&amp;R Stations'!#REF!)+('LNG Facilities'!F180+'LNG Facilities'!G180+'LNG Facilities'!H180+'LNG Facilities'!R180+'LNG Facilities'!S180+'LNG Facilities'!T180)-'LNG Facilities'!#REF!-('NG Utilization'!C191+'NG Utilization'!D191+'NG Utilization'!E191))</f>
        <v>#REF!</v>
      </c>
      <c r="G191" s="58" t="e">
        <f>IF('M&amp;R Stations'!#REF!="","",F191+G190)</f>
        <v>#REF!</v>
      </c>
      <c r="H191" s="58" t="e">
        <f>IF('M&amp;R Stations'!#REF!="","",F191+H190)</f>
        <v>#REF!</v>
      </c>
      <c r="I191" s="58"/>
      <c r="J191" s="57" t="e">
        <f t="shared" si="41"/>
        <v>#REF!</v>
      </c>
      <c r="K191" s="58" t="e">
        <f t="shared" si="43"/>
        <v>#REF!</v>
      </c>
      <c r="L191" s="58" t="e">
        <f t="shared" si="44"/>
        <v>#REF!</v>
      </c>
      <c r="M191" s="58"/>
      <c r="N191" s="73" t="e">
        <f>IF(F191="","",ROUND((('M&amp;R Stations'!#REF!+'M&amp;R Stations'!#REF!)-('NG Utilization'!C191+'NG Utilization'!D191+'NG Utilization'!E191)-'LNG Facilities'!#REF!)*ROUND(((('M&amp;R Stations'!#REF!*'M&amp;R Stations'!L180)+('M&amp;R Stations'!#REF!*'M&amp;R Stations'!F180))/1000)/('M&amp;R Stations'!#REF!+'M&amp;R Stations'!#REF!),3),0)+ROUND((('LNG Facilities'!F180*'LNG Facilities'!K180+'LNG Facilities'!G180*'LNG Facilities'!L180+'LNG Facilities'!H180*'LNG Facilities'!M180+'LNG Facilities'!R180*'LNG Facilities'!W180+'LNG Facilities'!S180*'LNG Facilities'!X180+'LNG Facilities'!T180*'LNG Facilities'!#REF!)/1000),0))</f>
        <v>#REF!</v>
      </c>
      <c r="O191" s="58" t="e">
        <f t="shared" si="45"/>
        <v>#REF!</v>
      </c>
      <c r="P191" s="58" t="e">
        <f t="shared" si="46"/>
        <v>#REF!</v>
      </c>
      <c r="Q191" s="58"/>
      <c r="R191" s="57" t="e">
        <f t="shared" si="42"/>
        <v>#REF!</v>
      </c>
      <c r="S191" s="58" t="e">
        <f t="shared" si="47"/>
        <v>#REF!</v>
      </c>
      <c r="T191" s="58" t="e">
        <f t="shared" si="48"/>
        <v>#REF!</v>
      </c>
      <c r="U191" s="59"/>
      <c r="V191" s="59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</row>
    <row r="192" spans="1:46" x14ac:dyDescent="0.25">
      <c r="A192" s="31">
        <f>'M&amp;R Stations'!A181</f>
        <v>39140</v>
      </c>
      <c r="B192" s="89"/>
      <c r="C192" s="227">
        <v>411228</v>
      </c>
      <c r="D192" s="225">
        <v>217396.6</v>
      </c>
      <c r="E192" s="185"/>
      <c r="F192" s="72" t="e">
        <f>IF('M&amp;R Stations'!#REF!="","",('M&amp;R Stations'!#REF!+'M&amp;R Stations'!#REF!)+('LNG Facilities'!F181+'LNG Facilities'!G181+'LNG Facilities'!H181+'LNG Facilities'!R181+'LNG Facilities'!S181+'LNG Facilities'!T181)-'LNG Facilities'!#REF!-('NG Utilization'!C192+'NG Utilization'!D192+'NG Utilization'!E192))</f>
        <v>#REF!</v>
      </c>
      <c r="G192" s="58" t="e">
        <f>IF('M&amp;R Stations'!#REF!="","",F192+G191)</f>
        <v>#REF!</v>
      </c>
      <c r="H192" s="58" t="e">
        <f>IF('M&amp;R Stations'!#REF!="","",F192+H191)</f>
        <v>#REF!</v>
      </c>
      <c r="I192" s="58"/>
      <c r="J192" s="57" t="e">
        <f t="shared" si="41"/>
        <v>#REF!</v>
      </c>
      <c r="K192" s="58" t="e">
        <f t="shared" si="43"/>
        <v>#REF!</v>
      </c>
      <c r="L192" s="58" t="e">
        <f t="shared" si="44"/>
        <v>#REF!</v>
      </c>
      <c r="M192" s="58"/>
      <c r="N192" s="73" t="e">
        <f>IF(F192="","",ROUND((('M&amp;R Stations'!#REF!+'M&amp;R Stations'!#REF!)-('NG Utilization'!C192+'NG Utilization'!D192+'NG Utilization'!E192)-'LNG Facilities'!#REF!)*ROUND(((('M&amp;R Stations'!#REF!*'M&amp;R Stations'!L181)+('M&amp;R Stations'!#REF!*'M&amp;R Stations'!F181))/1000)/('M&amp;R Stations'!#REF!+'M&amp;R Stations'!#REF!),3),0)+ROUND((('LNG Facilities'!F181*'LNG Facilities'!K181+'LNG Facilities'!G181*'LNG Facilities'!L181+'LNG Facilities'!H181*'LNG Facilities'!M181+'LNG Facilities'!R181*'LNG Facilities'!W181+'LNG Facilities'!S181*'LNG Facilities'!X181+'LNG Facilities'!T181*'LNG Facilities'!#REF!)/1000),0))</f>
        <v>#REF!</v>
      </c>
      <c r="O192" s="58" t="e">
        <f t="shared" si="45"/>
        <v>#REF!</v>
      </c>
      <c r="P192" s="58" t="e">
        <f t="shared" si="46"/>
        <v>#REF!</v>
      </c>
      <c r="Q192" s="58"/>
      <c r="R192" s="57" t="e">
        <f t="shared" si="42"/>
        <v>#REF!</v>
      </c>
      <c r="S192" s="58" t="e">
        <f t="shared" si="47"/>
        <v>#REF!</v>
      </c>
      <c r="T192" s="58" t="e">
        <f t="shared" si="48"/>
        <v>#REF!</v>
      </c>
      <c r="U192" s="59"/>
      <c r="V192" s="59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</row>
    <row r="193" spans="1:46" x14ac:dyDescent="0.25">
      <c r="A193" s="31">
        <f>'M&amp;R Stations'!A182</f>
        <v>39141</v>
      </c>
      <c r="B193" s="89"/>
      <c r="C193" s="227">
        <v>366605</v>
      </c>
      <c r="D193" s="225">
        <v>167093.9</v>
      </c>
      <c r="E193" s="185"/>
      <c r="F193" s="72" t="e">
        <f>IF('M&amp;R Stations'!#REF!="","",('M&amp;R Stations'!#REF!+'M&amp;R Stations'!#REF!)+('LNG Facilities'!F182+'LNG Facilities'!G182+'LNG Facilities'!H182+'LNG Facilities'!R182+'LNG Facilities'!S182+'LNG Facilities'!T182)-'LNG Facilities'!#REF!-('NG Utilization'!C193+'NG Utilization'!D193+'NG Utilization'!E193))</f>
        <v>#REF!</v>
      </c>
      <c r="G193" s="58" t="e">
        <f>IF('M&amp;R Stations'!#REF!="","",F193+G192)</f>
        <v>#REF!</v>
      </c>
      <c r="H193" s="58" t="e">
        <f>IF('M&amp;R Stations'!#REF!="","",F193+H192)</f>
        <v>#REF!</v>
      </c>
      <c r="I193" s="58"/>
      <c r="J193" s="57" t="e">
        <f t="shared" si="41"/>
        <v>#REF!</v>
      </c>
      <c r="K193" s="58" t="e">
        <f t="shared" si="43"/>
        <v>#REF!</v>
      </c>
      <c r="L193" s="58" t="e">
        <f t="shared" si="44"/>
        <v>#REF!</v>
      </c>
      <c r="M193" s="58"/>
      <c r="N193" s="73" t="e">
        <f>IF(F193="","",ROUND((('M&amp;R Stations'!#REF!+'M&amp;R Stations'!#REF!)-('NG Utilization'!C193+'NG Utilization'!D193+'NG Utilization'!E193)-'LNG Facilities'!#REF!)*ROUND(((('M&amp;R Stations'!#REF!*'M&amp;R Stations'!L182)+('M&amp;R Stations'!#REF!*'M&amp;R Stations'!F182))/1000)/('M&amp;R Stations'!#REF!+'M&amp;R Stations'!#REF!),3),0)+ROUND((('LNG Facilities'!F182*'LNG Facilities'!K182+'LNG Facilities'!G182*'LNG Facilities'!L182+'LNG Facilities'!H182*'LNG Facilities'!M182+'LNG Facilities'!R182*'LNG Facilities'!W182+'LNG Facilities'!S182*'LNG Facilities'!X182+'LNG Facilities'!T182*'LNG Facilities'!#REF!)/1000),0))</f>
        <v>#REF!</v>
      </c>
      <c r="O193" s="58" t="e">
        <f t="shared" si="45"/>
        <v>#REF!</v>
      </c>
      <c r="P193" s="58" t="e">
        <f t="shared" si="46"/>
        <v>#REF!</v>
      </c>
      <c r="Q193" s="58"/>
      <c r="R193" s="57" t="e">
        <f t="shared" si="42"/>
        <v>#REF!</v>
      </c>
      <c r="S193" s="58" t="e">
        <f t="shared" si="47"/>
        <v>#REF!</v>
      </c>
      <c r="T193" s="58" t="e">
        <f t="shared" si="48"/>
        <v>#REF!</v>
      </c>
      <c r="U193" s="59"/>
      <c r="V193" s="59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</row>
    <row r="194" spans="1:46" x14ac:dyDescent="0.25">
      <c r="A194" s="210"/>
      <c r="B194" s="89"/>
      <c r="C194" s="227"/>
      <c r="D194" s="225"/>
      <c r="E194" s="185"/>
      <c r="F194" s="72"/>
      <c r="G194" s="58" t="str">
        <f>IF(F194="","",F194+G193)</f>
        <v/>
      </c>
      <c r="H194" s="58" t="str">
        <f>IF(F194="","",F194+H193)</f>
        <v/>
      </c>
      <c r="I194" s="58"/>
      <c r="J194" s="57" t="str">
        <f t="shared" si="41"/>
        <v/>
      </c>
      <c r="K194" s="58" t="str">
        <f>IF(J194="","",J194+K193)</f>
        <v/>
      </c>
      <c r="L194" s="58" t="str">
        <f>IF(J194="","",J194+L193)</f>
        <v/>
      </c>
      <c r="M194" s="58"/>
      <c r="N194" s="73" t="str">
        <f>IF(F194="","",ROUND((('M&amp;R Stations'!#REF!+'M&amp;R Stations'!#REF!)-('NG Utilization'!C194+'NG Utilization'!D194+'NG Utilization'!E194)-'LNG Facilities'!#REF!)*ROUND(((('M&amp;R Stations'!#REF!*'M&amp;R Stations'!#REF!)+('M&amp;R Stations'!#REF!*'M&amp;R Stations'!#REF!))/1000)/('M&amp;R Stations'!#REF!+'M&amp;R Stations'!#REF!),3),0)+ROUND((('LNG Facilities'!#REF!*'LNG Facilities'!#REF!+'LNG Facilities'!#REF!*'LNG Facilities'!#REF!+'LNG Facilities'!#REF!*'LNG Facilities'!#REF!+'LNG Facilities'!#REF!*'LNG Facilities'!#REF!+'LNG Facilities'!#REF!*'LNG Facilities'!#REF!+'LNG Facilities'!#REF!*'LNG Facilities'!#REF!)/1000),0))</f>
        <v/>
      </c>
      <c r="O194" s="58" t="str">
        <f>IF(N194="","",N194+O193)</f>
        <v/>
      </c>
      <c r="P194" s="58" t="str">
        <f>IF(N194="","",N194+P193)</f>
        <v/>
      </c>
      <c r="Q194" s="58"/>
      <c r="R194" s="57" t="str">
        <f t="shared" si="42"/>
        <v/>
      </c>
      <c r="S194" s="58" t="str">
        <f>IF(R194="","",R194+S193)</f>
        <v/>
      </c>
      <c r="T194" s="58" t="str">
        <f>IF(R194="","",R194+T193)</f>
        <v/>
      </c>
      <c r="U194" s="59"/>
      <c r="V194" s="59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</row>
    <row r="195" spans="1:46" x14ac:dyDescent="0.25">
      <c r="A195" s="179"/>
      <c r="B195" s="178"/>
      <c r="C195" s="178"/>
      <c r="D195" s="178"/>
      <c r="E195" s="187"/>
      <c r="F195" s="180"/>
      <c r="G195" s="181"/>
      <c r="H195" s="181"/>
      <c r="I195" s="181"/>
      <c r="J195" s="182"/>
      <c r="K195" s="181"/>
      <c r="L195" s="181"/>
      <c r="M195" s="181"/>
      <c r="N195" s="183"/>
      <c r="O195" s="181"/>
      <c r="P195" s="181"/>
      <c r="Q195" s="181"/>
      <c r="R195" s="182"/>
      <c r="S195" s="181"/>
      <c r="T195" s="181"/>
      <c r="U195" s="59"/>
      <c r="V195" s="59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</row>
    <row r="196" spans="1:46" x14ac:dyDescent="0.25">
      <c r="A196" s="31">
        <f>'M&amp;R Stations'!A183</f>
        <v>39142</v>
      </c>
      <c r="B196" s="89"/>
      <c r="C196" s="227">
        <v>311867</v>
      </c>
      <c r="D196" s="225">
        <v>192479</v>
      </c>
      <c r="E196" s="185"/>
      <c r="F196" s="72" t="e">
        <f>IF('M&amp;R Stations'!#REF!="","",('M&amp;R Stations'!#REF!+'M&amp;R Stations'!#REF!)+('LNG Facilities'!F183+'LNG Facilities'!G183+'LNG Facilities'!H183+'LNG Facilities'!R183+'LNG Facilities'!S183+'LNG Facilities'!T183)-'LNG Facilities'!#REF!-('NG Utilization'!C196+'NG Utilization'!D196+'NG Utilization'!E196))</f>
        <v>#REF!</v>
      </c>
      <c r="G196" s="58" t="e">
        <f>IF('M&amp;R Stations'!#REF!="","",F196)</f>
        <v>#REF!</v>
      </c>
      <c r="H196" s="58" t="e">
        <f>IF('M&amp;R Stations'!#REF!="","",F196+H193)</f>
        <v>#REF!</v>
      </c>
      <c r="I196" s="58"/>
      <c r="J196" s="57" t="e">
        <f t="shared" ref="J196:J226" si="49">IF(F196="","",C196)</f>
        <v>#REF!</v>
      </c>
      <c r="K196" s="58" t="e">
        <f>IF(J196="","",J196)</f>
        <v>#REF!</v>
      </c>
      <c r="L196" s="58" t="e">
        <f>IF(J196="","",J196+L193)</f>
        <v>#REF!</v>
      </c>
      <c r="M196" s="58"/>
      <c r="N196" s="73" t="e">
        <f>IF(F196="","",ROUND((('M&amp;R Stations'!#REF!+'M&amp;R Stations'!#REF!)-('NG Utilization'!C196+'NG Utilization'!D196+'NG Utilization'!E196)-'LNG Facilities'!#REF!)*ROUND(((('M&amp;R Stations'!#REF!*'M&amp;R Stations'!L183)+('M&amp;R Stations'!#REF!*'M&amp;R Stations'!F183))/1000)/('M&amp;R Stations'!#REF!+'M&amp;R Stations'!#REF!),3),0)+ROUND((('LNG Facilities'!F183*'LNG Facilities'!K183+'LNG Facilities'!G183*'LNG Facilities'!L183+'LNG Facilities'!H183*'LNG Facilities'!M183+'LNG Facilities'!R183*'LNG Facilities'!W183+'LNG Facilities'!S183*'LNG Facilities'!X183+'LNG Facilities'!T183*'LNG Facilities'!#REF!)/1000),0))</f>
        <v>#REF!</v>
      </c>
      <c r="O196" s="58" t="e">
        <f>IF(N196="","",N196)</f>
        <v>#REF!</v>
      </c>
      <c r="P196" s="58" t="e">
        <f>IF(N196="","",N196+P193)</f>
        <v>#REF!</v>
      </c>
      <c r="Q196" s="58"/>
      <c r="R196" s="57" t="e">
        <f t="shared" ref="R196:R226" si="50">IF(F196="","",D196)</f>
        <v>#REF!</v>
      </c>
      <c r="S196" s="58" t="e">
        <f>IF(R196="","",R196)</f>
        <v>#REF!</v>
      </c>
      <c r="T196" s="58" t="e">
        <f>IF(R196="","",R196+T193)</f>
        <v>#REF!</v>
      </c>
      <c r="U196" s="59"/>
      <c r="V196" s="59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</row>
    <row r="197" spans="1:46" x14ac:dyDescent="0.25">
      <c r="A197" s="31">
        <f>'M&amp;R Stations'!A184</f>
        <v>39143</v>
      </c>
      <c r="B197" s="89"/>
      <c r="C197" s="227">
        <v>369672</v>
      </c>
      <c r="D197" s="225">
        <v>182744.7</v>
      </c>
      <c r="E197" s="185"/>
      <c r="F197" s="72" t="e">
        <f>IF('M&amp;R Stations'!#REF!="","",('M&amp;R Stations'!#REF!+'M&amp;R Stations'!#REF!)+('LNG Facilities'!F184+'LNG Facilities'!G184+'LNG Facilities'!H184+'LNG Facilities'!R184+'LNG Facilities'!S184+'LNG Facilities'!T184)-'LNG Facilities'!#REF!-('NG Utilization'!C197+'NG Utilization'!D197+'NG Utilization'!E197))</f>
        <v>#REF!</v>
      </c>
      <c r="G197" s="58" t="e">
        <f>IF('M&amp;R Stations'!#REF!="","",F197+G196)</f>
        <v>#REF!</v>
      </c>
      <c r="H197" s="58" t="e">
        <f>IF('M&amp;R Stations'!#REF!="","",F197+H196)</f>
        <v>#REF!</v>
      </c>
      <c r="I197" s="58"/>
      <c r="J197" s="57" t="e">
        <f t="shared" si="49"/>
        <v>#REF!</v>
      </c>
      <c r="K197" s="58" t="e">
        <f t="shared" ref="K197:K225" si="51">IF(J197="","",J197+K196)</f>
        <v>#REF!</v>
      </c>
      <c r="L197" s="58" t="e">
        <f t="shared" ref="L197:L225" si="52">IF(J197="","",J197+L196)</f>
        <v>#REF!</v>
      </c>
      <c r="M197" s="58"/>
      <c r="N197" s="73" t="e">
        <f>IF(F197="","",ROUND((('M&amp;R Stations'!#REF!+'M&amp;R Stations'!#REF!)-('NG Utilization'!C197+'NG Utilization'!D197+'NG Utilization'!E197)-'LNG Facilities'!#REF!)*ROUND(((('M&amp;R Stations'!#REF!*'M&amp;R Stations'!L184)+('M&amp;R Stations'!#REF!*'M&amp;R Stations'!F184))/1000)/('M&amp;R Stations'!#REF!+'M&amp;R Stations'!#REF!),3),0)+ROUND((('LNG Facilities'!F184*'LNG Facilities'!K184+'LNG Facilities'!G184*'LNG Facilities'!L184+'LNG Facilities'!H184*'LNG Facilities'!M184+'LNG Facilities'!R184*'LNG Facilities'!W184+'LNG Facilities'!S184*'LNG Facilities'!X184+'LNG Facilities'!T184*'LNG Facilities'!#REF!)/1000),0))</f>
        <v>#REF!</v>
      </c>
      <c r="O197" s="58" t="e">
        <f t="shared" ref="O197:O225" si="53">IF(N197="","",N197+O196)</f>
        <v>#REF!</v>
      </c>
      <c r="P197" s="58" t="e">
        <f t="shared" ref="P197:P225" si="54">IF(N197="","",N197+P196)</f>
        <v>#REF!</v>
      </c>
      <c r="Q197" s="58"/>
      <c r="R197" s="57" t="e">
        <f t="shared" si="50"/>
        <v>#REF!</v>
      </c>
      <c r="S197" s="58" t="e">
        <f t="shared" ref="S197:S225" si="55">IF(R197="","",R197+S196)</f>
        <v>#REF!</v>
      </c>
      <c r="T197" s="58" t="e">
        <f t="shared" ref="T197:T225" si="56">IF(R197="","",R197+T196)</f>
        <v>#REF!</v>
      </c>
      <c r="U197" s="59"/>
      <c r="V197" s="59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</row>
    <row r="198" spans="1:46" x14ac:dyDescent="0.25">
      <c r="A198" s="31">
        <f>'M&amp;R Stations'!A185</f>
        <v>39144</v>
      </c>
      <c r="B198" s="89"/>
      <c r="C198" s="227">
        <v>392906</v>
      </c>
      <c r="D198" s="225">
        <v>221682.9</v>
      </c>
      <c r="E198" s="185"/>
      <c r="F198" s="72" t="e">
        <f>IF('M&amp;R Stations'!#REF!="","",('M&amp;R Stations'!#REF!+'M&amp;R Stations'!#REF!)+('LNG Facilities'!F185+'LNG Facilities'!G185+'LNG Facilities'!H185+'LNG Facilities'!R185+'LNG Facilities'!S185+'LNG Facilities'!T185)-'LNG Facilities'!#REF!-('NG Utilization'!C198+'NG Utilization'!D198+'NG Utilization'!E198))</f>
        <v>#REF!</v>
      </c>
      <c r="G198" s="58" t="e">
        <f>IF('M&amp;R Stations'!#REF!="","",F198+G197)</f>
        <v>#REF!</v>
      </c>
      <c r="H198" s="58" t="e">
        <f>IF('M&amp;R Stations'!#REF!="","",F198+H197)</f>
        <v>#REF!</v>
      </c>
      <c r="I198" s="58"/>
      <c r="J198" s="57" t="e">
        <f t="shared" si="49"/>
        <v>#REF!</v>
      </c>
      <c r="K198" s="58" t="e">
        <f t="shared" si="51"/>
        <v>#REF!</v>
      </c>
      <c r="L198" s="58" t="e">
        <f t="shared" si="52"/>
        <v>#REF!</v>
      </c>
      <c r="M198" s="58"/>
      <c r="N198" s="73" t="e">
        <f>IF(F198="","",ROUND((('M&amp;R Stations'!#REF!+'M&amp;R Stations'!#REF!)-('NG Utilization'!C198+'NG Utilization'!D198+'NG Utilization'!E198)-'LNG Facilities'!#REF!)*ROUND(((('M&amp;R Stations'!#REF!*'M&amp;R Stations'!L185)+('M&amp;R Stations'!#REF!*'M&amp;R Stations'!F185))/1000)/('M&amp;R Stations'!#REF!+'M&amp;R Stations'!#REF!),3),0)+ROUND((('LNG Facilities'!F185*'LNG Facilities'!K185+'LNG Facilities'!G185*'LNG Facilities'!L185+'LNG Facilities'!H185*'LNG Facilities'!M185+'LNG Facilities'!R185*'LNG Facilities'!W185+'LNG Facilities'!S185*'LNG Facilities'!X185+'LNG Facilities'!T185*'LNG Facilities'!#REF!)/1000),0))</f>
        <v>#REF!</v>
      </c>
      <c r="O198" s="58" t="e">
        <f t="shared" si="53"/>
        <v>#REF!</v>
      </c>
      <c r="P198" s="58" t="e">
        <f t="shared" si="54"/>
        <v>#REF!</v>
      </c>
      <c r="Q198" s="58"/>
      <c r="R198" s="57" t="e">
        <f t="shared" si="50"/>
        <v>#REF!</v>
      </c>
      <c r="S198" s="58" t="e">
        <f t="shared" si="55"/>
        <v>#REF!</v>
      </c>
      <c r="T198" s="58" t="e">
        <f t="shared" si="56"/>
        <v>#REF!</v>
      </c>
      <c r="U198" s="59"/>
      <c r="V198" s="59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</row>
    <row r="199" spans="1:46" x14ac:dyDescent="0.25">
      <c r="A199" s="31">
        <f>'M&amp;R Stations'!A186</f>
        <v>39145</v>
      </c>
      <c r="B199" s="89"/>
      <c r="C199" s="227">
        <v>337720</v>
      </c>
      <c r="D199" s="225">
        <v>319028.59999999998</v>
      </c>
      <c r="E199" s="185"/>
      <c r="F199" s="72" t="e">
        <f>IF('M&amp;R Stations'!#REF!="","",('M&amp;R Stations'!#REF!+'M&amp;R Stations'!#REF!)+('LNG Facilities'!F186+'LNG Facilities'!G186+'LNG Facilities'!H186+'LNG Facilities'!R186+'LNG Facilities'!S186+'LNG Facilities'!T186)-'LNG Facilities'!#REF!-('NG Utilization'!C199+'NG Utilization'!D199+'NG Utilization'!E199))</f>
        <v>#REF!</v>
      </c>
      <c r="G199" s="58" t="e">
        <f>IF('M&amp;R Stations'!#REF!="","",F199+G198)</f>
        <v>#REF!</v>
      </c>
      <c r="H199" s="58" t="e">
        <f>IF('M&amp;R Stations'!#REF!="","",F199+H198)</f>
        <v>#REF!</v>
      </c>
      <c r="I199" s="58"/>
      <c r="J199" s="57" t="e">
        <f t="shared" si="49"/>
        <v>#REF!</v>
      </c>
      <c r="K199" s="58" t="e">
        <f t="shared" si="51"/>
        <v>#REF!</v>
      </c>
      <c r="L199" s="58" t="e">
        <f t="shared" si="52"/>
        <v>#REF!</v>
      </c>
      <c r="M199" s="58"/>
      <c r="N199" s="73" t="e">
        <f>IF(F199="","",ROUND((('M&amp;R Stations'!#REF!+'M&amp;R Stations'!#REF!)-('NG Utilization'!C199+'NG Utilization'!D199+'NG Utilization'!E199)-'LNG Facilities'!#REF!)*ROUND(((('M&amp;R Stations'!#REF!*'M&amp;R Stations'!L186)+('M&amp;R Stations'!#REF!*'M&amp;R Stations'!F186))/1000)/('M&amp;R Stations'!#REF!+'M&amp;R Stations'!#REF!),3),0)+ROUND((('LNG Facilities'!F186*'LNG Facilities'!K186+'LNG Facilities'!G186*'LNG Facilities'!L186+'LNG Facilities'!H186*'LNG Facilities'!M186+'LNG Facilities'!R186*'LNG Facilities'!W186+'LNG Facilities'!S186*'LNG Facilities'!X186+'LNG Facilities'!T186*'LNG Facilities'!#REF!)/1000),0))</f>
        <v>#REF!</v>
      </c>
      <c r="O199" s="58" t="e">
        <f t="shared" si="53"/>
        <v>#REF!</v>
      </c>
      <c r="P199" s="58" t="e">
        <f t="shared" si="54"/>
        <v>#REF!</v>
      </c>
      <c r="Q199" s="58"/>
      <c r="R199" s="57" t="e">
        <f t="shared" si="50"/>
        <v>#REF!</v>
      </c>
      <c r="S199" s="58" t="e">
        <f t="shared" si="55"/>
        <v>#REF!</v>
      </c>
      <c r="T199" s="58" t="e">
        <f t="shared" si="56"/>
        <v>#REF!</v>
      </c>
      <c r="U199" s="59"/>
      <c r="V199" s="59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</row>
    <row r="200" spans="1:46" x14ac:dyDescent="0.25">
      <c r="A200" s="31">
        <f>'M&amp;R Stations'!A187</f>
        <v>39146</v>
      </c>
      <c r="B200" s="89"/>
      <c r="C200" s="227">
        <v>296293</v>
      </c>
      <c r="D200" s="225">
        <v>348232</v>
      </c>
      <c r="E200" s="185"/>
      <c r="F200" s="72" t="e">
        <f>IF('M&amp;R Stations'!#REF!="","",('M&amp;R Stations'!#REF!+'M&amp;R Stations'!#REF!)+('LNG Facilities'!F187+'LNG Facilities'!G187+'LNG Facilities'!H187+'LNG Facilities'!R187+'LNG Facilities'!S187+'LNG Facilities'!T187)-'LNG Facilities'!#REF!-('NG Utilization'!C200+'NG Utilization'!D200+'NG Utilization'!E200))</f>
        <v>#REF!</v>
      </c>
      <c r="G200" s="58" t="e">
        <f>IF('M&amp;R Stations'!#REF!="","",F200+G199)</f>
        <v>#REF!</v>
      </c>
      <c r="H200" s="58" t="e">
        <f>IF('M&amp;R Stations'!#REF!="","",F200+H199)</f>
        <v>#REF!</v>
      </c>
      <c r="I200" s="58"/>
      <c r="J200" s="57" t="e">
        <f t="shared" si="49"/>
        <v>#REF!</v>
      </c>
      <c r="K200" s="58" t="e">
        <f t="shared" si="51"/>
        <v>#REF!</v>
      </c>
      <c r="L200" s="58" t="e">
        <f t="shared" si="52"/>
        <v>#REF!</v>
      </c>
      <c r="M200" s="58"/>
      <c r="N200" s="73" t="e">
        <f>IF(F200="","",ROUND((('M&amp;R Stations'!#REF!+'M&amp;R Stations'!#REF!)-('NG Utilization'!C200+'NG Utilization'!D200+'NG Utilization'!E200)-'LNG Facilities'!#REF!)*ROUND(((('M&amp;R Stations'!#REF!*'M&amp;R Stations'!L187)+('M&amp;R Stations'!#REF!*'M&amp;R Stations'!F187))/1000)/('M&amp;R Stations'!#REF!+'M&amp;R Stations'!#REF!),3),0)+ROUND((('LNG Facilities'!F187*'LNG Facilities'!K187+'LNG Facilities'!G187*'LNG Facilities'!L187+'LNG Facilities'!H187*'LNG Facilities'!M187+'LNG Facilities'!R187*'LNG Facilities'!W187+'LNG Facilities'!S187*'LNG Facilities'!X187+'LNG Facilities'!T187*'LNG Facilities'!#REF!)/1000),0))</f>
        <v>#REF!</v>
      </c>
      <c r="O200" s="58" t="e">
        <f t="shared" si="53"/>
        <v>#REF!</v>
      </c>
      <c r="P200" s="58" t="e">
        <f t="shared" si="54"/>
        <v>#REF!</v>
      </c>
      <c r="Q200" s="58"/>
      <c r="R200" s="57" t="e">
        <f t="shared" si="50"/>
        <v>#REF!</v>
      </c>
      <c r="S200" s="58" t="e">
        <f t="shared" si="55"/>
        <v>#REF!</v>
      </c>
      <c r="T200" s="58" t="e">
        <f t="shared" si="56"/>
        <v>#REF!</v>
      </c>
      <c r="U200" s="59"/>
      <c r="V200" s="59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</row>
    <row r="201" spans="1:46" x14ac:dyDescent="0.25">
      <c r="A201" s="31">
        <f>'M&amp;R Stations'!A188</f>
        <v>39147</v>
      </c>
      <c r="B201" s="89"/>
      <c r="C201" s="227">
        <v>286836</v>
      </c>
      <c r="D201" s="225">
        <v>426108.8</v>
      </c>
      <c r="E201" s="185"/>
      <c r="F201" s="72" t="e">
        <f>IF('M&amp;R Stations'!#REF!="","",('M&amp;R Stations'!#REF!+'M&amp;R Stations'!#REF!)+('LNG Facilities'!F188+'LNG Facilities'!G188+'LNG Facilities'!H188+'LNG Facilities'!R188+'LNG Facilities'!S188+'LNG Facilities'!T188)-'LNG Facilities'!#REF!-('NG Utilization'!C201+'NG Utilization'!D201+'NG Utilization'!E201))</f>
        <v>#REF!</v>
      </c>
      <c r="G201" s="58" t="e">
        <f>IF('M&amp;R Stations'!#REF!="","",F201+G200)</f>
        <v>#REF!</v>
      </c>
      <c r="H201" s="58" t="e">
        <f>IF('M&amp;R Stations'!#REF!="","",F201+H200)</f>
        <v>#REF!</v>
      </c>
      <c r="I201" s="58"/>
      <c r="J201" s="57" t="e">
        <f t="shared" si="49"/>
        <v>#REF!</v>
      </c>
      <c r="K201" s="58" t="e">
        <f t="shared" si="51"/>
        <v>#REF!</v>
      </c>
      <c r="L201" s="58" t="e">
        <f t="shared" si="52"/>
        <v>#REF!</v>
      </c>
      <c r="M201" s="58"/>
      <c r="N201" s="73" t="e">
        <f>IF(F201="","",ROUND((('M&amp;R Stations'!#REF!+'M&amp;R Stations'!#REF!)-('NG Utilization'!C201+'NG Utilization'!D201+'NG Utilization'!E201)-'LNG Facilities'!#REF!)*ROUND(((('M&amp;R Stations'!#REF!*'M&amp;R Stations'!L188)+('M&amp;R Stations'!#REF!*'M&amp;R Stations'!F188))/1000)/('M&amp;R Stations'!#REF!+'M&amp;R Stations'!#REF!),3),0)+ROUND((('LNG Facilities'!F188*'LNG Facilities'!K188+'LNG Facilities'!G188*'LNG Facilities'!L188+'LNG Facilities'!H188*'LNG Facilities'!M188+'LNG Facilities'!R188*'LNG Facilities'!W188+'LNG Facilities'!S188*'LNG Facilities'!X188+'LNG Facilities'!T188*'LNG Facilities'!#REF!)/1000),0))</f>
        <v>#REF!</v>
      </c>
      <c r="O201" s="58" t="e">
        <f t="shared" si="53"/>
        <v>#REF!</v>
      </c>
      <c r="P201" s="58" t="e">
        <f t="shared" si="54"/>
        <v>#REF!</v>
      </c>
      <c r="Q201" s="58"/>
      <c r="R201" s="57" t="e">
        <f t="shared" si="50"/>
        <v>#REF!</v>
      </c>
      <c r="S201" s="58" t="e">
        <f t="shared" si="55"/>
        <v>#REF!</v>
      </c>
      <c r="T201" s="58" t="e">
        <f t="shared" si="56"/>
        <v>#REF!</v>
      </c>
      <c r="U201" s="59"/>
      <c r="V201" s="59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</row>
    <row r="202" spans="1:46" x14ac:dyDescent="0.25">
      <c r="A202" s="31">
        <f>'M&amp;R Stations'!A189</f>
        <v>39148</v>
      </c>
      <c r="B202" s="89"/>
      <c r="C202" s="227">
        <v>301589</v>
      </c>
      <c r="D202" s="225">
        <v>387170.6</v>
      </c>
      <c r="E202" s="185"/>
      <c r="F202" s="72" t="e">
        <f>IF('M&amp;R Stations'!#REF!="","",('M&amp;R Stations'!#REF!+'M&amp;R Stations'!#REF!)+('LNG Facilities'!F189+'LNG Facilities'!G189+'LNG Facilities'!H189+'LNG Facilities'!R189+'LNG Facilities'!S189+'LNG Facilities'!T189)-'LNG Facilities'!#REF!-('NG Utilization'!C202+'NG Utilization'!D202+'NG Utilization'!E202))</f>
        <v>#REF!</v>
      </c>
      <c r="G202" s="58" t="e">
        <f>IF('M&amp;R Stations'!#REF!="","",F202+G201)</f>
        <v>#REF!</v>
      </c>
      <c r="H202" s="58" t="e">
        <f>IF('M&amp;R Stations'!#REF!="","",F202+H201)</f>
        <v>#REF!</v>
      </c>
      <c r="I202" s="58"/>
      <c r="J202" s="57" t="e">
        <f t="shared" si="49"/>
        <v>#REF!</v>
      </c>
      <c r="K202" s="58" t="e">
        <f t="shared" si="51"/>
        <v>#REF!</v>
      </c>
      <c r="L202" s="58" t="e">
        <f t="shared" si="52"/>
        <v>#REF!</v>
      </c>
      <c r="M202" s="58"/>
      <c r="N202" s="73" t="e">
        <f>IF(F202="","",ROUND((('M&amp;R Stations'!#REF!+'M&amp;R Stations'!#REF!)-('NG Utilization'!C202+'NG Utilization'!D202+'NG Utilization'!E202)-'LNG Facilities'!#REF!)*ROUND(((('M&amp;R Stations'!#REF!*'M&amp;R Stations'!L189)+('M&amp;R Stations'!#REF!*'M&amp;R Stations'!F189))/1000)/('M&amp;R Stations'!#REF!+'M&amp;R Stations'!#REF!),3),0)+ROUND((('LNG Facilities'!F189*'LNG Facilities'!K189+'LNG Facilities'!G189*'LNG Facilities'!L189+'LNG Facilities'!H189*'LNG Facilities'!M189+'LNG Facilities'!R189*'LNG Facilities'!W189+'LNG Facilities'!S189*'LNG Facilities'!X189+'LNG Facilities'!T189*'LNG Facilities'!#REF!)/1000),0))</f>
        <v>#REF!</v>
      </c>
      <c r="O202" s="58" t="e">
        <f t="shared" si="53"/>
        <v>#REF!</v>
      </c>
      <c r="P202" s="58" t="e">
        <f t="shared" si="54"/>
        <v>#REF!</v>
      </c>
      <c r="Q202" s="58"/>
      <c r="R202" s="57" t="e">
        <f t="shared" si="50"/>
        <v>#REF!</v>
      </c>
      <c r="S202" s="58" t="e">
        <f t="shared" si="55"/>
        <v>#REF!</v>
      </c>
      <c r="T202" s="58" t="e">
        <f t="shared" si="56"/>
        <v>#REF!</v>
      </c>
      <c r="U202" s="59"/>
      <c r="V202" s="59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</row>
    <row r="203" spans="1:46" x14ac:dyDescent="0.25">
      <c r="A203" s="31">
        <f>'M&amp;R Stations'!A190</f>
        <v>39149</v>
      </c>
      <c r="B203" s="89"/>
      <c r="C203" s="227">
        <v>239911</v>
      </c>
      <c r="D203" s="225">
        <v>377436</v>
      </c>
      <c r="E203" s="185"/>
      <c r="F203" s="72" t="e">
        <f>IF('M&amp;R Stations'!#REF!="","",('M&amp;R Stations'!#REF!+'M&amp;R Stations'!#REF!)+('LNG Facilities'!F190+'LNG Facilities'!G190+'LNG Facilities'!H190+'LNG Facilities'!R190+'LNG Facilities'!S190+'LNG Facilities'!T190)-'LNG Facilities'!#REF!-('NG Utilization'!C203+'NG Utilization'!D203+'NG Utilization'!E203))</f>
        <v>#REF!</v>
      </c>
      <c r="G203" s="58" t="e">
        <f>IF('M&amp;R Stations'!#REF!="","",F203+G202)</f>
        <v>#REF!</v>
      </c>
      <c r="H203" s="58" t="e">
        <f>IF('M&amp;R Stations'!#REF!="","",F203+H202)</f>
        <v>#REF!</v>
      </c>
      <c r="I203" s="58"/>
      <c r="J203" s="57" t="e">
        <f t="shared" si="49"/>
        <v>#REF!</v>
      </c>
      <c r="K203" s="58" t="e">
        <f t="shared" si="51"/>
        <v>#REF!</v>
      </c>
      <c r="L203" s="58" t="e">
        <f t="shared" si="52"/>
        <v>#REF!</v>
      </c>
      <c r="M203" s="58"/>
      <c r="N203" s="73" t="e">
        <f>IF(F203="","",ROUND((('M&amp;R Stations'!#REF!+'M&amp;R Stations'!#REF!)-('NG Utilization'!C203+'NG Utilization'!D203+'NG Utilization'!E203)-'LNG Facilities'!#REF!)*ROUND(((('M&amp;R Stations'!#REF!*'M&amp;R Stations'!L190)+('M&amp;R Stations'!#REF!*'M&amp;R Stations'!F190))/1000)/('M&amp;R Stations'!#REF!+'M&amp;R Stations'!#REF!),3),0)+ROUND((('LNG Facilities'!F190*'LNG Facilities'!K190+'LNG Facilities'!G190*'LNG Facilities'!L190+'LNG Facilities'!H190*'LNG Facilities'!M190+'LNG Facilities'!R190*'LNG Facilities'!W190+'LNG Facilities'!S190*'LNG Facilities'!X190+'LNG Facilities'!T190*'LNG Facilities'!#REF!)/1000),0))</f>
        <v>#REF!</v>
      </c>
      <c r="O203" s="58" t="e">
        <f t="shared" si="53"/>
        <v>#REF!</v>
      </c>
      <c r="P203" s="58" t="e">
        <f t="shared" si="54"/>
        <v>#REF!</v>
      </c>
      <c r="Q203" s="58"/>
      <c r="R203" s="57" t="e">
        <f t="shared" si="50"/>
        <v>#REF!</v>
      </c>
      <c r="S203" s="58" t="e">
        <f t="shared" si="55"/>
        <v>#REF!</v>
      </c>
      <c r="T203" s="58" t="e">
        <f t="shared" si="56"/>
        <v>#REF!</v>
      </c>
      <c r="U203" s="59"/>
      <c r="V203" s="59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</row>
    <row r="204" spans="1:46" x14ac:dyDescent="0.25">
      <c r="A204" s="31">
        <f>'M&amp;R Stations'!A191</f>
        <v>39150</v>
      </c>
      <c r="B204" s="89"/>
      <c r="C204" s="227">
        <v>151399</v>
      </c>
      <c r="D204" s="225">
        <v>328763.2</v>
      </c>
      <c r="E204" s="185"/>
      <c r="F204" s="72" t="e">
        <f>IF('M&amp;R Stations'!#REF!="","",('M&amp;R Stations'!#REF!+'M&amp;R Stations'!#REF!)+('LNG Facilities'!F191+'LNG Facilities'!G191+'LNG Facilities'!H191+'LNG Facilities'!R191+'LNG Facilities'!S191+'LNG Facilities'!T191)-'LNG Facilities'!#REF!-('NG Utilization'!C204+'NG Utilization'!D204+'NG Utilization'!E204))</f>
        <v>#REF!</v>
      </c>
      <c r="G204" s="58" t="e">
        <f>IF('M&amp;R Stations'!#REF!="","",F204+G203)</f>
        <v>#REF!</v>
      </c>
      <c r="H204" s="58" t="e">
        <f>IF('M&amp;R Stations'!#REF!="","",F204+H203)</f>
        <v>#REF!</v>
      </c>
      <c r="I204" s="58"/>
      <c r="J204" s="57" t="e">
        <f t="shared" si="49"/>
        <v>#REF!</v>
      </c>
      <c r="K204" s="58" t="e">
        <f t="shared" si="51"/>
        <v>#REF!</v>
      </c>
      <c r="L204" s="58" t="e">
        <f t="shared" si="52"/>
        <v>#REF!</v>
      </c>
      <c r="M204" s="58"/>
      <c r="N204" s="73" t="e">
        <f>IF(F204="","",ROUND((('M&amp;R Stations'!#REF!+'M&amp;R Stations'!#REF!)-('NG Utilization'!C204+'NG Utilization'!D204+'NG Utilization'!E204)-'LNG Facilities'!#REF!)*ROUND(((('M&amp;R Stations'!#REF!*'M&amp;R Stations'!L191)+('M&amp;R Stations'!#REF!*'M&amp;R Stations'!F191))/1000)/('M&amp;R Stations'!#REF!+'M&amp;R Stations'!#REF!),3),0)+ROUND((('LNG Facilities'!F191*'LNG Facilities'!K191+'LNG Facilities'!G191*'LNG Facilities'!L191+'LNG Facilities'!H191*'LNG Facilities'!M191+'LNG Facilities'!R191*'LNG Facilities'!W191+'LNG Facilities'!S191*'LNG Facilities'!X191+'LNG Facilities'!T191*'LNG Facilities'!#REF!)/1000),0))</f>
        <v>#REF!</v>
      </c>
      <c r="O204" s="58" t="e">
        <f t="shared" si="53"/>
        <v>#REF!</v>
      </c>
      <c r="P204" s="58" t="e">
        <f t="shared" si="54"/>
        <v>#REF!</v>
      </c>
      <c r="Q204" s="58"/>
      <c r="R204" s="57" t="e">
        <f t="shared" si="50"/>
        <v>#REF!</v>
      </c>
      <c r="S204" s="58" t="e">
        <f t="shared" si="55"/>
        <v>#REF!</v>
      </c>
      <c r="T204" s="58" t="e">
        <f t="shared" si="56"/>
        <v>#REF!</v>
      </c>
      <c r="U204" s="59"/>
      <c r="V204" s="59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</row>
    <row r="205" spans="1:46" x14ac:dyDescent="0.25">
      <c r="A205" s="31">
        <f>'M&amp;R Stations'!A192</f>
        <v>39151</v>
      </c>
      <c r="B205" s="89"/>
      <c r="C205" s="227">
        <v>103388</v>
      </c>
      <c r="D205" s="225">
        <v>143806.39999999999</v>
      </c>
      <c r="E205" s="185"/>
      <c r="F205" s="72" t="e">
        <f>IF('M&amp;R Stations'!#REF!="","",('M&amp;R Stations'!#REF!+'M&amp;R Stations'!#REF!)+('LNG Facilities'!F192+'LNG Facilities'!G192+'LNG Facilities'!H192+'LNG Facilities'!R192+'LNG Facilities'!S192+'LNG Facilities'!T192)-'LNG Facilities'!#REF!-('NG Utilization'!C205+'NG Utilization'!D205+'NG Utilization'!E205))</f>
        <v>#REF!</v>
      </c>
      <c r="G205" s="58" t="e">
        <f>IF('M&amp;R Stations'!#REF!="","",F205+G204)</f>
        <v>#REF!</v>
      </c>
      <c r="H205" s="58" t="e">
        <f>IF('M&amp;R Stations'!#REF!="","",F205+H204)</f>
        <v>#REF!</v>
      </c>
      <c r="I205" s="58"/>
      <c r="J205" s="57" t="e">
        <f t="shared" si="49"/>
        <v>#REF!</v>
      </c>
      <c r="K205" s="58" t="e">
        <f t="shared" si="51"/>
        <v>#REF!</v>
      </c>
      <c r="L205" s="58" t="e">
        <f t="shared" si="52"/>
        <v>#REF!</v>
      </c>
      <c r="M205" s="58"/>
      <c r="N205" s="73" t="e">
        <f>IF(F205="","",ROUND((('M&amp;R Stations'!#REF!+'M&amp;R Stations'!#REF!)-('NG Utilization'!C205+'NG Utilization'!D205+'NG Utilization'!E205)-'LNG Facilities'!#REF!)*ROUND(((('M&amp;R Stations'!#REF!*'M&amp;R Stations'!L192)+('M&amp;R Stations'!#REF!*'M&amp;R Stations'!F192))/1000)/('M&amp;R Stations'!#REF!+'M&amp;R Stations'!#REF!),3),0)+ROUND((('LNG Facilities'!F192*'LNG Facilities'!K192+'LNG Facilities'!G192*'LNG Facilities'!L192+'LNG Facilities'!H192*'LNG Facilities'!M192+'LNG Facilities'!R192*'LNG Facilities'!W192+'LNG Facilities'!S192*'LNG Facilities'!X192+'LNG Facilities'!T192*'LNG Facilities'!#REF!)/1000),0))</f>
        <v>#REF!</v>
      </c>
      <c r="O205" s="58" t="e">
        <f t="shared" si="53"/>
        <v>#REF!</v>
      </c>
      <c r="P205" s="58" t="e">
        <f t="shared" si="54"/>
        <v>#REF!</v>
      </c>
      <c r="Q205" s="58"/>
      <c r="R205" s="57" t="e">
        <f t="shared" si="50"/>
        <v>#REF!</v>
      </c>
      <c r="S205" s="58" t="e">
        <f t="shared" si="55"/>
        <v>#REF!</v>
      </c>
      <c r="T205" s="58" t="e">
        <f t="shared" si="56"/>
        <v>#REF!</v>
      </c>
      <c r="U205" s="59"/>
      <c r="V205" s="59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</row>
    <row r="206" spans="1:46" x14ac:dyDescent="0.25">
      <c r="A206" s="31">
        <f>'M&amp;R Stations'!A193</f>
        <v>39152</v>
      </c>
      <c r="B206" s="89"/>
      <c r="C206" s="227">
        <v>110030</v>
      </c>
      <c r="D206" s="225">
        <v>231417.5</v>
      </c>
      <c r="E206" s="185"/>
      <c r="F206" s="72" t="e">
        <f>IF('M&amp;R Stations'!#REF!="","",('M&amp;R Stations'!#REF!+'M&amp;R Stations'!#REF!)+('LNG Facilities'!F193+'LNG Facilities'!G193+'LNG Facilities'!H193+'LNG Facilities'!R193+'LNG Facilities'!S193+'LNG Facilities'!T193)-'LNG Facilities'!#REF!-('NG Utilization'!C206+'NG Utilization'!D206+'NG Utilization'!E206))</f>
        <v>#REF!</v>
      </c>
      <c r="G206" s="58" t="e">
        <f>IF('M&amp;R Stations'!#REF!="","",F206+G205)</f>
        <v>#REF!</v>
      </c>
      <c r="H206" s="58" t="e">
        <f>IF('M&amp;R Stations'!#REF!="","",F206+H205)</f>
        <v>#REF!</v>
      </c>
      <c r="I206" s="58"/>
      <c r="J206" s="57" t="e">
        <f t="shared" si="49"/>
        <v>#REF!</v>
      </c>
      <c r="K206" s="58" t="e">
        <f t="shared" si="51"/>
        <v>#REF!</v>
      </c>
      <c r="L206" s="58" t="e">
        <f t="shared" si="52"/>
        <v>#REF!</v>
      </c>
      <c r="M206" s="58"/>
      <c r="N206" s="73" t="e">
        <f>IF(F206="","",ROUND((('M&amp;R Stations'!#REF!+'M&amp;R Stations'!#REF!)-('NG Utilization'!C206+'NG Utilization'!D206+'NG Utilization'!E206)-'LNG Facilities'!#REF!)*ROUND(((('M&amp;R Stations'!#REF!*'M&amp;R Stations'!L193)+('M&amp;R Stations'!#REF!*'M&amp;R Stations'!F193))/1000)/('M&amp;R Stations'!#REF!+'M&amp;R Stations'!#REF!),3),0)+ROUND((('LNG Facilities'!F193*'LNG Facilities'!K193+'LNG Facilities'!G193*'LNG Facilities'!L193+'LNG Facilities'!H193*'LNG Facilities'!M193+'LNG Facilities'!R193*'LNG Facilities'!W193+'LNG Facilities'!S193*'LNG Facilities'!X193+'LNG Facilities'!T193*'LNG Facilities'!#REF!)/1000),0))</f>
        <v>#REF!</v>
      </c>
      <c r="O206" s="58" t="e">
        <f t="shared" si="53"/>
        <v>#REF!</v>
      </c>
      <c r="P206" s="58" t="e">
        <f t="shared" si="54"/>
        <v>#REF!</v>
      </c>
      <c r="Q206" s="58"/>
      <c r="R206" s="57" t="e">
        <f t="shared" si="50"/>
        <v>#REF!</v>
      </c>
      <c r="S206" s="58" t="e">
        <f t="shared" si="55"/>
        <v>#REF!</v>
      </c>
      <c r="T206" s="58" t="e">
        <f t="shared" si="56"/>
        <v>#REF!</v>
      </c>
      <c r="U206" s="59"/>
      <c r="V206" s="59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</row>
    <row r="207" spans="1:46" x14ac:dyDescent="0.25">
      <c r="A207" s="31">
        <f>'M&amp;R Stations'!A194</f>
        <v>39153</v>
      </c>
      <c r="B207" s="89"/>
      <c r="C207" s="227">
        <v>135672</v>
      </c>
      <c r="D207" s="225">
        <v>173010.1</v>
      </c>
      <c r="E207" s="185"/>
      <c r="F207" s="72" t="e">
        <f>IF('M&amp;R Stations'!#REF!="","",('M&amp;R Stations'!#REF!+'M&amp;R Stations'!#REF!)+('LNG Facilities'!F194+'LNG Facilities'!G194+'LNG Facilities'!H194+'LNG Facilities'!R194+'LNG Facilities'!S194+'LNG Facilities'!T194)-'LNG Facilities'!#REF!-('NG Utilization'!C207+'NG Utilization'!D207+'NG Utilization'!E207))</f>
        <v>#REF!</v>
      </c>
      <c r="G207" s="58" t="e">
        <f>IF('M&amp;R Stations'!#REF!="","",F207+G206)</f>
        <v>#REF!</v>
      </c>
      <c r="H207" s="58" t="e">
        <f>IF('M&amp;R Stations'!#REF!="","",F207+H206)</f>
        <v>#REF!</v>
      </c>
      <c r="I207" s="58"/>
      <c r="J207" s="57" t="e">
        <f t="shared" si="49"/>
        <v>#REF!</v>
      </c>
      <c r="K207" s="58" t="e">
        <f t="shared" si="51"/>
        <v>#REF!</v>
      </c>
      <c r="L207" s="58" t="e">
        <f t="shared" si="52"/>
        <v>#REF!</v>
      </c>
      <c r="M207" s="58"/>
      <c r="N207" s="73" t="e">
        <f>IF(F207="","",ROUND((('M&amp;R Stations'!#REF!+'M&amp;R Stations'!#REF!)-('NG Utilization'!C207+'NG Utilization'!D207+'NG Utilization'!E207)-'LNG Facilities'!#REF!)*ROUND(((('M&amp;R Stations'!#REF!*'M&amp;R Stations'!L194)+('M&amp;R Stations'!#REF!*'M&amp;R Stations'!F194))/1000)/('M&amp;R Stations'!#REF!+'M&amp;R Stations'!#REF!),3),0)+ROUND((('LNG Facilities'!F194*'LNG Facilities'!K194+'LNG Facilities'!G194*'LNG Facilities'!L194+'LNG Facilities'!H194*'LNG Facilities'!M194+'LNG Facilities'!R194*'LNG Facilities'!W194+'LNG Facilities'!S194*'LNG Facilities'!X194+'LNG Facilities'!T194*'LNG Facilities'!#REF!)/1000),0))</f>
        <v>#REF!</v>
      </c>
      <c r="O207" s="58" t="e">
        <f t="shared" si="53"/>
        <v>#REF!</v>
      </c>
      <c r="P207" s="58" t="e">
        <f t="shared" si="54"/>
        <v>#REF!</v>
      </c>
      <c r="Q207" s="58"/>
      <c r="R207" s="57" t="e">
        <f t="shared" si="50"/>
        <v>#REF!</v>
      </c>
      <c r="S207" s="58" t="e">
        <f t="shared" si="55"/>
        <v>#REF!</v>
      </c>
      <c r="T207" s="58" t="e">
        <f t="shared" si="56"/>
        <v>#REF!</v>
      </c>
      <c r="U207" s="59"/>
      <c r="V207" s="59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</row>
    <row r="208" spans="1:46" x14ac:dyDescent="0.25">
      <c r="A208" s="31">
        <f>'M&amp;R Stations'!A195</f>
        <v>39154</v>
      </c>
      <c r="B208" s="89"/>
      <c r="C208" s="227">
        <v>90461</v>
      </c>
      <c r="D208" s="225">
        <v>104868</v>
      </c>
      <c r="E208" s="185"/>
      <c r="F208" s="72" t="e">
        <f>IF('M&amp;R Stations'!#REF!="","",('M&amp;R Stations'!#REF!+'M&amp;R Stations'!#REF!)+('LNG Facilities'!F195+'LNG Facilities'!G195+'LNG Facilities'!H195+'LNG Facilities'!R195+'LNG Facilities'!S195+'LNG Facilities'!T195)-'LNG Facilities'!#REF!-('NG Utilization'!C208+'NG Utilization'!D208+'NG Utilization'!E208))</f>
        <v>#REF!</v>
      </c>
      <c r="G208" s="58" t="e">
        <f>IF('M&amp;R Stations'!#REF!="","",F208+G207)</f>
        <v>#REF!</v>
      </c>
      <c r="H208" s="58" t="e">
        <f>IF('M&amp;R Stations'!#REF!="","",F208+H207)</f>
        <v>#REF!</v>
      </c>
      <c r="I208" s="58"/>
      <c r="J208" s="57" t="e">
        <f t="shared" si="49"/>
        <v>#REF!</v>
      </c>
      <c r="K208" s="58" t="e">
        <f t="shared" si="51"/>
        <v>#REF!</v>
      </c>
      <c r="L208" s="58" t="e">
        <f t="shared" si="52"/>
        <v>#REF!</v>
      </c>
      <c r="M208" s="58"/>
      <c r="N208" s="73" t="e">
        <f>IF(F208="","",ROUND((('M&amp;R Stations'!#REF!+'M&amp;R Stations'!#REF!)-('NG Utilization'!C208+'NG Utilization'!D208+'NG Utilization'!E208)-'LNG Facilities'!#REF!)*ROUND(((('M&amp;R Stations'!#REF!*'M&amp;R Stations'!L195)+('M&amp;R Stations'!#REF!*'M&amp;R Stations'!F195))/1000)/('M&amp;R Stations'!#REF!+'M&amp;R Stations'!#REF!),3),0)+ROUND((('LNG Facilities'!F195*'LNG Facilities'!K195+'LNG Facilities'!G195*'LNG Facilities'!L195+'LNG Facilities'!H195*'LNG Facilities'!M195+'LNG Facilities'!R195*'LNG Facilities'!W195+'LNG Facilities'!S195*'LNG Facilities'!X195+'LNG Facilities'!T195*'LNG Facilities'!#REF!)/1000),0))</f>
        <v>#REF!</v>
      </c>
      <c r="O208" s="58" t="e">
        <f t="shared" si="53"/>
        <v>#REF!</v>
      </c>
      <c r="P208" s="58" t="e">
        <f t="shared" si="54"/>
        <v>#REF!</v>
      </c>
      <c r="Q208" s="58"/>
      <c r="R208" s="57" t="e">
        <f t="shared" si="50"/>
        <v>#REF!</v>
      </c>
      <c r="S208" s="58" t="e">
        <f t="shared" si="55"/>
        <v>#REF!</v>
      </c>
      <c r="T208" s="58" t="e">
        <f t="shared" si="56"/>
        <v>#REF!</v>
      </c>
      <c r="U208" s="59"/>
      <c r="V208" s="59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</row>
    <row r="209" spans="1:46" x14ac:dyDescent="0.25">
      <c r="A209" s="31">
        <f>'M&amp;R Stations'!A196</f>
        <v>39155</v>
      </c>
      <c r="B209" s="89"/>
      <c r="C209" s="227">
        <v>191111</v>
      </c>
      <c r="D209" s="225">
        <v>65930</v>
      </c>
      <c r="E209" s="185"/>
      <c r="F209" s="72" t="e">
        <f>IF('M&amp;R Stations'!#REF!="","",('M&amp;R Stations'!#REF!+'M&amp;R Stations'!#REF!)+('LNG Facilities'!F196+'LNG Facilities'!G196+'LNG Facilities'!H196+'LNG Facilities'!R196+'LNG Facilities'!S196+'LNG Facilities'!T196)-'LNG Facilities'!#REF!-('NG Utilization'!C209+'NG Utilization'!D209+'NG Utilization'!E209))</f>
        <v>#REF!</v>
      </c>
      <c r="G209" s="58" t="e">
        <f>IF('M&amp;R Stations'!#REF!="","",F209+G208)</f>
        <v>#REF!</v>
      </c>
      <c r="H209" s="58" t="e">
        <f>IF('M&amp;R Stations'!#REF!="","",F209+H208)</f>
        <v>#REF!</v>
      </c>
      <c r="I209" s="58"/>
      <c r="J209" s="57" t="e">
        <f t="shared" si="49"/>
        <v>#REF!</v>
      </c>
      <c r="K209" s="58" t="e">
        <f t="shared" si="51"/>
        <v>#REF!</v>
      </c>
      <c r="L209" s="58" t="e">
        <f t="shared" si="52"/>
        <v>#REF!</v>
      </c>
      <c r="M209" s="58"/>
      <c r="N209" s="73" t="e">
        <f>IF(F209="","",ROUND((('M&amp;R Stations'!#REF!+'M&amp;R Stations'!#REF!)-('NG Utilization'!C209+'NG Utilization'!D209+'NG Utilization'!E209)-'LNG Facilities'!#REF!)*ROUND(((('M&amp;R Stations'!#REF!*'M&amp;R Stations'!L196)+('M&amp;R Stations'!#REF!*'M&amp;R Stations'!F196))/1000)/('M&amp;R Stations'!#REF!+'M&amp;R Stations'!#REF!),3),0)+ROUND((('LNG Facilities'!F196*'LNG Facilities'!K196+'LNG Facilities'!G196*'LNG Facilities'!L196+'LNG Facilities'!H196*'LNG Facilities'!M196+'LNG Facilities'!R196*'LNG Facilities'!W196+'LNG Facilities'!S196*'LNG Facilities'!X196+'LNG Facilities'!T196*'LNG Facilities'!#REF!)/1000),0))</f>
        <v>#REF!</v>
      </c>
      <c r="O209" s="58" t="e">
        <f t="shared" si="53"/>
        <v>#REF!</v>
      </c>
      <c r="P209" s="58" t="e">
        <f t="shared" si="54"/>
        <v>#REF!</v>
      </c>
      <c r="Q209" s="58"/>
      <c r="R209" s="57" t="e">
        <f t="shared" si="50"/>
        <v>#REF!</v>
      </c>
      <c r="S209" s="58" t="e">
        <f t="shared" si="55"/>
        <v>#REF!</v>
      </c>
      <c r="T209" s="58" t="e">
        <f t="shared" si="56"/>
        <v>#REF!</v>
      </c>
      <c r="U209" s="59"/>
      <c r="V209" s="59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</row>
    <row r="210" spans="1:46" x14ac:dyDescent="0.25">
      <c r="A210" s="31">
        <f>'M&amp;R Stations'!A197</f>
        <v>39156</v>
      </c>
      <c r="B210" s="89"/>
      <c r="C210" s="227">
        <v>282483</v>
      </c>
      <c r="D210" s="225">
        <v>202214</v>
      </c>
      <c r="E210" s="185"/>
      <c r="F210" s="72" t="e">
        <f>IF('M&amp;R Stations'!#REF!="","",('M&amp;R Stations'!#REF!+'M&amp;R Stations'!#REF!)+('LNG Facilities'!F197+'LNG Facilities'!G197+'LNG Facilities'!H197+'LNG Facilities'!R197+'LNG Facilities'!S197+'LNG Facilities'!T197)-'LNG Facilities'!#REF!-('NG Utilization'!C210+'NG Utilization'!D210+'NG Utilization'!E210))</f>
        <v>#REF!</v>
      </c>
      <c r="G210" s="58" t="e">
        <f>IF('M&amp;R Stations'!#REF!="","",F210+G209)</f>
        <v>#REF!</v>
      </c>
      <c r="H210" s="58" t="e">
        <f>IF('M&amp;R Stations'!#REF!="","",F210+H209)</f>
        <v>#REF!</v>
      </c>
      <c r="I210" s="58"/>
      <c r="J210" s="57" t="e">
        <f t="shared" si="49"/>
        <v>#REF!</v>
      </c>
      <c r="K210" s="58" t="e">
        <f t="shared" si="51"/>
        <v>#REF!</v>
      </c>
      <c r="L210" s="58" t="e">
        <f t="shared" si="52"/>
        <v>#REF!</v>
      </c>
      <c r="M210" s="58"/>
      <c r="N210" s="73" t="e">
        <f>IF(F210="","",ROUND((('M&amp;R Stations'!#REF!+'M&amp;R Stations'!#REF!)-('NG Utilization'!C210+'NG Utilization'!D210+'NG Utilization'!E210)-'LNG Facilities'!#REF!)*ROUND(((('M&amp;R Stations'!#REF!*'M&amp;R Stations'!L197)+('M&amp;R Stations'!#REF!*'M&amp;R Stations'!F197))/1000)/('M&amp;R Stations'!#REF!+'M&amp;R Stations'!#REF!),3),0)+ROUND((('LNG Facilities'!F197*'LNG Facilities'!K197+'LNG Facilities'!G197*'LNG Facilities'!L197+'LNG Facilities'!H197*'LNG Facilities'!M197+'LNG Facilities'!R197*'LNG Facilities'!W197+'LNG Facilities'!S197*'LNG Facilities'!X197+'LNG Facilities'!T197*'LNG Facilities'!#REF!)/1000),0))</f>
        <v>#REF!</v>
      </c>
      <c r="O210" s="58" t="e">
        <f t="shared" si="53"/>
        <v>#REF!</v>
      </c>
      <c r="P210" s="58" t="e">
        <f t="shared" si="54"/>
        <v>#REF!</v>
      </c>
      <c r="Q210" s="58"/>
      <c r="R210" s="57" t="e">
        <f t="shared" si="50"/>
        <v>#REF!</v>
      </c>
      <c r="S210" s="58" t="e">
        <f t="shared" si="55"/>
        <v>#REF!</v>
      </c>
      <c r="T210" s="58" t="e">
        <f t="shared" si="56"/>
        <v>#REF!</v>
      </c>
      <c r="U210" s="59"/>
      <c r="V210" s="59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</row>
    <row r="211" spans="1:46" x14ac:dyDescent="0.25">
      <c r="A211" s="31">
        <f>'M&amp;R Stations'!A198</f>
        <v>39157</v>
      </c>
      <c r="B211" s="89"/>
      <c r="C211" s="227">
        <v>239958</v>
      </c>
      <c r="D211" s="225">
        <v>348232</v>
      </c>
      <c r="E211" s="185"/>
      <c r="F211" s="72" t="e">
        <f>IF('M&amp;R Stations'!#REF!="","",('M&amp;R Stations'!#REF!+'M&amp;R Stations'!#REF!)+('LNG Facilities'!F198+'LNG Facilities'!G198+'LNG Facilities'!H198+'LNG Facilities'!R198+'LNG Facilities'!S198+'LNG Facilities'!T198)-'LNG Facilities'!#REF!-('NG Utilization'!C211+'NG Utilization'!D211+'NG Utilization'!E211))</f>
        <v>#REF!</v>
      </c>
      <c r="G211" s="58" t="e">
        <f>IF('M&amp;R Stations'!#REF!="","",F211+G210)</f>
        <v>#REF!</v>
      </c>
      <c r="H211" s="58" t="e">
        <f>IF('M&amp;R Stations'!#REF!="","",F211+H210)</f>
        <v>#REF!</v>
      </c>
      <c r="I211" s="58"/>
      <c r="J211" s="57" t="e">
        <f t="shared" si="49"/>
        <v>#REF!</v>
      </c>
      <c r="K211" s="58" t="e">
        <f t="shared" si="51"/>
        <v>#REF!</v>
      </c>
      <c r="L211" s="58" t="e">
        <f t="shared" si="52"/>
        <v>#REF!</v>
      </c>
      <c r="M211" s="58"/>
      <c r="N211" s="73" t="e">
        <f>IF(F211="","",ROUND((('M&amp;R Stations'!#REF!+'M&amp;R Stations'!#REF!)-('NG Utilization'!C211+'NG Utilization'!D211+'NG Utilization'!E211)-'LNG Facilities'!#REF!)*ROUND(((('M&amp;R Stations'!#REF!*'M&amp;R Stations'!L198)+('M&amp;R Stations'!#REF!*'M&amp;R Stations'!F198))/1000)/('M&amp;R Stations'!#REF!+'M&amp;R Stations'!#REF!),3),0)+ROUND((('LNG Facilities'!F198*'LNG Facilities'!K198+'LNG Facilities'!G198*'LNG Facilities'!L198+'LNG Facilities'!H198*'LNG Facilities'!M198+'LNG Facilities'!R198*'LNG Facilities'!W198+'LNG Facilities'!S198*'LNG Facilities'!X198+'LNG Facilities'!T198*'LNG Facilities'!#REF!)/1000),0))</f>
        <v>#REF!</v>
      </c>
      <c r="O211" s="58" t="e">
        <f t="shared" si="53"/>
        <v>#REF!</v>
      </c>
      <c r="P211" s="58" t="e">
        <f t="shared" si="54"/>
        <v>#REF!</v>
      </c>
      <c r="Q211" s="58"/>
      <c r="R211" s="57" t="e">
        <f t="shared" si="50"/>
        <v>#REF!</v>
      </c>
      <c r="S211" s="58" t="e">
        <f t="shared" si="55"/>
        <v>#REF!</v>
      </c>
      <c r="T211" s="58" t="e">
        <f t="shared" si="56"/>
        <v>#REF!</v>
      </c>
      <c r="U211" s="59"/>
      <c r="V211" s="59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</row>
    <row r="212" spans="1:46" x14ac:dyDescent="0.25">
      <c r="A212" s="31">
        <f>'M&amp;R Stations'!A199</f>
        <v>39158</v>
      </c>
      <c r="B212" s="89"/>
      <c r="C212" s="227">
        <v>259225</v>
      </c>
      <c r="D212" s="225">
        <v>338498</v>
      </c>
      <c r="E212" s="185"/>
      <c r="F212" s="72" t="e">
        <f>IF('M&amp;R Stations'!#REF!="","",('M&amp;R Stations'!#REF!+'M&amp;R Stations'!#REF!)+('LNG Facilities'!F199+'LNG Facilities'!G199+'LNG Facilities'!H199+'LNG Facilities'!R199+'LNG Facilities'!S199+'LNG Facilities'!T199)-'LNG Facilities'!#REF!-('NG Utilization'!C212+'NG Utilization'!D212+'NG Utilization'!E212))</f>
        <v>#REF!</v>
      </c>
      <c r="G212" s="58" t="e">
        <f>IF('M&amp;R Stations'!#REF!="","",F212+G211)</f>
        <v>#REF!</v>
      </c>
      <c r="H212" s="58" t="e">
        <f>IF('M&amp;R Stations'!#REF!="","",F212+H211)</f>
        <v>#REF!</v>
      </c>
      <c r="I212" s="58"/>
      <c r="J212" s="57" t="e">
        <f t="shared" si="49"/>
        <v>#REF!</v>
      </c>
      <c r="K212" s="58" t="e">
        <f t="shared" si="51"/>
        <v>#REF!</v>
      </c>
      <c r="L212" s="58" t="e">
        <f t="shared" si="52"/>
        <v>#REF!</v>
      </c>
      <c r="M212" s="58"/>
      <c r="N212" s="73" t="e">
        <f>IF(F212="","",ROUND((('M&amp;R Stations'!#REF!+'M&amp;R Stations'!#REF!)-('NG Utilization'!C212+'NG Utilization'!D212+'NG Utilization'!E212)-'LNG Facilities'!#REF!)*ROUND(((('M&amp;R Stations'!#REF!*'M&amp;R Stations'!L199)+('M&amp;R Stations'!#REF!*'M&amp;R Stations'!F199))/1000)/('M&amp;R Stations'!#REF!+'M&amp;R Stations'!#REF!),3),0)+ROUND((('LNG Facilities'!F199*'LNG Facilities'!K199+'LNG Facilities'!G199*'LNG Facilities'!L199+'LNG Facilities'!H199*'LNG Facilities'!M199+'LNG Facilities'!R199*'LNG Facilities'!W199+'LNG Facilities'!S199*'LNG Facilities'!X199+'LNG Facilities'!T199*'LNG Facilities'!#REF!)/1000),0))</f>
        <v>#REF!</v>
      </c>
      <c r="O212" s="58" t="e">
        <f t="shared" si="53"/>
        <v>#REF!</v>
      </c>
      <c r="P212" s="58" t="e">
        <f t="shared" si="54"/>
        <v>#REF!</v>
      </c>
      <c r="Q212" s="58"/>
      <c r="R212" s="57" t="e">
        <f t="shared" si="50"/>
        <v>#REF!</v>
      </c>
      <c r="S212" s="58" t="e">
        <f t="shared" si="55"/>
        <v>#REF!</v>
      </c>
      <c r="T212" s="58" t="e">
        <f t="shared" si="56"/>
        <v>#REF!</v>
      </c>
      <c r="U212" s="59"/>
      <c r="V212" s="59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</row>
    <row r="213" spans="1:46" x14ac:dyDescent="0.25">
      <c r="A213" s="31">
        <f>'M&amp;R Stations'!A200</f>
        <v>39159</v>
      </c>
      <c r="B213" s="89"/>
      <c r="C213" s="227">
        <v>305775</v>
      </c>
      <c r="D213" s="225">
        <v>299560</v>
      </c>
      <c r="E213" s="185"/>
      <c r="F213" s="72" t="e">
        <f>IF('M&amp;R Stations'!#REF!="","",('M&amp;R Stations'!#REF!+'M&amp;R Stations'!#REF!)+('LNG Facilities'!F200+'LNG Facilities'!G200+'LNG Facilities'!H200+'LNG Facilities'!R200+'LNG Facilities'!S200+'LNG Facilities'!T200)-'LNG Facilities'!#REF!-('NG Utilization'!C213+'NG Utilization'!D213+'NG Utilization'!E213))</f>
        <v>#REF!</v>
      </c>
      <c r="G213" s="58" t="e">
        <f>IF('M&amp;R Stations'!#REF!="","",F213+G212)</f>
        <v>#REF!</v>
      </c>
      <c r="H213" s="58" t="e">
        <f>IF('M&amp;R Stations'!#REF!="","",F213+H212)</f>
        <v>#REF!</v>
      </c>
      <c r="I213" s="58"/>
      <c r="J213" s="57" t="e">
        <f t="shared" si="49"/>
        <v>#REF!</v>
      </c>
      <c r="K213" s="58" t="e">
        <f t="shared" si="51"/>
        <v>#REF!</v>
      </c>
      <c r="L213" s="58" t="e">
        <f t="shared" si="52"/>
        <v>#REF!</v>
      </c>
      <c r="M213" s="58"/>
      <c r="N213" s="73" t="e">
        <f>IF(F213="","",ROUND((('M&amp;R Stations'!#REF!+'M&amp;R Stations'!#REF!)-('NG Utilization'!C213+'NG Utilization'!D213+'NG Utilization'!E213)-'LNG Facilities'!#REF!)*ROUND(((('M&amp;R Stations'!#REF!*'M&amp;R Stations'!L200)+('M&amp;R Stations'!#REF!*'M&amp;R Stations'!F200))/1000)/('M&amp;R Stations'!#REF!+'M&amp;R Stations'!#REF!),3),0)+ROUND((('LNG Facilities'!F200*'LNG Facilities'!K200+'LNG Facilities'!G200*'LNG Facilities'!L200+'LNG Facilities'!H200*'LNG Facilities'!M200+'LNG Facilities'!R200*'LNG Facilities'!W200+'LNG Facilities'!S200*'LNG Facilities'!X200+'LNG Facilities'!T200*'LNG Facilities'!#REF!)/1000),0))</f>
        <v>#REF!</v>
      </c>
      <c r="O213" s="58" t="e">
        <f t="shared" si="53"/>
        <v>#REF!</v>
      </c>
      <c r="P213" s="58" t="e">
        <f t="shared" si="54"/>
        <v>#REF!</v>
      </c>
      <c r="Q213" s="58"/>
      <c r="R213" s="57" t="e">
        <f t="shared" si="50"/>
        <v>#REF!</v>
      </c>
      <c r="S213" s="58" t="e">
        <f t="shared" si="55"/>
        <v>#REF!</v>
      </c>
      <c r="T213" s="58" t="e">
        <f t="shared" si="56"/>
        <v>#REF!</v>
      </c>
      <c r="U213" s="59"/>
      <c r="V213" s="59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</row>
    <row r="214" spans="1:46" x14ac:dyDescent="0.25">
      <c r="A214" s="31">
        <f>'M&amp;R Stations'!A201</f>
        <v>39160</v>
      </c>
      <c r="B214" s="89"/>
      <c r="C214" s="227">
        <v>298398</v>
      </c>
      <c r="D214" s="225">
        <v>211948</v>
      </c>
      <c r="E214" s="185"/>
      <c r="F214" s="72" t="e">
        <f>IF('M&amp;R Stations'!#REF!="","",('M&amp;R Stations'!#REF!+'M&amp;R Stations'!#REF!)+('LNG Facilities'!F201+'LNG Facilities'!G201+'LNG Facilities'!H201+'LNG Facilities'!R201+'LNG Facilities'!S201+'LNG Facilities'!T201)-'LNG Facilities'!#REF!-('NG Utilization'!C214+'NG Utilization'!D214+'NG Utilization'!E214))</f>
        <v>#REF!</v>
      </c>
      <c r="G214" s="58" t="e">
        <f>IF('M&amp;R Stations'!#REF!="","",F214+G213)</f>
        <v>#REF!</v>
      </c>
      <c r="H214" s="58" t="e">
        <f>IF('M&amp;R Stations'!#REF!="","",F214+H213)</f>
        <v>#REF!</v>
      </c>
      <c r="I214" s="58"/>
      <c r="J214" s="57" t="e">
        <f t="shared" si="49"/>
        <v>#REF!</v>
      </c>
      <c r="K214" s="58" t="e">
        <f t="shared" si="51"/>
        <v>#REF!</v>
      </c>
      <c r="L214" s="58" t="e">
        <f t="shared" si="52"/>
        <v>#REF!</v>
      </c>
      <c r="M214" s="58"/>
      <c r="N214" s="73" t="e">
        <f>IF(F214="","",ROUND((('M&amp;R Stations'!#REF!+'M&amp;R Stations'!#REF!)-('NG Utilization'!C214+'NG Utilization'!D214+'NG Utilization'!E214)-'LNG Facilities'!#REF!)*ROUND(((('M&amp;R Stations'!#REF!*'M&amp;R Stations'!L201)+('M&amp;R Stations'!#REF!*'M&amp;R Stations'!F201))/1000)/('M&amp;R Stations'!#REF!+'M&amp;R Stations'!#REF!),3),0)+ROUND((('LNG Facilities'!F201*'LNG Facilities'!K201+'LNG Facilities'!G201*'LNG Facilities'!L201+'LNG Facilities'!H201*'LNG Facilities'!M201+'LNG Facilities'!R201*'LNG Facilities'!W201+'LNG Facilities'!S201*'LNG Facilities'!X201+'LNG Facilities'!T201*'LNG Facilities'!#REF!)/1000),0))</f>
        <v>#REF!</v>
      </c>
      <c r="O214" s="58" t="e">
        <f t="shared" si="53"/>
        <v>#REF!</v>
      </c>
      <c r="P214" s="58" t="e">
        <f t="shared" si="54"/>
        <v>#REF!</v>
      </c>
      <c r="Q214" s="58"/>
      <c r="R214" s="57" t="e">
        <f t="shared" si="50"/>
        <v>#REF!</v>
      </c>
      <c r="S214" s="58" t="e">
        <f t="shared" si="55"/>
        <v>#REF!</v>
      </c>
      <c r="T214" s="58" t="e">
        <f t="shared" si="56"/>
        <v>#REF!</v>
      </c>
      <c r="U214" s="59"/>
      <c r="V214" s="59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</row>
    <row r="215" spans="1:46" x14ac:dyDescent="0.25">
      <c r="A215" s="31">
        <f>'M&amp;R Stations'!A202</f>
        <v>39161</v>
      </c>
      <c r="B215" s="89"/>
      <c r="C215" s="227">
        <v>328377</v>
      </c>
      <c r="D215" s="225">
        <v>250887</v>
      </c>
      <c r="E215" s="185"/>
      <c r="F215" s="72" t="e">
        <f>IF('M&amp;R Stations'!#REF!="","",('M&amp;R Stations'!#REF!+'M&amp;R Stations'!#REF!)+('LNG Facilities'!F202+'LNG Facilities'!G202+'LNG Facilities'!H202+'LNG Facilities'!R202+'LNG Facilities'!S202+'LNG Facilities'!T202)-'LNG Facilities'!#REF!-('NG Utilization'!C215+'NG Utilization'!D215+'NG Utilization'!E215))</f>
        <v>#REF!</v>
      </c>
      <c r="G215" s="58" t="e">
        <f>IF('M&amp;R Stations'!#REF!="","",F215+G214)</f>
        <v>#REF!</v>
      </c>
      <c r="H215" s="58" t="e">
        <f>IF('M&amp;R Stations'!#REF!="","",F215+H214)</f>
        <v>#REF!</v>
      </c>
      <c r="I215" s="58"/>
      <c r="J215" s="57" t="e">
        <f t="shared" si="49"/>
        <v>#REF!</v>
      </c>
      <c r="K215" s="58" t="e">
        <f t="shared" si="51"/>
        <v>#REF!</v>
      </c>
      <c r="L215" s="58" t="e">
        <f t="shared" si="52"/>
        <v>#REF!</v>
      </c>
      <c r="M215" s="58"/>
      <c r="N215" s="73" t="e">
        <f>IF(F215="","",ROUND((('M&amp;R Stations'!#REF!+'M&amp;R Stations'!#REF!)-('NG Utilization'!C215+'NG Utilization'!D215+'NG Utilization'!E215)-'LNG Facilities'!#REF!)*ROUND(((('M&amp;R Stations'!#REF!*'M&amp;R Stations'!L202)+('M&amp;R Stations'!#REF!*'M&amp;R Stations'!F202))/1000)/('M&amp;R Stations'!#REF!+'M&amp;R Stations'!#REF!),3),0)+ROUND((('LNG Facilities'!F202*'LNG Facilities'!K202+'LNG Facilities'!G202*'LNG Facilities'!L202+'LNG Facilities'!H202*'LNG Facilities'!M202+'LNG Facilities'!R202*'LNG Facilities'!W202+'LNG Facilities'!S202*'LNG Facilities'!X202+'LNG Facilities'!T202*'LNG Facilities'!#REF!)/1000),0))</f>
        <v>#REF!</v>
      </c>
      <c r="O215" s="58" t="e">
        <f t="shared" si="53"/>
        <v>#REF!</v>
      </c>
      <c r="P215" s="58" t="e">
        <f t="shared" si="54"/>
        <v>#REF!</v>
      </c>
      <c r="Q215" s="58"/>
      <c r="R215" s="57" t="e">
        <f t="shared" si="50"/>
        <v>#REF!</v>
      </c>
      <c r="S215" s="58" t="e">
        <f t="shared" si="55"/>
        <v>#REF!</v>
      </c>
      <c r="T215" s="58" t="e">
        <f t="shared" si="56"/>
        <v>#REF!</v>
      </c>
      <c r="U215" s="59"/>
      <c r="V215" s="59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</row>
    <row r="216" spans="1:46" x14ac:dyDescent="0.25">
      <c r="A216" s="31">
        <f>'M&amp;R Stations'!A203</f>
        <v>39162</v>
      </c>
      <c r="B216" s="89"/>
      <c r="C216" s="227">
        <v>317369</v>
      </c>
      <c r="D216" s="225">
        <v>241152</v>
      </c>
      <c r="E216" s="185"/>
      <c r="F216" s="72" t="e">
        <f>IF('M&amp;R Stations'!#REF!="","",('M&amp;R Stations'!#REF!+'M&amp;R Stations'!#REF!)+('LNG Facilities'!F203+'LNG Facilities'!G203+'LNG Facilities'!H203+'LNG Facilities'!R203+'LNG Facilities'!S203+'LNG Facilities'!T203)-'LNG Facilities'!#REF!-('NG Utilization'!C216+'NG Utilization'!D216+'NG Utilization'!E216))</f>
        <v>#REF!</v>
      </c>
      <c r="G216" s="58" t="e">
        <f>IF('M&amp;R Stations'!#REF!="","",F216+G215)</f>
        <v>#REF!</v>
      </c>
      <c r="H216" s="58" t="e">
        <f>IF('M&amp;R Stations'!#REF!="","",F216+H215)</f>
        <v>#REF!</v>
      </c>
      <c r="I216" s="58"/>
      <c r="J216" s="57" t="e">
        <f t="shared" si="49"/>
        <v>#REF!</v>
      </c>
      <c r="K216" s="58" t="e">
        <f t="shared" si="51"/>
        <v>#REF!</v>
      </c>
      <c r="L216" s="58" t="e">
        <f t="shared" si="52"/>
        <v>#REF!</v>
      </c>
      <c r="M216" s="58"/>
      <c r="N216" s="73" t="e">
        <f>IF(F216="","",ROUND((('M&amp;R Stations'!#REF!+'M&amp;R Stations'!#REF!)-('NG Utilization'!C216+'NG Utilization'!D216+'NG Utilization'!E216)-'LNG Facilities'!#REF!)*ROUND(((('M&amp;R Stations'!#REF!*'M&amp;R Stations'!L203)+('M&amp;R Stations'!#REF!*'M&amp;R Stations'!F203))/1000)/('M&amp;R Stations'!#REF!+'M&amp;R Stations'!#REF!),3),0)+ROUND((('LNG Facilities'!F203*'LNG Facilities'!K203+'LNG Facilities'!G203*'LNG Facilities'!L203+'LNG Facilities'!H203*'LNG Facilities'!M203+'LNG Facilities'!R203*'LNG Facilities'!W203+'LNG Facilities'!S203*'LNG Facilities'!X203+'LNG Facilities'!T203*'LNG Facilities'!#REF!)/1000),0))</f>
        <v>#REF!</v>
      </c>
      <c r="O216" s="58" t="e">
        <f t="shared" si="53"/>
        <v>#REF!</v>
      </c>
      <c r="P216" s="58" t="e">
        <f t="shared" si="54"/>
        <v>#REF!</v>
      </c>
      <c r="Q216" s="58"/>
      <c r="R216" s="57" t="e">
        <f t="shared" si="50"/>
        <v>#REF!</v>
      </c>
      <c r="S216" s="58" t="e">
        <f t="shared" si="55"/>
        <v>#REF!</v>
      </c>
      <c r="T216" s="58" t="e">
        <f t="shared" si="56"/>
        <v>#REF!</v>
      </c>
      <c r="U216" s="59"/>
      <c r="V216" s="59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</row>
    <row r="217" spans="1:46" x14ac:dyDescent="0.25">
      <c r="A217" s="31">
        <f>'M&amp;R Stations'!A204</f>
        <v>39163</v>
      </c>
      <c r="B217" s="89"/>
      <c r="C217" s="227">
        <v>284650</v>
      </c>
      <c r="D217" s="225">
        <v>134071.9</v>
      </c>
      <c r="E217" s="185"/>
      <c r="F217" s="72" t="e">
        <f>IF('M&amp;R Stations'!#REF!="","",('M&amp;R Stations'!#REF!+'M&amp;R Stations'!#REF!)+('LNG Facilities'!F204+'LNG Facilities'!G204+'LNG Facilities'!H204+'LNG Facilities'!R204+'LNG Facilities'!S204+'LNG Facilities'!T204)-'LNG Facilities'!#REF!-('NG Utilization'!C217+'NG Utilization'!D217+'NG Utilization'!E217))</f>
        <v>#REF!</v>
      </c>
      <c r="G217" s="58" t="e">
        <f>IF('M&amp;R Stations'!#REF!="","",F217+G216)</f>
        <v>#REF!</v>
      </c>
      <c r="H217" s="58" t="e">
        <f>IF('M&amp;R Stations'!#REF!="","",F217+H216)</f>
        <v>#REF!</v>
      </c>
      <c r="I217" s="58"/>
      <c r="J217" s="57" t="e">
        <f t="shared" si="49"/>
        <v>#REF!</v>
      </c>
      <c r="K217" s="58" t="e">
        <f t="shared" si="51"/>
        <v>#REF!</v>
      </c>
      <c r="L217" s="58" t="e">
        <f t="shared" si="52"/>
        <v>#REF!</v>
      </c>
      <c r="M217" s="58"/>
      <c r="N217" s="73" t="e">
        <f>IF(F217="","",ROUND((('M&amp;R Stations'!#REF!+'M&amp;R Stations'!#REF!)-('NG Utilization'!C217+'NG Utilization'!D217+'NG Utilization'!E217)-'LNG Facilities'!#REF!)*ROUND(((('M&amp;R Stations'!#REF!*'M&amp;R Stations'!L204)+('M&amp;R Stations'!#REF!*'M&amp;R Stations'!F204))/1000)/('M&amp;R Stations'!#REF!+'M&amp;R Stations'!#REF!),3),0)+ROUND((('LNG Facilities'!F204*'LNG Facilities'!K204+'LNG Facilities'!G204*'LNG Facilities'!L204+'LNG Facilities'!H204*'LNG Facilities'!M204+'LNG Facilities'!R204*'LNG Facilities'!W204+'LNG Facilities'!S204*'LNG Facilities'!X204+'LNG Facilities'!T204*'LNG Facilities'!#REF!)/1000),0))</f>
        <v>#REF!</v>
      </c>
      <c r="O217" s="58" t="e">
        <f t="shared" si="53"/>
        <v>#REF!</v>
      </c>
      <c r="P217" s="58" t="e">
        <f t="shared" si="54"/>
        <v>#REF!</v>
      </c>
      <c r="Q217" s="58"/>
      <c r="R217" s="57" t="e">
        <f t="shared" si="50"/>
        <v>#REF!</v>
      </c>
      <c r="S217" s="58" t="e">
        <f t="shared" si="55"/>
        <v>#REF!</v>
      </c>
      <c r="T217" s="58" t="e">
        <f t="shared" si="56"/>
        <v>#REF!</v>
      </c>
      <c r="U217" s="59"/>
      <c r="V217" s="59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</row>
    <row r="218" spans="1:46" x14ac:dyDescent="0.25">
      <c r="A218" s="31">
        <f>'M&amp;R Stations'!A205</f>
        <v>39164</v>
      </c>
      <c r="B218" s="89"/>
      <c r="C218" s="227">
        <v>243827</v>
      </c>
      <c r="D218" s="225">
        <v>163275.5</v>
      </c>
      <c r="E218" s="185"/>
      <c r="F218" s="72" t="e">
        <f>IF('M&amp;R Stations'!#REF!="","",('M&amp;R Stations'!#REF!+'M&amp;R Stations'!#REF!)+('LNG Facilities'!F205+'LNG Facilities'!G205+'LNG Facilities'!H205+'LNG Facilities'!R205+'LNG Facilities'!S205+'LNG Facilities'!T205)-'LNG Facilities'!#REF!-('NG Utilization'!C218+'NG Utilization'!D218+'NG Utilization'!E218))</f>
        <v>#REF!</v>
      </c>
      <c r="G218" s="58" t="e">
        <f>IF('M&amp;R Stations'!#REF!="","",F218+G217)</f>
        <v>#REF!</v>
      </c>
      <c r="H218" s="58" t="e">
        <f>IF('M&amp;R Stations'!#REF!="","",F218+H217)</f>
        <v>#REF!</v>
      </c>
      <c r="I218" s="58"/>
      <c r="J218" s="57" t="e">
        <f t="shared" si="49"/>
        <v>#REF!</v>
      </c>
      <c r="K218" s="58" t="e">
        <f t="shared" si="51"/>
        <v>#REF!</v>
      </c>
      <c r="L218" s="58" t="e">
        <f t="shared" si="52"/>
        <v>#REF!</v>
      </c>
      <c r="M218" s="58"/>
      <c r="N218" s="73" t="e">
        <f>IF(F218="","",ROUND((('M&amp;R Stations'!#REF!+'M&amp;R Stations'!#REF!)-('NG Utilization'!C218+'NG Utilization'!D218+'NG Utilization'!E218)-'LNG Facilities'!#REF!)*ROUND(((('M&amp;R Stations'!#REF!*'M&amp;R Stations'!L205)+('M&amp;R Stations'!#REF!*'M&amp;R Stations'!F205))/1000)/('M&amp;R Stations'!#REF!+'M&amp;R Stations'!#REF!),3),0)+ROUND((('LNG Facilities'!F205*'LNG Facilities'!K205+'LNG Facilities'!G205*'LNG Facilities'!L205+'LNG Facilities'!H205*'LNG Facilities'!M205+'LNG Facilities'!R205*'LNG Facilities'!W205+'LNG Facilities'!S205*'LNG Facilities'!X205+'LNG Facilities'!T205*'LNG Facilities'!#REF!)/1000),0))</f>
        <v>#REF!</v>
      </c>
      <c r="O218" s="58" t="e">
        <f t="shared" si="53"/>
        <v>#REF!</v>
      </c>
      <c r="P218" s="58" t="e">
        <f t="shared" si="54"/>
        <v>#REF!</v>
      </c>
      <c r="Q218" s="58"/>
      <c r="R218" s="57" t="e">
        <f t="shared" si="50"/>
        <v>#REF!</v>
      </c>
      <c r="S218" s="58" t="e">
        <f t="shared" si="55"/>
        <v>#REF!</v>
      </c>
      <c r="T218" s="58" t="e">
        <f t="shared" si="56"/>
        <v>#REF!</v>
      </c>
      <c r="U218" s="59"/>
      <c r="V218" s="59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</row>
    <row r="219" spans="1:46" x14ac:dyDescent="0.25">
      <c r="A219" s="31">
        <f>'M&amp;R Stations'!A206</f>
        <v>39165</v>
      </c>
      <c r="B219" s="89"/>
      <c r="C219" s="227">
        <v>211212</v>
      </c>
      <c r="D219" s="225">
        <v>182744.7</v>
      </c>
      <c r="E219" s="185"/>
      <c r="F219" s="72" t="e">
        <f>IF('M&amp;R Stations'!#REF!="","",('M&amp;R Stations'!#REF!+'M&amp;R Stations'!#REF!)+('LNG Facilities'!F206+'LNG Facilities'!G206+'LNG Facilities'!H206+'LNG Facilities'!R206+'LNG Facilities'!S206+'LNG Facilities'!T206)-'LNG Facilities'!#REF!-('NG Utilization'!C219+'NG Utilization'!D219+'NG Utilization'!E219))</f>
        <v>#REF!</v>
      </c>
      <c r="G219" s="58" t="e">
        <f>IF('M&amp;R Stations'!#REF!="","",F219+G218)</f>
        <v>#REF!</v>
      </c>
      <c r="H219" s="58" t="e">
        <f>IF('M&amp;R Stations'!#REF!="","",F219+H218)</f>
        <v>#REF!</v>
      </c>
      <c r="I219" s="58"/>
      <c r="J219" s="57" t="e">
        <f t="shared" si="49"/>
        <v>#REF!</v>
      </c>
      <c r="K219" s="58" t="e">
        <f t="shared" si="51"/>
        <v>#REF!</v>
      </c>
      <c r="L219" s="58" t="e">
        <f t="shared" si="52"/>
        <v>#REF!</v>
      </c>
      <c r="M219" s="58"/>
      <c r="N219" s="73" t="e">
        <f>IF(F219="","",ROUND((('M&amp;R Stations'!#REF!+'M&amp;R Stations'!#REF!)-('NG Utilization'!C219+'NG Utilization'!D219+'NG Utilization'!E219)-'LNG Facilities'!#REF!)*ROUND(((('M&amp;R Stations'!#REF!*'M&amp;R Stations'!L206)+('M&amp;R Stations'!#REF!*'M&amp;R Stations'!F206))/1000)/('M&amp;R Stations'!#REF!+'M&amp;R Stations'!#REF!),3),0)+ROUND((('LNG Facilities'!F206*'LNG Facilities'!K206+'LNG Facilities'!G206*'LNG Facilities'!L206+'LNG Facilities'!H206*'LNG Facilities'!M206+'LNG Facilities'!R206*'LNG Facilities'!W206+'LNG Facilities'!S206*'LNG Facilities'!X206+'LNG Facilities'!T206*'LNG Facilities'!#REF!)/1000),0))</f>
        <v>#REF!</v>
      </c>
      <c r="O219" s="58" t="e">
        <f t="shared" si="53"/>
        <v>#REF!</v>
      </c>
      <c r="P219" s="58" t="e">
        <f t="shared" si="54"/>
        <v>#REF!</v>
      </c>
      <c r="Q219" s="58"/>
      <c r="R219" s="57" t="e">
        <f t="shared" si="50"/>
        <v>#REF!</v>
      </c>
      <c r="S219" s="58" t="e">
        <f t="shared" si="55"/>
        <v>#REF!</v>
      </c>
      <c r="T219" s="58" t="e">
        <f t="shared" si="56"/>
        <v>#REF!</v>
      </c>
      <c r="U219" s="59"/>
      <c r="V219" s="59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</row>
    <row r="220" spans="1:46" x14ac:dyDescent="0.25">
      <c r="A220" s="31">
        <f>'M&amp;R Stations'!A207</f>
        <v>39166</v>
      </c>
      <c r="B220" s="89"/>
      <c r="C220" s="227">
        <v>241153</v>
      </c>
      <c r="D220" s="225">
        <v>250886.6</v>
      </c>
      <c r="E220" s="185"/>
      <c r="F220" s="72" t="e">
        <f>IF('M&amp;R Stations'!#REF!="","",('M&amp;R Stations'!#REF!+'M&amp;R Stations'!#REF!)+('LNG Facilities'!F207+'LNG Facilities'!G207+'LNG Facilities'!H207+'LNG Facilities'!R207+'LNG Facilities'!S207+'LNG Facilities'!T207)-'LNG Facilities'!#REF!-('NG Utilization'!C220+'NG Utilization'!D220+'NG Utilization'!E220))</f>
        <v>#REF!</v>
      </c>
      <c r="G220" s="58" t="e">
        <f>IF('M&amp;R Stations'!#REF!="","",F220+G219)</f>
        <v>#REF!</v>
      </c>
      <c r="H220" s="58" t="e">
        <f>IF('M&amp;R Stations'!#REF!="","",F220+H219)</f>
        <v>#REF!</v>
      </c>
      <c r="I220" s="58"/>
      <c r="J220" s="57" t="e">
        <f t="shared" si="49"/>
        <v>#REF!</v>
      </c>
      <c r="K220" s="58" t="e">
        <f t="shared" si="51"/>
        <v>#REF!</v>
      </c>
      <c r="L220" s="58" t="e">
        <f t="shared" si="52"/>
        <v>#REF!</v>
      </c>
      <c r="M220" s="58"/>
      <c r="N220" s="73" t="e">
        <f>IF(F220="","",ROUND((('M&amp;R Stations'!#REF!+'M&amp;R Stations'!#REF!)-('NG Utilization'!C220+'NG Utilization'!D220+'NG Utilization'!E220)-'LNG Facilities'!#REF!)*ROUND(((('M&amp;R Stations'!#REF!*'M&amp;R Stations'!L207)+('M&amp;R Stations'!#REF!*'M&amp;R Stations'!F207))/1000)/('M&amp;R Stations'!#REF!+'M&amp;R Stations'!#REF!),3),0)+ROUND((('LNG Facilities'!F207*'LNG Facilities'!K207+'LNG Facilities'!G207*'LNG Facilities'!L207+'LNG Facilities'!H207*'LNG Facilities'!M207+'LNG Facilities'!R207*'LNG Facilities'!W207+'LNG Facilities'!S207*'LNG Facilities'!X207+'LNG Facilities'!T207*'LNG Facilities'!#REF!)/1000),0))</f>
        <v>#REF!</v>
      </c>
      <c r="O220" s="58" t="e">
        <f t="shared" si="53"/>
        <v>#REF!</v>
      </c>
      <c r="P220" s="58" t="e">
        <f t="shared" si="54"/>
        <v>#REF!</v>
      </c>
      <c r="Q220" s="58"/>
      <c r="R220" s="57" t="e">
        <f t="shared" si="50"/>
        <v>#REF!</v>
      </c>
      <c r="S220" s="58" t="e">
        <f t="shared" si="55"/>
        <v>#REF!</v>
      </c>
      <c r="T220" s="58" t="e">
        <f t="shared" si="56"/>
        <v>#REF!</v>
      </c>
      <c r="U220" s="59"/>
      <c r="V220" s="59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</row>
    <row r="221" spans="1:46" x14ac:dyDescent="0.25">
      <c r="A221" s="31">
        <f>'M&amp;R Stations'!A208</f>
        <v>39167</v>
      </c>
      <c r="B221" s="89"/>
      <c r="C221" s="227">
        <v>234807</v>
      </c>
      <c r="D221" s="225">
        <v>260621</v>
      </c>
      <c r="E221" s="185"/>
      <c r="F221" s="72" t="e">
        <f>IF('M&amp;R Stations'!#REF!="","",('M&amp;R Stations'!#REF!+'M&amp;R Stations'!#REF!)+('LNG Facilities'!F208+'LNG Facilities'!G208+'LNG Facilities'!H208+'LNG Facilities'!R208+'LNG Facilities'!S208+'LNG Facilities'!T208)-'LNG Facilities'!#REF!-('NG Utilization'!C221+'NG Utilization'!D221+'NG Utilization'!E221))</f>
        <v>#REF!</v>
      </c>
      <c r="G221" s="58" t="e">
        <f>IF('M&amp;R Stations'!#REF!="","",F221+G220)</f>
        <v>#REF!</v>
      </c>
      <c r="H221" s="58" t="e">
        <f>IF('M&amp;R Stations'!#REF!="","",F221+H220)</f>
        <v>#REF!</v>
      </c>
      <c r="I221" s="58"/>
      <c r="J221" s="57" t="e">
        <f t="shared" si="49"/>
        <v>#REF!</v>
      </c>
      <c r="K221" s="58" t="e">
        <f t="shared" si="51"/>
        <v>#REF!</v>
      </c>
      <c r="L221" s="58" t="e">
        <f t="shared" si="52"/>
        <v>#REF!</v>
      </c>
      <c r="M221" s="58"/>
      <c r="N221" s="73" t="e">
        <f>IF(F221="","",ROUND((('M&amp;R Stations'!#REF!+'M&amp;R Stations'!#REF!)-('NG Utilization'!C221+'NG Utilization'!D221+'NG Utilization'!E221)-'LNG Facilities'!#REF!)*ROUND(((('M&amp;R Stations'!#REF!*'M&amp;R Stations'!L208)+('M&amp;R Stations'!#REF!*'M&amp;R Stations'!F208))/1000)/('M&amp;R Stations'!#REF!+'M&amp;R Stations'!#REF!),3),0)+ROUND((('LNG Facilities'!F208*'LNG Facilities'!K208+'LNG Facilities'!G208*'LNG Facilities'!L208+'LNG Facilities'!H208*'LNG Facilities'!M208+'LNG Facilities'!R208*'LNG Facilities'!W208+'LNG Facilities'!S208*'LNG Facilities'!X208+'LNG Facilities'!T208*'LNG Facilities'!#REF!)/1000),0))</f>
        <v>#REF!</v>
      </c>
      <c r="O221" s="58" t="e">
        <f t="shared" si="53"/>
        <v>#REF!</v>
      </c>
      <c r="P221" s="58" t="e">
        <f t="shared" si="54"/>
        <v>#REF!</v>
      </c>
      <c r="Q221" s="58"/>
      <c r="R221" s="57" t="e">
        <f t="shared" si="50"/>
        <v>#REF!</v>
      </c>
      <c r="S221" s="58" t="e">
        <f t="shared" si="55"/>
        <v>#REF!</v>
      </c>
      <c r="T221" s="58" t="e">
        <f t="shared" si="56"/>
        <v>#REF!</v>
      </c>
      <c r="U221" s="59"/>
      <c r="V221" s="59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</row>
    <row r="222" spans="1:46" x14ac:dyDescent="0.25">
      <c r="A222" s="31">
        <f>'M&amp;R Stations'!A209</f>
        <v>39168</v>
      </c>
      <c r="B222" s="89"/>
      <c r="C222" s="227">
        <v>190918</v>
      </c>
      <c r="D222" s="225">
        <v>260621</v>
      </c>
      <c r="E222" s="185"/>
      <c r="F222" s="72" t="e">
        <f>IF('M&amp;R Stations'!#REF!="","",('M&amp;R Stations'!#REF!+'M&amp;R Stations'!#REF!)+('LNG Facilities'!F209+'LNG Facilities'!G209+'LNG Facilities'!H209+'LNG Facilities'!R209+'LNG Facilities'!S209+'LNG Facilities'!T209)-'LNG Facilities'!#REF!-('NG Utilization'!C222+'NG Utilization'!D222+'NG Utilization'!E222))</f>
        <v>#REF!</v>
      </c>
      <c r="G222" s="58" t="e">
        <f>IF('M&amp;R Stations'!#REF!="","",F222+G221)</f>
        <v>#REF!</v>
      </c>
      <c r="H222" s="58" t="e">
        <f>IF('M&amp;R Stations'!#REF!="","",F222+H221)</f>
        <v>#REF!</v>
      </c>
      <c r="I222" s="58"/>
      <c r="J222" s="57" t="e">
        <f t="shared" si="49"/>
        <v>#REF!</v>
      </c>
      <c r="K222" s="58" t="e">
        <f t="shared" si="51"/>
        <v>#REF!</v>
      </c>
      <c r="L222" s="58" t="e">
        <f t="shared" si="52"/>
        <v>#REF!</v>
      </c>
      <c r="M222" s="58"/>
      <c r="N222" s="73" t="e">
        <f>IF(F222="","",ROUND((('M&amp;R Stations'!#REF!+'M&amp;R Stations'!#REF!)-('NG Utilization'!C222+'NG Utilization'!D222+'NG Utilization'!E222)-'LNG Facilities'!#REF!)*ROUND(((('M&amp;R Stations'!#REF!*'M&amp;R Stations'!L209)+('M&amp;R Stations'!#REF!*'M&amp;R Stations'!F209))/1000)/('M&amp;R Stations'!#REF!+'M&amp;R Stations'!#REF!),3),0)+ROUND((('LNG Facilities'!F209*'LNG Facilities'!K209+'LNG Facilities'!G209*'LNG Facilities'!L209+'LNG Facilities'!H209*'LNG Facilities'!M209+'LNG Facilities'!R209*'LNG Facilities'!W209+'LNG Facilities'!S209*'LNG Facilities'!X209+'LNG Facilities'!T209*'LNG Facilities'!#REF!)/1000),0))</f>
        <v>#REF!</v>
      </c>
      <c r="O222" s="58" t="e">
        <f t="shared" si="53"/>
        <v>#REF!</v>
      </c>
      <c r="P222" s="58" t="e">
        <f t="shared" si="54"/>
        <v>#REF!</v>
      </c>
      <c r="Q222" s="58"/>
      <c r="R222" s="57" t="e">
        <f t="shared" si="50"/>
        <v>#REF!</v>
      </c>
      <c r="S222" s="58" t="e">
        <f t="shared" si="55"/>
        <v>#REF!</v>
      </c>
      <c r="T222" s="58" t="e">
        <f t="shared" si="56"/>
        <v>#REF!</v>
      </c>
      <c r="U222" s="59"/>
      <c r="V222" s="59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</row>
    <row r="223" spans="1:46" x14ac:dyDescent="0.25">
      <c r="A223" s="31">
        <f>'M&amp;R Stations'!A210</f>
        <v>39169</v>
      </c>
      <c r="B223" s="89"/>
      <c r="C223" s="227">
        <v>198244</v>
      </c>
      <c r="D223" s="225">
        <v>270356</v>
      </c>
      <c r="E223" s="185"/>
      <c r="F223" s="72" t="e">
        <f>IF('M&amp;R Stations'!#REF!="","",('M&amp;R Stations'!#REF!+'M&amp;R Stations'!#REF!)+('LNG Facilities'!F210+'LNG Facilities'!G210+'LNG Facilities'!H210+'LNG Facilities'!R210+'LNG Facilities'!S210+'LNG Facilities'!T210)-'LNG Facilities'!#REF!-('NG Utilization'!C223+'NG Utilization'!D223+'NG Utilization'!E223))</f>
        <v>#REF!</v>
      </c>
      <c r="G223" s="58" t="e">
        <f>IF('M&amp;R Stations'!#REF!="","",F223+G222)</f>
        <v>#REF!</v>
      </c>
      <c r="H223" s="58" t="e">
        <f>IF('M&amp;R Stations'!#REF!="","",F223+H222)</f>
        <v>#REF!</v>
      </c>
      <c r="I223" s="58"/>
      <c r="J223" s="57" t="e">
        <f t="shared" si="49"/>
        <v>#REF!</v>
      </c>
      <c r="K223" s="58" t="e">
        <f t="shared" si="51"/>
        <v>#REF!</v>
      </c>
      <c r="L223" s="58" t="e">
        <f t="shared" si="52"/>
        <v>#REF!</v>
      </c>
      <c r="M223" s="58"/>
      <c r="N223" s="73" t="e">
        <f>IF(F223="","",ROUND((('M&amp;R Stations'!#REF!+'M&amp;R Stations'!#REF!)-('NG Utilization'!C223+'NG Utilization'!D223+'NG Utilization'!E223)-'LNG Facilities'!#REF!)*ROUND(((('M&amp;R Stations'!#REF!*'M&amp;R Stations'!L210)+('M&amp;R Stations'!#REF!*'M&amp;R Stations'!F210))/1000)/('M&amp;R Stations'!#REF!+'M&amp;R Stations'!#REF!),3),0)+ROUND((('LNG Facilities'!F210*'LNG Facilities'!K210+'LNG Facilities'!G210*'LNG Facilities'!L210+'LNG Facilities'!H210*'LNG Facilities'!M210+'LNG Facilities'!R210*'LNG Facilities'!W210+'LNG Facilities'!S210*'LNG Facilities'!X210+'LNG Facilities'!T210*'LNG Facilities'!#REF!)/1000),0))</f>
        <v>#REF!</v>
      </c>
      <c r="O223" s="58" t="e">
        <f t="shared" si="53"/>
        <v>#REF!</v>
      </c>
      <c r="P223" s="58" t="e">
        <f t="shared" si="54"/>
        <v>#REF!</v>
      </c>
      <c r="Q223" s="58"/>
      <c r="R223" s="57" t="e">
        <f t="shared" si="50"/>
        <v>#REF!</v>
      </c>
      <c r="S223" s="58" t="e">
        <f t="shared" si="55"/>
        <v>#REF!</v>
      </c>
      <c r="T223" s="58" t="e">
        <f t="shared" si="56"/>
        <v>#REF!</v>
      </c>
      <c r="U223" s="59"/>
      <c r="V223" s="59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</row>
    <row r="224" spans="1:46" x14ac:dyDescent="0.25">
      <c r="A224" s="31">
        <f>'M&amp;R Stations'!A211</f>
        <v>39170</v>
      </c>
      <c r="B224" s="89"/>
      <c r="C224" s="227">
        <v>146674</v>
      </c>
      <c r="D224" s="225">
        <v>270356</v>
      </c>
      <c r="E224" s="185"/>
      <c r="F224" s="72" t="e">
        <f>IF('M&amp;R Stations'!#REF!="","",('M&amp;R Stations'!#REF!+'M&amp;R Stations'!#REF!)+('LNG Facilities'!F211+'LNG Facilities'!G211+'LNG Facilities'!H211+'LNG Facilities'!R211+'LNG Facilities'!S211+'LNG Facilities'!T211)-'LNG Facilities'!#REF!-('NG Utilization'!C224+'NG Utilization'!D224+'NG Utilization'!E224))</f>
        <v>#REF!</v>
      </c>
      <c r="G224" s="58" t="e">
        <f>IF('M&amp;R Stations'!#REF!="","",F224+G223)</f>
        <v>#REF!</v>
      </c>
      <c r="H224" s="58" t="e">
        <f>IF('M&amp;R Stations'!#REF!="","",F224+H223)</f>
        <v>#REF!</v>
      </c>
      <c r="I224" s="58"/>
      <c r="J224" s="57" t="e">
        <f t="shared" si="49"/>
        <v>#REF!</v>
      </c>
      <c r="K224" s="58" t="e">
        <f t="shared" si="51"/>
        <v>#REF!</v>
      </c>
      <c r="L224" s="58" t="e">
        <f t="shared" si="52"/>
        <v>#REF!</v>
      </c>
      <c r="M224" s="58"/>
      <c r="N224" s="73" t="e">
        <f>IF(F224="","",ROUND((('M&amp;R Stations'!#REF!+'M&amp;R Stations'!#REF!)-('NG Utilization'!C224+'NG Utilization'!D224+'NG Utilization'!E224)-'LNG Facilities'!#REF!)*ROUND(((('M&amp;R Stations'!#REF!*'M&amp;R Stations'!L211)+('M&amp;R Stations'!#REF!*'M&amp;R Stations'!F211))/1000)/('M&amp;R Stations'!#REF!+'M&amp;R Stations'!#REF!),3),0)+ROUND((('LNG Facilities'!F211*'LNG Facilities'!K211+'LNG Facilities'!G211*'LNG Facilities'!L211+'LNG Facilities'!H211*'LNG Facilities'!M211+'LNG Facilities'!R211*'LNG Facilities'!W211+'LNG Facilities'!S211*'LNG Facilities'!X211+'LNG Facilities'!T211*'LNG Facilities'!#REF!)/1000),0))</f>
        <v>#REF!</v>
      </c>
      <c r="O224" s="58" t="e">
        <f t="shared" si="53"/>
        <v>#REF!</v>
      </c>
      <c r="P224" s="58" t="e">
        <f t="shared" si="54"/>
        <v>#REF!</v>
      </c>
      <c r="Q224" s="58"/>
      <c r="R224" s="57" t="e">
        <f t="shared" si="50"/>
        <v>#REF!</v>
      </c>
      <c r="S224" s="58" t="e">
        <f t="shared" si="55"/>
        <v>#REF!</v>
      </c>
      <c r="T224" s="58" t="e">
        <f t="shared" si="56"/>
        <v>#REF!</v>
      </c>
      <c r="U224" s="59"/>
      <c r="V224" s="59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</row>
    <row r="225" spans="1:46" x14ac:dyDescent="0.25">
      <c r="A225" s="31">
        <f>'M&amp;R Stations'!A212</f>
        <v>39171</v>
      </c>
      <c r="B225" s="89"/>
      <c r="C225" s="227">
        <v>122389</v>
      </c>
      <c r="D225" s="225">
        <v>280090.3</v>
      </c>
      <c r="E225" s="185"/>
      <c r="F225" s="72" t="e">
        <f>IF('M&amp;R Stations'!#REF!="","",('M&amp;R Stations'!#REF!+'M&amp;R Stations'!#REF!)+('LNG Facilities'!F212+'LNG Facilities'!G212+'LNG Facilities'!H212+'LNG Facilities'!R212+'LNG Facilities'!S212+'LNG Facilities'!T212)-'LNG Facilities'!#REF!-('NG Utilization'!C225+'NG Utilization'!D225+'NG Utilization'!E225))</f>
        <v>#REF!</v>
      </c>
      <c r="G225" s="58" t="e">
        <f>IF('M&amp;R Stations'!#REF!="","",F225+G224)</f>
        <v>#REF!</v>
      </c>
      <c r="H225" s="58" t="e">
        <f>IF('M&amp;R Stations'!#REF!="","",F225+H224)</f>
        <v>#REF!</v>
      </c>
      <c r="I225" s="58"/>
      <c r="J225" s="57" t="e">
        <f t="shared" si="49"/>
        <v>#REF!</v>
      </c>
      <c r="K225" s="58" t="e">
        <f t="shared" si="51"/>
        <v>#REF!</v>
      </c>
      <c r="L225" s="58" t="e">
        <f t="shared" si="52"/>
        <v>#REF!</v>
      </c>
      <c r="M225" s="58"/>
      <c r="N225" s="73" t="e">
        <f>IF(F225="","",ROUND((('M&amp;R Stations'!#REF!+'M&amp;R Stations'!#REF!)-('NG Utilization'!C225+'NG Utilization'!D225+'NG Utilization'!E225)-'LNG Facilities'!#REF!)*ROUND(((('M&amp;R Stations'!#REF!*'M&amp;R Stations'!L212)+('M&amp;R Stations'!#REF!*'M&amp;R Stations'!F212))/1000)/('M&amp;R Stations'!#REF!+'M&amp;R Stations'!#REF!),3),0)+ROUND((('LNG Facilities'!F212*'LNG Facilities'!K212+'LNG Facilities'!G212*'LNG Facilities'!L212+'LNG Facilities'!H212*'LNG Facilities'!M212+'LNG Facilities'!R212*'LNG Facilities'!W212+'LNG Facilities'!S212*'LNG Facilities'!X212+'LNG Facilities'!T212*'LNG Facilities'!#REF!)/1000),0))</f>
        <v>#REF!</v>
      </c>
      <c r="O225" s="58" t="e">
        <f t="shared" si="53"/>
        <v>#REF!</v>
      </c>
      <c r="P225" s="58" t="e">
        <f t="shared" si="54"/>
        <v>#REF!</v>
      </c>
      <c r="Q225" s="58"/>
      <c r="R225" s="57" t="e">
        <f t="shared" si="50"/>
        <v>#REF!</v>
      </c>
      <c r="S225" s="58" t="e">
        <f t="shared" si="55"/>
        <v>#REF!</v>
      </c>
      <c r="T225" s="58" t="e">
        <f t="shared" si="56"/>
        <v>#REF!</v>
      </c>
      <c r="U225" s="59"/>
      <c r="V225" s="59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</row>
    <row r="226" spans="1:46" x14ac:dyDescent="0.25">
      <c r="A226" s="31">
        <f>'M&amp;R Stations'!A213</f>
        <v>39172</v>
      </c>
      <c r="B226" s="89"/>
      <c r="C226" s="227">
        <v>91282</v>
      </c>
      <c r="D226" s="225">
        <v>289824.90000000002</v>
      </c>
      <c r="E226" s="185"/>
      <c r="F226" s="72" t="e">
        <f>IF('M&amp;R Stations'!#REF!="","",('M&amp;R Stations'!#REF!+'M&amp;R Stations'!#REF!)+('LNG Facilities'!F213+'LNG Facilities'!G213+'LNG Facilities'!H213+'LNG Facilities'!R213+'LNG Facilities'!S213+'LNG Facilities'!T213)-'LNG Facilities'!#REF!-('NG Utilization'!C226+'NG Utilization'!D226+'NG Utilization'!E226))</f>
        <v>#REF!</v>
      </c>
      <c r="G226" s="58" t="e">
        <f>IF('M&amp;R Stations'!#REF!="","",F226+G225)</f>
        <v>#REF!</v>
      </c>
      <c r="H226" s="58" t="e">
        <f>IF('M&amp;R Stations'!#REF!="","",F226+H225)</f>
        <v>#REF!</v>
      </c>
      <c r="I226" s="58"/>
      <c r="J226" s="57" t="e">
        <f t="shared" si="49"/>
        <v>#REF!</v>
      </c>
      <c r="K226" s="58" t="e">
        <f>IF(J226="","",J226+K225)</f>
        <v>#REF!</v>
      </c>
      <c r="L226" s="58" t="e">
        <f>IF(J226="","",J226+L225)</f>
        <v>#REF!</v>
      </c>
      <c r="M226" s="58"/>
      <c r="N226" s="73" t="e">
        <f>IF(F226="","",ROUND((('M&amp;R Stations'!#REF!+'M&amp;R Stations'!#REF!)-('NG Utilization'!C226+'NG Utilization'!D226+'NG Utilization'!E226)-'LNG Facilities'!#REF!)*ROUND(((('M&amp;R Stations'!#REF!*'M&amp;R Stations'!L213)+('M&amp;R Stations'!#REF!*'M&amp;R Stations'!F213))/1000)/('M&amp;R Stations'!#REF!+'M&amp;R Stations'!#REF!),3),0)+ROUND((('LNG Facilities'!F213*'LNG Facilities'!K213+'LNG Facilities'!G213*'LNG Facilities'!L213+'LNG Facilities'!H213*'LNG Facilities'!M213+'LNG Facilities'!R213*'LNG Facilities'!W213+'LNG Facilities'!S213*'LNG Facilities'!X213+'LNG Facilities'!T213*'LNG Facilities'!#REF!)/1000),0))</f>
        <v>#REF!</v>
      </c>
      <c r="O226" s="58" t="e">
        <f>IF(N226="","",N226+O225)</f>
        <v>#REF!</v>
      </c>
      <c r="P226" s="58" t="e">
        <f>IF(N226="","",N226+P225)</f>
        <v>#REF!</v>
      </c>
      <c r="Q226" s="58"/>
      <c r="R226" s="57" t="e">
        <f t="shared" si="50"/>
        <v>#REF!</v>
      </c>
      <c r="S226" s="58" t="e">
        <f>IF(R226="","",R226+S225)</f>
        <v>#REF!</v>
      </c>
      <c r="T226" s="58" t="e">
        <f>IF(R226="","",R226+T225)</f>
        <v>#REF!</v>
      </c>
      <c r="U226" s="59"/>
      <c r="V226" s="59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</row>
    <row r="227" spans="1:46" x14ac:dyDescent="0.25">
      <c r="A227" s="179"/>
      <c r="B227" s="178"/>
      <c r="C227" s="178"/>
      <c r="D227" s="178"/>
      <c r="E227" s="187"/>
      <c r="F227" s="180"/>
      <c r="G227" s="181"/>
      <c r="H227" s="181"/>
      <c r="I227" s="181"/>
      <c r="J227" s="182"/>
      <c r="K227" s="181"/>
      <c r="L227" s="181"/>
      <c r="M227" s="181"/>
      <c r="N227" s="183"/>
      <c r="O227" s="181"/>
      <c r="P227" s="181"/>
      <c r="Q227" s="181"/>
      <c r="R227" s="182"/>
      <c r="S227" s="181"/>
      <c r="T227" s="181"/>
      <c r="U227" s="59"/>
      <c r="V227" s="59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</row>
    <row r="228" spans="1:46" x14ac:dyDescent="0.25">
      <c r="A228" s="31">
        <f>'M&amp;R Stations'!A214</f>
        <v>39173</v>
      </c>
      <c r="B228" s="89"/>
      <c r="C228" s="227">
        <v>97474</v>
      </c>
      <c r="D228" s="225">
        <v>174079</v>
      </c>
      <c r="E228" s="185"/>
      <c r="F228" s="72" t="e">
        <f>IF('M&amp;R Stations'!#REF!="","",('M&amp;R Stations'!#REF!+'M&amp;R Stations'!#REF!)+('LNG Facilities'!F214+'LNG Facilities'!G214+'LNG Facilities'!H214+'LNG Facilities'!R214+'LNG Facilities'!S214+'LNG Facilities'!T214)-'LNG Facilities'!#REF!-('NG Utilization'!C228+'NG Utilization'!D228+'NG Utilization'!E228))</f>
        <v>#REF!</v>
      </c>
      <c r="G228" s="58" t="e">
        <f>IF('M&amp;R Stations'!#REF!="","",F228)</f>
        <v>#REF!</v>
      </c>
      <c r="H228" s="58" t="e">
        <f>IF('M&amp;R Stations'!#REF!="","",F228+H226)</f>
        <v>#REF!</v>
      </c>
      <c r="I228" s="58"/>
      <c r="J228" s="57" t="e">
        <f t="shared" ref="J228:J257" si="57">IF(F228="","",C228)</f>
        <v>#REF!</v>
      </c>
      <c r="K228" s="58" t="e">
        <f>IF(J228="","",J228)</f>
        <v>#REF!</v>
      </c>
      <c r="L228" s="58" t="e">
        <f>IF(J228="","",J228+L226)</f>
        <v>#REF!</v>
      </c>
      <c r="M228" s="58"/>
      <c r="N228" s="73" t="e">
        <f>IF(F228="","",ROUND((('M&amp;R Stations'!#REF!+'M&amp;R Stations'!#REF!)-('NG Utilization'!C228+'NG Utilization'!D228+'NG Utilization'!E228)-'LNG Facilities'!#REF!)*ROUND(((('M&amp;R Stations'!#REF!*'M&amp;R Stations'!L214)+('M&amp;R Stations'!#REF!*'M&amp;R Stations'!F214))/1000)/('M&amp;R Stations'!#REF!+'M&amp;R Stations'!#REF!),3),0)+ROUND((('LNG Facilities'!F214*'LNG Facilities'!K214+'LNG Facilities'!G214*'LNG Facilities'!L214+'LNG Facilities'!H214*'LNG Facilities'!M214+'LNG Facilities'!R214*'LNG Facilities'!W214+'LNG Facilities'!S214*'LNG Facilities'!X214+'LNG Facilities'!T214*'LNG Facilities'!#REF!)/1000),0))</f>
        <v>#REF!</v>
      </c>
      <c r="O228" s="58" t="e">
        <f>IF(N228="","",N228)</f>
        <v>#REF!</v>
      </c>
      <c r="P228" s="58" t="e">
        <f>IF(N228="","",N228+P226)</f>
        <v>#REF!</v>
      </c>
      <c r="Q228" s="58"/>
      <c r="R228" s="57" t="e">
        <f t="shared" ref="R228:R257" si="58">IF(F228="","",D228)</f>
        <v>#REF!</v>
      </c>
      <c r="S228" s="58" t="e">
        <f>IF(R228="","",R228)</f>
        <v>#REF!</v>
      </c>
      <c r="T228" s="58" t="e">
        <f>IF(R228="","",R228+T226)</f>
        <v>#REF!</v>
      </c>
      <c r="U228" s="59"/>
      <c r="V228" s="59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</row>
    <row r="229" spans="1:46" x14ac:dyDescent="0.25">
      <c r="A229" s="31">
        <f>'M&amp;R Stations'!A215</f>
        <v>39174</v>
      </c>
      <c r="B229" s="89"/>
      <c r="C229" s="227">
        <v>113674</v>
      </c>
      <c r="D229" s="225">
        <v>97518</v>
      </c>
      <c r="E229" s="185"/>
      <c r="F229" s="72" t="e">
        <f>IF('M&amp;R Stations'!#REF!="","",('M&amp;R Stations'!#REF!+'M&amp;R Stations'!#REF!)+('LNG Facilities'!F215+'LNG Facilities'!G215+'LNG Facilities'!H215+'LNG Facilities'!R215+'LNG Facilities'!S215+'LNG Facilities'!T215)-'LNG Facilities'!#REF!-('NG Utilization'!C229+'NG Utilization'!D229+'NG Utilization'!E229))</f>
        <v>#REF!</v>
      </c>
      <c r="G229" s="58" t="e">
        <f>IF('M&amp;R Stations'!#REF!="","",F229+G228)</f>
        <v>#REF!</v>
      </c>
      <c r="H229" s="58" t="e">
        <f>IF('M&amp;R Stations'!#REF!="","",F229+H228)</f>
        <v>#REF!</v>
      </c>
      <c r="I229" s="58"/>
      <c r="J229" s="57" t="e">
        <f t="shared" si="57"/>
        <v>#REF!</v>
      </c>
      <c r="K229" s="58" t="e">
        <f t="shared" ref="K229:K257" si="59">IF(J229="","",J229+K228)</f>
        <v>#REF!</v>
      </c>
      <c r="L229" s="58" t="e">
        <f t="shared" ref="L229:L257" si="60">IF(J229="","",J229+L228)</f>
        <v>#REF!</v>
      </c>
      <c r="M229" s="58"/>
      <c r="N229" s="73" t="e">
        <f>IF(F229="","",ROUND((('M&amp;R Stations'!#REF!+'M&amp;R Stations'!#REF!)-('NG Utilization'!C229+'NG Utilization'!D229+'NG Utilization'!E229)-'LNG Facilities'!#REF!)*ROUND(((('M&amp;R Stations'!#REF!*'M&amp;R Stations'!L215)+('M&amp;R Stations'!#REF!*'M&amp;R Stations'!F215))/1000)/('M&amp;R Stations'!#REF!+'M&amp;R Stations'!#REF!),3),0)+ROUND((('LNG Facilities'!F215*'LNG Facilities'!K215+'LNG Facilities'!G215*'LNG Facilities'!L215+'LNG Facilities'!H215*'LNG Facilities'!M215+'LNG Facilities'!R215*'LNG Facilities'!W215+'LNG Facilities'!S215*'LNG Facilities'!X215+'LNG Facilities'!T215*'LNG Facilities'!#REF!)/1000),0))</f>
        <v>#REF!</v>
      </c>
      <c r="O229" s="58" t="e">
        <f t="shared" ref="O229:O257" si="61">IF(N229="","",N229+O228)</f>
        <v>#REF!</v>
      </c>
      <c r="P229" s="58" t="e">
        <f t="shared" ref="P229:P257" si="62">IF(N229="","",N229+P228)</f>
        <v>#REF!</v>
      </c>
      <c r="Q229" s="58"/>
      <c r="R229" s="57" t="e">
        <f t="shared" si="58"/>
        <v>#REF!</v>
      </c>
      <c r="S229" s="58" t="e">
        <f t="shared" ref="S229:S257" si="63">IF(R229="","",R229+S228)</f>
        <v>#REF!</v>
      </c>
      <c r="T229" s="58" t="e">
        <f t="shared" ref="T229:T257" si="64">IF(R229="","",R229+T228)</f>
        <v>#REF!</v>
      </c>
      <c r="U229" s="59"/>
      <c r="V229" s="59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</row>
    <row r="230" spans="1:46" x14ac:dyDescent="0.25">
      <c r="A230" s="31">
        <f>'M&amp;R Stations'!A216</f>
        <v>39175</v>
      </c>
      <c r="B230" s="89"/>
      <c r="C230" s="227">
        <v>154142</v>
      </c>
      <c r="D230" s="225">
        <v>148558</v>
      </c>
      <c r="E230" s="185"/>
      <c r="F230" s="72" t="e">
        <f>IF('M&amp;R Stations'!#REF!="","",('M&amp;R Stations'!#REF!+'M&amp;R Stations'!#REF!)+('LNG Facilities'!F216+'LNG Facilities'!G216+'LNG Facilities'!H216+'LNG Facilities'!R216+'LNG Facilities'!S216+'LNG Facilities'!T216)-'LNG Facilities'!#REF!-('NG Utilization'!C230+'NG Utilization'!D230+'NG Utilization'!E230))</f>
        <v>#REF!</v>
      </c>
      <c r="G230" s="58" t="e">
        <f>IF('M&amp;R Stations'!#REF!="","",F230+G229)</f>
        <v>#REF!</v>
      </c>
      <c r="H230" s="58" t="e">
        <f>IF('M&amp;R Stations'!#REF!="","",F230+H229)</f>
        <v>#REF!</v>
      </c>
      <c r="I230" s="58"/>
      <c r="J230" s="57" t="e">
        <f t="shared" si="57"/>
        <v>#REF!</v>
      </c>
      <c r="K230" s="58" t="e">
        <f t="shared" si="59"/>
        <v>#REF!</v>
      </c>
      <c r="L230" s="58" t="e">
        <f t="shared" si="60"/>
        <v>#REF!</v>
      </c>
      <c r="M230" s="58"/>
      <c r="N230" s="73" t="e">
        <f>IF(F230="","",ROUND((('M&amp;R Stations'!#REF!+'M&amp;R Stations'!#REF!)-('NG Utilization'!C230+'NG Utilization'!D230+'NG Utilization'!E230)-'LNG Facilities'!#REF!)*ROUND(((('M&amp;R Stations'!#REF!*'M&amp;R Stations'!L216)+('M&amp;R Stations'!#REF!*'M&amp;R Stations'!F216))/1000)/('M&amp;R Stations'!#REF!+'M&amp;R Stations'!#REF!),3),0)+ROUND((('LNG Facilities'!F216*'LNG Facilities'!K216+'LNG Facilities'!G216*'LNG Facilities'!L216+'LNG Facilities'!H216*'LNG Facilities'!M216+'LNG Facilities'!R216*'LNG Facilities'!W216+'LNG Facilities'!S216*'LNG Facilities'!X216+'LNG Facilities'!T216*'LNG Facilities'!#REF!)/1000),0))</f>
        <v>#REF!</v>
      </c>
      <c r="O230" s="58" t="e">
        <f t="shared" si="61"/>
        <v>#REF!</v>
      </c>
      <c r="P230" s="58" t="e">
        <f t="shared" si="62"/>
        <v>#REF!</v>
      </c>
      <c r="Q230" s="58"/>
      <c r="R230" s="57" t="e">
        <f t="shared" si="58"/>
        <v>#REF!</v>
      </c>
      <c r="S230" s="58" t="e">
        <f t="shared" si="63"/>
        <v>#REF!</v>
      </c>
      <c r="T230" s="58" t="e">
        <f t="shared" si="64"/>
        <v>#REF!</v>
      </c>
      <c r="U230" s="59"/>
      <c r="V230" s="59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</row>
    <row r="231" spans="1:46" x14ac:dyDescent="0.25">
      <c r="A231" s="31">
        <f>'M&amp;R Stations'!A217</f>
        <v>39176</v>
      </c>
      <c r="B231" s="89"/>
      <c r="C231" s="227">
        <v>182987</v>
      </c>
      <c r="D231" s="225">
        <v>216613</v>
      </c>
      <c r="E231" s="185"/>
      <c r="F231" s="72" t="e">
        <f>IF('M&amp;R Stations'!#REF!="","",('M&amp;R Stations'!#REF!+'M&amp;R Stations'!#REF!)+('LNG Facilities'!F217+'LNG Facilities'!G217+'LNG Facilities'!H217+'LNG Facilities'!R217+'LNG Facilities'!S217+'LNG Facilities'!T217)-'LNG Facilities'!#REF!-('NG Utilization'!C231+'NG Utilization'!D231+'NG Utilization'!E231))</f>
        <v>#REF!</v>
      </c>
      <c r="G231" s="58" t="e">
        <f>IF('M&amp;R Stations'!#REF!="","",F231+G230)</f>
        <v>#REF!</v>
      </c>
      <c r="H231" s="58" t="e">
        <f>IF('M&amp;R Stations'!#REF!="","",F231+H230)</f>
        <v>#REF!</v>
      </c>
      <c r="I231" s="58"/>
      <c r="J231" s="57" t="e">
        <f t="shared" si="57"/>
        <v>#REF!</v>
      </c>
      <c r="K231" s="58" t="e">
        <f t="shared" si="59"/>
        <v>#REF!</v>
      </c>
      <c r="L231" s="58" t="e">
        <f t="shared" si="60"/>
        <v>#REF!</v>
      </c>
      <c r="M231" s="58"/>
      <c r="N231" s="73" t="e">
        <f>IF(F231="","",ROUND((('M&amp;R Stations'!#REF!+'M&amp;R Stations'!#REF!)-('NG Utilization'!C231+'NG Utilization'!D231+'NG Utilization'!E231)-'LNG Facilities'!#REF!)*ROUND(((('M&amp;R Stations'!#REF!*'M&amp;R Stations'!L217)+('M&amp;R Stations'!#REF!*'M&amp;R Stations'!F217))/1000)/('M&amp;R Stations'!#REF!+'M&amp;R Stations'!#REF!),3),0)+ROUND((('LNG Facilities'!F217*'LNG Facilities'!K217+'LNG Facilities'!G217*'LNG Facilities'!L217+'LNG Facilities'!H217*'LNG Facilities'!M217+'LNG Facilities'!R217*'LNG Facilities'!W217+'LNG Facilities'!S217*'LNG Facilities'!X217+'LNG Facilities'!T217*'LNG Facilities'!#REF!)/1000),0))</f>
        <v>#REF!</v>
      </c>
      <c r="O231" s="58" t="e">
        <f t="shared" si="61"/>
        <v>#REF!</v>
      </c>
      <c r="P231" s="58" t="e">
        <f t="shared" si="62"/>
        <v>#REF!</v>
      </c>
      <c r="Q231" s="58"/>
      <c r="R231" s="57" t="e">
        <f t="shared" si="58"/>
        <v>#REF!</v>
      </c>
      <c r="S231" s="58" t="e">
        <f t="shared" si="63"/>
        <v>#REF!</v>
      </c>
      <c r="T231" s="58" t="e">
        <f t="shared" si="64"/>
        <v>#REF!</v>
      </c>
      <c r="U231" s="59"/>
      <c r="V231" s="59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</row>
    <row r="232" spans="1:46" x14ac:dyDescent="0.25">
      <c r="A232" s="31">
        <f>'M&amp;R Stations'!A218</f>
        <v>39177</v>
      </c>
      <c r="B232" s="89"/>
      <c r="C232" s="227">
        <v>230748</v>
      </c>
      <c r="D232" s="225">
        <v>259146.5</v>
      </c>
      <c r="E232" s="185"/>
      <c r="F232" s="72" t="e">
        <f>IF('M&amp;R Stations'!#REF!="","",('M&amp;R Stations'!#REF!+'M&amp;R Stations'!#REF!)+('LNG Facilities'!F218+'LNG Facilities'!G218+'LNG Facilities'!H218+'LNG Facilities'!R218+'LNG Facilities'!S218+'LNG Facilities'!T218)-'LNG Facilities'!#REF!-('NG Utilization'!C232+'NG Utilization'!D232+'NG Utilization'!E232))</f>
        <v>#REF!</v>
      </c>
      <c r="G232" s="58" t="e">
        <f>IF('M&amp;R Stations'!#REF!="","",F232+G231)</f>
        <v>#REF!</v>
      </c>
      <c r="H232" s="58" t="e">
        <f>IF('M&amp;R Stations'!#REF!="","",F232+H231)</f>
        <v>#REF!</v>
      </c>
      <c r="I232" s="58"/>
      <c r="J232" s="57" t="e">
        <f t="shared" si="57"/>
        <v>#REF!</v>
      </c>
      <c r="K232" s="58" t="e">
        <f t="shared" si="59"/>
        <v>#REF!</v>
      </c>
      <c r="L232" s="58" t="e">
        <f t="shared" si="60"/>
        <v>#REF!</v>
      </c>
      <c r="M232" s="58"/>
      <c r="N232" s="73" t="e">
        <f>IF(F232="","",ROUND((('M&amp;R Stations'!#REF!+'M&amp;R Stations'!#REF!)-('NG Utilization'!C232+'NG Utilization'!D232+'NG Utilization'!E232)-'LNG Facilities'!#REF!)*ROUND(((('M&amp;R Stations'!#REF!*'M&amp;R Stations'!L218)+('M&amp;R Stations'!#REF!*'M&amp;R Stations'!F218))/1000)/('M&amp;R Stations'!#REF!+'M&amp;R Stations'!#REF!),3),0)+ROUND((('LNG Facilities'!F218*'LNG Facilities'!K218+'LNG Facilities'!G218*'LNG Facilities'!L218+'LNG Facilities'!H218*'LNG Facilities'!M218+'LNG Facilities'!R218*'LNG Facilities'!W218+'LNG Facilities'!S218*'LNG Facilities'!X218+'LNG Facilities'!T218*'LNG Facilities'!#REF!)/1000),0))</f>
        <v>#REF!</v>
      </c>
      <c r="O232" s="58" t="e">
        <f t="shared" si="61"/>
        <v>#REF!</v>
      </c>
      <c r="P232" s="58" t="e">
        <f t="shared" si="62"/>
        <v>#REF!</v>
      </c>
      <c r="Q232" s="58"/>
      <c r="R232" s="57" t="e">
        <f t="shared" si="58"/>
        <v>#REF!</v>
      </c>
      <c r="S232" s="58" t="e">
        <f t="shared" si="63"/>
        <v>#REF!</v>
      </c>
      <c r="T232" s="58" t="e">
        <f t="shared" si="64"/>
        <v>#REF!</v>
      </c>
      <c r="U232" s="59"/>
      <c r="V232" s="59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</row>
    <row r="233" spans="1:46" x14ac:dyDescent="0.25">
      <c r="A233" s="31">
        <f>'M&amp;R Stations'!A219</f>
        <v>39178</v>
      </c>
      <c r="B233" s="89"/>
      <c r="C233" s="227">
        <v>173578</v>
      </c>
      <c r="D233" s="225">
        <v>242133</v>
      </c>
      <c r="E233" s="185"/>
      <c r="F233" s="72" t="e">
        <f>IF('M&amp;R Stations'!#REF!="","",('M&amp;R Stations'!#REF!+'M&amp;R Stations'!#REF!)+('LNG Facilities'!F219+'LNG Facilities'!G219+'LNG Facilities'!H219+'LNG Facilities'!R219+'LNG Facilities'!S219+'LNG Facilities'!T219)-'LNG Facilities'!#REF!-('NG Utilization'!C233+'NG Utilization'!D233+'NG Utilization'!E233))</f>
        <v>#REF!</v>
      </c>
      <c r="G233" s="58" t="e">
        <f>IF('M&amp;R Stations'!#REF!="","",F233+G232)</f>
        <v>#REF!</v>
      </c>
      <c r="H233" s="58" t="e">
        <f>IF('M&amp;R Stations'!#REF!="","",F233+H232)</f>
        <v>#REF!</v>
      </c>
      <c r="I233" s="58"/>
      <c r="J233" s="57" t="e">
        <f t="shared" si="57"/>
        <v>#REF!</v>
      </c>
      <c r="K233" s="58" t="e">
        <f t="shared" si="59"/>
        <v>#REF!</v>
      </c>
      <c r="L233" s="58" t="e">
        <f t="shared" si="60"/>
        <v>#REF!</v>
      </c>
      <c r="M233" s="58"/>
      <c r="N233" s="73" t="e">
        <f>IF(F233="","",ROUND((('M&amp;R Stations'!#REF!+'M&amp;R Stations'!#REF!)-('NG Utilization'!C233+'NG Utilization'!D233+'NG Utilization'!E233)-'LNG Facilities'!#REF!)*ROUND(((('M&amp;R Stations'!#REF!*'M&amp;R Stations'!L219)+('M&amp;R Stations'!#REF!*'M&amp;R Stations'!F219))/1000)/('M&amp;R Stations'!#REF!+'M&amp;R Stations'!#REF!),3),0)+ROUND((('LNG Facilities'!F219*'LNG Facilities'!K219+'LNG Facilities'!G219*'LNG Facilities'!L219+'LNG Facilities'!H219*'LNG Facilities'!M219+'LNG Facilities'!R219*'LNG Facilities'!W219+'LNG Facilities'!S219*'LNG Facilities'!X219+'LNG Facilities'!T219*'LNG Facilities'!#REF!)/1000),0))</f>
        <v>#REF!</v>
      </c>
      <c r="O233" s="58" t="e">
        <f t="shared" si="61"/>
        <v>#REF!</v>
      </c>
      <c r="P233" s="58" t="e">
        <f t="shared" si="62"/>
        <v>#REF!</v>
      </c>
      <c r="Q233" s="58"/>
      <c r="R233" s="57" t="e">
        <f t="shared" si="58"/>
        <v>#REF!</v>
      </c>
      <c r="S233" s="58" t="e">
        <f t="shared" si="63"/>
        <v>#REF!</v>
      </c>
      <c r="T233" s="58" t="e">
        <f t="shared" si="64"/>
        <v>#REF!</v>
      </c>
      <c r="U233" s="59"/>
      <c r="V233" s="59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</row>
    <row r="234" spans="1:46" x14ac:dyDescent="0.25">
      <c r="A234" s="31">
        <f>'M&amp;R Stations'!A220</f>
        <v>39179</v>
      </c>
      <c r="B234" s="89"/>
      <c r="C234" s="227">
        <v>117690</v>
      </c>
      <c r="D234" s="225">
        <v>276160.09999999998</v>
      </c>
      <c r="E234" s="185"/>
      <c r="F234" s="72" t="e">
        <f>IF('M&amp;R Stations'!#REF!="","",('M&amp;R Stations'!#REF!+'M&amp;R Stations'!#REF!)+('LNG Facilities'!F220+'LNG Facilities'!G220+'LNG Facilities'!H220+'LNG Facilities'!R220+'LNG Facilities'!S220+'LNG Facilities'!T220)-'LNG Facilities'!#REF!-('NG Utilization'!C234+'NG Utilization'!D234+'NG Utilization'!E234))</f>
        <v>#REF!</v>
      </c>
      <c r="G234" s="58" t="e">
        <f>IF('M&amp;R Stations'!#REF!="","",F234+G233)</f>
        <v>#REF!</v>
      </c>
      <c r="H234" s="58" t="e">
        <f>IF('M&amp;R Stations'!#REF!="","",F234+H233)</f>
        <v>#REF!</v>
      </c>
      <c r="I234" s="58"/>
      <c r="J234" s="57" t="e">
        <f t="shared" si="57"/>
        <v>#REF!</v>
      </c>
      <c r="K234" s="58" t="e">
        <f t="shared" si="59"/>
        <v>#REF!</v>
      </c>
      <c r="L234" s="58" t="e">
        <f t="shared" si="60"/>
        <v>#REF!</v>
      </c>
      <c r="M234" s="58"/>
      <c r="N234" s="73" t="e">
        <f>IF(F234="","",ROUND((('M&amp;R Stations'!#REF!+'M&amp;R Stations'!#REF!)-('NG Utilization'!C234+'NG Utilization'!D234+'NG Utilization'!E234)-'LNG Facilities'!#REF!)*ROUND(((('M&amp;R Stations'!#REF!*'M&amp;R Stations'!L220)+('M&amp;R Stations'!#REF!*'M&amp;R Stations'!F220))/1000)/('M&amp;R Stations'!#REF!+'M&amp;R Stations'!#REF!),3),0)+ROUND((('LNG Facilities'!F220*'LNG Facilities'!K220+'LNG Facilities'!G220*'LNG Facilities'!L220+'LNG Facilities'!H220*'LNG Facilities'!M220+'LNG Facilities'!R220*'LNG Facilities'!W220+'LNG Facilities'!S220*'LNG Facilities'!X220+'LNG Facilities'!T220*'LNG Facilities'!#REF!)/1000),0))</f>
        <v>#REF!</v>
      </c>
      <c r="O234" s="58" t="e">
        <f t="shared" si="61"/>
        <v>#REF!</v>
      </c>
      <c r="P234" s="58" t="e">
        <f t="shared" si="62"/>
        <v>#REF!</v>
      </c>
      <c r="Q234" s="58"/>
      <c r="R234" s="57" t="e">
        <f t="shared" si="58"/>
        <v>#REF!</v>
      </c>
      <c r="S234" s="58" t="e">
        <f t="shared" si="63"/>
        <v>#REF!</v>
      </c>
      <c r="T234" s="58" t="e">
        <f t="shared" si="64"/>
        <v>#REF!</v>
      </c>
      <c r="U234" s="59"/>
      <c r="V234" s="59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</row>
    <row r="235" spans="1:46" x14ac:dyDescent="0.25">
      <c r="A235" s="31">
        <f>'M&amp;R Stations'!A221</f>
        <v>39180</v>
      </c>
      <c r="B235" s="89"/>
      <c r="C235" s="227">
        <v>225907</v>
      </c>
      <c r="D235" s="225">
        <v>233626.2</v>
      </c>
      <c r="E235" s="185"/>
      <c r="F235" s="72" t="e">
        <f>IF('M&amp;R Stations'!#REF!="","",('M&amp;R Stations'!#REF!+'M&amp;R Stations'!#REF!)+('LNG Facilities'!F221+'LNG Facilities'!G221+'LNG Facilities'!H221+'LNG Facilities'!R221+'LNG Facilities'!S221+'LNG Facilities'!T221)-'LNG Facilities'!#REF!-('NG Utilization'!C235+'NG Utilization'!D235+'NG Utilization'!E235))</f>
        <v>#REF!</v>
      </c>
      <c r="G235" s="58" t="e">
        <f>IF('M&amp;R Stations'!#REF!="","",F235+G234)</f>
        <v>#REF!</v>
      </c>
      <c r="H235" s="58" t="e">
        <f>IF('M&amp;R Stations'!#REF!="","",F235+H234)</f>
        <v>#REF!</v>
      </c>
      <c r="I235" s="58"/>
      <c r="J235" s="57" t="e">
        <f t="shared" si="57"/>
        <v>#REF!</v>
      </c>
      <c r="K235" s="58" t="e">
        <f t="shared" si="59"/>
        <v>#REF!</v>
      </c>
      <c r="L235" s="58" t="e">
        <f t="shared" si="60"/>
        <v>#REF!</v>
      </c>
      <c r="M235" s="58"/>
      <c r="N235" s="73" t="e">
        <f>IF(F235="","",ROUND((('M&amp;R Stations'!#REF!+'M&amp;R Stations'!#REF!)-('NG Utilization'!C235+'NG Utilization'!D235+'NG Utilization'!E235)-'LNG Facilities'!#REF!)*ROUND(((('M&amp;R Stations'!#REF!*'M&amp;R Stations'!L221)+('M&amp;R Stations'!#REF!*'M&amp;R Stations'!F221))/1000)/('M&amp;R Stations'!#REF!+'M&amp;R Stations'!#REF!),3),0)+ROUND((('LNG Facilities'!F221*'LNG Facilities'!K221+'LNG Facilities'!G221*'LNG Facilities'!L221+'LNG Facilities'!H221*'LNG Facilities'!M221+'LNG Facilities'!R221*'LNG Facilities'!W221+'LNG Facilities'!S221*'LNG Facilities'!X221+'LNG Facilities'!T221*'LNG Facilities'!#REF!)/1000),0))</f>
        <v>#REF!</v>
      </c>
      <c r="O235" s="58" t="e">
        <f t="shared" si="61"/>
        <v>#REF!</v>
      </c>
      <c r="P235" s="58" t="e">
        <f t="shared" si="62"/>
        <v>#REF!</v>
      </c>
      <c r="Q235" s="58"/>
      <c r="R235" s="57" t="e">
        <f t="shared" si="58"/>
        <v>#REF!</v>
      </c>
      <c r="S235" s="58" t="e">
        <f t="shared" si="63"/>
        <v>#REF!</v>
      </c>
      <c r="T235" s="58" t="e">
        <f t="shared" si="64"/>
        <v>#REF!</v>
      </c>
      <c r="U235" s="59"/>
      <c r="V235" s="59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</row>
    <row r="236" spans="1:46" x14ac:dyDescent="0.25">
      <c r="A236" s="31">
        <f>'M&amp;R Stations'!A222</f>
        <v>39181</v>
      </c>
      <c r="B236" s="89"/>
      <c r="C236" s="227">
        <v>183599</v>
      </c>
      <c r="D236" s="225">
        <v>225119</v>
      </c>
      <c r="E236" s="185"/>
      <c r="F236" s="72" t="e">
        <f>IF('M&amp;R Stations'!#REF!="","",('M&amp;R Stations'!#REF!+'M&amp;R Stations'!#REF!)+('LNG Facilities'!F222+'LNG Facilities'!G222+'LNG Facilities'!H222+'LNG Facilities'!R222+'LNG Facilities'!S222+'LNG Facilities'!T222)-'LNG Facilities'!#REF!-('NG Utilization'!C236+'NG Utilization'!D236+'NG Utilization'!E236))</f>
        <v>#REF!</v>
      </c>
      <c r="G236" s="58" t="e">
        <f>IF('M&amp;R Stations'!#REF!="","",F236+G235)</f>
        <v>#REF!</v>
      </c>
      <c r="H236" s="58" t="e">
        <f>IF('M&amp;R Stations'!#REF!="","",F236+H235)</f>
        <v>#REF!</v>
      </c>
      <c r="I236" s="58"/>
      <c r="J236" s="57" t="e">
        <f t="shared" si="57"/>
        <v>#REF!</v>
      </c>
      <c r="K236" s="58" t="e">
        <f t="shared" si="59"/>
        <v>#REF!</v>
      </c>
      <c r="L236" s="58" t="e">
        <f t="shared" si="60"/>
        <v>#REF!</v>
      </c>
      <c r="M236" s="58"/>
      <c r="N236" s="73" t="e">
        <f>IF(F236="","",ROUND((('M&amp;R Stations'!#REF!+'M&amp;R Stations'!#REF!)-('NG Utilization'!C236+'NG Utilization'!D236+'NG Utilization'!E236)-'LNG Facilities'!#REF!)*ROUND(((('M&amp;R Stations'!#REF!*'M&amp;R Stations'!L222)+('M&amp;R Stations'!#REF!*'M&amp;R Stations'!F222))/1000)/('M&amp;R Stations'!#REF!+'M&amp;R Stations'!#REF!),3),0)+ROUND((('LNG Facilities'!F222*'LNG Facilities'!K222+'LNG Facilities'!G222*'LNG Facilities'!L222+'LNG Facilities'!H222*'LNG Facilities'!M222+'LNG Facilities'!R222*'LNG Facilities'!W222+'LNG Facilities'!S222*'LNG Facilities'!X222+'LNG Facilities'!T222*'LNG Facilities'!#REF!)/1000),0))</f>
        <v>#REF!</v>
      </c>
      <c r="O236" s="58" t="e">
        <f t="shared" si="61"/>
        <v>#REF!</v>
      </c>
      <c r="P236" s="58" t="e">
        <f t="shared" si="62"/>
        <v>#REF!</v>
      </c>
      <c r="Q236" s="58"/>
      <c r="R236" s="57" t="e">
        <f t="shared" si="58"/>
        <v>#REF!</v>
      </c>
      <c r="S236" s="58" t="e">
        <f t="shared" si="63"/>
        <v>#REF!</v>
      </c>
      <c r="T236" s="58" t="e">
        <f t="shared" si="64"/>
        <v>#REF!</v>
      </c>
      <c r="U236" s="59"/>
      <c r="V236" s="59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</row>
    <row r="237" spans="1:46" x14ac:dyDescent="0.25">
      <c r="A237" s="31">
        <f>'M&amp;R Stations'!A223</f>
        <v>39182</v>
      </c>
      <c r="B237" s="89"/>
      <c r="C237" s="227">
        <v>142291</v>
      </c>
      <c r="D237" s="225">
        <v>208106</v>
      </c>
      <c r="E237" s="185"/>
      <c r="F237" s="72" t="e">
        <f>IF('M&amp;R Stations'!#REF!="","",('M&amp;R Stations'!#REF!+'M&amp;R Stations'!#REF!)+('LNG Facilities'!F223+'LNG Facilities'!G223+'LNG Facilities'!H223+'LNG Facilities'!R223+'LNG Facilities'!S223+'LNG Facilities'!T223)-'LNG Facilities'!#REF!-('NG Utilization'!C237+'NG Utilization'!D237+'NG Utilization'!E237))</f>
        <v>#REF!</v>
      </c>
      <c r="G237" s="58" t="e">
        <f>IF('M&amp;R Stations'!#REF!="","",F237+G236)</f>
        <v>#REF!</v>
      </c>
      <c r="H237" s="58" t="e">
        <f>IF('M&amp;R Stations'!#REF!="","",F237+H236)</f>
        <v>#REF!</v>
      </c>
      <c r="I237" s="58"/>
      <c r="J237" s="57" t="e">
        <f t="shared" si="57"/>
        <v>#REF!</v>
      </c>
      <c r="K237" s="58" t="e">
        <f t="shared" si="59"/>
        <v>#REF!</v>
      </c>
      <c r="L237" s="58" t="e">
        <f t="shared" si="60"/>
        <v>#REF!</v>
      </c>
      <c r="M237" s="58"/>
      <c r="N237" s="73" t="e">
        <f>IF(F237="","",ROUND((('M&amp;R Stations'!#REF!+'M&amp;R Stations'!#REF!)-('NG Utilization'!C237+'NG Utilization'!D237+'NG Utilization'!E237)-'LNG Facilities'!#REF!)*ROUND(((('M&amp;R Stations'!#REF!*'M&amp;R Stations'!L223)+('M&amp;R Stations'!#REF!*'M&amp;R Stations'!F223))/1000)/('M&amp;R Stations'!#REF!+'M&amp;R Stations'!#REF!),3),0)+ROUND((('LNG Facilities'!F223*'LNG Facilities'!K223+'LNG Facilities'!G223*'LNG Facilities'!L223+'LNG Facilities'!H223*'LNG Facilities'!M223+'LNG Facilities'!R223*'LNG Facilities'!W223+'LNG Facilities'!S223*'LNG Facilities'!X223+'LNG Facilities'!T223*'LNG Facilities'!#REF!)/1000),0))</f>
        <v>#REF!</v>
      </c>
      <c r="O237" s="58" t="e">
        <f t="shared" si="61"/>
        <v>#REF!</v>
      </c>
      <c r="P237" s="58" t="e">
        <f t="shared" si="62"/>
        <v>#REF!</v>
      </c>
      <c r="Q237" s="58"/>
      <c r="R237" s="57" t="e">
        <f t="shared" si="58"/>
        <v>#REF!</v>
      </c>
      <c r="S237" s="58" t="e">
        <f t="shared" si="63"/>
        <v>#REF!</v>
      </c>
      <c r="T237" s="58" t="e">
        <f t="shared" si="64"/>
        <v>#REF!</v>
      </c>
      <c r="U237" s="59"/>
      <c r="V237" s="59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</row>
    <row r="238" spans="1:46" x14ac:dyDescent="0.25">
      <c r="A238" s="31">
        <f>'M&amp;R Stations'!A224</f>
        <v>39183</v>
      </c>
      <c r="B238" s="89"/>
      <c r="C238" s="227">
        <v>112192</v>
      </c>
      <c r="D238" s="225">
        <v>165572</v>
      </c>
      <c r="E238" s="185"/>
      <c r="F238" s="72" t="e">
        <f>IF('M&amp;R Stations'!#REF!="","",('M&amp;R Stations'!#REF!+'M&amp;R Stations'!#REF!)+('LNG Facilities'!F224+'LNG Facilities'!G224+'LNG Facilities'!H224+'LNG Facilities'!R224+'LNG Facilities'!S224+'LNG Facilities'!T224)-'LNG Facilities'!#REF!-('NG Utilization'!C238+'NG Utilization'!D238+'NG Utilization'!E238))</f>
        <v>#REF!</v>
      </c>
      <c r="G238" s="58" t="e">
        <f>IF('M&amp;R Stations'!#REF!="","",F238+G237)</f>
        <v>#REF!</v>
      </c>
      <c r="H238" s="58" t="e">
        <f>IF('M&amp;R Stations'!#REF!="","",F238+H237)</f>
        <v>#REF!</v>
      </c>
      <c r="I238" s="58"/>
      <c r="J238" s="57" t="e">
        <f t="shared" si="57"/>
        <v>#REF!</v>
      </c>
      <c r="K238" s="58" t="e">
        <f t="shared" si="59"/>
        <v>#REF!</v>
      </c>
      <c r="L238" s="58" t="e">
        <f t="shared" si="60"/>
        <v>#REF!</v>
      </c>
      <c r="M238" s="58"/>
      <c r="N238" s="73" t="e">
        <f>IF(F238="","",ROUND((('M&amp;R Stations'!#REF!+'M&amp;R Stations'!#REF!)-('NG Utilization'!C238+'NG Utilization'!D238+'NG Utilization'!E238)-'LNG Facilities'!#REF!)*ROUND(((('M&amp;R Stations'!#REF!*'M&amp;R Stations'!L224)+('M&amp;R Stations'!#REF!*'M&amp;R Stations'!F224))/1000)/('M&amp;R Stations'!#REF!+'M&amp;R Stations'!#REF!),3),0)+ROUND((('LNG Facilities'!F224*'LNG Facilities'!K224+'LNG Facilities'!G224*'LNG Facilities'!L224+'LNG Facilities'!H224*'LNG Facilities'!M224+'LNG Facilities'!R224*'LNG Facilities'!W224+'LNG Facilities'!S224*'LNG Facilities'!X224+'LNG Facilities'!T224*'LNG Facilities'!#REF!)/1000),0))</f>
        <v>#REF!</v>
      </c>
      <c r="O238" s="58" t="e">
        <f t="shared" si="61"/>
        <v>#REF!</v>
      </c>
      <c r="P238" s="58" t="e">
        <f t="shared" si="62"/>
        <v>#REF!</v>
      </c>
      <c r="Q238" s="58"/>
      <c r="R238" s="57" t="e">
        <f t="shared" si="58"/>
        <v>#REF!</v>
      </c>
      <c r="S238" s="58" t="e">
        <f t="shared" si="63"/>
        <v>#REF!</v>
      </c>
      <c r="T238" s="58" t="e">
        <f t="shared" si="64"/>
        <v>#REF!</v>
      </c>
      <c r="U238" s="59"/>
      <c r="V238" s="59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</row>
    <row r="239" spans="1:46" x14ac:dyDescent="0.25">
      <c r="A239" s="31">
        <f>'M&amp;R Stations'!A225</f>
        <v>39184</v>
      </c>
      <c r="B239" s="89"/>
      <c r="C239" s="227">
        <v>96175</v>
      </c>
      <c r="D239" s="225">
        <v>165572</v>
      </c>
      <c r="E239" s="185"/>
      <c r="F239" s="72" t="e">
        <f>IF('M&amp;R Stations'!#REF!="","",('M&amp;R Stations'!#REF!+'M&amp;R Stations'!#REF!)+('LNG Facilities'!F225+'LNG Facilities'!G225+'LNG Facilities'!H225+'LNG Facilities'!R225+'LNG Facilities'!S225+'LNG Facilities'!T225)-'LNG Facilities'!#REF!-('NG Utilization'!C239+'NG Utilization'!D239+'NG Utilization'!E239))</f>
        <v>#REF!</v>
      </c>
      <c r="G239" s="58" t="e">
        <f>IF('M&amp;R Stations'!#REF!="","",F239+G238)</f>
        <v>#REF!</v>
      </c>
      <c r="H239" s="58" t="e">
        <f>IF('M&amp;R Stations'!#REF!="","",F239+H238)</f>
        <v>#REF!</v>
      </c>
      <c r="I239" s="58"/>
      <c r="J239" s="57" t="e">
        <f t="shared" si="57"/>
        <v>#REF!</v>
      </c>
      <c r="K239" s="58" t="e">
        <f t="shared" si="59"/>
        <v>#REF!</v>
      </c>
      <c r="L239" s="58" t="e">
        <f t="shared" si="60"/>
        <v>#REF!</v>
      </c>
      <c r="M239" s="58"/>
      <c r="N239" s="73" t="e">
        <f>IF(F239="","",ROUND((('M&amp;R Stations'!#REF!+'M&amp;R Stations'!#REF!)-('NG Utilization'!C239+'NG Utilization'!D239+'NG Utilization'!E239)-'LNG Facilities'!#REF!)*ROUND(((('M&amp;R Stations'!#REF!*'M&amp;R Stations'!L225)+('M&amp;R Stations'!#REF!*'M&amp;R Stations'!F225))/1000)/('M&amp;R Stations'!#REF!+'M&amp;R Stations'!#REF!),3),0)+ROUND((('LNG Facilities'!F225*'LNG Facilities'!K225+'LNG Facilities'!G225*'LNG Facilities'!L225+'LNG Facilities'!H225*'LNG Facilities'!M225+'LNG Facilities'!R225*'LNG Facilities'!W225+'LNG Facilities'!S225*'LNG Facilities'!X225+'LNG Facilities'!T225*'LNG Facilities'!#REF!)/1000),0))</f>
        <v>#REF!</v>
      </c>
      <c r="O239" s="58" t="e">
        <f t="shared" si="61"/>
        <v>#REF!</v>
      </c>
      <c r="P239" s="58" t="e">
        <f t="shared" si="62"/>
        <v>#REF!</v>
      </c>
      <c r="Q239" s="58"/>
      <c r="R239" s="57" t="e">
        <f t="shared" si="58"/>
        <v>#REF!</v>
      </c>
      <c r="S239" s="58" t="e">
        <f t="shared" si="63"/>
        <v>#REF!</v>
      </c>
      <c r="T239" s="58" t="e">
        <f t="shared" si="64"/>
        <v>#REF!</v>
      </c>
      <c r="U239" s="59"/>
      <c r="V239" s="59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</row>
    <row r="240" spans="1:46" x14ac:dyDescent="0.25">
      <c r="A240" s="31">
        <f>'M&amp;R Stations'!A226</f>
        <v>39185</v>
      </c>
      <c r="B240" s="89"/>
      <c r="C240" s="227">
        <v>88366</v>
      </c>
      <c r="D240" s="225">
        <v>191092.2</v>
      </c>
      <c r="E240" s="185"/>
      <c r="F240" s="72" t="e">
        <f>IF('M&amp;R Stations'!#REF!="","",('M&amp;R Stations'!#REF!+'M&amp;R Stations'!#REF!)+('LNG Facilities'!F226+'LNG Facilities'!G226+'LNG Facilities'!H226+'LNG Facilities'!R226+'LNG Facilities'!S226+'LNG Facilities'!T226)-'LNG Facilities'!#REF!-('NG Utilization'!C240+'NG Utilization'!D240+'NG Utilization'!E240))</f>
        <v>#REF!</v>
      </c>
      <c r="G240" s="58" t="e">
        <f>IF('M&amp;R Stations'!#REF!="","",F240+G239)</f>
        <v>#REF!</v>
      </c>
      <c r="H240" s="58" t="e">
        <f>IF('M&amp;R Stations'!#REF!="","",F240+H239)</f>
        <v>#REF!</v>
      </c>
      <c r="I240" s="58"/>
      <c r="J240" s="57" t="e">
        <f t="shared" si="57"/>
        <v>#REF!</v>
      </c>
      <c r="K240" s="58" t="e">
        <f t="shared" si="59"/>
        <v>#REF!</v>
      </c>
      <c r="L240" s="58" t="e">
        <f t="shared" si="60"/>
        <v>#REF!</v>
      </c>
      <c r="M240" s="58"/>
      <c r="N240" s="73" t="e">
        <f>IF(F240="","",ROUND((('M&amp;R Stations'!#REF!+'M&amp;R Stations'!#REF!)-('NG Utilization'!C240+'NG Utilization'!D240+'NG Utilization'!E240)-'LNG Facilities'!#REF!)*ROUND(((('M&amp;R Stations'!#REF!*'M&amp;R Stations'!L226)+('M&amp;R Stations'!#REF!*'M&amp;R Stations'!F226))/1000)/('M&amp;R Stations'!#REF!+'M&amp;R Stations'!#REF!),3),0)+ROUND((('LNG Facilities'!F226*'LNG Facilities'!K226+'LNG Facilities'!G226*'LNG Facilities'!L226+'LNG Facilities'!H226*'LNG Facilities'!M226+'LNG Facilities'!R226*'LNG Facilities'!W226+'LNG Facilities'!S226*'LNG Facilities'!X226+'LNG Facilities'!T226*'LNG Facilities'!#REF!)/1000),0))</f>
        <v>#REF!</v>
      </c>
      <c r="O240" s="58" t="e">
        <f t="shared" si="61"/>
        <v>#REF!</v>
      </c>
      <c r="P240" s="58" t="e">
        <f t="shared" si="62"/>
        <v>#REF!</v>
      </c>
      <c r="Q240" s="58"/>
      <c r="R240" s="57" t="e">
        <f t="shared" si="58"/>
        <v>#REF!</v>
      </c>
      <c r="S240" s="58" t="e">
        <f t="shared" si="63"/>
        <v>#REF!</v>
      </c>
      <c r="T240" s="58" t="e">
        <f t="shared" si="64"/>
        <v>#REF!</v>
      </c>
      <c r="U240" s="59"/>
      <c r="V240" s="59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</row>
    <row r="241" spans="1:46" x14ac:dyDescent="0.25">
      <c r="A241" s="31">
        <f>'M&amp;R Stations'!A227</f>
        <v>39186</v>
      </c>
      <c r="B241" s="89"/>
      <c r="C241" s="227">
        <v>86206</v>
      </c>
      <c r="D241" s="225">
        <v>140051.5</v>
      </c>
      <c r="E241" s="185"/>
      <c r="F241" s="72" t="e">
        <f>IF('M&amp;R Stations'!#REF!="","",('M&amp;R Stations'!#REF!+'M&amp;R Stations'!#REF!)+('LNG Facilities'!F227+'LNG Facilities'!G227+'LNG Facilities'!H227+'LNG Facilities'!R227+'LNG Facilities'!S227+'LNG Facilities'!T227)-'LNG Facilities'!#REF!-('NG Utilization'!C241+'NG Utilization'!D241+'NG Utilization'!E241))</f>
        <v>#REF!</v>
      </c>
      <c r="G241" s="58" t="e">
        <f>IF('M&amp;R Stations'!#REF!="","",F241+G240)</f>
        <v>#REF!</v>
      </c>
      <c r="H241" s="58" t="e">
        <f>IF('M&amp;R Stations'!#REF!="","",F241+H240)</f>
        <v>#REF!</v>
      </c>
      <c r="I241" s="58"/>
      <c r="J241" s="57" t="e">
        <f t="shared" si="57"/>
        <v>#REF!</v>
      </c>
      <c r="K241" s="58" t="e">
        <f t="shared" si="59"/>
        <v>#REF!</v>
      </c>
      <c r="L241" s="58" t="e">
        <f t="shared" si="60"/>
        <v>#REF!</v>
      </c>
      <c r="M241" s="58"/>
      <c r="N241" s="73" t="e">
        <f>IF(F241="","",ROUND((('M&amp;R Stations'!#REF!+'M&amp;R Stations'!#REF!)-('NG Utilization'!C241+'NG Utilization'!D241+'NG Utilization'!E241)-'LNG Facilities'!#REF!)*ROUND(((('M&amp;R Stations'!#REF!*'M&amp;R Stations'!L227)+('M&amp;R Stations'!#REF!*'M&amp;R Stations'!F227))/1000)/('M&amp;R Stations'!#REF!+'M&amp;R Stations'!#REF!),3),0)+ROUND((('LNG Facilities'!F227*'LNG Facilities'!K227+'LNG Facilities'!G227*'LNG Facilities'!L227+'LNG Facilities'!H227*'LNG Facilities'!M227+'LNG Facilities'!R227*'LNG Facilities'!W227+'LNG Facilities'!S227*'LNG Facilities'!X227+'LNG Facilities'!T227*'LNG Facilities'!#REF!)/1000),0))</f>
        <v>#REF!</v>
      </c>
      <c r="O241" s="58" t="e">
        <f t="shared" si="61"/>
        <v>#REF!</v>
      </c>
      <c r="P241" s="58" t="e">
        <f t="shared" si="62"/>
        <v>#REF!</v>
      </c>
      <c r="Q241" s="58"/>
      <c r="R241" s="57" t="e">
        <f t="shared" si="58"/>
        <v>#REF!</v>
      </c>
      <c r="S241" s="58" t="e">
        <f t="shared" si="63"/>
        <v>#REF!</v>
      </c>
      <c r="T241" s="58" t="e">
        <f t="shared" si="64"/>
        <v>#REF!</v>
      </c>
      <c r="U241" s="59"/>
      <c r="V241" s="59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</row>
    <row r="242" spans="1:46" x14ac:dyDescent="0.25">
      <c r="A242" s="31">
        <f>'M&amp;R Stations'!A228</f>
        <v>39187</v>
      </c>
      <c r="B242" s="89"/>
      <c r="C242" s="227">
        <v>82114</v>
      </c>
      <c r="D242" s="225">
        <v>199599</v>
      </c>
      <c r="E242" s="185"/>
      <c r="F242" s="72" t="e">
        <f>IF('M&amp;R Stations'!#REF!="","",('M&amp;R Stations'!#REF!+'M&amp;R Stations'!#REF!)+('LNG Facilities'!F228+'LNG Facilities'!G228+'LNG Facilities'!H228+'LNG Facilities'!R228+'LNG Facilities'!S228+'LNG Facilities'!T228)-'LNG Facilities'!#REF!-('NG Utilization'!C242+'NG Utilization'!D242+'NG Utilization'!E242))</f>
        <v>#REF!</v>
      </c>
      <c r="G242" s="58" t="e">
        <f>IF('M&amp;R Stations'!#REF!="","",F242+G241)</f>
        <v>#REF!</v>
      </c>
      <c r="H242" s="58" t="e">
        <f>IF('M&amp;R Stations'!#REF!="","",F242+H241)</f>
        <v>#REF!</v>
      </c>
      <c r="I242" s="58"/>
      <c r="J242" s="57" t="e">
        <f t="shared" si="57"/>
        <v>#REF!</v>
      </c>
      <c r="K242" s="58" t="e">
        <f t="shared" si="59"/>
        <v>#REF!</v>
      </c>
      <c r="L242" s="58" t="e">
        <f t="shared" si="60"/>
        <v>#REF!</v>
      </c>
      <c r="M242" s="58"/>
      <c r="N242" s="73" t="e">
        <f>IF(F242="","",ROUND((('M&amp;R Stations'!#REF!+'M&amp;R Stations'!#REF!)-('NG Utilization'!C242+'NG Utilization'!D242+'NG Utilization'!E242)-'LNG Facilities'!#REF!)*ROUND(((('M&amp;R Stations'!#REF!*'M&amp;R Stations'!L228)+('M&amp;R Stations'!#REF!*'M&amp;R Stations'!F228))/1000)/('M&amp;R Stations'!#REF!+'M&amp;R Stations'!#REF!),3),0)+ROUND((('LNG Facilities'!F228*'LNG Facilities'!K228+'LNG Facilities'!G228*'LNG Facilities'!L228+'LNG Facilities'!H228*'LNG Facilities'!M228+'LNG Facilities'!R228*'LNG Facilities'!W228+'LNG Facilities'!S228*'LNG Facilities'!X228+'LNG Facilities'!T228*'LNG Facilities'!#REF!)/1000),0))</f>
        <v>#REF!</v>
      </c>
      <c r="O242" s="58" t="e">
        <f t="shared" si="61"/>
        <v>#REF!</v>
      </c>
      <c r="P242" s="58" t="e">
        <f t="shared" si="62"/>
        <v>#REF!</v>
      </c>
      <c r="Q242" s="58"/>
      <c r="R242" s="57" t="e">
        <f t="shared" si="58"/>
        <v>#REF!</v>
      </c>
      <c r="S242" s="58" t="e">
        <f t="shared" si="63"/>
        <v>#REF!</v>
      </c>
      <c r="T242" s="58" t="e">
        <f t="shared" si="64"/>
        <v>#REF!</v>
      </c>
      <c r="U242" s="59"/>
      <c r="V242" s="59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</row>
    <row r="243" spans="1:46" x14ac:dyDescent="0.25">
      <c r="A243" s="31">
        <f>'M&amp;R Stations'!A229</f>
        <v>39188</v>
      </c>
      <c r="B243" s="89"/>
      <c r="C243" s="227">
        <v>94179</v>
      </c>
      <c r="D243" s="225">
        <v>191092</v>
      </c>
      <c r="E243" s="185"/>
      <c r="F243" s="72" t="e">
        <f>IF('M&amp;R Stations'!#REF!="","",('M&amp;R Stations'!#REF!+'M&amp;R Stations'!#REF!)+('LNG Facilities'!F229+'LNG Facilities'!G229+'LNG Facilities'!H229+'LNG Facilities'!R229+'LNG Facilities'!S229+'LNG Facilities'!T229)-'LNG Facilities'!#REF!-('NG Utilization'!C243+'NG Utilization'!D243+'NG Utilization'!E243))</f>
        <v>#REF!</v>
      </c>
      <c r="G243" s="58" t="e">
        <f>IF('M&amp;R Stations'!#REF!="","",F243+G242)</f>
        <v>#REF!</v>
      </c>
      <c r="H243" s="58" t="e">
        <f>IF('M&amp;R Stations'!#REF!="","",F243+H242)</f>
        <v>#REF!</v>
      </c>
      <c r="I243" s="58"/>
      <c r="J243" s="57" t="e">
        <f t="shared" si="57"/>
        <v>#REF!</v>
      </c>
      <c r="K243" s="58" t="e">
        <f t="shared" si="59"/>
        <v>#REF!</v>
      </c>
      <c r="L243" s="58" t="e">
        <f t="shared" si="60"/>
        <v>#REF!</v>
      </c>
      <c r="M243" s="58"/>
      <c r="N243" s="73" t="e">
        <f>IF(F243="","",ROUND((('M&amp;R Stations'!#REF!+'M&amp;R Stations'!#REF!)-('NG Utilization'!C243+'NG Utilization'!D243+'NG Utilization'!E243)-'LNG Facilities'!#REF!)*ROUND(((('M&amp;R Stations'!#REF!*'M&amp;R Stations'!L229)+('M&amp;R Stations'!#REF!*'M&amp;R Stations'!F229))/1000)/('M&amp;R Stations'!#REF!+'M&amp;R Stations'!#REF!),3),0)+ROUND((('LNG Facilities'!F229*'LNG Facilities'!K229+'LNG Facilities'!G229*'LNG Facilities'!L229+'LNG Facilities'!H229*'LNG Facilities'!M229+'LNG Facilities'!R229*'LNG Facilities'!W229+'LNG Facilities'!S229*'LNG Facilities'!X229+'LNG Facilities'!T229*'LNG Facilities'!#REF!)/1000),0))</f>
        <v>#REF!</v>
      </c>
      <c r="O243" s="58" t="e">
        <f t="shared" si="61"/>
        <v>#REF!</v>
      </c>
      <c r="P243" s="58" t="e">
        <f t="shared" si="62"/>
        <v>#REF!</v>
      </c>
      <c r="Q243" s="58"/>
      <c r="R243" s="57" t="e">
        <f t="shared" si="58"/>
        <v>#REF!</v>
      </c>
      <c r="S243" s="58" t="e">
        <f t="shared" si="63"/>
        <v>#REF!</v>
      </c>
      <c r="T243" s="58" t="e">
        <f t="shared" si="64"/>
        <v>#REF!</v>
      </c>
      <c r="U243" s="59"/>
      <c r="V243" s="59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</row>
    <row r="244" spans="1:46" x14ac:dyDescent="0.25">
      <c r="A244" s="31">
        <f>'M&amp;R Stations'!A230</f>
        <v>39189</v>
      </c>
      <c r="B244" s="89"/>
      <c r="C244" s="227">
        <v>101407</v>
      </c>
      <c r="D244" s="225">
        <v>131544.70000000001</v>
      </c>
      <c r="E244" s="185"/>
      <c r="F244" s="72" t="e">
        <f>IF('M&amp;R Stations'!#REF!="","",('M&amp;R Stations'!#REF!+'M&amp;R Stations'!#REF!)+('LNG Facilities'!F230+'LNG Facilities'!G230+'LNG Facilities'!H230+'LNG Facilities'!R230+'LNG Facilities'!S230+'LNG Facilities'!T230)-'LNG Facilities'!#REF!-('NG Utilization'!C244+'NG Utilization'!D244+'NG Utilization'!E244))</f>
        <v>#REF!</v>
      </c>
      <c r="G244" s="58" t="e">
        <f>IF('M&amp;R Stations'!#REF!="","",F244+G243)</f>
        <v>#REF!</v>
      </c>
      <c r="H244" s="58" t="e">
        <f>IF('M&amp;R Stations'!#REF!="","",F244+H243)</f>
        <v>#REF!</v>
      </c>
      <c r="I244" s="58"/>
      <c r="J244" s="57" t="e">
        <f t="shared" si="57"/>
        <v>#REF!</v>
      </c>
      <c r="K244" s="58" t="e">
        <f t="shared" si="59"/>
        <v>#REF!</v>
      </c>
      <c r="L244" s="58" t="e">
        <f t="shared" si="60"/>
        <v>#REF!</v>
      </c>
      <c r="M244" s="58"/>
      <c r="N244" s="73" t="e">
        <f>IF(F244="","",ROUND((('M&amp;R Stations'!#REF!+'M&amp;R Stations'!#REF!)-('NG Utilization'!C244+'NG Utilization'!D244+'NG Utilization'!E244)-'LNG Facilities'!#REF!)*ROUND(((('M&amp;R Stations'!#REF!*'M&amp;R Stations'!L230)+('M&amp;R Stations'!#REF!*'M&amp;R Stations'!F230))/1000)/('M&amp;R Stations'!#REF!+'M&amp;R Stations'!#REF!),3),0)+ROUND((('LNG Facilities'!F230*'LNG Facilities'!K230+'LNG Facilities'!G230*'LNG Facilities'!L230+'LNG Facilities'!H230*'LNG Facilities'!M230+'LNG Facilities'!R230*'LNG Facilities'!W230+'LNG Facilities'!S230*'LNG Facilities'!X230+'LNG Facilities'!T230*'LNG Facilities'!#REF!)/1000),0))</f>
        <v>#REF!</v>
      </c>
      <c r="O244" s="58" t="e">
        <f t="shared" si="61"/>
        <v>#REF!</v>
      </c>
      <c r="P244" s="58" t="e">
        <f t="shared" si="62"/>
        <v>#REF!</v>
      </c>
      <c r="Q244" s="58"/>
      <c r="R244" s="57" t="e">
        <f t="shared" si="58"/>
        <v>#REF!</v>
      </c>
      <c r="S244" s="58" t="e">
        <f t="shared" si="63"/>
        <v>#REF!</v>
      </c>
      <c r="T244" s="58" t="e">
        <f t="shared" si="64"/>
        <v>#REF!</v>
      </c>
      <c r="U244" s="59"/>
      <c r="V244" s="59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</row>
    <row r="245" spans="1:46" x14ac:dyDescent="0.25">
      <c r="A245" s="31">
        <f>'M&amp;R Stations'!A231</f>
        <v>39190</v>
      </c>
      <c r="B245" s="89"/>
      <c r="C245" s="227">
        <v>90583</v>
      </c>
      <c r="D245" s="225">
        <v>123038</v>
      </c>
      <c r="E245" s="185"/>
      <c r="F245" s="72" t="e">
        <f>IF('M&amp;R Stations'!#REF!="","",('M&amp;R Stations'!#REF!+'M&amp;R Stations'!#REF!)+('LNG Facilities'!F231+'LNG Facilities'!G231+'LNG Facilities'!H231+'LNG Facilities'!R231+'LNG Facilities'!S231+'LNG Facilities'!T231)-'LNG Facilities'!#REF!-('NG Utilization'!C245+'NG Utilization'!D245+'NG Utilization'!E245))</f>
        <v>#REF!</v>
      </c>
      <c r="G245" s="58" t="e">
        <f>IF('M&amp;R Stations'!#REF!="","",F245+G244)</f>
        <v>#REF!</v>
      </c>
      <c r="H245" s="58" t="e">
        <f>IF('M&amp;R Stations'!#REF!="","",F245+H244)</f>
        <v>#REF!</v>
      </c>
      <c r="I245" s="58"/>
      <c r="J245" s="57" t="e">
        <f t="shared" si="57"/>
        <v>#REF!</v>
      </c>
      <c r="K245" s="58" t="e">
        <f t="shared" si="59"/>
        <v>#REF!</v>
      </c>
      <c r="L245" s="58" t="e">
        <f t="shared" si="60"/>
        <v>#REF!</v>
      </c>
      <c r="M245" s="58"/>
      <c r="N245" s="73" t="e">
        <f>IF(F245="","",ROUND((('M&amp;R Stations'!#REF!+'M&amp;R Stations'!#REF!)-('NG Utilization'!C245+'NG Utilization'!D245+'NG Utilization'!E245)-'LNG Facilities'!#REF!)*ROUND(((('M&amp;R Stations'!#REF!*'M&amp;R Stations'!L231)+('M&amp;R Stations'!#REF!*'M&amp;R Stations'!F231))/1000)/('M&amp;R Stations'!#REF!+'M&amp;R Stations'!#REF!),3),0)+ROUND((('LNG Facilities'!F231*'LNG Facilities'!K231+'LNG Facilities'!G231*'LNG Facilities'!L231+'LNG Facilities'!H231*'LNG Facilities'!M231+'LNG Facilities'!R231*'LNG Facilities'!W231+'LNG Facilities'!S231*'LNG Facilities'!X231+'LNG Facilities'!T231*'LNG Facilities'!#REF!)/1000),0))</f>
        <v>#REF!</v>
      </c>
      <c r="O245" s="58" t="e">
        <f t="shared" si="61"/>
        <v>#REF!</v>
      </c>
      <c r="P245" s="58" t="e">
        <f t="shared" si="62"/>
        <v>#REF!</v>
      </c>
      <c r="Q245" s="58"/>
      <c r="R245" s="57" t="e">
        <f t="shared" si="58"/>
        <v>#REF!</v>
      </c>
      <c r="S245" s="58" t="e">
        <f t="shared" si="63"/>
        <v>#REF!</v>
      </c>
      <c r="T245" s="58" t="e">
        <f t="shared" si="64"/>
        <v>#REF!</v>
      </c>
      <c r="U245" s="59"/>
      <c r="V245" s="59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</row>
    <row r="246" spans="1:46" x14ac:dyDescent="0.25">
      <c r="A246" s="31">
        <f>'M&amp;R Stations'!A232</f>
        <v>39191</v>
      </c>
      <c r="B246" s="89"/>
      <c r="C246" s="227">
        <v>83656</v>
      </c>
      <c r="D246" s="225">
        <v>114531</v>
      </c>
      <c r="E246" s="185"/>
      <c r="F246" s="72" t="e">
        <f>IF('M&amp;R Stations'!#REF!="","",('M&amp;R Stations'!#REF!+'M&amp;R Stations'!#REF!)+('LNG Facilities'!F232+'LNG Facilities'!G232+'LNG Facilities'!H232+'LNG Facilities'!R232+'LNG Facilities'!S232+'LNG Facilities'!T232)-'LNG Facilities'!#REF!-('NG Utilization'!C246+'NG Utilization'!D246+'NG Utilization'!E246))</f>
        <v>#REF!</v>
      </c>
      <c r="G246" s="58" t="e">
        <f>IF('M&amp;R Stations'!#REF!="","",F246+G245)</f>
        <v>#REF!</v>
      </c>
      <c r="H246" s="58" t="e">
        <f>IF('M&amp;R Stations'!#REF!="","",F246+H245)</f>
        <v>#REF!</v>
      </c>
      <c r="I246" s="58"/>
      <c r="J246" s="57" t="e">
        <f t="shared" si="57"/>
        <v>#REF!</v>
      </c>
      <c r="K246" s="58" t="e">
        <f t="shared" si="59"/>
        <v>#REF!</v>
      </c>
      <c r="L246" s="58" t="e">
        <f t="shared" si="60"/>
        <v>#REF!</v>
      </c>
      <c r="M246" s="58"/>
      <c r="N246" s="73" t="e">
        <f>IF(F246="","",ROUND((('M&amp;R Stations'!#REF!+'M&amp;R Stations'!#REF!)-('NG Utilization'!C246+'NG Utilization'!D246+'NG Utilization'!E246)-'LNG Facilities'!#REF!)*ROUND(((('M&amp;R Stations'!#REF!*'M&amp;R Stations'!L232)+('M&amp;R Stations'!#REF!*'M&amp;R Stations'!F232))/1000)/('M&amp;R Stations'!#REF!+'M&amp;R Stations'!#REF!),3),0)+ROUND((('LNG Facilities'!F232*'LNG Facilities'!K232+'LNG Facilities'!G232*'LNG Facilities'!L232+'LNG Facilities'!H232*'LNG Facilities'!M232+'LNG Facilities'!R232*'LNG Facilities'!W232+'LNG Facilities'!S232*'LNG Facilities'!X232+'LNG Facilities'!T232*'LNG Facilities'!#REF!)/1000),0))</f>
        <v>#REF!</v>
      </c>
      <c r="O246" s="58" t="e">
        <f t="shared" si="61"/>
        <v>#REF!</v>
      </c>
      <c r="P246" s="58" t="e">
        <f t="shared" si="62"/>
        <v>#REF!</v>
      </c>
      <c r="Q246" s="58"/>
      <c r="R246" s="57" t="e">
        <f t="shared" si="58"/>
        <v>#REF!</v>
      </c>
      <c r="S246" s="58" t="e">
        <f t="shared" si="63"/>
        <v>#REF!</v>
      </c>
      <c r="T246" s="58" t="e">
        <f t="shared" si="64"/>
        <v>#REF!</v>
      </c>
      <c r="U246" s="59"/>
      <c r="V246" s="59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</row>
    <row r="247" spans="1:46" x14ac:dyDescent="0.25">
      <c r="A247" s="31">
        <f>'M&amp;R Stations'!A233</f>
        <v>39192</v>
      </c>
      <c r="B247" s="89"/>
      <c r="C247" s="227">
        <v>80737</v>
      </c>
      <c r="D247" s="225">
        <v>89010.71</v>
      </c>
      <c r="E247" s="185"/>
      <c r="F247" s="72" t="e">
        <f>IF('M&amp;R Stations'!#REF!="","",('M&amp;R Stations'!#REF!+'M&amp;R Stations'!#REF!)+('LNG Facilities'!F233+'LNG Facilities'!G233+'LNG Facilities'!H233+'LNG Facilities'!R233+'LNG Facilities'!S233+'LNG Facilities'!T233)-'LNG Facilities'!#REF!-('NG Utilization'!C247+'NG Utilization'!D247+'NG Utilization'!E247))</f>
        <v>#REF!</v>
      </c>
      <c r="G247" s="58" t="e">
        <f>IF('M&amp;R Stations'!#REF!="","",F247+G246)</f>
        <v>#REF!</v>
      </c>
      <c r="H247" s="58" t="e">
        <f>IF('M&amp;R Stations'!#REF!="","",F247+H246)</f>
        <v>#REF!</v>
      </c>
      <c r="I247" s="58"/>
      <c r="J247" s="57" t="e">
        <f t="shared" si="57"/>
        <v>#REF!</v>
      </c>
      <c r="K247" s="58" t="e">
        <f t="shared" si="59"/>
        <v>#REF!</v>
      </c>
      <c r="L247" s="58" t="e">
        <f t="shared" si="60"/>
        <v>#REF!</v>
      </c>
      <c r="M247" s="58"/>
      <c r="N247" s="73" t="e">
        <f>IF(F247="","",ROUND((('M&amp;R Stations'!#REF!+'M&amp;R Stations'!#REF!)-('NG Utilization'!C247+'NG Utilization'!D247+'NG Utilization'!E247)-'LNG Facilities'!#REF!)*ROUND(((('M&amp;R Stations'!#REF!*'M&amp;R Stations'!L233)+('M&amp;R Stations'!#REF!*'M&amp;R Stations'!F233))/1000)/('M&amp;R Stations'!#REF!+'M&amp;R Stations'!#REF!),3),0)+ROUND((('LNG Facilities'!F233*'LNG Facilities'!K233+'LNG Facilities'!G233*'LNG Facilities'!L233+'LNG Facilities'!H233*'LNG Facilities'!M233+'LNG Facilities'!R233*'LNG Facilities'!W233+'LNG Facilities'!S233*'LNG Facilities'!X233+'LNG Facilities'!T233*'LNG Facilities'!#REF!)/1000),0))</f>
        <v>#REF!</v>
      </c>
      <c r="O247" s="58" t="e">
        <f t="shared" si="61"/>
        <v>#REF!</v>
      </c>
      <c r="P247" s="58" t="e">
        <f t="shared" si="62"/>
        <v>#REF!</v>
      </c>
      <c r="Q247" s="58"/>
      <c r="R247" s="57" t="e">
        <f t="shared" si="58"/>
        <v>#REF!</v>
      </c>
      <c r="S247" s="58" t="e">
        <f t="shared" si="63"/>
        <v>#REF!</v>
      </c>
      <c r="T247" s="58" t="e">
        <f t="shared" si="64"/>
        <v>#REF!</v>
      </c>
      <c r="U247" s="59"/>
      <c r="V247" s="59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</row>
    <row r="248" spans="1:46" x14ac:dyDescent="0.25">
      <c r="A248" s="31">
        <f>'M&amp;R Stations'!A234</f>
        <v>39193</v>
      </c>
      <c r="B248" s="89"/>
      <c r="C248" s="227">
        <v>98730</v>
      </c>
      <c r="D248" s="225">
        <v>46476.76</v>
      </c>
      <c r="E248" s="185"/>
      <c r="F248" s="72" t="e">
        <f>IF('M&amp;R Stations'!#REF!="","",('M&amp;R Stations'!#REF!+'M&amp;R Stations'!#REF!)+('LNG Facilities'!F234+'LNG Facilities'!G234+'LNG Facilities'!H234+'LNG Facilities'!R234+'LNG Facilities'!S234+'LNG Facilities'!T234)-'LNG Facilities'!#REF!-('NG Utilization'!C248+'NG Utilization'!D248+'NG Utilization'!E248))</f>
        <v>#REF!</v>
      </c>
      <c r="G248" s="58" t="e">
        <f>IF('M&amp;R Stations'!#REF!="","",F248+G247)</f>
        <v>#REF!</v>
      </c>
      <c r="H248" s="58" t="e">
        <f>IF('M&amp;R Stations'!#REF!="","",F248+H247)</f>
        <v>#REF!</v>
      </c>
      <c r="I248" s="58"/>
      <c r="J248" s="57" t="e">
        <f t="shared" si="57"/>
        <v>#REF!</v>
      </c>
      <c r="K248" s="58" t="e">
        <f t="shared" si="59"/>
        <v>#REF!</v>
      </c>
      <c r="L248" s="58" t="e">
        <f t="shared" si="60"/>
        <v>#REF!</v>
      </c>
      <c r="M248" s="58"/>
      <c r="N248" s="73" t="e">
        <f>IF(F248="","",ROUND((('M&amp;R Stations'!#REF!+'M&amp;R Stations'!#REF!)-('NG Utilization'!C248+'NG Utilization'!D248+'NG Utilization'!E248)-'LNG Facilities'!#REF!)*ROUND(((('M&amp;R Stations'!#REF!*'M&amp;R Stations'!L234)+('M&amp;R Stations'!#REF!*'M&amp;R Stations'!F234))/1000)/('M&amp;R Stations'!#REF!+'M&amp;R Stations'!#REF!),3),0)+ROUND((('LNG Facilities'!F234*'LNG Facilities'!K234+'LNG Facilities'!G234*'LNG Facilities'!L234+'LNG Facilities'!H234*'LNG Facilities'!M234+'LNG Facilities'!R234*'LNG Facilities'!W234+'LNG Facilities'!S234*'LNG Facilities'!X234+'LNG Facilities'!T234*'LNG Facilities'!#REF!)/1000),0))</f>
        <v>#REF!</v>
      </c>
      <c r="O248" s="58" t="e">
        <f t="shared" si="61"/>
        <v>#REF!</v>
      </c>
      <c r="P248" s="58" t="e">
        <f t="shared" si="62"/>
        <v>#REF!</v>
      </c>
      <c r="Q248" s="58"/>
      <c r="R248" s="57" t="e">
        <f t="shared" si="58"/>
        <v>#REF!</v>
      </c>
      <c r="S248" s="58" t="e">
        <f t="shared" si="63"/>
        <v>#REF!</v>
      </c>
      <c r="T248" s="58" t="e">
        <f t="shared" si="64"/>
        <v>#REF!</v>
      </c>
      <c r="U248" s="59"/>
      <c r="V248" s="59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</row>
    <row r="249" spans="1:46" x14ac:dyDescent="0.25">
      <c r="A249" s="31">
        <f>'M&amp;R Stations'!A235</f>
        <v>39194</v>
      </c>
      <c r="B249" s="89"/>
      <c r="C249" s="227">
        <v>124091</v>
      </c>
      <c r="D249" s="225">
        <v>46476.76</v>
      </c>
      <c r="E249" s="185"/>
      <c r="F249" s="72" t="e">
        <f>IF('M&amp;R Stations'!#REF!="","",('M&amp;R Stations'!#REF!+'M&amp;R Stations'!#REF!)+('LNG Facilities'!F235+'LNG Facilities'!G235+'LNG Facilities'!H235+'LNG Facilities'!R235+'LNG Facilities'!S235+'LNG Facilities'!T235)-'LNG Facilities'!#REF!-('NG Utilization'!C249+'NG Utilization'!D249+'NG Utilization'!E249))</f>
        <v>#REF!</v>
      </c>
      <c r="G249" s="58" t="e">
        <f>IF('M&amp;R Stations'!#REF!="","",F249+G248)</f>
        <v>#REF!</v>
      </c>
      <c r="H249" s="58" t="e">
        <f>IF('M&amp;R Stations'!#REF!="","",F249+H248)</f>
        <v>#REF!</v>
      </c>
      <c r="I249" s="58"/>
      <c r="J249" s="57" t="e">
        <f t="shared" si="57"/>
        <v>#REF!</v>
      </c>
      <c r="K249" s="58" t="e">
        <f t="shared" si="59"/>
        <v>#REF!</v>
      </c>
      <c r="L249" s="58" t="e">
        <f t="shared" si="60"/>
        <v>#REF!</v>
      </c>
      <c r="M249" s="58"/>
      <c r="N249" s="73" t="e">
        <f>IF(F249="","",ROUND((('M&amp;R Stations'!#REF!+'M&amp;R Stations'!#REF!)-('NG Utilization'!C249+'NG Utilization'!D249+'NG Utilization'!E249)-'LNG Facilities'!#REF!)*ROUND(((('M&amp;R Stations'!#REF!*'M&amp;R Stations'!L235)+('M&amp;R Stations'!#REF!*'M&amp;R Stations'!F235))/1000)/('M&amp;R Stations'!#REF!+'M&amp;R Stations'!#REF!),3),0)+ROUND((('LNG Facilities'!F235*'LNG Facilities'!K235+'LNG Facilities'!G235*'LNG Facilities'!L235+'LNG Facilities'!H235*'LNG Facilities'!M235+'LNG Facilities'!R235*'LNG Facilities'!W235+'LNG Facilities'!S235*'LNG Facilities'!X235+'LNG Facilities'!T235*'LNG Facilities'!#REF!)/1000),0))</f>
        <v>#REF!</v>
      </c>
      <c r="O249" s="58" t="e">
        <f t="shared" si="61"/>
        <v>#REF!</v>
      </c>
      <c r="P249" s="58" t="e">
        <f t="shared" si="62"/>
        <v>#REF!</v>
      </c>
      <c r="Q249" s="58"/>
      <c r="R249" s="57" t="e">
        <f t="shared" si="58"/>
        <v>#REF!</v>
      </c>
      <c r="S249" s="58" t="e">
        <f t="shared" si="63"/>
        <v>#REF!</v>
      </c>
      <c r="T249" s="58" t="e">
        <f t="shared" si="64"/>
        <v>#REF!</v>
      </c>
      <c r="U249" s="59"/>
      <c r="V249" s="59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</row>
    <row r="250" spans="1:46" x14ac:dyDescent="0.25">
      <c r="A250" s="31">
        <f>'M&amp;R Stations'!A236</f>
        <v>39195</v>
      </c>
      <c r="B250" s="89"/>
      <c r="C250" s="227">
        <v>101196</v>
      </c>
      <c r="D250" s="225">
        <v>46476.76</v>
      </c>
      <c r="E250" s="185"/>
      <c r="F250" s="72" t="e">
        <f>IF('M&amp;R Stations'!#REF!="","",('M&amp;R Stations'!#REF!+'M&amp;R Stations'!#REF!)+('LNG Facilities'!F236+'LNG Facilities'!G236+'LNG Facilities'!H236+'LNG Facilities'!R236+'LNG Facilities'!S236+'LNG Facilities'!T236)-'LNG Facilities'!#REF!-('NG Utilization'!C250+'NG Utilization'!D250+'NG Utilization'!E250))</f>
        <v>#REF!</v>
      </c>
      <c r="G250" s="58" t="e">
        <f>IF('M&amp;R Stations'!#REF!="","",F250+G249)</f>
        <v>#REF!</v>
      </c>
      <c r="H250" s="58" t="e">
        <f>IF('M&amp;R Stations'!#REF!="","",F250+H249)</f>
        <v>#REF!</v>
      </c>
      <c r="I250" s="58"/>
      <c r="J250" s="57" t="e">
        <f t="shared" si="57"/>
        <v>#REF!</v>
      </c>
      <c r="K250" s="58" t="e">
        <f t="shared" si="59"/>
        <v>#REF!</v>
      </c>
      <c r="L250" s="58" t="e">
        <f t="shared" si="60"/>
        <v>#REF!</v>
      </c>
      <c r="M250" s="58"/>
      <c r="N250" s="73" t="e">
        <f>IF(F250="","",ROUND((('M&amp;R Stations'!#REF!+'M&amp;R Stations'!#REF!)-('NG Utilization'!C250+'NG Utilization'!D250+'NG Utilization'!E250)-'LNG Facilities'!#REF!)*ROUND(((('M&amp;R Stations'!#REF!*'M&amp;R Stations'!L236)+('M&amp;R Stations'!#REF!*'M&amp;R Stations'!F236))/1000)/('M&amp;R Stations'!#REF!+'M&amp;R Stations'!#REF!),3),0)+ROUND((('LNG Facilities'!F236*'LNG Facilities'!K236+'LNG Facilities'!G236*'LNG Facilities'!L236+'LNG Facilities'!H236*'LNG Facilities'!M236+'LNG Facilities'!R236*'LNG Facilities'!W236+'LNG Facilities'!S236*'LNG Facilities'!X236+'LNG Facilities'!T236*'LNG Facilities'!#REF!)/1000),0))</f>
        <v>#REF!</v>
      </c>
      <c r="O250" s="58" t="e">
        <f t="shared" si="61"/>
        <v>#REF!</v>
      </c>
      <c r="P250" s="58" t="e">
        <f t="shared" si="62"/>
        <v>#REF!</v>
      </c>
      <c r="Q250" s="58"/>
      <c r="R250" s="57" t="e">
        <f t="shared" si="58"/>
        <v>#REF!</v>
      </c>
      <c r="S250" s="58" t="e">
        <f t="shared" si="63"/>
        <v>#REF!</v>
      </c>
      <c r="T250" s="58" t="e">
        <f t="shared" si="64"/>
        <v>#REF!</v>
      </c>
      <c r="U250" s="59"/>
      <c r="V250" s="59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</row>
    <row r="251" spans="1:46" x14ac:dyDescent="0.25">
      <c r="A251" s="31">
        <f>'M&amp;R Stations'!A237</f>
        <v>39196</v>
      </c>
      <c r="B251" s="89"/>
      <c r="C251" s="227">
        <v>97049</v>
      </c>
      <c r="D251" s="225">
        <v>46476.76</v>
      </c>
      <c r="E251" s="185"/>
      <c r="F251" s="72" t="e">
        <f>IF('M&amp;R Stations'!#REF!="","",('M&amp;R Stations'!#REF!+'M&amp;R Stations'!#REF!)+('LNG Facilities'!F237+'LNG Facilities'!G237+'LNG Facilities'!H237+'LNG Facilities'!R237+'LNG Facilities'!S237+'LNG Facilities'!T237)-'LNG Facilities'!#REF!-('NG Utilization'!C251+'NG Utilization'!D251+'NG Utilization'!E251))</f>
        <v>#REF!</v>
      </c>
      <c r="G251" s="58" t="e">
        <f>IF('M&amp;R Stations'!#REF!="","",F251+G250)</f>
        <v>#REF!</v>
      </c>
      <c r="H251" s="58" t="e">
        <f>IF('M&amp;R Stations'!#REF!="","",F251+H250)</f>
        <v>#REF!</v>
      </c>
      <c r="I251" s="58"/>
      <c r="J251" s="57" t="e">
        <f t="shared" si="57"/>
        <v>#REF!</v>
      </c>
      <c r="K251" s="58" t="e">
        <f t="shared" si="59"/>
        <v>#REF!</v>
      </c>
      <c r="L251" s="58" t="e">
        <f t="shared" si="60"/>
        <v>#REF!</v>
      </c>
      <c r="M251" s="58"/>
      <c r="N251" s="73" t="e">
        <f>IF(F251="","",ROUND((('M&amp;R Stations'!#REF!+'M&amp;R Stations'!#REF!)-('NG Utilization'!C251+'NG Utilization'!D251+'NG Utilization'!E251)-'LNG Facilities'!#REF!)*ROUND(((('M&amp;R Stations'!#REF!*'M&amp;R Stations'!L237)+('M&amp;R Stations'!#REF!*'M&amp;R Stations'!F237))/1000)/('M&amp;R Stations'!#REF!+'M&amp;R Stations'!#REF!),3),0)+ROUND((('LNG Facilities'!F237*'LNG Facilities'!K237+'LNG Facilities'!G237*'LNG Facilities'!L237+'LNG Facilities'!H237*'LNG Facilities'!M237+'LNG Facilities'!R237*'LNG Facilities'!W237+'LNG Facilities'!S237*'LNG Facilities'!X237+'LNG Facilities'!T237*'LNG Facilities'!#REF!)/1000),0))</f>
        <v>#REF!</v>
      </c>
      <c r="O251" s="58" t="e">
        <f t="shared" si="61"/>
        <v>#REF!</v>
      </c>
      <c r="P251" s="58" t="e">
        <f t="shared" si="62"/>
        <v>#REF!</v>
      </c>
      <c r="Q251" s="58"/>
      <c r="R251" s="57" t="e">
        <f t="shared" si="58"/>
        <v>#REF!</v>
      </c>
      <c r="S251" s="58" t="e">
        <f t="shared" si="63"/>
        <v>#REF!</v>
      </c>
      <c r="T251" s="58" t="e">
        <f t="shared" si="64"/>
        <v>#REF!</v>
      </c>
      <c r="U251" s="59"/>
      <c r="V251" s="59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</row>
    <row r="252" spans="1:46" x14ac:dyDescent="0.25">
      <c r="A252" s="31">
        <f>'M&amp;R Stations'!A238</f>
        <v>39197</v>
      </c>
      <c r="B252" s="89"/>
      <c r="C252" s="227">
        <v>102244</v>
      </c>
      <c r="D252" s="225">
        <v>89011</v>
      </c>
      <c r="E252" s="185"/>
      <c r="F252" s="72" t="e">
        <f>IF('M&amp;R Stations'!#REF!="","",('M&amp;R Stations'!#REF!+'M&amp;R Stations'!#REF!)+('LNG Facilities'!F238+'LNG Facilities'!G238+'LNG Facilities'!H238+'LNG Facilities'!R238+'LNG Facilities'!S238+'LNG Facilities'!T238)-'LNG Facilities'!#REF!-('NG Utilization'!C252+'NG Utilization'!D252+'NG Utilization'!E252))</f>
        <v>#REF!</v>
      </c>
      <c r="G252" s="58" t="e">
        <f>IF('M&amp;R Stations'!#REF!="","",F252+G251)</f>
        <v>#REF!</v>
      </c>
      <c r="H252" s="58" t="e">
        <f>IF('M&amp;R Stations'!#REF!="","",F252+H251)</f>
        <v>#REF!</v>
      </c>
      <c r="I252" s="58"/>
      <c r="J252" s="57" t="e">
        <f t="shared" si="57"/>
        <v>#REF!</v>
      </c>
      <c r="K252" s="58" t="e">
        <f t="shared" si="59"/>
        <v>#REF!</v>
      </c>
      <c r="L252" s="58" t="e">
        <f t="shared" si="60"/>
        <v>#REF!</v>
      </c>
      <c r="M252" s="58"/>
      <c r="N252" s="73" t="e">
        <f>IF(F252="","",ROUND((('M&amp;R Stations'!#REF!+'M&amp;R Stations'!#REF!)-('NG Utilization'!C252+'NG Utilization'!D252+'NG Utilization'!E252)-'LNG Facilities'!#REF!)*ROUND(((('M&amp;R Stations'!#REF!*'M&amp;R Stations'!L238)+('M&amp;R Stations'!#REF!*'M&amp;R Stations'!F238))/1000)/('M&amp;R Stations'!#REF!+'M&amp;R Stations'!#REF!),3),0)+ROUND((('LNG Facilities'!F238*'LNG Facilities'!K238+'LNG Facilities'!G238*'LNG Facilities'!L238+'LNG Facilities'!H238*'LNG Facilities'!M238+'LNG Facilities'!R238*'LNG Facilities'!W238+'LNG Facilities'!S238*'LNG Facilities'!X238+'LNG Facilities'!T238*'LNG Facilities'!#REF!)/1000),0))</f>
        <v>#REF!</v>
      </c>
      <c r="O252" s="58" t="e">
        <f t="shared" si="61"/>
        <v>#REF!</v>
      </c>
      <c r="P252" s="58" t="e">
        <f t="shared" si="62"/>
        <v>#REF!</v>
      </c>
      <c r="Q252" s="58"/>
      <c r="R252" s="57" t="e">
        <f t="shared" si="58"/>
        <v>#REF!</v>
      </c>
      <c r="S252" s="58" t="e">
        <f t="shared" si="63"/>
        <v>#REF!</v>
      </c>
      <c r="T252" s="58" t="e">
        <f t="shared" si="64"/>
        <v>#REF!</v>
      </c>
      <c r="U252" s="59"/>
      <c r="V252" s="59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</row>
    <row r="253" spans="1:46" x14ac:dyDescent="0.25">
      <c r="A253" s="31">
        <f>'M&amp;R Stations'!A239</f>
        <v>39198</v>
      </c>
      <c r="B253" s="89"/>
      <c r="C253" s="227">
        <v>115134</v>
      </c>
      <c r="D253" s="225">
        <v>106024</v>
      </c>
      <c r="E253" s="185"/>
      <c r="F253" s="72" t="e">
        <f>IF('M&amp;R Stations'!#REF!="","",('M&amp;R Stations'!#REF!+'M&amp;R Stations'!#REF!)+('LNG Facilities'!F239+'LNG Facilities'!G239+'LNG Facilities'!H239+'LNG Facilities'!R239+'LNG Facilities'!S239+'LNG Facilities'!T239)-'LNG Facilities'!#REF!-('NG Utilization'!C253+'NG Utilization'!D253+'NG Utilization'!E253))</f>
        <v>#REF!</v>
      </c>
      <c r="G253" s="58" t="e">
        <f>IF('M&amp;R Stations'!#REF!="","",F253+G252)</f>
        <v>#REF!</v>
      </c>
      <c r="H253" s="58" t="e">
        <f>IF('M&amp;R Stations'!#REF!="","",F253+H252)</f>
        <v>#REF!</v>
      </c>
      <c r="I253" s="58"/>
      <c r="J253" s="57" t="e">
        <f t="shared" si="57"/>
        <v>#REF!</v>
      </c>
      <c r="K253" s="58" t="e">
        <f t="shared" si="59"/>
        <v>#REF!</v>
      </c>
      <c r="L253" s="58" t="e">
        <f t="shared" si="60"/>
        <v>#REF!</v>
      </c>
      <c r="M253" s="58"/>
      <c r="N253" s="73" t="e">
        <f>IF(F253="","",ROUND((('M&amp;R Stations'!#REF!+'M&amp;R Stations'!#REF!)-('NG Utilization'!C253+'NG Utilization'!D253+'NG Utilization'!E253)-'LNG Facilities'!#REF!)*ROUND(((('M&amp;R Stations'!#REF!*'M&amp;R Stations'!L239)+('M&amp;R Stations'!#REF!*'M&amp;R Stations'!F239))/1000)/('M&amp;R Stations'!#REF!+'M&amp;R Stations'!#REF!),3),0)+ROUND((('LNG Facilities'!F239*'LNG Facilities'!K239+'LNG Facilities'!G239*'LNG Facilities'!L239+'LNG Facilities'!H239*'LNG Facilities'!M239+'LNG Facilities'!R239*'LNG Facilities'!W239+'LNG Facilities'!S239*'LNG Facilities'!X239+'LNG Facilities'!T239*'LNG Facilities'!#REF!)/1000),0))</f>
        <v>#REF!</v>
      </c>
      <c r="O253" s="58" t="e">
        <f t="shared" si="61"/>
        <v>#REF!</v>
      </c>
      <c r="P253" s="58" t="e">
        <f t="shared" si="62"/>
        <v>#REF!</v>
      </c>
      <c r="Q253" s="58"/>
      <c r="R253" s="57" t="e">
        <f t="shared" si="58"/>
        <v>#REF!</v>
      </c>
      <c r="S253" s="58" t="e">
        <f t="shared" si="63"/>
        <v>#REF!</v>
      </c>
      <c r="T253" s="58" t="e">
        <f t="shared" si="64"/>
        <v>#REF!</v>
      </c>
      <c r="U253" s="59"/>
      <c r="V253" s="59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</row>
    <row r="254" spans="1:46" x14ac:dyDescent="0.25">
      <c r="A254" s="31">
        <f>'M&amp;R Stations'!A240</f>
        <v>39199</v>
      </c>
      <c r="B254" s="89"/>
      <c r="C254" s="227">
        <v>97362</v>
      </c>
      <c r="D254" s="225">
        <v>71997</v>
      </c>
      <c r="E254" s="185"/>
      <c r="F254" s="72" t="e">
        <f>IF('M&amp;R Stations'!#REF!="","",('M&amp;R Stations'!#REF!+'M&amp;R Stations'!#REF!)+('LNG Facilities'!F240+'LNG Facilities'!G240+'LNG Facilities'!H240+'LNG Facilities'!R240+'LNG Facilities'!S240+'LNG Facilities'!T240)-'LNG Facilities'!#REF!-('NG Utilization'!C254+'NG Utilization'!D254+'NG Utilization'!E254))</f>
        <v>#REF!</v>
      </c>
      <c r="G254" s="58" t="e">
        <f>IF('M&amp;R Stations'!#REF!="","",F254+G253)</f>
        <v>#REF!</v>
      </c>
      <c r="H254" s="58" t="e">
        <f>IF('M&amp;R Stations'!#REF!="","",F254+H253)</f>
        <v>#REF!</v>
      </c>
      <c r="I254" s="58"/>
      <c r="J254" s="57" t="e">
        <f t="shared" si="57"/>
        <v>#REF!</v>
      </c>
      <c r="K254" s="58" t="e">
        <f t="shared" si="59"/>
        <v>#REF!</v>
      </c>
      <c r="L254" s="58" t="e">
        <f t="shared" si="60"/>
        <v>#REF!</v>
      </c>
      <c r="M254" s="58"/>
      <c r="N254" s="73" t="e">
        <f>IF(F254="","",ROUND((('M&amp;R Stations'!#REF!+'M&amp;R Stations'!#REF!)-('NG Utilization'!C254+'NG Utilization'!D254+'NG Utilization'!E254)-'LNG Facilities'!#REF!)*ROUND(((('M&amp;R Stations'!#REF!*'M&amp;R Stations'!L240)+('M&amp;R Stations'!#REF!*'M&amp;R Stations'!F240))/1000)/('M&amp;R Stations'!#REF!+'M&amp;R Stations'!#REF!),3),0)+ROUND((('LNG Facilities'!F240*'LNG Facilities'!K240+'LNG Facilities'!G240*'LNG Facilities'!L240+'LNG Facilities'!H240*'LNG Facilities'!M240+'LNG Facilities'!R240*'LNG Facilities'!W240+'LNG Facilities'!S240*'LNG Facilities'!X240+'LNG Facilities'!T240*'LNG Facilities'!#REF!)/1000),0))</f>
        <v>#REF!</v>
      </c>
      <c r="O254" s="58" t="e">
        <f t="shared" si="61"/>
        <v>#REF!</v>
      </c>
      <c r="P254" s="58" t="e">
        <f t="shared" si="62"/>
        <v>#REF!</v>
      </c>
      <c r="Q254" s="58"/>
      <c r="R254" s="57" t="e">
        <f t="shared" si="58"/>
        <v>#REF!</v>
      </c>
      <c r="S254" s="58" t="e">
        <f t="shared" si="63"/>
        <v>#REF!</v>
      </c>
      <c r="T254" s="58" t="e">
        <f t="shared" si="64"/>
        <v>#REF!</v>
      </c>
      <c r="U254" s="59"/>
      <c r="V254" s="59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</row>
    <row r="255" spans="1:46" x14ac:dyDescent="0.25">
      <c r="A255" s="31">
        <f>'M&amp;R Stations'!A241</f>
        <v>39200</v>
      </c>
      <c r="B255" s="89"/>
      <c r="C255" s="227">
        <v>104271</v>
      </c>
      <c r="D255" s="225">
        <v>71997</v>
      </c>
      <c r="E255" s="185"/>
      <c r="F255" s="72" t="e">
        <f>IF('M&amp;R Stations'!#REF!="","",('M&amp;R Stations'!#REF!+'M&amp;R Stations'!#REF!)+('LNG Facilities'!F241+'LNG Facilities'!G241+'LNG Facilities'!H241+'LNG Facilities'!R241+'LNG Facilities'!S241+'LNG Facilities'!T241)-'LNG Facilities'!#REF!-('NG Utilization'!C255+'NG Utilization'!D255+'NG Utilization'!E255))</f>
        <v>#REF!</v>
      </c>
      <c r="G255" s="58" t="e">
        <f>IF('M&amp;R Stations'!#REF!="","",F255+G254)</f>
        <v>#REF!</v>
      </c>
      <c r="H255" s="58" t="e">
        <f>IF('M&amp;R Stations'!#REF!="","",F255+H254)</f>
        <v>#REF!</v>
      </c>
      <c r="I255" s="58"/>
      <c r="J255" s="57" t="e">
        <f t="shared" si="57"/>
        <v>#REF!</v>
      </c>
      <c r="K255" s="58" t="e">
        <f t="shared" si="59"/>
        <v>#REF!</v>
      </c>
      <c r="L255" s="58" t="e">
        <f t="shared" si="60"/>
        <v>#REF!</v>
      </c>
      <c r="M255" s="58"/>
      <c r="N255" s="73" t="e">
        <f>IF(F255="","",ROUND((('M&amp;R Stations'!#REF!+'M&amp;R Stations'!#REF!)-('NG Utilization'!C255+'NG Utilization'!D255+'NG Utilization'!E255)-'LNG Facilities'!#REF!)*ROUND(((('M&amp;R Stations'!#REF!*'M&amp;R Stations'!L241)+('M&amp;R Stations'!#REF!*'M&amp;R Stations'!F241))/1000)/('M&amp;R Stations'!#REF!+'M&amp;R Stations'!#REF!),3),0)+ROUND((('LNG Facilities'!F241*'LNG Facilities'!K241+'LNG Facilities'!G241*'LNG Facilities'!L241+'LNG Facilities'!H241*'LNG Facilities'!M241+'LNG Facilities'!R241*'LNG Facilities'!W241+'LNG Facilities'!S241*'LNG Facilities'!X241+'LNG Facilities'!T241*'LNG Facilities'!#REF!)/1000),0))</f>
        <v>#REF!</v>
      </c>
      <c r="O255" s="58" t="e">
        <f t="shared" si="61"/>
        <v>#REF!</v>
      </c>
      <c r="P255" s="58" t="e">
        <f t="shared" si="62"/>
        <v>#REF!</v>
      </c>
      <c r="Q255" s="58"/>
      <c r="R255" s="57" t="e">
        <f t="shared" si="58"/>
        <v>#REF!</v>
      </c>
      <c r="S255" s="58" t="e">
        <f t="shared" si="63"/>
        <v>#REF!</v>
      </c>
      <c r="T255" s="58" t="e">
        <f t="shared" si="64"/>
        <v>#REF!</v>
      </c>
      <c r="U255" s="59"/>
      <c r="V255" s="59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</row>
    <row r="256" spans="1:46" x14ac:dyDescent="0.25">
      <c r="A256" s="31">
        <f>'M&amp;R Stations'!A242</f>
        <v>39201</v>
      </c>
      <c r="B256" s="89"/>
      <c r="C256" s="227">
        <v>105335</v>
      </c>
      <c r="D256" s="225">
        <v>46477</v>
      </c>
      <c r="E256" s="185"/>
      <c r="F256" s="72" t="e">
        <f>IF('M&amp;R Stations'!#REF!="","",('M&amp;R Stations'!#REF!+'M&amp;R Stations'!#REF!)+('LNG Facilities'!F242+'LNG Facilities'!G242+'LNG Facilities'!H242+'LNG Facilities'!R242+'LNG Facilities'!S242+'LNG Facilities'!T242)-'LNG Facilities'!#REF!-('NG Utilization'!C256+'NG Utilization'!D256+'NG Utilization'!E256))</f>
        <v>#REF!</v>
      </c>
      <c r="G256" s="58" t="e">
        <f>IF('M&amp;R Stations'!#REF!="","",F256+G255)</f>
        <v>#REF!</v>
      </c>
      <c r="H256" s="58" t="e">
        <f>IF('M&amp;R Stations'!#REF!="","",F256+H255)</f>
        <v>#REF!</v>
      </c>
      <c r="I256" s="58"/>
      <c r="J256" s="57" t="e">
        <f t="shared" si="57"/>
        <v>#REF!</v>
      </c>
      <c r="K256" s="58" t="e">
        <f t="shared" si="59"/>
        <v>#REF!</v>
      </c>
      <c r="L256" s="58" t="e">
        <f t="shared" si="60"/>
        <v>#REF!</v>
      </c>
      <c r="M256" s="58"/>
      <c r="N256" s="73" t="e">
        <f>IF(F256="","",ROUND((('M&amp;R Stations'!#REF!+'M&amp;R Stations'!#REF!)-('NG Utilization'!C256+'NG Utilization'!D256+'NG Utilization'!E256)-'LNG Facilities'!#REF!)*ROUND(((('M&amp;R Stations'!#REF!*'M&amp;R Stations'!L242)+('M&amp;R Stations'!#REF!*'M&amp;R Stations'!F242))/1000)/('M&amp;R Stations'!#REF!+'M&amp;R Stations'!#REF!),3),0)+ROUND((('LNG Facilities'!F242*'LNG Facilities'!K242+'LNG Facilities'!G242*'LNG Facilities'!L242+'LNG Facilities'!H242*'LNG Facilities'!M242+'LNG Facilities'!R242*'LNG Facilities'!W242+'LNG Facilities'!S242*'LNG Facilities'!X242+'LNG Facilities'!T242*'LNG Facilities'!#REF!)/1000),0))</f>
        <v>#REF!</v>
      </c>
      <c r="O256" s="58" t="e">
        <f t="shared" si="61"/>
        <v>#REF!</v>
      </c>
      <c r="P256" s="58" t="e">
        <f t="shared" si="62"/>
        <v>#REF!</v>
      </c>
      <c r="Q256" s="58"/>
      <c r="R256" s="57" t="e">
        <f t="shared" si="58"/>
        <v>#REF!</v>
      </c>
      <c r="S256" s="58" t="e">
        <f t="shared" si="63"/>
        <v>#REF!</v>
      </c>
      <c r="T256" s="58" t="e">
        <f t="shared" si="64"/>
        <v>#REF!</v>
      </c>
      <c r="U256" s="59"/>
      <c r="V256" s="59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</row>
    <row r="257" spans="1:46" x14ac:dyDescent="0.25">
      <c r="A257" s="31">
        <f>'M&amp;R Stations'!A243</f>
        <v>39202</v>
      </c>
      <c r="B257" s="89"/>
      <c r="C257" s="227">
        <v>103898</v>
      </c>
      <c r="D257" s="225">
        <v>46477</v>
      </c>
      <c r="E257" s="185"/>
      <c r="F257" s="72" t="e">
        <f>IF('M&amp;R Stations'!#REF!="","",('M&amp;R Stations'!#REF!+'M&amp;R Stations'!#REF!)+('LNG Facilities'!F243+'LNG Facilities'!G243+'LNG Facilities'!H243+'LNG Facilities'!R243+'LNG Facilities'!S243+'LNG Facilities'!T243)-'LNG Facilities'!#REF!-('NG Utilization'!C257+'NG Utilization'!D257+'NG Utilization'!E257))</f>
        <v>#REF!</v>
      </c>
      <c r="G257" s="58" t="e">
        <f>IF('M&amp;R Stations'!#REF!="","",F257+G256)</f>
        <v>#REF!</v>
      </c>
      <c r="H257" s="58" t="e">
        <f>IF('M&amp;R Stations'!#REF!="","",F257+H256)</f>
        <v>#REF!</v>
      </c>
      <c r="I257" s="58"/>
      <c r="J257" s="57" t="e">
        <f t="shared" si="57"/>
        <v>#REF!</v>
      </c>
      <c r="K257" s="58" t="e">
        <f t="shared" si="59"/>
        <v>#REF!</v>
      </c>
      <c r="L257" s="58" t="e">
        <f t="shared" si="60"/>
        <v>#REF!</v>
      </c>
      <c r="M257" s="58"/>
      <c r="N257" s="73" t="e">
        <f>IF(F257="","",ROUND((('M&amp;R Stations'!#REF!+'M&amp;R Stations'!#REF!)-('NG Utilization'!C257+'NG Utilization'!D257+'NG Utilization'!E257)-'LNG Facilities'!#REF!)*ROUND(((('M&amp;R Stations'!#REF!*'M&amp;R Stations'!L243)+('M&amp;R Stations'!#REF!*'M&amp;R Stations'!F243))/1000)/('M&amp;R Stations'!#REF!+'M&amp;R Stations'!#REF!),3),0)+ROUND((('LNG Facilities'!F243*'LNG Facilities'!K243+'LNG Facilities'!G243*'LNG Facilities'!L243+'LNG Facilities'!H243*'LNG Facilities'!M243+'LNG Facilities'!R243*'LNG Facilities'!W243+'LNG Facilities'!S243*'LNG Facilities'!X243+'LNG Facilities'!T243*'LNG Facilities'!#REF!)/1000),0))</f>
        <v>#REF!</v>
      </c>
      <c r="O257" s="58" t="e">
        <f t="shared" si="61"/>
        <v>#REF!</v>
      </c>
      <c r="P257" s="58" t="e">
        <f t="shared" si="62"/>
        <v>#REF!</v>
      </c>
      <c r="Q257" s="58"/>
      <c r="R257" s="57" t="e">
        <f t="shared" si="58"/>
        <v>#REF!</v>
      </c>
      <c r="S257" s="58" t="e">
        <f t="shared" si="63"/>
        <v>#REF!</v>
      </c>
      <c r="T257" s="58" t="e">
        <f t="shared" si="64"/>
        <v>#REF!</v>
      </c>
      <c r="U257" s="59"/>
      <c r="V257" s="59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</row>
    <row r="258" spans="1:46" x14ac:dyDescent="0.25">
      <c r="A258" s="179"/>
      <c r="B258" s="178"/>
      <c r="C258" s="178"/>
      <c r="D258" s="178"/>
      <c r="E258" s="187"/>
      <c r="F258" s="180"/>
      <c r="G258" s="181"/>
      <c r="H258" s="181"/>
      <c r="I258" s="181"/>
      <c r="J258" s="182"/>
      <c r="K258" s="181"/>
      <c r="L258" s="181"/>
      <c r="M258" s="181"/>
      <c r="N258" s="183"/>
      <c r="O258" s="181"/>
      <c r="P258" s="181"/>
      <c r="Q258" s="181"/>
      <c r="R258" s="182"/>
      <c r="S258" s="181"/>
      <c r="T258" s="181"/>
      <c r="U258" s="59"/>
      <c r="V258" s="59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</row>
    <row r="259" spans="1:46" x14ac:dyDescent="0.25">
      <c r="A259" s="31">
        <f>'M&amp;R Stations'!A244</f>
        <v>39203</v>
      </c>
      <c r="B259" s="89"/>
      <c r="C259" s="227">
        <v>99736</v>
      </c>
      <c r="D259" s="225">
        <v>46324.88</v>
      </c>
      <c r="E259" s="185"/>
      <c r="F259" s="72" t="e">
        <f>IF('M&amp;R Stations'!#REF!="","",('M&amp;R Stations'!#REF!+'M&amp;R Stations'!#REF!)+('LNG Facilities'!F244+'LNG Facilities'!G244+'LNG Facilities'!H244+'LNG Facilities'!R244+'LNG Facilities'!S244+'LNG Facilities'!T244)-'LNG Facilities'!#REF!-('NG Utilization'!C259+'NG Utilization'!D259+'NG Utilization'!E259))</f>
        <v>#REF!</v>
      </c>
      <c r="G259" s="58" t="e">
        <f>IF('M&amp;R Stations'!#REF!="","",F259)</f>
        <v>#REF!</v>
      </c>
      <c r="H259" s="58" t="e">
        <f>IF('M&amp;R Stations'!#REF!="","",F259+H257)</f>
        <v>#REF!</v>
      </c>
      <c r="I259" s="58"/>
      <c r="J259" s="57" t="e">
        <f t="shared" ref="J259:J289" si="65">IF(F259="","",C259)</f>
        <v>#REF!</v>
      </c>
      <c r="K259" s="58" t="e">
        <f>IF(J259="","",J259)</f>
        <v>#REF!</v>
      </c>
      <c r="L259" s="58" t="e">
        <f>IF(J259="","",J259+L257)</f>
        <v>#REF!</v>
      </c>
      <c r="M259" s="58"/>
      <c r="N259" s="73" t="e">
        <f>IF(F259="","",ROUND((('M&amp;R Stations'!#REF!+'M&amp;R Stations'!#REF!)-('NG Utilization'!C259+'NG Utilization'!D259+'NG Utilization'!E259)-'LNG Facilities'!#REF!)*ROUND(((('M&amp;R Stations'!#REF!*'M&amp;R Stations'!L244)+('M&amp;R Stations'!#REF!*'M&amp;R Stations'!F244))/1000)/('M&amp;R Stations'!#REF!+'M&amp;R Stations'!#REF!),3),0)+ROUND((('LNG Facilities'!F244*'LNG Facilities'!K244+'LNG Facilities'!G244*'LNG Facilities'!L244+'LNG Facilities'!H244*'LNG Facilities'!M244+'LNG Facilities'!R244*'LNG Facilities'!W244+'LNG Facilities'!S244*'LNG Facilities'!X244+'LNG Facilities'!T244*'LNG Facilities'!#REF!)/1000),0))</f>
        <v>#REF!</v>
      </c>
      <c r="O259" s="58" t="e">
        <f>IF(N259="","",N259)</f>
        <v>#REF!</v>
      </c>
      <c r="P259" s="58" t="e">
        <f>IF(N259="","",N259+P257)</f>
        <v>#REF!</v>
      </c>
      <c r="Q259" s="58"/>
      <c r="R259" s="57" t="e">
        <f t="shared" ref="R259:R289" si="66">IF(F259="","",D259)</f>
        <v>#REF!</v>
      </c>
      <c r="S259" s="58" t="e">
        <f>IF(R259="","",R259)</f>
        <v>#REF!</v>
      </c>
      <c r="T259" s="58" t="e">
        <f>IF(R259="","",R259+T257)</f>
        <v>#REF!</v>
      </c>
      <c r="U259" s="59"/>
      <c r="V259" s="59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</row>
    <row r="260" spans="1:46" x14ac:dyDescent="0.25">
      <c r="A260" s="31">
        <f>'M&amp;R Stations'!A245</f>
        <v>39204</v>
      </c>
      <c r="B260" s="89"/>
      <c r="C260" s="227">
        <v>93908</v>
      </c>
      <c r="D260" s="225">
        <v>46324.88</v>
      </c>
      <c r="E260" s="185"/>
      <c r="F260" s="72" t="e">
        <f>IF('M&amp;R Stations'!#REF!="","",('M&amp;R Stations'!#REF!+'M&amp;R Stations'!#REF!)+('LNG Facilities'!F245+'LNG Facilities'!G245+'LNG Facilities'!H245+'LNG Facilities'!R245+'LNG Facilities'!S245+'LNG Facilities'!T245)-'LNG Facilities'!#REF!-('NG Utilization'!C260+'NG Utilization'!D260+'NG Utilization'!E260))</f>
        <v>#REF!</v>
      </c>
      <c r="G260" s="58" t="e">
        <f>IF('M&amp;R Stations'!#REF!="","",F260+G259)</f>
        <v>#REF!</v>
      </c>
      <c r="H260" s="58" t="e">
        <f>IF('M&amp;R Stations'!#REF!="","",F260+H259)</f>
        <v>#REF!</v>
      </c>
      <c r="I260" s="58"/>
      <c r="J260" s="57" t="e">
        <f t="shared" si="65"/>
        <v>#REF!</v>
      </c>
      <c r="K260" s="58" t="e">
        <f t="shared" ref="K260:K288" si="67">IF(J260="","",J260+K259)</f>
        <v>#REF!</v>
      </c>
      <c r="L260" s="58" t="e">
        <f t="shared" ref="L260:L288" si="68">IF(J260="","",J260+L259)</f>
        <v>#REF!</v>
      </c>
      <c r="M260" s="58"/>
      <c r="N260" s="73" t="e">
        <f>IF(F260="","",ROUND((('M&amp;R Stations'!#REF!+'M&amp;R Stations'!#REF!)-('NG Utilization'!C260+'NG Utilization'!D260+'NG Utilization'!E260)-'LNG Facilities'!#REF!)*ROUND(((('M&amp;R Stations'!#REF!*'M&amp;R Stations'!L245)+('M&amp;R Stations'!#REF!*'M&amp;R Stations'!F245))/1000)/('M&amp;R Stations'!#REF!+'M&amp;R Stations'!#REF!),3),0)+ROUND((('LNG Facilities'!F245*'LNG Facilities'!K245+'LNG Facilities'!G245*'LNG Facilities'!L245+'LNG Facilities'!H245*'LNG Facilities'!M245+'LNG Facilities'!R245*'LNG Facilities'!W245+'LNG Facilities'!S245*'LNG Facilities'!X245+'LNG Facilities'!T245*'LNG Facilities'!#REF!)/1000),0))</f>
        <v>#REF!</v>
      </c>
      <c r="O260" s="58" t="e">
        <f t="shared" ref="O260:O288" si="69">IF(N260="","",N260+O259)</f>
        <v>#REF!</v>
      </c>
      <c r="P260" s="58" t="e">
        <f t="shared" ref="P260:P288" si="70">IF(N260="","",N260+P259)</f>
        <v>#REF!</v>
      </c>
      <c r="Q260" s="58"/>
      <c r="R260" s="57" t="e">
        <f t="shared" si="66"/>
        <v>#REF!</v>
      </c>
      <c r="S260" s="58" t="e">
        <f t="shared" ref="S260:S288" si="71">IF(R260="","",R260+S259)</f>
        <v>#REF!</v>
      </c>
      <c r="T260" s="58" t="e">
        <f t="shared" ref="T260:T288" si="72">IF(R260="","",R260+T259)</f>
        <v>#REF!</v>
      </c>
      <c r="U260" s="59"/>
      <c r="V260" s="59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</row>
    <row r="261" spans="1:46" x14ac:dyDescent="0.25">
      <c r="A261" s="31">
        <f>'M&amp;R Stations'!A246</f>
        <v>39205</v>
      </c>
      <c r="B261" s="89"/>
      <c r="C261" s="227">
        <v>85569</v>
      </c>
      <c r="D261" s="225">
        <v>61822</v>
      </c>
      <c r="E261" s="185"/>
      <c r="F261" s="72" t="e">
        <f>IF('M&amp;R Stations'!#REF!="","",('M&amp;R Stations'!#REF!+'M&amp;R Stations'!#REF!)+('LNG Facilities'!F246+'LNG Facilities'!G246+'LNG Facilities'!H246+'LNG Facilities'!R246+'LNG Facilities'!S246+'LNG Facilities'!T246)-'LNG Facilities'!#REF!-('NG Utilization'!C261+'NG Utilization'!D261+'NG Utilization'!E261))</f>
        <v>#REF!</v>
      </c>
      <c r="G261" s="58" t="e">
        <f>IF('M&amp;R Stations'!#REF!="","",F261+G260)</f>
        <v>#REF!</v>
      </c>
      <c r="H261" s="58" t="e">
        <f>IF('M&amp;R Stations'!#REF!="","",F261+H260)</f>
        <v>#REF!</v>
      </c>
      <c r="I261" s="58"/>
      <c r="J261" s="57" t="e">
        <f t="shared" si="65"/>
        <v>#REF!</v>
      </c>
      <c r="K261" s="58" t="e">
        <f t="shared" si="67"/>
        <v>#REF!</v>
      </c>
      <c r="L261" s="58" t="e">
        <f t="shared" si="68"/>
        <v>#REF!</v>
      </c>
      <c r="M261" s="58"/>
      <c r="N261" s="73" t="e">
        <f>IF(F261="","",ROUND((('M&amp;R Stations'!#REF!+'M&amp;R Stations'!#REF!)-('NG Utilization'!C261+'NG Utilization'!D261+'NG Utilization'!E261)-'LNG Facilities'!#REF!)*ROUND(((('M&amp;R Stations'!#REF!*'M&amp;R Stations'!L246)+('M&amp;R Stations'!#REF!*'M&amp;R Stations'!F246))/1000)/('M&amp;R Stations'!#REF!+'M&amp;R Stations'!#REF!),3),0)+ROUND((('LNG Facilities'!F246*'LNG Facilities'!K246+'LNG Facilities'!G246*'LNG Facilities'!L246+'LNG Facilities'!H246*'LNG Facilities'!M246+'LNG Facilities'!R246*'LNG Facilities'!W246+'LNG Facilities'!S246*'LNG Facilities'!X246+'LNG Facilities'!T246*'LNG Facilities'!#REF!)/1000),0))</f>
        <v>#REF!</v>
      </c>
      <c r="O261" s="58" t="e">
        <f t="shared" si="69"/>
        <v>#REF!</v>
      </c>
      <c r="P261" s="58" t="e">
        <f t="shared" si="70"/>
        <v>#REF!</v>
      </c>
      <c r="Q261" s="58"/>
      <c r="R261" s="57" t="e">
        <f t="shared" si="66"/>
        <v>#REF!</v>
      </c>
      <c r="S261" s="58" t="e">
        <f t="shared" si="71"/>
        <v>#REF!</v>
      </c>
      <c r="T261" s="58" t="e">
        <f t="shared" si="72"/>
        <v>#REF!</v>
      </c>
      <c r="U261" s="59"/>
      <c r="V261" s="59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</row>
    <row r="262" spans="1:46" x14ac:dyDescent="0.25">
      <c r="A262" s="31">
        <f>'M&amp;R Stations'!A247</f>
        <v>39206</v>
      </c>
      <c r="B262" s="89"/>
      <c r="C262" s="227">
        <v>77924</v>
      </c>
      <c r="D262" s="225">
        <v>46324.88</v>
      </c>
      <c r="E262" s="185"/>
      <c r="F262" s="72" t="e">
        <f>IF('M&amp;R Stations'!#REF!="","",('M&amp;R Stations'!#REF!+'M&amp;R Stations'!#REF!)+('LNG Facilities'!F247+'LNG Facilities'!G247+'LNG Facilities'!H247+'LNG Facilities'!R247+'LNG Facilities'!S247+'LNG Facilities'!T247)-'LNG Facilities'!#REF!-('NG Utilization'!C262+'NG Utilization'!D262+'NG Utilization'!E262))</f>
        <v>#REF!</v>
      </c>
      <c r="G262" s="58" t="e">
        <f>IF('M&amp;R Stations'!#REF!="","",F262+G261)</f>
        <v>#REF!</v>
      </c>
      <c r="H262" s="58" t="e">
        <f>IF('M&amp;R Stations'!#REF!="","",F262+H261)</f>
        <v>#REF!</v>
      </c>
      <c r="I262" s="58"/>
      <c r="J262" s="57" t="e">
        <f t="shared" si="65"/>
        <v>#REF!</v>
      </c>
      <c r="K262" s="58" t="e">
        <f t="shared" si="67"/>
        <v>#REF!</v>
      </c>
      <c r="L262" s="58" t="e">
        <f t="shared" si="68"/>
        <v>#REF!</v>
      </c>
      <c r="M262" s="58"/>
      <c r="N262" s="73" t="e">
        <f>IF(F262="","",ROUND((('M&amp;R Stations'!#REF!+'M&amp;R Stations'!#REF!)-('NG Utilization'!C262+'NG Utilization'!D262+'NG Utilization'!E262)-'LNG Facilities'!#REF!)*ROUND(((('M&amp;R Stations'!#REF!*'M&amp;R Stations'!L247)+('M&amp;R Stations'!#REF!*'M&amp;R Stations'!F247))/1000)/('M&amp;R Stations'!#REF!+'M&amp;R Stations'!#REF!),3),0)+ROUND((('LNG Facilities'!F247*'LNG Facilities'!K247+'LNG Facilities'!G247*'LNG Facilities'!L247+'LNG Facilities'!H247*'LNG Facilities'!M247+'LNG Facilities'!R247*'LNG Facilities'!W247+'LNG Facilities'!S247*'LNG Facilities'!X247+'LNG Facilities'!T247*'LNG Facilities'!#REF!)/1000),0))</f>
        <v>#REF!</v>
      </c>
      <c r="O262" s="58" t="e">
        <f t="shared" si="69"/>
        <v>#REF!</v>
      </c>
      <c r="P262" s="58" t="e">
        <f t="shared" si="70"/>
        <v>#REF!</v>
      </c>
      <c r="Q262" s="58"/>
      <c r="R262" s="57" t="e">
        <f t="shared" si="66"/>
        <v>#REF!</v>
      </c>
      <c r="S262" s="58" t="e">
        <f t="shared" si="71"/>
        <v>#REF!</v>
      </c>
      <c r="T262" s="58" t="e">
        <f t="shared" si="72"/>
        <v>#REF!</v>
      </c>
      <c r="U262" s="59"/>
      <c r="V262" s="59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</row>
    <row r="263" spans="1:46" x14ac:dyDescent="0.25">
      <c r="A263" s="31">
        <f>'M&amp;R Stations'!A248</f>
        <v>39207</v>
      </c>
      <c r="B263" s="89"/>
      <c r="C263" s="227">
        <v>73613</v>
      </c>
      <c r="D263" s="225">
        <v>46324.88</v>
      </c>
      <c r="E263" s="185"/>
      <c r="F263" s="72" t="e">
        <f>IF('M&amp;R Stations'!#REF!="","",('M&amp;R Stations'!#REF!+'M&amp;R Stations'!#REF!)+('LNG Facilities'!F248+'LNG Facilities'!G248+'LNG Facilities'!H248+'LNG Facilities'!R248+'LNG Facilities'!S248+'LNG Facilities'!T248)-'LNG Facilities'!#REF!-('NG Utilization'!C263+'NG Utilization'!D263+'NG Utilization'!E263))</f>
        <v>#REF!</v>
      </c>
      <c r="G263" s="58" t="e">
        <f>IF('M&amp;R Stations'!#REF!="","",F263+G262)</f>
        <v>#REF!</v>
      </c>
      <c r="H263" s="58" t="e">
        <f>IF('M&amp;R Stations'!#REF!="","",F263+H262)</f>
        <v>#REF!</v>
      </c>
      <c r="I263" s="58"/>
      <c r="J263" s="57" t="e">
        <f t="shared" si="65"/>
        <v>#REF!</v>
      </c>
      <c r="K263" s="58" t="e">
        <f t="shared" si="67"/>
        <v>#REF!</v>
      </c>
      <c r="L263" s="58" t="e">
        <f t="shared" si="68"/>
        <v>#REF!</v>
      </c>
      <c r="M263" s="58"/>
      <c r="N263" s="73" t="e">
        <f>IF(F263="","",ROUND((('M&amp;R Stations'!#REF!+'M&amp;R Stations'!#REF!)-('NG Utilization'!C263+'NG Utilization'!D263+'NG Utilization'!E263)-'LNG Facilities'!#REF!)*ROUND(((('M&amp;R Stations'!#REF!*'M&amp;R Stations'!L248)+('M&amp;R Stations'!#REF!*'M&amp;R Stations'!F248))/1000)/('M&amp;R Stations'!#REF!+'M&amp;R Stations'!#REF!),3),0)+ROUND((('LNG Facilities'!F248*'LNG Facilities'!K248+'LNG Facilities'!G248*'LNG Facilities'!L248+'LNG Facilities'!H248*'LNG Facilities'!M248+'LNG Facilities'!R248*'LNG Facilities'!W248+'LNG Facilities'!S248*'LNG Facilities'!X248+'LNG Facilities'!T248*'LNG Facilities'!#REF!)/1000),0))</f>
        <v>#REF!</v>
      </c>
      <c r="O263" s="58" t="e">
        <f t="shared" si="69"/>
        <v>#REF!</v>
      </c>
      <c r="P263" s="58" t="e">
        <f t="shared" si="70"/>
        <v>#REF!</v>
      </c>
      <c r="Q263" s="58"/>
      <c r="R263" s="57" t="e">
        <f t="shared" si="66"/>
        <v>#REF!</v>
      </c>
      <c r="S263" s="58" t="e">
        <f t="shared" si="71"/>
        <v>#REF!</v>
      </c>
      <c r="T263" s="58" t="e">
        <f t="shared" si="72"/>
        <v>#REF!</v>
      </c>
      <c r="U263" s="59"/>
      <c r="V263" s="59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</row>
    <row r="264" spans="1:46" x14ac:dyDescent="0.25">
      <c r="A264" s="31">
        <f>'M&amp;R Stations'!A249</f>
        <v>39208</v>
      </c>
      <c r="B264" s="89"/>
      <c r="C264" s="227">
        <v>78627</v>
      </c>
      <c r="D264" s="225">
        <v>116061.3</v>
      </c>
      <c r="E264" s="185"/>
      <c r="F264" s="72" t="e">
        <f>IF('M&amp;R Stations'!#REF!="","",('M&amp;R Stations'!#REF!+'M&amp;R Stations'!#REF!)+('LNG Facilities'!F249+'LNG Facilities'!G249+'LNG Facilities'!H249+'LNG Facilities'!R249+'LNG Facilities'!S249+'LNG Facilities'!T249)-'LNG Facilities'!#REF!-('NG Utilization'!C264+'NG Utilization'!D264+'NG Utilization'!E264))</f>
        <v>#REF!</v>
      </c>
      <c r="G264" s="58" t="e">
        <f>IF('M&amp;R Stations'!#REF!="","",F264+G263)</f>
        <v>#REF!</v>
      </c>
      <c r="H264" s="58" t="e">
        <f>IF('M&amp;R Stations'!#REF!="","",F264+H263)</f>
        <v>#REF!</v>
      </c>
      <c r="I264" s="58"/>
      <c r="J264" s="57" t="e">
        <f t="shared" si="65"/>
        <v>#REF!</v>
      </c>
      <c r="K264" s="58" t="e">
        <f t="shared" si="67"/>
        <v>#REF!</v>
      </c>
      <c r="L264" s="58" t="e">
        <f t="shared" si="68"/>
        <v>#REF!</v>
      </c>
      <c r="M264" s="58"/>
      <c r="N264" s="73" t="e">
        <f>IF(F264="","",ROUND((('M&amp;R Stations'!#REF!+'M&amp;R Stations'!#REF!)-('NG Utilization'!C264+'NG Utilization'!D264+'NG Utilization'!E264)-'LNG Facilities'!#REF!)*ROUND(((('M&amp;R Stations'!#REF!*'M&amp;R Stations'!L249)+('M&amp;R Stations'!#REF!*'M&amp;R Stations'!F249))/1000)/('M&amp;R Stations'!#REF!+'M&amp;R Stations'!#REF!),3),0)+ROUND((('LNG Facilities'!F249*'LNG Facilities'!K249+'LNG Facilities'!G249*'LNG Facilities'!L249+'LNG Facilities'!H249*'LNG Facilities'!M249+'LNG Facilities'!R249*'LNG Facilities'!W249+'LNG Facilities'!S249*'LNG Facilities'!X249+'LNG Facilities'!T249*'LNG Facilities'!#REF!)/1000),0))</f>
        <v>#REF!</v>
      </c>
      <c r="O264" s="58" t="e">
        <f t="shared" si="69"/>
        <v>#REF!</v>
      </c>
      <c r="P264" s="58" t="e">
        <f t="shared" si="70"/>
        <v>#REF!</v>
      </c>
      <c r="Q264" s="58"/>
      <c r="R264" s="57" t="e">
        <f t="shared" si="66"/>
        <v>#REF!</v>
      </c>
      <c r="S264" s="58" t="e">
        <f t="shared" si="71"/>
        <v>#REF!</v>
      </c>
      <c r="T264" s="58" t="e">
        <f t="shared" si="72"/>
        <v>#REF!</v>
      </c>
      <c r="U264" s="59"/>
      <c r="V264" s="59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</row>
    <row r="265" spans="1:46" x14ac:dyDescent="0.25">
      <c r="A265" s="31">
        <f>'M&amp;R Stations'!A250</f>
        <v>39209</v>
      </c>
      <c r="B265" s="89"/>
      <c r="C265" s="227">
        <v>88700</v>
      </c>
      <c r="D265" s="225">
        <v>100564</v>
      </c>
      <c r="E265" s="185"/>
      <c r="F265" s="72" t="e">
        <f>IF('M&amp;R Stations'!#REF!="","",('M&amp;R Stations'!#REF!+'M&amp;R Stations'!#REF!)+('LNG Facilities'!F250+'LNG Facilities'!G250+'LNG Facilities'!H250+'LNG Facilities'!R250+'LNG Facilities'!S250+'LNG Facilities'!T250)-'LNG Facilities'!#REF!-('NG Utilization'!C265+'NG Utilization'!D265+'NG Utilization'!E265))</f>
        <v>#REF!</v>
      </c>
      <c r="G265" s="58" t="e">
        <f>IF('M&amp;R Stations'!#REF!="","",F265+G264)</f>
        <v>#REF!</v>
      </c>
      <c r="H265" s="58" t="e">
        <f>IF('M&amp;R Stations'!#REF!="","",F265+H264)</f>
        <v>#REF!</v>
      </c>
      <c r="I265" s="58"/>
      <c r="J265" s="57" t="e">
        <f t="shared" si="65"/>
        <v>#REF!</v>
      </c>
      <c r="K265" s="58" t="e">
        <f t="shared" si="67"/>
        <v>#REF!</v>
      </c>
      <c r="L265" s="58" t="e">
        <f t="shared" si="68"/>
        <v>#REF!</v>
      </c>
      <c r="M265" s="58"/>
      <c r="N265" s="73" t="e">
        <f>IF(F265="","",ROUND((('M&amp;R Stations'!#REF!+'M&amp;R Stations'!#REF!)-('NG Utilization'!C265+'NG Utilization'!D265+'NG Utilization'!E265)-'LNG Facilities'!#REF!)*ROUND(((('M&amp;R Stations'!#REF!*'M&amp;R Stations'!L250)+('M&amp;R Stations'!#REF!*'M&amp;R Stations'!F250))/1000)/('M&amp;R Stations'!#REF!+'M&amp;R Stations'!#REF!),3),0)+ROUND((('LNG Facilities'!F250*'LNG Facilities'!K250+'LNG Facilities'!G250*'LNG Facilities'!L250+'LNG Facilities'!H250*'LNG Facilities'!M250+'LNG Facilities'!R250*'LNG Facilities'!W250+'LNG Facilities'!S250*'LNG Facilities'!X250+'LNG Facilities'!T250*'LNG Facilities'!#REF!)/1000),0))</f>
        <v>#REF!</v>
      </c>
      <c r="O265" s="58" t="e">
        <f t="shared" si="69"/>
        <v>#REF!</v>
      </c>
      <c r="P265" s="58" t="e">
        <f t="shared" si="70"/>
        <v>#REF!</v>
      </c>
      <c r="Q265" s="58"/>
      <c r="R265" s="57" t="e">
        <f t="shared" si="66"/>
        <v>#REF!</v>
      </c>
      <c r="S265" s="58" t="e">
        <f t="shared" si="71"/>
        <v>#REF!</v>
      </c>
      <c r="T265" s="58" t="e">
        <f t="shared" si="72"/>
        <v>#REF!</v>
      </c>
      <c r="U265" s="59"/>
      <c r="V265" s="59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</row>
    <row r="266" spans="1:46" x14ac:dyDescent="0.25">
      <c r="A266" s="31">
        <f>'M&amp;R Stations'!A251</f>
        <v>39210</v>
      </c>
      <c r="B266" s="89"/>
      <c r="C266" s="227">
        <v>95158</v>
      </c>
      <c r="D266" s="225">
        <v>46324.88</v>
      </c>
      <c r="E266" s="185"/>
      <c r="F266" s="72" t="e">
        <f>IF('M&amp;R Stations'!#REF!="","",('M&amp;R Stations'!#REF!+'M&amp;R Stations'!#REF!)+('LNG Facilities'!F251+'LNG Facilities'!G251+'LNG Facilities'!H251+'LNG Facilities'!R251+'LNG Facilities'!S251+'LNG Facilities'!T251)-'LNG Facilities'!#REF!-('NG Utilization'!C266+'NG Utilization'!D266+'NG Utilization'!E266))</f>
        <v>#REF!</v>
      </c>
      <c r="G266" s="58" t="e">
        <f>IF('M&amp;R Stations'!#REF!="","",F266+G265)</f>
        <v>#REF!</v>
      </c>
      <c r="H266" s="58" t="e">
        <f>IF('M&amp;R Stations'!#REF!="","",F266+H265)</f>
        <v>#REF!</v>
      </c>
      <c r="I266" s="58"/>
      <c r="J266" s="57" t="e">
        <f t="shared" si="65"/>
        <v>#REF!</v>
      </c>
      <c r="K266" s="58" t="e">
        <f t="shared" si="67"/>
        <v>#REF!</v>
      </c>
      <c r="L266" s="58" t="e">
        <f t="shared" si="68"/>
        <v>#REF!</v>
      </c>
      <c r="M266" s="58"/>
      <c r="N266" s="73" t="e">
        <f>IF(F266="","",ROUND((('M&amp;R Stations'!#REF!+'M&amp;R Stations'!#REF!)-('NG Utilization'!C266+'NG Utilization'!D266+'NG Utilization'!E266)-'LNG Facilities'!#REF!)*ROUND(((('M&amp;R Stations'!#REF!*'M&amp;R Stations'!L251)+('M&amp;R Stations'!#REF!*'M&amp;R Stations'!F251))/1000)/('M&amp;R Stations'!#REF!+'M&amp;R Stations'!#REF!),3),0)+ROUND((('LNG Facilities'!F251*'LNG Facilities'!K251+'LNG Facilities'!G251*'LNG Facilities'!L251+'LNG Facilities'!H251*'LNG Facilities'!M251+'LNG Facilities'!R251*'LNG Facilities'!W251+'LNG Facilities'!S251*'LNG Facilities'!X251+'LNG Facilities'!T251*'LNG Facilities'!#REF!)/1000),0))</f>
        <v>#REF!</v>
      </c>
      <c r="O266" s="58" t="e">
        <f t="shared" si="69"/>
        <v>#REF!</v>
      </c>
      <c r="P266" s="58" t="e">
        <f t="shared" si="70"/>
        <v>#REF!</v>
      </c>
      <c r="Q266" s="58"/>
      <c r="R266" s="57" t="e">
        <f t="shared" si="66"/>
        <v>#REF!</v>
      </c>
      <c r="S266" s="58" t="e">
        <f t="shared" si="71"/>
        <v>#REF!</v>
      </c>
      <c r="T266" s="58" t="e">
        <f t="shared" si="72"/>
        <v>#REF!</v>
      </c>
      <c r="U266" s="59"/>
      <c r="V266" s="59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</row>
    <row r="267" spans="1:46" x14ac:dyDescent="0.25">
      <c r="A267" s="31">
        <f>'M&amp;R Stations'!A252</f>
        <v>39211</v>
      </c>
      <c r="B267" s="89"/>
      <c r="C267" s="227">
        <v>84671</v>
      </c>
      <c r="D267" s="225">
        <v>46324.88</v>
      </c>
      <c r="E267" s="185"/>
      <c r="F267" s="72" t="e">
        <f>IF('M&amp;R Stations'!#REF!="","",('M&amp;R Stations'!#REF!+'M&amp;R Stations'!#REF!)+('LNG Facilities'!F252+'LNG Facilities'!G252+'LNG Facilities'!H252+'LNG Facilities'!R252+'LNG Facilities'!S252+'LNG Facilities'!T252)-'LNG Facilities'!#REF!-('NG Utilization'!C267+'NG Utilization'!D267+'NG Utilization'!E267))</f>
        <v>#REF!</v>
      </c>
      <c r="G267" s="58" t="e">
        <f>IF('M&amp;R Stations'!#REF!="","",F267+G266)</f>
        <v>#REF!</v>
      </c>
      <c r="H267" s="58" t="e">
        <f>IF('M&amp;R Stations'!#REF!="","",F267+H266)</f>
        <v>#REF!</v>
      </c>
      <c r="I267" s="58"/>
      <c r="J267" s="57" t="e">
        <f t="shared" si="65"/>
        <v>#REF!</v>
      </c>
      <c r="K267" s="58" t="e">
        <f t="shared" si="67"/>
        <v>#REF!</v>
      </c>
      <c r="L267" s="58" t="e">
        <f t="shared" si="68"/>
        <v>#REF!</v>
      </c>
      <c r="M267" s="58"/>
      <c r="N267" s="73" t="e">
        <f>IF(F267="","",ROUND((('M&amp;R Stations'!#REF!+'M&amp;R Stations'!#REF!)-('NG Utilization'!C267+'NG Utilization'!D267+'NG Utilization'!E267)-'LNG Facilities'!#REF!)*ROUND(((('M&amp;R Stations'!#REF!*'M&amp;R Stations'!L252)+('M&amp;R Stations'!#REF!*'M&amp;R Stations'!F252))/1000)/('M&amp;R Stations'!#REF!+'M&amp;R Stations'!#REF!),3),0)+ROUND((('LNG Facilities'!F252*'LNG Facilities'!K252+'LNG Facilities'!G252*'LNG Facilities'!L252+'LNG Facilities'!H252*'LNG Facilities'!M252+'LNG Facilities'!R252*'LNG Facilities'!W252+'LNG Facilities'!S252*'LNG Facilities'!X252+'LNG Facilities'!T252*'LNG Facilities'!#REF!)/1000),0))</f>
        <v>#REF!</v>
      </c>
      <c r="O267" s="58" t="e">
        <f t="shared" si="69"/>
        <v>#REF!</v>
      </c>
      <c r="P267" s="58" t="e">
        <f t="shared" si="70"/>
        <v>#REF!</v>
      </c>
      <c r="Q267" s="58"/>
      <c r="R267" s="57" t="e">
        <f t="shared" si="66"/>
        <v>#REF!</v>
      </c>
      <c r="S267" s="58" t="e">
        <f t="shared" si="71"/>
        <v>#REF!</v>
      </c>
      <c r="T267" s="58" t="e">
        <f t="shared" si="72"/>
        <v>#REF!</v>
      </c>
      <c r="U267" s="59"/>
      <c r="V267" s="59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</row>
    <row r="268" spans="1:46" x14ac:dyDescent="0.25">
      <c r="A268" s="31">
        <f>'M&amp;R Stations'!A253</f>
        <v>39212</v>
      </c>
      <c r="B268" s="89"/>
      <c r="C268" s="227">
        <v>80502</v>
      </c>
      <c r="D268" s="225">
        <v>46324.88</v>
      </c>
      <c r="E268" s="185"/>
      <c r="F268" s="72" t="e">
        <f>IF('M&amp;R Stations'!#REF!="","",('M&amp;R Stations'!#REF!+'M&amp;R Stations'!#REF!)+('LNG Facilities'!F253+'LNG Facilities'!G253+'LNG Facilities'!H253+'LNG Facilities'!R253+'LNG Facilities'!S253+'LNG Facilities'!T253)-'LNG Facilities'!#REF!-('NG Utilization'!C268+'NG Utilization'!D268+'NG Utilization'!E268))</f>
        <v>#REF!</v>
      </c>
      <c r="G268" s="58" t="e">
        <f>IF('M&amp;R Stations'!#REF!="","",F268+G267)</f>
        <v>#REF!</v>
      </c>
      <c r="H268" s="58" t="e">
        <f>IF('M&amp;R Stations'!#REF!="","",F268+H267)</f>
        <v>#REF!</v>
      </c>
      <c r="I268" s="58"/>
      <c r="J268" s="57" t="e">
        <f t="shared" si="65"/>
        <v>#REF!</v>
      </c>
      <c r="K268" s="58" t="e">
        <f t="shared" si="67"/>
        <v>#REF!</v>
      </c>
      <c r="L268" s="58" t="e">
        <f t="shared" si="68"/>
        <v>#REF!</v>
      </c>
      <c r="M268" s="58"/>
      <c r="N268" s="73" t="e">
        <f>IF(F268="","",ROUND((('M&amp;R Stations'!#REF!+'M&amp;R Stations'!#REF!)-('NG Utilization'!C268+'NG Utilization'!D268+'NG Utilization'!E268)-'LNG Facilities'!#REF!)*ROUND(((('M&amp;R Stations'!#REF!*'M&amp;R Stations'!L253)+('M&amp;R Stations'!#REF!*'M&amp;R Stations'!F253))/1000)/('M&amp;R Stations'!#REF!+'M&amp;R Stations'!#REF!),3),0)+ROUND((('LNG Facilities'!F253*'LNG Facilities'!K253+'LNG Facilities'!G253*'LNG Facilities'!L253+'LNG Facilities'!H253*'LNG Facilities'!M253+'LNG Facilities'!R253*'LNG Facilities'!W253+'LNG Facilities'!S253*'LNG Facilities'!X253+'LNG Facilities'!T253*'LNG Facilities'!#REF!)/1000),0))</f>
        <v>#REF!</v>
      </c>
      <c r="O268" s="58" t="e">
        <f t="shared" si="69"/>
        <v>#REF!</v>
      </c>
      <c r="P268" s="58" t="e">
        <f t="shared" si="70"/>
        <v>#REF!</v>
      </c>
      <c r="Q268" s="58"/>
      <c r="R268" s="57" t="e">
        <f t="shared" si="66"/>
        <v>#REF!</v>
      </c>
      <c r="S268" s="58" t="e">
        <f t="shared" si="71"/>
        <v>#REF!</v>
      </c>
      <c r="T268" s="58" t="e">
        <f t="shared" si="72"/>
        <v>#REF!</v>
      </c>
      <c r="U268" s="59"/>
      <c r="V268" s="59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</row>
    <row r="269" spans="1:46" x14ac:dyDescent="0.25">
      <c r="A269" s="31">
        <f>'M&amp;R Stations'!A254</f>
        <v>39213</v>
      </c>
      <c r="B269" s="89"/>
      <c r="C269" s="227">
        <v>80110</v>
      </c>
      <c r="D269" s="225">
        <v>46324.88</v>
      </c>
      <c r="E269" s="185"/>
      <c r="F269" s="72" t="e">
        <f>IF('M&amp;R Stations'!#REF!="","",('M&amp;R Stations'!#REF!+'M&amp;R Stations'!#REF!)+('LNG Facilities'!F254+'LNG Facilities'!G254+'LNG Facilities'!H254+'LNG Facilities'!R254+'LNG Facilities'!S254+'LNG Facilities'!T254)-'LNG Facilities'!#REF!-('NG Utilization'!C269+'NG Utilization'!D269+'NG Utilization'!E269))</f>
        <v>#REF!</v>
      </c>
      <c r="G269" s="58" t="e">
        <f>IF('M&amp;R Stations'!#REF!="","",F269+G268)</f>
        <v>#REF!</v>
      </c>
      <c r="H269" s="58" t="e">
        <f>IF('M&amp;R Stations'!#REF!="","",F269+H268)</f>
        <v>#REF!</v>
      </c>
      <c r="I269" s="58"/>
      <c r="J269" s="57" t="e">
        <f t="shared" si="65"/>
        <v>#REF!</v>
      </c>
      <c r="K269" s="58" t="e">
        <f t="shared" si="67"/>
        <v>#REF!</v>
      </c>
      <c r="L269" s="58" t="e">
        <f t="shared" si="68"/>
        <v>#REF!</v>
      </c>
      <c r="M269" s="58"/>
      <c r="N269" s="73" t="e">
        <f>IF(F269="","",ROUND((('M&amp;R Stations'!#REF!+'M&amp;R Stations'!#REF!)-('NG Utilization'!C269+'NG Utilization'!D269+'NG Utilization'!E269)-'LNG Facilities'!#REF!)*ROUND(((('M&amp;R Stations'!#REF!*'M&amp;R Stations'!L254)+('M&amp;R Stations'!#REF!*'M&amp;R Stations'!F254))/1000)/('M&amp;R Stations'!#REF!+'M&amp;R Stations'!#REF!),3),0)+ROUND((('LNG Facilities'!F254*'LNG Facilities'!K254+'LNG Facilities'!G254*'LNG Facilities'!L254+'LNG Facilities'!H254*'LNG Facilities'!M254+'LNG Facilities'!R254*'LNG Facilities'!W254+'LNG Facilities'!S254*'LNG Facilities'!X254+'LNG Facilities'!T254*'LNG Facilities'!#REF!)/1000),0))</f>
        <v>#REF!</v>
      </c>
      <c r="O269" s="58" t="e">
        <f t="shared" si="69"/>
        <v>#REF!</v>
      </c>
      <c r="P269" s="58" t="e">
        <f t="shared" si="70"/>
        <v>#REF!</v>
      </c>
      <c r="Q269" s="58"/>
      <c r="R269" s="57" t="e">
        <f t="shared" si="66"/>
        <v>#REF!</v>
      </c>
      <c r="S269" s="58" t="e">
        <f t="shared" si="71"/>
        <v>#REF!</v>
      </c>
      <c r="T269" s="58" t="e">
        <f t="shared" si="72"/>
        <v>#REF!</v>
      </c>
      <c r="U269" s="59"/>
      <c r="V269" s="59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</row>
    <row r="270" spans="1:46" x14ac:dyDescent="0.25">
      <c r="A270" s="31">
        <f>'M&amp;R Stations'!A255</f>
        <v>39214</v>
      </c>
      <c r="B270" s="89"/>
      <c r="C270" s="227">
        <v>74876</v>
      </c>
      <c r="D270" s="225">
        <v>46324.88</v>
      </c>
      <c r="E270" s="185"/>
      <c r="F270" s="72" t="e">
        <f>IF('M&amp;R Stations'!#REF!="","",('M&amp;R Stations'!#REF!+'M&amp;R Stations'!#REF!)+('LNG Facilities'!F255+'LNG Facilities'!G255+'LNG Facilities'!H255+'LNG Facilities'!R255+'LNG Facilities'!S255+'LNG Facilities'!T255)-'LNG Facilities'!#REF!-('NG Utilization'!C270+'NG Utilization'!D270+'NG Utilization'!E270))</f>
        <v>#REF!</v>
      </c>
      <c r="G270" s="58" t="e">
        <f>IF('M&amp;R Stations'!#REF!="","",F270+G269)</f>
        <v>#REF!</v>
      </c>
      <c r="H270" s="58" t="e">
        <f>IF('M&amp;R Stations'!#REF!="","",F270+H269)</f>
        <v>#REF!</v>
      </c>
      <c r="I270" s="58"/>
      <c r="J270" s="57" t="e">
        <f t="shared" si="65"/>
        <v>#REF!</v>
      </c>
      <c r="K270" s="58" t="e">
        <f t="shared" si="67"/>
        <v>#REF!</v>
      </c>
      <c r="L270" s="58" t="e">
        <f t="shared" si="68"/>
        <v>#REF!</v>
      </c>
      <c r="M270" s="58"/>
      <c r="N270" s="73" t="e">
        <f>IF(F270="","",ROUND((('M&amp;R Stations'!#REF!+'M&amp;R Stations'!#REF!)-('NG Utilization'!C270+'NG Utilization'!D270+'NG Utilization'!E270)-'LNG Facilities'!#REF!)*ROUND(((('M&amp;R Stations'!#REF!*'M&amp;R Stations'!L255)+('M&amp;R Stations'!#REF!*'M&amp;R Stations'!F255))/1000)/('M&amp;R Stations'!#REF!+'M&amp;R Stations'!#REF!),3),0)+ROUND((('LNG Facilities'!F255*'LNG Facilities'!K255+'LNG Facilities'!G255*'LNG Facilities'!L255+'LNG Facilities'!H255*'LNG Facilities'!M255+'LNG Facilities'!R255*'LNG Facilities'!W255+'LNG Facilities'!S255*'LNG Facilities'!X255+'LNG Facilities'!T255*'LNG Facilities'!#REF!)/1000),0))</f>
        <v>#REF!</v>
      </c>
      <c r="O270" s="58" t="e">
        <f t="shared" si="69"/>
        <v>#REF!</v>
      </c>
      <c r="P270" s="58" t="e">
        <f t="shared" si="70"/>
        <v>#REF!</v>
      </c>
      <c r="Q270" s="58"/>
      <c r="R270" s="57" t="e">
        <f t="shared" si="66"/>
        <v>#REF!</v>
      </c>
      <c r="S270" s="58" t="e">
        <f t="shared" si="71"/>
        <v>#REF!</v>
      </c>
      <c r="T270" s="58" t="e">
        <f t="shared" si="72"/>
        <v>#REF!</v>
      </c>
      <c r="U270" s="59"/>
      <c r="V270" s="59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</row>
    <row r="271" spans="1:46" x14ac:dyDescent="0.25">
      <c r="A271" s="31">
        <f>'M&amp;R Stations'!A256</f>
        <v>39215</v>
      </c>
      <c r="B271" s="89"/>
      <c r="C271" s="227">
        <v>75436</v>
      </c>
      <c r="D271" s="225">
        <v>69570.350000000006</v>
      </c>
      <c r="E271" s="185"/>
      <c r="F271" s="72" t="e">
        <f>IF('M&amp;R Stations'!#REF!="","",('M&amp;R Stations'!#REF!+'M&amp;R Stations'!#REF!)+('LNG Facilities'!F256+'LNG Facilities'!G256+'LNG Facilities'!H256+'LNG Facilities'!R256+'LNG Facilities'!S256+'LNG Facilities'!T256)-'LNG Facilities'!#REF!-('NG Utilization'!C271+'NG Utilization'!D271+'NG Utilization'!E271))</f>
        <v>#REF!</v>
      </c>
      <c r="G271" s="58" t="e">
        <f>IF('M&amp;R Stations'!#REF!="","",F271+G270)</f>
        <v>#REF!</v>
      </c>
      <c r="H271" s="58" t="e">
        <f>IF('M&amp;R Stations'!#REF!="","",F271+H270)</f>
        <v>#REF!</v>
      </c>
      <c r="I271" s="58"/>
      <c r="J271" s="57" t="e">
        <f t="shared" si="65"/>
        <v>#REF!</v>
      </c>
      <c r="K271" s="58" t="e">
        <f t="shared" si="67"/>
        <v>#REF!</v>
      </c>
      <c r="L271" s="58" t="e">
        <f t="shared" si="68"/>
        <v>#REF!</v>
      </c>
      <c r="M271" s="58"/>
      <c r="N271" s="73" t="e">
        <f>IF(F271="","",ROUND((('M&amp;R Stations'!#REF!+'M&amp;R Stations'!#REF!)-('NG Utilization'!C271+'NG Utilization'!D271+'NG Utilization'!E271)-'LNG Facilities'!#REF!)*ROUND(((('M&amp;R Stations'!#REF!*'M&amp;R Stations'!L256)+('M&amp;R Stations'!#REF!*'M&amp;R Stations'!F256))/1000)/('M&amp;R Stations'!#REF!+'M&amp;R Stations'!#REF!),3),0)+ROUND((('LNG Facilities'!F256*'LNG Facilities'!K256+'LNG Facilities'!G256*'LNG Facilities'!L256+'LNG Facilities'!H256*'LNG Facilities'!M256+'LNG Facilities'!R256*'LNG Facilities'!W256+'LNG Facilities'!S256*'LNG Facilities'!X256+'LNG Facilities'!T256*'LNG Facilities'!#REF!)/1000),0))</f>
        <v>#REF!</v>
      </c>
      <c r="O271" s="58" t="e">
        <f t="shared" si="69"/>
        <v>#REF!</v>
      </c>
      <c r="P271" s="58" t="e">
        <f t="shared" si="70"/>
        <v>#REF!</v>
      </c>
      <c r="Q271" s="58"/>
      <c r="R271" s="57" t="e">
        <f t="shared" si="66"/>
        <v>#REF!</v>
      </c>
      <c r="S271" s="58" t="e">
        <f t="shared" si="71"/>
        <v>#REF!</v>
      </c>
      <c r="T271" s="58" t="e">
        <f t="shared" si="72"/>
        <v>#REF!</v>
      </c>
      <c r="U271" s="59"/>
      <c r="V271" s="59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</row>
    <row r="272" spans="1:46" x14ac:dyDescent="0.25">
      <c r="A272" s="31">
        <f>'M&amp;R Stations'!A257</f>
        <v>39216</v>
      </c>
      <c r="B272" s="89"/>
      <c r="C272" s="227">
        <v>87197</v>
      </c>
      <c r="D272" s="225">
        <v>46324.88</v>
      </c>
      <c r="E272" s="185"/>
      <c r="F272" s="72" t="e">
        <f>IF('M&amp;R Stations'!#REF!="","",('M&amp;R Stations'!#REF!+'M&amp;R Stations'!#REF!)+('LNG Facilities'!F257+'LNG Facilities'!G257+'LNG Facilities'!H257+'LNG Facilities'!R257+'LNG Facilities'!S257+'LNG Facilities'!T257)-'LNG Facilities'!#REF!-('NG Utilization'!C272+'NG Utilization'!D272+'NG Utilization'!E272))</f>
        <v>#REF!</v>
      </c>
      <c r="G272" s="58" t="e">
        <f>IF('M&amp;R Stations'!#REF!="","",F272+G271)</f>
        <v>#REF!</v>
      </c>
      <c r="H272" s="58" t="e">
        <f>IF('M&amp;R Stations'!#REF!="","",F272+H271)</f>
        <v>#REF!</v>
      </c>
      <c r="I272" s="58"/>
      <c r="J272" s="57" t="e">
        <f t="shared" si="65"/>
        <v>#REF!</v>
      </c>
      <c r="K272" s="58" t="e">
        <f t="shared" si="67"/>
        <v>#REF!</v>
      </c>
      <c r="L272" s="58" t="e">
        <f t="shared" si="68"/>
        <v>#REF!</v>
      </c>
      <c r="M272" s="58"/>
      <c r="N272" s="73" t="e">
        <f>IF(F272="","",ROUND((('M&amp;R Stations'!#REF!+'M&amp;R Stations'!#REF!)-('NG Utilization'!C272+'NG Utilization'!D272+'NG Utilization'!E272)-'LNG Facilities'!#REF!)*ROUND(((('M&amp;R Stations'!#REF!*'M&amp;R Stations'!L257)+('M&amp;R Stations'!#REF!*'M&amp;R Stations'!F257))/1000)/('M&amp;R Stations'!#REF!+'M&amp;R Stations'!#REF!),3),0)+ROUND((('LNG Facilities'!F257*'LNG Facilities'!K257+'LNG Facilities'!G257*'LNG Facilities'!L257+'LNG Facilities'!H257*'LNG Facilities'!M257+'LNG Facilities'!R257*'LNG Facilities'!W257+'LNG Facilities'!S257*'LNG Facilities'!X257+'LNG Facilities'!T257*'LNG Facilities'!#REF!)/1000),0))</f>
        <v>#REF!</v>
      </c>
      <c r="O272" s="58" t="e">
        <f t="shared" si="69"/>
        <v>#REF!</v>
      </c>
      <c r="P272" s="58" t="e">
        <f t="shared" si="70"/>
        <v>#REF!</v>
      </c>
      <c r="Q272" s="58"/>
      <c r="R272" s="57" t="e">
        <f t="shared" si="66"/>
        <v>#REF!</v>
      </c>
      <c r="S272" s="58" t="e">
        <f t="shared" si="71"/>
        <v>#REF!</v>
      </c>
      <c r="T272" s="58" t="e">
        <f t="shared" si="72"/>
        <v>#REF!</v>
      </c>
      <c r="U272" s="59"/>
      <c r="V272" s="59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</row>
    <row r="273" spans="1:46" x14ac:dyDescent="0.25">
      <c r="A273" s="31">
        <f>'M&amp;R Stations'!A258</f>
        <v>39217</v>
      </c>
      <c r="B273" s="89"/>
      <c r="C273" s="227">
        <v>88402</v>
      </c>
      <c r="D273" s="225">
        <v>46324.88</v>
      </c>
      <c r="E273" s="185"/>
      <c r="F273" s="72" t="e">
        <f>IF('M&amp;R Stations'!#REF!="","",('M&amp;R Stations'!#REF!+'M&amp;R Stations'!#REF!)+('LNG Facilities'!F258+'LNG Facilities'!G258+'LNG Facilities'!H258+'LNG Facilities'!R258+'LNG Facilities'!S258+'LNG Facilities'!T258)-'LNG Facilities'!#REF!-('NG Utilization'!C273+'NG Utilization'!D273+'NG Utilization'!E273))</f>
        <v>#REF!</v>
      </c>
      <c r="G273" s="58" t="e">
        <f>IF('M&amp;R Stations'!#REF!="","",F273+G272)</f>
        <v>#REF!</v>
      </c>
      <c r="H273" s="58" t="e">
        <f>IF('M&amp;R Stations'!#REF!="","",F273+H272)</f>
        <v>#REF!</v>
      </c>
      <c r="I273" s="58"/>
      <c r="J273" s="57" t="e">
        <f t="shared" si="65"/>
        <v>#REF!</v>
      </c>
      <c r="K273" s="58" t="e">
        <f t="shared" si="67"/>
        <v>#REF!</v>
      </c>
      <c r="L273" s="58" t="e">
        <f t="shared" si="68"/>
        <v>#REF!</v>
      </c>
      <c r="M273" s="58"/>
      <c r="N273" s="73" t="e">
        <f>IF(F273="","",ROUND((('M&amp;R Stations'!#REF!+'M&amp;R Stations'!#REF!)-('NG Utilization'!C273+'NG Utilization'!D273+'NG Utilization'!E273)-'LNG Facilities'!#REF!)*ROUND(((('M&amp;R Stations'!#REF!*'M&amp;R Stations'!L258)+('M&amp;R Stations'!#REF!*'M&amp;R Stations'!F258))/1000)/('M&amp;R Stations'!#REF!+'M&amp;R Stations'!#REF!),3),0)+ROUND((('LNG Facilities'!F258*'LNG Facilities'!K258+'LNG Facilities'!G258*'LNG Facilities'!L258+'LNG Facilities'!H258*'LNG Facilities'!M258+'LNG Facilities'!R258*'LNG Facilities'!W258+'LNG Facilities'!S258*'LNG Facilities'!X258+'LNG Facilities'!T258*'LNG Facilities'!#REF!)/1000),0))</f>
        <v>#REF!</v>
      </c>
      <c r="O273" s="58" t="e">
        <f t="shared" si="69"/>
        <v>#REF!</v>
      </c>
      <c r="P273" s="58" t="e">
        <f t="shared" si="70"/>
        <v>#REF!</v>
      </c>
      <c r="Q273" s="58"/>
      <c r="R273" s="57" t="e">
        <f t="shared" si="66"/>
        <v>#REF!</v>
      </c>
      <c r="S273" s="58" t="e">
        <f t="shared" si="71"/>
        <v>#REF!</v>
      </c>
      <c r="T273" s="58" t="e">
        <f t="shared" si="72"/>
        <v>#REF!</v>
      </c>
      <c r="U273" s="59"/>
      <c r="V273" s="59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</row>
    <row r="274" spans="1:46" x14ac:dyDescent="0.25">
      <c r="A274" s="31">
        <f>'M&amp;R Stations'!A259</f>
        <v>39218</v>
      </c>
      <c r="B274" s="89"/>
      <c r="C274" s="227">
        <v>87861</v>
      </c>
      <c r="D274" s="225">
        <v>46324.88</v>
      </c>
      <c r="E274" s="185"/>
      <c r="F274" s="72" t="e">
        <f>IF('M&amp;R Stations'!#REF!="","",('M&amp;R Stations'!#REF!+'M&amp;R Stations'!#REF!)+('LNG Facilities'!F259+'LNG Facilities'!G259+'LNG Facilities'!H259+'LNG Facilities'!R259+'LNG Facilities'!S259+'LNG Facilities'!T259)-'LNG Facilities'!#REF!-('NG Utilization'!C274+'NG Utilization'!D274+'NG Utilization'!E274))</f>
        <v>#REF!</v>
      </c>
      <c r="G274" s="58" t="e">
        <f>IF('M&amp;R Stations'!#REF!="","",F274+G273)</f>
        <v>#REF!</v>
      </c>
      <c r="H274" s="58" t="e">
        <f>IF('M&amp;R Stations'!#REF!="","",F274+H273)</f>
        <v>#REF!</v>
      </c>
      <c r="I274" s="58"/>
      <c r="J274" s="57" t="e">
        <f t="shared" si="65"/>
        <v>#REF!</v>
      </c>
      <c r="K274" s="58" t="e">
        <f t="shared" si="67"/>
        <v>#REF!</v>
      </c>
      <c r="L274" s="58" t="e">
        <f t="shared" si="68"/>
        <v>#REF!</v>
      </c>
      <c r="M274" s="58"/>
      <c r="N274" s="73" t="e">
        <f>IF(F274="","",ROUND((('M&amp;R Stations'!#REF!+'M&amp;R Stations'!#REF!)-('NG Utilization'!C274+'NG Utilization'!D274+'NG Utilization'!E274)-'LNG Facilities'!#REF!)*ROUND(((('M&amp;R Stations'!#REF!*'M&amp;R Stations'!L259)+('M&amp;R Stations'!#REF!*'M&amp;R Stations'!F259))/1000)/('M&amp;R Stations'!#REF!+'M&amp;R Stations'!#REF!),3),0)+ROUND((('LNG Facilities'!F259*'LNG Facilities'!K259+'LNG Facilities'!G259*'LNG Facilities'!L259+'LNG Facilities'!H259*'LNG Facilities'!M259+'LNG Facilities'!R259*'LNG Facilities'!W259+'LNG Facilities'!S259*'LNG Facilities'!X259+'LNG Facilities'!T259*'LNG Facilities'!#REF!)/1000),0))</f>
        <v>#REF!</v>
      </c>
      <c r="O274" s="58" t="e">
        <f t="shared" si="69"/>
        <v>#REF!</v>
      </c>
      <c r="P274" s="58" t="e">
        <f t="shared" si="70"/>
        <v>#REF!</v>
      </c>
      <c r="Q274" s="58"/>
      <c r="R274" s="57" t="e">
        <f t="shared" si="66"/>
        <v>#REF!</v>
      </c>
      <c r="S274" s="58" t="e">
        <f t="shared" si="71"/>
        <v>#REF!</v>
      </c>
      <c r="T274" s="58" t="e">
        <f t="shared" si="72"/>
        <v>#REF!</v>
      </c>
      <c r="U274" s="59"/>
      <c r="V274" s="59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</row>
    <row r="275" spans="1:46" x14ac:dyDescent="0.25">
      <c r="A275" s="31">
        <f>'M&amp;R Stations'!A260</f>
        <v>39219</v>
      </c>
      <c r="B275" s="89"/>
      <c r="C275" s="227">
        <v>83131</v>
      </c>
      <c r="D275" s="225">
        <v>69570</v>
      </c>
      <c r="E275" s="185"/>
      <c r="F275" s="72" t="e">
        <f>IF('M&amp;R Stations'!#REF!="","",('M&amp;R Stations'!#REF!+'M&amp;R Stations'!#REF!)+('LNG Facilities'!F260+'LNG Facilities'!G260+'LNG Facilities'!H260+'LNG Facilities'!R260+'LNG Facilities'!S260+'LNG Facilities'!T260)-'LNG Facilities'!#REF!-('NG Utilization'!C275+'NG Utilization'!D275+'NG Utilization'!E275))</f>
        <v>#REF!</v>
      </c>
      <c r="G275" s="58" t="e">
        <f>IF('M&amp;R Stations'!#REF!="","",F275+G274)</f>
        <v>#REF!</v>
      </c>
      <c r="H275" s="58" t="e">
        <f>IF('M&amp;R Stations'!#REF!="","",F275+H274)</f>
        <v>#REF!</v>
      </c>
      <c r="I275" s="58"/>
      <c r="J275" s="57" t="e">
        <f t="shared" si="65"/>
        <v>#REF!</v>
      </c>
      <c r="K275" s="58" t="e">
        <f t="shared" si="67"/>
        <v>#REF!</v>
      </c>
      <c r="L275" s="58" t="e">
        <f t="shared" si="68"/>
        <v>#REF!</v>
      </c>
      <c r="M275" s="58"/>
      <c r="N275" s="73" t="e">
        <f>IF(F275="","",ROUND((('M&amp;R Stations'!#REF!+'M&amp;R Stations'!#REF!)-('NG Utilization'!C275+'NG Utilization'!D275+'NG Utilization'!E275)-'LNG Facilities'!#REF!)*ROUND(((('M&amp;R Stations'!#REF!*'M&amp;R Stations'!L260)+('M&amp;R Stations'!#REF!*'M&amp;R Stations'!F260))/1000)/('M&amp;R Stations'!#REF!+'M&amp;R Stations'!#REF!),3),0)+ROUND((('LNG Facilities'!F260*'LNG Facilities'!K260+'LNG Facilities'!G260*'LNG Facilities'!L260+'LNG Facilities'!H260*'LNG Facilities'!M260+'LNG Facilities'!R260*'LNG Facilities'!W260+'LNG Facilities'!S260*'LNG Facilities'!X260+'LNG Facilities'!T260*'LNG Facilities'!#REF!)/1000),0))</f>
        <v>#REF!</v>
      </c>
      <c r="O275" s="58" t="e">
        <f t="shared" si="69"/>
        <v>#REF!</v>
      </c>
      <c r="P275" s="58" t="e">
        <f t="shared" si="70"/>
        <v>#REF!</v>
      </c>
      <c r="Q275" s="58"/>
      <c r="R275" s="57" t="e">
        <f t="shared" si="66"/>
        <v>#REF!</v>
      </c>
      <c r="S275" s="58" t="e">
        <f t="shared" si="71"/>
        <v>#REF!</v>
      </c>
      <c r="T275" s="58" t="e">
        <f t="shared" si="72"/>
        <v>#REF!</v>
      </c>
      <c r="U275" s="59"/>
      <c r="V275" s="59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</row>
    <row r="276" spans="1:46" x14ac:dyDescent="0.25">
      <c r="A276" s="31">
        <f>'M&amp;R Stations'!A261</f>
        <v>39220</v>
      </c>
      <c r="B276" s="89"/>
      <c r="C276" s="227">
        <v>79016</v>
      </c>
      <c r="D276" s="225">
        <v>108312.8</v>
      </c>
      <c r="E276" s="185"/>
      <c r="F276" s="72" t="e">
        <f>IF('M&amp;R Stations'!#REF!="","",('M&amp;R Stations'!#REF!+'M&amp;R Stations'!#REF!)+('LNG Facilities'!F261+'LNG Facilities'!G261+'LNG Facilities'!H261+'LNG Facilities'!R261+'LNG Facilities'!S261+'LNG Facilities'!T261)-'LNG Facilities'!#REF!-('NG Utilization'!C276+'NG Utilization'!D276+'NG Utilization'!E276))</f>
        <v>#REF!</v>
      </c>
      <c r="G276" s="58" t="e">
        <f>IF('M&amp;R Stations'!#REF!="","",F276+G275)</f>
        <v>#REF!</v>
      </c>
      <c r="H276" s="58" t="e">
        <f>IF('M&amp;R Stations'!#REF!="","",F276+H275)</f>
        <v>#REF!</v>
      </c>
      <c r="I276" s="58"/>
      <c r="J276" s="57" t="e">
        <f t="shared" si="65"/>
        <v>#REF!</v>
      </c>
      <c r="K276" s="58" t="e">
        <f t="shared" si="67"/>
        <v>#REF!</v>
      </c>
      <c r="L276" s="58" t="e">
        <f t="shared" si="68"/>
        <v>#REF!</v>
      </c>
      <c r="M276" s="58"/>
      <c r="N276" s="73" t="e">
        <f>IF(F276="","",ROUND((('M&amp;R Stations'!#REF!+'M&amp;R Stations'!#REF!)-('NG Utilization'!C276+'NG Utilization'!D276+'NG Utilization'!E276)-'LNG Facilities'!#REF!)*ROUND(((('M&amp;R Stations'!#REF!*'M&amp;R Stations'!L261)+('M&amp;R Stations'!#REF!*'M&amp;R Stations'!F261))/1000)/('M&amp;R Stations'!#REF!+'M&amp;R Stations'!#REF!),3),0)+ROUND((('LNG Facilities'!F261*'LNG Facilities'!K261+'LNG Facilities'!G261*'LNG Facilities'!L261+'LNG Facilities'!H261*'LNG Facilities'!M261+'LNG Facilities'!R261*'LNG Facilities'!W261+'LNG Facilities'!S261*'LNG Facilities'!X261+'LNG Facilities'!T261*'LNG Facilities'!#REF!)/1000),0))</f>
        <v>#REF!</v>
      </c>
      <c r="O276" s="58" t="e">
        <f t="shared" si="69"/>
        <v>#REF!</v>
      </c>
      <c r="P276" s="58" t="e">
        <f t="shared" si="70"/>
        <v>#REF!</v>
      </c>
      <c r="Q276" s="58"/>
      <c r="R276" s="57" t="e">
        <f t="shared" si="66"/>
        <v>#REF!</v>
      </c>
      <c r="S276" s="58" t="e">
        <f t="shared" si="71"/>
        <v>#REF!</v>
      </c>
      <c r="T276" s="58" t="e">
        <f t="shared" si="72"/>
        <v>#REF!</v>
      </c>
      <c r="U276" s="59"/>
      <c r="V276" s="59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</row>
    <row r="277" spans="1:46" x14ac:dyDescent="0.25">
      <c r="A277" s="31">
        <f>'M&amp;R Stations'!A262</f>
        <v>39221</v>
      </c>
      <c r="B277" s="89"/>
      <c r="C277" s="227">
        <v>85573</v>
      </c>
      <c r="D277" s="225">
        <v>77318.84</v>
      </c>
      <c r="E277" s="185"/>
      <c r="F277" s="72" t="e">
        <f>IF('M&amp;R Stations'!#REF!="","",('M&amp;R Stations'!#REF!+'M&amp;R Stations'!#REF!)+('LNG Facilities'!F262+'LNG Facilities'!G262+'LNG Facilities'!H262+'LNG Facilities'!R262+'LNG Facilities'!S262+'LNG Facilities'!T262)-'LNG Facilities'!#REF!-('NG Utilization'!C277+'NG Utilization'!D277+'NG Utilization'!E277))</f>
        <v>#REF!</v>
      </c>
      <c r="G277" s="58" t="e">
        <f>IF('M&amp;R Stations'!#REF!="","",F277+G276)</f>
        <v>#REF!</v>
      </c>
      <c r="H277" s="58" t="e">
        <f>IF('M&amp;R Stations'!#REF!="","",F277+H276)</f>
        <v>#REF!</v>
      </c>
      <c r="I277" s="58"/>
      <c r="J277" s="57" t="e">
        <f t="shared" si="65"/>
        <v>#REF!</v>
      </c>
      <c r="K277" s="58" t="e">
        <f t="shared" si="67"/>
        <v>#REF!</v>
      </c>
      <c r="L277" s="58" t="e">
        <f t="shared" si="68"/>
        <v>#REF!</v>
      </c>
      <c r="M277" s="58"/>
      <c r="N277" s="73" t="e">
        <f>IF(F277="","",ROUND((('M&amp;R Stations'!#REF!+'M&amp;R Stations'!#REF!)-('NG Utilization'!C277+'NG Utilization'!D277+'NG Utilization'!E277)-'LNG Facilities'!#REF!)*ROUND(((('M&amp;R Stations'!#REF!*'M&amp;R Stations'!L262)+('M&amp;R Stations'!#REF!*'M&amp;R Stations'!F262))/1000)/('M&amp;R Stations'!#REF!+'M&amp;R Stations'!#REF!),3),0)+ROUND((('LNG Facilities'!F262*'LNG Facilities'!K262+'LNG Facilities'!G262*'LNG Facilities'!L262+'LNG Facilities'!H262*'LNG Facilities'!M262+'LNG Facilities'!R262*'LNG Facilities'!W262+'LNG Facilities'!S262*'LNG Facilities'!X262+'LNG Facilities'!T262*'LNG Facilities'!#REF!)/1000),0))</f>
        <v>#REF!</v>
      </c>
      <c r="O277" s="58" t="e">
        <f t="shared" si="69"/>
        <v>#REF!</v>
      </c>
      <c r="P277" s="58" t="e">
        <f t="shared" si="70"/>
        <v>#REF!</v>
      </c>
      <c r="Q277" s="58"/>
      <c r="R277" s="57" t="e">
        <f t="shared" si="66"/>
        <v>#REF!</v>
      </c>
      <c r="S277" s="58" t="e">
        <f t="shared" si="71"/>
        <v>#REF!</v>
      </c>
      <c r="T277" s="58" t="e">
        <f t="shared" si="72"/>
        <v>#REF!</v>
      </c>
      <c r="U277" s="59"/>
      <c r="V277" s="59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</row>
    <row r="278" spans="1:46" x14ac:dyDescent="0.25">
      <c r="A278" s="31">
        <f>'M&amp;R Stations'!A263</f>
        <v>39222</v>
      </c>
      <c r="B278" s="89"/>
      <c r="C278" s="227">
        <v>84314</v>
      </c>
      <c r="D278" s="225">
        <v>46324.88</v>
      </c>
      <c r="E278" s="185"/>
      <c r="F278" s="72" t="e">
        <f>IF('M&amp;R Stations'!#REF!="","",('M&amp;R Stations'!#REF!+'M&amp;R Stations'!#REF!)+('LNG Facilities'!F263+'LNG Facilities'!G263+'LNG Facilities'!H263+'LNG Facilities'!R263+'LNG Facilities'!S263+'LNG Facilities'!T263)-'LNG Facilities'!#REF!-('NG Utilization'!C278+'NG Utilization'!D278+'NG Utilization'!E278))</f>
        <v>#REF!</v>
      </c>
      <c r="G278" s="58" t="e">
        <f>IF('M&amp;R Stations'!#REF!="","",F278+G277)</f>
        <v>#REF!</v>
      </c>
      <c r="H278" s="58" t="e">
        <f>IF('M&amp;R Stations'!#REF!="","",F278+H277)</f>
        <v>#REF!</v>
      </c>
      <c r="I278" s="58"/>
      <c r="J278" s="57" t="e">
        <f t="shared" si="65"/>
        <v>#REF!</v>
      </c>
      <c r="K278" s="58" t="e">
        <f t="shared" si="67"/>
        <v>#REF!</v>
      </c>
      <c r="L278" s="58" t="e">
        <f t="shared" si="68"/>
        <v>#REF!</v>
      </c>
      <c r="M278" s="58"/>
      <c r="N278" s="73" t="e">
        <f>IF(F278="","",ROUND((('M&amp;R Stations'!#REF!+'M&amp;R Stations'!#REF!)-('NG Utilization'!C278+'NG Utilization'!D278+'NG Utilization'!E278)-'LNG Facilities'!#REF!)*ROUND(((('M&amp;R Stations'!#REF!*'M&amp;R Stations'!L263)+('M&amp;R Stations'!#REF!*'M&amp;R Stations'!F263))/1000)/('M&amp;R Stations'!#REF!+'M&amp;R Stations'!#REF!),3),0)+ROUND((('LNG Facilities'!F263*'LNG Facilities'!K263+'LNG Facilities'!G263*'LNG Facilities'!L263+'LNG Facilities'!H263*'LNG Facilities'!M263+'LNG Facilities'!R263*'LNG Facilities'!W263+'LNG Facilities'!S263*'LNG Facilities'!X263+'LNG Facilities'!T263*'LNG Facilities'!#REF!)/1000),0))</f>
        <v>#REF!</v>
      </c>
      <c r="O278" s="58" t="e">
        <f t="shared" si="69"/>
        <v>#REF!</v>
      </c>
      <c r="P278" s="58" t="e">
        <f t="shared" si="70"/>
        <v>#REF!</v>
      </c>
      <c r="Q278" s="58"/>
      <c r="R278" s="57" t="e">
        <f t="shared" si="66"/>
        <v>#REF!</v>
      </c>
      <c r="S278" s="58" t="e">
        <f t="shared" si="71"/>
        <v>#REF!</v>
      </c>
      <c r="T278" s="58" t="e">
        <f t="shared" si="72"/>
        <v>#REF!</v>
      </c>
      <c r="U278" s="59"/>
      <c r="V278" s="59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</row>
    <row r="279" spans="1:46" x14ac:dyDescent="0.25">
      <c r="A279" s="31">
        <f>'M&amp;R Stations'!A264</f>
        <v>39223</v>
      </c>
      <c r="B279" s="89"/>
      <c r="C279" s="227">
        <v>94561</v>
      </c>
      <c r="D279" s="225">
        <v>46324.88</v>
      </c>
      <c r="E279" s="185"/>
      <c r="F279" s="72" t="e">
        <f>IF('M&amp;R Stations'!#REF!="","",('M&amp;R Stations'!#REF!+'M&amp;R Stations'!#REF!)+('LNG Facilities'!F264+'LNG Facilities'!G264+'LNG Facilities'!H264+'LNG Facilities'!R264+'LNG Facilities'!S264+'LNG Facilities'!T264)-'LNG Facilities'!#REF!-('NG Utilization'!C279+'NG Utilization'!D279+'NG Utilization'!E279))</f>
        <v>#REF!</v>
      </c>
      <c r="G279" s="58" t="e">
        <f>IF('M&amp;R Stations'!#REF!="","",F279+G278)</f>
        <v>#REF!</v>
      </c>
      <c r="H279" s="58" t="e">
        <f>IF('M&amp;R Stations'!#REF!="","",F279+H278)</f>
        <v>#REF!</v>
      </c>
      <c r="I279" s="58"/>
      <c r="J279" s="57" t="e">
        <f t="shared" si="65"/>
        <v>#REF!</v>
      </c>
      <c r="K279" s="58" t="e">
        <f t="shared" si="67"/>
        <v>#REF!</v>
      </c>
      <c r="L279" s="58" t="e">
        <f t="shared" si="68"/>
        <v>#REF!</v>
      </c>
      <c r="M279" s="58"/>
      <c r="N279" s="73" t="e">
        <f>IF(F279="","",ROUND((('M&amp;R Stations'!#REF!+'M&amp;R Stations'!#REF!)-('NG Utilization'!C279+'NG Utilization'!D279+'NG Utilization'!E279)-'LNG Facilities'!#REF!)*ROUND(((('M&amp;R Stations'!#REF!*'M&amp;R Stations'!L264)+('M&amp;R Stations'!#REF!*'M&amp;R Stations'!F264))/1000)/('M&amp;R Stations'!#REF!+'M&amp;R Stations'!#REF!),3),0)+ROUND((('LNG Facilities'!F264*'LNG Facilities'!K264+'LNG Facilities'!G264*'LNG Facilities'!L264+'LNG Facilities'!H264*'LNG Facilities'!M264+'LNG Facilities'!R264*'LNG Facilities'!W264+'LNG Facilities'!S264*'LNG Facilities'!X264+'LNG Facilities'!T264*'LNG Facilities'!#REF!)/1000),0))</f>
        <v>#REF!</v>
      </c>
      <c r="O279" s="58" t="e">
        <f t="shared" si="69"/>
        <v>#REF!</v>
      </c>
      <c r="P279" s="58" t="e">
        <f t="shared" si="70"/>
        <v>#REF!</v>
      </c>
      <c r="Q279" s="58"/>
      <c r="R279" s="57" t="e">
        <f t="shared" si="66"/>
        <v>#REF!</v>
      </c>
      <c r="S279" s="58" t="e">
        <f t="shared" si="71"/>
        <v>#REF!</v>
      </c>
      <c r="T279" s="58" t="e">
        <f t="shared" si="72"/>
        <v>#REF!</v>
      </c>
      <c r="U279" s="59"/>
      <c r="V279" s="59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</row>
    <row r="280" spans="1:46" x14ac:dyDescent="0.25">
      <c r="A280" s="31">
        <f>'M&amp;R Stations'!A265</f>
        <v>39224</v>
      </c>
      <c r="B280" s="89"/>
      <c r="C280" s="227">
        <v>93249</v>
      </c>
      <c r="D280" s="225">
        <v>46324.88</v>
      </c>
      <c r="E280" s="185"/>
      <c r="F280" s="72" t="e">
        <f>IF('M&amp;R Stations'!#REF!="","",('M&amp;R Stations'!#REF!+'M&amp;R Stations'!#REF!)+('LNG Facilities'!F265+'LNG Facilities'!G265+'LNG Facilities'!H265+'LNG Facilities'!R265+'LNG Facilities'!S265+'LNG Facilities'!T265)-'LNG Facilities'!#REF!-('NG Utilization'!C280+'NG Utilization'!D280+'NG Utilization'!E280))</f>
        <v>#REF!</v>
      </c>
      <c r="G280" s="58" t="e">
        <f>IF('M&amp;R Stations'!#REF!="","",F280+G279)</f>
        <v>#REF!</v>
      </c>
      <c r="H280" s="58" t="e">
        <f>IF('M&amp;R Stations'!#REF!="","",F280+H279)</f>
        <v>#REF!</v>
      </c>
      <c r="I280" s="58"/>
      <c r="J280" s="57" t="e">
        <f t="shared" si="65"/>
        <v>#REF!</v>
      </c>
      <c r="K280" s="58" t="e">
        <f t="shared" si="67"/>
        <v>#REF!</v>
      </c>
      <c r="L280" s="58" t="e">
        <f t="shared" si="68"/>
        <v>#REF!</v>
      </c>
      <c r="M280" s="58"/>
      <c r="N280" s="73" t="e">
        <f>IF(F280="","",ROUND((('M&amp;R Stations'!#REF!+'M&amp;R Stations'!#REF!)-('NG Utilization'!C280+'NG Utilization'!D280+'NG Utilization'!E280)-'LNG Facilities'!#REF!)*ROUND(((('M&amp;R Stations'!#REF!*'M&amp;R Stations'!L265)+('M&amp;R Stations'!#REF!*'M&amp;R Stations'!F265))/1000)/('M&amp;R Stations'!#REF!+'M&amp;R Stations'!#REF!),3),0)+ROUND((('LNG Facilities'!F265*'LNG Facilities'!K265+'LNG Facilities'!G265*'LNG Facilities'!L265+'LNG Facilities'!H265*'LNG Facilities'!M265+'LNG Facilities'!R265*'LNG Facilities'!W265+'LNG Facilities'!S265*'LNG Facilities'!X265+'LNG Facilities'!T265*'LNG Facilities'!#REF!)/1000),0))</f>
        <v>#REF!</v>
      </c>
      <c r="O280" s="58" t="e">
        <f t="shared" si="69"/>
        <v>#REF!</v>
      </c>
      <c r="P280" s="58" t="e">
        <f t="shared" si="70"/>
        <v>#REF!</v>
      </c>
      <c r="Q280" s="58"/>
      <c r="R280" s="57" t="e">
        <f>IF(F280="","",D280)</f>
        <v>#REF!</v>
      </c>
      <c r="S280" s="58" t="e">
        <f t="shared" si="71"/>
        <v>#REF!</v>
      </c>
      <c r="T280" s="58" t="e">
        <f t="shared" si="72"/>
        <v>#REF!</v>
      </c>
      <c r="U280" s="59"/>
      <c r="V280" s="59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</row>
    <row r="281" spans="1:46" x14ac:dyDescent="0.25">
      <c r="A281" s="31">
        <f>'M&amp;R Stations'!A266</f>
        <v>39225</v>
      </c>
      <c r="B281" s="89"/>
      <c r="C281" s="227">
        <v>90676</v>
      </c>
      <c r="D281" s="225">
        <v>46324.88</v>
      </c>
      <c r="E281" s="185"/>
      <c r="F281" s="72" t="e">
        <f>IF('M&amp;R Stations'!#REF!="","",('M&amp;R Stations'!#REF!+'M&amp;R Stations'!#REF!)+('LNG Facilities'!F266+'LNG Facilities'!G266+'LNG Facilities'!H266+'LNG Facilities'!R266+'LNG Facilities'!S266+'LNG Facilities'!T266)-'LNG Facilities'!#REF!-('NG Utilization'!C281+'NG Utilization'!D281+'NG Utilization'!E281))</f>
        <v>#REF!</v>
      </c>
      <c r="G281" s="58" t="e">
        <f>IF('M&amp;R Stations'!#REF!="","",F281+G280)</f>
        <v>#REF!</v>
      </c>
      <c r="H281" s="58" t="e">
        <f>IF('M&amp;R Stations'!#REF!="","",F281+H280)</f>
        <v>#REF!</v>
      </c>
      <c r="I281" s="58"/>
      <c r="J281" s="57" t="e">
        <f t="shared" si="65"/>
        <v>#REF!</v>
      </c>
      <c r="K281" s="58" t="e">
        <f t="shared" si="67"/>
        <v>#REF!</v>
      </c>
      <c r="L281" s="58" t="e">
        <f t="shared" si="68"/>
        <v>#REF!</v>
      </c>
      <c r="M281" s="58"/>
      <c r="N281" s="73" t="e">
        <f>IF(F281="","",ROUND((('M&amp;R Stations'!#REF!+'M&amp;R Stations'!#REF!)-('NG Utilization'!C281+'NG Utilization'!D281+'NG Utilization'!E281)-'LNG Facilities'!#REF!)*ROUND(((('M&amp;R Stations'!#REF!*'M&amp;R Stations'!L266)+('M&amp;R Stations'!#REF!*'M&amp;R Stations'!F266))/1000)/('M&amp;R Stations'!#REF!+'M&amp;R Stations'!#REF!),3),0)+ROUND((('LNG Facilities'!F266*'LNG Facilities'!K266+'LNG Facilities'!G266*'LNG Facilities'!L266+'LNG Facilities'!H266*'LNG Facilities'!M266+'LNG Facilities'!R266*'LNG Facilities'!W266+'LNG Facilities'!S266*'LNG Facilities'!X266+'LNG Facilities'!T266*'LNG Facilities'!#REF!)/1000),0))</f>
        <v>#REF!</v>
      </c>
      <c r="O281" s="58" t="e">
        <f t="shared" si="69"/>
        <v>#REF!</v>
      </c>
      <c r="P281" s="58" t="e">
        <f t="shared" si="70"/>
        <v>#REF!</v>
      </c>
      <c r="Q281" s="58"/>
      <c r="R281" s="57" t="e">
        <f>IF(F281="","",D281)</f>
        <v>#REF!</v>
      </c>
      <c r="S281" s="58" t="e">
        <f t="shared" si="71"/>
        <v>#REF!</v>
      </c>
      <c r="T281" s="58" t="e">
        <f t="shared" si="72"/>
        <v>#REF!</v>
      </c>
      <c r="U281" s="59"/>
      <c r="V281" s="59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</row>
    <row r="282" spans="1:46" x14ac:dyDescent="0.25">
      <c r="A282" s="31">
        <f>'M&amp;R Stations'!A267</f>
        <v>39226</v>
      </c>
      <c r="B282" s="89"/>
      <c r="C282" s="227">
        <v>81093</v>
      </c>
      <c r="D282" s="225">
        <v>77319</v>
      </c>
      <c r="E282" s="185"/>
      <c r="F282" s="72" t="e">
        <f>IF('M&amp;R Stations'!#REF!="","",('M&amp;R Stations'!#REF!+'M&amp;R Stations'!#REF!)+('LNG Facilities'!F267+'LNG Facilities'!G267+'LNG Facilities'!H267+'LNG Facilities'!R267+'LNG Facilities'!S267+'LNG Facilities'!T267)-'LNG Facilities'!#REF!-('NG Utilization'!C282+'NG Utilization'!D282+'NG Utilization'!E282))</f>
        <v>#REF!</v>
      </c>
      <c r="G282" s="58" t="e">
        <f>IF('M&amp;R Stations'!#REF!="","",F282+G281)</f>
        <v>#REF!</v>
      </c>
      <c r="H282" s="58" t="e">
        <f>IF('M&amp;R Stations'!#REF!="","",F282+H281)</f>
        <v>#REF!</v>
      </c>
      <c r="I282" s="58"/>
      <c r="J282" s="57" t="e">
        <f t="shared" si="65"/>
        <v>#REF!</v>
      </c>
      <c r="K282" s="58" t="e">
        <f t="shared" si="67"/>
        <v>#REF!</v>
      </c>
      <c r="L282" s="58" t="e">
        <f t="shared" si="68"/>
        <v>#REF!</v>
      </c>
      <c r="M282" s="58"/>
      <c r="N282" s="73" t="e">
        <f>IF(F282="","",ROUND((('M&amp;R Stations'!#REF!+'M&amp;R Stations'!#REF!)-('NG Utilization'!C282+'NG Utilization'!D282+'NG Utilization'!E282)-'LNG Facilities'!#REF!)*ROUND(((('M&amp;R Stations'!#REF!*'M&amp;R Stations'!L267)+('M&amp;R Stations'!#REF!*'M&amp;R Stations'!F267))/1000)/('M&amp;R Stations'!#REF!+'M&amp;R Stations'!#REF!),3),0)+ROUND((('LNG Facilities'!F267*'LNG Facilities'!K267+'LNG Facilities'!G267*'LNG Facilities'!L267+'LNG Facilities'!H267*'LNG Facilities'!M267+'LNG Facilities'!R267*'LNG Facilities'!W267+'LNG Facilities'!S267*'LNG Facilities'!X267+'LNG Facilities'!T267*'LNG Facilities'!#REF!)/1000),0))</f>
        <v>#REF!</v>
      </c>
      <c r="O282" s="58" t="e">
        <f t="shared" si="69"/>
        <v>#REF!</v>
      </c>
      <c r="P282" s="58" t="e">
        <f t="shared" si="70"/>
        <v>#REF!</v>
      </c>
      <c r="Q282" s="58"/>
      <c r="R282" s="57" t="e">
        <f t="shared" si="66"/>
        <v>#REF!</v>
      </c>
      <c r="S282" s="58" t="e">
        <f t="shared" si="71"/>
        <v>#REF!</v>
      </c>
      <c r="T282" s="58" t="e">
        <f t="shared" si="72"/>
        <v>#REF!</v>
      </c>
      <c r="U282" s="59"/>
      <c r="V282" s="59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</row>
    <row r="283" spans="1:46" x14ac:dyDescent="0.25">
      <c r="A283" s="31">
        <f>'M&amp;R Stations'!A268</f>
        <v>39227</v>
      </c>
      <c r="B283" s="89"/>
      <c r="C283" s="227">
        <v>76174</v>
      </c>
      <c r="D283" s="225">
        <v>85067.33</v>
      </c>
      <c r="E283" s="185"/>
      <c r="F283" s="72" t="e">
        <f>IF('M&amp;R Stations'!#REF!="","",('M&amp;R Stations'!#REF!+'M&amp;R Stations'!#REF!)+('LNG Facilities'!F268+'LNG Facilities'!G268+'LNG Facilities'!H268+'LNG Facilities'!R268+'LNG Facilities'!S268+'LNG Facilities'!T268)-'LNG Facilities'!#REF!-('NG Utilization'!C283+'NG Utilization'!D283+'NG Utilization'!E283))</f>
        <v>#REF!</v>
      </c>
      <c r="G283" s="58" t="e">
        <f>IF('M&amp;R Stations'!#REF!="","",F283+G282)</f>
        <v>#REF!</v>
      </c>
      <c r="H283" s="58" t="e">
        <f>IF('M&amp;R Stations'!#REF!="","",F283+H282)</f>
        <v>#REF!</v>
      </c>
      <c r="I283" s="58"/>
      <c r="J283" s="57" t="e">
        <f t="shared" si="65"/>
        <v>#REF!</v>
      </c>
      <c r="K283" s="58" t="e">
        <f t="shared" si="67"/>
        <v>#REF!</v>
      </c>
      <c r="L283" s="58" t="e">
        <f t="shared" si="68"/>
        <v>#REF!</v>
      </c>
      <c r="M283" s="58"/>
      <c r="N283" s="73" t="e">
        <f>IF(F283="","",ROUND((('M&amp;R Stations'!#REF!+'M&amp;R Stations'!#REF!)-('NG Utilization'!C283+'NG Utilization'!D283+'NG Utilization'!E283)-'LNG Facilities'!#REF!)*ROUND(((('M&amp;R Stations'!#REF!*'M&amp;R Stations'!L268)+('M&amp;R Stations'!#REF!*'M&amp;R Stations'!F268))/1000)/('M&amp;R Stations'!#REF!+'M&amp;R Stations'!#REF!),3),0)+ROUND((('LNG Facilities'!F268*'LNG Facilities'!K268+'LNG Facilities'!G268*'LNG Facilities'!L268+'LNG Facilities'!H268*'LNG Facilities'!M268+'LNG Facilities'!R268*'LNG Facilities'!W268+'LNG Facilities'!S268*'LNG Facilities'!X268+'LNG Facilities'!T268*'LNG Facilities'!#REF!)/1000),0))</f>
        <v>#REF!</v>
      </c>
      <c r="O283" s="58" t="e">
        <f t="shared" si="69"/>
        <v>#REF!</v>
      </c>
      <c r="P283" s="58" t="e">
        <f t="shared" si="70"/>
        <v>#REF!</v>
      </c>
      <c r="Q283" s="58"/>
      <c r="R283" s="57" t="e">
        <f t="shared" si="66"/>
        <v>#REF!</v>
      </c>
      <c r="S283" s="58" t="e">
        <f t="shared" si="71"/>
        <v>#REF!</v>
      </c>
      <c r="T283" s="58" t="e">
        <f t="shared" si="72"/>
        <v>#REF!</v>
      </c>
      <c r="U283" s="59"/>
      <c r="V283" s="59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</row>
    <row r="284" spans="1:46" x14ac:dyDescent="0.25">
      <c r="A284" s="31">
        <f>'M&amp;R Stations'!A269</f>
        <v>39228</v>
      </c>
      <c r="B284" s="89"/>
      <c r="C284" s="227">
        <v>71212</v>
      </c>
      <c r="D284" s="225">
        <v>85067.33</v>
      </c>
      <c r="E284" s="185"/>
      <c r="F284" s="72" t="e">
        <f>IF('M&amp;R Stations'!#REF!="","",('M&amp;R Stations'!#REF!+'M&amp;R Stations'!#REF!)+('LNG Facilities'!F269+'LNG Facilities'!G269+'LNG Facilities'!H269+'LNG Facilities'!R269+'LNG Facilities'!S269+'LNG Facilities'!T269)-'LNG Facilities'!#REF!-('NG Utilization'!C284+'NG Utilization'!D284+'NG Utilization'!E284))</f>
        <v>#REF!</v>
      </c>
      <c r="G284" s="58" t="e">
        <f>IF('M&amp;R Stations'!#REF!="","",F284+G283)</f>
        <v>#REF!</v>
      </c>
      <c r="H284" s="58" t="e">
        <f>IF('M&amp;R Stations'!#REF!="","",F284+H283)</f>
        <v>#REF!</v>
      </c>
      <c r="I284" s="58"/>
      <c r="J284" s="57" t="e">
        <f t="shared" si="65"/>
        <v>#REF!</v>
      </c>
      <c r="K284" s="58" t="e">
        <f t="shared" si="67"/>
        <v>#REF!</v>
      </c>
      <c r="L284" s="58" t="e">
        <f t="shared" si="68"/>
        <v>#REF!</v>
      </c>
      <c r="M284" s="58"/>
      <c r="N284" s="73" t="e">
        <f>IF(F284="","",ROUND((('M&amp;R Stations'!#REF!+'M&amp;R Stations'!#REF!)-('NG Utilization'!C284+'NG Utilization'!D284+'NG Utilization'!E284)-'LNG Facilities'!#REF!)*ROUND(((('M&amp;R Stations'!#REF!*'M&amp;R Stations'!L269)+('M&amp;R Stations'!#REF!*'M&amp;R Stations'!F269))/1000)/('M&amp;R Stations'!#REF!+'M&amp;R Stations'!#REF!),3),0)+ROUND((('LNG Facilities'!F269*'LNG Facilities'!K269+'LNG Facilities'!G269*'LNG Facilities'!L269+'LNG Facilities'!H269*'LNG Facilities'!M269+'LNG Facilities'!R269*'LNG Facilities'!W269+'LNG Facilities'!S269*'LNG Facilities'!X269+'LNG Facilities'!T269*'LNG Facilities'!#REF!)/1000),0))</f>
        <v>#REF!</v>
      </c>
      <c r="O284" s="58" t="e">
        <f t="shared" si="69"/>
        <v>#REF!</v>
      </c>
      <c r="P284" s="58" t="e">
        <f t="shared" si="70"/>
        <v>#REF!</v>
      </c>
      <c r="Q284" s="58"/>
      <c r="R284" s="57" t="e">
        <f t="shared" si="66"/>
        <v>#REF!</v>
      </c>
      <c r="S284" s="58" t="e">
        <f t="shared" si="71"/>
        <v>#REF!</v>
      </c>
      <c r="T284" s="58" t="e">
        <f t="shared" si="72"/>
        <v>#REF!</v>
      </c>
      <c r="U284" s="59"/>
      <c r="V284" s="59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</row>
    <row r="285" spans="1:46" x14ac:dyDescent="0.25">
      <c r="A285" s="31">
        <f>'M&amp;R Stations'!A270</f>
        <v>39229</v>
      </c>
      <c r="B285" s="89"/>
      <c r="C285" s="227">
        <v>67292</v>
      </c>
      <c r="D285" s="225">
        <v>92815.82</v>
      </c>
      <c r="E285" s="185"/>
      <c r="F285" s="72" t="e">
        <f>IF('M&amp;R Stations'!#REF!="","",('M&amp;R Stations'!#REF!+'M&amp;R Stations'!#REF!)+('LNG Facilities'!F270+'LNG Facilities'!G270+'LNG Facilities'!H270+'LNG Facilities'!R270+'LNG Facilities'!S270+'LNG Facilities'!T270)-'LNG Facilities'!#REF!-('NG Utilization'!C285+'NG Utilization'!D285+'NG Utilization'!E285))</f>
        <v>#REF!</v>
      </c>
      <c r="G285" s="58" t="e">
        <f>IF('M&amp;R Stations'!#REF!="","",F285+G284)</f>
        <v>#REF!</v>
      </c>
      <c r="H285" s="58" t="e">
        <f>IF('M&amp;R Stations'!#REF!="","",F285+H284)</f>
        <v>#REF!</v>
      </c>
      <c r="I285" s="58"/>
      <c r="J285" s="57" t="e">
        <f t="shared" si="65"/>
        <v>#REF!</v>
      </c>
      <c r="K285" s="58" t="e">
        <f t="shared" si="67"/>
        <v>#REF!</v>
      </c>
      <c r="L285" s="58" t="e">
        <f t="shared" si="68"/>
        <v>#REF!</v>
      </c>
      <c r="M285" s="58"/>
      <c r="N285" s="73" t="e">
        <f>IF(F285="","",ROUND((('M&amp;R Stations'!#REF!+'M&amp;R Stations'!#REF!)-('NG Utilization'!C285+'NG Utilization'!D285+'NG Utilization'!E285)-'LNG Facilities'!#REF!)*ROUND(((('M&amp;R Stations'!#REF!*'M&amp;R Stations'!L270)+('M&amp;R Stations'!#REF!*'M&amp;R Stations'!F270))/1000)/('M&amp;R Stations'!#REF!+'M&amp;R Stations'!#REF!),3),0)+ROUND((('LNG Facilities'!F270*'LNG Facilities'!K270+'LNG Facilities'!G270*'LNG Facilities'!L270+'LNG Facilities'!H270*'LNG Facilities'!M270+'LNG Facilities'!R270*'LNG Facilities'!W270+'LNG Facilities'!S270*'LNG Facilities'!X270+'LNG Facilities'!T270*'LNG Facilities'!#REF!)/1000),0))</f>
        <v>#REF!</v>
      </c>
      <c r="O285" s="58" t="e">
        <f t="shared" si="69"/>
        <v>#REF!</v>
      </c>
      <c r="P285" s="58" t="e">
        <f t="shared" si="70"/>
        <v>#REF!</v>
      </c>
      <c r="Q285" s="58"/>
      <c r="R285" s="57" t="e">
        <f t="shared" si="66"/>
        <v>#REF!</v>
      </c>
      <c r="S285" s="58" t="e">
        <f t="shared" si="71"/>
        <v>#REF!</v>
      </c>
      <c r="T285" s="58" t="e">
        <f t="shared" si="72"/>
        <v>#REF!</v>
      </c>
      <c r="U285" s="59"/>
      <c r="V285" s="59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</row>
    <row r="286" spans="1:46" x14ac:dyDescent="0.25">
      <c r="A286" s="31">
        <f>'M&amp;R Stations'!A271</f>
        <v>39230</v>
      </c>
      <c r="B286" s="89"/>
      <c r="C286" s="227">
        <v>65089</v>
      </c>
      <c r="D286" s="225">
        <v>108312.8</v>
      </c>
      <c r="E286" s="185"/>
      <c r="F286" s="72" t="e">
        <f>IF('M&amp;R Stations'!#REF!="","",('M&amp;R Stations'!#REF!+'M&amp;R Stations'!#REF!)+('LNG Facilities'!F271+'LNG Facilities'!G271+'LNG Facilities'!H271+'LNG Facilities'!R271+'LNG Facilities'!S271+'LNG Facilities'!T271)-'LNG Facilities'!#REF!-('NG Utilization'!C286+'NG Utilization'!D286+'NG Utilization'!E286))</f>
        <v>#REF!</v>
      </c>
      <c r="G286" s="58" t="e">
        <f>IF('M&amp;R Stations'!#REF!="","",F286+G285)</f>
        <v>#REF!</v>
      </c>
      <c r="H286" s="58" t="e">
        <f>IF('M&amp;R Stations'!#REF!="","",F286+H285)</f>
        <v>#REF!</v>
      </c>
      <c r="I286" s="58"/>
      <c r="J286" s="57" t="e">
        <f t="shared" si="65"/>
        <v>#REF!</v>
      </c>
      <c r="K286" s="58" t="e">
        <f t="shared" si="67"/>
        <v>#REF!</v>
      </c>
      <c r="L286" s="58" t="e">
        <f t="shared" si="68"/>
        <v>#REF!</v>
      </c>
      <c r="M286" s="58"/>
      <c r="N286" s="73" t="e">
        <f>IF(F286="","",ROUND((('M&amp;R Stations'!#REF!+'M&amp;R Stations'!#REF!)-('NG Utilization'!C286+'NG Utilization'!D286+'NG Utilization'!E286)-'LNG Facilities'!#REF!)*ROUND(((('M&amp;R Stations'!#REF!*'M&amp;R Stations'!L271)+('M&amp;R Stations'!#REF!*'M&amp;R Stations'!F271))/1000)/('M&amp;R Stations'!#REF!+'M&amp;R Stations'!#REF!),3),0)+ROUND((('LNG Facilities'!F271*'LNG Facilities'!K271+'LNG Facilities'!G271*'LNG Facilities'!L271+'LNG Facilities'!H271*'LNG Facilities'!M271+'LNG Facilities'!R271*'LNG Facilities'!W271+'LNG Facilities'!S271*'LNG Facilities'!X271+'LNG Facilities'!T271*'LNG Facilities'!#REF!)/1000),0))</f>
        <v>#REF!</v>
      </c>
      <c r="O286" s="58" t="e">
        <f t="shared" si="69"/>
        <v>#REF!</v>
      </c>
      <c r="P286" s="58" t="e">
        <f t="shared" si="70"/>
        <v>#REF!</v>
      </c>
      <c r="Q286" s="58"/>
      <c r="R286" s="57" t="e">
        <f t="shared" si="66"/>
        <v>#REF!</v>
      </c>
      <c r="S286" s="58" t="e">
        <f t="shared" si="71"/>
        <v>#REF!</v>
      </c>
      <c r="T286" s="58" t="e">
        <f t="shared" si="72"/>
        <v>#REF!</v>
      </c>
      <c r="U286" s="59"/>
      <c r="V286" s="59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</row>
    <row r="287" spans="1:46" x14ac:dyDescent="0.25">
      <c r="A287" s="31">
        <f>'M&amp;R Stations'!A272</f>
        <v>39231</v>
      </c>
      <c r="B287" s="89"/>
      <c r="C287" s="227">
        <v>69470</v>
      </c>
      <c r="D287" s="225">
        <v>123810</v>
      </c>
      <c r="E287" s="185"/>
      <c r="F287" s="72" t="e">
        <f>IF('M&amp;R Stations'!#REF!="","",('M&amp;R Stations'!#REF!+'M&amp;R Stations'!#REF!)+('LNG Facilities'!F272+'LNG Facilities'!G272+'LNG Facilities'!H272+'LNG Facilities'!R272+'LNG Facilities'!S272+'LNG Facilities'!T272)-'LNG Facilities'!#REF!-('NG Utilization'!C287+'NG Utilization'!D287+'NG Utilization'!E287))</f>
        <v>#REF!</v>
      </c>
      <c r="G287" s="58" t="e">
        <f>IF('M&amp;R Stations'!#REF!="","",F287+G286)</f>
        <v>#REF!</v>
      </c>
      <c r="H287" s="58" t="e">
        <f>IF('M&amp;R Stations'!#REF!="","",F287+H286)</f>
        <v>#REF!</v>
      </c>
      <c r="I287" s="58"/>
      <c r="J287" s="57" t="e">
        <f t="shared" si="65"/>
        <v>#REF!</v>
      </c>
      <c r="K287" s="58" t="e">
        <f t="shared" si="67"/>
        <v>#REF!</v>
      </c>
      <c r="L287" s="58" t="e">
        <f t="shared" si="68"/>
        <v>#REF!</v>
      </c>
      <c r="M287" s="58"/>
      <c r="N287" s="73" t="e">
        <f>IF(F287="","",ROUND((('M&amp;R Stations'!#REF!+'M&amp;R Stations'!#REF!)-('NG Utilization'!C287+'NG Utilization'!D287+'NG Utilization'!E287)-'LNG Facilities'!#REF!)*ROUND(((('M&amp;R Stations'!#REF!*'M&amp;R Stations'!L272)+('M&amp;R Stations'!#REF!*'M&amp;R Stations'!F272))/1000)/('M&amp;R Stations'!#REF!+'M&amp;R Stations'!#REF!),3),0)+ROUND((('LNG Facilities'!F272*'LNG Facilities'!K272+'LNG Facilities'!G272*'LNG Facilities'!L272+'LNG Facilities'!H272*'LNG Facilities'!M272+'LNG Facilities'!R272*'LNG Facilities'!W272+'LNG Facilities'!S272*'LNG Facilities'!X272+'LNG Facilities'!T272*'LNG Facilities'!#REF!)/1000),0))</f>
        <v>#REF!</v>
      </c>
      <c r="O287" s="58" t="e">
        <f t="shared" si="69"/>
        <v>#REF!</v>
      </c>
      <c r="P287" s="58" t="e">
        <f t="shared" si="70"/>
        <v>#REF!</v>
      </c>
      <c r="Q287" s="58"/>
      <c r="R287" s="57" t="e">
        <f t="shared" si="66"/>
        <v>#REF!</v>
      </c>
      <c r="S287" s="58" t="e">
        <f t="shared" si="71"/>
        <v>#REF!</v>
      </c>
      <c r="T287" s="58" t="e">
        <f t="shared" si="72"/>
        <v>#REF!</v>
      </c>
      <c r="U287" s="59"/>
      <c r="V287" s="59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</row>
    <row r="288" spans="1:46" x14ac:dyDescent="0.25">
      <c r="A288" s="31">
        <f>'M&amp;R Stations'!A273</f>
        <v>39232</v>
      </c>
      <c r="B288" s="89"/>
      <c r="C288" s="227">
        <v>70874</v>
      </c>
      <c r="D288" s="225">
        <v>154803.70000000001</v>
      </c>
      <c r="E288" s="185"/>
      <c r="F288" s="72" t="e">
        <f>IF('M&amp;R Stations'!#REF!="","",('M&amp;R Stations'!#REF!+'M&amp;R Stations'!#REF!)+('LNG Facilities'!F273+'LNG Facilities'!G273+'LNG Facilities'!H273+'LNG Facilities'!R273+'LNG Facilities'!S273+'LNG Facilities'!T273)-'LNG Facilities'!#REF!-('NG Utilization'!C288+'NG Utilization'!D288+'NG Utilization'!E288))</f>
        <v>#REF!</v>
      </c>
      <c r="G288" s="58" t="e">
        <f>IF('M&amp;R Stations'!#REF!="","",F288+G287)</f>
        <v>#REF!</v>
      </c>
      <c r="H288" s="58" t="e">
        <f>IF('M&amp;R Stations'!#REF!="","",F288+H287)</f>
        <v>#REF!</v>
      </c>
      <c r="I288" s="58"/>
      <c r="J288" s="57" t="e">
        <f t="shared" si="65"/>
        <v>#REF!</v>
      </c>
      <c r="K288" s="58" t="e">
        <f t="shared" si="67"/>
        <v>#REF!</v>
      </c>
      <c r="L288" s="58" t="e">
        <f t="shared" si="68"/>
        <v>#REF!</v>
      </c>
      <c r="M288" s="58"/>
      <c r="N288" s="73" t="e">
        <f>IF(F288="","",ROUND((('M&amp;R Stations'!#REF!+'M&amp;R Stations'!#REF!)-('NG Utilization'!C288+'NG Utilization'!D288+'NG Utilization'!E288)-'LNG Facilities'!#REF!)*ROUND(((('M&amp;R Stations'!#REF!*'M&amp;R Stations'!L273)+('M&amp;R Stations'!#REF!*'M&amp;R Stations'!F273))/1000)/('M&amp;R Stations'!#REF!+'M&amp;R Stations'!#REF!),3),0)+ROUND((('LNG Facilities'!F273*'LNG Facilities'!K273+'LNG Facilities'!G273*'LNG Facilities'!L273+'LNG Facilities'!H273*'LNG Facilities'!M273+'LNG Facilities'!R273*'LNG Facilities'!W273+'LNG Facilities'!S273*'LNG Facilities'!X273+'LNG Facilities'!T273*'LNG Facilities'!#REF!)/1000),0))</f>
        <v>#REF!</v>
      </c>
      <c r="O288" s="58" t="e">
        <f t="shared" si="69"/>
        <v>#REF!</v>
      </c>
      <c r="P288" s="58" t="e">
        <f t="shared" si="70"/>
        <v>#REF!</v>
      </c>
      <c r="Q288" s="58"/>
      <c r="R288" s="57" t="e">
        <f t="shared" si="66"/>
        <v>#REF!</v>
      </c>
      <c r="S288" s="58" t="e">
        <f t="shared" si="71"/>
        <v>#REF!</v>
      </c>
      <c r="T288" s="58" t="e">
        <f t="shared" si="72"/>
        <v>#REF!</v>
      </c>
      <c r="U288" s="59"/>
      <c r="V288" s="59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</row>
    <row r="289" spans="1:46" x14ac:dyDescent="0.25">
      <c r="A289" s="31">
        <f>'M&amp;R Stations'!A274</f>
        <v>39233</v>
      </c>
      <c r="B289" s="89"/>
      <c r="C289" s="227">
        <v>72748</v>
      </c>
      <c r="D289" s="225">
        <v>178049.2</v>
      </c>
      <c r="E289" s="185"/>
      <c r="F289" s="72" t="e">
        <f>IF('M&amp;R Stations'!#REF!="","",('M&amp;R Stations'!#REF!+'M&amp;R Stations'!#REF!)+('LNG Facilities'!F274+'LNG Facilities'!G274+'LNG Facilities'!H274+'LNG Facilities'!R274+'LNG Facilities'!S274+'LNG Facilities'!T274)-'LNG Facilities'!#REF!-('NG Utilization'!C289+'NG Utilization'!D289+'NG Utilization'!E289))</f>
        <v>#REF!</v>
      </c>
      <c r="G289" s="58" t="e">
        <f>IF('M&amp;R Stations'!#REF!="","",F289+G288)</f>
        <v>#REF!</v>
      </c>
      <c r="H289" s="58" t="e">
        <f>IF('M&amp;R Stations'!#REF!="","",F289+H288)</f>
        <v>#REF!</v>
      </c>
      <c r="I289" s="58"/>
      <c r="J289" s="57" t="e">
        <f t="shared" si="65"/>
        <v>#REF!</v>
      </c>
      <c r="K289" s="58" t="e">
        <f>IF(J289="","",J289+K288)</f>
        <v>#REF!</v>
      </c>
      <c r="L289" s="58" t="e">
        <f>IF(J289="","",J289+L288)</f>
        <v>#REF!</v>
      </c>
      <c r="M289" s="58"/>
      <c r="N289" s="73" t="e">
        <f>IF(F289="","",ROUND((('M&amp;R Stations'!#REF!+'M&amp;R Stations'!#REF!)-('NG Utilization'!C289+'NG Utilization'!D289+'NG Utilization'!E289)-'LNG Facilities'!#REF!)*ROUND(((('M&amp;R Stations'!#REF!*'M&amp;R Stations'!L274)+('M&amp;R Stations'!#REF!*'M&amp;R Stations'!F274))/1000)/('M&amp;R Stations'!#REF!+'M&amp;R Stations'!#REF!),3),0)+ROUND((('LNG Facilities'!F274*'LNG Facilities'!K274+'LNG Facilities'!G274*'LNG Facilities'!L274+'LNG Facilities'!H274*'LNG Facilities'!M274+'LNG Facilities'!R274*'LNG Facilities'!W274+'LNG Facilities'!S274*'LNG Facilities'!X274+'LNG Facilities'!T274*'LNG Facilities'!#REF!)/1000),0))</f>
        <v>#REF!</v>
      </c>
      <c r="O289" s="58" t="e">
        <f>IF(N289="","",N289+O288)</f>
        <v>#REF!</v>
      </c>
      <c r="P289" s="58" t="e">
        <f>IF(N289="","",N289+P288)</f>
        <v>#REF!</v>
      </c>
      <c r="Q289" s="58"/>
      <c r="R289" s="57" t="e">
        <f t="shared" si="66"/>
        <v>#REF!</v>
      </c>
      <c r="S289" s="58" t="e">
        <f>IF(R289="","",R289+S288)</f>
        <v>#REF!</v>
      </c>
      <c r="T289" s="58" t="e">
        <f>IF(R289="","",R289+T288)</f>
        <v>#REF!</v>
      </c>
      <c r="U289" s="59"/>
      <c r="V289" s="59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</row>
    <row r="290" spans="1:46" x14ac:dyDescent="0.25">
      <c r="A290" s="179"/>
      <c r="B290" s="178"/>
      <c r="C290" s="178"/>
      <c r="D290" s="178"/>
      <c r="E290" s="187"/>
      <c r="F290" s="180"/>
      <c r="G290" s="181"/>
      <c r="H290" s="181"/>
      <c r="I290" s="181"/>
      <c r="J290" s="182"/>
      <c r="K290" s="181"/>
      <c r="L290" s="181"/>
      <c r="M290" s="181"/>
      <c r="N290" s="183"/>
      <c r="O290" s="181"/>
      <c r="P290" s="181"/>
      <c r="Q290" s="181"/>
      <c r="R290" s="182"/>
      <c r="S290" s="181"/>
      <c r="T290" s="181"/>
      <c r="U290" s="59"/>
      <c r="V290" s="59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</row>
    <row r="291" spans="1:46" x14ac:dyDescent="0.25">
      <c r="A291" s="31">
        <f>'M&amp;R Stations'!A275</f>
        <v>39234</v>
      </c>
      <c r="B291" s="89"/>
      <c r="C291" s="227">
        <v>70665</v>
      </c>
      <c r="D291" s="225">
        <v>46453.1</v>
      </c>
      <c r="E291" s="185"/>
      <c r="F291" s="72" t="e">
        <f>IF('M&amp;R Stations'!#REF!="","",('M&amp;R Stations'!#REF!+'M&amp;R Stations'!#REF!)+('LNG Facilities'!F275+'LNG Facilities'!G275+'LNG Facilities'!H275+'LNG Facilities'!R275+'LNG Facilities'!S275+'LNG Facilities'!T275)-'LNG Facilities'!#REF!-('NG Utilization'!C291+'NG Utilization'!D291+'NG Utilization'!E291))</f>
        <v>#REF!</v>
      </c>
      <c r="G291" s="58" t="e">
        <f>IF('M&amp;R Stations'!#REF!="","",F291)</f>
        <v>#REF!</v>
      </c>
      <c r="H291" s="58" t="e">
        <f>IF('M&amp;R Stations'!#REF!="","",F291+H289)</f>
        <v>#REF!</v>
      </c>
      <c r="I291" s="58"/>
      <c r="J291" s="57" t="e">
        <f t="shared" ref="J291:J320" si="73">IF(F291="","",C291)</f>
        <v>#REF!</v>
      </c>
      <c r="K291" s="58" t="e">
        <f>IF(J291="","",J291)</f>
        <v>#REF!</v>
      </c>
      <c r="L291" s="58" t="e">
        <f>IF(J291="","",J291+L289)</f>
        <v>#REF!</v>
      </c>
      <c r="M291" s="58"/>
      <c r="N291" s="73" t="e">
        <f>IF(F291="","",ROUND((('M&amp;R Stations'!#REF!+'M&amp;R Stations'!#REF!)-('NG Utilization'!C291+'NG Utilization'!D291+'NG Utilization'!E291)-'LNG Facilities'!#REF!)*ROUND(((('M&amp;R Stations'!#REF!*'M&amp;R Stations'!L275)+('M&amp;R Stations'!#REF!*'M&amp;R Stations'!F275))/1000)/('M&amp;R Stations'!#REF!+'M&amp;R Stations'!#REF!),3),0)+ROUND((('LNG Facilities'!F275*'LNG Facilities'!K275+'LNG Facilities'!G275*'LNG Facilities'!L275+'LNG Facilities'!H275*'LNG Facilities'!M275+'LNG Facilities'!R275*'LNG Facilities'!W275+'LNG Facilities'!S275*'LNG Facilities'!X275+'LNG Facilities'!T275*'LNG Facilities'!#REF!)/1000),0))</f>
        <v>#REF!</v>
      </c>
      <c r="O291" s="58" t="e">
        <f>IF(N291="","",N291)</f>
        <v>#REF!</v>
      </c>
      <c r="P291" s="58" t="e">
        <f>IF(N291="","",N291+P289)</f>
        <v>#REF!</v>
      </c>
      <c r="Q291" s="58"/>
      <c r="R291" s="57" t="e">
        <f t="shared" ref="R291:R320" si="74">IF(F291="","",D291)</f>
        <v>#REF!</v>
      </c>
      <c r="S291" s="58" t="e">
        <f>IF(R291="","",R291)</f>
        <v>#REF!</v>
      </c>
      <c r="T291" s="58" t="e">
        <f>IF(R291="","",R291+T289)</f>
        <v>#REF!</v>
      </c>
      <c r="U291" s="59"/>
      <c r="V291" s="59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</row>
    <row r="292" spans="1:46" x14ac:dyDescent="0.25">
      <c r="A292" s="31">
        <f>'M&amp;R Stations'!A276</f>
        <v>39235</v>
      </c>
      <c r="B292" s="89"/>
      <c r="C292" s="227">
        <v>66424</v>
      </c>
      <c r="D292" s="225">
        <v>46453.1</v>
      </c>
      <c r="E292" s="185"/>
      <c r="F292" s="72" t="e">
        <f>IF('M&amp;R Stations'!#REF!="","",('M&amp;R Stations'!#REF!+'M&amp;R Stations'!#REF!)+('LNG Facilities'!F276+'LNG Facilities'!G276+'LNG Facilities'!H276+'LNG Facilities'!R276+'LNG Facilities'!S276+'LNG Facilities'!T276)-'LNG Facilities'!#REF!-('NG Utilization'!C292+'NG Utilization'!D292+'NG Utilization'!E292))</f>
        <v>#REF!</v>
      </c>
      <c r="G292" s="58" t="e">
        <f>IF('M&amp;R Stations'!#REF!="","",F292+G291)</f>
        <v>#REF!</v>
      </c>
      <c r="H292" s="58" t="e">
        <f>IF('M&amp;R Stations'!#REF!="","",F292+H291)</f>
        <v>#REF!</v>
      </c>
      <c r="I292" s="58"/>
      <c r="J292" s="57" t="e">
        <f t="shared" si="73"/>
        <v>#REF!</v>
      </c>
      <c r="K292" s="58" t="e">
        <f t="shared" ref="K292:K320" si="75">IF(J292="","",J292+K291)</f>
        <v>#REF!</v>
      </c>
      <c r="L292" s="58" t="e">
        <f t="shared" ref="L292:L320" si="76">IF(J292="","",J292+L291)</f>
        <v>#REF!</v>
      </c>
      <c r="M292" s="58"/>
      <c r="N292" s="73" t="e">
        <f>IF(F292="","",ROUND((('M&amp;R Stations'!#REF!+'M&amp;R Stations'!#REF!)-('NG Utilization'!C292+'NG Utilization'!D292+'NG Utilization'!E292)-'LNG Facilities'!#REF!)*ROUND(((('M&amp;R Stations'!#REF!*'M&amp;R Stations'!L276)+('M&amp;R Stations'!#REF!*'M&amp;R Stations'!F276))/1000)/('M&amp;R Stations'!#REF!+'M&amp;R Stations'!#REF!),3),0)+ROUND((('LNG Facilities'!F276*'LNG Facilities'!K276+'LNG Facilities'!G276*'LNG Facilities'!L276+'LNG Facilities'!H276*'LNG Facilities'!M276+'LNG Facilities'!R276*'LNG Facilities'!W276+'LNG Facilities'!S276*'LNG Facilities'!X276+'LNG Facilities'!T276*'LNG Facilities'!#REF!)/1000),0))</f>
        <v>#REF!</v>
      </c>
      <c r="O292" s="58" t="e">
        <f t="shared" ref="O292:O320" si="77">IF(N292="","",N292+O291)</f>
        <v>#REF!</v>
      </c>
      <c r="P292" s="58" t="e">
        <f t="shared" ref="P292:P320" si="78">IF(N292="","",N292+P291)</f>
        <v>#REF!</v>
      </c>
      <c r="Q292" s="58"/>
      <c r="R292" s="57" t="e">
        <f t="shared" si="74"/>
        <v>#REF!</v>
      </c>
      <c r="S292" s="58" t="e">
        <f t="shared" ref="S292:S320" si="79">IF(R292="","",R292+S291)</f>
        <v>#REF!</v>
      </c>
      <c r="T292" s="58" t="e">
        <f t="shared" ref="T292:T320" si="80">IF(R292="","",R292+T291)</f>
        <v>#REF!</v>
      </c>
      <c r="U292" s="59"/>
      <c r="V292" s="59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</row>
    <row r="293" spans="1:46" x14ac:dyDescent="0.25">
      <c r="A293" s="31">
        <f>'M&amp;R Stations'!A277</f>
        <v>39236</v>
      </c>
      <c r="B293" s="89"/>
      <c r="C293" s="227">
        <v>69161</v>
      </c>
      <c r="D293" s="225">
        <v>46453.1</v>
      </c>
      <c r="E293" s="185"/>
      <c r="F293" s="72" t="e">
        <f>IF('M&amp;R Stations'!#REF!="","",('M&amp;R Stations'!#REF!+'M&amp;R Stations'!#REF!)+('LNG Facilities'!F277+'LNG Facilities'!G277+'LNG Facilities'!H277+'LNG Facilities'!R277+'LNG Facilities'!S277+'LNG Facilities'!T277)-'LNG Facilities'!#REF!-('NG Utilization'!C293+'NG Utilization'!D293+'NG Utilization'!E293))</f>
        <v>#REF!</v>
      </c>
      <c r="G293" s="58" t="e">
        <f>IF('M&amp;R Stations'!#REF!="","",F293+G292)</f>
        <v>#REF!</v>
      </c>
      <c r="H293" s="58" t="e">
        <f>IF('M&amp;R Stations'!#REF!="","",F293+H292)</f>
        <v>#REF!</v>
      </c>
      <c r="I293" s="58"/>
      <c r="J293" s="57" t="e">
        <f t="shared" si="73"/>
        <v>#REF!</v>
      </c>
      <c r="K293" s="58" t="e">
        <f t="shared" si="75"/>
        <v>#REF!</v>
      </c>
      <c r="L293" s="58" t="e">
        <f t="shared" si="76"/>
        <v>#REF!</v>
      </c>
      <c r="M293" s="58"/>
      <c r="N293" s="73" t="e">
        <f>IF(F293="","",ROUND((('M&amp;R Stations'!#REF!+'M&amp;R Stations'!#REF!)-('NG Utilization'!C293+'NG Utilization'!D293+'NG Utilization'!E293)-'LNG Facilities'!#REF!)*ROUND(((('M&amp;R Stations'!#REF!*'M&amp;R Stations'!L277)+('M&amp;R Stations'!#REF!*'M&amp;R Stations'!F277))/1000)/('M&amp;R Stations'!#REF!+'M&amp;R Stations'!#REF!),3),0)+ROUND((('LNG Facilities'!F277*'LNG Facilities'!K277+'LNG Facilities'!G277*'LNG Facilities'!L277+'LNG Facilities'!H277*'LNG Facilities'!M277+'LNG Facilities'!R277*'LNG Facilities'!W277+'LNG Facilities'!S277*'LNG Facilities'!X277+'LNG Facilities'!T277*'LNG Facilities'!#REF!)/1000),0))</f>
        <v>#REF!</v>
      </c>
      <c r="O293" s="58" t="e">
        <f t="shared" si="77"/>
        <v>#REF!</v>
      </c>
      <c r="P293" s="58" t="e">
        <f t="shared" si="78"/>
        <v>#REF!</v>
      </c>
      <c r="Q293" s="58"/>
      <c r="R293" s="57" t="e">
        <f t="shared" si="74"/>
        <v>#REF!</v>
      </c>
      <c r="S293" s="58" t="e">
        <f t="shared" si="79"/>
        <v>#REF!</v>
      </c>
      <c r="T293" s="58" t="e">
        <f t="shared" si="80"/>
        <v>#REF!</v>
      </c>
      <c r="U293" s="59"/>
      <c r="V293" s="59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</row>
    <row r="294" spans="1:46" x14ac:dyDescent="0.25">
      <c r="A294" s="31">
        <f>'M&amp;R Stations'!A278</f>
        <v>39237</v>
      </c>
      <c r="B294" s="89"/>
      <c r="C294" s="227">
        <v>72926</v>
      </c>
      <c r="D294" s="225">
        <v>46453.1</v>
      </c>
      <c r="E294" s="185"/>
      <c r="F294" s="72" t="e">
        <f>IF('M&amp;R Stations'!#REF!="","",('M&amp;R Stations'!#REF!+'M&amp;R Stations'!#REF!)+('LNG Facilities'!F278+'LNG Facilities'!G278+'LNG Facilities'!H278+'LNG Facilities'!R278+'LNG Facilities'!S278+'LNG Facilities'!T278)-'LNG Facilities'!#REF!-('NG Utilization'!C294+'NG Utilization'!D294+'NG Utilization'!E294))</f>
        <v>#REF!</v>
      </c>
      <c r="G294" s="58" t="e">
        <f>IF('M&amp;R Stations'!#REF!="","",F294+G293)</f>
        <v>#REF!</v>
      </c>
      <c r="H294" s="58" t="e">
        <f>IF('M&amp;R Stations'!#REF!="","",F294+H293)</f>
        <v>#REF!</v>
      </c>
      <c r="I294" s="58"/>
      <c r="J294" s="57" t="e">
        <f t="shared" si="73"/>
        <v>#REF!</v>
      </c>
      <c r="K294" s="58" t="e">
        <f t="shared" si="75"/>
        <v>#REF!</v>
      </c>
      <c r="L294" s="58" t="e">
        <f t="shared" si="76"/>
        <v>#REF!</v>
      </c>
      <c r="M294" s="58"/>
      <c r="N294" s="73" t="e">
        <f>IF(F294="","",ROUND((('M&amp;R Stations'!#REF!+'M&amp;R Stations'!#REF!)-('NG Utilization'!C294+'NG Utilization'!D294+'NG Utilization'!E294)-'LNG Facilities'!#REF!)*ROUND(((('M&amp;R Stations'!#REF!*'M&amp;R Stations'!L278)+('M&amp;R Stations'!#REF!*'M&amp;R Stations'!F278))/1000)/('M&amp;R Stations'!#REF!+'M&amp;R Stations'!#REF!),3),0)+ROUND((('LNG Facilities'!F278*'LNG Facilities'!K278+'LNG Facilities'!G278*'LNG Facilities'!L278+'LNG Facilities'!H278*'LNG Facilities'!M278+'LNG Facilities'!R278*'LNG Facilities'!W278+'LNG Facilities'!S278*'LNG Facilities'!X278+'LNG Facilities'!T278*'LNG Facilities'!#REF!)/1000),0))</f>
        <v>#REF!</v>
      </c>
      <c r="O294" s="58" t="e">
        <f t="shared" si="77"/>
        <v>#REF!</v>
      </c>
      <c r="P294" s="58" t="e">
        <f t="shared" si="78"/>
        <v>#REF!</v>
      </c>
      <c r="Q294" s="58"/>
      <c r="R294" s="57" t="e">
        <f t="shared" si="74"/>
        <v>#REF!</v>
      </c>
      <c r="S294" s="58" t="e">
        <f t="shared" si="79"/>
        <v>#REF!</v>
      </c>
      <c r="T294" s="58" t="e">
        <f t="shared" si="80"/>
        <v>#REF!</v>
      </c>
      <c r="U294" s="59"/>
      <c r="V294" s="59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</row>
    <row r="295" spans="1:46" x14ac:dyDescent="0.25">
      <c r="A295" s="31">
        <f>'M&amp;R Stations'!A279</f>
        <v>39238</v>
      </c>
      <c r="B295" s="89"/>
      <c r="C295" s="227">
        <v>72771</v>
      </c>
      <c r="D295" s="225">
        <v>46453.1</v>
      </c>
      <c r="E295" s="185"/>
      <c r="F295" s="72" t="e">
        <f>IF('M&amp;R Stations'!#REF!="","",('M&amp;R Stations'!#REF!+'M&amp;R Stations'!#REF!)+('LNG Facilities'!F279+'LNG Facilities'!G279+'LNG Facilities'!H279+'LNG Facilities'!R279+'LNG Facilities'!S279+'LNG Facilities'!T279)-'LNG Facilities'!#REF!-('NG Utilization'!C295+'NG Utilization'!D295+'NG Utilization'!E295))</f>
        <v>#REF!</v>
      </c>
      <c r="G295" s="58" t="e">
        <f>IF('M&amp;R Stations'!#REF!="","",F295+G294)</f>
        <v>#REF!</v>
      </c>
      <c r="H295" s="58" t="e">
        <f>IF('M&amp;R Stations'!#REF!="","",F295+H294)</f>
        <v>#REF!</v>
      </c>
      <c r="I295" s="58"/>
      <c r="J295" s="57" t="e">
        <f t="shared" si="73"/>
        <v>#REF!</v>
      </c>
      <c r="K295" s="58" t="e">
        <f t="shared" si="75"/>
        <v>#REF!</v>
      </c>
      <c r="L295" s="58" t="e">
        <f t="shared" si="76"/>
        <v>#REF!</v>
      </c>
      <c r="M295" s="58"/>
      <c r="N295" s="73" t="e">
        <f>IF(F295="","",ROUND((('M&amp;R Stations'!#REF!+'M&amp;R Stations'!#REF!)-('NG Utilization'!C295+'NG Utilization'!D295+'NG Utilization'!E295)-'LNG Facilities'!#REF!)*ROUND(((('M&amp;R Stations'!#REF!*'M&amp;R Stations'!L279)+('M&amp;R Stations'!#REF!*'M&amp;R Stations'!F279))/1000)/('M&amp;R Stations'!#REF!+'M&amp;R Stations'!#REF!),3),0)+ROUND((('LNG Facilities'!F279*'LNG Facilities'!K279+'LNG Facilities'!G279*'LNG Facilities'!L279+'LNG Facilities'!H279*'LNG Facilities'!M279+'LNG Facilities'!R279*'LNG Facilities'!W279+'LNG Facilities'!S279*'LNG Facilities'!X279+'LNG Facilities'!T279*'LNG Facilities'!#REF!)/1000),0))</f>
        <v>#REF!</v>
      </c>
      <c r="O295" s="58" t="e">
        <f t="shared" si="77"/>
        <v>#REF!</v>
      </c>
      <c r="P295" s="58" t="e">
        <f t="shared" si="78"/>
        <v>#REF!</v>
      </c>
      <c r="Q295" s="58"/>
      <c r="R295" s="57" t="e">
        <f t="shared" si="74"/>
        <v>#REF!</v>
      </c>
      <c r="S295" s="58" t="e">
        <f t="shared" si="79"/>
        <v>#REF!</v>
      </c>
      <c r="T295" s="58" t="e">
        <f t="shared" si="80"/>
        <v>#REF!</v>
      </c>
      <c r="U295" s="59"/>
      <c r="V295" s="59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</row>
    <row r="296" spans="1:46" x14ac:dyDescent="0.25">
      <c r="A296" s="31">
        <f>'M&amp;R Stations'!A280</f>
        <v>39239</v>
      </c>
      <c r="B296" s="89"/>
      <c r="C296" s="227">
        <v>73151</v>
      </c>
      <c r="D296" s="225">
        <v>46453.1</v>
      </c>
      <c r="E296" s="185"/>
      <c r="F296" s="72" t="e">
        <f>IF('M&amp;R Stations'!#REF!="","",('M&amp;R Stations'!#REF!+'M&amp;R Stations'!#REF!)+('LNG Facilities'!F280+'LNG Facilities'!G280+'LNG Facilities'!H280+'LNG Facilities'!R280+'LNG Facilities'!S280+'LNG Facilities'!T280)-'LNG Facilities'!#REF!-('NG Utilization'!C296+'NG Utilization'!D296+'NG Utilization'!E296))</f>
        <v>#REF!</v>
      </c>
      <c r="G296" s="58" t="e">
        <f>IF('M&amp;R Stations'!#REF!="","",F296+G295)</f>
        <v>#REF!</v>
      </c>
      <c r="H296" s="58" t="e">
        <f>IF('M&amp;R Stations'!#REF!="","",F296+H295)</f>
        <v>#REF!</v>
      </c>
      <c r="I296" s="58"/>
      <c r="J296" s="57" t="e">
        <f t="shared" si="73"/>
        <v>#REF!</v>
      </c>
      <c r="K296" s="58" t="e">
        <f t="shared" si="75"/>
        <v>#REF!</v>
      </c>
      <c r="L296" s="58" t="e">
        <f t="shared" si="76"/>
        <v>#REF!</v>
      </c>
      <c r="M296" s="58"/>
      <c r="N296" s="73" t="e">
        <f>IF(F296="","",ROUND((('M&amp;R Stations'!#REF!+'M&amp;R Stations'!#REF!)-('NG Utilization'!C296+'NG Utilization'!D296+'NG Utilization'!E296)-'LNG Facilities'!#REF!)*ROUND(((('M&amp;R Stations'!#REF!*'M&amp;R Stations'!L280)+('M&amp;R Stations'!#REF!*'M&amp;R Stations'!F280))/1000)/('M&amp;R Stations'!#REF!+'M&amp;R Stations'!#REF!),3),0)+ROUND((('LNG Facilities'!F280*'LNG Facilities'!K280+'LNG Facilities'!G280*'LNG Facilities'!L280+'LNG Facilities'!H280*'LNG Facilities'!M280+'LNG Facilities'!R280*'LNG Facilities'!W280+'LNG Facilities'!S280*'LNG Facilities'!X280+'LNG Facilities'!T280*'LNG Facilities'!#REF!)/1000),0))</f>
        <v>#REF!</v>
      </c>
      <c r="O296" s="58" t="e">
        <f t="shared" si="77"/>
        <v>#REF!</v>
      </c>
      <c r="P296" s="58" t="e">
        <f t="shared" si="78"/>
        <v>#REF!</v>
      </c>
      <c r="Q296" s="58"/>
      <c r="R296" s="57" t="e">
        <f t="shared" si="74"/>
        <v>#REF!</v>
      </c>
      <c r="S296" s="58" t="e">
        <f t="shared" si="79"/>
        <v>#REF!</v>
      </c>
      <c r="T296" s="58" t="e">
        <f t="shared" si="80"/>
        <v>#REF!</v>
      </c>
      <c r="U296" s="59"/>
      <c r="V296" s="59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</row>
    <row r="297" spans="1:46" x14ac:dyDescent="0.25">
      <c r="A297" s="31">
        <f>'M&amp;R Stations'!A281</f>
        <v>39240</v>
      </c>
      <c r="B297" s="89"/>
      <c r="C297" s="227">
        <v>75200</v>
      </c>
      <c r="D297" s="225">
        <v>46453.1</v>
      </c>
      <c r="E297" s="185"/>
      <c r="F297" s="72" t="e">
        <f>IF('M&amp;R Stations'!#REF!="","",('M&amp;R Stations'!#REF!+'M&amp;R Stations'!#REF!)+('LNG Facilities'!F281+'LNG Facilities'!G281+'LNG Facilities'!H281+'LNG Facilities'!R281+'LNG Facilities'!S281+'LNG Facilities'!T281)-'LNG Facilities'!#REF!-('NG Utilization'!C297+'NG Utilization'!D297+'NG Utilization'!E297))</f>
        <v>#REF!</v>
      </c>
      <c r="G297" s="58" t="e">
        <f>IF('M&amp;R Stations'!#REF!="","",F297+G296)</f>
        <v>#REF!</v>
      </c>
      <c r="H297" s="58" t="e">
        <f>IF('M&amp;R Stations'!#REF!="","",F297+H296)</f>
        <v>#REF!</v>
      </c>
      <c r="I297" s="58"/>
      <c r="J297" s="57" t="e">
        <f t="shared" si="73"/>
        <v>#REF!</v>
      </c>
      <c r="K297" s="58" t="e">
        <f t="shared" si="75"/>
        <v>#REF!</v>
      </c>
      <c r="L297" s="58" t="e">
        <f t="shared" si="76"/>
        <v>#REF!</v>
      </c>
      <c r="M297" s="58"/>
      <c r="N297" s="73" t="e">
        <f>IF(F297="","",ROUND((('M&amp;R Stations'!#REF!+'M&amp;R Stations'!#REF!)-('NG Utilization'!C297+'NG Utilization'!D297+'NG Utilization'!E297)-'LNG Facilities'!#REF!)*ROUND(((('M&amp;R Stations'!#REF!*'M&amp;R Stations'!L281)+('M&amp;R Stations'!#REF!*'M&amp;R Stations'!F281))/1000)/('M&amp;R Stations'!#REF!+'M&amp;R Stations'!#REF!),3),0)+ROUND((('LNG Facilities'!F281*'LNG Facilities'!K281+'LNG Facilities'!G281*'LNG Facilities'!L281+'LNG Facilities'!H281*'LNG Facilities'!M281+'LNG Facilities'!R281*'LNG Facilities'!W281+'LNG Facilities'!S281*'LNG Facilities'!X281+'LNG Facilities'!T281*'LNG Facilities'!#REF!)/1000),0))</f>
        <v>#REF!</v>
      </c>
      <c r="O297" s="58" t="e">
        <f t="shared" si="77"/>
        <v>#REF!</v>
      </c>
      <c r="P297" s="58" t="e">
        <f t="shared" si="78"/>
        <v>#REF!</v>
      </c>
      <c r="Q297" s="58"/>
      <c r="R297" s="57" t="e">
        <f t="shared" si="74"/>
        <v>#REF!</v>
      </c>
      <c r="S297" s="58" t="e">
        <f t="shared" si="79"/>
        <v>#REF!</v>
      </c>
      <c r="T297" s="58" t="e">
        <f t="shared" si="80"/>
        <v>#REF!</v>
      </c>
      <c r="U297" s="59"/>
      <c r="V297" s="59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</row>
    <row r="298" spans="1:46" x14ac:dyDescent="0.25">
      <c r="A298" s="31">
        <f>'M&amp;R Stations'!A282</f>
        <v>39241</v>
      </c>
      <c r="B298" s="89"/>
      <c r="C298" s="227">
        <v>73263</v>
      </c>
      <c r="D298" s="225">
        <v>46453.1</v>
      </c>
      <c r="E298" s="185"/>
      <c r="F298" s="72" t="e">
        <f>IF('M&amp;R Stations'!#REF!="","",('M&amp;R Stations'!#REF!+'M&amp;R Stations'!#REF!)+('LNG Facilities'!F282+'LNG Facilities'!G282+'LNG Facilities'!H282+'LNG Facilities'!R282+'LNG Facilities'!S282+'LNG Facilities'!T282)-'LNG Facilities'!#REF!-('NG Utilization'!C298+'NG Utilization'!D298+'NG Utilization'!E298))</f>
        <v>#REF!</v>
      </c>
      <c r="G298" s="58" t="e">
        <f>IF('M&amp;R Stations'!#REF!="","",F298+G297)</f>
        <v>#REF!</v>
      </c>
      <c r="H298" s="58" t="e">
        <f>IF('M&amp;R Stations'!#REF!="","",F298+H297)</f>
        <v>#REF!</v>
      </c>
      <c r="I298" s="58"/>
      <c r="J298" s="57" t="e">
        <f t="shared" si="73"/>
        <v>#REF!</v>
      </c>
      <c r="K298" s="58" t="e">
        <f t="shared" si="75"/>
        <v>#REF!</v>
      </c>
      <c r="L298" s="58" t="e">
        <f t="shared" si="76"/>
        <v>#REF!</v>
      </c>
      <c r="M298" s="58"/>
      <c r="N298" s="73" t="e">
        <f>IF(F298="","",ROUND((('M&amp;R Stations'!#REF!+'M&amp;R Stations'!#REF!)-('NG Utilization'!C298+'NG Utilization'!D298+'NG Utilization'!E298)-'LNG Facilities'!#REF!)*ROUND(((('M&amp;R Stations'!#REF!*'M&amp;R Stations'!L282)+('M&amp;R Stations'!#REF!*'M&amp;R Stations'!F282))/1000)/('M&amp;R Stations'!#REF!+'M&amp;R Stations'!#REF!),3),0)+ROUND((('LNG Facilities'!F282*'LNG Facilities'!K282+'LNG Facilities'!G282*'LNG Facilities'!L282+'LNG Facilities'!H282*'LNG Facilities'!M282+'LNG Facilities'!R282*'LNG Facilities'!W282+'LNG Facilities'!S282*'LNG Facilities'!X282+'LNG Facilities'!T282*'LNG Facilities'!#REF!)/1000),0))</f>
        <v>#REF!</v>
      </c>
      <c r="O298" s="58" t="e">
        <f t="shared" si="77"/>
        <v>#REF!</v>
      </c>
      <c r="P298" s="58" t="e">
        <f t="shared" si="78"/>
        <v>#REF!</v>
      </c>
      <c r="Q298" s="58"/>
      <c r="R298" s="57" t="e">
        <f t="shared" si="74"/>
        <v>#REF!</v>
      </c>
      <c r="S298" s="58" t="e">
        <f t="shared" si="79"/>
        <v>#REF!</v>
      </c>
      <c r="T298" s="58" t="e">
        <f t="shared" si="80"/>
        <v>#REF!</v>
      </c>
      <c r="U298" s="59"/>
      <c r="V298" s="59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</row>
    <row r="299" spans="1:46" x14ac:dyDescent="0.25">
      <c r="A299" s="31">
        <f>'M&amp;R Stations'!A283</f>
        <v>39242</v>
      </c>
      <c r="B299" s="89"/>
      <c r="C299" s="227">
        <v>71340</v>
      </c>
      <c r="D299" s="225">
        <v>46453.1</v>
      </c>
      <c r="E299" s="185"/>
      <c r="F299" s="72" t="e">
        <f>IF('M&amp;R Stations'!#REF!="","",('M&amp;R Stations'!#REF!+'M&amp;R Stations'!#REF!)+('LNG Facilities'!F283+'LNG Facilities'!G283+'LNG Facilities'!H283+'LNG Facilities'!R283+'LNG Facilities'!S283+'LNG Facilities'!T283)-'LNG Facilities'!#REF!-('NG Utilization'!C299+'NG Utilization'!D299+'NG Utilization'!E299))</f>
        <v>#REF!</v>
      </c>
      <c r="G299" s="58" t="e">
        <f>IF('M&amp;R Stations'!#REF!="","",F299+G298)</f>
        <v>#REF!</v>
      </c>
      <c r="H299" s="58" t="e">
        <f>IF('M&amp;R Stations'!#REF!="","",F299+H298)</f>
        <v>#REF!</v>
      </c>
      <c r="I299" s="58"/>
      <c r="J299" s="57" t="e">
        <f t="shared" si="73"/>
        <v>#REF!</v>
      </c>
      <c r="K299" s="58" t="e">
        <f t="shared" si="75"/>
        <v>#REF!</v>
      </c>
      <c r="L299" s="58" t="e">
        <f t="shared" si="76"/>
        <v>#REF!</v>
      </c>
      <c r="M299" s="58"/>
      <c r="N299" s="73" t="e">
        <f>IF(F299="","",ROUND((('M&amp;R Stations'!#REF!+'M&amp;R Stations'!#REF!)-('NG Utilization'!C299+'NG Utilization'!D299+'NG Utilization'!E299)-'LNG Facilities'!#REF!)*ROUND(((('M&amp;R Stations'!#REF!*'M&amp;R Stations'!L283)+('M&amp;R Stations'!#REF!*'M&amp;R Stations'!F283))/1000)/('M&amp;R Stations'!#REF!+'M&amp;R Stations'!#REF!),3),0)+ROUND((('LNG Facilities'!F283*'LNG Facilities'!K283+'LNG Facilities'!G283*'LNG Facilities'!L283+'LNG Facilities'!H283*'LNG Facilities'!M283+'LNG Facilities'!R283*'LNG Facilities'!W283+'LNG Facilities'!S283*'LNG Facilities'!X283+'LNG Facilities'!T283*'LNG Facilities'!#REF!)/1000),0))</f>
        <v>#REF!</v>
      </c>
      <c r="O299" s="58" t="e">
        <f t="shared" si="77"/>
        <v>#REF!</v>
      </c>
      <c r="P299" s="58" t="e">
        <f t="shared" si="78"/>
        <v>#REF!</v>
      </c>
      <c r="Q299" s="58"/>
      <c r="R299" s="57" t="e">
        <f t="shared" si="74"/>
        <v>#REF!</v>
      </c>
      <c r="S299" s="58" t="e">
        <f t="shared" si="79"/>
        <v>#REF!</v>
      </c>
      <c r="T299" s="58" t="e">
        <f t="shared" si="80"/>
        <v>#REF!</v>
      </c>
      <c r="U299" s="59"/>
      <c r="V299" s="59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</row>
    <row r="300" spans="1:46" x14ac:dyDescent="0.25">
      <c r="A300" s="31">
        <f>'M&amp;R Stations'!A284</f>
        <v>39243</v>
      </c>
      <c r="B300" s="89"/>
      <c r="C300" s="227">
        <v>72173</v>
      </c>
      <c r="D300" s="225">
        <v>46453.1</v>
      </c>
      <c r="E300" s="185"/>
      <c r="F300" s="72" t="e">
        <f>IF('M&amp;R Stations'!#REF!="","",('M&amp;R Stations'!#REF!+'M&amp;R Stations'!#REF!)+('LNG Facilities'!F284+'LNG Facilities'!G284+'LNG Facilities'!H284+'LNG Facilities'!R284+'LNG Facilities'!S284+'LNG Facilities'!T284)-'LNG Facilities'!#REF!-('NG Utilization'!C300+'NG Utilization'!D300+'NG Utilization'!E300))</f>
        <v>#REF!</v>
      </c>
      <c r="G300" s="58" t="e">
        <f>IF('M&amp;R Stations'!#REF!="","",F300+G299)</f>
        <v>#REF!</v>
      </c>
      <c r="H300" s="58" t="e">
        <f>IF('M&amp;R Stations'!#REF!="","",F300+H299)</f>
        <v>#REF!</v>
      </c>
      <c r="I300" s="58"/>
      <c r="J300" s="57" t="e">
        <f t="shared" si="73"/>
        <v>#REF!</v>
      </c>
      <c r="K300" s="58" t="e">
        <f t="shared" si="75"/>
        <v>#REF!</v>
      </c>
      <c r="L300" s="58" t="e">
        <f t="shared" si="76"/>
        <v>#REF!</v>
      </c>
      <c r="M300" s="58"/>
      <c r="N300" s="73" t="e">
        <f>IF(F300="","",ROUND((('M&amp;R Stations'!#REF!+'M&amp;R Stations'!#REF!)-('NG Utilization'!C300+'NG Utilization'!D300+'NG Utilization'!E300)-'LNG Facilities'!#REF!)*ROUND(((('M&amp;R Stations'!#REF!*'M&amp;R Stations'!L284)+('M&amp;R Stations'!#REF!*'M&amp;R Stations'!F284))/1000)/('M&amp;R Stations'!#REF!+'M&amp;R Stations'!#REF!),3),0)+ROUND((('LNG Facilities'!F284*'LNG Facilities'!K284+'LNG Facilities'!G284*'LNG Facilities'!L284+'LNG Facilities'!H284*'LNG Facilities'!M284+'LNG Facilities'!R284*'LNG Facilities'!W284+'LNG Facilities'!S284*'LNG Facilities'!X284+'LNG Facilities'!T284*'LNG Facilities'!#REF!)/1000),0))</f>
        <v>#REF!</v>
      </c>
      <c r="O300" s="58" t="e">
        <f t="shared" si="77"/>
        <v>#REF!</v>
      </c>
      <c r="P300" s="58" t="e">
        <f t="shared" si="78"/>
        <v>#REF!</v>
      </c>
      <c r="Q300" s="58"/>
      <c r="R300" s="57" t="e">
        <f t="shared" si="74"/>
        <v>#REF!</v>
      </c>
      <c r="S300" s="58" t="e">
        <f t="shared" si="79"/>
        <v>#REF!</v>
      </c>
      <c r="T300" s="58" t="e">
        <f t="shared" si="80"/>
        <v>#REF!</v>
      </c>
      <c r="U300" s="59"/>
      <c r="V300" s="59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</row>
    <row r="301" spans="1:46" x14ac:dyDescent="0.25">
      <c r="A301" s="31">
        <f>'M&amp;R Stations'!A285</f>
        <v>39244</v>
      </c>
      <c r="B301" s="89"/>
      <c r="C301" s="227">
        <v>75208</v>
      </c>
      <c r="D301" s="225">
        <v>46453.1</v>
      </c>
      <c r="E301" s="185"/>
      <c r="F301" s="72" t="e">
        <f>IF('M&amp;R Stations'!#REF!="","",('M&amp;R Stations'!#REF!+'M&amp;R Stations'!#REF!)+('LNG Facilities'!F285+'LNG Facilities'!G285+'LNG Facilities'!H285+'LNG Facilities'!R285+'LNG Facilities'!S285+'LNG Facilities'!T285)-'LNG Facilities'!#REF!-('NG Utilization'!C301+'NG Utilization'!D301+'NG Utilization'!E301))</f>
        <v>#REF!</v>
      </c>
      <c r="G301" s="58" t="e">
        <f>IF('M&amp;R Stations'!#REF!="","",F301+G300)</f>
        <v>#REF!</v>
      </c>
      <c r="H301" s="58" t="e">
        <f>IF('M&amp;R Stations'!#REF!="","",F301+H300)</f>
        <v>#REF!</v>
      </c>
      <c r="I301" s="58"/>
      <c r="J301" s="57" t="e">
        <f t="shared" si="73"/>
        <v>#REF!</v>
      </c>
      <c r="K301" s="58" t="e">
        <f t="shared" si="75"/>
        <v>#REF!</v>
      </c>
      <c r="L301" s="58" t="e">
        <f t="shared" si="76"/>
        <v>#REF!</v>
      </c>
      <c r="M301" s="58"/>
      <c r="N301" s="73" t="e">
        <f>IF(F301="","",ROUND((('M&amp;R Stations'!#REF!+'M&amp;R Stations'!#REF!)-('NG Utilization'!C301+'NG Utilization'!D301+'NG Utilization'!E301)-'LNG Facilities'!#REF!)*ROUND(((('M&amp;R Stations'!#REF!*'M&amp;R Stations'!L285)+('M&amp;R Stations'!#REF!*'M&amp;R Stations'!F285))/1000)/('M&amp;R Stations'!#REF!+'M&amp;R Stations'!#REF!),3),0)+ROUND((('LNG Facilities'!F285*'LNG Facilities'!K285+'LNG Facilities'!G285*'LNG Facilities'!L285+'LNG Facilities'!H285*'LNG Facilities'!M285+'LNG Facilities'!R285*'LNG Facilities'!W285+'LNG Facilities'!S285*'LNG Facilities'!X285+'LNG Facilities'!T285*'LNG Facilities'!#REF!)/1000),0))</f>
        <v>#REF!</v>
      </c>
      <c r="O301" s="58" t="e">
        <f t="shared" si="77"/>
        <v>#REF!</v>
      </c>
      <c r="P301" s="58" t="e">
        <f t="shared" si="78"/>
        <v>#REF!</v>
      </c>
      <c r="Q301" s="58"/>
      <c r="R301" s="57" t="e">
        <f t="shared" si="74"/>
        <v>#REF!</v>
      </c>
      <c r="S301" s="58" t="e">
        <f t="shared" si="79"/>
        <v>#REF!</v>
      </c>
      <c r="T301" s="58" t="e">
        <f t="shared" si="80"/>
        <v>#REF!</v>
      </c>
      <c r="U301" s="59"/>
      <c r="V301" s="59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</row>
    <row r="302" spans="1:46" x14ac:dyDescent="0.25">
      <c r="A302" s="31">
        <f>'M&amp;R Stations'!A286</f>
        <v>39245</v>
      </c>
      <c r="B302" s="89"/>
      <c r="C302" s="227">
        <v>73011</v>
      </c>
      <c r="D302" s="225">
        <v>46453.1</v>
      </c>
      <c r="E302" s="185"/>
      <c r="F302" s="72" t="e">
        <f>IF('M&amp;R Stations'!#REF!="","",('M&amp;R Stations'!#REF!+'M&amp;R Stations'!#REF!)+('LNG Facilities'!F286+'LNG Facilities'!G286+'LNG Facilities'!H286+'LNG Facilities'!R286+'LNG Facilities'!S286+'LNG Facilities'!T286)-'LNG Facilities'!#REF!-('NG Utilization'!C302+'NG Utilization'!D302+'NG Utilization'!E302))</f>
        <v>#REF!</v>
      </c>
      <c r="G302" s="58" t="e">
        <f>IF('M&amp;R Stations'!#REF!="","",F302+G301)</f>
        <v>#REF!</v>
      </c>
      <c r="H302" s="58" t="e">
        <f>IF('M&amp;R Stations'!#REF!="","",F302+H301)</f>
        <v>#REF!</v>
      </c>
      <c r="I302" s="58"/>
      <c r="J302" s="57" t="e">
        <f t="shared" si="73"/>
        <v>#REF!</v>
      </c>
      <c r="K302" s="58" t="e">
        <f t="shared" si="75"/>
        <v>#REF!</v>
      </c>
      <c r="L302" s="58" t="e">
        <f t="shared" si="76"/>
        <v>#REF!</v>
      </c>
      <c r="M302" s="58"/>
      <c r="N302" s="73" t="e">
        <f>IF(F302="","",ROUND((('M&amp;R Stations'!#REF!+'M&amp;R Stations'!#REF!)-('NG Utilization'!C302+'NG Utilization'!D302+'NG Utilization'!E302)-'LNG Facilities'!#REF!)*ROUND(((('M&amp;R Stations'!#REF!*'M&amp;R Stations'!L286)+('M&amp;R Stations'!#REF!*'M&amp;R Stations'!F286))/1000)/('M&amp;R Stations'!#REF!+'M&amp;R Stations'!#REF!),3),0)+ROUND((('LNG Facilities'!F286*'LNG Facilities'!K286+'LNG Facilities'!G286*'LNG Facilities'!L286+'LNG Facilities'!H286*'LNG Facilities'!M286+'LNG Facilities'!R286*'LNG Facilities'!W286+'LNG Facilities'!S286*'LNG Facilities'!X286+'LNG Facilities'!T286*'LNG Facilities'!#REF!)/1000),0))</f>
        <v>#REF!</v>
      </c>
      <c r="O302" s="58" t="e">
        <f t="shared" si="77"/>
        <v>#REF!</v>
      </c>
      <c r="P302" s="58" t="e">
        <f t="shared" si="78"/>
        <v>#REF!</v>
      </c>
      <c r="Q302" s="58"/>
      <c r="R302" s="57" t="e">
        <f t="shared" si="74"/>
        <v>#REF!</v>
      </c>
      <c r="S302" s="58" t="e">
        <f t="shared" si="79"/>
        <v>#REF!</v>
      </c>
      <c r="T302" s="58" t="e">
        <f t="shared" si="80"/>
        <v>#REF!</v>
      </c>
      <c r="U302" s="59"/>
      <c r="V302" s="59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</row>
    <row r="303" spans="1:46" x14ac:dyDescent="0.25">
      <c r="A303" s="31">
        <f>'M&amp;R Stations'!A287</f>
        <v>39246</v>
      </c>
      <c r="B303" s="89"/>
      <c r="C303" s="227">
        <v>72961</v>
      </c>
      <c r="D303" s="225">
        <v>46453.1</v>
      </c>
      <c r="E303" s="185"/>
      <c r="F303" s="72" t="e">
        <f>IF('M&amp;R Stations'!#REF!="","",('M&amp;R Stations'!#REF!+'M&amp;R Stations'!#REF!)+('LNG Facilities'!F287+'LNG Facilities'!G287+'LNG Facilities'!H287+'LNG Facilities'!R287+'LNG Facilities'!S287+'LNG Facilities'!T287)-'LNG Facilities'!#REF!-('NG Utilization'!C303+'NG Utilization'!D303+'NG Utilization'!E303))</f>
        <v>#REF!</v>
      </c>
      <c r="G303" s="58" t="e">
        <f>IF('M&amp;R Stations'!#REF!="","",F303+G302)</f>
        <v>#REF!</v>
      </c>
      <c r="H303" s="58" t="e">
        <f>IF('M&amp;R Stations'!#REF!="","",F303+H302)</f>
        <v>#REF!</v>
      </c>
      <c r="I303" s="58"/>
      <c r="J303" s="57" t="e">
        <f t="shared" si="73"/>
        <v>#REF!</v>
      </c>
      <c r="K303" s="58" t="e">
        <f t="shared" si="75"/>
        <v>#REF!</v>
      </c>
      <c r="L303" s="58" t="e">
        <f t="shared" si="76"/>
        <v>#REF!</v>
      </c>
      <c r="M303" s="58"/>
      <c r="N303" s="73" t="e">
        <f>IF(F303="","",ROUND((('M&amp;R Stations'!#REF!+'M&amp;R Stations'!#REF!)-('NG Utilization'!C303+'NG Utilization'!D303+'NG Utilization'!E303)-'LNG Facilities'!#REF!)*ROUND(((('M&amp;R Stations'!#REF!*'M&amp;R Stations'!L287)+('M&amp;R Stations'!#REF!*'M&amp;R Stations'!F287))/1000)/('M&amp;R Stations'!#REF!+'M&amp;R Stations'!#REF!),3),0)+ROUND((('LNG Facilities'!F287*'LNG Facilities'!K287+'LNG Facilities'!G287*'LNG Facilities'!L287+'LNG Facilities'!H287*'LNG Facilities'!M287+'LNG Facilities'!R287*'LNG Facilities'!W287+'LNG Facilities'!S287*'LNG Facilities'!X287+'LNG Facilities'!T287*'LNG Facilities'!#REF!)/1000),0))</f>
        <v>#REF!</v>
      </c>
      <c r="O303" s="58" t="e">
        <f t="shared" si="77"/>
        <v>#REF!</v>
      </c>
      <c r="P303" s="58" t="e">
        <f t="shared" si="78"/>
        <v>#REF!</v>
      </c>
      <c r="Q303" s="58"/>
      <c r="R303" s="57" t="e">
        <f t="shared" si="74"/>
        <v>#REF!</v>
      </c>
      <c r="S303" s="58" t="e">
        <f t="shared" si="79"/>
        <v>#REF!</v>
      </c>
      <c r="T303" s="58" t="e">
        <f t="shared" si="80"/>
        <v>#REF!</v>
      </c>
      <c r="U303" s="59"/>
      <c r="V303" s="59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</row>
    <row r="304" spans="1:46" x14ac:dyDescent="0.25">
      <c r="A304" s="31">
        <f>'M&amp;R Stations'!A288</f>
        <v>39247</v>
      </c>
      <c r="B304" s="89"/>
      <c r="C304" s="227">
        <v>72491</v>
      </c>
      <c r="D304" s="225">
        <v>46453.1</v>
      </c>
      <c r="E304" s="185"/>
      <c r="F304" s="72" t="e">
        <f>IF('M&amp;R Stations'!#REF!="","",('M&amp;R Stations'!#REF!+'M&amp;R Stations'!#REF!)+('LNG Facilities'!F288+'LNG Facilities'!G288+'LNG Facilities'!H288+'LNG Facilities'!R288+'LNG Facilities'!S288+'LNG Facilities'!T288)-'LNG Facilities'!#REF!-('NG Utilization'!C304+'NG Utilization'!D304+'NG Utilization'!E304))</f>
        <v>#REF!</v>
      </c>
      <c r="G304" s="58" t="e">
        <f>IF('M&amp;R Stations'!#REF!="","",F304+G303)</f>
        <v>#REF!</v>
      </c>
      <c r="H304" s="58" t="e">
        <f>IF('M&amp;R Stations'!#REF!="","",F304+H303)</f>
        <v>#REF!</v>
      </c>
      <c r="I304" s="58"/>
      <c r="J304" s="57" t="e">
        <f t="shared" si="73"/>
        <v>#REF!</v>
      </c>
      <c r="K304" s="58" t="e">
        <f t="shared" si="75"/>
        <v>#REF!</v>
      </c>
      <c r="L304" s="58" t="e">
        <f t="shared" si="76"/>
        <v>#REF!</v>
      </c>
      <c r="M304" s="58"/>
      <c r="N304" s="73" t="e">
        <f>IF(F304="","",ROUND((('M&amp;R Stations'!#REF!+'M&amp;R Stations'!#REF!)-('NG Utilization'!C304+'NG Utilization'!D304+'NG Utilization'!E304)-'LNG Facilities'!#REF!)*ROUND(((('M&amp;R Stations'!#REF!*'M&amp;R Stations'!L288)+('M&amp;R Stations'!#REF!*'M&amp;R Stations'!F288))/1000)/('M&amp;R Stations'!#REF!+'M&amp;R Stations'!#REF!),3),0)+ROUND((('LNG Facilities'!F288*'LNG Facilities'!K288+'LNG Facilities'!G288*'LNG Facilities'!L288+'LNG Facilities'!H288*'LNG Facilities'!M288+'LNG Facilities'!R288*'LNG Facilities'!W288+'LNG Facilities'!S288*'LNG Facilities'!X288+'LNG Facilities'!T288*'LNG Facilities'!#REF!)/1000),0))</f>
        <v>#REF!</v>
      </c>
      <c r="O304" s="58" t="e">
        <f t="shared" si="77"/>
        <v>#REF!</v>
      </c>
      <c r="P304" s="58" t="e">
        <f t="shared" si="78"/>
        <v>#REF!</v>
      </c>
      <c r="Q304" s="58"/>
      <c r="R304" s="57" t="e">
        <f t="shared" si="74"/>
        <v>#REF!</v>
      </c>
      <c r="S304" s="58" t="e">
        <f t="shared" si="79"/>
        <v>#REF!</v>
      </c>
      <c r="T304" s="58" t="e">
        <f t="shared" si="80"/>
        <v>#REF!</v>
      </c>
      <c r="U304" s="59"/>
      <c r="V304" s="59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</row>
    <row r="305" spans="1:46" x14ac:dyDescent="0.25">
      <c r="A305" s="31">
        <f>'M&amp;R Stations'!A289</f>
        <v>39248</v>
      </c>
      <c r="B305" s="89"/>
      <c r="C305" s="227">
        <v>69419</v>
      </c>
      <c r="D305" s="225">
        <v>46453.1</v>
      </c>
      <c r="E305" s="185"/>
      <c r="F305" s="72" t="e">
        <f>IF('M&amp;R Stations'!#REF!="","",('M&amp;R Stations'!#REF!+'M&amp;R Stations'!#REF!)+('LNG Facilities'!F289+'LNG Facilities'!G289+'LNG Facilities'!H289+'LNG Facilities'!R289+'LNG Facilities'!S289+'LNG Facilities'!T289)-'LNG Facilities'!#REF!-('NG Utilization'!C305+'NG Utilization'!D305+'NG Utilization'!E305))</f>
        <v>#REF!</v>
      </c>
      <c r="G305" s="58" t="e">
        <f>IF('M&amp;R Stations'!#REF!="","",F305+G304)</f>
        <v>#REF!</v>
      </c>
      <c r="H305" s="58" t="e">
        <f>IF('M&amp;R Stations'!#REF!="","",F305+H304)</f>
        <v>#REF!</v>
      </c>
      <c r="I305" s="58"/>
      <c r="J305" s="57" t="e">
        <f t="shared" si="73"/>
        <v>#REF!</v>
      </c>
      <c r="K305" s="58" t="e">
        <f t="shared" si="75"/>
        <v>#REF!</v>
      </c>
      <c r="L305" s="58" t="e">
        <f t="shared" si="76"/>
        <v>#REF!</v>
      </c>
      <c r="M305" s="58"/>
      <c r="N305" s="73" t="e">
        <f>IF(F305="","",ROUND((('M&amp;R Stations'!#REF!+'M&amp;R Stations'!#REF!)-('NG Utilization'!C305+'NG Utilization'!D305+'NG Utilization'!E305)-'LNG Facilities'!#REF!)*ROUND(((('M&amp;R Stations'!#REF!*'M&amp;R Stations'!L289)+('M&amp;R Stations'!#REF!*'M&amp;R Stations'!F289))/1000)/('M&amp;R Stations'!#REF!+'M&amp;R Stations'!#REF!),3),0)+ROUND((('LNG Facilities'!F289*'LNG Facilities'!K289+'LNG Facilities'!G289*'LNG Facilities'!L289+'LNG Facilities'!H289*'LNG Facilities'!M289+'LNG Facilities'!R289*'LNG Facilities'!W289+'LNG Facilities'!S289*'LNG Facilities'!X289+'LNG Facilities'!T289*'LNG Facilities'!#REF!)/1000),0))</f>
        <v>#REF!</v>
      </c>
      <c r="O305" s="58" t="e">
        <f t="shared" si="77"/>
        <v>#REF!</v>
      </c>
      <c r="P305" s="58" t="e">
        <f t="shared" si="78"/>
        <v>#REF!</v>
      </c>
      <c r="Q305" s="58"/>
      <c r="R305" s="57" t="e">
        <f t="shared" si="74"/>
        <v>#REF!</v>
      </c>
      <c r="S305" s="58" t="e">
        <f t="shared" si="79"/>
        <v>#REF!</v>
      </c>
      <c r="T305" s="58" t="e">
        <f t="shared" si="80"/>
        <v>#REF!</v>
      </c>
      <c r="U305" s="59"/>
      <c r="V305" s="59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</row>
    <row r="306" spans="1:46" x14ac:dyDescent="0.25">
      <c r="A306" s="31">
        <f>'M&amp;R Stations'!A290</f>
        <v>39249</v>
      </c>
      <c r="B306" s="89"/>
      <c r="C306" s="227">
        <v>66335</v>
      </c>
      <c r="D306" s="225">
        <v>46453.1</v>
      </c>
      <c r="E306" s="185"/>
      <c r="F306" s="72" t="e">
        <f>IF('M&amp;R Stations'!#REF!="","",('M&amp;R Stations'!#REF!+'M&amp;R Stations'!#REF!)+('LNG Facilities'!F290+'LNG Facilities'!G290+'LNG Facilities'!H290+'LNG Facilities'!R290+'LNG Facilities'!S290+'LNG Facilities'!T290)-'LNG Facilities'!#REF!-('NG Utilization'!C306+'NG Utilization'!D306+'NG Utilization'!E306))</f>
        <v>#REF!</v>
      </c>
      <c r="G306" s="58" t="e">
        <f>IF('M&amp;R Stations'!#REF!="","",F306+G305)</f>
        <v>#REF!</v>
      </c>
      <c r="H306" s="58" t="e">
        <f>IF('M&amp;R Stations'!#REF!="","",F306+H305)</f>
        <v>#REF!</v>
      </c>
      <c r="I306" s="58"/>
      <c r="J306" s="57" t="e">
        <f t="shared" si="73"/>
        <v>#REF!</v>
      </c>
      <c r="K306" s="58" t="e">
        <f t="shared" si="75"/>
        <v>#REF!</v>
      </c>
      <c r="L306" s="58" t="e">
        <f t="shared" si="76"/>
        <v>#REF!</v>
      </c>
      <c r="M306" s="58"/>
      <c r="N306" s="73" t="e">
        <f>IF(F306="","",ROUND((('M&amp;R Stations'!#REF!+'M&amp;R Stations'!#REF!)-('NG Utilization'!C306+'NG Utilization'!D306+'NG Utilization'!E306)-'LNG Facilities'!#REF!)*ROUND(((('M&amp;R Stations'!#REF!*'M&amp;R Stations'!L290)+('M&amp;R Stations'!#REF!*'M&amp;R Stations'!F290))/1000)/('M&amp;R Stations'!#REF!+'M&amp;R Stations'!#REF!),3),0)+ROUND((('LNG Facilities'!F290*'LNG Facilities'!K290+'LNG Facilities'!G290*'LNG Facilities'!L290+'LNG Facilities'!H290*'LNG Facilities'!M290+'LNG Facilities'!R290*'LNG Facilities'!W290+'LNG Facilities'!S290*'LNG Facilities'!X290+'LNG Facilities'!T290*'LNG Facilities'!#REF!)/1000),0))</f>
        <v>#REF!</v>
      </c>
      <c r="O306" s="58" t="e">
        <f t="shared" si="77"/>
        <v>#REF!</v>
      </c>
      <c r="P306" s="58" t="e">
        <f t="shared" si="78"/>
        <v>#REF!</v>
      </c>
      <c r="Q306" s="58"/>
      <c r="R306" s="57" t="e">
        <f t="shared" si="74"/>
        <v>#REF!</v>
      </c>
      <c r="S306" s="58" t="e">
        <f t="shared" si="79"/>
        <v>#REF!</v>
      </c>
      <c r="T306" s="58" t="e">
        <f t="shared" si="80"/>
        <v>#REF!</v>
      </c>
      <c r="U306" s="59"/>
      <c r="V306" s="59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</row>
    <row r="307" spans="1:46" x14ac:dyDescent="0.25">
      <c r="A307" s="31">
        <f>'M&amp;R Stations'!A291</f>
        <v>39250</v>
      </c>
      <c r="B307" s="89"/>
      <c r="C307" s="227">
        <v>64970</v>
      </c>
      <c r="D307" s="225">
        <v>46453.1</v>
      </c>
      <c r="E307" s="185"/>
      <c r="F307" s="72" t="e">
        <f>IF('M&amp;R Stations'!#REF!="","",('M&amp;R Stations'!#REF!+'M&amp;R Stations'!#REF!)+('LNG Facilities'!F291+'LNG Facilities'!G291+'LNG Facilities'!H291+'LNG Facilities'!R291+'LNG Facilities'!S291+'LNG Facilities'!T291)-'LNG Facilities'!#REF!-('NG Utilization'!C307+'NG Utilization'!D307+'NG Utilization'!E307))</f>
        <v>#REF!</v>
      </c>
      <c r="G307" s="58" t="e">
        <f>IF('M&amp;R Stations'!#REF!="","",F307+G306)</f>
        <v>#REF!</v>
      </c>
      <c r="H307" s="58" t="e">
        <f>IF('M&amp;R Stations'!#REF!="","",F307+H306)</f>
        <v>#REF!</v>
      </c>
      <c r="I307" s="58"/>
      <c r="J307" s="57" t="e">
        <f t="shared" si="73"/>
        <v>#REF!</v>
      </c>
      <c r="K307" s="58" t="e">
        <f t="shared" si="75"/>
        <v>#REF!</v>
      </c>
      <c r="L307" s="58" t="e">
        <f t="shared" si="76"/>
        <v>#REF!</v>
      </c>
      <c r="M307" s="58"/>
      <c r="N307" s="73" t="e">
        <f>IF(F307="","",ROUND((('M&amp;R Stations'!#REF!+'M&amp;R Stations'!#REF!)-('NG Utilization'!C307+'NG Utilization'!D307+'NG Utilization'!E307)-'LNG Facilities'!#REF!)*ROUND(((('M&amp;R Stations'!#REF!*'M&amp;R Stations'!L291)+('M&amp;R Stations'!#REF!*'M&amp;R Stations'!F291))/1000)/('M&amp;R Stations'!#REF!+'M&amp;R Stations'!#REF!),3),0)+ROUND((('LNG Facilities'!F291*'LNG Facilities'!K291+'LNG Facilities'!G291*'LNG Facilities'!L291+'LNG Facilities'!H291*'LNG Facilities'!M291+'LNG Facilities'!R291*'LNG Facilities'!W291+'LNG Facilities'!S291*'LNG Facilities'!X291+'LNG Facilities'!T291*'LNG Facilities'!#REF!)/1000),0))</f>
        <v>#REF!</v>
      </c>
      <c r="O307" s="58" t="e">
        <f t="shared" si="77"/>
        <v>#REF!</v>
      </c>
      <c r="P307" s="58" t="e">
        <f t="shared" si="78"/>
        <v>#REF!</v>
      </c>
      <c r="Q307" s="58"/>
      <c r="R307" s="57" t="e">
        <f t="shared" si="74"/>
        <v>#REF!</v>
      </c>
      <c r="S307" s="58" t="e">
        <f t="shared" si="79"/>
        <v>#REF!</v>
      </c>
      <c r="T307" s="58" t="e">
        <f t="shared" si="80"/>
        <v>#REF!</v>
      </c>
      <c r="U307" s="59"/>
      <c r="V307" s="59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</row>
    <row r="308" spans="1:46" x14ac:dyDescent="0.25">
      <c r="A308" s="31">
        <f>'M&amp;R Stations'!A292</f>
        <v>39251</v>
      </c>
      <c r="B308" s="89"/>
      <c r="C308" s="227">
        <v>68004</v>
      </c>
      <c r="D308" s="225">
        <v>46453.1</v>
      </c>
      <c r="E308" s="185"/>
      <c r="F308" s="72" t="e">
        <f>IF('M&amp;R Stations'!#REF!="","",('M&amp;R Stations'!#REF!+'M&amp;R Stations'!#REF!)+('LNG Facilities'!F292+'LNG Facilities'!G292+'LNG Facilities'!H292+'LNG Facilities'!R292+'LNG Facilities'!S292+'LNG Facilities'!T292)-'LNG Facilities'!#REF!-('NG Utilization'!C308+'NG Utilization'!D308+'NG Utilization'!E308))</f>
        <v>#REF!</v>
      </c>
      <c r="G308" s="58" t="e">
        <f>IF('M&amp;R Stations'!#REF!="","",F308+G307)</f>
        <v>#REF!</v>
      </c>
      <c r="H308" s="58" t="e">
        <f>IF('M&amp;R Stations'!#REF!="","",F308+H307)</f>
        <v>#REF!</v>
      </c>
      <c r="I308" s="58"/>
      <c r="J308" s="57" t="e">
        <f t="shared" si="73"/>
        <v>#REF!</v>
      </c>
      <c r="K308" s="58" t="e">
        <f t="shared" si="75"/>
        <v>#REF!</v>
      </c>
      <c r="L308" s="58" t="e">
        <f t="shared" si="76"/>
        <v>#REF!</v>
      </c>
      <c r="M308" s="58"/>
      <c r="N308" s="73" t="e">
        <f>IF(F308="","",ROUND((('M&amp;R Stations'!#REF!+'M&amp;R Stations'!#REF!)-('NG Utilization'!C308+'NG Utilization'!D308+'NG Utilization'!E308)-'LNG Facilities'!#REF!)*ROUND(((('M&amp;R Stations'!#REF!*'M&amp;R Stations'!L292)+('M&amp;R Stations'!#REF!*'M&amp;R Stations'!F292))/1000)/('M&amp;R Stations'!#REF!+'M&amp;R Stations'!#REF!),3),0)+ROUND((('LNG Facilities'!F292*'LNG Facilities'!K292+'LNG Facilities'!G292*'LNG Facilities'!L292+'LNG Facilities'!H292*'LNG Facilities'!M292+'LNG Facilities'!R292*'LNG Facilities'!W292+'LNG Facilities'!S292*'LNG Facilities'!X292+'LNG Facilities'!T292*'LNG Facilities'!#REF!)/1000),0))</f>
        <v>#REF!</v>
      </c>
      <c r="O308" s="58" t="e">
        <f t="shared" si="77"/>
        <v>#REF!</v>
      </c>
      <c r="P308" s="58" t="e">
        <f t="shared" si="78"/>
        <v>#REF!</v>
      </c>
      <c r="Q308" s="58"/>
      <c r="R308" s="57" t="e">
        <f t="shared" si="74"/>
        <v>#REF!</v>
      </c>
      <c r="S308" s="58" t="e">
        <f t="shared" si="79"/>
        <v>#REF!</v>
      </c>
      <c r="T308" s="58" t="e">
        <f t="shared" si="80"/>
        <v>#REF!</v>
      </c>
      <c r="U308" s="59"/>
      <c r="V308" s="59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</row>
    <row r="309" spans="1:46" x14ac:dyDescent="0.25">
      <c r="A309" s="31">
        <f>'M&amp;R Stations'!A293</f>
        <v>39252</v>
      </c>
      <c r="B309" s="89"/>
      <c r="C309" s="227">
        <v>67432</v>
      </c>
      <c r="D309" s="225">
        <v>46453.1</v>
      </c>
      <c r="E309" s="185"/>
      <c r="F309" s="72" t="e">
        <f>IF('M&amp;R Stations'!#REF!="","",('M&amp;R Stations'!#REF!+'M&amp;R Stations'!#REF!)+('LNG Facilities'!F293+'LNG Facilities'!G293+'LNG Facilities'!H293+'LNG Facilities'!R293+'LNG Facilities'!S293+'LNG Facilities'!T293)-'LNG Facilities'!#REF!-('NG Utilization'!C309+'NG Utilization'!D309+'NG Utilization'!E309))</f>
        <v>#REF!</v>
      </c>
      <c r="G309" s="58" t="e">
        <f>IF('M&amp;R Stations'!#REF!="","",F309+G308)</f>
        <v>#REF!</v>
      </c>
      <c r="H309" s="58" t="e">
        <f>IF('M&amp;R Stations'!#REF!="","",F309+H308)</f>
        <v>#REF!</v>
      </c>
      <c r="I309" s="58"/>
      <c r="J309" s="57" t="e">
        <f t="shared" si="73"/>
        <v>#REF!</v>
      </c>
      <c r="K309" s="58" t="e">
        <f t="shared" si="75"/>
        <v>#REF!</v>
      </c>
      <c r="L309" s="58" t="e">
        <f t="shared" si="76"/>
        <v>#REF!</v>
      </c>
      <c r="M309" s="58"/>
      <c r="N309" s="73" t="e">
        <f>IF(F309="","",ROUND((('M&amp;R Stations'!#REF!+'M&amp;R Stations'!#REF!)-('NG Utilization'!C309+'NG Utilization'!D309+'NG Utilization'!E309)-'LNG Facilities'!#REF!)*ROUND(((('M&amp;R Stations'!#REF!*'M&amp;R Stations'!L293)+('M&amp;R Stations'!#REF!*'M&amp;R Stations'!F293))/1000)/('M&amp;R Stations'!#REF!+'M&amp;R Stations'!#REF!),3),0)+ROUND((('LNG Facilities'!F293*'LNG Facilities'!K293+'LNG Facilities'!G293*'LNG Facilities'!L293+'LNG Facilities'!H293*'LNG Facilities'!M293+'LNG Facilities'!R293*'LNG Facilities'!W293+'LNG Facilities'!S293*'LNG Facilities'!X293+'LNG Facilities'!T293*'LNG Facilities'!#REF!)/1000),0))</f>
        <v>#REF!</v>
      </c>
      <c r="O309" s="58" t="e">
        <f t="shared" si="77"/>
        <v>#REF!</v>
      </c>
      <c r="P309" s="58" t="e">
        <f t="shared" si="78"/>
        <v>#REF!</v>
      </c>
      <c r="Q309" s="58"/>
      <c r="R309" s="57" t="e">
        <f t="shared" si="74"/>
        <v>#REF!</v>
      </c>
      <c r="S309" s="58" t="e">
        <f t="shared" si="79"/>
        <v>#REF!</v>
      </c>
      <c r="T309" s="58" t="e">
        <f t="shared" si="80"/>
        <v>#REF!</v>
      </c>
      <c r="U309" s="59"/>
      <c r="V309" s="59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</row>
    <row r="310" spans="1:46" x14ac:dyDescent="0.25">
      <c r="A310" s="31">
        <f>'M&amp;R Stations'!A294</f>
        <v>39253</v>
      </c>
      <c r="B310" s="89"/>
      <c r="C310" s="227">
        <v>66206</v>
      </c>
      <c r="D310" s="225">
        <v>46453.1</v>
      </c>
      <c r="E310" s="185"/>
      <c r="F310" s="72" t="e">
        <f>IF('M&amp;R Stations'!#REF!="","",('M&amp;R Stations'!#REF!+'M&amp;R Stations'!#REF!)+('LNG Facilities'!F294+'LNG Facilities'!G294+'LNG Facilities'!H294+'LNG Facilities'!R294+'LNG Facilities'!S294+'LNG Facilities'!T294)-'LNG Facilities'!#REF!-('NG Utilization'!C310+'NG Utilization'!D310+'NG Utilization'!E310))</f>
        <v>#REF!</v>
      </c>
      <c r="G310" s="58" t="e">
        <f>IF('M&amp;R Stations'!#REF!="","",F310+G309)</f>
        <v>#REF!</v>
      </c>
      <c r="H310" s="58" t="e">
        <f>IF('M&amp;R Stations'!#REF!="","",F310+H309)</f>
        <v>#REF!</v>
      </c>
      <c r="I310" s="58"/>
      <c r="J310" s="57" t="e">
        <f t="shared" si="73"/>
        <v>#REF!</v>
      </c>
      <c r="K310" s="58" t="e">
        <f t="shared" si="75"/>
        <v>#REF!</v>
      </c>
      <c r="L310" s="58" t="e">
        <f t="shared" si="76"/>
        <v>#REF!</v>
      </c>
      <c r="M310" s="58"/>
      <c r="N310" s="73" t="e">
        <f>IF(F310="","",ROUND((('M&amp;R Stations'!#REF!+'M&amp;R Stations'!#REF!)-('NG Utilization'!C310+'NG Utilization'!D310+'NG Utilization'!E310)-'LNG Facilities'!#REF!)*ROUND(((('M&amp;R Stations'!#REF!*'M&amp;R Stations'!L294)+('M&amp;R Stations'!#REF!*'M&amp;R Stations'!F294))/1000)/('M&amp;R Stations'!#REF!+'M&amp;R Stations'!#REF!),3),0)+ROUND((('LNG Facilities'!F294*'LNG Facilities'!K294+'LNG Facilities'!G294*'LNG Facilities'!L294+'LNG Facilities'!H294*'LNG Facilities'!M294+'LNG Facilities'!R294*'LNG Facilities'!W294+'LNG Facilities'!S294*'LNG Facilities'!X294+'LNG Facilities'!T294*'LNG Facilities'!#REF!)/1000),0))</f>
        <v>#REF!</v>
      </c>
      <c r="O310" s="58" t="e">
        <f t="shared" si="77"/>
        <v>#REF!</v>
      </c>
      <c r="P310" s="58" t="e">
        <f t="shared" si="78"/>
        <v>#REF!</v>
      </c>
      <c r="Q310" s="58"/>
      <c r="R310" s="57" t="e">
        <f t="shared" si="74"/>
        <v>#REF!</v>
      </c>
      <c r="S310" s="58" t="e">
        <f t="shared" si="79"/>
        <v>#REF!</v>
      </c>
      <c r="T310" s="58" t="e">
        <f t="shared" si="80"/>
        <v>#REF!</v>
      </c>
      <c r="U310" s="59"/>
      <c r="V310" s="59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</row>
    <row r="311" spans="1:46" x14ac:dyDescent="0.25">
      <c r="A311" s="31">
        <f>'M&amp;R Stations'!A295</f>
        <v>39254</v>
      </c>
      <c r="B311" s="89"/>
      <c r="C311" s="227">
        <v>67032</v>
      </c>
      <c r="D311" s="225">
        <v>46453.1</v>
      </c>
      <c r="E311" s="185"/>
      <c r="F311" s="72" t="e">
        <f>IF('M&amp;R Stations'!#REF!="","",('M&amp;R Stations'!#REF!+'M&amp;R Stations'!#REF!)+('LNG Facilities'!F295+'LNG Facilities'!G295+'LNG Facilities'!H295+'LNG Facilities'!R295+'LNG Facilities'!S295+'LNG Facilities'!T295)-'LNG Facilities'!#REF!-('NG Utilization'!C311+'NG Utilization'!D311+'NG Utilization'!E311))</f>
        <v>#REF!</v>
      </c>
      <c r="G311" s="58" t="e">
        <f>IF('M&amp;R Stations'!#REF!="","",F311+G310)</f>
        <v>#REF!</v>
      </c>
      <c r="H311" s="58" t="e">
        <f>IF('M&amp;R Stations'!#REF!="","",F311+H310)</f>
        <v>#REF!</v>
      </c>
      <c r="I311" s="58"/>
      <c r="J311" s="57" t="e">
        <f t="shared" si="73"/>
        <v>#REF!</v>
      </c>
      <c r="K311" s="58" t="e">
        <f t="shared" si="75"/>
        <v>#REF!</v>
      </c>
      <c r="L311" s="58" t="e">
        <f t="shared" si="76"/>
        <v>#REF!</v>
      </c>
      <c r="M311" s="58"/>
      <c r="N311" s="73" t="e">
        <f>IF(F311="","",ROUND((('M&amp;R Stations'!#REF!+'M&amp;R Stations'!#REF!)-('NG Utilization'!C311+'NG Utilization'!D311+'NG Utilization'!E311)-'LNG Facilities'!#REF!)*ROUND(((('M&amp;R Stations'!#REF!*'M&amp;R Stations'!L295)+('M&amp;R Stations'!#REF!*'M&amp;R Stations'!F295))/1000)/('M&amp;R Stations'!#REF!+'M&amp;R Stations'!#REF!),3),0)+ROUND((('LNG Facilities'!F295*'LNG Facilities'!K295+'LNG Facilities'!G295*'LNG Facilities'!L295+'LNG Facilities'!H295*'LNG Facilities'!M295+'LNG Facilities'!R295*'LNG Facilities'!W295+'LNG Facilities'!S295*'LNG Facilities'!X295+'LNG Facilities'!T295*'LNG Facilities'!#REF!)/1000),0))</f>
        <v>#REF!</v>
      </c>
      <c r="O311" s="58" t="e">
        <f t="shared" si="77"/>
        <v>#REF!</v>
      </c>
      <c r="P311" s="58" t="e">
        <f t="shared" si="78"/>
        <v>#REF!</v>
      </c>
      <c r="Q311" s="58"/>
      <c r="R311" s="57" t="e">
        <f t="shared" si="74"/>
        <v>#REF!</v>
      </c>
      <c r="S311" s="58" t="e">
        <f t="shared" si="79"/>
        <v>#REF!</v>
      </c>
      <c r="T311" s="58" t="e">
        <f t="shared" si="80"/>
        <v>#REF!</v>
      </c>
      <c r="U311" s="59"/>
      <c r="V311" s="59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</row>
    <row r="312" spans="1:46" x14ac:dyDescent="0.25">
      <c r="A312" s="31">
        <f>'M&amp;R Stations'!A296</f>
        <v>39255</v>
      </c>
      <c r="B312" s="89"/>
      <c r="C312" s="227">
        <v>65765</v>
      </c>
      <c r="D312" s="225">
        <v>46453.1</v>
      </c>
      <c r="E312" s="185"/>
      <c r="F312" s="72" t="e">
        <f>IF('M&amp;R Stations'!#REF!="","",('M&amp;R Stations'!#REF!+'M&amp;R Stations'!#REF!)+('LNG Facilities'!F296+'LNG Facilities'!G296+'LNG Facilities'!H296+'LNG Facilities'!R296+'LNG Facilities'!S296+'LNG Facilities'!T296)-'LNG Facilities'!#REF!-('NG Utilization'!C312+'NG Utilization'!D312+'NG Utilization'!E312))</f>
        <v>#REF!</v>
      </c>
      <c r="G312" s="58" t="e">
        <f>IF('M&amp;R Stations'!#REF!="","",F312+G311)</f>
        <v>#REF!</v>
      </c>
      <c r="H312" s="58" t="e">
        <f>IF('M&amp;R Stations'!#REF!="","",F312+H311)</f>
        <v>#REF!</v>
      </c>
      <c r="I312" s="58"/>
      <c r="J312" s="57" t="e">
        <f t="shared" si="73"/>
        <v>#REF!</v>
      </c>
      <c r="K312" s="58" t="e">
        <f t="shared" si="75"/>
        <v>#REF!</v>
      </c>
      <c r="L312" s="58" t="e">
        <f t="shared" si="76"/>
        <v>#REF!</v>
      </c>
      <c r="M312" s="58"/>
      <c r="N312" s="73" t="e">
        <f>IF(F312="","",ROUND((('M&amp;R Stations'!#REF!+'M&amp;R Stations'!#REF!)-('NG Utilization'!C312+'NG Utilization'!D312+'NG Utilization'!E312)-'LNG Facilities'!#REF!)*ROUND(((('M&amp;R Stations'!#REF!*'M&amp;R Stations'!L296)+('M&amp;R Stations'!#REF!*'M&amp;R Stations'!F296))/1000)/('M&amp;R Stations'!#REF!+'M&amp;R Stations'!#REF!),3),0)+ROUND((('LNG Facilities'!F296*'LNG Facilities'!K296+'LNG Facilities'!G296*'LNG Facilities'!L296+'LNG Facilities'!H296*'LNG Facilities'!M296+'LNG Facilities'!R296*'LNG Facilities'!W296+'LNG Facilities'!S296*'LNG Facilities'!X296+'LNG Facilities'!T296*'LNG Facilities'!#REF!)/1000),0))</f>
        <v>#REF!</v>
      </c>
      <c r="O312" s="58" t="e">
        <f t="shared" si="77"/>
        <v>#REF!</v>
      </c>
      <c r="P312" s="58" t="e">
        <f t="shared" si="78"/>
        <v>#REF!</v>
      </c>
      <c r="Q312" s="58"/>
      <c r="R312" s="57" t="e">
        <f t="shared" si="74"/>
        <v>#REF!</v>
      </c>
      <c r="S312" s="58" t="e">
        <f t="shared" si="79"/>
        <v>#REF!</v>
      </c>
      <c r="T312" s="58" t="e">
        <f t="shared" si="80"/>
        <v>#REF!</v>
      </c>
      <c r="U312" s="59"/>
      <c r="V312" s="59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</row>
    <row r="313" spans="1:46" x14ac:dyDescent="0.25">
      <c r="A313" s="31">
        <f>'M&amp;R Stations'!A297</f>
        <v>39256</v>
      </c>
      <c r="B313" s="89"/>
      <c r="C313" s="227">
        <v>62908</v>
      </c>
      <c r="D313" s="225">
        <v>46453.1</v>
      </c>
      <c r="E313" s="185"/>
      <c r="F313" s="72" t="e">
        <f>IF('M&amp;R Stations'!#REF!="","",('M&amp;R Stations'!#REF!+'M&amp;R Stations'!#REF!)+('LNG Facilities'!F297+'LNG Facilities'!G297+'LNG Facilities'!H297+'LNG Facilities'!R297+'LNG Facilities'!S297+'LNG Facilities'!T297)-'LNG Facilities'!#REF!-('NG Utilization'!C313+'NG Utilization'!D313+'NG Utilization'!E313))</f>
        <v>#REF!</v>
      </c>
      <c r="G313" s="58" t="e">
        <f>IF('M&amp;R Stations'!#REF!="","",F313+G312)</f>
        <v>#REF!</v>
      </c>
      <c r="H313" s="58" t="e">
        <f>IF('M&amp;R Stations'!#REF!="","",F313+H312)</f>
        <v>#REF!</v>
      </c>
      <c r="I313" s="58"/>
      <c r="J313" s="57" t="e">
        <f t="shared" si="73"/>
        <v>#REF!</v>
      </c>
      <c r="K313" s="58" t="e">
        <f t="shared" si="75"/>
        <v>#REF!</v>
      </c>
      <c r="L313" s="58" t="e">
        <f t="shared" si="76"/>
        <v>#REF!</v>
      </c>
      <c r="M313" s="58"/>
      <c r="N313" s="73" t="e">
        <f>IF(F313="","",ROUND((('M&amp;R Stations'!#REF!+'M&amp;R Stations'!#REF!)-('NG Utilization'!C313+'NG Utilization'!D313+'NG Utilization'!E313)-'LNG Facilities'!#REF!)*ROUND(((('M&amp;R Stations'!#REF!*'M&amp;R Stations'!L297)+('M&amp;R Stations'!#REF!*'M&amp;R Stations'!F297))/1000)/('M&amp;R Stations'!#REF!+'M&amp;R Stations'!#REF!),3),0)+ROUND((('LNG Facilities'!F297*'LNG Facilities'!K297+'LNG Facilities'!G297*'LNG Facilities'!L297+'LNG Facilities'!H297*'LNG Facilities'!M297+'LNG Facilities'!R297*'LNG Facilities'!W297+'LNG Facilities'!S297*'LNG Facilities'!X297+'LNG Facilities'!T297*'LNG Facilities'!#REF!)/1000),0))</f>
        <v>#REF!</v>
      </c>
      <c r="O313" s="58" t="e">
        <f t="shared" si="77"/>
        <v>#REF!</v>
      </c>
      <c r="P313" s="58" t="e">
        <f t="shared" si="78"/>
        <v>#REF!</v>
      </c>
      <c r="Q313" s="58"/>
      <c r="R313" s="57" t="e">
        <f t="shared" si="74"/>
        <v>#REF!</v>
      </c>
      <c r="S313" s="58" t="e">
        <f t="shared" si="79"/>
        <v>#REF!</v>
      </c>
      <c r="T313" s="58" t="e">
        <f t="shared" si="80"/>
        <v>#REF!</v>
      </c>
      <c r="U313" s="59"/>
      <c r="V313" s="59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</row>
    <row r="314" spans="1:46" x14ac:dyDescent="0.25">
      <c r="A314" s="31">
        <f>'M&amp;R Stations'!A298</f>
        <v>39257</v>
      </c>
      <c r="B314" s="89"/>
      <c r="C314" s="227">
        <v>62387</v>
      </c>
      <c r="D314" s="225">
        <v>46453.1</v>
      </c>
      <c r="E314" s="185"/>
      <c r="F314" s="72" t="e">
        <f>IF('M&amp;R Stations'!#REF!="","",('M&amp;R Stations'!#REF!+'M&amp;R Stations'!#REF!)+('LNG Facilities'!F298+'LNG Facilities'!G298+'LNG Facilities'!H298+'LNG Facilities'!R298+'LNG Facilities'!S298+'LNG Facilities'!T298)-'LNG Facilities'!#REF!-('NG Utilization'!C314+'NG Utilization'!D314+'NG Utilization'!E314))</f>
        <v>#REF!</v>
      </c>
      <c r="G314" s="58" t="e">
        <f>IF('M&amp;R Stations'!#REF!="","",F314+G313)</f>
        <v>#REF!</v>
      </c>
      <c r="H314" s="58" t="e">
        <f>IF('M&amp;R Stations'!#REF!="","",F314+H313)</f>
        <v>#REF!</v>
      </c>
      <c r="I314" s="58"/>
      <c r="J314" s="57" t="e">
        <f t="shared" si="73"/>
        <v>#REF!</v>
      </c>
      <c r="K314" s="58" t="e">
        <f t="shared" si="75"/>
        <v>#REF!</v>
      </c>
      <c r="L314" s="58" t="e">
        <f t="shared" si="76"/>
        <v>#REF!</v>
      </c>
      <c r="M314" s="58"/>
      <c r="N314" s="73" t="e">
        <f>IF(F314="","",ROUND((('M&amp;R Stations'!#REF!+'M&amp;R Stations'!#REF!)-('NG Utilization'!C314+'NG Utilization'!D314+'NG Utilization'!E314)-'LNG Facilities'!#REF!)*ROUND(((('M&amp;R Stations'!#REF!*'M&amp;R Stations'!L298)+('M&amp;R Stations'!#REF!*'M&amp;R Stations'!F298))/1000)/('M&amp;R Stations'!#REF!+'M&amp;R Stations'!#REF!),3),0)+ROUND((('LNG Facilities'!F298*'LNG Facilities'!K298+'LNG Facilities'!G298*'LNG Facilities'!L298+'LNG Facilities'!H298*'LNG Facilities'!M298+'LNG Facilities'!R298*'LNG Facilities'!W298+'LNG Facilities'!S298*'LNG Facilities'!X298+'LNG Facilities'!T298*'LNG Facilities'!#REF!)/1000),0))</f>
        <v>#REF!</v>
      </c>
      <c r="O314" s="58" t="e">
        <f t="shared" si="77"/>
        <v>#REF!</v>
      </c>
      <c r="P314" s="58" t="e">
        <f t="shared" si="78"/>
        <v>#REF!</v>
      </c>
      <c r="Q314" s="58"/>
      <c r="R314" s="57" t="e">
        <f t="shared" si="74"/>
        <v>#REF!</v>
      </c>
      <c r="S314" s="58" t="e">
        <f t="shared" si="79"/>
        <v>#REF!</v>
      </c>
      <c r="T314" s="58" t="e">
        <f t="shared" si="80"/>
        <v>#REF!</v>
      </c>
      <c r="U314" s="59"/>
      <c r="V314" s="59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</row>
    <row r="315" spans="1:46" x14ac:dyDescent="0.25">
      <c r="A315" s="31">
        <f>'M&amp;R Stations'!A299</f>
        <v>39258</v>
      </c>
      <c r="B315" s="89"/>
      <c r="C315" s="227">
        <v>65503</v>
      </c>
      <c r="D315" s="225">
        <v>46453.1</v>
      </c>
      <c r="E315" s="185"/>
      <c r="F315" s="72" t="e">
        <f>IF('M&amp;R Stations'!#REF!="","",('M&amp;R Stations'!#REF!+'M&amp;R Stations'!#REF!)+('LNG Facilities'!F299+'LNG Facilities'!G299+'LNG Facilities'!H299+'LNG Facilities'!R299+'LNG Facilities'!S299+'LNG Facilities'!T299)-'LNG Facilities'!#REF!-('NG Utilization'!C315+'NG Utilization'!D315+'NG Utilization'!E315))</f>
        <v>#REF!</v>
      </c>
      <c r="G315" s="58" t="e">
        <f>IF('M&amp;R Stations'!#REF!="","",F315+G314)</f>
        <v>#REF!</v>
      </c>
      <c r="H315" s="58" t="e">
        <f>IF('M&amp;R Stations'!#REF!="","",F315+H314)</f>
        <v>#REF!</v>
      </c>
      <c r="I315" s="58"/>
      <c r="J315" s="57" t="e">
        <f t="shared" si="73"/>
        <v>#REF!</v>
      </c>
      <c r="K315" s="58" t="e">
        <f t="shared" si="75"/>
        <v>#REF!</v>
      </c>
      <c r="L315" s="58" t="e">
        <f t="shared" si="76"/>
        <v>#REF!</v>
      </c>
      <c r="M315" s="58"/>
      <c r="N315" s="73" t="e">
        <f>IF(F315="","",ROUND((('M&amp;R Stations'!#REF!+'M&amp;R Stations'!#REF!)-('NG Utilization'!C315+'NG Utilization'!D315+'NG Utilization'!E315)-'LNG Facilities'!#REF!)*ROUND(((('M&amp;R Stations'!#REF!*'M&amp;R Stations'!L299)+('M&amp;R Stations'!#REF!*'M&amp;R Stations'!F299))/1000)/('M&amp;R Stations'!#REF!+'M&amp;R Stations'!#REF!),3),0)+ROUND((('LNG Facilities'!F299*'LNG Facilities'!K299+'LNG Facilities'!G299*'LNG Facilities'!L299+'LNG Facilities'!H299*'LNG Facilities'!M299+'LNG Facilities'!R299*'LNG Facilities'!W299+'LNG Facilities'!S299*'LNG Facilities'!X299+'LNG Facilities'!T299*'LNG Facilities'!#REF!)/1000),0))</f>
        <v>#REF!</v>
      </c>
      <c r="O315" s="58" t="e">
        <f t="shared" si="77"/>
        <v>#REF!</v>
      </c>
      <c r="P315" s="58" t="e">
        <f t="shared" si="78"/>
        <v>#REF!</v>
      </c>
      <c r="Q315" s="58"/>
      <c r="R315" s="57" t="e">
        <f t="shared" si="74"/>
        <v>#REF!</v>
      </c>
      <c r="S315" s="58" t="e">
        <f t="shared" si="79"/>
        <v>#REF!</v>
      </c>
      <c r="T315" s="58" t="e">
        <f t="shared" si="80"/>
        <v>#REF!</v>
      </c>
      <c r="U315" s="59"/>
      <c r="V315" s="59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</row>
    <row r="316" spans="1:46" x14ac:dyDescent="0.25">
      <c r="A316" s="31">
        <f>'M&amp;R Stations'!A300</f>
        <v>39259</v>
      </c>
      <c r="B316" s="89"/>
      <c r="C316" s="227">
        <v>66326</v>
      </c>
      <c r="D316" s="225">
        <v>46453.1</v>
      </c>
      <c r="E316" s="185"/>
      <c r="F316" s="72" t="e">
        <f>IF('M&amp;R Stations'!#REF!="","",('M&amp;R Stations'!#REF!+'M&amp;R Stations'!#REF!)+('LNG Facilities'!F300+'LNG Facilities'!G300+'LNG Facilities'!H300+'LNG Facilities'!R300+'LNG Facilities'!S300+'LNG Facilities'!T300)-'LNG Facilities'!#REF!-('NG Utilization'!C316+'NG Utilization'!D316+'NG Utilization'!E316))</f>
        <v>#REF!</v>
      </c>
      <c r="G316" s="58" t="e">
        <f>IF('M&amp;R Stations'!#REF!="","",F316+G315)</f>
        <v>#REF!</v>
      </c>
      <c r="H316" s="58" t="e">
        <f>IF('M&amp;R Stations'!#REF!="","",F316+H315)</f>
        <v>#REF!</v>
      </c>
      <c r="I316" s="58"/>
      <c r="J316" s="57" t="e">
        <f t="shared" si="73"/>
        <v>#REF!</v>
      </c>
      <c r="K316" s="58" t="e">
        <f t="shared" si="75"/>
        <v>#REF!</v>
      </c>
      <c r="L316" s="58" t="e">
        <f t="shared" si="76"/>
        <v>#REF!</v>
      </c>
      <c r="M316" s="58"/>
      <c r="N316" s="73" t="e">
        <f>IF(F316="","",ROUND((('M&amp;R Stations'!#REF!+'M&amp;R Stations'!#REF!)-('NG Utilization'!C316+'NG Utilization'!D316+'NG Utilization'!E316)-'LNG Facilities'!#REF!)*ROUND(((('M&amp;R Stations'!#REF!*'M&amp;R Stations'!L300)+('M&amp;R Stations'!#REF!*'M&amp;R Stations'!F300))/1000)/('M&amp;R Stations'!#REF!+'M&amp;R Stations'!#REF!),3),0)+ROUND((('LNG Facilities'!F300*'LNG Facilities'!K300+'LNG Facilities'!G300*'LNG Facilities'!L300+'LNG Facilities'!H300*'LNG Facilities'!M300+'LNG Facilities'!R300*'LNG Facilities'!W300+'LNG Facilities'!S300*'LNG Facilities'!X300+'LNG Facilities'!T300*'LNG Facilities'!#REF!)/1000),0))</f>
        <v>#REF!</v>
      </c>
      <c r="O316" s="58" t="e">
        <f t="shared" si="77"/>
        <v>#REF!</v>
      </c>
      <c r="P316" s="58" t="e">
        <f t="shared" si="78"/>
        <v>#REF!</v>
      </c>
      <c r="Q316" s="58"/>
      <c r="R316" s="57" t="e">
        <f t="shared" si="74"/>
        <v>#REF!</v>
      </c>
      <c r="S316" s="58" t="e">
        <f t="shared" si="79"/>
        <v>#REF!</v>
      </c>
      <c r="T316" s="58" t="e">
        <f t="shared" si="80"/>
        <v>#REF!</v>
      </c>
      <c r="U316" s="59"/>
      <c r="V316" s="59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</row>
    <row r="317" spans="1:46" x14ac:dyDescent="0.25">
      <c r="A317" s="31">
        <f>'M&amp;R Stations'!A301</f>
        <v>39260</v>
      </c>
      <c r="B317" s="89"/>
      <c r="C317" s="227">
        <v>66992</v>
      </c>
      <c r="D317" s="225">
        <v>46453.1</v>
      </c>
      <c r="E317" s="185"/>
      <c r="F317" s="72" t="e">
        <f>IF('M&amp;R Stations'!#REF!="","",('M&amp;R Stations'!#REF!+'M&amp;R Stations'!#REF!)+('LNG Facilities'!F301+'LNG Facilities'!G301+'LNG Facilities'!H301+'LNG Facilities'!R301+'LNG Facilities'!S301+'LNG Facilities'!T301)-'LNG Facilities'!#REF!-('NG Utilization'!C317+'NG Utilization'!D317+'NG Utilization'!E317))</f>
        <v>#REF!</v>
      </c>
      <c r="G317" s="58" t="e">
        <f>IF('M&amp;R Stations'!#REF!="","",F317+G316)</f>
        <v>#REF!</v>
      </c>
      <c r="H317" s="58" t="e">
        <f>IF('M&amp;R Stations'!#REF!="","",F317+H316)</f>
        <v>#REF!</v>
      </c>
      <c r="I317" s="58"/>
      <c r="J317" s="57" t="e">
        <f t="shared" si="73"/>
        <v>#REF!</v>
      </c>
      <c r="K317" s="58" t="e">
        <f t="shared" si="75"/>
        <v>#REF!</v>
      </c>
      <c r="L317" s="58" t="e">
        <f t="shared" si="76"/>
        <v>#REF!</v>
      </c>
      <c r="M317" s="58"/>
      <c r="N317" s="73" t="e">
        <f>IF(F317="","",ROUND((('M&amp;R Stations'!#REF!+'M&amp;R Stations'!#REF!)-('NG Utilization'!C317+'NG Utilization'!D317+'NG Utilization'!E317)-'LNG Facilities'!#REF!)*ROUND(((('M&amp;R Stations'!#REF!*'M&amp;R Stations'!L301)+('M&amp;R Stations'!#REF!*'M&amp;R Stations'!F301))/1000)/('M&amp;R Stations'!#REF!+'M&amp;R Stations'!#REF!),3),0)+ROUND((('LNG Facilities'!F301*'LNG Facilities'!K301+'LNG Facilities'!G301*'LNG Facilities'!L301+'LNG Facilities'!H301*'LNG Facilities'!M301+'LNG Facilities'!R301*'LNG Facilities'!W301+'LNG Facilities'!S301*'LNG Facilities'!X301+'LNG Facilities'!T301*'LNG Facilities'!#REF!)/1000),0))</f>
        <v>#REF!</v>
      </c>
      <c r="O317" s="58" t="e">
        <f t="shared" si="77"/>
        <v>#REF!</v>
      </c>
      <c r="P317" s="58" t="e">
        <f t="shared" si="78"/>
        <v>#REF!</v>
      </c>
      <c r="Q317" s="58"/>
      <c r="R317" s="57" t="e">
        <f t="shared" si="74"/>
        <v>#REF!</v>
      </c>
      <c r="S317" s="58" t="e">
        <f t="shared" si="79"/>
        <v>#REF!</v>
      </c>
      <c r="T317" s="58" t="e">
        <f t="shared" si="80"/>
        <v>#REF!</v>
      </c>
      <c r="U317" s="59"/>
      <c r="V317" s="59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</row>
    <row r="318" spans="1:46" x14ac:dyDescent="0.25">
      <c r="A318" s="31">
        <f>'M&amp;R Stations'!A302</f>
        <v>39261</v>
      </c>
      <c r="B318" s="89"/>
      <c r="C318" s="227">
        <v>65044</v>
      </c>
      <c r="D318" s="225">
        <v>46453.1</v>
      </c>
      <c r="E318" s="185"/>
      <c r="F318" s="72" t="e">
        <f>IF('M&amp;R Stations'!#REF!="","",('M&amp;R Stations'!#REF!+'M&amp;R Stations'!#REF!)+('LNG Facilities'!F302+'LNG Facilities'!G302+'LNG Facilities'!H302+'LNG Facilities'!R302+'LNG Facilities'!S302+'LNG Facilities'!T302)-'LNG Facilities'!#REF!-('NG Utilization'!C318+'NG Utilization'!D318+'NG Utilization'!E318))</f>
        <v>#REF!</v>
      </c>
      <c r="G318" s="58" t="e">
        <f>IF('M&amp;R Stations'!#REF!="","",F318+G317)</f>
        <v>#REF!</v>
      </c>
      <c r="H318" s="58" t="e">
        <f>IF('M&amp;R Stations'!#REF!="","",F318+H317)</f>
        <v>#REF!</v>
      </c>
      <c r="I318" s="58"/>
      <c r="J318" s="57" t="e">
        <f t="shared" si="73"/>
        <v>#REF!</v>
      </c>
      <c r="K318" s="58" t="e">
        <f t="shared" si="75"/>
        <v>#REF!</v>
      </c>
      <c r="L318" s="58" t="e">
        <f t="shared" si="76"/>
        <v>#REF!</v>
      </c>
      <c r="M318" s="58"/>
      <c r="N318" s="73" t="e">
        <f>IF(F318="","",ROUND((('M&amp;R Stations'!#REF!+'M&amp;R Stations'!#REF!)-('NG Utilization'!C318+'NG Utilization'!D318+'NG Utilization'!E318)-'LNG Facilities'!#REF!)*ROUND(((('M&amp;R Stations'!#REF!*'M&amp;R Stations'!L302)+('M&amp;R Stations'!#REF!*'M&amp;R Stations'!F302))/1000)/('M&amp;R Stations'!#REF!+'M&amp;R Stations'!#REF!),3),0)+ROUND((('LNG Facilities'!F302*'LNG Facilities'!K302+'LNG Facilities'!G302*'LNG Facilities'!L302+'LNG Facilities'!H302*'LNG Facilities'!M302+'LNG Facilities'!R302*'LNG Facilities'!W302+'LNG Facilities'!S302*'LNG Facilities'!X302+'LNG Facilities'!T302*'LNG Facilities'!#REF!)/1000),0))</f>
        <v>#REF!</v>
      </c>
      <c r="O318" s="58" t="e">
        <f t="shared" si="77"/>
        <v>#REF!</v>
      </c>
      <c r="P318" s="58" t="e">
        <f t="shared" si="78"/>
        <v>#REF!</v>
      </c>
      <c r="Q318" s="58"/>
      <c r="R318" s="57" t="e">
        <f t="shared" si="74"/>
        <v>#REF!</v>
      </c>
      <c r="S318" s="58" t="e">
        <f t="shared" si="79"/>
        <v>#REF!</v>
      </c>
      <c r="T318" s="58" t="e">
        <f t="shared" si="80"/>
        <v>#REF!</v>
      </c>
      <c r="U318" s="59"/>
      <c r="V318" s="59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</row>
    <row r="319" spans="1:46" x14ac:dyDescent="0.25">
      <c r="A319" s="31">
        <f>'M&amp;R Stations'!A303</f>
        <v>39262</v>
      </c>
      <c r="B319" s="89"/>
      <c r="C319" s="227">
        <v>64001</v>
      </c>
      <c r="D319" s="225">
        <v>46453.1</v>
      </c>
      <c r="E319" s="185"/>
      <c r="F319" s="72" t="e">
        <f>IF('M&amp;R Stations'!#REF!="","",('M&amp;R Stations'!#REF!+'M&amp;R Stations'!#REF!)+('LNG Facilities'!F303+'LNG Facilities'!G303+'LNG Facilities'!H303+'LNG Facilities'!R303+'LNG Facilities'!S303+'LNG Facilities'!T303)-'LNG Facilities'!#REF!-('NG Utilization'!C319+'NG Utilization'!D319+'NG Utilization'!E319))</f>
        <v>#REF!</v>
      </c>
      <c r="G319" s="58" t="e">
        <f>IF('M&amp;R Stations'!#REF!="","",F319+G318)</f>
        <v>#REF!</v>
      </c>
      <c r="H319" s="58" t="e">
        <f>IF('M&amp;R Stations'!#REF!="","",F319+H318)</f>
        <v>#REF!</v>
      </c>
      <c r="I319" s="58"/>
      <c r="J319" s="57" t="e">
        <f t="shared" si="73"/>
        <v>#REF!</v>
      </c>
      <c r="K319" s="58" t="e">
        <f t="shared" si="75"/>
        <v>#REF!</v>
      </c>
      <c r="L319" s="58" t="e">
        <f t="shared" si="76"/>
        <v>#REF!</v>
      </c>
      <c r="M319" s="58"/>
      <c r="N319" s="73" t="e">
        <f>IF(F319="","",ROUND((('M&amp;R Stations'!#REF!+'M&amp;R Stations'!#REF!)-('NG Utilization'!C319+'NG Utilization'!D319+'NG Utilization'!E319)-'LNG Facilities'!#REF!)*ROUND(((('M&amp;R Stations'!#REF!*'M&amp;R Stations'!L303)+('M&amp;R Stations'!#REF!*'M&amp;R Stations'!F303))/1000)/('M&amp;R Stations'!#REF!+'M&amp;R Stations'!#REF!),3),0)+ROUND((('LNG Facilities'!F303*'LNG Facilities'!K303+'LNG Facilities'!G303*'LNG Facilities'!L303+'LNG Facilities'!H303*'LNG Facilities'!M303+'LNG Facilities'!R303*'LNG Facilities'!W303+'LNG Facilities'!S303*'LNG Facilities'!X303+'LNG Facilities'!T303*'LNG Facilities'!#REF!)/1000),0))</f>
        <v>#REF!</v>
      </c>
      <c r="O319" s="58" t="e">
        <f t="shared" si="77"/>
        <v>#REF!</v>
      </c>
      <c r="P319" s="58" t="e">
        <f t="shared" si="78"/>
        <v>#REF!</v>
      </c>
      <c r="Q319" s="58"/>
      <c r="R319" s="57" t="e">
        <f t="shared" si="74"/>
        <v>#REF!</v>
      </c>
      <c r="S319" s="58" t="e">
        <f t="shared" si="79"/>
        <v>#REF!</v>
      </c>
      <c r="T319" s="58" t="e">
        <f t="shared" si="80"/>
        <v>#REF!</v>
      </c>
      <c r="U319" s="59"/>
      <c r="V319" s="59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</row>
    <row r="320" spans="1:46" x14ac:dyDescent="0.25">
      <c r="A320" s="31">
        <f>'M&amp;R Stations'!A304</f>
        <v>39263</v>
      </c>
      <c r="B320" s="89"/>
      <c r="C320" s="227">
        <v>64876</v>
      </c>
      <c r="D320" s="225">
        <v>46453.1</v>
      </c>
      <c r="E320" s="185"/>
      <c r="F320" s="72" t="e">
        <f>IF('M&amp;R Stations'!#REF!="","",('M&amp;R Stations'!#REF!+'M&amp;R Stations'!#REF!)+('LNG Facilities'!F304+'LNG Facilities'!G304+'LNG Facilities'!H304+'LNG Facilities'!R304+'LNG Facilities'!S304+'LNG Facilities'!T304)-'LNG Facilities'!#REF!-('NG Utilization'!C320+'NG Utilization'!D320+'NG Utilization'!E320))</f>
        <v>#REF!</v>
      </c>
      <c r="G320" s="58" t="e">
        <f>IF('M&amp;R Stations'!#REF!="","",F320+G319)</f>
        <v>#REF!</v>
      </c>
      <c r="H320" s="58" t="e">
        <f>IF('M&amp;R Stations'!#REF!="","",F320+H319)</f>
        <v>#REF!</v>
      </c>
      <c r="I320" s="58"/>
      <c r="J320" s="57" t="e">
        <f t="shared" si="73"/>
        <v>#REF!</v>
      </c>
      <c r="K320" s="58" t="e">
        <f t="shared" si="75"/>
        <v>#REF!</v>
      </c>
      <c r="L320" s="58" t="e">
        <f t="shared" si="76"/>
        <v>#REF!</v>
      </c>
      <c r="M320" s="58"/>
      <c r="N320" s="73" t="e">
        <f>IF(F320="","",ROUND((('M&amp;R Stations'!#REF!+'M&amp;R Stations'!#REF!)-('NG Utilization'!C320+'NG Utilization'!D320+'NG Utilization'!E320)-'LNG Facilities'!#REF!)*ROUND(((('M&amp;R Stations'!#REF!*'M&amp;R Stations'!L304)+('M&amp;R Stations'!#REF!*'M&amp;R Stations'!F304))/1000)/('M&amp;R Stations'!#REF!+'M&amp;R Stations'!#REF!),3),0)+ROUND((('LNG Facilities'!F304*'LNG Facilities'!K304+'LNG Facilities'!G304*'LNG Facilities'!L304+'LNG Facilities'!H304*'LNG Facilities'!M304+'LNG Facilities'!R304*'LNG Facilities'!W304+'LNG Facilities'!S304*'LNG Facilities'!X304+'LNG Facilities'!T304*'LNG Facilities'!#REF!)/1000),0))</f>
        <v>#REF!</v>
      </c>
      <c r="O320" s="58" t="e">
        <f t="shared" si="77"/>
        <v>#REF!</v>
      </c>
      <c r="P320" s="58" t="e">
        <f t="shared" si="78"/>
        <v>#REF!</v>
      </c>
      <c r="Q320" s="58"/>
      <c r="R320" s="57" t="e">
        <f t="shared" si="74"/>
        <v>#REF!</v>
      </c>
      <c r="S320" s="58" t="e">
        <f t="shared" si="79"/>
        <v>#REF!</v>
      </c>
      <c r="T320" s="58" t="e">
        <f t="shared" si="80"/>
        <v>#REF!</v>
      </c>
      <c r="U320" s="59"/>
      <c r="V320" s="59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</row>
    <row r="321" spans="1:46" x14ac:dyDescent="0.25">
      <c r="A321" s="179"/>
      <c r="B321" s="178"/>
      <c r="C321" s="178"/>
      <c r="D321" s="178"/>
      <c r="E321" s="187"/>
      <c r="F321" s="180"/>
      <c r="G321" s="181"/>
      <c r="H321" s="181"/>
      <c r="I321" s="181"/>
      <c r="J321" s="182"/>
      <c r="K321" s="181"/>
      <c r="L321" s="181"/>
      <c r="M321" s="181"/>
      <c r="N321" s="183"/>
      <c r="O321" s="181"/>
      <c r="P321" s="181"/>
      <c r="Q321" s="181"/>
      <c r="R321" s="182"/>
      <c r="S321" s="181"/>
      <c r="T321" s="181"/>
      <c r="U321" s="59"/>
      <c r="V321" s="59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</row>
    <row r="322" spans="1:46" x14ac:dyDescent="0.25">
      <c r="A322" s="31">
        <f>'M&amp;R Stations'!A305</f>
        <v>39264</v>
      </c>
      <c r="B322" s="89"/>
      <c r="C322" s="227">
        <v>61006</v>
      </c>
      <c r="D322" s="225">
        <v>46459.82</v>
      </c>
      <c r="E322" s="185"/>
      <c r="F322" s="72" t="e">
        <f>IF('M&amp;R Stations'!#REF!="","",('M&amp;R Stations'!#REF!+'M&amp;R Stations'!#REF!)+('LNG Facilities'!F305+'LNG Facilities'!G305+'LNG Facilities'!H305+'LNG Facilities'!R305+'LNG Facilities'!S305+'LNG Facilities'!T305)-'LNG Facilities'!#REF!-('NG Utilization'!C322+'NG Utilization'!D322+'NG Utilization'!E322))</f>
        <v>#REF!</v>
      </c>
      <c r="G322" s="58" t="e">
        <f>IF('M&amp;R Stations'!#REF!="","",F322)</f>
        <v>#REF!</v>
      </c>
      <c r="H322" s="58" t="e">
        <f>IF('M&amp;R Stations'!#REF!="","",F322+H320)</f>
        <v>#REF!</v>
      </c>
      <c r="I322" s="58"/>
      <c r="J322" s="57" t="e">
        <f t="shared" ref="J322:J352" si="81">IF(F322="","",C322)</f>
        <v>#REF!</v>
      </c>
      <c r="K322" s="58" t="e">
        <f>IF(J322="","",J322)</f>
        <v>#REF!</v>
      </c>
      <c r="L322" s="58" t="e">
        <f>IF(J322="","",J322+L320)</f>
        <v>#REF!</v>
      </c>
      <c r="M322" s="58"/>
      <c r="N322" s="73" t="e">
        <f>IF(F322="","",ROUND((('M&amp;R Stations'!#REF!+'M&amp;R Stations'!#REF!)-('NG Utilization'!C322+'NG Utilization'!D322+'NG Utilization'!E322)-'LNG Facilities'!#REF!)*ROUND(((('M&amp;R Stations'!#REF!*'M&amp;R Stations'!L305)+('M&amp;R Stations'!#REF!*'M&amp;R Stations'!F305))/1000)/('M&amp;R Stations'!#REF!+'M&amp;R Stations'!#REF!),3),0)+ROUND((('LNG Facilities'!F305*'LNG Facilities'!K305+'LNG Facilities'!G305*'LNG Facilities'!L305+'LNG Facilities'!H305*'LNG Facilities'!M305+'LNG Facilities'!R305*'LNG Facilities'!W305+'LNG Facilities'!S305*'LNG Facilities'!X305+'LNG Facilities'!T305*'LNG Facilities'!#REF!)/1000),0))</f>
        <v>#REF!</v>
      </c>
      <c r="O322" s="58" t="e">
        <f>IF(N322="","",N322)</f>
        <v>#REF!</v>
      </c>
      <c r="P322" s="58" t="e">
        <f>IF(N322="","",N322+P320)</f>
        <v>#REF!</v>
      </c>
      <c r="Q322" s="58"/>
      <c r="R322" s="57" t="e">
        <f t="shared" ref="R322:R352" si="82">IF(F322="","",D322)</f>
        <v>#REF!</v>
      </c>
      <c r="S322" s="58" t="e">
        <f>IF(R322="","",R322)</f>
        <v>#REF!</v>
      </c>
      <c r="T322" s="58" t="e">
        <f>IF(R322="","",R322+T320)</f>
        <v>#REF!</v>
      </c>
      <c r="U322" s="59"/>
      <c r="V322" s="59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</row>
    <row r="323" spans="1:46" x14ac:dyDescent="0.25">
      <c r="A323" s="31">
        <f>'M&amp;R Stations'!A306</f>
        <v>39265</v>
      </c>
      <c r="B323" s="89"/>
      <c r="C323" s="227">
        <v>60579</v>
      </c>
      <c r="D323" s="225">
        <v>46459.82</v>
      </c>
      <c r="E323" s="185"/>
      <c r="F323" s="72" t="e">
        <f>IF('M&amp;R Stations'!#REF!="","",('M&amp;R Stations'!#REF!+'M&amp;R Stations'!#REF!)+('LNG Facilities'!F306+'LNG Facilities'!G306+'LNG Facilities'!H306+'LNG Facilities'!R306+'LNG Facilities'!S306+'LNG Facilities'!T306)-'LNG Facilities'!#REF!-('NG Utilization'!C323+'NG Utilization'!D323+'NG Utilization'!E323))</f>
        <v>#REF!</v>
      </c>
      <c r="G323" s="58" t="e">
        <f>IF('M&amp;R Stations'!#REF!="","",F323+G322)</f>
        <v>#REF!</v>
      </c>
      <c r="H323" s="58" t="e">
        <f>IF('M&amp;R Stations'!#REF!="","",F323+H322)</f>
        <v>#REF!</v>
      </c>
      <c r="I323" s="58"/>
      <c r="J323" s="57" t="e">
        <f t="shared" si="81"/>
        <v>#REF!</v>
      </c>
      <c r="K323" s="58" t="e">
        <f t="shared" ref="K323:K351" si="83">IF(J323="","",J323+K322)</f>
        <v>#REF!</v>
      </c>
      <c r="L323" s="58" t="e">
        <f t="shared" ref="L323:L351" si="84">IF(J323="","",J323+L322)</f>
        <v>#REF!</v>
      </c>
      <c r="M323" s="58"/>
      <c r="N323" s="73" t="e">
        <f>IF(F323="","",ROUND((('M&amp;R Stations'!#REF!+'M&amp;R Stations'!#REF!)-('NG Utilization'!C323+'NG Utilization'!D323+'NG Utilization'!E323)-'LNG Facilities'!#REF!)*ROUND(((('M&amp;R Stations'!#REF!*'M&amp;R Stations'!L306)+('M&amp;R Stations'!#REF!*'M&amp;R Stations'!F306))/1000)/('M&amp;R Stations'!#REF!+'M&amp;R Stations'!#REF!),3),0)+ROUND((('LNG Facilities'!F306*'LNG Facilities'!K306+'LNG Facilities'!G306*'LNG Facilities'!L306+'LNG Facilities'!H306*'LNG Facilities'!M306+'LNG Facilities'!R306*'LNG Facilities'!W306+'LNG Facilities'!S306*'LNG Facilities'!X306+'LNG Facilities'!T306*'LNG Facilities'!#REF!)/1000),0))</f>
        <v>#REF!</v>
      </c>
      <c r="O323" s="58" t="e">
        <f t="shared" ref="O323:O351" si="85">IF(N323="","",N323+O322)</f>
        <v>#REF!</v>
      </c>
      <c r="P323" s="58" t="e">
        <f t="shared" ref="P323:P351" si="86">IF(N323="","",N323+P322)</f>
        <v>#REF!</v>
      </c>
      <c r="Q323" s="58"/>
      <c r="R323" s="57" t="e">
        <f t="shared" si="82"/>
        <v>#REF!</v>
      </c>
      <c r="S323" s="58" t="e">
        <f t="shared" ref="S323:S351" si="87">IF(R323="","",R323+S322)</f>
        <v>#REF!</v>
      </c>
      <c r="T323" s="58" t="e">
        <f t="shared" ref="T323:T351" si="88">IF(R323="","",R323+T322)</f>
        <v>#REF!</v>
      </c>
      <c r="U323" s="59"/>
      <c r="V323" s="59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</row>
    <row r="324" spans="1:46" x14ac:dyDescent="0.25">
      <c r="A324" s="31">
        <f>'M&amp;R Stations'!A307</f>
        <v>39266</v>
      </c>
      <c r="B324" s="89"/>
      <c r="C324" s="227">
        <v>58886</v>
      </c>
      <c r="D324" s="225">
        <v>46459.82</v>
      </c>
      <c r="E324" s="185"/>
      <c r="F324" s="72" t="e">
        <f>IF('M&amp;R Stations'!#REF!="","",('M&amp;R Stations'!#REF!+'M&amp;R Stations'!#REF!)+('LNG Facilities'!F307+'LNG Facilities'!G307+'LNG Facilities'!H307+'LNG Facilities'!R307+'LNG Facilities'!S307+'LNG Facilities'!T307)-'LNG Facilities'!#REF!-('NG Utilization'!C324+'NG Utilization'!D324+'NG Utilization'!E324))</f>
        <v>#REF!</v>
      </c>
      <c r="G324" s="58" t="e">
        <f>IF('M&amp;R Stations'!#REF!="","",F324+G323)</f>
        <v>#REF!</v>
      </c>
      <c r="H324" s="58" t="e">
        <f>IF('M&amp;R Stations'!#REF!="","",F324+H323)</f>
        <v>#REF!</v>
      </c>
      <c r="I324" s="58"/>
      <c r="J324" s="57" t="e">
        <f t="shared" si="81"/>
        <v>#REF!</v>
      </c>
      <c r="K324" s="58" t="e">
        <f t="shared" si="83"/>
        <v>#REF!</v>
      </c>
      <c r="L324" s="58" t="e">
        <f t="shared" si="84"/>
        <v>#REF!</v>
      </c>
      <c r="M324" s="58"/>
      <c r="N324" s="73" t="e">
        <f>IF(F324="","",ROUND((('M&amp;R Stations'!#REF!+'M&amp;R Stations'!#REF!)-('NG Utilization'!C324+'NG Utilization'!D324+'NG Utilization'!E324)-'LNG Facilities'!#REF!)*ROUND(((('M&amp;R Stations'!#REF!*'M&amp;R Stations'!L307)+('M&amp;R Stations'!#REF!*'M&amp;R Stations'!F307))/1000)/('M&amp;R Stations'!#REF!+'M&amp;R Stations'!#REF!),3),0)+ROUND((('LNG Facilities'!F307*'LNG Facilities'!K307+'LNG Facilities'!G307*'LNG Facilities'!L307+'LNG Facilities'!H307*'LNG Facilities'!M307+'LNG Facilities'!R307*'LNG Facilities'!W307+'LNG Facilities'!S307*'LNG Facilities'!X307+'LNG Facilities'!T307*'LNG Facilities'!#REF!)/1000),0))</f>
        <v>#REF!</v>
      </c>
      <c r="O324" s="58" t="e">
        <f t="shared" si="85"/>
        <v>#REF!</v>
      </c>
      <c r="P324" s="58" t="e">
        <f t="shared" si="86"/>
        <v>#REF!</v>
      </c>
      <c r="Q324" s="58"/>
      <c r="R324" s="57" t="e">
        <f t="shared" si="82"/>
        <v>#REF!</v>
      </c>
      <c r="S324" s="58" t="e">
        <f t="shared" si="87"/>
        <v>#REF!</v>
      </c>
      <c r="T324" s="58" t="e">
        <f t="shared" si="88"/>
        <v>#REF!</v>
      </c>
      <c r="U324" s="59"/>
      <c r="V324" s="59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</row>
    <row r="325" spans="1:46" x14ac:dyDescent="0.25">
      <c r="A325" s="31">
        <f>'M&amp;R Stations'!A308</f>
        <v>39267</v>
      </c>
      <c r="B325" s="89"/>
      <c r="C325" s="227">
        <v>60798</v>
      </c>
      <c r="D325" s="225">
        <v>46459.82</v>
      </c>
      <c r="E325" s="185"/>
      <c r="F325" s="72" t="e">
        <f>IF('M&amp;R Stations'!#REF!="","",('M&amp;R Stations'!#REF!+'M&amp;R Stations'!#REF!)+('LNG Facilities'!F308+'LNG Facilities'!G308+'LNG Facilities'!H308+'LNG Facilities'!R308+'LNG Facilities'!S308+'LNG Facilities'!T308)-'LNG Facilities'!#REF!-('NG Utilization'!C325+'NG Utilization'!D325+'NG Utilization'!E325))</f>
        <v>#REF!</v>
      </c>
      <c r="G325" s="58" t="e">
        <f>IF('M&amp;R Stations'!#REF!="","",F325+G324)</f>
        <v>#REF!</v>
      </c>
      <c r="H325" s="58" t="e">
        <f>IF('M&amp;R Stations'!#REF!="","",F325+H324)</f>
        <v>#REF!</v>
      </c>
      <c r="I325" s="58"/>
      <c r="J325" s="57" t="e">
        <f t="shared" si="81"/>
        <v>#REF!</v>
      </c>
      <c r="K325" s="58" t="e">
        <f t="shared" si="83"/>
        <v>#REF!</v>
      </c>
      <c r="L325" s="58" t="e">
        <f t="shared" si="84"/>
        <v>#REF!</v>
      </c>
      <c r="M325" s="58"/>
      <c r="N325" s="73" t="e">
        <f>IF(F325="","",ROUND((('M&amp;R Stations'!#REF!+'M&amp;R Stations'!#REF!)-('NG Utilization'!C325+'NG Utilization'!D325+'NG Utilization'!E325)-'LNG Facilities'!#REF!)*ROUND(((('M&amp;R Stations'!#REF!*'M&amp;R Stations'!L308)+('M&amp;R Stations'!#REF!*'M&amp;R Stations'!F308))/1000)/('M&amp;R Stations'!#REF!+'M&amp;R Stations'!#REF!),3),0)+ROUND((('LNG Facilities'!F308*'LNG Facilities'!K308+'LNG Facilities'!G308*'LNG Facilities'!L308+'LNG Facilities'!H308*'LNG Facilities'!M308+'LNG Facilities'!R308*'LNG Facilities'!W308+'LNG Facilities'!S308*'LNG Facilities'!X308+'LNG Facilities'!T308*'LNG Facilities'!#REF!)/1000),0))</f>
        <v>#REF!</v>
      </c>
      <c r="O325" s="58" t="e">
        <f t="shared" si="85"/>
        <v>#REF!</v>
      </c>
      <c r="P325" s="58" t="e">
        <f t="shared" si="86"/>
        <v>#REF!</v>
      </c>
      <c r="Q325" s="58"/>
      <c r="R325" s="57" t="e">
        <f t="shared" si="82"/>
        <v>#REF!</v>
      </c>
      <c r="S325" s="58" t="e">
        <f t="shared" si="87"/>
        <v>#REF!</v>
      </c>
      <c r="T325" s="58" t="e">
        <f t="shared" si="88"/>
        <v>#REF!</v>
      </c>
      <c r="U325" s="59"/>
      <c r="V325" s="59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</row>
    <row r="326" spans="1:46" x14ac:dyDescent="0.25">
      <c r="A326" s="31">
        <f>'M&amp;R Stations'!A309</f>
        <v>39268</v>
      </c>
      <c r="B326" s="89"/>
      <c r="C326" s="227">
        <v>66302</v>
      </c>
      <c r="D326" s="225">
        <v>46459.82</v>
      </c>
      <c r="E326" s="185"/>
      <c r="F326" s="72" t="e">
        <f>IF('M&amp;R Stations'!#REF!="","",('M&amp;R Stations'!#REF!+'M&amp;R Stations'!#REF!)+('LNG Facilities'!F309+'LNG Facilities'!G309+'LNG Facilities'!H309+'LNG Facilities'!R309+'LNG Facilities'!S309+'LNG Facilities'!T309)-'LNG Facilities'!#REF!-('NG Utilization'!C326+'NG Utilization'!D326+'NG Utilization'!E326))</f>
        <v>#REF!</v>
      </c>
      <c r="G326" s="58" t="e">
        <f>IF('M&amp;R Stations'!#REF!="","",F326+G325)</f>
        <v>#REF!</v>
      </c>
      <c r="H326" s="58" t="e">
        <f>IF('M&amp;R Stations'!#REF!="","",F326+H325)</f>
        <v>#REF!</v>
      </c>
      <c r="I326" s="58"/>
      <c r="J326" s="57" t="e">
        <f t="shared" si="81"/>
        <v>#REF!</v>
      </c>
      <c r="K326" s="58" t="e">
        <f t="shared" si="83"/>
        <v>#REF!</v>
      </c>
      <c r="L326" s="58" t="e">
        <f t="shared" si="84"/>
        <v>#REF!</v>
      </c>
      <c r="M326" s="58"/>
      <c r="N326" s="73" t="e">
        <f>IF(F326="","",ROUND((('M&amp;R Stations'!#REF!+'M&amp;R Stations'!#REF!)-('NG Utilization'!C326+'NG Utilization'!D326+'NG Utilization'!E326)-'LNG Facilities'!#REF!)*ROUND(((('M&amp;R Stations'!#REF!*'M&amp;R Stations'!L309)+('M&amp;R Stations'!#REF!*'M&amp;R Stations'!F309))/1000)/('M&amp;R Stations'!#REF!+'M&amp;R Stations'!#REF!),3),0)+ROUND((('LNG Facilities'!F309*'LNG Facilities'!K309+'LNG Facilities'!G309*'LNG Facilities'!L309+'LNG Facilities'!H309*'LNG Facilities'!M309+'LNG Facilities'!R309*'LNG Facilities'!W309+'LNG Facilities'!S309*'LNG Facilities'!X309+'LNG Facilities'!T309*'LNG Facilities'!#REF!)/1000),0))</f>
        <v>#REF!</v>
      </c>
      <c r="O326" s="58" t="e">
        <f t="shared" si="85"/>
        <v>#REF!</v>
      </c>
      <c r="P326" s="58" t="e">
        <f t="shared" si="86"/>
        <v>#REF!</v>
      </c>
      <c r="Q326" s="58"/>
      <c r="R326" s="57" t="e">
        <f t="shared" si="82"/>
        <v>#REF!</v>
      </c>
      <c r="S326" s="58" t="e">
        <f t="shared" si="87"/>
        <v>#REF!</v>
      </c>
      <c r="T326" s="58" t="e">
        <f t="shared" si="88"/>
        <v>#REF!</v>
      </c>
      <c r="U326" s="59"/>
      <c r="V326" s="59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</row>
    <row r="327" spans="1:46" x14ac:dyDescent="0.25">
      <c r="A327" s="31">
        <f>'M&amp;R Stations'!A310</f>
        <v>39269</v>
      </c>
      <c r="B327" s="89"/>
      <c r="C327" s="227">
        <v>67145</v>
      </c>
      <c r="D327" s="225">
        <v>46459.82</v>
      </c>
      <c r="E327" s="185"/>
      <c r="F327" s="72" t="e">
        <f>IF('M&amp;R Stations'!#REF!="","",('M&amp;R Stations'!#REF!+'M&amp;R Stations'!#REF!)+('LNG Facilities'!F310+'LNG Facilities'!G310+'LNG Facilities'!H310+'LNG Facilities'!R310+'LNG Facilities'!S310+'LNG Facilities'!T310)-'LNG Facilities'!#REF!-('NG Utilization'!C327+'NG Utilization'!D327+'NG Utilization'!E327))</f>
        <v>#REF!</v>
      </c>
      <c r="G327" s="58" t="e">
        <f>IF('M&amp;R Stations'!#REF!="","",F327+G326)</f>
        <v>#REF!</v>
      </c>
      <c r="H327" s="58" t="e">
        <f>IF('M&amp;R Stations'!#REF!="","",F327+H326)</f>
        <v>#REF!</v>
      </c>
      <c r="I327" s="58"/>
      <c r="J327" s="57" t="e">
        <f t="shared" si="81"/>
        <v>#REF!</v>
      </c>
      <c r="K327" s="58" t="e">
        <f t="shared" si="83"/>
        <v>#REF!</v>
      </c>
      <c r="L327" s="58" t="e">
        <f t="shared" si="84"/>
        <v>#REF!</v>
      </c>
      <c r="M327" s="58"/>
      <c r="N327" s="73" t="e">
        <f>IF(F327="","",ROUND((('M&amp;R Stations'!#REF!+'M&amp;R Stations'!#REF!)-('NG Utilization'!C327+'NG Utilization'!D327+'NG Utilization'!E327)-'LNG Facilities'!#REF!)*ROUND(((('M&amp;R Stations'!#REF!*'M&amp;R Stations'!L310)+('M&amp;R Stations'!#REF!*'M&amp;R Stations'!F310))/1000)/('M&amp;R Stations'!#REF!+'M&amp;R Stations'!#REF!),3),0)+ROUND((('LNG Facilities'!F310*'LNG Facilities'!K310+'LNG Facilities'!G310*'LNG Facilities'!L310+'LNG Facilities'!H310*'LNG Facilities'!M310+'LNG Facilities'!R310*'LNG Facilities'!W310+'LNG Facilities'!S310*'LNG Facilities'!X310+'LNG Facilities'!T310*'LNG Facilities'!#REF!)/1000),0))</f>
        <v>#REF!</v>
      </c>
      <c r="O327" s="58" t="e">
        <f t="shared" si="85"/>
        <v>#REF!</v>
      </c>
      <c r="P327" s="58" t="e">
        <f t="shared" si="86"/>
        <v>#REF!</v>
      </c>
      <c r="Q327" s="58"/>
      <c r="R327" s="57" t="e">
        <f t="shared" si="82"/>
        <v>#REF!</v>
      </c>
      <c r="S327" s="58" t="e">
        <f t="shared" si="87"/>
        <v>#REF!</v>
      </c>
      <c r="T327" s="58" t="e">
        <f t="shared" si="88"/>
        <v>#REF!</v>
      </c>
      <c r="U327" s="59"/>
      <c r="V327" s="59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</row>
    <row r="328" spans="1:46" x14ac:dyDescent="0.25">
      <c r="A328" s="31">
        <f>'M&amp;R Stations'!A311</f>
        <v>39270</v>
      </c>
      <c r="B328" s="89"/>
      <c r="C328" s="227">
        <v>63165</v>
      </c>
      <c r="D328" s="225">
        <v>46459.82</v>
      </c>
      <c r="E328" s="185"/>
      <c r="F328" s="72" t="e">
        <f>IF('M&amp;R Stations'!#REF!="","",('M&amp;R Stations'!#REF!+'M&amp;R Stations'!#REF!)+('LNG Facilities'!F311+'LNG Facilities'!G311+'LNG Facilities'!H311+'LNG Facilities'!R311+'LNG Facilities'!S311+'LNG Facilities'!T311)-'LNG Facilities'!#REF!-('NG Utilization'!C328+'NG Utilization'!D328+'NG Utilization'!E328))</f>
        <v>#REF!</v>
      </c>
      <c r="G328" s="58" t="e">
        <f>IF('M&amp;R Stations'!#REF!="","",F328+G327)</f>
        <v>#REF!</v>
      </c>
      <c r="H328" s="58" t="e">
        <f>IF('M&amp;R Stations'!#REF!="","",F328+H327)</f>
        <v>#REF!</v>
      </c>
      <c r="I328" s="58"/>
      <c r="J328" s="57" t="e">
        <f t="shared" si="81"/>
        <v>#REF!</v>
      </c>
      <c r="K328" s="58" t="e">
        <f t="shared" si="83"/>
        <v>#REF!</v>
      </c>
      <c r="L328" s="58" t="e">
        <f t="shared" si="84"/>
        <v>#REF!</v>
      </c>
      <c r="M328" s="58"/>
      <c r="N328" s="73" t="e">
        <f>IF(F328="","",ROUND((('M&amp;R Stations'!#REF!+'M&amp;R Stations'!#REF!)-('NG Utilization'!C328+'NG Utilization'!D328+'NG Utilization'!E328)-'LNG Facilities'!#REF!)*ROUND(((('M&amp;R Stations'!#REF!*'M&amp;R Stations'!L311)+('M&amp;R Stations'!#REF!*'M&amp;R Stations'!F311))/1000)/('M&amp;R Stations'!#REF!+'M&amp;R Stations'!#REF!),3),0)+ROUND((('LNG Facilities'!F311*'LNG Facilities'!K311+'LNG Facilities'!G311*'LNG Facilities'!L311+'LNG Facilities'!H311*'LNG Facilities'!M311+'LNG Facilities'!R311*'LNG Facilities'!W311+'LNG Facilities'!S311*'LNG Facilities'!X311+'LNG Facilities'!T311*'LNG Facilities'!#REF!)/1000),0))</f>
        <v>#REF!</v>
      </c>
      <c r="O328" s="58" t="e">
        <f t="shared" si="85"/>
        <v>#REF!</v>
      </c>
      <c r="P328" s="58" t="e">
        <f t="shared" si="86"/>
        <v>#REF!</v>
      </c>
      <c r="Q328" s="58"/>
      <c r="R328" s="57" t="e">
        <f t="shared" si="82"/>
        <v>#REF!</v>
      </c>
      <c r="S328" s="58" t="e">
        <f t="shared" si="87"/>
        <v>#REF!</v>
      </c>
      <c r="T328" s="58" t="e">
        <f t="shared" si="88"/>
        <v>#REF!</v>
      </c>
      <c r="U328" s="59"/>
      <c r="V328" s="59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</row>
    <row r="329" spans="1:46" x14ac:dyDescent="0.25">
      <c r="A329" s="31">
        <f>'M&amp;R Stations'!A312</f>
        <v>39271</v>
      </c>
      <c r="B329" s="89"/>
      <c r="C329" s="227">
        <v>61511</v>
      </c>
      <c r="D329" s="225">
        <v>46459.82</v>
      </c>
      <c r="E329" s="185"/>
      <c r="F329" s="72" t="e">
        <f>IF('M&amp;R Stations'!#REF!="","",('M&amp;R Stations'!#REF!+'M&amp;R Stations'!#REF!)+('LNG Facilities'!F312+'LNG Facilities'!G312+'LNG Facilities'!H312+'LNG Facilities'!R312+'LNG Facilities'!S312+'LNG Facilities'!T312)-'LNG Facilities'!#REF!-('NG Utilization'!C329+'NG Utilization'!D329+'NG Utilization'!E329))</f>
        <v>#REF!</v>
      </c>
      <c r="G329" s="58" t="e">
        <f>IF('M&amp;R Stations'!#REF!="","",F329+G328)</f>
        <v>#REF!</v>
      </c>
      <c r="H329" s="58" t="e">
        <f>IF('M&amp;R Stations'!#REF!="","",F329+H328)</f>
        <v>#REF!</v>
      </c>
      <c r="I329" s="58"/>
      <c r="J329" s="57" t="e">
        <f t="shared" si="81"/>
        <v>#REF!</v>
      </c>
      <c r="K329" s="58" t="e">
        <f t="shared" si="83"/>
        <v>#REF!</v>
      </c>
      <c r="L329" s="58" t="e">
        <f t="shared" si="84"/>
        <v>#REF!</v>
      </c>
      <c r="M329" s="58"/>
      <c r="N329" s="73" t="e">
        <f>IF(F329="","",ROUND((('M&amp;R Stations'!#REF!+'M&amp;R Stations'!#REF!)-('NG Utilization'!C329+'NG Utilization'!D329+'NG Utilization'!E329)-'LNG Facilities'!#REF!)*ROUND(((('M&amp;R Stations'!#REF!*'M&amp;R Stations'!L312)+('M&amp;R Stations'!#REF!*'M&amp;R Stations'!F312))/1000)/('M&amp;R Stations'!#REF!+'M&amp;R Stations'!#REF!),3),0)+ROUND((('LNG Facilities'!F312*'LNG Facilities'!K312+'LNG Facilities'!G312*'LNG Facilities'!L312+'LNG Facilities'!H312*'LNG Facilities'!M312+'LNG Facilities'!R312*'LNG Facilities'!W312+'LNG Facilities'!S312*'LNG Facilities'!X312+'LNG Facilities'!T312*'LNG Facilities'!#REF!)/1000),0))</f>
        <v>#REF!</v>
      </c>
      <c r="O329" s="58" t="e">
        <f t="shared" si="85"/>
        <v>#REF!</v>
      </c>
      <c r="P329" s="58" t="e">
        <f t="shared" si="86"/>
        <v>#REF!</v>
      </c>
      <c r="Q329" s="58"/>
      <c r="R329" s="57" t="e">
        <f t="shared" si="82"/>
        <v>#REF!</v>
      </c>
      <c r="S329" s="58" t="e">
        <f t="shared" si="87"/>
        <v>#REF!</v>
      </c>
      <c r="T329" s="58" t="e">
        <f t="shared" si="88"/>
        <v>#REF!</v>
      </c>
      <c r="U329" s="59"/>
      <c r="V329" s="59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</row>
    <row r="330" spans="1:46" x14ac:dyDescent="0.25">
      <c r="A330" s="31">
        <f>'M&amp;R Stations'!A313</f>
        <v>39272</v>
      </c>
      <c r="B330" s="89"/>
      <c r="C330" s="227">
        <v>64007</v>
      </c>
      <c r="D330" s="225">
        <v>46459.82</v>
      </c>
      <c r="E330" s="185"/>
      <c r="F330" s="72" t="e">
        <f>IF('M&amp;R Stations'!#REF!="","",('M&amp;R Stations'!#REF!+'M&amp;R Stations'!#REF!)+('LNG Facilities'!F313+'LNG Facilities'!G313+'LNG Facilities'!H313+'LNG Facilities'!R313+'LNG Facilities'!S313+'LNG Facilities'!T313)-'LNG Facilities'!#REF!-('NG Utilization'!C330+'NG Utilization'!D330+'NG Utilization'!E330))</f>
        <v>#REF!</v>
      </c>
      <c r="G330" s="58" t="e">
        <f>IF('M&amp;R Stations'!#REF!="","",F330+G329)</f>
        <v>#REF!</v>
      </c>
      <c r="H330" s="58" t="e">
        <f>IF('M&amp;R Stations'!#REF!="","",F330+H329)</f>
        <v>#REF!</v>
      </c>
      <c r="I330" s="58"/>
      <c r="J330" s="57" t="e">
        <f t="shared" si="81"/>
        <v>#REF!</v>
      </c>
      <c r="K330" s="58" t="e">
        <f t="shared" si="83"/>
        <v>#REF!</v>
      </c>
      <c r="L330" s="58" t="e">
        <f t="shared" si="84"/>
        <v>#REF!</v>
      </c>
      <c r="M330" s="58"/>
      <c r="N330" s="73" t="e">
        <f>IF(F330="","",ROUND((('M&amp;R Stations'!#REF!+'M&amp;R Stations'!#REF!)-('NG Utilization'!C330+'NG Utilization'!D330+'NG Utilization'!E330)-'LNG Facilities'!#REF!)*ROUND(((('M&amp;R Stations'!#REF!*'M&amp;R Stations'!L313)+('M&amp;R Stations'!#REF!*'M&amp;R Stations'!F313))/1000)/('M&amp;R Stations'!#REF!+'M&amp;R Stations'!#REF!),3),0)+ROUND((('LNG Facilities'!F313*'LNG Facilities'!K313+'LNG Facilities'!G313*'LNG Facilities'!L313+'LNG Facilities'!H313*'LNG Facilities'!M313+'LNG Facilities'!R313*'LNG Facilities'!W313+'LNG Facilities'!S313*'LNG Facilities'!X313+'LNG Facilities'!T313*'LNG Facilities'!#REF!)/1000),0))</f>
        <v>#REF!</v>
      </c>
      <c r="O330" s="58" t="e">
        <f t="shared" si="85"/>
        <v>#REF!</v>
      </c>
      <c r="P330" s="58" t="e">
        <f t="shared" si="86"/>
        <v>#REF!</v>
      </c>
      <c r="Q330" s="58"/>
      <c r="R330" s="57" t="e">
        <f t="shared" si="82"/>
        <v>#REF!</v>
      </c>
      <c r="S330" s="58" t="e">
        <f t="shared" si="87"/>
        <v>#REF!</v>
      </c>
      <c r="T330" s="58" t="e">
        <f t="shared" si="88"/>
        <v>#REF!</v>
      </c>
      <c r="U330" s="59"/>
      <c r="V330" s="59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</row>
    <row r="331" spans="1:46" x14ac:dyDescent="0.25">
      <c r="A331" s="31">
        <f>'M&amp;R Stations'!A314</f>
        <v>39273</v>
      </c>
      <c r="B331" s="89"/>
      <c r="C331" s="227">
        <v>66401</v>
      </c>
      <c r="D331" s="225">
        <v>46459.82</v>
      </c>
      <c r="E331" s="185"/>
      <c r="F331" s="72" t="e">
        <f>IF('M&amp;R Stations'!#REF!="","",('M&amp;R Stations'!#REF!+'M&amp;R Stations'!#REF!)+('LNG Facilities'!F314+'LNG Facilities'!G314+'LNG Facilities'!H314+'LNG Facilities'!R314+'LNG Facilities'!S314+'LNG Facilities'!T314)-'LNG Facilities'!#REF!-('NG Utilization'!C331+'NG Utilization'!D331+'NG Utilization'!E331))</f>
        <v>#REF!</v>
      </c>
      <c r="G331" s="58" t="e">
        <f>IF('M&amp;R Stations'!#REF!="","",F331+G330)</f>
        <v>#REF!</v>
      </c>
      <c r="H331" s="58" t="e">
        <f>IF('M&amp;R Stations'!#REF!="","",F331+H330)</f>
        <v>#REF!</v>
      </c>
      <c r="I331" s="58"/>
      <c r="J331" s="57" t="e">
        <f t="shared" si="81"/>
        <v>#REF!</v>
      </c>
      <c r="K331" s="58" t="e">
        <f t="shared" si="83"/>
        <v>#REF!</v>
      </c>
      <c r="L331" s="58" t="e">
        <f t="shared" si="84"/>
        <v>#REF!</v>
      </c>
      <c r="M331" s="58"/>
      <c r="N331" s="73" t="e">
        <f>IF(F331="","",ROUND((('M&amp;R Stations'!#REF!+'M&amp;R Stations'!#REF!)-('NG Utilization'!C331+'NG Utilization'!D331+'NG Utilization'!E331)-'LNG Facilities'!#REF!)*ROUND(((('M&amp;R Stations'!#REF!*'M&amp;R Stations'!L314)+('M&amp;R Stations'!#REF!*'M&amp;R Stations'!F314))/1000)/('M&amp;R Stations'!#REF!+'M&amp;R Stations'!#REF!),3),0)+ROUND((('LNG Facilities'!F314*'LNG Facilities'!K314+'LNG Facilities'!G314*'LNG Facilities'!L314+'LNG Facilities'!H314*'LNG Facilities'!M314+'LNG Facilities'!R314*'LNG Facilities'!W314+'LNG Facilities'!S314*'LNG Facilities'!X314+'LNG Facilities'!T314*'LNG Facilities'!#REF!)/1000),0))</f>
        <v>#REF!</v>
      </c>
      <c r="O331" s="58" t="e">
        <f t="shared" si="85"/>
        <v>#REF!</v>
      </c>
      <c r="P331" s="58" t="e">
        <f t="shared" si="86"/>
        <v>#REF!</v>
      </c>
      <c r="Q331" s="58"/>
      <c r="R331" s="57" t="e">
        <f t="shared" si="82"/>
        <v>#REF!</v>
      </c>
      <c r="S331" s="58" t="e">
        <f t="shared" si="87"/>
        <v>#REF!</v>
      </c>
      <c r="T331" s="58" t="e">
        <f t="shared" si="88"/>
        <v>#REF!</v>
      </c>
      <c r="U331" s="59"/>
      <c r="V331" s="59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</row>
    <row r="332" spans="1:46" x14ac:dyDescent="0.25">
      <c r="A332" s="31">
        <f>'M&amp;R Stations'!A315</f>
        <v>39274</v>
      </c>
      <c r="B332" s="89"/>
      <c r="C332" s="227">
        <v>66494</v>
      </c>
      <c r="D332" s="225">
        <v>46459.82</v>
      </c>
      <c r="E332" s="185"/>
      <c r="F332" s="72" t="e">
        <f>IF('M&amp;R Stations'!#REF!="","",('M&amp;R Stations'!#REF!+'M&amp;R Stations'!#REF!)+('LNG Facilities'!F315+'LNG Facilities'!G315+'LNG Facilities'!H315+'LNG Facilities'!R315+'LNG Facilities'!S315+'LNG Facilities'!T315)-'LNG Facilities'!#REF!-('NG Utilization'!C332+'NG Utilization'!D332+'NG Utilization'!E332))</f>
        <v>#REF!</v>
      </c>
      <c r="G332" s="58" t="e">
        <f>IF('M&amp;R Stations'!#REF!="","",F332+G331)</f>
        <v>#REF!</v>
      </c>
      <c r="H332" s="58" t="e">
        <f>IF('M&amp;R Stations'!#REF!="","",F332+H331)</f>
        <v>#REF!</v>
      </c>
      <c r="I332" s="58"/>
      <c r="J332" s="57" t="e">
        <f t="shared" si="81"/>
        <v>#REF!</v>
      </c>
      <c r="K332" s="58" t="e">
        <f t="shared" si="83"/>
        <v>#REF!</v>
      </c>
      <c r="L332" s="58" t="e">
        <f t="shared" si="84"/>
        <v>#REF!</v>
      </c>
      <c r="M332" s="58"/>
      <c r="N332" s="73" t="e">
        <f>IF(F332="","",ROUND((('M&amp;R Stations'!#REF!+'M&amp;R Stations'!#REF!)-('NG Utilization'!C332+'NG Utilization'!D332+'NG Utilization'!E332)-'LNG Facilities'!#REF!)*ROUND(((('M&amp;R Stations'!#REF!*'M&amp;R Stations'!L315)+('M&amp;R Stations'!#REF!*'M&amp;R Stations'!F315))/1000)/('M&amp;R Stations'!#REF!+'M&amp;R Stations'!#REF!),3),0)+ROUND((('LNG Facilities'!F315*'LNG Facilities'!K315+'LNG Facilities'!G315*'LNG Facilities'!L315+'LNG Facilities'!H315*'LNG Facilities'!M315+'LNG Facilities'!R315*'LNG Facilities'!W315+'LNG Facilities'!S315*'LNG Facilities'!X315+'LNG Facilities'!T315*'LNG Facilities'!#REF!)/1000),0))</f>
        <v>#REF!</v>
      </c>
      <c r="O332" s="58" t="e">
        <f t="shared" si="85"/>
        <v>#REF!</v>
      </c>
      <c r="P332" s="58" t="e">
        <f t="shared" si="86"/>
        <v>#REF!</v>
      </c>
      <c r="Q332" s="58"/>
      <c r="R332" s="57" t="e">
        <f t="shared" si="82"/>
        <v>#REF!</v>
      </c>
      <c r="S332" s="58" t="e">
        <f t="shared" si="87"/>
        <v>#REF!</v>
      </c>
      <c r="T332" s="58" t="e">
        <f t="shared" si="88"/>
        <v>#REF!</v>
      </c>
      <c r="U332" s="59"/>
      <c r="V332" s="59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</row>
    <row r="333" spans="1:46" x14ac:dyDescent="0.25">
      <c r="A333" s="31">
        <f>'M&amp;R Stations'!A316</f>
        <v>39275</v>
      </c>
      <c r="B333" s="89"/>
      <c r="C333" s="227">
        <v>64525</v>
      </c>
      <c r="D333" s="225">
        <v>46459.82</v>
      </c>
      <c r="E333" s="185"/>
      <c r="F333" s="72" t="e">
        <f>IF('M&amp;R Stations'!#REF!="","",('M&amp;R Stations'!#REF!+'M&amp;R Stations'!#REF!)+('LNG Facilities'!F316+'LNG Facilities'!G316+'LNG Facilities'!H316+'LNG Facilities'!R316+'LNG Facilities'!S316+'LNG Facilities'!T316)-'LNG Facilities'!#REF!-('NG Utilization'!C333+'NG Utilization'!D333+'NG Utilization'!E333))</f>
        <v>#REF!</v>
      </c>
      <c r="G333" s="58" t="e">
        <f>IF('M&amp;R Stations'!#REF!="","",F333+G332)</f>
        <v>#REF!</v>
      </c>
      <c r="H333" s="58" t="e">
        <f>IF('M&amp;R Stations'!#REF!="","",F333+H332)</f>
        <v>#REF!</v>
      </c>
      <c r="I333" s="58"/>
      <c r="J333" s="57" t="e">
        <f t="shared" si="81"/>
        <v>#REF!</v>
      </c>
      <c r="K333" s="58" t="e">
        <f t="shared" si="83"/>
        <v>#REF!</v>
      </c>
      <c r="L333" s="58" t="e">
        <f t="shared" si="84"/>
        <v>#REF!</v>
      </c>
      <c r="M333" s="58"/>
      <c r="N333" s="73" t="e">
        <f>IF(F333="","",ROUND((('M&amp;R Stations'!#REF!+'M&amp;R Stations'!#REF!)-('NG Utilization'!C333+'NG Utilization'!D333+'NG Utilization'!E333)-'LNG Facilities'!#REF!)*ROUND(((('M&amp;R Stations'!#REF!*'M&amp;R Stations'!L316)+('M&amp;R Stations'!#REF!*'M&amp;R Stations'!F316))/1000)/('M&amp;R Stations'!#REF!+'M&amp;R Stations'!#REF!),3),0)+ROUND((('LNG Facilities'!F316*'LNG Facilities'!K316+'LNG Facilities'!G316*'LNG Facilities'!L316+'LNG Facilities'!H316*'LNG Facilities'!M316+'LNG Facilities'!R316*'LNG Facilities'!W316+'LNG Facilities'!S316*'LNG Facilities'!X316+'LNG Facilities'!T316*'LNG Facilities'!#REF!)/1000),0))</f>
        <v>#REF!</v>
      </c>
      <c r="O333" s="58" t="e">
        <f t="shared" si="85"/>
        <v>#REF!</v>
      </c>
      <c r="P333" s="58" t="e">
        <f t="shared" si="86"/>
        <v>#REF!</v>
      </c>
      <c r="Q333" s="58"/>
      <c r="R333" s="57" t="e">
        <f t="shared" si="82"/>
        <v>#REF!</v>
      </c>
      <c r="S333" s="58" t="e">
        <f t="shared" si="87"/>
        <v>#REF!</v>
      </c>
      <c r="T333" s="58" t="e">
        <f t="shared" si="88"/>
        <v>#REF!</v>
      </c>
      <c r="U333" s="59"/>
      <c r="V333" s="59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</row>
    <row r="334" spans="1:46" x14ac:dyDescent="0.25">
      <c r="A334" s="31">
        <f>'M&amp;R Stations'!A317</f>
        <v>39276</v>
      </c>
      <c r="B334" s="89"/>
      <c r="C334" s="227">
        <v>66570</v>
      </c>
      <c r="D334" s="225">
        <v>46459.82</v>
      </c>
      <c r="E334" s="185"/>
      <c r="F334" s="72" t="e">
        <f>IF('M&amp;R Stations'!#REF!="","",('M&amp;R Stations'!#REF!+'M&amp;R Stations'!#REF!)+('LNG Facilities'!F317+'LNG Facilities'!G317+'LNG Facilities'!H317+'LNG Facilities'!R317+'LNG Facilities'!S317+'LNG Facilities'!T317)-'LNG Facilities'!#REF!-('NG Utilization'!C334+'NG Utilization'!D334+'NG Utilization'!E334))</f>
        <v>#REF!</v>
      </c>
      <c r="G334" s="58" t="e">
        <f>IF('M&amp;R Stations'!#REF!="","",F334+G333)</f>
        <v>#REF!</v>
      </c>
      <c r="H334" s="58" t="e">
        <f>IF('M&amp;R Stations'!#REF!="","",F334+H333)</f>
        <v>#REF!</v>
      </c>
      <c r="I334" s="58"/>
      <c r="J334" s="57" t="e">
        <f t="shared" si="81"/>
        <v>#REF!</v>
      </c>
      <c r="K334" s="58" t="e">
        <f t="shared" si="83"/>
        <v>#REF!</v>
      </c>
      <c r="L334" s="58" t="e">
        <f t="shared" si="84"/>
        <v>#REF!</v>
      </c>
      <c r="M334" s="58"/>
      <c r="N334" s="73" t="e">
        <f>IF(F334="","",ROUND((('M&amp;R Stations'!#REF!+'M&amp;R Stations'!#REF!)-('NG Utilization'!C334+'NG Utilization'!D334+'NG Utilization'!E334)-'LNG Facilities'!#REF!)*ROUND(((('M&amp;R Stations'!#REF!*'M&amp;R Stations'!L317)+('M&amp;R Stations'!#REF!*'M&amp;R Stations'!F317))/1000)/('M&amp;R Stations'!#REF!+'M&amp;R Stations'!#REF!),3),0)+ROUND((('LNG Facilities'!F317*'LNG Facilities'!K317+'LNG Facilities'!G317*'LNG Facilities'!L317+'LNG Facilities'!H317*'LNG Facilities'!M317+'LNG Facilities'!R317*'LNG Facilities'!W317+'LNG Facilities'!S317*'LNG Facilities'!X317+'LNG Facilities'!T317*'LNG Facilities'!#REF!)/1000),0))</f>
        <v>#REF!</v>
      </c>
      <c r="O334" s="58" t="e">
        <f t="shared" si="85"/>
        <v>#REF!</v>
      </c>
      <c r="P334" s="58" t="e">
        <f t="shared" si="86"/>
        <v>#REF!</v>
      </c>
      <c r="Q334" s="58"/>
      <c r="R334" s="57" t="e">
        <f t="shared" si="82"/>
        <v>#REF!</v>
      </c>
      <c r="S334" s="58" t="e">
        <f t="shared" si="87"/>
        <v>#REF!</v>
      </c>
      <c r="T334" s="58" t="e">
        <f t="shared" si="88"/>
        <v>#REF!</v>
      </c>
      <c r="U334" s="59"/>
      <c r="V334" s="59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</row>
    <row r="335" spans="1:46" x14ac:dyDescent="0.25">
      <c r="A335" s="31">
        <f>'M&amp;R Stations'!A318</f>
        <v>39277</v>
      </c>
      <c r="B335" s="89"/>
      <c r="C335" s="227">
        <v>62137</v>
      </c>
      <c r="D335" s="225">
        <v>46459.82</v>
      </c>
      <c r="E335" s="185"/>
      <c r="F335" s="72" t="e">
        <f>IF('M&amp;R Stations'!#REF!="","",('M&amp;R Stations'!#REF!+'M&amp;R Stations'!#REF!)+('LNG Facilities'!F318+'LNG Facilities'!G318+'LNG Facilities'!H318+'LNG Facilities'!R318+'LNG Facilities'!S318+'LNG Facilities'!T318)-'LNG Facilities'!#REF!-('NG Utilization'!C335+'NG Utilization'!D335+'NG Utilization'!E335))</f>
        <v>#REF!</v>
      </c>
      <c r="G335" s="58" t="e">
        <f>IF('M&amp;R Stations'!#REF!="","",F335+G334)</f>
        <v>#REF!</v>
      </c>
      <c r="H335" s="58" t="e">
        <f>IF('M&amp;R Stations'!#REF!="","",F335+H334)</f>
        <v>#REF!</v>
      </c>
      <c r="I335" s="58"/>
      <c r="J335" s="57" t="e">
        <f t="shared" si="81"/>
        <v>#REF!</v>
      </c>
      <c r="K335" s="58" t="e">
        <f t="shared" si="83"/>
        <v>#REF!</v>
      </c>
      <c r="L335" s="58" t="e">
        <f t="shared" si="84"/>
        <v>#REF!</v>
      </c>
      <c r="M335" s="58"/>
      <c r="N335" s="73" t="e">
        <f>IF(F335="","",ROUND((('M&amp;R Stations'!#REF!+'M&amp;R Stations'!#REF!)-('NG Utilization'!C335+'NG Utilization'!D335+'NG Utilization'!E335)-'LNG Facilities'!#REF!)*ROUND(((('M&amp;R Stations'!#REF!*'M&amp;R Stations'!L318)+('M&amp;R Stations'!#REF!*'M&amp;R Stations'!F318))/1000)/('M&amp;R Stations'!#REF!+'M&amp;R Stations'!#REF!),3),0)+ROUND((('LNG Facilities'!F318*'LNG Facilities'!K318+'LNG Facilities'!G318*'LNG Facilities'!L318+'LNG Facilities'!H318*'LNG Facilities'!M318+'LNG Facilities'!R318*'LNG Facilities'!W318+'LNG Facilities'!S318*'LNG Facilities'!X318+'LNG Facilities'!T318*'LNG Facilities'!#REF!)/1000),0))</f>
        <v>#REF!</v>
      </c>
      <c r="O335" s="58" t="e">
        <f t="shared" si="85"/>
        <v>#REF!</v>
      </c>
      <c r="P335" s="58" t="e">
        <f t="shared" si="86"/>
        <v>#REF!</v>
      </c>
      <c r="Q335" s="58"/>
      <c r="R335" s="57" t="e">
        <f t="shared" si="82"/>
        <v>#REF!</v>
      </c>
      <c r="S335" s="58" t="e">
        <f t="shared" si="87"/>
        <v>#REF!</v>
      </c>
      <c r="T335" s="58" t="e">
        <f t="shared" si="88"/>
        <v>#REF!</v>
      </c>
      <c r="U335" s="59"/>
      <c r="V335" s="59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</row>
    <row r="336" spans="1:46" x14ac:dyDescent="0.25">
      <c r="A336" s="31">
        <f>'M&amp;R Stations'!A319</f>
        <v>39278</v>
      </c>
      <c r="B336" s="89"/>
      <c r="C336" s="227">
        <v>59393</v>
      </c>
      <c r="D336" s="225">
        <v>46459.82</v>
      </c>
      <c r="E336" s="185"/>
      <c r="F336" s="72" t="e">
        <f>IF('M&amp;R Stations'!#REF!="","",('M&amp;R Stations'!#REF!+'M&amp;R Stations'!#REF!)+('LNG Facilities'!F319+'LNG Facilities'!G319+'LNG Facilities'!H319+'LNG Facilities'!R319+'LNG Facilities'!S319+'LNG Facilities'!T319)-'LNG Facilities'!#REF!-('NG Utilization'!C336+'NG Utilization'!D336+'NG Utilization'!E336))</f>
        <v>#REF!</v>
      </c>
      <c r="G336" s="58" t="e">
        <f>IF('M&amp;R Stations'!#REF!="","",F336+G335)</f>
        <v>#REF!</v>
      </c>
      <c r="H336" s="58" t="e">
        <f>IF('M&amp;R Stations'!#REF!="","",F336+H335)</f>
        <v>#REF!</v>
      </c>
      <c r="I336" s="58"/>
      <c r="J336" s="57" t="e">
        <f t="shared" si="81"/>
        <v>#REF!</v>
      </c>
      <c r="K336" s="58" t="e">
        <f t="shared" si="83"/>
        <v>#REF!</v>
      </c>
      <c r="L336" s="58" t="e">
        <f t="shared" si="84"/>
        <v>#REF!</v>
      </c>
      <c r="M336" s="58"/>
      <c r="N336" s="73" t="e">
        <f>IF(F336="","",ROUND((('M&amp;R Stations'!#REF!+'M&amp;R Stations'!#REF!)-('NG Utilization'!C336+'NG Utilization'!D336+'NG Utilization'!E336)-'LNG Facilities'!#REF!)*ROUND(((('M&amp;R Stations'!#REF!*'M&amp;R Stations'!L319)+('M&amp;R Stations'!#REF!*'M&amp;R Stations'!F319))/1000)/('M&amp;R Stations'!#REF!+'M&amp;R Stations'!#REF!),3),0)+ROUND((('LNG Facilities'!F319*'LNG Facilities'!K319+'LNG Facilities'!G319*'LNG Facilities'!L319+'LNG Facilities'!H319*'LNG Facilities'!M319+'LNG Facilities'!R319*'LNG Facilities'!W319+'LNG Facilities'!S319*'LNG Facilities'!X319+'LNG Facilities'!T319*'LNG Facilities'!#REF!)/1000),0))</f>
        <v>#REF!</v>
      </c>
      <c r="O336" s="58" t="e">
        <f t="shared" si="85"/>
        <v>#REF!</v>
      </c>
      <c r="P336" s="58" t="e">
        <f t="shared" si="86"/>
        <v>#REF!</v>
      </c>
      <c r="Q336" s="58"/>
      <c r="R336" s="57" t="e">
        <f t="shared" si="82"/>
        <v>#REF!</v>
      </c>
      <c r="S336" s="58" t="e">
        <f t="shared" si="87"/>
        <v>#REF!</v>
      </c>
      <c r="T336" s="58" t="e">
        <f t="shared" si="88"/>
        <v>#REF!</v>
      </c>
      <c r="U336" s="59"/>
      <c r="V336" s="59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</row>
    <row r="337" spans="1:46" x14ac:dyDescent="0.25">
      <c r="A337" s="31">
        <f>'M&amp;R Stations'!A320</f>
        <v>39279</v>
      </c>
      <c r="B337" s="89"/>
      <c r="C337" s="227">
        <v>61014</v>
      </c>
      <c r="D337" s="225">
        <v>46459.82</v>
      </c>
      <c r="E337" s="185"/>
      <c r="F337" s="72" t="e">
        <f>IF('M&amp;R Stations'!#REF!="","",('M&amp;R Stations'!#REF!+'M&amp;R Stations'!#REF!)+('LNG Facilities'!F320+'LNG Facilities'!G320+'LNG Facilities'!H320+'LNG Facilities'!R320+'LNG Facilities'!S320+'LNG Facilities'!T320)-'LNG Facilities'!#REF!-('NG Utilization'!C337+'NG Utilization'!D337+'NG Utilization'!E337))</f>
        <v>#REF!</v>
      </c>
      <c r="G337" s="58" t="e">
        <f>IF('M&amp;R Stations'!#REF!="","",F337+G336)</f>
        <v>#REF!</v>
      </c>
      <c r="H337" s="58" t="e">
        <f>IF('M&amp;R Stations'!#REF!="","",F337+H336)</f>
        <v>#REF!</v>
      </c>
      <c r="I337" s="58"/>
      <c r="J337" s="57" t="e">
        <f t="shared" si="81"/>
        <v>#REF!</v>
      </c>
      <c r="K337" s="58" t="e">
        <f t="shared" si="83"/>
        <v>#REF!</v>
      </c>
      <c r="L337" s="58" t="e">
        <f t="shared" si="84"/>
        <v>#REF!</v>
      </c>
      <c r="M337" s="58"/>
      <c r="N337" s="73" t="e">
        <f>IF(F337="","",ROUND((('M&amp;R Stations'!#REF!+'M&amp;R Stations'!#REF!)-('NG Utilization'!C337+'NG Utilization'!D337+'NG Utilization'!E337)-'LNG Facilities'!#REF!)*ROUND(((('M&amp;R Stations'!#REF!*'M&amp;R Stations'!L320)+('M&amp;R Stations'!#REF!*'M&amp;R Stations'!F320))/1000)/('M&amp;R Stations'!#REF!+'M&amp;R Stations'!#REF!),3),0)+ROUND((('LNG Facilities'!F320*'LNG Facilities'!K320+'LNG Facilities'!G320*'LNG Facilities'!L320+'LNG Facilities'!H320*'LNG Facilities'!M320+'LNG Facilities'!R320*'LNG Facilities'!W320+'LNG Facilities'!S320*'LNG Facilities'!X320+'LNG Facilities'!T320*'LNG Facilities'!#REF!)/1000),0))</f>
        <v>#REF!</v>
      </c>
      <c r="O337" s="58" t="e">
        <f t="shared" si="85"/>
        <v>#REF!</v>
      </c>
      <c r="P337" s="58" t="e">
        <f t="shared" si="86"/>
        <v>#REF!</v>
      </c>
      <c r="Q337" s="58"/>
      <c r="R337" s="57" t="e">
        <f t="shared" si="82"/>
        <v>#REF!</v>
      </c>
      <c r="S337" s="58" t="e">
        <f t="shared" si="87"/>
        <v>#REF!</v>
      </c>
      <c r="T337" s="58" t="e">
        <f t="shared" si="88"/>
        <v>#REF!</v>
      </c>
      <c r="U337" s="59"/>
      <c r="V337" s="59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</row>
    <row r="338" spans="1:46" x14ac:dyDescent="0.25">
      <c r="A338" s="31">
        <f>'M&amp;R Stations'!A321</f>
        <v>39280</v>
      </c>
      <c r="B338" s="89"/>
      <c r="C338" s="227">
        <v>61399</v>
      </c>
      <c r="D338" s="225">
        <v>46459.82</v>
      </c>
      <c r="E338" s="185"/>
      <c r="F338" s="72" t="e">
        <f>IF('M&amp;R Stations'!#REF!="","",('M&amp;R Stations'!#REF!+'M&amp;R Stations'!#REF!)+('LNG Facilities'!F321+'LNG Facilities'!G321+'LNG Facilities'!H321+'LNG Facilities'!R321+'LNG Facilities'!S321+'LNG Facilities'!T321)-'LNG Facilities'!#REF!-('NG Utilization'!C338+'NG Utilization'!D338+'NG Utilization'!E338))</f>
        <v>#REF!</v>
      </c>
      <c r="G338" s="58" t="e">
        <f>IF('M&amp;R Stations'!#REF!="","",F338+G337)</f>
        <v>#REF!</v>
      </c>
      <c r="H338" s="58" t="e">
        <f>IF('M&amp;R Stations'!#REF!="","",F338+H337)</f>
        <v>#REF!</v>
      </c>
      <c r="I338" s="58"/>
      <c r="J338" s="57" t="e">
        <f t="shared" si="81"/>
        <v>#REF!</v>
      </c>
      <c r="K338" s="58" t="e">
        <f t="shared" si="83"/>
        <v>#REF!</v>
      </c>
      <c r="L338" s="58" t="e">
        <f t="shared" si="84"/>
        <v>#REF!</v>
      </c>
      <c r="M338" s="58"/>
      <c r="N338" s="73" t="e">
        <f>IF(F338="","",ROUND((('M&amp;R Stations'!#REF!+'M&amp;R Stations'!#REF!)-('NG Utilization'!C338+'NG Utilization'!D338+'NG Utilization'!E338)-'LNG Facilities'!#REF!)*ROUND(((('M&amp;R Stations'!#REF!*'M&amp;R Stations'!L321)+('M&amp;R Stations'!#REF!*'M&amp;R Stations'!F321))/1000)/('M&amp;R Stations'!#REF!+'M&amp;R Stations'!#REF!),3),0)+ROUND((('LNG Facilities'!F321*'LNG Facilities'!K321+'LNG Facilities'!G321*'LNG Facilities'!L321+'LNG Facilities'!H321*'LNG Facilities'!M321+'LNG Facilities'!R321*'LNG Facilities'!W321+'LNG Facilities'!S321*'LNG Facilities'!X321+'LNG Facilities'!T321*'LNG Facilities'!#REF!)/1000),0))</f>
        <v>#REF!</v>
      </c>
      <c r="O338" s="58" t="e">
        <f t="shared" si="85"/>
        <v>#REF!</v>
      </c>
      <c r="P338" s="58" t="e">
        <f t="shared" si="86"/>
        <v>#REF!</v>
      </c>
      <c r="Q338" s="58"/>
      <c r="R338" s="57" t="e">
        <f t="shared" si="82"/>
        <v>#REF!</v>
      </c>
      <c r="S338" s="58" t="e">
        <f t="shared" si="87"/>
        <v>#REF!</v>
      </c>
      <c r="T338" s="58" t="e">
        <f t="shared" si="88"/>
        <v>#REF!</v>
      </c>
      <c r="U338" s="59"/>
      <c r="V338" s="59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</row>
    <row r="339" spans="1:46" x14ac:dyDescent="0.25">
      <c r="A339" s="31">
        <f>'M&amp;R Stations'!A322</f>
        <v>39281</v>
      </c>
      <c r="B339" s="89"/>
      <c r="C339" s="227">
        <v>59921</v>
      </c>
      <c r="D339" s="225">
        <v>46459.82</v>
      </c>
      <c r="E339" s="185"/>
      <c r="F339" s="72" t="e">
        <f>IF('M&amp;R Stations'!#REF!="","",('M&amp;R Stations'!#REF!+'M&amp;R Stations'!#REF!)+('LNG Facilities'!F322+'LNG Facilities'!G322+'LNG Facilities'!H322+'LNG Facilities'!R322+'LNG Facilities'!S322+'LNG Facilities'!T322)-'LNG Facilities'!#REF!-('NG Utilization'!C339+'NG Utilization'!D339+'NG Utilization'!E339))</f>
        <v>#REF!</v>
      </c>
      <c r="G339" s="58" t="e">
        <f>IF('M&amp;R Stations'!#REF!="","",F339+G338)</f>
        <v>#REF!</v>
      </c>
      <c r="H339" s="58" t="e">
        <f>IF('M&amp;R Stations'!#REF!="","",F339+H338)</f>
        <v>#REF!</v>
      </c>
      <c r="I339" s="58"/>
      <c r="J339" s="57" t="e">
        <f t="shared" si="81"/>
        <v>#REF!</v>
      </c>
      <c r="K339" s="58" t="e">
        <f t="shared" si="83"/>
        <v>#REF!</v>
      </c>
      <c r="L339" s="58" t="e">
        <f t="shared" si="84"/>
        <v>#REF!</v>
      </c>
      <c r="M339" s="58"/>
      <c r="N339" s="73" t="e">
        <f>IF(F339="","",ROUND((('M&amp;R Stations'!#REF!+'M&amp;R Stations'!#REF!)-('NG Utilization'!C339+'NG Utilization'!D339+'NG Utilization'!E339)-'LNG Facilities'!#REF!)*ROUND(((('M&amp;R Stations'!#REF!*'M&amp;R Stations'!L322)+('M&amp;R Stations'!#REF!*'M&amp;R Stations'!F322))/1000)/('M&amp;R Stations'!#REF!+'M&amp;R Stations'!#REF!),3),0)+ROUND((('LNG Facilities'!F322*'LNG Facilities'!K322+'LNG Facilities'!G322*'LNG Facilities'!L322+'LNG Facilities'!H322*'LNG Facilities'!M322+'LNG Facilities'!R322*'LNG Facilities'!W322+'LNG Facilities'!S322*'LNG Facilities'!X322+'LNG Facilities'!T322*'LNG Facilities'!#REF!)/1000),0))</f>
        <v>#REF!</v>
      </c>
      <c r="O339" s="58" t="e">
        <f t="shared" si="85"/>
        <v>#REF!</v>
      </c>
      <c r="P339" s="58" t="e">
        <f t="shared" si="86"/>
        <v>#REF!</v>
      </c>
      <c r="Q339" s="58"/>
      <c r="R339" s="57" t="e">
        <f t="shared" si="82"/>
        <v>#REF!</v>
      </c>
      <c r="S339" s="58" t="e">
        <f t="shared" si="87"/>
        <v>#REF!</v>
      </c>
      <c r="T339" s="58" t="e">
        <f t="shared" si="88"/>
        <v>#REF!</v>
      </c>
      <c r="U339" s="59"/>
      <c r="V339" s="59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</row>
    <row r="340" spans="1:46" x14ac:dyDescent="0.25">
      <c r="A340" s="31">
        <f>'M&amp;R Stations'!A323</f>
        <v>39282</v>
      </c>
      <c r="B340" s="89"/>
      <c r="C340" s="227">
        <v>63254</v>
      </c>
      <c r="D340" s="225">
        <v>46459.82</v>
      </c>
      <c r="E340" s="185"/>
      <c r="F340" s="72" t="e">
        <f>IF('M&amp;R Stations'!#REF!="","",('M&amp;R Stations'!#REF!+'M&amp;R Stations'!#REF!)+('LNG Facilities'!F323+'LNG Facilities'!G323+'LNG Facilities'!H323+'LNG Facilities'!R323+'LNG Facilities'!S323+'LNG Facilities'!T323)-'LNG Facilities'!#REF!-('NG Utilization'!C340+'NG Utilization'!D340+'NG Utilization'!E340))</f>
        <v>#REF!</v>
      </c>
      <c r="G340" s="58" t="e">
        <f>IF('M&amp;R Stations'!#REF!="","",F340+G339)</f>
        <v>#REF!</v>
      </c>
      <c r="H340" s="58" t="e">
        <f>IF('M&amp;R Stations'!#REF!="","",F340+H339)</f>
        <v>#REF!</v>
      </c>
      <c r="I340" s="58"/>
      <c r="J340" s="57" t="e">
        <f t="shared" si="81"/>
        <v>#REF!</v>
      </c>
      <c r="K340" s="58" t="e">
        <f t="shared" si="83"/>
        <v>#REF!</v>
      </c>
      <c r="L340" s="58" t="e">
        <f t="shared" si="84"/>
        <v>#REF!</v>
      </c>
      <c r="M340" s="58"/>
      <c r="N340" s="73" t="e">
        <f>IF(F340="","",ROUND((('M&amp;R Stations'!#REF!+'M&amp;R Stations'!#REF!)-('NG Utilization'!C340+'NG Utilization'!D340+'NG Utilization'!E340)-'LNG Facilities'!#REF!)*ROUND(((('M&amp;R Stations'!#REF!*'M&amp;R Stations'!L323)+('M&amp;R Stations'!#REF!*'M&amp;R Stations'!F323))/1000)/('M&amp;R Stations'!#REF!+'M&amp;R Stations'!#REF!),3),0)+ROUND((('LNG Facilities'!F323*'LNG Facilities'!K323+'LNG Facilities'!G323*'LNG Facilities'!L323+'LNG Facilities'!H323*'LNG Facilities'!M323+'LNG Facilities'!R323*'LNG Facilities'!W323+'LNG Facilities'!S323*'LNG Facilities'!X323+'LNG Facilities'!T323*'LNG Facilities'!#REF!)/1000),0))</f>
        <v>#REF!</v>
      </c>
      <c r="O340" s="58" t="e">
        <f t="shared" si="85"/>
        <v>#REF!</v>
      </c>
      <c r="P340" s="58" t="e">
        <f t="shared" si="86"/>
        <v>#REF!</v>
      </c>
      <c r="Q340" s="58"/>
      <c r="R340" s="57" t="e">
        <f t="shared" si="82"/>
        <v>#REF!</v>
      </c>
      <c r="S340" s="58" t="e">
        <f t="shared" si="87"/>
        <v>#REF!</v>
      </c>
      <c r="T340" s="58" t="e">
        <f t="shared" si="88"/>
        <v>#REF!</v>
      </c>
      <c r="U340" s="59"/>
      <c r="V340" s="59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</row>
    <row r="341" spans="1:46" x14ac:dyDescent="0.25">
      <c r="A341" s="31">
        <f>'M&amp;R Stations'!A324</f>
        <v>39283</v>
      </c>
      <c r="B341" s="89"/>
      <c r="C341" s="227">
        <v>62951</v>
      </c>
      <c r="D341" s="225">
        <v>46459.82</v>
      </c>
      <c r="E341" s="185"/>
      <c r="F341" s="72" t="e">
        <f>IF('M&amp;R Stations'!#REF!="","",('M&amp;R Stations'!#REF!+'M&amp;R Stations'!#REF!)+('LNG Facilities'!F324+'LNG Facilities'!G324+'LNG Facilities'!H324+'LNG Facilities'!R324+'LNG Facilities'!S324+'LNG Facilities'!T324)-'LNG Facilities'!#REF!-('NG Utilization'!C341+'NG Utilization'!D341+'NG Utilization'!E341))</f>
        <v>#REF!</v>
      </c>
      <c r="G341" s="58" t="e">
        <f>IF('M&amp;R Stations'!#REF!="","",F341+G340)</f>
        <v>#REF!</v>
      </c>
      <c r="H341" s="58" t="e">
        <f>IF('M&amp;R Stations'!#REF!="","",F341+H340)</f>
        <v>#REF!</v>
      </c>
      <c r="I341" s="58"/>
      <c r="J341" s="57" t="e">
        <f t="shared" si="81"/>
        <v>#REF!</v>
      </c>
      <c r="K341" s="58" t="e">
        <f t="shared" si="83"/>
        <v>#REF!</v>
      </c>
      <c r="L341" s="58" t="e">
        <f t="shared" si="84"/>
        <v>#REF!</v>
      </c>
      <c r="M341" s="58"/>
      <c r="N341" s="73" t="e">
        <f>IF(F341="","",ROUND((('M&amp;R Stations'!#REF!+'M&amp;R Stations'!#REF!)-('NG Utilization'!C341+'NG Utilization'!D341+'NG Utilization'!E341)-'LNG Facilities'!#REF!)*ROUND(((('M&amp;R Stations'!#REF!*'M&amp;R Stations'!L324)+('M&amp;R Stations'!#REF!*'M&amp;R Stations'!F324))/1000)/('M&amp;R Stations'!#REF!+'M&amp;R Stations'!#REF!),3),0)+ROUND((('LNG Facilities'!F324*'LNG Facilities'!K324+'LNG Facilities'!G324*'LNG Facilities'!L324+'LNG Facilities'!H324*'LNG Facilities'!M324+'LNG Facilities'!R324*'LNG Facilities'!W324+'LNG Facilities'!S324*'LNG Facilities'!X324+'LNG Facilities'!T324*'LNG Facilities'!#REF!)/1000),0))</f>
        <v>#REF!</v>
      </c>
      <c r="O341" s="58" t="e">
        <f t="shared" si="85"/>
        <v>#REF!</v>
      </c>
      <c r="P341" s="58" t="e">
        <f t="shared" si="86"/>
        <v>#REF!</v>
      </c>
      <c r="Q341" s="58"/>
      <c r="R341" s="57" t="e">
        <f t="shared" si="82"/>
        <v>#REF!</v>
      </c>
      <c r="S341" s="58" t="e">
        <f t="shared" si="87"/>
        <v>#REF!</v>
      </c>
      <c r="T341" s="58" t="e">
        <f t="shared" si="88"/>
        <v>#REF!</v>
      </c>
      <c r="U341" s="59"/>
      <c r="V341" s="59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</row>
    <row r="342" spans="1:46" x14ac:dyDescent="0.25">
      <c r="A342" s="31">
        <f>'M&amp;R Stations'!A325</f>
        <v>39284</v>
      </c>
      <c r="B342" s="89"/>
      <c r="C342" s="227">
        <v>60724</v>
      </c>
      <c r="D342" s="225">
        <v>46459.82</v>
      </c>
      <c r="E342" s="185"/>
      <c r="F342" s="72" t="e">
        <f>IF('M&amp;R Stations'!#REF!="","",('M&amp;R Stations'!#REF!+'M&amp;R Stations'!#REF!)+('LNG Facilities'!F325+'LNG Facilities'!G325+'LNG Facilities'!H325+'LNG Facilities'!R325+'LNG Facilities'!S325+'LNG Facilities'!T325)-'LNG Facilities'!#REF!-('NG Utilization'!C342+'NG Utilization'!D342+'NG Utilization'!E342))</f>
        <v>#REF!</v>
      </c>
      <c r="G342" s="58" t="e">
        <f>IF('M&amp;R Stations'!#REF!="","",F342+G341)</f>
        <v>#REF!</v>
      </c>
      <c r="H342" s="58" t="e">
        <f>IF('M&amp;R Stations'!#REF!="","",F342+H341)</f>
        <v>#REF!</v>
      </c>
      <c r="I342" s="58"/>
      <c r="J342" s="57" t="e">
        <f t="shared" si="81"/>
        <v>#REF!</v>
      </c>
      <c r="K342" s="58" t="e">
        <f t="shared" si="83"/>
        <v>#REF!</v>
      </c>
      <c r="L342" s="58" t="e">
        <f t="shared" si="84"/>
        <v>#REF!</v>
      </c>
      <c r="M342" s="58"/>
      <c r="N342" s="73" t="e">
        <f>IF(F342="","",ROUND((('M&amp;R Stations'!#REF!+'M&amp;R Stations'!#REF!)-('NG Utilization'!C342+'NG Utilization'!D342+'NG Utilization'!E342)-'LNG Facilities'!#REF!)*ROUND(((('M&amp;R Stations'!#REF!*'M&amp;R Stations'!L325)+('M&amp;R Stations'!#REF!*'M&amp;R Stations'!F325))/1000)/('M&amp;R Stations'!#REF!+'M&amp;R Stations'!#REF!),3),0)+ROUND((('LNG Facilities'!F325*'LNG Facilities'!K325+'LNG Facilities'!G325*'LNG Facilities'!L325+'LNG Facilities'!H325*'LNG Facilities'!M325+'LNG Facilities'!R325*'LNG Facilities'!W325+'LNG Facilities'!S325*'LNG Facilities'!X325+'LNG Facilities'!T325*'LNG Facilities'!#REF!)/1000),0))</f>
        <v>#REF!</v>
      </c>
      <c r="O342" s="58" t="e">
        <f t="shared" si="85"/>
        <v>#REF!</v>
      </c>
      <c r="P342" s="58" t="e">
        <f t="shared" si="86"/>
        <v>#REF!</v>
      </c>
      <c r="Q342" s="58"/>
      <c r="R342" s="57" t="e">
        <f t="shared" si="82"/>
        <v>#REF!</v>
      </c>
      <c r="S342" s="58" t="e">
        <f t="shared" si="87"/>
        <v>#REF!</v>
      </c>
      <c r="T342" s="58" t="e">
        <f t="shared" si="88"/>
        <v>#REF!</v>
      </c>
      <c r="U342" s="59"/>
      <c r="V342" s="59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</row>
    <row r="343" spans="1:46" x14ac:dyDescent="0.25">
      <c r="A343" s="31">
        <f>'M&amp;R Stations'!A326</f>
        <v>39285</v>
      </c>
      <c r="B343" s="89"/>
      <c r="C343" s="227">
        <v>60041</v>
      </c>
      <c r="D343" s="225">
        <v>46459.82</v>
      </c>
      <c r="E343" s="185"/>
      <c r="F343" s="72" t="e">
        <f>IF('M&amp;R Stations'!#REF!="","",('M&amp;R Stations'!#REF!+'M&amp;R Stations'!#REF!)+('LNG Facilities'!F326+'LNG Facilities'!G326+'LNG Facilities'!H326+'LNG Facilities'!R326+'LNG Facilities'!S326+'LNG Facilities'!T326)-'LNG Facilities'!#REF!-('NG Utilization'!C343+'NG Utilization'!D343+'NG Utilization'!E343))</f>
        <v>#REF!</v>
      </c>
      <c r="G343" s="58" t="e">
        <f>IF('M&amp;R Stations'!#REF!="","",F343+G342)</f>
        <v>#REF!</v>
      </c>
      <c r="H343" s="58" t="e">
        <f>IF('M&amp;R Stations'!#REF!="","",F343+H342)</f>
        <v>#REF!</v>
      </c>
      <c r="I343" s="58"/>
      <c r="J343" s="57" t="e">
        <f t="shared" si="81"/>
        <v>#REF!</v>
      </c>
      <c r="K343" s="58" t="e">
        <f t="shared" si="83"/>
        <v>#REF!</v>
      </c>
      <c r="L343" s="58" t="e">
        <f t="shared" si="84"/>
        <v>#REF!</v>
      </c>
      <c r="M343" s="58"/>
      <c r="N343" s="73" t="e">
        <f>IF(F343="","",ROUND((('M&amp;R Stations'!#REF!+'M&amp;R Stations'!#REF!)-('NG Utilization'!C343+'NG Utilization'!D343+'NG Utilization'!E343)-'LNG Facilities'!#REF!)*ROUND(((('M&amp;R Stations'!#REF!*'M&amp;R Stations'!L326)+('M&amp;R Stations'!#REF!*'M&amp;R Stations'!F326))/1000)/('M&amp;R Stations'!#REF!+'M&amp;R Stations'!#REF!),3),0)+ROUND((('LNG Facilities'!F326*'LNG Facilities'!K326+'LNG Facilities'!G326*'LNG Facilities'!L326+'LNG Facilities'!H326*'LNG Facilities'!M326+'LNG Facilities'!R326*'LNG Facilities'!W326+'LNG Facilities'!S326*'LNG Facilities'!X326+'LNG Facilities'!T326*'LNG Facilities'!#REF!)/1000),0))</f>
        <v>#REF!</v>
      </c>
      <c r="O343" s="58" t="e">
        <f t="shared" si="85"/>
        <v>#REF!</v>
      </c>
      <c r="P343" s="58" t="e">
        <f t="shared" si="86"/>
        <v>#REF!</v>
      </c>
      <c r="Q343" s="58"/>
      <c r="R343" s="57" t="e">
        <f t="shared" si="82"/>
        <v>#REF!</v>
      </c>
      <c r="S343" s="58" t="e">
        <f t="shared" si="87"/>
        <v>#REF!</v>
      </c>
      <c r="T343" s="58" t="e">
        <f t="shared" si="88"/>
        <v>#REF!</v>
      </c>
      <c r="U343" s="59"/>
      <c r="V343" s="59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</row>
    <row r="344" spans="1:46" x14ac:dyDescent="0.25">
      <c r="A344" s="31">
        <f>'M&amp;R Stations'!A327</f>
        <v>39286</v>
      </c>
      <c r="B344" s="89"/>
      <c r="C344" s="227">
        <v>63171</v>
      </c>
      <c r="D344" s="225">
        <v>46459.82</v>
      </c>
      <c r="E344" s="185"/>
      <c r="F344" s="72" t="e">
        <f>IF('M&amp;R Stations'!#REF!="","",('M&amp;R Stations'!#REF!+'M&amp;R Stations'!#REF!)+('LNG Facilities'!F327+'LNG Facilities'!G327+'LNG Facilities'!H327+'LNG Facilities'!R327+'LNG Facilities'!S327+'LNG Facilities'!T327)-'LNG Facilities'!#REF!-('NG Utilization'!C344+'NG Utilization'!D344+'NG Utilization'!E344))</f>
        <v>#REF!</v>
      </c>
      <c r="G344" s="58" t="e">
        <f>IF('M&amp;R Stations'!#REF!="","",F344+G343)</f>
        <v>#REF!</v>
      </c>
      <c r="H344" s="58" t="e">
        <f>IF('M&amp;R Stations'!#REF!="","",F344+H343)</f>
        <v>#REF!</v>
      </c>
      <c r="I344" s="58"/>
      <c r="J344" s="57" t="e">
        <f t="shared" si="81"/>
        <v>#REF!</v>
      </c>
      <c r="K344" s="58" t="e">
        <f t="shared" si="83"/>
        <v>#REF!</v>
      </c>
      <c r="L344" s="58" t="e">
        <f t="shared" si="84"/>
        <v>#REF!</v>
      </c>
      <c r="M344" s="58"/>
      <c r="N344" s="73" t="e">
        <f>IF(F344="","",ROUND((('M&amp;R Stations'!#REF!+'M&amp;R Stations'!#REF!)-('NG Utilization'!C344+'NG Utilization'!D344+'NG Utilization'!E344)-'LNG Facilities'!#REF!)*ROUND(((('M&amp;R Stations'!#REF!*'M&amp;R Stations'!L327)+('M&amp;R Stations'!#REF!*'M&amp;R Stations'!F327))/1000)/('M&amp;R Stations'!#REF!+'M&amp;R Stations'!#REF!),3),0)+ROUND((('LNG Facilities'!F327*'LNG Facilities'!K327+'LNG Facilities'!G327*'LNG Facilities'!L327+'LNG Facilities'!H327*'LNG Facilities'!M327+'LNG Facilities'!R327*'LNG Facilities'!W327+'LNG Facilities'!S327*'LNG Facilities'!X327+'LNG Facilities'!T327*'LNG Facilities'!#REF!)/1000),0))</f>
        <v>#REF!</v>
      </c>
      <c r="O344" s="58" t="e">
        <f t="shared" si="85"/>
        <v>#REF!</v>
      </c>
      <c r="P344" s="58" t="e">
        <f t="shared" si="86"/>
        <v>#REF!</v>
      </c>
      <c r="Q344" s="58"/>
      <c r="R344" s="57" t="e">
        <f t="shared" si="82"/>
        <v>#REF!</v>
      </c>
      <c r="S344" s="58" t="e">
        <f t="shared" si="87"/>
        <v>#REF!</v>
      </c>
      <c r="T344" s="58" t="e">
        <f t="shared" si="88"/>
        <v>#REF!</v>
      </c>
      <c r="U344" s="59"/>
      <c r="V344" s="59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</row>
    <row r="345" spans="1:46" x14ac:dyDescent="0.25">
      <c r="A345" s="31">
        <f>'M&amp;R Stations'!A328</f>
        <v>39287</v>
      </c>
      <c r="B345" s="89"/>
      <c r="C345" s="227">
        <v>63581</v>
      </c>
      <c r="D345" s="225">
        <v>46459.82</v>
      </c>
      <c r="E345" s="185"/>
      <c r="F345" s="72" t="e">
        <f>IF('M&amp;R Stations'!#REF!="","",('M&amp;R Stations'!#REF!+'M&amp;R Stations'!#REF!)+('LNG Facilities'!F328+'LNG Facilities'!G328+'LNG Facilities'!H328+'LNG Facilities'!R328+'LNG Facilities'!S328+'LNG Facilities'!T328)-'LNG Facilities'!#REF!-('NG Utilization'!C345+'NG Utilization'!D345+'NG Utilization'!E345))</f>
        <v>#REF!</v>
      </c>
      <c r="G345" s="58" t="e">
        <f>IF('M&amp;R Stations'!#REF!="","",F345+G344)</f>
        <v>#REF!</v>
      </c>
      <c r="H345" s="58" t="e">
        <f>IF('M&amp;R Stations'!#REF!="","",F345+H344)</f>
        <v>#REF!</v>
      </c>
      <c r="I345" s="58"/>
      <c r="J345" s="57" t="e">
        <f t="shared" si="81"/>
        <v>#REF!</v>
      </c>
      <c r="K345" s="58" t="e">
        <f t="shared" si="83"/>
        <v>#REF!</v>
      </c>
      <c r="L345" s="58" t="e">
        <f t="shared" si="84"/>
        <v>#REF!</v>
      </c>
      <c r="M345" s="58"/>
      <c r="N345" s="73" t="e">
        <f>IF(F345="","",ROUND((('M&amp;R Stations'!#REF!+'M&amp;R Stations'!#REF!)-('NG Utilization'!C345+'NG Utilization'!D345+'NG Utilization'!E345)-'LNG Facilities'!#REF!)*ROUND(((('M&amp;R Stations'!#REF!*'M&amp;R Stations'!L328)+('M&amp;R Stations'!#REF!*'M&amp;R Stations'!F328))/1000)/('M&amp;R Stations'!#REF!+'M&amp;R Stations'!#REF!),3),0)+ROUND((('LNG Facilities'!F328*'LNG Facilities'!K328+'LNG Facilities'!G328*'LNG Facilities'!L328+'LNG Facilities'!H328*'LNG Facilities'!M328+'LNG Facilities'!R328*'LNG Facilities'!W328+'LNG Facilities'!S328*'LNG Facilities'!X328+'LNG Facilities'!T328*'LNG Facilities'!#REF!)/1000),0))</f>
        <v>#REF!</v>
      </c>
      <c r="O345" s="58" t="e">
        <f t="shared" si="85"/>
        <v>#REF!</v>
      </c>
      <c r="P345" s="58" t="e">
        <f t="shared" si="86"/>
        <v>#REF!</v>
      </c>
      <c r="Q345" s="58"/>
      <c r="R345" s="57" t="e">
        <f t="shared" si="82"/>
        <v>#REF!</v>
      </c>
      <c r="S345" s="58" t="e">
        <f t="shared" si="87"/>
        <v>#REF!</v>
      </c>
      <c r="T345" s="58" t="e">
        <f t="shared" si="88"/>
        <v>#REF!</v>
      </c>
      <c r="U345" s="59"/>
      <c r="V345" s="59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</row>
    <row r="346" spans="1:46" x14ac:dyDescent="0.25">
      <c r="A346" s="31">
        <f>'M&amp;R Stations'!A329</f>
        <v>39288</v>
      </c>
      <c r="B346" s="89"/>
      <c r="C346" s="227">
        <v>63491</v>
      </c>
      <c r="D346" s="225">
        <v>46459.82</v>
      </c>
      <c r="E346" s="185"/>
      <c r="F346" s="72" t="e">
        <f>IF('M&amp;R Stations'!#REF!="","",('M&amp;R Stations'!#REF!+'M&amp;R Stations'!#REF!)+('LNG Facilities'!F329+'LNG Facilities'!G329+'LNG Facilities'!H329+'LNG Facilities'!R329+'LNG Facilities'!S329+'LNG Facilities'!T329)-'LNG Facilities'!#REF!-('NG Utilization'!C346+'NG Utilization'!D346+'NG Utilization'!E346))</f>
        <v>#REF!</v>
      </c>
      <c r="G346" s="58" t="e">
        <f>IF('M&amp;R Stations'!#REF!="","",F346+G345)</f>
        <v>#REF!</v>
      </c>
      <c r="H346" s="58" t="e">
        <f>IF('M&amp;R Stations'!#REF!="","",F346+H345)</f>
        <v>#REF!</v>
      </c>
      <c r="I346" s="58"/>
      <c r="J346" s="57" t="e">
        <f t="shared" si="81"/>
        <v>#REF!</v>
      </c>
      <c r="K346" s="58" t="e">
        <f t="shared" si="83"/>
        <v>#REF!</v>
      </c>
      <c r="L346" s="58" t="e">
        <f t="shared" si="84"/>
        <v>#REF!</v>
      </c>
      <c r="M346" s="58"/>
      <c r="N346" s="73" t="e">
        <f>IF(F346="","",ROUND((('M&amp;R Stations'!#REF!+'M&amp;R Stations'!#REF!)-('NG Utilization'!C346+'NG Utilization'!D346+'NG Utilization'!E346)-'LNG Facilities'!#REF!)*ROUND(((('M&amp;R Stations'!#REF!*'M&amp;R Stations'!L329)+('M&amp;R Stations'!#REF!*'M&amp;R Stations'!F329))/1000)/('M&amp;R Stations'!#REF!+'M&amp;R Stations'!#REF!),3),0)+ROUND((('LNG Facilities'!F329*'LNG Facilities'!K329+'LNG Facilities'!G329*'LNG Facilities'!L329+'LNG Facilities'!H329*'LNG Facilities'!M329+'LNG Facilities'!R329*'LNG Facilities'!W329+'LNG Facilities'!S329*'LNG Facilities'!X329+'LNG Facilities'!T329*'LNG Facilities'!#REF!)/1000),0))</f>
        <v>#REF!</v>
      </c>
      <c r="O346" s="58" t="e">
        <f t="shared" si="85"/>
        <v>#REF!</v>
      </c>
      <c r="P346" s="58" t="e">
        <f t="shared" si="86"/>
        <v>#REF!</v>
      </c>
      <c r="Q346" s="58"/>
      <c r="R346" s="57" t="e">
        <f t="shared" si="82"/>
        <v>#REF!</v>
      </c>
      <c r="S346" s="58" t="e">
        <f t="shared" si="87"/>
        <v>#REF!</v>
      </c>
      <c r="T346" s="58" t="e">
        <f t="shared" si="88"/>
        <v>#REF!</v>
      </c>
      <c r="U346" s="59"/>
      <c r="V346" s="59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</row>
    <row r="347" spans="1:46" x14ac:dyDescent="0.25">
      <c r="A347" s="31">
        <f>'M&amp;R Stations'!A330</f>
        <v>39289</v>
      </c>
      <c r="B347" s="89"/>
      <c r="C347" s="227">
        <v>63521</v>
      </c>
      <c r="D347" s="225">
        <v>46459.82</v>
      </c>
      <c r="E347" s="185"/>
      <c r="F347" s="72" t="e">
        <f>IF('M&amp;R Stations'!#REF!="","",('M&amp;R Stations'!#REF!+'M&amp;R Stations'!#REF!)+('LNG Facilities'!F330+'LNG Facilities'!G330+'LNG Facilities'!H330+'LNG Facilities'!R330+'LNG Facilities'!S330+'LNG Facilities'!T330)-'LNG Facilities'!#REF!-('NG Utilization'!C347+'NG Utilization'!D347+'NG Utilization'!E347))</f>
        <v>#REF!</v>
      </c>
      <c r="G347" s="58" t="e">
        <f>IF('M&amp;R Stations'!#REF!="","",F347+G346)</f>
        <v>#REF!</v>
      </c>
      <c r="H347" s="58" t="e">
        <f>IF('M&amp;R Stations'!#REF!="","",F347+H346)</f>
        <v>#REF!</v>
      </c>
      <c r="I347" s="58"/>
      <c r="J347" s="57" t="e">
        <f t="shared" si="81"/>
        <v>#REF!</v>
      </c>
      <c r="K347" s="58" t="e">
        <f t="shared" si="83"/>
        <v>#REF!</v>
      </c>
      <c r="L347" s="58" t="e">
        <f t="shared" si="84"/>
        <v>#REF!</v>
      </c>
      <c r="M347" s="58"/>
      <c r="N347" s="73" t="e">
        <f>IF(F347="","",ROUND((('M&amp;R Stations'!#REF!+'M&amp;R Stations'!#REF!)-('NG Utilization'!C347+'NG Utilization'!D347+'NG Utilization'!E347)-'LNG Facilities'!#REF!)*ROUND(((('M&amp;R Stations'!#REF!*'M&amp;R Stations'!L330)+('M&amp;R Stations'!#REF!*'M&amp;R Stations'!F330))/1000)/('M&amp;R Stations'!#REF!+'M&amp;R Stations'!#REF!),3),0)+ROUND((('LNG Facilities'!F330*'LNG Facilities'!K330+'LNG Facilities'!G330*'LNG Facilities'!L330+'LNG Facilities'!H330*'LNG Facilities'!M330+'LNG Facilities'!R330*'LNG Facilities'!W330+'LNG Facilities'!S330*'LNG Facilities'!X330+'LNG Facilities'!T330*'LNG Facilities'!#REF!)/1000),0))</f>
        <v>#REF!</v>
      </c>
      <c r="O347" s="58" t="e">
        <f t="shared" si="85"/>
        <v>#REF!</v>
      </c>
      <c r="P347" s="58" t="e">
        <f t="shared" si="86"/>
        <v>#REF!</v>
      </c>
      <c r="Q347" s="58"/>
      <c r="R347" s="57" t="e">
        <f t="shared" si="82"/>
        <v>#REF!</v>
      </c>
      <c r="S347" s="58" t="e">
        <f t="shared" si="87"/>
        <v>#REF!</v>
      </c>
      <c r="T347" s="58" t="e">
        <f t="shared" si="88"/>
        <v>#REF!</v>
      </c>
      <c r="U347" s="59"/>
      <c r="V347" s="59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</row>
    <row r="348" spans="1:46" x14ac:dyDescent="0.25">
      <c r="A348" s="31">
        <f>'M&amp;R Stations'!A331</f>
        <v>39290</v>
      </c>
      <c r="B348" s="89"/>
      <c r="C348" s="227">
        <v>63263</v>
      </c>
      <c r="D348" s="225">
        <v>46459.82</v>
      </c>
      <c r="E348" s="185"/>
      <c r="F348" s="72" t="e">
        <f>IF('M&amp;R Stations'!#REF!="","",('M&amp;R Stations'!#REF!+'M&amp;R Stations'!#REF!)+('LNG Facilities'!F331+'LNG Facilities'!G331+'LNG Facilities'!H331+'LNG Facilities'!R331+'LNG Facilities'!S331+'LNG Facilities'!T331)-'LNG Facilities'!#REF!-('NG Utilization'!C348+'NG Utilization'!D348+'NG Utilization'!E348))</f>
        <v>#REF!</v>
      </c>
      <c r="G348" s="58" t="e">
        <f>IF('M&amp;R Stations'!#REF!="","",F348+G347)</f>
        <v>#REF!</v>
      </c>
      <c r="H348" s="58" t="e">
        <f>IF('M&amp;R Stations'!#REF!="","",F348+H347)</f>
        <v>#REF!</v>
      </c>
      <c r="I348" s="58"/>
      <c r="J348" s="57" t="e">
        <f t="shared" si="81"/>
        <v>#REF!</v>
      </c>
      <c r="K348" s="58" t="e">
        <f t="shared" si="83"/>
        <v>#REF!</v>
      </c>
      <c r="L348" s="58" t="e">
        <f t="shared" si="84"/>
        <v>#REF!</v>
      </c>
      <c r="M348" s="58"/>
      <c r="N348" s="73" t="e">
        <f>IF(F348="","",ROUND((('M&amp;R Stations'!#REF!+'M&amp;R Stations'!#REF!)-('NG Utilization'!C348+'NG Utilization'!D348+'NG Utilization'!E348)-'LNG Facilities'!#REF!)*ROUND(((('M&amp;R Stations'!#REF!*'M&amp;R Stations'!L331)+('M&amp;R Stations'!#REF!*'M&amp;R Stations'!F331))/1000)/('M&amp;R Stations'!#REF!+'M&amp;R Stations'!#REF!),3),0)+ROUND((('LNG Facilities'!F331*'LNG Facilities'!K331+'LNG Facilities'!G331*'LNG Facilities'!L331+'LNG Facilities'!H331*'LNG Facilities'!M331+'LNG Facilities'!R331*'LNG Facilities'!W331+'LNG Facilities'!S331*'LNG Facilities'!X331+'LNG Facilities'!T331*'LNG Facilities'!#REF!)/1000),0))</f>
        <v>#REF!</v>
      </c>
      <c r="O348" s="58" t="e">
        <f t="shared" si="85"/>
        <v>#REF!</v>
      </c>
      <c r="P348" s="58" t="e">
        <f t="shared" si="86"/>
        <v>#REF!</v>
      </c>
      <c r="Q348" s="58"/>
      <c r="R348" s="57" t="e">
        <f t="shared" si="82"/>
        <v>#REF!</v>
      </c>
      <c r="S348" s="58" t="e">
        <f t="shared" si="87"/>
        <v>#REF!</v>
      </c>
      <c r="T348" s="58" t="e">
        <f t="shared" si="88"/>
        <v>#REF!</v>
      </c>
      <c r="U348" s="59"/>
      <c r="V348" s="59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</row>
    <row r="349" spans="1:46" x14ac:dyDescent="0.25">
      <c r="A349" s="31">
        <f>'M&amp;R Stations'!A332</f>
        <v>39291</v>
      </c>
      <c r="B349" s="89"/>
      <c r="C349" s="227">
        <v>61229</v>
      </c>
      <c r="D349" s="225">
        <v>46459.82</v>
      </c>
      <c r="E349" s="185"/>
      <c r="F349" s="72" t="e">
        <f>IF('M&amp;R Stations'!#REF!="","",('M&amp;R Stations'!#REF!+'M&amp;R Stations'!#REF!)+('LNG Facilities'!F332+'LNG Facilities'!G332+'LNG Facilities'!H332+'LNG Facilities'!R332+'LNG Facilities'!S332+'LNG Facilities'!T332)-'LNG Facilities'!#REF!-('NG Utilization'!C349+'NG Utilization'!D349+'NG Utilization'!E349))</f>
        <v>#REF!</v>
      </c>
      <c r="G349" s="58" t="e">
        <f>IF('M&amp;R Stations'!#REF!="","",F349+G348)</f>
        <v>#REF!</v>
      </c>
      <c r="H349" s="58" t="e">
        <f>IF('M&amp;R Stations'!#REF!="","",F349+H348)</f>
        <v>#REF!</v>
      </c>
      <c r="I349" s="58"/>
      <c r="J349" s="57" t="e">
        <f t="shared" si="81"/>
        <v>#REF!</v>
      </c>
      <c r="K349" s="58" t="e">
        <f t="shared" si="83"/>
        <v>#REF!</v>
      </c>
      <c r="L349" s="58" t="e">
        <f t="shared" si="84"/>
        <v>#REF!</v>
      </c>
      <c r="M349" s="58"/>
      <c r="N349" s="73" t="e">
        <f>IF(F349="","",ROUND((('M&amp;R Stations'!#REF!+'M&amp;R Stations'!#REF!)-('NG Utilization'!C349+'NG Utilization'!D349+'NG Utilization'!E349)-'LNG Facilities'!#REF!)*ROUND(((('M&amp;R Stations'!#REF!*'M&amp;R Stations'!L332)+('M&amp;R Stations'!#REF!*'M&amp;R Stations'!F332))/1000)/('M&amp;R Stations'!#REF!+'M&amp;R Stations'!#REF!),3),0)+ROUND((('LNG Facilities'!F332*'LNG Facilities'!K332+'LNG Facilities'!G332*'LNG Facilities'!L332+'LNG Facilities'!H332*'LNG Facilities'!M332+'LNG Facilities'!R332*'LNG Facilities'!W332+'LNG Facilities'!S332*'LNG Facilities'!X332+'LNG Facilities'!T332*'LNG Facilities'!#REF!)/1000),0))</f>
        <v>#REF!</v>
      </c>
      <c r="O349" s="58" t="e">
        <f t="shared" si="85"/>
        <v>#REF!</v>
      </c>
      <c r="P349" s="58" t="e">
        <f t="shared" si="86"/>
        <v>#REF!</v>
      </c>
      <c r="Q349" s="58"/>
      <c r="R349" s="57" t="e">
        <f t="shared" si="82"/>
        <v>#REF!</v>
      </c>
      <c r="S349" s="58" t="e">
        <f t="shared" si="87"/>
        <v>#REF!</v>
      </c>
      <c r="T349" s="58" t="e">
        <f t="shared" si="88"/>
        <v>#REF!</v>
      </c>
      <c r="U349" s="59"/>
      <c r="V349" s="59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</row>
    <row r="350" spans="1:46" x14ac:dyDescent="0.25">
      <c r="A350" s="31">
        <f>'M&amp;R Stations'!A333</f>
        <v>39292</v>
      </c>
      <c r="B350" s="89"/>
      <c r="C350" s="227">
        <v>58219</v>
      </c>
      <c r="D350" s="225">
        <v>46459.82</v>
      </c>
      <c r="E350" s="185"/>
      <c r="F350" s="72" t="e">
        <f>IF('M&amp;R Stations'!#REF!="","",('M&amp;R Stations'!#REF!+'M&amp;R Stations'!#REF!)+('LNG Facilities'!F333+'LNG Facilities'!G333+'LNG Facilities'!H333+'LNG Facilities'!R333+'LNG Facilities'!S333+'LNG Facilities'!T333)-'LNG Facilities'!#REF!-('NG Utilization'!C350+'NG Utilization'!D350+'NG Utilization'!E350))</f>
        <v>#REF!</v>
      </c>
      <c r="G350" s="58" t="e">
        <f>IF('M&amp;R Stations'!#REF!="","",F350+G349)</f>
        <v>#REF!</v>
      </c>
      <c r="H350" s="58" t="e">
        <f>IF('M&amp;R Stations'!#REF!="","",F350+H349)</f>
        <v>#REF!</v>
      </c>
      <c r="I350" s="58"/>
      <c r="J350" s="57" t="e">
        <f t="shared" si="81"/>
        <v>#REF!</v>
      </c>
      <c r="K350" s="58" t="e">
        <f t="shared" si="83"/>
        <v>#REF!</v>
      </c>
      <c r="L350" s="58" t="e">
        <f t="shared" si="84"/>
        <v>#REF!</v>
      </c>
      <c r="M350" s="58"/>
      <c r="N350" s="73" t="e">
        <f>IF(F350="","",ROUND((('M&amp;R Stations'!#REF!+'M&amp;R Stations'!#REF!)-('NG Utilization'!C350+'NG Utilization'!D350+'NG Utilization'!E350)-'LNG Facilities'!#REF!)*ROUND(((('M&amp;R Stations'!#REF!*'M&amp;R Stations'!L333)+('M&amp;R Stations'!#REF!*'M&amp;R Stations'!F333))/1000)/('M&amp;R Stations'!#REF!+'M&amp;R Stations'!#REF!),3),0)+ROUND((('LNG Facilities'!F333*'LNG Facilities'!K333+'LNG Facilities'!G333*'LNG Facilities'!L333+'LNG Facilities'!H333*'LNG Facilities'!M333+'LNG Facilities'!R333*'LNG Facilities'!W333+'LNG Facilities'!S333*'LNG Facilities'!X333+'LNG Facilities'!T333*'LNG Facilities'!#REF!)/1000),0))</f>
        <v>#REF!</v>
      </c>
      <c r="O350" s="58" t="e">
        <f t="shared" si="85"/>
        <v>#REF!</v>
      </c>
      <c r="P350" s="58" t="e">
        <f t="shared" si="86"/>
        <v>#REF!</v>
      </c>
      <c r="Q350" s="58"/>
      <c r="R350" s="57" t="e">
        <f t="shared" si="82"/>
        <v>#REF!</v>
      </c>
      <c r="S350" s="58" t="e">
        <f t="shared" si="87"/>
        <v>#REF!</v>
      </c>
      <c r="T350" s="58" t="e">
        <f t="shared" si="88"/>
        <v>#REF!</v>
      </c>
      <c r="U350" s="59"/>
      <c r="V350" s="59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</row>
    <row r="351" spans="1:46" x14ac:dyDescent="0.25">
      <c r="A351" s="31">
        <f>'M&amp;R Stations'!A334</f>
        <v>39293</v>
      </c>
      <c r="B351" s="89"/>
      <c r="C351" s="227">
        <v>60466</v>
      </c>
      <c r="D351" s="225">
        <v>46459.82</v>
      </c>
      <c r="E351" s="185"/>
      <c r="F351" s="72" t="e">
        <f>IF('M&amp;R Stations'!#REF!="","",('M&amp;R Stations'!#REF!+'M&amp;R Stations'!#REF!)+('LNG Facilities'!F334+'LNG Facilities'!G334+'LNG Facilities'!H334+'LNG Facilities'!R334+'LNG Facilities'!S334+'LNG Facilities'!T334)-'LNG Facilities'!#REF!-('NG Utilization'!C351+'NG Utilization'!D351+'NG Utilization'!E351))</f>
        <v>#REF!</v>
      </c>
      <c r="G351" s="58" t="e">
        <f>IF('M&amp;R Stations'!#REF!="","",F351+G350)</f>
        <v>#REF!</v>
      </c>
      <c r="H351" s="58" t="e">
        <f>IF('M&amp;R Stations'!#REF!="","",F351+H350)</f>
        <v>#REF!</v>
      </c>
      <c r="I351" s="58"/>
      <c r="J351" s="57" t="e">
        <f t="shared" si="81"/>
        <v>#REF!</v>
      </c>
      <c r="K351" s="58" t="e">
        <f t="shared" si="83"/>
        <v>#REF!</v>
      </c>
      <c r="L351" s="58" t="e">
        <f t="shared" si="84"/>
        <v>#REF!</v>
      </c>
      <c r="M351" s="58"/>
      <c r="N351" s="73" t="e">
        <f>IF(F351="","",ROUND((('M&amp;R Stations'!#REF!+'M&amp;R Stations'!#REF!)-('NG Utilization'!C351+'NG Utilization'!D351+'NG Utilization'!E351)-'LNG Facilities'!#REF!)*ROUND(((('M&amp;R Stations'!#REF!*'M&amp;R Stations'!L334)+('M&amp;R Stations'!#REF!*'M&amp;R Stations'!F334))/1000)/('M&amp;R Stations'!#REF!+'M&amp;R Stations'!#REF!),3),0)+ROUND((('LNG Facilities'!F334*'LNG Facilities'!K334+'LNG Facilities'!G334*'LNG Facilities'!L334+'LNG Facilities'!H334*'LNG Facilities'!M334+'LNG Facilities'!R334*'LNG Facilities'!W334+'LNG Facilities'!S334*'LNG Facilities'!X334+'LNG Facilities'!T334*'LNG Facilities'!#REF!)/1000),0))</f>
        <v>#REF!</v>
      </c>
      <c r="O351" s="58" t="e">
        <f t="shared" si="85"/>
        <v>#REF!</v>
      </c>
      <c r="P351" s="58" t="e">
        <f t="shared" si="86"/>
        <v>#REF!</v>
      </c>
      <c r="Q351" s="58"/>
      <c r="R351" s="57" t="e">
        <f t="shared" si="82"/>
        <v>#REF!</v>
      </c>
      <c r="S351" s="58" t="e">
        <f t="shared" si="87"/>
        <v>#REF!</v>
      </c>
      <c r="T351" s="58" t="e">
        <f t="shared" si="88"/>
        <v>#REF!</v>
      </c>
      <c r="U351" s="59"/>
      <c r="V351" s="59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</row>
    <row r="352" spans="1:46" x14ac:dyDescent="0.25">
      <c r="A352" s="31">
        <f>'M&amp;R Stations'!A335</f>
        <v>39294</v>
      </c>
      <c r="B352" s="89"/>
      <c r="C352" s="227">
        <v>63059</v>
      </c>
      <c r="D352" s="225">
        <v>46459.82</v>
      </c>
      <c r="E352" s="185"/>
      <c r="F352" s="72" t="e">
        <f>IF('M&amp;R Stations'!#REF!="","",('M&amp;R Stations'!#REF!+'M&amp;R Stations'!#REF!)+('LNG Facilities'!F335+'LNG Facilities'!G335+'LNG Facilities'!H335+'LNG Facilities'!R335+'LNG Facilities'!S335+'LNG Facilities'!T335)-'LNG Facilities'!#REF!-('NG Utilization'!C352+'NG Utilization'!D352+'NG Utilization'!E352))</f>
        <v>#REF!</v>
      </c>
      <c r="G352" s="58" t="e">
        <f>IF('M&amp;R Stations'!#REF!="","",F352+G351)</f>
        <v>#REF!</v>
      </c>
      <c r="H352" s="58" t="e">
        <f>IF('M&amp;R Stations'!#REF!="","",F352+H351)</f>
        <v>#REF!</v>
      </c>
      <c r="I352" s="58"/>
      <c r="J352" s="57" t="e">
        <f t="shared" si="81"/>
        <v>#REF!</v>
      </c>
      <c r="K352" s="58" t="e">
        <f>IF(J352="","",J352+K351)</f>
        <v>#REF!</v>
      </c>
      <c r="L352" s="58" t="e">
        <f>IF(J352="","",J352+L351)</f>
        <v>#REF!</v>
      </c>
      <c r="M352" s="58"/>
      <c r="N352" s="73" t="e">
        <f>IF(F352="","",ROUND((('M&amp;R Stations'!#REF!+'M&amp;R Stations'!#REF!)-('NG Utilization'!C352+'NG Utilization'!D352+'NG Utilization'!E352)-'LNG Facilities'!#REF!)*ROUND(((('M&amp;R Stations'!#REF!*'M&amp;R Stations'!L335)+('M&amp;R Stations'!#REF!*'M&amp;R Stations'!F335))/1000)/('M&amp;R Stations'!#REF!+'M&amp;R Stations'!#REF!),3),0)+ROUND((('LNG Facilities'!F335*'LNG Facilities'!K335+'LNG Facilities'!G335*'LNG Facilities'!L335+'LNG Facilities'!H335*'LNG Facilities'!M335+'LNG Facilities'!R335*'LNG Facilities'!W335+'LNG Facilities'!S335*'LNG Facilities'!X335+'LNG Facilities'!T335*'LNG Facilities'!#REF!)/1000),0))</f>
        <v>#REF!</v>
      </c>
      <c r="O352" s="58" t="e">
        <f>IF(N352="","",N352+O351)</f>
        <v>#REF!</v>
      </c>
      <c r="P352" s="58" t="e">
        <f>IF(N352="","",N352+P351)</f>
        <v>#REF!</v>
      </c>
      <c r="Q352" s="58"/>
      <c r="R352" s="57" t="e">
        <f t="shared" si="82"/>
        <v>#REF!</v>
      </c>
      <c r="S352" s="58" t="e">
        <f>IF(R352="","",R352+S351)</f>
        <v>#REF!</v>
      </c>
      <c r="T352" s="58" t="e">
        <f>IF(R352="","",R352+T351)</f>
        <v>#REF!</v>
      </c>
      <c r="U352" s="59"/>
      <c r="V352" s="59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</row>
    <row r="353" spans="1:46" x14ac:dyDescent="0.25">
      <c r="A353" s="179"/>
      <c r="B353" s="178"/>
      <c r="C353" s="178"/>
      <c r="D353" s="178"/>
      <c r="E353" s="187"/>
      <c r="F353" s="180"/>
      <c r="G353" s="181"/>
      <c r="H353" s="181"/>
      <c r="I353" s="181"/>
      <c r="J353" s="182"/>
      <c r="K353" s="181"/>
      <c r="L353" s="181"/>
      <c r="M353" s="181"/>
      <c r="N353" s="183"/>
      <c r="O353" s="181"/>
      <c r="P353" s="181"/>
      <c r="Q353" s="181"/>
      <c r="R353" s="182"/>
      <c r="S353" s="181"/>
      <c r="T353" s="181"/>
      <c r="U353" s="59"/>
      <c r="V353" s="59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</row>
    <row r="354" spans="1:46" x14ac:dyDescent="0.25">
      <c r="A354" s="31">
        <f>'M&amp;R Stations'!A336</f>
        <v>39295</v>
      </c>
      <c r="B354" s="89"/>
      <c r="C354" s="227">
        <v>61548</v>
      </c>
      <c r="D354" s="225">
        <v>46404.75</v>
      </c>
      <c r="E354" s="185"/>
      <c r="F354" s="72" t="e">
        <f>IF('M&amp;R Stations'!#REF!="","",('M&amp;R Stations'!#REF!+'M&amp;R Stations'!#REF!)+('LNG Facilities'!F336+'LNG Facilities'!G336+'LNG Facilities'!H336+'LNG Facilities'!R336+'LNG Facilities'!S336+'LNG Facilities'!T336)-'LNG Facilities'!#REF!-('NG Utilization'!C354+'NG Utilization'!D354+'NG Utilization'!E354))</f>
        <v>#REF!</v>
      </c>
      <c r="G354" s="58" t="e">
        <f>IF('M&amp;R Stations'!#REF!="","",F354)</f>
        <v>#REF!</v>
      </c>
      <c r="H354" s="58" t="e">
        <f>IF('M&amp;R Stations'!#REF!="","",F354+H352)</f>
        <v>#REF!</v>
      </c>
      <c r="I354" s="58"/>
      <c r="J354" s="57" t="e">
        <f t="shared" ref="J354:J385" si="89">IF(F354="","",C354)</f>
        <v>#REF!</v>
      </c>
      <c r="K354" s="58" t="e">
        <f>IF(J354="","",J354)</f>
        <v>#REF!</v>
      </c>
      <c r="L354" s="58" t="e">
        <f>IF(J354="","",J354+L352)</f>
        <v>#REF!</v>
      </c>
      <c r="M354" s="58"/>
      <c r="N354" s="73" t="e">
        <f>IF(F354="","",ROUND((('M&amp;R Stations'!#REF!+'M&amp;R Stations'!#REF!)-('NG Utilization'!C354+'NG Utilization'!D354+'NG Utilization'!E354)-'LNG Facilities'!#REF!)*ROUND(((('M&amp;R Stations'!#REF!*'M&amp;R Stations'!L336)+('M&amp;R Stations'!#REF!*'M&amp;R Stations'!F336))/1000)/('M&amp;R Stations'!#REF!+'M&amp;R Stations'!#REF!),3),0)+ROUND((('LNG Facilities'!F336*'LNG Facilities'!K336+'LNG Facilities'!G336*'LNG Facilities'!L336+'LNG Facilities'!H336*'LNG Facilities'!M336+'LNG Facilities'!R336*'LNG Facilities'!W336+'LNG Facilities'!S336*'LNG Facilities'!X336+'LNG Facilities'!T336*'LNG Facilities'!#REF!)/1000),0))</f>
        <v>#REF!</v>
      </c>
      <c r="O354" s="58" t="e">
        <f>IF(N354="","",N354)</f>
        <v>#REF!</v>
      </c>
      <c r="P354" s="58" t="e">
        <f>IF(N354="","",N354+P352)</f>
        <v>#REF!</v>
      </c>
      <c r="Q354" s="58"/>
      <c r="R354" s="57" t="e">
        <f t="shared" ref="R354:R385" si="90">IF(F354="","",D354)</f>
        <v>#REF!</v>
      </c>
      <c r="S354" s="58" t="e">
        <f>IF(R354="","",R354)</f>
        <v>#REF!</v>
      </c>
      <c r="T354" s="58" t="e">
        <f>IF(R354="","",R354+T352)</f>
        <v>#REF!</v>
      </c>
      <c r="U354" s="59"/>
      <c r="V354" s="59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</row>
    <row r="355" spans="1:46" x14ac:dyDescent="0.25">
      <c r="A355" s="31">
        <f>'M&amp;R Stations'!A337</f>
        <v>39296</v>
      </c>
      <c r="B355" s="89"/>
      <c r="C355" s="227">
        <v>62287</v>
      </c>
      <c r="D355" s="225">
        <v>46404.75</v>
      </c>
      <c r="E355" s="185"/>
      <c r="F355" s="72" t="e">
        <f>IF('M&amp;R Stations'!#REF!="","",('M&amp;R Stations'!#REF!+'M&amp;R Stations'!#REF!)+('LNG Facilities'!F337+'LNG Facilities'!G337+'LNG Facilities'!H337+'LNG Facilities'!R337+'LNG Facilities'!S337+'LNG Facilities'!T337)-'LNG Facilities'!#REF!-('NG Utilization'!C355+'NG Utilization'!D355+'NG Utilization'!E355))</f>
        <v>#REF!</v>
      </c>
      <c r="G355" s="58" t="e">
        <f>IF('M&amp;R Stations'!#REF!="","",F355+G354)</f>
        <v>#REF!</v>
      </c>
      <c r="H355" s="58" t="e">
        <f>IF('M&amp;R Stations'!#REF!="","",F355+H354)</f>
        <v>#REF!</v>
      </c>
      <c r="I355" s="58"/>
      <c r="J355" s="57" t="e">
        <f t="shared" si="89"/>
        <v>#REF!</v>
      </c>
      <c r="K355" s="58" t="e">
        <f t="shared" ref="K355:K383" si="91">IF(J355="","",J355+K354)</f>
        <v>#REF!</v>
      </c>
      <c r="L355" s="58" t="e">
        <f t="shared" ref="L355:L383" si="92">IF(J355="","",J355+L354)</f>
        <v>#REF!</v>
      </c>
      <c r="M355" s="58"/>
      <c r="N355" s="73" t="e">
        <f>IF(F355="","",ROUND((('M&amp;R Stations'!#REF!+'M&amp;R Stations'!#REF!)-('NG Utilization'!C355+'NG Utilization'!D355+'NG Utilization'!E355)-'LNG Facilities'!#REF!)*ROUND(((('M&amp;R Stations'!#REF!*'M&amp;R Stations'!L337)+('M&amp;R Stations'!#REF!*'M&amp;R Stations'!F337))/1000)/('M&amp;R Stations'!#REF!+'M&amp;R Stations'!#REF!),3),0)+ROUND((('LNG Facilities'!F337*'LNG Facilities'!K337+'LNG Facilities'!G337*'LNG Facilities'!L337+'LNG Facilities'!H337*'LNG Facilities'!M337+'LNG Facilities'!R337*'LNG Facilities'!W337+'LNG Facilities'!S337*'LNG Facilities'!X337+'LNG Facilities'!T337*'LNG Facilities'!#REF!)/1000),0))</f>
        <v>#REF!</v>
      </c>
      <c r="O355" s="58" t="e">
        <f t="shared" ref="O355:O383" si="93">IF(N355="","",N355+O354)</f>
        <v>#REF!</v>
      </c>
      <c r="P355" s="58" t="e">
        <f t="shared" ref="P355:P383" si="94">IF(N355="","",N355+P354)</f>
        <v>#REF!</v>
      </c>
      <c r="Q355" s="58"/>
      <c r="R355" s="57" t="e">
        <f t="shared" si="90"/>
        <v>#REF!</v>
      </c>
      <c r="S355" s="58" t="e">
        <f t="shared" ref="S355:S383" si="95">IF(R355="","",R355+S354)</f>
        <v>#REF!</v>
      </c>
      <c r="T355" s="58" t="e">
        <f t="shared" ref="T355:T383" si="96">IF(R355="","",R355+T354)</f>
        <v>#REF!</v>
      </c>
      <c r="U355" s="59"/>
      <c r="V355" s="59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</row>
    <row r="356" spans="1:46" x14ac:dyDescent="0.25">
      <c r="A356" s="31">
        <f>'M&amp;R Stations'!A338</f>
        <v>39297</v>
      </c>
      <c r="B356" s="89"/>
      <c r="C356" s="227">
        <v>61254</v>
      </c>
      <c r="D356" s="225">
        <v>46404.75</v>
      </c>
      <c r="E356" s="185"/>
      <c r="F356" s="72" t="e">
        <f>IF('M&amp;R Stations'!#REF!="","",('M&amp;R Stations'!#REF!+'M&amp;R Stations'!#REF!)+('LNG Facilities'!F338+'LNG Facilities'!G338+'LNG Facilities'!H338+'LNG Facilities'!R338+'LNG Facilities'!S338+'LNG Facilities'!T338)-'LNG Facilities'!#REF!-('NG Utilization'!C356+'NG Utilization'!D356+'NG Utilization'!E356))</f>
        <v>#REF!</v>
      </c>
      <c r="G356" s="58" t="e">
        <f>IF('M&amp;R Stations'!#REF!="","",F356+G355)</f>
        <v>#REF!</v>
      </c>
      <c r="H356" s="58" t="e">
        <f>IF('M&amp;R Stations'!#REF!="","",F356+H355)</f>
        <v>#REF!</v>
      </c>
      <c r="I356" s="58"/>
      <c r="J356" s="57" t="e">
        <f t="shared" si="89"/>
        <v>#REF!</v>
      </c>
      <c r="K356" s="58" t="e">
        <f t="shared" si="91"/>
        <v>#REF!</v>
      </c>
      <c r="L356" s="58" t="e">
        <f t="shared" si="92"/>
        <v>#REF!</v>
      </c>
      <c r="M356" s="58"/>
      <c r="N356" s="73" t="e">
        <f>IF(F356="","",ROUND((('M&amp;R Stations'!#REF!+'M&amp;R Stations'!#REF!)-('NG Utilization'!C356+'NG Utilization'!D356+'NG Utilization'!E356)-'LNG Facilities'!#REF!)*ROUND(((('M&amp;R Stations'!#REF!*'M&amp;R Stations'!L338)+('M&amp;R Stations'!#REF!*'M&amp;R Stations'!F338))/1000)/('M&amp;R Stations'!#REF!+'M&amp;R Stations'!#REF!),3),0)+ROUND((('LNG Facilities'!F338*'LNG Facilities'!K338+'LNG Facilities'!G338*'LNG Facilities'!L338+'LNG Facilities'!H338*'LNG Facilities'!M338+'LNG Facilities'!R338*'LNG Facilities'!W338+'LNG Facilities'!S338*'LNG Facilities'!X338+'LNG Facilities'!T338*'LNG Facilities'!#REF!)/1000),0))</f>
        <v>#REF!</v>
      </c>
      <c r="O356" s="58" t="e">
        <f t="shared" si="93"/>
        <v>#REF!</v>
      </c>
      <c r="P356" s="58" t="e">
        <f t="shared" si="94"/>
        <v>#REF!</v>
      </c>
      <c r="Q356" s="58"/>
      <c r="R356" s="57" t="e">
        <f t="shared" si="90"/>
        <v>#REF!</v>
      </c>
      <c r="S356" s="58" t="e">
        <f t="shared" si="95"/>
        <v>#REF!</v>
      </c>
      <c r="T356" s="58" t="e">
        <f t="shared" si="96"/>
        <v>#REF!</v>
      </c>
      <c r="U356" s="59"/>
      <c r="V356" s="59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</row>
    <row r="357" spans="1:46" x14ac:dyDescent="0.25">
      <c r="A357" s="31">
        <f>'M&amp;R Stations'!A339</f>
        <v>39298</v>
      </c>
      <c r="B357" s="89"/>
      <c r="C357" s="227">
        <v>60000</v>
      </c>
      <c r="D357" s="225">
        <v>46404.75</v>
      </c>
      <c r="E357" s="185"/>
      <c r="F357" s="72" t="e">
        <f>IF('M&amp;R Stations'!#REF!="","",('M&amp;R Stations'!#REF!+'M&amp;R Stations'!#REF!)+('LNG Facilities'!F339+'LNG Facilities'!G339+'LNG Facilities'!H339+'LNG Facilities'!R339+'LNG Facilities'!S339+'LNG Facilities'!T339)-'LNG Facilities'!#REF!-('NG Utilization'!C357+'NG Utilization'!D357+'NG Utilization'!E357))</f>
        <v>#REF!</v>
      </c>
      <c r="G357" s="58" t="e">
        <f>IF('M&amp;R Stations'!#REF!="","",F357+G356)</f>
        <v>#REF!</v>
      </c>
      <c r="H357" s="58" t="e">
        <f>IF('M&amp;R Stations'!#REF!="","",F357+H356)</f>
        <v>#REF!</v>
      </c>
      <c r="I357" s="58"/>
      <c r="J357" s="57" t="e">
        <f t="shared" si="89"/>
        <v>#REF!</v>
      </c>
      <c r="K357" s="58" t="e">
        <f t="shared" si="91"/>
        <v>#REF!</v>
      </c>
      <c r="L357" s="58" t="e">
        <f t="shared" si="92"/>
        <v>#REF!</v>
      </c>
      <c r="M357" s="58"/>
      <c r="N357" s="73" t="e">
        <f>IF(F357="","",ROUND((('M&amp;R Stations'!#REF!+'M&amp;R Stations'!#REF!)-('NG Utilization'!C357+'NG Utilization'!D357+'NG Utilization'!E357)-'LNG Facilities'!#REF!)*ROUND(((('M&amp;R Stations'!#REF!*'M&amp;R Stations'!L339)+('M&amp;R Stations'!#REF!*'M&amp;R Stations'!F339))/1000)/('M&amp;R Stations'!#REF!+'M&amp;R Stations'!#REF!),3),0)+ROUND((('LNG Facilities'!F339*'LNG Facilities'!K339+'LNG Facilities'!G339*'LNG Facilities'!L339+'LNG Facilities'!H339*'LNG Facilities'!M339+'LNG Facilities'!R339*'LNG Facilities'!W339+'LNG Facilities'!S339*'LNG Facilities'!X339+'LNG Facilities'!T339*'LNG Facilities'!#REF!)/1000),0))</f>
        <v>#REF!</v>
      </c>
      <c r="O357" s="58" t="e">
        <f t="shared" si="93"/>
        <v>#REF!</v>
      </c>
      <c r="P357" s="58" t="e">
        <f t="shared" si="94"/>
        <v>#REF!</v>
      </c>
      <c r="Q357" s="58"/>
      <c r="R357" s="57" t="e">
        <f t="shared" si="90"/>
        <v>#REF!</v>
      </c>
      <c r="S357" s="58" t="e">
        <f t="shared" si="95"/>
        <v>#REF!</v>
      </c>
      <c r="T357" s="58" t="e">
        <f t="shared" si="96"/>
        <v>#REF!</v>
      </c>
      <c r="U357" s="59"/>
      <c r="V357" s="59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</row>
    <row r="358" spans="1:46" x14ac:dyDescent="0.25">
      <c r="A358" s="31">
        <f>'M&amp;R Stations'!A340</f>
        <v>39299</v>
      </c>
      <c r="B358" s="89"/>
      <c r="C358" s="227">
        <v>54947</v>
      </c>
      <c r="D358" s="225">
        <v>46404.75</v>
      </c>
      <c r="E358" s="185"/>
      <c r="F358" s="72" t="e">
        <f>IF('M&amp;R Stations'!#REF!="","",('M&amp;R Stations'!#REF!+'M&amp;R Stations'!#REF!)+('LNG Facilities'!F340+'LNG Facilities'!G340+'LNG Facilities'!H340+'LNG Facilities'!R340+'LNG Facilities'!S340+'LNG Facilities'!T340)-'LNG Facilities'!#REF!-('NG Utilization'!C358+'NG Utilization'!D358+'NG Utilization'!E358))</f>
        <v>#REF!</v>
      </c>
      <c r="G358" s="58" t="e">
        <f>IF('M&amp;R Stations'!#REF!="","",F358+G357)</f>
        <v>#REF!</v>
      </c>
      <c r="H358" s="58" t="e">
        <f>IF('M&amp;R Stations'!#REF!="","",F358+H357)</f>
        <v>#REF!</v>
      </c>
      <c r="I358" s="58"/>
      <c r="J358" s="57" t="e">
        <f t="shared" si="89"/>
        <v>#REF!</v>
      </c>
      <c r="K358" s="58" t="e">
        <f t="shared" si="91"/>
        <v>#REF!</v>
      </c>
      <c r="L358" s="58" t="e">
        <f t="shared" si="92"/>
        <v>#REF!</v>
      </c>
      <c r="M358" s="58"/>
      <c r="N358" s="73" t="e">
        <f>IF(F358="","",ROUND((('M&amp;R Stations'!#REF!+'M&amp;R Stations'!#REF!)-('NG Utilization'!C358+'NG Utilization'!D358+'NG Utilization'!E358)-'LNG Facilities'!#REF!)*ROUND(((('M&amp;R Stations'!#REF!*'M&amp;R Stations'!L340)+('M&amp;R Stations'!#REF!*'M&amp;R Stations'!F340))/1000)/('M&amp;R Stations'!#REF!+'M&amp;R Stations'!#REF!),3),0)+ROUND((('LNG Facilities'!F340*'LNG Facilities'!K340+'LNG Facilities'!G340*'LNG Facilities'!L340+'LNG Facilities'!H340*'LNG Facilities'!M340+'LNG Facilities'!R340*'LNG Facilities'!W340+'LNG Facilities'!S340*'LNG Facilities'!X340+'LNG Facilities'!T340*'LNG Facilities'!#REF!)/1000),0))</f>
        <v>#REF!</v>
      </c>
      <c r="O358" s="58" t="e">
        <f t="shared" si="93"/>
        <v>#REF!</v>
      </c>
      <c r="P358" s="58" t="e">
        <f t="shared" si="94"/>
        <v>#REF!</v>
      </c>
      <c r="Q358" s="58"/>
      <c r="R358" s="57" t="e">
        <f t="shared" si="90"/>
        <v>#REF!</v>
      </c>
      <c r="S358" s="58" t="e">
        <f t="shared" si="95"/>
        <v>#REF!</v>
      </c>
      <c r="T358" s="58" t="e">
        <f t="shared" si="96"/>
        <v>#REF!</v>
      </c>
      <c r="U358" s="59"/>
      <c r="V358" s="59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</row>
    <row r="359" spans="1:46" x14ac:dyDescent="0.25">
      <c r="A359" s="31">
        <f>'M&amp;R Stations'!A341</f>
        <v>39300</v>
      </c>
      <c r="B359" s="89"/>
      <c r="C359" s="227">
        <v>58196</v>
      </c>
      <c r="D359" s="225">
        <v>46404.75</v>
      </c>
      <c r="E359" s="185"/>
      <c r="F359" s="72" t="e">
        <f>IF('M&amp;R Stations'!#REF!="","",('M&amp;R Stations'!#REF!+'M&amp;R Stations'!#REF!)+('LNG Facilities'!F341+'LNG Facilities'!G341+'LNG Facilities'!H341+'LNG Facilities'!R341+'LNG Facilities'!S341+'LNG Facilities'!T341)-'LNG Facilities'!#REF!-('NG Utilization'!C359+'NG Utilization'!D359+'NG Utilization'!E359))</f>
        <v>#REF!</v>
      </c>
      <c r="G359" s="58" t="e">
        <f>IF('M&amp;R Stations'!#REF!="","",F359+G358)</f>
        <v>#REF!</v>
      </c>
      <c r="H359" s="58" t="e">
        <f>IF('M&amp;R Stations'!#REF!="","",F359+H358)</f>
        <v>#REF!</v>
      </c>
      <c r="I359" s="58"/>
      <c r="J359" s="57" t="e">
        <f t="shared" si="89"/>
        <v>#REF!</v>
      </c>
      <c r="K359" s="58" t="e">
        <f t="shared" si="91"/>
        <v>#REF!</v>
      </c>
      <c r="L359" s="58" t="e">
        <f t="shared" si="92"/>
        <v>#REF!</v>
      </c>
      <c r="M359" s="58"/>
      <c r="N359" s="73" t="e">
        <f>IF(F359="","",ROUND((('M&amp;R Stations'!#REF!+'M&amp;R Stations'!#REF!)-('NG Utilization'!C359+'NG Utilization'!D359+'NG Utilization'!E359)-'LNG Facilities'!#REF!)*ROUND(((('M&amp;R Stations'!#REF!*'M&amp;R Stations'!L341)+('M&amp;R Stations'!#REF!*'M&amp;R Stations'!F341))/1000)/('M&amp;R Stations'!#REF!+'M&amp;R Stations'!#REF!),3),0)+ROUND((('LNG Facilities'!F341*'LNG Facilities'!K341+'LNG Facilities'!G341*'LNG Facilities'!L341+'LNG Facilities'!H341*'LNG Facilities'!M341+'LNG Facilities'!R341*'LNG Facilities'!W341+'LNG Facilities'!S341*'LNG Facilities'!X341+'LNG Facilities'!T341*'LNG Facilities'!#REF!)/1000),0))</f>
        <v>#REF!</v>
      </c>
      <c r="O359" s="58" t="e">
        <f t="shared" si="93"/>
        <v>#REF!</v>
      </c>
      <c r="P359" s="58" t="e">
        <f t="shared" si="94"/>
        <v>#REF!</v>
      </c>
      <c r="Q359" s="58"/>
      <c r="R359" s="57" t="e">
        <f t="shared" si="90"/>
        <v>#REF!</v>
      </c>
      <c r="S359" s="58" t="e">
        <f t="shared" si="95"/>
        <v>#REF!</v>
      </c>
      <c r="T359" s="58" t="e">
        <f t="shared" si="96"/>
        <v>#REF!</v>
      </c>
      <c r="U359" s="59"/>
      <c r="V359" s="59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</row>
    <row r="360" spans="1:46" x14ac:dyDescent="0.25">
      <c r="A360" s="31">
        <f>'M&amp;R Stations'!A342</f>
        <v>39301</v>
      </c>
      <c r="B360" s="89"/>
      <c r="C360" s="227">
        <v>60753</v>
      </c>
      <c r="D360" s="225">
        <v>46404.75</v>
      </c>
      <c r="E360" s="185"/>
      <c r="F360" s="72" t="e">
        <f>IF('M&amp;R Stations'!#REF!="","",('M&amp;R Stations'!#REF!+'M&amp;R Stations'!#REF!)+('LNG Facilities'!F342+'LNG Facilities'!G342+'LNG Facilities'!H342+'LNG Facilities'!R342+'LNG Facilities'!S342+'LNG Facilities'!T342)-'LNG Facilities'!#REF!-('NG Utilization'!C360+'NG Utilization'!D360+'NG Utilization'!E360))</f>
        <v>#REF!</v>
      </c>
      <c r="G360" s="58" t="e">
        <f>IF('M&amp;R Stations'!#REF!="","",F360+G359)</f>
        <v>#REF!</v>
      </c>
      <c r="H360" s="58" t="e">
        <f>IF('M&amp;R Stations'!#REF!="","",F360+H359)</f>
        <v>#REF!</v>
      </c>
      <c r="I360" s="58"/>
      <c r="J360" s="57" t="e">
        <f t="shared" si="89"/>
        <v>#REF!</v>
      </c>
      <c r="K360" s="58" t="e">
        <f t="shared" si="91"/>
        <v>#REF!</v>
      </c>
      <c r="L360" s="58" t="e">
        <f t="shared" si="92"/>
        <v>#REF!</v>
      </c>
      <c r="M360" s="58"/>
      <c r="N360" s="73" t="e">
        <f>IF(F360="","",ROUND((('M&amp;R Stations'!#REF!+'M&amp;R Stations'!#REF!)-('NG Utilization'!C360+'NG Utilization'!D360+'NG Utilization'!E360)-'LNG Facilities'!#REF!)*ROUND(((('M&amp;R Stations'!#REF!*'M&amp;R Stations'!L342)+('M&amp;R Stations'!#REF!*'M&amp;R Stations'!F342))/1000)/('M&amp;R Stations'!#REF!+'M&amp;R Stations'!#REF!),3),0)+ROUND((('LNG Facilities'!F342*'LNG Facilities'!K342+'LNG Facilities'!G342*'LNG Facilities'!L342+'LNG Facilities'!H342*'LNG Facilities'!M342+'LNG Facilities'!R342*'LNG Facilities'!W342+'LNG Facilities'!S342*'LNG Facilities'!X342+'LNG Facilities'!T342*'LNG Facilities'!#REF!)/1000),0))</f>
        <v>#REF!</v>
      </c>
      <c r="O360" s="58" t="e">
        <f t="shared" si="93"/>
        <v>#REF!</v>
      </c>
      <c r="P360" s="58" t="e">
        <f t="shared" si="94"/>
        <v>#REF!</v>
      </c>
      <c r="Q360" s="58"/>
      <c r="R360" s="57" t="e">
        <f t="shared" si="90"/>
        <v>#REF!</v>
      </c>
      <c r="S360" s="58" t="e">
        <f t="shared" si="95"/>
        <v>#REF!</v>
      </c>
      <c r="T360" s="58" t="e">
        <f t="shared" si="96"/>
        <v>#REF!</v>
      </c>
      <c r="U360" s="59"/>
      <c r="V360" s="59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</row>
    <row r="361" spans="1:46" x14ac:dyDescent="0.25">
      <c r="A361" s="31">
        <f>'M&amp;R Stations'!A343</f>
        <v>39302</v>
      </c>
      <c r="B361" s="89"/>
      <c r="C361" s="227">
        <v>62254</v>
      </c>
      <c r="D361" s="225">
        <v>46404.75</v>
      </c>
      <c r="E361" s="185"/>
      <c r="F361" s="72" t="e">
        <f>IF('M&amp;R Stations'!#REF!="","",('M&amp;R Stations'!#REF!+'M&amp;R Stations'!#REF!)+('LNG Facilities'!F343+'LNG Facilities'!G343+'LNG Facilities'!H343+'LNG Facilities'!R343+'LNG Facilities'!S343+'LNG Facilities'!T343)-'LNG Facilities'!#REF!-('NG Utilization'!C361+'NG Utilization'!D361+'NG Utilization'!E361))</f>
        <v>#REF!</v>
      </c>
      <c r="G361" s="58" t="e">
        <f>IF('M&amp;R Stations'!#REF!="","",F361+G360)</f>
        <v>#REF!</v>
      </c>
      <c r="H361" s="58" t="e">
        <f>IF('M&amp;R Stations'!#REF!="","",F361+H360)</f>
        <v>#REF!</v>
      </c>
      <c r="I361" s="58"/>
      <c r="J361" s="57" t="e">
        <f t="shared" si="89"/>
        <v>#REF!</v>
      </c>
      <c r="K361" s="58" t="e">
        <f t="shared" si="91"/>
        <v>#REF!</v>
      </c>
      <c r="L361" s="58" t="e">
        <f t="shared" si="92"/>
        <v>#REF!</v>
      </c>
      <c r="M361" s="58"/>
      <c r="N361" s="73" t="e">
        <f>IF(F361="","",ROUND((('M&amp;R Stations'!#REF!+'M&amp;R Stations'!#REF!)-('NG Utilization'!C361+'NG Utilization'!D361+'NG Utilization'!E361)-'LNG Facilities'!#REF!)*ROUND(((('M&amp;R Stations'!#REF!*'M&amp;R Stations'!L343)+('M&amp;R Stations'!#REF!*'M&amp;R Stations'!F343))/1000)/('M&amp;R Stations'!#REF!+'M&amp;R Stations'!#REF!),3),0)+ROUND((('LNG Facilities'!F343*'LNG Facilities'!K343+'LNG Facilities'!G343*'LNG Facilities'!L343+'LNG Facilities'!H343*'LNG Facilities'!M343+'LNG Facilities'!R343*'LNG Facilities'!W343+'LNG Facilities'!S343*'LNG Facilities'!X343+'LNG Facilities'!T343*'LNG Facilities'!#REF!)/1000),0))</f>
        <v>#REF!</v>
      </c>
      <c r="O361" s="58" t="e">
        <f t="shared" si="93"/>
        <v>#REF!</v>
      </c>
      <c r="P361" s="58" t="e">
        <f t="shared" si="94"/>
        <v>#REF!</v>
      </c>
      <c r="Q361" s="58"/>
      <c r="R361" s="57" t="e">
        <f t="shared" si="90"/>
        <v>#REF!</v>
      </c>
      <c r="S361" s="58" t="e">
        <f t="shared" si="95"/>
        <v>#REF!</v>
      </c>
      <c r="T361" s="58" t="e">
        <f t="shared" si="96"/>
        <v>#REF!</v>
      </c>
      <c r="U361" s="59"/>
      <c r="V361" s="59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</row>
    <row r="362" spans="1:46" x14ac:dyDescent="0.25">
      <c r="A362" s="31">
        <f>'M&amp;R Stations'!A344</f>
        <v>39303</v>
      </c>
      <c r="B362" s="89"/>
      <c r="C362" s="227">
        <v>61233</v>
      </c>
      <c r="D362" s="225">
        <v>46404.75</v>
      </c>
      <c r="E362" s="185"/>
      <c r="F362" s="72" t="e">
        <f>IF('M&amp;R Stations'!#REF!="","",('M&amp;R Stations'!#REF!+'M&amp;R Stations'!#REF!)+('LNG Facilities'!F344+'LNG Facilities'!G344+'LNG Facilities'!H344+'LNG Facilities'!R344+'LNG Facilities'!S344+'LNG Facilities'!T344)-'LNG Facilities'!#REF!-('NG Utilization'!C362+'NG Utilization'!D362+'NG Utilization'!E362))</f>
        <v>#REF!</v>
      </c>
      <c r="G362" s="58" t="e">
        <f>IF('M&amp;R Stations'!#REF!="","",F362+G361)</f>
        <v>#REF!</v>
      </c>
      <c r="H362" s="58" t="e">
        <f>IF('M&amp;R Stations'!#REF!="","",F362+H361)</f>
        <v>#REF!</v>
      </c>
      <c r="I362" s="58"/>
      <c r="J362" s="57" t="e">
        <f t="shared" si="89"/>
        <v>#REF!</v>
      </c>
      <c r="K362" s="58" t="e">
        <f t="shared" si="91"/>
        <v>#REF!</v>
      </c>
      <c r="L362" s="58" t="e">
        <f t="shared" si="92"/>
        <v>#REF!</v>
      </c>
      <c r="M362" s="58"/>
      <c r="N362" s="73" t="e">
        <f>IF(F362="","",ROUND((('M&amp;R Stations'!#REF!+'M&amp;R Stations'!#REF!)-('NG Utilization'!C362+'NG Utilization'!D362+'NG Utilization'!E362)-'LNG Facilities'!#REF!)*ROUND(((('M&amp;R Stations'!#REF!*'M&amp;R Stations'!L344)+('M&amp;R Stations'!#REF!*'M&amp;R Stations'!F344))/1000)/('M&amp;R Stations'!#REF!+'M&amp;R Stations'!#REF!),3),0)+ROUND((('LNG Facilities'!F344*'LNG Facilities'!K344+'LNG Facilities'!G344*'LNG Facilities'!L344+'LNG Facilities'!H344*'LNG Facilities'!M344+'LNG Facilities'!R344*'LNG Facilities'!W344+'LNG Facilities'!S344*'LNG Facilities'!X344+'LNG Facilities'!T344*'LNG Facilities'!#REF!)/1000),0))</f>
        <v>#REF!</v>
      </c>
      <c r="O362" s="58" t="e">
        <f t="shared" si="93"/>
        <v>#REF!</v>
      </c>
      <c r="P362" s="58" t="e">
        <f t="shared" si="94"/>
        <v>#REF!</v>
      </c>
      <c r="Q362" s="58"/>
      <c r="R362" s="57" t="e">
        <f t="shared" si="90"/>
        <v>#REF!</v>
      </c>
      <c r="S362" s="58" t="e">
        <f t="shared" si="95"/>
        <v>#REF!</v>
      </c>
      <c r="T362" s="58" t="e">
        <f t="shared" si="96"/>
        <v>#REF!</v>
      </c>
      <c r="U362" s="59"/>
      <c r="V362" s="59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</row>
    <row r="363" spans="1:46" x14ac:dyDescent="0.25">
      <c r="A363" s="31">
        <f>'M&amp;R Stations'!A345</f>
        <v>39304</v>
      </c>
      <c r="B363" s="89"/>
      <c r="C363" s="227">
        <v>62593</v>
      </c>
      <c r="D363" s="225">
        <v>46404.75</v>
      </c>
      <c r="E363" s="185"/>
      <c r="F363" s="72" t="e">
        <f>IF('M&amp;R Stations'!#REF!="","",('M&amp;R Stations'!#REF!+'M&amp;R Stations'!#REF!)+('LNG Facilities'!F345+'LNG Facilities'!G345+'LNG Facilities'!H345+'LNG Facilities'!R345+'LNG Facilities'!S345+'LNG Facilities'!T345)-'LNG Facilities'!#REF!-('NG Utilization'!C363+'NG Utilization'!D363+'NG Utilization'!E363))</f>
        <v>#REF!</v>
      </c>
      <c r="G363" s="58" t="e">
        <f>IF('M&amp;R Stations'!#REF!="","",F363+G362)</f>
        <v>#REF!</v>
      </c>
      <c r="H363" s="58" t="e">
        <f>IF('M&amp;R Stations'!#REF!="","",F363+H362)</f>
        <v>#REF!</v>
      </c>
      <c r="I363" s="58"/>
      <c r="J363" s="57" t="e">
        <f t="shared" si="89"/>
        <v>#REF!</v>
      </c>
      <c r="K363" s="58" t="e">
        <f t="shared" si="91"/>
        <v>#REF!</v>
      </c>
      <c r="L363" s="58" t="e">
        <f t="shared" si="92"/>
        <v>#REF!</v>
      </c>
      <c r="M363" s="58"/>
      <c r="N363" s="73" t="e">
        <f>IF(F363="","",ROUND((('M&amp;R Stations'!#REF!+'M&amp;R Stations'!#REF!)-('NG Utilization'!C363+'NG Utilization'!D363+'NG Utilization'!E363)-'LNG Facilities'!#REF!)*ROUND(((('M&amp;R Stations'!#REF!*'M&amp;R Stations'!L345)+('M&amp;R Stations'!#REF!*'M&amp;R Stations'!F345))/1000)/('M&amp;R Stations'!#REF!+'M&amp;R Stations'!#REF!),3),0)+ROUND((('LNG Facilities'!F345*'LNG Facilities'!K345+'LNG Facilities'!G345*'LNG Facilities'!L345+'LNG Facilities'!H345*'LNG Facilities'!M345+'LNG Facilities'!R345*'LNG Facilities'!W345+'LNG Facilities'!S345*'LNG Facilities'!X345+'LNG Facilities'!T345*'LNG Facilities'!#REF!)/1000),0))</f>
        <v>#REF!</v>
      </c>
      <c r="O363" s="58" t="e">
        <f t="shared" si="93"/>
        <v>#REF!</v>
      </c>
      <c r="P363" s="58" t="e">
        <f t="shared" si="94"/>
        <v>#REF!</v>
      </c>
      <c r="Q363" s="58"/>
      <c r="R363" s="57" t="e">
        <f t="shared" si="90"/>
        <v>#REF!</v>
      </c>
      <c r="S363" s="58" t="e">
        <f t="shared" si="95"/>
        <v>#REF!</v>
      </c>
      <c r="T363" s="58" t="e">
        <f t="shared" si="96"/>
        <v>#REF!</v>
      </c>
      <c r="U363" s="59"/>
      <c r="V363" s="59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</row>
    <row r="364" spans="1:46" x14ac:dyDescent="0.25">
      <c r="A364" s="31">
        <f>'M&amp;R Stations'!A346</f>
        <v>39305</v>
      </c>
      <c r="B364" s="89"/>
      <c r="C364" s="227">
        <v>62361</v>
      </c>
      <c r="D364" s="225">
        <v>46404.75</v>
      </c>
      <c r="E364" s="185"/>
      <c r="F364" s="72" t="e">
        <f>IF('M&amp;R Stations'!#REF!="","",('M&amp;R Stations'!#REF!+'M&amp;R Stations'!#REF!)+('LNG Facilities'!F346+'LNG Facilities'!G346+'LNG Facilities'!H346+'LNG Facilities'!R346+'LNG Facilities'!S346+'LNG Facilities'!T346)-'LNG Facilities'!#REF!-('NG Utilization'!C364+'NG Utilization'!D364+'NG Utilization'!E364))</f>
        <v>#REF!</v>
      </c>
      <c r="G364" s="58" t="e">
        <f>IF('M&amp;R Stations'!#REF!="","",F364+G363)</f>
        <v>#REF!</v>
      </c>
      <c r="H364" s="58" t="e">
        <f>IF('M&amp;R Stations'!#REF!="","",F364+H363)</f>
        <v>#REF!</v>
      </c>
      <c r="I364" s="58"/>
      <c r="J364" s="57" t="e">
        <f t="shared" si="89"/>
        <v>#REF!</v>
      </c>
      <c r="K364" s="58" t="e">
        <f t="shared" si="91"/>
        <v>#REF!</v>
      </c>
      <c r="L364" s="58" t="e">
        <f t="shared" si="92"/>
        <v>#REF!</v>
      </c>
      <c r="M364" s="58"/>
      <c r="N364" s="73" t="e">
        <f>IF(F364="","",ROUND((('M&amp;R Stations'!#REF!+'M&amp;R Stations'!#REF!)-('NG Utilization'!C364+'NG Utilization'!D364+'NG Utilization'!E364)-'LNG Facilities'!#REF!)*ROUND(((('M&amp;R Stations'!#REF!*'M&amp;R Stations'!L346)+('M&amp;R Stations'!#REF!*'M&amp;R Stations'!F346))/1000)/('M&amp;R Stations'!#REF!+'M&amp;R Stations'!#REF!),3),0)+ROUND((('LNG Facilities'!F346*'LNG Facilities'!K346+'LNG Facilities'!G346*'LNG Facilities'!L346+'LNG Facilities'!H346*'LNG Facilities'!M346+'LNG Facilities'!R346*'LNG Facilities'!W346+'LNG Facilities'!S346*'LNG Facilities'!X346+'LNG Facilities'!T346*'LNG Facilities'!#REF!)/1000),0))</f>
        <v>#REF!</v>
      </c>
      <c r="O364" s="58" t="e">
        <f t="shared" si="93"/>
        <v>#REF!</v>
      </c>
      <c r="P364" s="58" t="e">
        <f t="shared" si="94"/>
        <v>#REF!</v>
      </c>
      <c r="Q364" s="58"/>
      <c r="R364" s="57" t="e">
        <f t="shared" si="90"/>
        <v>#REF!</v>
      </c>
      <c r="S364" s="58" t="e">
        <f t="shared" si="95"/>
        <v>#REF!</v>
      </c>
      <c r="T364" s="58" t="e">
        <f t="shared" si="96"/>
        <v>#REF!</v>
      </c>
      <c r="U364" s="59"/>
      <c r="V364" s="59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</row>
    <row r="365" spans="1:46" x14ac:dyDescent="0.25">
      <c r="A365" s="31">
        <f>'M&amp;R Stations'!A347</f>
        <v>39306</v>
      </c>
      <c r="B365" s="89"/>
      <c r="C365" s="227">
        <v>60387</v>
      </c>
      <c r="D365" s="225">
        <v>46404.75</v>
      </c>
      <c r="E365" s="185"/>
      <c r="F365" s="72" t="e">
        <f>IF('M&amp;R Stations'!#REF!="","",('M&amp;R Stations'!#REF!+'M&amp;R Stations'!#REF!)+('LNG Facilities'!F347+'LNG Facilities'!G347+'LNG Facilities'!H347+'LNG Facilities'!R347+'LNG Facilities'!S347+'LNG Facilities'!T347)-'LNG Facilities'!#REF!-('NG Utilization'!C365+'NG Utilization'!D365+'NG Utilization'!E365))</f>
        <v>#REF!</v>
      </c>
      <c r="G365" s="58" t="e">
        <f>IF('M&amp;R Stations'!#REF!="","",F365+G364)</f>
        <v>#REF!</v>
      </c>
      <c r="H365" s="58" t="e">
        <f>IF('M&amp;R Stations'!#REF!="","",F365+H364)</f>
        <v>#REF!</v>
      </c>
      <c r="I365" s="58"/>
      <c r="J365" s="57" t="e">
        <f t="shared" si="89"/>
        <v>#REF!</v>
      </c>
      <c r="K365" s="58" t="e">
        <f t="shared" si="91"/>
        <v>#REF!</v>
      </c>
      <c r="L365" s="58" t="e">
        <f t="shared" si="92"/>
        <v>#REF!</v>
      </c>
      <c r="M365" s="58"/>
      <c r="N365" s="73" t="e">
        <f>IF(F365="","",ROUND((('M&amp;R Stations'!#REF!+'M&amp;R Stations'!#REF!)-('NG Utilization'!C365+'NG Utilization'!D365+'NG Utilization'!E365)-'LNG Facilities'!#REF!)*ROUND(((('M&amp;R Stations'!#REF!*'M&amp;R Stations'!L347)+('M&amp;R Stations'!#REF!*'M&amp;R Stations'!F347))/1000)/('M&amp;R Stations'!#REF!+'M&amp;R Stations'!#REF!),3),0)+ROUND((('LNG Facilities'!F347*'LNG Facilities'!K347+'LNG Facilities'!G347*'LNG Facilities'!L347+'LNG Facilities'!H347*'LNG Facilities'!M347+'LNG Facilities'!R347*'LNG Facilities'!W347+'LNG Facilities'!S347*'LNG Facilities'!X347+'LNG Facilities'!T347*'LNG Facilities'!#REF!)/1000),0))</f>
        <v>#REF!</v>
      </c>
      <c r="O365" s="58" t="e">
        <f t="shared" si="93"/>
        <v>#REF!</v>
      </c>
      <c r="P365" s="58" t="e">
        <f t="shared" si="94"/>
        <v>#REF!</v>
      </c>
      <c r="Q365" s="58"/>
      <c r="R365" s="57" t="e">
        <f t="shared" si="90"/>
        <v>#REF!</v>
      </c>
      <c r="S365" s="58" t="e">
        <f t="shared" si="95"/>
        <v>#REF!</v>
      </c>
      <c r="T365" s="58" t="e">
        <f t="shared" si="96"/>
        <v>#REF!</v>
      </c>
      <c r="U365" s="59"/>
      <c r="V365" s="59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</row>
    <row r="366" spans="1:46" x14ac:dyDescent="0.25">
      <c r="A366" s="31">
        <f>'M&amp;R Stations'!A348</f>
        <v>39307</v>
      </c>
      <c r="B366" s="89"/>
      <c r="C366" s="227">
        <v>62253</v>
      </c>
      <c r="D366" s="225">
        <v>46404.75</v>
      </c>
      <c r="E366" s="185"/>
      <c r="F366" s="72" t="e">
        <f>IF('M&amp;R Stations'!#REF!="","",('M&amp;R Stations'!#REF!+'M&amp;R Stations'!#REF!)+('LNG Facilities'!F348+'LNG Facilities'!G348+'LNG Facilities'!H348+'LNG Facilities'!R348+'LNG Facilities'!S348+'LNG Facilities'!T348)-'LNG Facilities'!#REF!-('NG Utilization'!C366+'NG Utilization'!D366+'NG Utilization'!E366))</f>
        <v>#REF!</v>
      </c>
      <c r="G366" s="58" t="e">
        <f>IF('M&amp;R Stations'!#REF!="","",F366+G365)</f>
        <v>#REF!</v>
      </c>
      <c r="H366" s="58" t="e">
        <f>IF('M&amp;R Stations'!#REF!="","",F366+H365)</f>
        <v>#REF!</v>
      </c>
      <c r="I366" s="58"/>
      <c r="J366" s="57" t="e">
        <f t="shared" si="89"/>
        <v>#REF!</v>
      </c>
      <c r="K366" s="58" t="e">
        <f t="shared" si="91"/>
        <v>#REF!</v>
      </c>
      <c r="L366" s="58" t="e">
        <f t="shared" si="92"/>
        <v>#REF!</v>
      </c>
      <c r="M366" s="58"/>
      <c r="N366" s="73" t="e">
        <f>IF(F366="","",ROUND((('M&amp;R Stations'!#REF!+'M&amp;R Stations'!#REF!)-('NG Utilization'!C366+'NG Utilization'!D366+'NG Utilization'!E366)-'LNG Facilities'!#REF!)*ROUND(((('M&amp;R Stations'!#REF!*'M&amp;R Stations'!L348)+('M&amp;R Stations'!#REF!*'M&amp;R Stations'!F348))/1000)/('M&amp;R Stations'!#REF!+'M&amp;R Stations'!#REF!),3),0)+ROUND((('LNG Facilities'!F348*'LNG Facilities'!K348+'LNG Facilities'!G348*'LNG Facilities'!L348+'LNG Facilities'!H348*'LNG Facilities'!M348+'LNG Facilities'!R348*'LNG Facilities'!W348+'LNG Facilities'!S348*'LNG Facilities'!X348+'LNG Facilities'!T348*'LNG Facilities'!#REF!)/1000),0))</f>
        <v>#REF!</v>
      </c>
      <c r="O366" s="58" t="e">
        <f t="shared" si="93"/>
        <v>#REF!</v>
      </c>
      <c r="P366" s="58" t="e">
        <f t="shared" si="94"/>
        <v>#REF!</v>
      </c>
      <c r="Q366" s="58"/>
      <c r="R366" s="57" t="e">
        <f t="shared" si="90"/>
        <v>#REF!</v>
      </c>
      <c r="S366" s="58" t="e">
        <f t="shared" si="95"/>
        <v>#REF!</v>
      </c>
      <c r="T366" s="58" t="e">
        <f t="shared" si="96"/>
        <v>#REF!</v>
      </c>
      <c r="U366" s="59"/>
      <c r="V366" s="59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</row>
    <row r="367" spans="1:46" x14ac:dyDescent="0.25">
      <c r="A367" s="31">
        <f>'M&amp;R Stations'!A349</f>
        <v>39308</v>
      </c>
      <c r="B367" s="89"/>
      <c r="C367" s="227">
        <v>62525</v>
      </c>
      <c r="D367" s="225">
        <v>46404.75</v>
      </c>
      <c r="E367" s="185"/>
      <c r="F367" s="72" t="e">
        <f>IF('M&amp;R Stations'!#REF!="","",('M&amp;R Stations'!#REF!+'M&amp;R Stations'!#REF!)+('LNG Facilities'!F349+'LNG Facilities'!G349+'LNG Facilities'!H349+'LNG Facilities'!R349+'LNG Facilities'!S349+'LNG Facilities'!T349)-'LNG Facilities'!#REF!-('NG Utilization'!C367+'NG Utilization'!D367+'NG Utilization'!E367))</f>
        <v>#REF!</v>
      </c>
      <c r="G367" s="58" t="e">
        <f>IF('M&amp;R Stations'!#REF!="","",F367+G366)</f>
        <v>#REF!</v>
      </c>
      <c r="H367" s="58" t="e">
        <f>IF('M&amp;R Stations'!#REF!="","",F367+H366)</f>
        <v>#REF!</v>
      </c>
      <c r="I367" s="58"/>
      <c r="J367" s="57" t="e">
        <f t="shared" si="89"/>
        <v>#REF!</v>
      </c>
      <c r="K367" s="58" t="e">
        <f t="shared" si="91"/>
        <v>#REF!</v>
      </c>
      <c r="L367" s="58" t="e">
        <f t="shared" si="92"/>
        <v>#REF!</v>
      </c>
      <c r="M367" s="58"/>
      <c r="N367" s="73" t="e">
        <f>IF(F367="","",ROUND((('M&amp;R Stations'!#REF!+'M&amp;R Stations'!#REF!)-('NG Utilization'!C367+'NG Utilization'!D367+'NG Utilization'!E367)-'LNG Facilities'!#REF!)*ROUND(((('M&amp;R Stations'!#REF!*'M&amp;R Stations'!L349)+('M&amp;R Stations'!#REF!*'M&amp;R Stations'!F349))/1000)/('M&amp;R Stations'!#REF!+'M&amp;R Stations'!#REF!),3),0)+ROUND((('LNG Facilities'!F349*'LNG Facilities'!K349+'LNG Facilities'!G349*'LNG Facilities'!L349+'LNG Facilities'!H349*'LNG Facilities'!M349+'LNG Facilities'!R349*'LNG Facilities'!W349+'LNG Facilities'!S349*'LNG Facilities'!X349+'LNG Facilities'!T349*'LNG Facilities'!#REF!)/1000),0))</f>
        <v>#REF!</v>
      </c>
      <c r="O367" s="58" t="e">
        <f t="shared" si="93"/>
        <v>#REF!</v>
      </c>
      <c r="P367" s="58" t="e">
        <f t="shared" si="94"/>
        <v>#REF!</v>
      </c>
      <c r="Q367" s="58"/>
      <c r="R367" s="57" t="e">
        <f t="shared" si="90"/>
        <v>#REF!</v>
      </c>
      <c r="S367" s="58" t="e">
        <f t="shared" si="95"/>
        <v>#REF!</v>
      </c>
      <c r="T367" s="58" t="e">
        <f t="shared" si="96"/>
        <v>#REF!</v>
      </c>
      <c r="U367" s="59"/>
      <c r="V367" s="59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</row>
    <row r="368" spans="1:46" x14ac:dyDescent="0.25">
      <c r="A368" s="31">
        <f>'M&amp;R Stations'!A350</f>
        <v>39309</v>
      </c>
      <c r="B368" s="89"/>
      <c r="C368" s="227">
        <v>63934</v>
      </c>
      <c r="D368" s="225">
        <v>46404.75</v>
      </c>
      <c r="E368" s="185"/>
      <c r="F368" s="72" t="e">
        <f>IF('M&amp;R Stations'!#REF!="","",('M&amp;R Stations'!#REF!+'M&amp;R Stations'!#REF!)+('LNG Facilities'!F350+'LNG Facilities'!G350+'LNG Facilities'!H350+'LNG Facilities'!R350+'LNG Facilities'!S350+'LNG Facilities'!T350)-'LNG Facilities'!#REF!-('NG Utilization'!C368+'NG Utilization'!D368+'NG Utilization'!E368))</f>
        <v>#REF!</v>
      </c>
      <c r="G368" s="58" t="e">
        <f>IF('M&amp;R Stations'!#REF!="","",F368+G367)</f>
        <v>#REF!</v>
      </c>
      <c r="H368" s="58" t="e">
        <f>IF('M&amp;R Stations'!#REF!="","",F368+H367)</f>
        <v>#REF!</v>
      </c>
      <c r="I368" s="58"/>
      <c r="J368" s="57" t="e">
        <f t="shared" si="89"/>
        <v>#REF!</v>
      </c>
      <c r="K368" s="58" t="e">
        <f t="shared" si="91"/>
        <v>#REF!</v>
      </c>
      <c r="L368" s="58" t="e">
        <f t="shared" si="92"/>
        <v>#REF!</v>
      </c>
      <c r="M368" s="58"/>
      <c r="N368" s="73" t="e">
        <f>IF(F368="","",ROUND((('M&amp;R Stations'!#REF!+'M&amp;R Stations'!#REF!)-('NG Utilization'!C368+'NG Utilization'!D368+'NG Utilization'!E368)-'LNG Facilities'!#REF!)*ROUND(((('M&amp;R Stations'!#REF!*'M&amp;R Stations'!L350)+('M&amp;R Stations'!#REF!*'M&amp;R Stations'!F350))/1000)/('M&amp;R Stations'!#REF!+'M&amp;R Stations'!#REF!),3),0)+ROUND((('LNG Facilities'!F350*'LNG Facilities'!K350+'LNG Facilities'!G350*'LNG Facilities'!L350+'LNG Facilities'!H350*'LNG Facilities'!M350+'LNG Facilities'!R350*'LNG Facilities'!W350+'LNG Facilities'!S350*'LNG Facilities'!X350+'LNG Facilities'!T350*'LNG Facilities'!#REF!)/1000),0))</f>
        <v>#REF!</v>
      </c>
      <c r="O368" s="58" t="e">
        <f t="shared" si="93"/>
        <v>#REF!</v>
      </c>
      <c r="P368" s="58" t="e">
        <f t="shared" si="94"/>
        <v>#REF!</v>
      </c>
      <c r="Q368" s="58"/>
      <c r="R368" s="57" t="e">
        <f t="shared" si="90"/>
        <v>#REF!</v>
      </c>
      <c r="S368" s="58" t="e">
        <f t="shared" si="95"/>
        <v>#REF!</v>
      </c>
      <c r="T368" s="58" t="e">
        <f t="shared" si="96"/>
        <v>#REF!</v>
      </c>
      <c r="U368" s="59"/>
      <c r="V368" s="59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</row>
    <row r="369" spans="1:46" x14ac:dyDescent="0.25">
      <c r="A369" s="31">
        <f>'M&amp;R Stations'!A351</f>
        <v>39310</v>
      </c>
      <c r="B369" s="89"/>
      <c r="C369" s="227">
        <v>64985</v>
      </c>
      <c r="D369" s="225">
        <v>46404.75</v>
      </c>
      <c r="E369" s="185"/>
      <c r="F369" s="72" t="e">
        <f>IF('M&amp;R Stations'!#REF!="","",('M&amp;R Stations'!#REF!+'M&amp;R Stations'!#REF!)+('LNG Facilities'!F351+'LNG Facilities'!G351+'LNG Facilities'!H351+'LNG Facilities'!R351+'LNG Facilities'!S351+'LNG Facilities'!T351)-'LNG Facilities'!#REF!-('NG Utilization'!C369+'NG Utilization'!D369+'NG Utilization'!E369))</f>
        <v>#REF!</v>
      </c>
      <c r="G369" s="58" t="e">
        <f>IF('M&amp;R Stations'!#REF!="","",F369+G368)</f>
        <v>#REF!</v>
      </c>
      <c r="H369" s="58" t="e">
        <f>IF('M&amp;R Stations'!#REF!="","",F369+H368)</f>
        <v>#REF!</v>
      </c>
      <c r="I369" s="58"/>
      <c r="J369" s="57" t="e">
        <f t="shared" si="89"/>
        <v>#REF!</v>
      </c>
      <c r="K369" s="58" t="e">
        <f t="shared" si="91"/>
        <v>#REF!</v>
      </c>
      <c r="L369" s="58" t="e">
        <f t="shared" si="92"/>
        <v>#REF!</v>
      </c>
      <c r="M369" s="58"/>
      <c r="N369" s="73" t="e">
        <f>IF(F369="","",ROUND((('M&amp;R Stations'!#REF!+'M&amp;R Stations'!#REF!)-('NG Utilization'!C369+'NG Utilization'!D369+'NG Utilization'!E369)-'LNG Facilities'!#REF!)*ROUND(((('M&amp;R Stations'!#REF!*'M&amp;R Stations'!L351)+('M&amp;R Stations'!#REF!*'M&amp;R Stations'!F351))/1000)/('M&amp;R Stations'!#REF!+'M&amp;R Stations'!#REF!),3),0)+ROUND((('LNG Facilities'!F351*'LNG Facilities'!K351+'LNG Facilities'!G351*'LNG Facilities'!L351+'LNG Facilities'!H351*'LNG Facilities'!M351+'LNG Facilities'!R351*'LNG Facilities'!W351+'LNG Facilities'!S351*'LNG Facilities'!X351+'LNG Facilities'!T351*'LNG Facilities'!#REF!)/1000),0))</f>
        <v>#REF!</v>
      </c>
      <c r="O369" s="58" t="e">
        <f t="shared" si="93"/>
        <v>#REF!</v>
      </c>
      <c r="P369" s="58" t="e">
        <f t="shared" si="94"/>
        <v>#REF!</v>
      </c>
      <c r="Q369" s="58"/>
      <c r="R369" s="57" t="e">
        <f t="shared" si="90"/>
        <v>#REF!</v>
      </c>
      <c r="S369" s="58" t="e">
        <f t="shared" si="95"/>
        <v>#REF!</v>
      </c>
      <c r="T369" s="58" t="e">
        <f t="shared" si="96"/>
        <v>#REF!</v>
      </c>
      <c r="U369" s="59"/>
      <c r="V369" s="59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</row>
    <row r="370" spans="1:46" x14ac:dyDescent="0.25">
      <c r="A370" s="31">
        <f>'M&amp;R Stations'!A352</f>
        <v>39311</v>
      </c>
      <c r="B370" s="89"/>
      <c r="C370" s="227">
        <v>60856</v>
      </c>
      <c r="D370" s="225">
        <v>46404.75</v>
      </c>
      <c r="E370" s="185"/>
      <c r="F370" s="72" t="e">
        <f>IF('M&amp;R Stations'!#REF!="","",('M&amp;R Stations'!#REF!+'M&amp;R Stations'!#REF!)+('LNG Facilities'!F352+'LNG Facilities'!G352+'LNG Facilities'!H352+'LNG Facilities'!R352+'LNG Facilities'!S352+'LNG Facilities'!T352)-'LNG Facilities'!#REF!-('NG Utilization'!C370+'NG Utilization'!D370+'NG Utilization'!E370))</f>
        <v>#REF!</v>
      </c>
      <c r="G370" s="58" t="e">
        <f>IF('M&amp;R Stations'!#REF!="","",F370+G369)</f>
        <v>#REF!</v>
      </c>
      <c r="H370" s="58" t="e">
        <f>IF('M&amp;R Stations'!#REF!="","",F370+H369)</f>
        <v>#REF!</v>
      </c>
      <c r="I370" s="58"/>
      <c r="J370" s="57" t="e">
        <f t="shared" si="89"/>
        <v>#REF!</v>
      </c>
      <c r="K370" s="58" t="e">
        <f t="shared" si="91"/>
        <v>#REF!</v>
      </c>
      <c r="L370" s="58" t="e">
        <f t="shared" si="92"/>
        <v>#REF!</v>
      </c>
      <c r="M370" s="58"/>
      <c r="N370" s="73" t="e">
        <f>IF(F370="","",ROUND((('M&amp;R Stations'!#REF!+'M&amp;R Stations'!#REF!)-('NG Utilization'!C370+'NG Utilization'!D370+'NG Utilization'!E370)-'LNG Facilities'!#REF!)*ROUND(((('M&amp;R Stations'!#REF!*'M&amp;R Stations'!L352)+('M&amp;R Stations'!#REF!*'M&amp;R Stations'!F352))/1000)/('M&amp;R Stations'!#REF!+'M&amp;R Stations'!#REF!),3),0)+ROUND((('LNG Facilities'!F352*'LNG Facilities'!K352+'LNG Facilities'!G352*'LNG Facilities'!L352+'LNG Facilities'!H352*'LNG Facilities'!M352+'LNG Facilities'!R352*'LNG Facilities'!W352+'LNG Facilities'!S352*'LNG Facilities'!X352+'LNG Facilities'!T352*'LNG Facilities'!#REF!)/1000),0))</f>
        <v>#REF!</v>
      </c>
      <c r="O370" s="58" t="e">
        <f t="shared" si="93"/>
        <v>#REF!</v>
      </c>
      <c r="P370" s="58" t="e">
        <f t="shared" si="94"/>
        <v>#REF!</v>
      </c>
      <c r="Q370" s="58"/>
      <c r="R370" s="57" t="e">
        <f t="shared" si="90"/>
        <v>#REF!</v>
      </c>
      <c r="S370" s="58" t="e">
        <f t="shared" si="95"/>
        <v>#REF!</v>
      </c>
      <c r="T370" s="58" t="e">
        <f t="shared" si="96"/>
        <v>#REF!</v>
      </c>
      <c r="U370" s="59"/>
      <c r="V370" s="59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</row>
    <row r="371" spans="1:46" x14ac:dyDescent="0.25">
      <c r="A371" s="31">
        <f>'M&amp;R Stations'!A353</f>
        <v>39312</v>
      </c>
      <c r="B371" s="89"/>
      <c r="C371" s="227">
        <v>62439</v>
      </c>
      <c r="D371" s="225">
        <v>46404.75</v>
      </c>
      <c r="E371" s="185"/>
      <c r="F371" s="72" t="e">
        <f>IF('M&amp;R Stations'!#REF!="","",('M&amp;R Stations'!#REF!+'M&amp;R Stations'!#REF!)+('LNG Facilities'!F353+'LNG Facilities'!G353+'LNG Facilities'!H353+'LNG Facilities'!R353+'LNG Facilities'!S353+'LNG Facilities'!T353)-'LNG Facilities'!#REF!-('NG Utilization'!C371+'NG Utilization'!D371+'NG Utilization'!E371))</f>
        <v>#REF!</v>
      </c>
      <c r="G371" s="58" t="e">
        <f>IF('M&amp;R Stations'!#REF!="","",F371+G370)</f>
        <v>#REF!</v>
      </c>
      <c r="H371" s="58" t="e">
        <f>IF('M&amp;R Stations'!#REF!="","",F371+H370)</f>
        <v>#REF!</v>
      </c>
      <c r="I371" s="58"/>
      <c r="J371" s="57" t="e">
        <f t="shared" si="89"/>
        <v>#REF!</v>
      </c>
      <c r="K371" s="58" t="e">
        <f t="shared" si="91"/>
        <v>#REF!</v>
      </c>
      <c r="L371" s="58" t="e">
        <f t="shared" si="92"/>
        <v>#REF!</v>
      </c>
      <c r="M371" s="58"/>
      <c r="N371" s="73" t="e">
        <f>IF(F371="","",ROUND((('M&amp;R Stations'!#REF!+'M&amp;R Stations'!#REF!)-('NG Utilization'!C371+'NG Utilization'!D371+'NG Utilization'!E371)-'LNG Facilities'!#REF!)*ROUND(((('M&amp;R Stations'!#REF!*'M&amp;R Stations'!L353)+('M&amp;R Stations'!#REF!*'M&amp;R Stations'!F353))/1000)/('M&amp;R Stations'!#REF!+'M&amp;R Stations'!#REF!),3),0)+ROUND((('LNG Facilities'!F353*'LNG Facilities'!K353+'LNG Facilities'!G353*'LNG Facilities'!L353+'LNG Facilities'!H353*'LNG Facilities'!M353+'LNG Facilities'!R353*'LNG Facilities'!W353+'LNG Facilities'!S353*'LNG Facilities'!X353+'LNG Facilities'!T353*'LNG Facilities'!#REF!)/1000),0))</f>
        <v>#REF!</v>
      </c>
      <c r="O371" s="58" t="e">
        <f t="shared" si="93"/>
        <v>#REF!</v>
      </c>
      <c r="P371" s="58" t="e">
        <f t="shared" si="94"/>
        <v>#REF!</v>
      </c>
      <c r="Q371" s="58"/>
      <c r="R371" s="57" t="e">
        <f t="shared" si="90"/>
        <v>#REF!</v>
      </c>
      <c r="S371" s="58" t="e">
        <f t="shared" si="95"/>
        <v>#REF!</v>
      </c>
      <c r="T371" s="58" t="e">
        <f t="shared" si="96"/>
        <v>#REF!</v>
      </c>
      <c r="U371" s="59"/>
      <c r="V371" s="59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</row>
    <row r="372" spans="1:46" x14ac:dyDescent="0.25">
      <c r="A372" s="31">
        <f>'M&amp;R Stations'!A354</f>
        <v>39313</v>
      </c>
      <c r="B372" s="89"/>
      <c r="C372" s="227">
        <v>60141</v>
      </c>
      <c r="D372" s="225">
        <v>46404.75</v>
      </c>
      <c r="E372" s="185"/>
      <c r="F372" s="72" t="e">
        <f>IF('M&amp;R Stations'!#REF!="","",('M&amp;R Stations'!#REF!+'M&amp;R Stations'!#REF!)+('LNG Facilities'!F354+'LNG Facilities'!G354+'LNG Facilities'!H354+'LNG Facilities'!R354+'LNG Facilities'!S354+'LNG Facilities'!T354)-'LNG Facilities'!#REF!-('NG Utilization'!C372+'NG Utilization'!D372+'NG Utilization'!E372))</f>
        <v>#REF!</v>
      </c>
      <c r="G372" s="58" t="e">
        <f>IF('M&amp;R Stations'!#REF!="","",F372+G371)</f>
        <v>#REF!</v>
      </c>
      <c r="H372" s="58" t="e">
        <f>IF('M&amp;R Stations'!#REF!="","",F372+H371)</f>
        <v>#REF!</v>
      </c>
      <c r="I372" s="58"/>
      <c r="J372" s="57" t="e">
        <f t="shared" si="89"/>
        <v>#REF!</v>
      </c>
      <c r="K372" s="58" t="e">
        <f t="shared" si="91"/>
        <v>#REF!</v>
      </c>
      <c r="L372" s="58" t="e">
        <f t="shared" si="92"/>
        <v>#REF!</v>
      </c>
      <c r="M372" s="58"/>
      <c r="N372" s="73" t="e">
        <f>IF(F372="","",ROUND((('M&amp;R Stations'!#REF!+'M&amp;R Stations'!#REF!)-('NG Utilization'!C372+'NG Utilization'!D372+'NG Utilization'!E372)-'LNG Facilities'!#REF!)*ROUND(((('M&amp;R Stations'!#REF!*'M&amp;R Stations'!L354)+('M&amp;R Stations'!#REF!*'M&amp;R Stations'!F354))/1000)/('M&amp;R Stations'!#REF!+'M&amp;R Stations'!#REF!),3),0)+ROUND((('LNG Facilities'!F354*'LNG Facilities'!K354+'LNG Facilities'!G354*'LNG Facilities'!L354+'LNG Facilities'!H354*'LNG Facilities'!M354+'LNG Facilities'!R354*'LNG Facilities'!W354+'LNG Facilities'!S354*'LNG Facilities'!X354+'LNG Facilities'!T354*'LNG Facilities'!#REF!)/1000),0))</f>
        <v>#REF!</v>
      </c>
      <c r="O372" s="58" t="e">
        <f t="shared" si="93"/>
        <v>#REF!</v>
      </c>
      <c r="P372" s="58" t="e">
        <f t="shared" si="94"/>
        <v>#REF!</v>
      </c>
      <c r="Q372" s="58"/>
      <c r="R372" s="57" t="e">
        <f t="shared" si="90"/>
        <v>#REF!</v>
      </c>
      <c r="S372" s="58" t="e">
        <f t="shared" si="95"/>
        <v>#REF!</v>
      </c>
      <c r="T372" s="58" t="e">
        <f t="shared" si="96"/>
        <v>#REF!</v>
      </c>
      <c r="U372" s="59"/>
      <c r="V372" s="59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</row>
    <row r="373" spans="1:46" x14ac:dyDescent="0.25">
      <c r="A373" s="31">
        <f>'M&amp;R Stations'!A355</f>
        <v>39314</v>
      </c>
      <c r="B373" s="89"/>
      <c r="C373" s="227">
        <v>61970</v>
      </c>
      <c r="D373" s="225">
        <v>46404.75</v>
      </c>
      <c r="E373" s="185"/>
      <c r="F373" s="72" t="e">
        <f>IF('M&amp;R Stations'!#REF!="","",('M&amp;R Stations'!#REF!+'M&amp;R Stations'!#REF!)+('LNG Facilities'!F355+'LNG Facilities'!G355+'LNG Facilities'!H355+'LNG Facilities'!R355+'LNG Facilities'!S355+'LNG Facilities'!T355)-'LNG Facilities'!#REF!-('NG Utilization'!C373+'NG Utilization'!D373+'NG Utilization'!E373))</f>
        <v>#REF!</v>
      </c>
      <c r="G373" s="58" t="e">
        <f>IF('M&amp;R Stations'!#REF!="","",F373+G372)</f>
        <v>#REF!</v>
      </c>
      <c r="H373" s="58" t="e">
        <f>IF('M&amp;R Stations'!#REF!="","",F373+H372)</f>
        <v>#REF!</v>
      </c>
      <c r="I373" s="58"/>
      <c r="J373" s="57" t="e">
        <f t="shared" si="89"/>
        <v>#REF!</v>
      </c>
      <c r="K373" s="58" t="e">
        <f t="shared" si="91"/>
        <v>#REF!</v>
      </c>
      <c r="L373" s="58" t="e">
        <f t="shared" si="92"/>
        <v>#REF!</v>
      </c>
      <c r="M373" s="58"/>
      <c r="N373" s="73" t="e">
        <f>IF(F373="","",ROUND((('M&amp;R Stations'!#REF!+'M&amp;R Stations'!#REF!)-('NG Utilization'!C373+'NG Utilization'!D373+'NG Utilization'!E373)-'LNG Facilities'!#REF!)*ROUND(((('M&amp;R Stations'!#REF!*'M&amp;R Stations'!L355)+('M&amp;R Stations'!#REF!*'M&amp;R Stations'!F355))/1000)/('M&amp;R Stations'!#REF!+'M&amp;R Stations'!#REF!),3),0)+ROUND((('LNG Facilities'!F355*'LNG Facilities'!K355+'LNG Facilities'!G355*'LNG Facilities'!L355+'LNG Facilities'!H355*'LNG Facilities'!M355+'LNG Facilities'!R355*'LNG Facilities'!W355+'LNG Facilities'!S355*'LNG Facilities'!X355+'LNG Facilities'!T355*'LNG Facilities'!#REF!)/1000),0))</f>
        <v>#REF!</v>
      </c>
      <c r="O373" s="58" t="e">
        <f t="shared" si="93"/>
        <v>#REF!</v>
      </c>
      <c r="P373" s="58" t="e">
        <f t="shared" si="94"/>
        <v>#REF!</v>
      </c>
      <c r="Q373" s="58"/>
      <c r="R373" s="57" t="e">
        <f t="shared" si="90"/>
        <v>#REF!</v>
      </c>
      <c r="S373" s="58" t="e">
        <f t="shared" si="95"/>
        <v>#REF!</v>
      </c>
      <c r="T373" s="58" t="e">
        <f t="shared" si="96"/>
        <v>#REF!</v>
      </c>
      <c r="U373" s="59"/>
      <c r="V373" s="59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</row>
    <row r="374" spans="1:46" x14ac:dyDescent="0.25">
      <c r="A374" s="31">
        <f>'M&amp;R Stations'!A356</f>
        <v>39315</v>
      </c>
      <c r="B374" s="89"/>
      <c r="C374" s="227">
        <v>64332</v>
      </c>
      <c r="D374" s="225">
        <v>46404.75</v>
      </c>
      <c r="E374" s="185"/>
      <c r="F374" s="72" t="e">
        <f>IF('M&amp;R Stations'!#REF!="","",('M&amp;R Stations'!#REF!+'M&amp;R Stations'!#REF!)+('LNG Facilities'!F356+'LNG Facilities'!G356+'LNG Facilities'!H356+'LNG Facilities'!R356+'LNG Facilities'!S356+'LNG Facilities'!T356)-'LNG Facilities'!#REF!-('NG Utilization'!C374+'NG Utilization'!D374+'NG Utilization'!E374))</f>
        <v>#REF!</v>
      </c>
      <c r="G374" s="58" t="e">
        <f>IF('M&amp;R Stations'!#REF!="","",F374+G373)</f>
        <v>#REF!</v>
      </c>
      <c r="H374" s="58" t="e">
        <f>IF('M&amp;R Stations'!#REF!="","",F374+H373)</f>
        <v>#REF!</v>
      </c>
      <c r="I374" s="58"/>
      <c r="J374" s="57" t="e">
        <f t="shared" si="89"/>
        <v>#REF!</v>
      </c>
      <c r="K374" s="58" t="e">
        <f t="shared" si="91"/>
        <v>#REF!</v>
      </c>
      <c r="L374" s="58" t="e">
        <f t="shared" si="92"/>
        <v>#REF!</v>
      </c>
      <c r="M374" s="58"/>
      <c r="N374" s="73" t="e">
        <f>IF(F374="","",ROUND((('M&amp;R Stations'!#REF!+'M&amp;R Stations'!#REF!)-('NG Utilization'!C374+'NG Utilization'!D374+'NG Utilization'!E374)-'LNG Facilities'!#REF!)*ROUND(((('M&amp;R Stations'!#REF!*'M&amp;R Stations'!L356)+('M&amp;R Stations'!#REF!*'M&amp;R Stations'!F356))/1000)/('M&amp;R Stations'!#REF!+'M&amp;R Stations'!#REF!),3),0)+ROUND((('LNG Facilities'!F356*'LNG Facilities'!K356+'LNG Facilities'!G356*'LNG Facilities'!L356+'LNG Facilities'!H356*'LNG Facilities'!M356+'LNG Facilities'!R356*'LNG Facilities'!W356+'LNG Facilities'!S356*'LNG Facilities'!X356+'LNG Facilities'!T356*'LNG Facilities'!#REF!)/1000),0))</f>
        <v>#REF!</v>
      </c>
      <c r="O374" s="58" t="e">
        <f t="shared" si="93"/>
        <v>#REF!</v>
      </c>
      <c r="P374" s="58" t="e">
        <f t="shared" si="94"/>
        <v>#REF!</v>
      </c>
      <c r="Q374" s="58"/>
      <c r="R374" s="57" t="e">
        <f t="shared" si="90"/>
        <v>#REF!</v>
      </c>
      <c r="S374" s="58" t="e">
        <f t="shared" si="95"/>
        <v>#REF!</v>
      </c>
      <c r="T374" s="58" t="e">
        <f t="shared" si="96"/>
        <v>#REF!</v>
      </c>
      <c r="U374" s="59"/>
      <c r="V374" s="59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</row>
    <row r="375" spans="1:46" x14ac:dyDescent="0.25">
      <c r="A375" s="31">
        <f>'M&amp;R Stations'!A357</f>
        <v>39316</v>
      </c>
      <c r="B375" s="89"/>
      <c r="C375" s="227">
        <v>64108</v>
      </c>
      <c r="D375" s="225">
        <v>46404.75</v>
      </c>
      <c r="E375" s="185"/>
      <c r="F375" s="72" t="e">
        <f>IF('M&amp;R Stations'!#REF!="","",('M&amp;R Stations'!#REF!+'M&amp;R Stations'!#REF!)+('LNG Facilities'!F357+'LNG Facilities'!G357+'LNG Facilities'!H357+'LNG Facilities'!R357+'LNG Facilities'!S357+'LNG Facilities'!T357)-'LNG Facilities'!#REF!-('NG Utilization'!C375+'NG Utilization'!D375+'NG Utilization'!E375))</f>
        <v>#REF!</v>
      </c>
      <c r="G375" s="58" t="e">
        <f>IF('M&amp;R Stations'!#REF!="","",F375+G374)</f>
        <v>#REF!</v>
      </c>
      <c r="H375" s="58" t="e">
        <f>IF('M&amp;R Stations'!#REF!="","",F375+H374)</f>
        <v>#REF!</v>
      </c>
      <c r="I375" s="58"/>
      <c r="J375" s="57" t="e">
        <f t="shared" si="89"/>
        <v>#REF!</v>
      </c>
      <c r="K375" s="58" t="e">
        <f t="shared" si="91"/>
        <v>#REF!</v>
      </c>
      <c r="L375" s="58" t="e">
        <f t="shared" si="92"/>
        <v>#REF!</v>
      </c>
      <c r="M375" s="58"/>
      <c r="N375" s="73" t="e">
        <f>IF(F375="","",ROUND((('M&amp;R Stations'!#REF!+'M&amp;R Stations'!#REF!)-('NG Utilization'!C375+'NG Utilization'!D375+'NG Utilization'!E375)-'LNG Facilities'!#REF!)*ROUND(((('M&amp;R Stations'!#REF!*'M&amp;R Stations'!L357)+('M&amp;R Stations'!#REF!*'M&amp;R Stations'!F357))/1000)/('M&amp;R Stations'!#REF!+'M&amp;R Stations'!#REF!),3),0)+ROUND((('LNG Facilities'!F357*'LNG Facilities'!K357+'LNG Facilities'!G357*'LNG Facilities'!L357+'LNG Facilities'!H357*'LNG Facilities'!M357+'LNG Facilities'!R357*'LNG Facilities'!W357+'LNG Facilities'!S357*'LNG Facilities'!X357+'LNG Facilities'!T357*'LNG Facilities'!#REF!)/1000),0))</f>
        <v>#REF!</v>
      </c>
      <c r="O375" s="58" t="e">
        <f t="shared" si="93"/>
        <v>#REF!</v>
      </c>
      <c r="P375" s="58" t="e">
        <f t="shared" si="94"/>
        <v>#REF!</v>
      </c>
      <c r="Q375" s="58"/>
      <c r="R375" s="57" t="e">
        <f t="shared" si="90"/>
        <v>#REF!</v>
      </c>
      <c r="S375" s="58" t="e">
        <f t="shared" si="95"/>
        <v>#REF!</v>
      </c>
      <c r="T375" s="58" t="e">
        <f t="shared" si="96"/>
        <v>#REF!</v>
      </c>
      <c r="U375" s="59"/>
      <c r="V375" s="59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</row>
    <row r="376" spans="1:46" x14ac:dyDescent="0.25">
      <c r="A376" s="31">
        <f>'M&amp;R Stations'!A358</f>
        <v>39317</v>
      </c>
      <c r="B376" s="89"/>
      <c r="C376" s="227">
        <v>64606</v>
      </c>
      <c r="D376" s="225">
        <v>46404.75</v>
      </c>
      <c r="E376" s="185"/>
      <c r="F376" s="72" t="e">
        <f>IF('M&amp;R Stations'!#REF!="","",('M&amp;R Stations'!#REF!+'M&amp;R Stations'!#REF!)+('LNG Facilities'!F358+'LNG Facilities'!G358+'LNG Facilities'!H358+'LNG Facilities'!R358+'LNG Facilities'!S358+'LNG Facilities'!T358)-'LNG Facilities'!#REF!-('NG Utilization'!C376+'NG Utilization'!D376+'NG Utilization'!E376))</f>
        <v>#REF!</v>
      </c>
      <c r="G376" s="58" t="e">
        <f>IF('M&amp;R Stations'!#REF!="","",F376+G375)</f>
        <v>#REF!</v>
      </c>
      <c r="H376" s="58" t="e">
        <f>IF('M&amp;R Stations'!#REF!="","",F376+H375)</f>
        <v>#REF!</v>
      </c>
      <c r="I376" s="58"/>
      <c r="J376" s="57" t="e">
        <f t="shared" si="89"/>
        <v>#REF!</v>
      </c>
      <c r="K376" s="58" t="e">
        <f t="shared" si="91"/>
        <v>#REF!</v>
      </c>
      <c r="L376" s="58" t="e">
        <f t="shared" si="92"/>
        <v>#REF!</v>
      </c>
      <c r="M376" s="58"/>
      <c r="N376" s="73" t="e">
        <f>IF(F376="","",ROUND((('M&amp;R Stations'!#REF!+'M&amp;R Stations'!#REF!)-('NG Utilization'!C376+'NG Utilization'!D376+'NG Utilization'!E376)-'LNG Facilities'!#REF!)*ROUND(((('M&amp;R Stations'!#REF!*'M&amp;R Stations'!L358)+('M&amp;R Stations'!#REF!*'M&amp;R Stations'!F358))/1000)/('M&amp;R Stations'!#REF!+'M&amp;R Stations'!#REF!),3),0)+ROUND((('LNG Facilities'!F358*'LNG Facilities'!K358+'LNG Facilities'!G358*'LNG Facilities'!L358+'LNG Facilities'!H358*'LNG Facilities'!M358+'LNG Facilities'!R358*'LNG Facilities'!W358+'LNG Facilities'!S358*'LNG Facilities'!X358+'LNG Facilities'!T358*'LNG Facilities'!#REF!)/1000),0))</f>
        <v>#REF!</v>
      </c>
      <c r="O376" s="58" t="e">
        <f t="shared" si="93"/>
        <v>#REF!</v>
      </c>
      <c r="P376" s="58" t="e">
        <f t="shared" si="94"/>
        <v>#REF!</v>
      </c>
      <c r="Q376" s="58"/>
      <c r="R376" s="57" t="e">
        <f t="shared" si="90"/>
        <v>#REF!</v>
      </c>
      <c r="S376" s="58" t="e">
        <f t="shared" si="95"/>
        <v>#REF!</v>
      </c>
      <c r="T376" s="58" t="e">
        <f t="shared" si="96"/>
        <v>#REF!</v>
      </c>
      <c r="U376" s="59"/>
      <c r="V376" s="59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</row>
    <row r="377" spans="1:46" x14ac:dyDescent="0.25">
      <c r="A377" s="31">
        <f>'M&amp;R Stations'!A359</f>
        <v>39318</v>
      </c>
      <c r="B377" s="89"/>
      <c r="C377" s="227">
        <v>64262</v>
      </c>
      <c r="D377" s="225">
        <v>46404.75</v>
      </c>
      <c r="E377" s="185"/>
      <c r="F377" s="72" t="e">
        <f>IF('M&amp;R Stations'!#REF!="","",('M&amp;R Stations'!#REF!+'M&amp;R Stations'!#REF!)+('LNG Facilities'!F359+'LNG Facilities'!G359+'LNG Facilities'!H359+'LNG Facilities'!R359+'LNG Facilities'!S359+'LNG Facilities'!T359)-'LNG Facilities'!#REF!-('NG Utilization'!C377+'NG Utilization'!D377+'NG Utilization'!E377))</f>
        <v>#REF!</v>
      </c>
      <c r="G377" s="58" t="e">
        <f>IF('M&amp;R Stations'!#REF!="","",F377+G376)</f>
        <v>#REF!</v>
      </c>
      <c r="H377" s="58" t="e">
        <f>IF('M&amp;R Stations'!#REF!="","",F377+H376)</f>
        <v>#REF!</v>
      </c>
      <c r="I377" s="58"/>
      <c r="J377" s="57" t="e">
        <f t="shared" si="89"/>
        <v>#REF!</v>
      </c>
      <c r="K377" s="58" t="e">
        <f t="shared" si="91"/>
        <v>#REF!</v>
      </c>
      <c r="L377" s="58" t="e">
        <f t="shared" si="92"/>
        <v>#REF!</v>
      </c>
      <c r="M377" s="58"/>
      <c r="N377" s="73" t="e">
        <f>IF(F377="","",ROUND((('M&amp;R Stations'!#REF!+'M&amp;R Stations'!#REF!)-('NG Utilization'!C377+'NG Utilization'!D377+'NG Utilization'!E377)-'LNG Facilities'!#REF!)*ROUND(((('M&amp;R Stations'!#REF!*'M&amp;R Stations'!L359)+('M&amp;R Stations'!#REF!*'M&amp;R Stations'!F359))/1000)/('M&amp;R Stations'!#REF!+'M&amp;R Stations'!#REF!),3),0)+ROUND((('LNG Facilities'!F359*'LNG Facilities'!K359+'LNG Facilities'!G359*'LNG Facilities'!L359+'LNG Facilities'!H359*'LNG Facilities'!M359+'LNG Facilities'!R359*'LNG Facilities'!W359+'LNG Facilities'!S359*'LNG Facilities'!X359+'LNG Facilities'!T359*'LNG Facilities'!#REF!)/1000),0))</f>
        <v>#REF!</v>
      </c>
      <c r="O377" s="58" t="e">
        <f t="shared" si="93"/>
        <v>#REF!</v>
      </c>
      <c r="P377" s="58" t="e">
        <f t="shared" si="94"/>
        <v>#REF!</v>
      </c>
      <c r="Q377" s="58"/>
      <c r="R377" s="57" t="e">
        <f t="shared" si="90"/>
        <v>#REF!</v>
      </c>
      <c r="S377" s="58" t="e">
        <f t="shared" si="95"/>
        <v>#REF!</v>
      </c>
      <c r="T377" s="58" t="e">
        <f t="shared" si="96"/>
        <v>#REF!</v>
      </c>
      <c r="U377" s="59"/>
      <c r="V377" s="59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</row>
    <row r="378" spans="1:46" x14ac:dyDescent="0.25">
      <c r="A378" s="31">
        <f>'M&amp;R Stations'!A360</f>
        <v>39319</v>
      </c>
      <c r="B378" s="89"/>
      <c r="C378" s="227">
        <v>62643</v>
      </c>
      <c r="D378" s="225">
        <v>46404.75</v>
      </c>
      <c r="E378" s="185"/>
      <c r="F378" s="72" t="e">
        <f>IF('M&amp;R Stations'!#REF!="","",('M&amp;R Stations'!#REF!+'M&amp;R Stations'!#REF!)+('LNG Facilities'!F360+'LNG Facilities'!G360+'LNG Facilities'!H360+'LNG Facilities'!R360+'LNG Facilities'!S360+'LNG Facilities'!T360)-'LNG Facilities'!#REF!-('NG Utilization'!C378+'NG Utilization'!D378+'NG Utilization'!E378))</f>
        <v>#REF!</v>
      </c>
      <c r="G378" s="58" t="e">
        <f>IF('M&amp;R Stations'!#REF!="","",F378+G377)</f>
        <v>#REF!</v>
      </c>
      <c r="H378" s="58" t="e">
        <f>IF('M&amp;R Stations'!#REF!="","",F378+H377)</f>
        <v>#REF!</v>
      </c>
      <c r="I378" s="58"/>
      <c r="J378" s="57" t="e">
        <f t="shared" si="89"/>
        <v>#REF!</v>
      </c>
      <c r="K378" s="58" t="e">
        <f t="shared" si="91"/>
        <v>#REF!</v>
      </c>
      <c r="L378" s="58" t="e">
        <f t="shared" si="92"/>
        <v>#REF!</v>
      </c>
      <c r="M378" s="58"/>
      <c r="N378" s="73" t="e">
        <f>IF(F378="","",ROUND((('M&amp;R Stations'!#REF!+'M&amp;R Stations'!#REF!)-('NG Utilization'!C378+'NG Utilization'!D378+'NG Utilization'!E378)-'LNG Facilities'!#REF!)*ROUND(((('M&amp;R Stations'!#REF!*'M&amp;R Stations'!L360)+('M&amp;R Stations'!#REF!*'M&amp;R Stations'!F360))/1000)/('M&amp;R Stations'!#REF!+'M&amp;R Stations'!#REF!),3),0)+ROUND((('LNG Facilities'!F360*'LNG Facilities'!K360+'LNG Facilities'!G360*'LNG Facilities'!L360+'LNG Facilities'!H360*'LNG Facilities'!M360+'LNG Facilities'!R360*'LNG Facilities'!W360+'LNG Facilities'!S360*'LNG Facilities'!X360+'LNG Facilities'!T360*'LNG Facilities'!#REF!)/1000),0))</f>
        <v>#REF!</v>
      </c>
      <c r="O378" s="58" t="e">
        <f t="shared" si="93"/>
        <v>#REF!</v>
      </c>
      <c r="P378" s="58" t="e">
        <f t="shared" si="94"/>
        <v>#REF!</v>
      </c>
      <c r="Q378" s="58"/>
      <c r="R378" s="57" t="e">
        <f t="shared" si="90"/>
        <v>#REF!</v>
      </c>
      <c r="S378" s="58" t="e">
        <f t="shared" si="95"/>
        <v>#REF!</v>
      </c>
      <c r="T378" s="58" t="e">
        <f t="shared" si="96"/>
        <v>#REF!</v>
      </c>
      <c r="U378" s="59"/>
      <c r="V378" s="59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</row>
    <row r="379" spans="1:46" x14ac:dyDescent="0.25">
      <c r="A379" s="31">
        <f>'M&amp;R Stations'!A361</f>
        <v>39320</v>
      </c>
      <c r="B379" s="89"/>
      <c r="C379" s="227">
        <v>60961</v>
      </c>
      <c r="D379" s="225">
        <v>46404.75</v>
      </c>
      <c r="E379" s="185"/>
      <c r="F379" s="72" t="e">
        <f>IF('M&amp;R Stations'!#REF!="","",('M&amp;R Stations'!#REF!+'M&amp;R Stations'!#REF!)+('LNG Facilities'!F361+'LNG Facilities'!G361+'LNG Facilities'!H361+'LNG Facilities'!R361+'LNG Facilities'!S361+'LNG Facilities'!T361)-'LNG Facilities'!#REF!-('NG Utilization'!C379+'NG Utilization'!D379+'NG Utilization'!E379))</f>
        <v>#REF!</v>
      </c>
      <c r="G379" s="58" t="e">
        <f>IF('M&amp;R Stations'!#REF!="","",F379+G378)</f>
        <v>#REF!</v>
      </c>
      <c r="H379" s="58" t="e">
        <f>IF('M&amp;R Stations'!#REF!="","",F379+H378)</f>
        <v>#REF!</v>
      </c>
      <c r="I379" s="58"/>
      <c r="J379" s="57" t="e">
        <f t="shared" si="89"/>
        <v>#REF!</v>
      </c>
      <c r="K379" s="58" t="e">
        <f t="shared" si="91"/>
        <v>#REF!</v>
      </c>
      <c r="L379" s="58" t="e">
        <f t="shared" si="92"/>
        <v>#REF!</v>
      </c>
      <c r="M379" s="58"/>
      <c r="N379" s="73" t="e">
        <f>IF(F379="","",ROUND((('M&amp;R Stations'!#REF!+'M&amp;R Stations'!#REF!)-('NG Utilization'!C379+'NG Utilization'!D379+'NG Utilization'!E379)-'LNG Facilities'!#REF!)*ROUND(((('M&amp;R Stations'!#REF!*'M&amp;R Stations'!L361)+('M&amp;R Stations'!#REF!*'M&amp;R Stations'!F361))/1000)/('M&amp;R Stations'!#REF!+'M&amp;R Stations'!#REF!),3),0)+ROUND((('LNG Facilities'!F361*'LNG Facilities'!K361+'LNG Facilities'!G361*'LNG Facilities'!L361+'LNG Facilities'!H361*'LNG Facilities'!M361+'LNG Facilities'!R361*'LNG Facilities'!W361+'LNG Facilities'!S361*'LNG Facilities'!X361+'LNG Facilities'!T361*'LNG Facilities'!#REF!)/1000),0))</f>
        <v>#REF!</v>
      </c>
      <c r="O379" s="58" t="e">
        <f t="shared" si="93"/>
        <v>#REF!</v>
      </c>
      <c r="P379" s="58" t="e">
        <f t="shared" si="94"/>
        <v>#REF!</v>
      </c>
      <c r="Q379" s="58"/>
      <c r="R379" s="57" t="e">
        <f t="shared" si="90"/>
        <v>#REF!</v>
      </c>
      <c r="S379" s="58" t="e">
        <f t="shared" si="95"/>
        <v>#REF!</v>
      </c>
      <c r="T379" s="58" t="e">
        <f t="shared" si="96"/>
        <v>#REF!</v>
      </c>
      <c r="U379" s="59"/>
      <c r="V379" s="59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</row>
    <row r="380" spans="1:46" x14ac:dyDescent="0.25">
      <c r="A380" s="31">
        <f>'M&amp;R Stations'!A362</f>
        <v>39321</v>
      </c>
      <c r="B380" s="89"/>
      <c r="C380" s="227">
        <v>64454</v>
      </c>
      <c r="D380" s="225">
        <v>46404.75</v>
      </c>
      <c r="E380" s="185"/>
      <c r="F380" s="72" t="e">
        <f>IF('M&amp;R Stations'!#REF!="","",('M&amp;R Stations'!#REF!+'M&amp;R Stations'!#REF!)+('LNG Facilities'!F362+'LNG Facilities'!G362+'LNG Facilities'!H362+'LNG Facilities'!R362+'LNG Facilities'!S362+'LNG Facilities'!T362)-'LNG Facilities'!#REF!-('NG Utilization'!C380+'NG Utilization'!D380+'NG Utilization'!E380))</f>
        <v>#REF!</v>
      </c>
      <c r="G380" s="58" t="e">
        <f>IF('M&amp;R Stations'!#REF!="","",F380+G379)</f>
        <v>#REF!</v>
      </c>
      <c r="H380" s="58" t="e">
        <f>IF('M&amp;R Stations'!#REF!="","",F380+H379)</f>
        <v>#REF!</v>
      </c>
      <c r="I380" s="58"/>
      <c r="J380" s="57" t="e">
        <f t="shared" si="89"/>
        <v>#REF!</v>
      </c>
      <c r="K380" s="58" t="e">
        <f t="shared" si="91"/>
        <v>#REF!</v>
      </c>
      <c r="L380" s="58" t="e">
        <f t="shared" si="92"/>
        <v>#REF!</v>
      </c>
      <c r="M380" s="58"/>
      <c r="N380" s="73" t="e">
        <f>IF(F380="","",ROUND((('M&amp;R Stations'!#REF!+'M&amp;R Stations'!#REF!)-('NG Utilization'!C380+'NG Utilization'!D380+'NG Utilization'!E380)-'LNG Facilities'!#REF!)*ROUND(((('M&amp;R Stations'!#REF!*'M&amp;R Stations'!L362)+('M&amp;R Stations'!#REF!*'M&amp;R Stations'!F362))/1000)/('M&amp;R Stations'!#REF!+'M&amp;R Stations'!#REF!),3),0)+ROUND((('LNG Facilities'!F362*'LNG Facilities'!K362+'LNG Facilities'!G362*'LNG Facilities'!L362+'LNG Facilities'!H362*'LNG Facilities'!M362+'LNG Facilities'!R362*'LNG Facilities'!W362+'LNG Facilities'!S362*'LNG Facilities'!X362+'LNG Facilities'!T362*'LNG Facilities'!#REF!)/1000),0))</f>
        <v>#REF!</v>
      </c>
      <c r="O380" s="58" t="e">
        <f t="shared" si="93"/>
        <v>#REF!</v>
      </c>
      <c r="P380" s="58" t="e">
        <f t="shared" si="94"/>
        <v>#REF!</v>
      </c>
      <c r="Q380" s="58"/>
      <c r="R380" s="57" t="e">
        <f t="shared" si="90"/>
        <v>#REF!</v>
      </c>
      <c r="S380" s="58" t="e">
        <f t="shared" si="95"/>
        <v>#REF!</v>
      </c>
      <c r="T380" s="58" t="e">
        <f t="shared" si="96"/>
        <v>#REF!</v>
      </c>
      <c r="U380" s="59"/>
      <c r="V380" s="59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</row>
    <row r="381" spans="1:46" x14ac:dyDescent="0.25">
      <c r="A381" s="31">
        <f>'M&amp;R Stations'!A363</f>
        <v>39322</v>
      </c>
      <c r="B381" s="89"/>
      <c r="C381" s="227">
        <v>66766</v>
      </c>
      <c r="D381" s="225">
        <v>46404.75</v>
      </c>
      <c r="E381" s="185"/>
      <c r="F381" s="72" t="e">
        <f>IF('M&amp;R Stations'!#REF!="","",('M&amp;R Stations'!#REF!+'M&amp;R Stations'!#REF!)+('LNG Facilities'!F363+'LNG Facilities'!G363+'LNG Facilities'!H363+'LNG Facilities'!R363+'LNG Facilities'!S363+'LNG Facilities'!T363)-'LNG Facilities'!#REF!-('NG Utilization'!C381+'NG Utilization'!D381+'NG Utilization'!E381))</f>
        <v>#REF!</v>
      </c>
      <c r="G381" s="58" t="e">
        <f>IF('M&amp;R Stations'!#REF!="","",F381+G380)</f>
        <v>#REF!</v>
      </c>
      <c r="H381" s="58" t="e">
        <f>IF('M&amp;R Stations'!#REF!="","",F381+H380)</f>
        <v>#REF!</v>
      </c>
      <c r="I381" s="58"/>
      <c r="J381" s="57" t="e">
        <f t="shared" si="89"/>
        <v>#REF!</v>
      </c>
      <c r="K381" s="58" t="e">
        <f t="shared" si="91"/>
        <v>#REF!</v>
      </c>
      <c r="L381" s="58" t="e">
        <f t="shared" si="92"/>
        <v>#REF!</v>
      </c>
      <c r="M381" s="58"/>
      <c r="N381" s="73" t="e">
        <f>IF(F381="","",ROUND((('M&amp;R Stations'!#REF!+'M&amp;R Stations'!#REF!)-('NG Utilization'!C381+'NG Utilization'!D381+'NG Utilization'!E381)-'LNG Facilities'!#REF!)*ROUND(((('M&amp;R Stations'!#REF!*'M&amp;R Stations'!L363)+('M&amp;R Stations'!#REF!*'M&amp;R Stations'!F363))/1000)/('M&amp;R Stations'!#REF!+'M&amp;R Stations'!#REF!),3),0)+ROUND((('LNG Facilities'!F363*'LNG Facilities'!K363+'LNG Facilities'!G363*'LNG Facilities'!L363+'LNG Facilities'!H363*'LNG Facilities'!M363+'LNG Facilities'!R363*'LNG Facilities'!W363+'LNG Facilities'!S363*'LNG Facilities'!X363+'LNG Facilities'!T363*'LNG Facilities'!#REF!)/1000),0))</f>
        <v>#REF!</v>
      </c>
      <c r="O381" s="58" t="e">
        <f t="shared" si="93"/>
        <v>#REF!</v>
      </c>
      <c r="P381" s="58" t="e">
        <f t="shared" si="94"/>
        <v>#REF!</v>
      </c>
      <c r="Q381" s="58"/>
      <c r="R381" s="57" t="e">
        <f t="shared" si="90"/>
        <v>#REF!</v>
      </c>
      <c r="S381" s="58" t="e">
        <f t="shared" si="95"/>
        <v>#REF!</v>
      </c>
      <c r="T381" s="58" t="e">
        <f t="shared" si="96"/>
        <v>#REF!</v>
      </c>
      <c r="U381" s="59"/>
      <c r="V381" s="59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</row>
    <row r="382" spans="1:46" x14ac:dyDescent="0.25">
      <c r="A382" s="31">
        <f>'M&amp;R Stations'!A364</f>
        <v>39323</v>
      </c>
      <c r="B382" s="89"/>
      <c r="C382" s="227">
        <v>66637</v>
      </c>
      <c r="D382" s="225">
        <v>46404.75</v>
      </c>
      <c r="E382" s="185"/>
      <c r="F382" s="72" t="e">
        <f>IF('M&amp;R Stations'!#REF!="","",('M&amp;R Stations'!#REF!+'M&amp;R Stations'!#REF!)+('LNG Facilities'!F364+'LNG Facilities'!G364+'LNG Facilities'!H364+'LNG Facilities'!R364+'LNG Facilities'!S364+'LNG Facilities'!T364)-'LNG Facilities'!#REF!-('NG Utilization'!C382+'NG Utilization'!D382+'NG Utilization'!E382))</f>
        <v>#REF!</v>
      </c>
      <c r="G382" s="58" t="e">
        <f>IF('M&amp;R Stations'!#REF!="","",F382+G381)</f>
        <v>#REF!</v>
      </c>
      <c r="H382" s="58" t="e">
        <f>IF('M&amp;R Stations'!#REF!="","",F382+H381)</f>
        <v>#REF!</v>
      </c>
      <c r="I382" s="58"/>
      <c r="J382" s="57" t="e">
        <f t="shared" si="89"/>
        <v>#REF!</v>
      </c>
      <c r="K382" s="58" t="e">
        <f t="shared" si="91"/>
        <v>#REF!</v>
      </c>
      <c r="L382" s="58" t="e">
        <f t="shared" si="92"/>
        <v>#REF!</v>
      </c>
      <c r="M382" s="58"/>
      <c r="N382" s="73" t="e">
        <f>IF(F382="","",ROUND((('M&amp;R Stations'!#REF!+'M&amp;R Stations'!#REF!)-('NG Utilization'!C382+'NG Utilization'!D382+'NG Utilization'!E382)-'LNG Facilities'!#REF!)*ROUND(((('M&amp;R Stations'!#REF!*'M&amp;R Stations'!L364)+('M&amp;R Stations'!#REF!*'M&amp;R Stations'!F364))/1000)/('M&amp;R Stations'!#REF!+'M&amp;R Stations'!#REF!),3),0)+ROUND((('LNG Facilities'!F364*'LNG Facilities'!K364+'LNG Facilities'!G364*'LNG Facilities'!L364+'LNG Facilities'!H364*'LNG Facilities'!M364+'LNG Facilities'!R364*'LNG Facilities'!W364+'LNG Facilities'!S364*'LNG Facilities'!X364+'LNG Facilities'!T364*'LNG Facilities'!#REF!)/1000),0))</f>
        <v>#REF!</v>
      </c>
      <c r="O382" s="58" t="e">
        <f t="shared" si="93"/>
        <v>#REF!</v>
      </c>
      <c r="P382" s="58" t="e">
        <f t="shared" si="94"/>
        <v>#REF!</v>
      </c>
      <c r="Q382" s="58"/>
      <c r="R382" s="57" t="e">
        <f t="shared" si="90"/>
        <v>#REF!</v>
      </c>
      <c r="S382" s="58" t="e">
        <f t="shared" si="95"/>
        <v>#REF!</v>
      </c>
      <c r="T382" s="58" t="e">
        <f t="shared" si="96"/>
        <v>#REF!</v>
      </c>
      <c r="U382" s="59"/>
      <c r="V382" s="59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</row>
    <row r="383" spans="1:46" x14ac:dyDescent="0.25">
      <c r="A383" s="31">
        <f>'M&amp;R Stations'!A365</f>
        <v>39324</v>
      </c>
      <c r="B383" s="89"/>
      <c r="C383" s="227">
        <v>67975</v>
      </c>
      <c r="D383" s="225">
        <v>46404.75</v>
      </c>
      <c r="E383" s="185"/>
      <c r="F383" s="72" t="e">
        <f>IF('M&amp;R Stations'!#REF!="","",('M&amp;R Stations'!#REF!+'M&amp;R Stations'!#REF!)+('LNG Facilities'!F365+'LNG Facilities'!G365+'LNG Facilities'!H365+'LNG Facilities'!R365+'LNG Facilities'!S365+'LNG Facilities'!T365)-'LNG Facilities'!#REF!-('NG Utilization'!C383+'NG Utilization'!D383+'NG Utilization'!E383))</f>
        <v>#REF!</v>
      </c>
      <c r="G383" s="58" t="e">
        <f>IF('M&amp;R Stations'!#REF!="","",F383+G382)</f>
        <v>#REF!</v>
      </c>
      <c r="H383" s="58" t="e">
        <f>IF('M&amp;R Stations'!#REF!="","",F383+H382)</f>
        <v>#REF!</v>
      </c>
      <c r="I383" s="58"/>
      <c r="J383" s="57" t="e">
        <f t="shared" si="89"/>
        <v>#REF!</v>
      </c>
      <c r="K383" s="58" t="e">
        <f t="shared" si="91"/>
        <v>#REF!</v>
      </c>
      <c r="L383" s="58" t="e">
        <f t="shared" si="92"/>
        <v>#REF!</v>
      </c>
      <c r="M383" s="58"/>
      <c r="N383" s="73" t="e">
        <f>IF(F383="","",ROUND((('M&amp;R Stations'!#REF!+'M&amp;R Stations'!#REF!)-('NG Utilization'!C383+'NG Utilization'!D383+'NG Utilization'!E383)-'LNG Facilities'!#REF!)*ROUND(((('M&amp;R Stations'!#REF!*'M&amp;R Stations'!L365)+('M&amp;R Stations'!#REF!*'M&amp;R Stations'!F365))/1000)/('M&amp;R Stations'!#REF!+'M&amp;R Stations'!#REF!),3),0)+ROUND((('LNG Facilities'!F365*'LNG Facilities'!K365+'LNG Facilities'!G365*'LNG Facilities'!L365+'LNG Facilities'!H365*'LNG Facilities'!M365+'LNG Facilities'!R365*'LNG Facilities'!W365+'LNG Facilities'!S365*'LNG Facilities'!X365+'LNG Facilities'!T365*'LNG Facilities'!#REF!)/1000),0))</f>
        <v>#REF!</v>
      </c>
      <c r="O383" s="58" t="e">
        <f t="shared" si="93"/>
        <v>#REF!</v>
      </c>
      <c r="P383" s="58" t="e">
        <f t="shared" si="94"/>
        <v>#REF!</v>
      </c>
      <c r="Q383" s="58"/>
      <c r="R383" s="57" t="e">
        <f t="shared" si="90"/>
        <v>#REF!</v>
      </c>
      <c r="S383" s="58" t="e">
        <f t="shared" si="95"/>
        <v>#REF!</v>
      </c>
      <c r="T383" s="58" t="e">
        <f t="shared" si="96"/>
        <v>#REF!</v>
      </c>
      <c r="U383" s="59"/>
      <c r="V383" s="59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</row>
    <row r="384" spans="1:46" x14ac:dyDescent="0.25">
      <c r="A384" s="31">
        <f>'M&amp;R Stations'!A366</f>
        <v>39325</v>
      </c>
      <c r="B384" s="89"/>
      <c r="C384" s="227">
        <v>67792</v>
      </c>
      <c r="D384" s="225">
        <v>46404.75</v>
      </c>
      <c r="E384" s="185"/>
      <c r="F384" s="72" t="e">
        <f>IF('M&amp;R Stations'!#REF!="","",('M&amp;R Stations'!#REF!+'M&amp;R Stations'!#REF!)+('LNG Facilities'!F366+'LNG Facilities'!G366+'LNG Facilities'!H366+'LNG Facilities'!R366+'LNG Facilities'!S366+'LNG Facilities'!T366)-'LNG Facilities'!#REF!-('NG Utilization'!C384+'NG Utilization'!D384+'NG Utilization'!E384))</f>
        <v>#REF!</v>
      </c>
      <c r="G384" s="58" t="e">
        <f>IF('M&amp;R Stations'!#REF!="","",F384+G383)</f>
        <v>#REF!</v>
      </c>
      <c r="H384" s="58" t="e">
        <f>IF('M&amp;R Stations'!#REF!="","",F384+H383)</f>
        <v>#REF!</v>
      </c>
      <c r="I384" s="58"/>
      <c r="J384" s="57" t="e">
        <f t="shared" si="89"/>
        <v>#REF!</v>
      </c>
      <c r="K384" s="58" t="e">
        <f>IF(J384="","",J384+K383)</f>
        <v>#REF!</v>
      </c>
      <c r="L384" s="58" t="e">
        <f>IF(J384="","",J384+L383)</f>
        <v>#REF!</v>
      </c>
      <c r="M384" s="58"/>
      <c r="N384" s="73" t="e">
        <f>IF(F384="","",ROUND((('M&amp;R Stations'!#REF!+'M&amp;R Stations'!#REF!)-('NG Utilization'!C384+'NG Utilization'!D384+'NG Utilization'!E384)-'LNG Facilities'!#REF!)*ROUND(((('M&amp;R Stations'!#REF!*'M&amp;R Stations'!L366)+('M&amp;R Stations'!#REF!*'M&amp;R Stations'!F366))/1000)/('M&amp;R Stations'!#REF!+'M&amp;R Stations'!#REF!),3),0)+ROUND((('LNG Facilities'!F366*'LNG Facilities'!K366+'LNG Facilities'!G366*'LNG Facilities'!L366+'LNG Facilities'!H366*'LNG Facilities'!M366+'LNG Facilities'!R366*'LNG Facilities'!W366+'LNG Facilities'!S366*'LNG Facilities'!X366+'LNG Facilities'!T366*'LNG Facilities'!#REF!)/1000),0))</f>
        <v>#REF!</v>
      </c>
      <c r="O384" s="58" t="e">
        <f>IF(N384="","",N384+O383)</f>
        <v>#REF!</v>
      </c>
      <c r="P384" s="58" t="e">
        <f>IF(N384="","",N384+P383)</f>
        <v>#REF!</v>
      </c>
      <c r="Q384" s="58"/>
      <c r="R384" s="57" t="e">
        <f t="shared" si="90"/>
        <v>#REF!</v>
      </c>
      <c r="S384" s="58" t="e">
        <f>IF(R384="","",R384+S383)</f>
        <v>#REF!</v>
      </c>
      <c r="T384" s="58" t="e">
        <f>IF(R384="","",R384+T383)</f>
        <v>#REF!</v>
      </c>
      <c r="U384" s="59"/>
      <c r="V384" s="59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</row>
    <row r="385" spans="1:46" x14ac:dyDescent="0.25">
      <c r="A385" s="31"/>
      <c r="B385" s="89"/>
      <c r="C385" s="89" t="s">
        <v>178</v>
      </c>
      <c r="D385" s="89"/>
      <c r="E385" s="185"/>
      <c r="F385" s="72" t="str">
        <f>IF(D385="","",('M&amp;R Stations'!#REF!+'M&amp;R Stations'!#REF!)+('LNG Facilities'!#REF!+'LNG Facilities'!#REF!+'LNG Facilities'!#REF!+'LNG Facilities'!#REF!+'LNG Facilities'!#REF!+'LNG Facilities'!#REF!)-'LNG Facilities'!#REF!-('NG Utilization'!C385+'NG Utilization'!D385+'NG Utilization'!E385))</f>
        <v/>
      </c>
      <c r="G385" s="58" t="str">
        <f>IF(F385="","",F385+G384)</f>
        <v/>
      </c>
      <c r="H385" s="58" t="str">
        <f>IF(F385="","",F385+H384)</f>
        <v/>
      </c>
      <c r="I385" s="58"/>
      <c r="J385" s="57" t="str">
        <f t="shared" si="89"/>
        <v/>
      </c>
      <c r="K385" s="58" t="str">
        <f>IF(J385="","",J385+K384)</f>
        <v/>
      </c>
      <c r="L385" s="58" t="str">
        <f>IF(J385="","",J385+L384)</f>
        <v/>
      </c>
      <c r="M385" s="58"/>
      <c r="N385" s="73" t="str">
        <f>IF(F385="","",ROUND((('M&amp;R Stations'!#REF!+'M&amp;R Stations'!#REF!)-('NG Utilization'!C385+'NG Utilization'!D385+'NG Utilization'!E385)-'LNG Facilities'!#REF!)*ROUND(((('M&amp;R Stations'!#REF!*'M&amp;R Stations'!#REF!)+('M&amp;R Stations'!#REF!*'M&amp;R Stations'!#REF!))/1000)/('M&amp;R Stations'!#REF!+'M&amp;R Stations'!#REF!),3),0)+ROUND((('LNG Facilities'!#REF!*'LNG Facilities'!#REF!+'LNG Facilities'!#REF!*'LNG Facilities'!#REF!+'LNG Facilities'!#REF!*'LNG Facilities'!#REF!+'LNG Facilities'!#REF!*'LNG Facilities'!#REF!+'LNG Facilities'!#REF!*'LNG Facilities'!#REF!+'LNG Facilities'!#REF!*'LNG Facilities'!#REF!)/1000),0))</f>
        <v/>
      </c>
      <c r="O385" s="58" t="str">
        <f>IF(N385="","",N385+O384)</f>
        <v/>
      </c>
      <c r="P385" s="58" t="str">
        <f>IF(N385="","",N385+P384)</f>
        <v/>
      </c>
      <c r="Q385" s="58"/>
      <c r="R385" s="57" t="str">
        <f t="shared" si="90"/>
        <v/>
      </c>
      <c r="S385" s="58" t="str">
        <f>IF(R385="","",R385+S384)</f>
        <v/>
      </c>
      <c r="T385" s="58" t="str">
        <f>IF(R385="","",R385+T384)</f>
        <v/>
      </c>
      <c r="U385" s="59"/>
      <c r="V385" s="59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</row>
    <row r="386" spans="1:46" x14ac:dyDescent="0.25">
      <c r="A386" s="22"/>
      <c r="B386" s="107"/>
      <c r="C386" s="107"/>
      <c r="D386" s="107"/>
      <c r="E386" s="188"/>
      <c r="F386" s="60"/>
      <c r="G386" s="60"/>
      <c r="H386" s="60"/>
      <c r="I386" s="60"/>
      <c r="J386" s="86"/>
      <c r="K386" s="60"/>
      <c r="L386" s="60"/>
      <c r="M386" s="60"/>
      <c r="N386" s="60"/>
      <c r="O386" s="60"/>
      <c r="P386" s="60"/>
      <c r="Q386" s="60"/>
      <c r="R386" s="81"/>
      <c r="S386" s="59"/>
      <c r="T386" s="59"/>
      <c r="U386" s="59"/>
      <c r="V386" s="59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</row>
    <row r="387" spans="1:46" x14ac:dyDescent="0.25">
      <c r="A387" s="22"/>
      <c r="B387" s="52"/>
      <c r="C387" s="52"/>
      <c r="D387" s="52"/>
      <c r="E387" s="188"/>
      <c r="F387" s="60"/>
      <c r="G387" s="60"/>
      <c r="H387" s="60"/>
      <c r="I387" s="60"/>
      <c r="J387" s="86"/>
      <c r="K387" s="60"/>
      <c r="L387" s="60"/>
      <c r="M387" s="60"/>
      <c r="N387" s="60"/>
      <c r="O387" s="60"/>
      <c r="P387" s="60"/>
      <c r="Q387" s="60"/>
      <c r="R387" s="81"/>
      <c r="S387" s="59"/>
      <c r="T387" s="59"/>
      <c r="U387" s="59"/>
      <c r="V387" s="59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</row>
    <row r="388" spans="1:46" x14ac:dyDescent="0.25">
      <c r="A388" s="22"/>
      <c r="B388" s="52"/>
      <c r="C388" s="52"/>
      <c r="D388" s="52"/>
      <c r="E388" s="188"/>
      <c r="F388" s="60"/>
      <c r="G388" s="60"/>
      <c r="H388" s="60"/>
      <c r="I388" s="60"/>
      <c r="J388" s="86"/>
      <c r="K388" s="60"/>
      <c r="L388" s="60"/>
      <c r="M388" s="60"/>
      <c r="N388" s="60"/>
      <c r="O388" s="60"/>
      <c r="P388" s="60"/>
      <c r="Q388" s="60"/>
      <c r="R388" s="81"/>
      <c r="S388" s="59"/>
      <c r="T388" s="59"/>
      <c r="U388" s="59"/>
      <c r="V388" s="59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</row>
    <row r="389" spans="1:46" x14ac:dyDescent="0.25">
      <c r="A389" s="22"/>
      <c r="B389" s="52"/>
      <c r="C389" s="52"/>
      <c r="D389" s="52"/>
      <c r="E389" s="188"/>
      <c r="F389" s="60"/>
      <c r="G389" s="60"/>
      <c r="H389" s="60"/>
      <c r="I389" s="60"/>
      <c r="J389" s="86"/>
      <c r="K389" s="60"/>
      <c r="L389" s="60"/>
      <c r="M389" s="60"/>
      <c r="N389" s="60"/>
      <c r="O389" s="60"/>
      <c r="P389" s="60"/>
      <c r="Q389" s="60"/>
      <c r="R389" s="81"/>
      <c r="S389" s="59"/>
      <c r="T389" s="59"/>
      <c r="U389" s="59"/>
      <c r="V389" s="59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</row>
    <row r="390" spans="1:46" x14ac:dyDescent="0.25">
      <c r="A390" s="22"/>
      <c r="B390" s="52"/>
      <c r="C390" s="52"/>
      <c r="D390" s="52"/>
      <c r="E390" s="188"/>
      <c r="F390" s="60"/>
      <c r="G390" s="60"/>
      <c r="H390" s="60"/>
      <c r="I390" s="60"/>
      <c r="J390" s="86"/>
      <c r="K390" s="60"/>
      <c r="L390" s="60"/>
      <c r="M390" s="60"/>
      <c r="N390" s="60"/>
      <c r="O390" s="60"/>
      <c r="P390" s="60"/>
      <c r="Q390" s="60"/>
      <c r="R390" s="81"/>
      <c r="S390" s="59"/>
      <c r="T390" s="59"/>
      <c r="U390" s="59"/>
      <c r="V390" s="59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</row>
    <row r="391" spans="1:46" x14ac:dyDescent="0.25">
      <c r="A391" s="22"/>
      <c r="B391" s="52"/>
      <c r="C391" s="52"/>
      <c r="D391" s="52"/>
      <c r="E391" s="188"/>
      <c r="F391" s="60"/>
      <c r="G391" s="60"/>
      <c r="H391" s="60"/>
      <c r="I391" s="60"/>
      <c r="J391" s="86"/>
      <c r="K391" s="60"/>
      <c r="L391" s="60"/>
      <c r="M391" s="60"/>
      <c r="N391" s="60"/>
      <c r="O391" s="60"/>
      <c r="P391" s="60"/>
      <c r="Q391" s="60"/>
      <c r="R391" s="81"/>
      <c r="S391" s="59"/>
      <c r="T391" s="59"/>
      <c r="U391" s="59"/>
      <c r="V391" s="59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</row>
    <row r="392" spans="1:46" x14ac:dyDescent="0.25">
      <c r="A392" s="22"/>
      <c r="B392" s="52"/>
      <c r="C392" s="52"/>
      <c r="D392" s="52"/>
      <c r="E392" s="188"/>
      <c r="F392" s="60"/>
      <c r="G392" s="60"/>
      <c r="H392" s="60"/>
      <c r="I392" s="60"/>
      <c r="J392" s="86"/>
      <c r="K392" s="60"/>
      <c r="L392" s="60"/>
      <c r="M392" s="60"/>
      <c r="N392" s="60"/>
      <c r="O392" s="60"/>
      <c r="P392" s="60"/>
      <c r="Q392" s="60"/>
      <c r="R392" s="81"/>
      <c r="S392" s="59"/>
      <c r="T392" s="59"/>
      <c r="U392" s="59"/>
      <c r="V392" s="59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</row>
    <row r="393" spans="1:46" x14ac:dyDescent="0.25">
      <c r="A393" s="22"/>
      <c r="B393" s="52"/>
      <c r="C393" s="52"/>
      <c r="D393" s="52"/>
      <c r="E393" s="188"/>
      <c r="F393" s="60"/>
      <c r="G393" s="60"/>
      <c r="H393" s="60"/>
      <c r="I393" s="60"/>
      <c r="J393" s="86"/>
      <c r="K393" s="60"/>
      <c r="L393" s="60"/>
      <c r="M393" s="60"/>
      <c r="N393" s="60"/>
      <c r="O393" s="60"/>
      <c r="P393" s="60"/>
      <c r="Q393" s="60"/>
      <c r="R393" s="81"/>
      <c r="S393" s="59"/>
      <c r="T393" s="59"/>
      <c r="U393" s="59"/>
      <c r="V393" s="59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</row>
    <row r="394" spans="1:46" x14ac:dyDescent="0.25">
      <c r="A394" s="22"/>
      <c r="B394" s="52"/>
      <c r="C394" s="52"/>
      <c r="D394" s="52"/>
      <c r="E394" s="188"/>
      <c r="F394" s="60"/>
      <c r="G394" s="60"/>
      <c r="H394" s="60"/>
      <c r="I394" s="60"/>
      <c r="J394" s="86"/>
      <c r="K394" s="60"/>
      <c r="L394" s="60"/>
      <c r="M394" s="60"/>
      <c r="N394" s="60"/>
      <c r="O394" s="60"/>
      <c r="P394" s="60"/>
      <c r="Q394" s="60"/>
      <c r="R394" s="81"/>
      <c r="S394" s="59"/>
      <c r="T394" s="59"/>
      <c r="U394" s="59"/>
      <c r="V394" s="59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</row>
    <row r="395" spans="1:46" x14ac:dyDescent="0.25">
      <c r="A395" s="22"/>
      <c r="B395" s="52"/>
      <c r="C395" s="52"/>
      <c r="D395" s="52"/>
      <c r="E395" s="188"/>
      <c r="F395" s="60"/>
      <c r="G395" s="60"/>
      <c r="H395" s="60"/>
      <c r="I395" s="60"/>
      <c r="J395" s="86"/>
      <c r="K395" s="60"/>
      <c r="L395" s="60"/>
      <c r="M395" s="60"/>
      <c r="N395" s="60"/>
      <c r="O395" s="60"/>
      <c r="P395" s="60"/>
      <c r="Q395" s="60"/>
      <c r="R395" s="81"/>
      <c r="S395" s="59"/>
      <c r="T395" s="59"/>
      <c r="U395" s="59"/>
      <c r="V395" s="59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</row>
    <row r="396" spans="1:46" x14ac:dyDescent="0.25">
      <c r="A396" s="22"/>
      <c r="B396" s="52"/>
      <c r="C396" s="52"/>
      <c r="D396" s="52"/>
      <c r="E396" s="188"/>
      <c r="F396" s="60"/>
      <c r="G396" s="60"/>
      <c r="H396" s="60"/>
      <c r="I396" s="60"/>
      <c r="J396" s="86"/>
      <c r="K396" s="60"/>
      <c r="L396" s="60"/>
      <c r="M396" s="60"/>
      <c r="N396" s="60"/>
      <c r="O396" s="60"/>
      <c r="P396" s="60"/>
      <c r="Q396" s="60"/>
      <c r="R396" s="81"/>
      <c r="S396" s="59"/>
      <c r="T396" s="59"/>
      <c r="U396" s="59"/>
      <c r="V396" s="59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</row>
    <row r="397" spans="1:46" x14ac:dyDescent="0.25">
      <c r="A397" s="22"/>
      <c r="B397" s="52"/>
      <c r="C397" s="52"/>
      <c r="D397" s="52"/>
      <c r="E397" s="188"/>
      <c r="F397" s="60"/>
      <c r="G397" s="60"/>
      <c r="H397" s="60"/>
      <c r="I397" s="60"/>
      <c r="J397" s="86"/>
      <c r="K397" s="60"/>
      <c r="L397" s="60"/>
      <c r="M397" s="60"/>
      <c r="N397" s="60"/>
      <c r="O397" s="60"/>
      <c r="P397" s="60"/>
      <c r="Q397" s="60"/>
      <c r="R397" s="81"/>
      <c r="S397" s="59"/>
      <c r="T397" s="59"/>
      <c r="U397" s="59"/>
      <c r="V397" s="59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</row>
    <row r="398" spans="1:46" x14ac:dyDescent="0.25">
      <c r="A398" s="22"/>
      <c r="B398" s="52"/>
      <c r="C398" s="52"/>
      <c r="D398" s="52"/>
      <c r="E398" s="188"/>
      <c r="F398" s="60"/>
      <c r="G398" s="60"/>
      <c r="H398" s="60"/>
      <c r="I398" s="60"/>
      <c r="J398" s="86"/>
      <c r="K398" s="60"/>
      <c r="L398" s="60"/>
      <c r="M398" s="60"/>
      <c r="N398" s="60"/>
      <c r="O398" s="60"/>
      <c r="P398" s="60"/>
      <c r="Q398" s="60"/>
      <c r="R398" s="81"/>
      <c r="S398" s="59"/>
      <c r="T398" s="59"/>
      <c r="U398" s="59"/>
      <c r="V398" s="59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</row>
    <row r="399" spans="1:46" x14ac:dyDescent="0.25">
      <c r="A399" s="22"/>
      <c r="B399" s="52"/>
      <c r="C399" s="52"/>
      <c r="D399" s="52"/>
      <c r="E399" s="188"/>
      <c r="F399" s="60"/>
      <c r="G399" s="60"/>
      <c r="H399" s="60"/>
      <c r="I399" s="60"/>
      <c r="J399" s="86"/>
      <c r="K399" s="60"/>
      <c r="L399" s="60"/>
      <c r="M399" s="60"/>
      <c r="N399" s="60"/>
      <c r="O399" s="60"/>
      <c r="P399" s="60"/>
      <c r="Q399" s="60"/>
      <c r="R399" s="81"/>
      <c r="S399" s="59"/>
      <c r="T399" s="59"/>
      <c r="U399" s="59"/>
      <c r="V399" s="59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</row>
    <row r="400" spans="1:46" x14ac:dyDescent="0.25">
      <c r="A400" s="22"/>
      <c r="B400" s="52"/>
      <c r="C400" s="52"/>
      <c r="D400" s="52"/>
      <c r="E400" s="188"/>
      <c r="F400" s="60"/>
      <c r="G400" s="60"/>
      <c r="H400" s="60"/>
      <c r="I400" s="60"/>
      <c r="J400" s="86"/>
      <c r="K400" s="60"/>
      <c r="L400" s="60"/>
      <c r="M400" s="60"/>
      <c r="N400" s="60"/>
      <c r="O400" s="60"/>
      <c r="P400" s="60"/>
      <c r="Q400" s="60"/>
      <c r="R400" s="81"/>
      <c r="S400" s="59"/>
      <c r="T400" s="59"/>
      <c r="U400" s="59"/>
      <c r="V400" s="59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</row>
    <row r="401" spans="1:46" x14ac:dyDescent="0.25">
      <c r="A401" s="22"/>
      <c r="B401" s="52"/>
      <c r="C401" s="52"/>
      <c r="D401" s="52"/>
      <c r="E401" s="188"/>
      <c r="F401" s="60"/>
      <c r="G401" s="60"/>
      <c r="H401" s="60"/>
      <c r="I401" s="60"/>
      <c r="J401" s="86"/>
      <c r="K401" s="60"/>
      <c r="L401" s="60"/>
      <c r="M401" s="60"/>
      <c r="N401" s="60"/>
      <c r="O401" s="60"/>
      <c r="P401" s="60"/>
      <c r="Q401" s="60"/>
      <c r="R401" s="81"/>
      <c r="S401" s="59"/>
      <c r="T401" s="59"/>
      <c r="U401" s="59"/>
      <c r="V401" s="59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</row>
    <row r="402" spans="1:46" x14ac:dyDescent="0.25">
      <c r="A402" s="22"/>
      <c r="B402" s="52"/>
      <c r="C402" s="52"/>
      <c r="D402" s="52"/>
      <c r="E402" s="188"/>
      <c r="F402" s="60"/>
      <c r="G402" s="60"/>
      <c r="H402" s="60"/>
      <c r="I402" s="60"/>
      <c r="J402" s="86"/>
      <c r="K402" s="60"/>
      <c r="L402" s="60"/>
      <c r="M402" s="60"/>
      <c r="N402" s="60"/>
      <c r="O402" s="60"/>
      <c r="P402" s="60"/>
      <c r="Q402" s="60"/>
      <c r="R402" s="81"/>
      <c r="S402" s="59"/>
      <c r="T402" s="59"/>
      <c r="U402" s="59"/>
      <c r="V402" s="59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</row>
    <row r="403" spans="1:46" x14ac:dyDescent="0.25">
      <c r="A403" s="22"/>
      <c r="B403" s="52"/>
      <c r="C403" s="52"/>
      <c r="D403" s="52"/>
      <c r="E403" s="188"/>
      <c r="F403" s="60"/>
      <c r="G403" s="60"/>
      <c r="H403" s="60"/>
      <c r="I403" s="60"/>
      <c r="J403" s="86"/>
      <c r="K403" s="60"/>
      <c r="L403" s="60"/>
      <c r="M403" s="60"/>
      <c r="N403" s="60"/>
      <c r="O403" s="60"/>
      <c r="P403" s="60"/>
      <c r="Q403" s="60"/>
      <c r="R403" s="81"/>
      <c r="S403" s="59"/>
      <c r="T403" s="59"/>
      <c r="U403" s="59"/>
      <c r="V403" s="59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</row>
    <row r="404" spans="1:46" x14ac:dyDescent="0.25">
      <c r="A404" s="22"/>
      <c r="B404" s="52"/>
      <c r="C404" s="52"/>
      <c r="D404" s="52"/>
      <c r="E404" s="188"/>
      <c r="F404" s="60"/>
      <c r="G404" s="60"/>
      <c r="H404" s="60"/>
      <c r="I404" s="60"/>
      <c r="J404" s="86"/>
      <c r="K404" s="60"/>
      <c r="L404" s="60"/>
      <c r="M404" s="60"/>
      <c r="N404" s="60"/>
      <c r="O404" s="60"/>
      <c r="P404" s="60"/>
      <c r="Q404" s="60"/>
      <c r="R404" s="81"/>
      <c r="S404" s="59"/>
      <c r="T404" s="59"/>
      <c r="U404" s="59"/>
      <c r="V404" s="59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</row>
    <row r="405" spans="1:46" x14ac:dyDescent="0.25">
      <c r="A405" s="22"/>
      <c r="B405" s="52"/>
      <c r="C405" s="52"/>
      <c r="D405" s="52"/>
      <c r="E405" s="188"/>
      <c r="F405" s="60"/>
      <c r="G405" s="60"/>
      <c r="H405" s="60"/>
      <c r="I405" s="60"/>
      <c r="J405" s="86"/>
      <c r="K405" s="60"/>
      <c r="L405" s="60"/>
      <c r="M405" s="60"/>
      <c r="N405" s="60"/>
      <c r="O405" s="60"/>
      <c r="P405" s="60"/>
      <c r="Q405" s="60"/>
      <c r="R405" s="81"/>
      <c r="S405" s="59"/>
      <c r="T405" s="59"/>
      <c r="U405" s="59"/>
      <c r="V405" s="59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</row>
    <row r="406" spans="1:46" x14ac:dyDescent="0.25">
      <c r="A406" s="22"/>
      <c r="B406" s="52"/>
      <c r="C406" s="52"/>
      <c r="D406" s="52"/>
      <c r="E406" s="188"/>
      <c r="F406" s="60"/>
      <c r="G406" s="60"/>
      <c r="H406" s="60"/>
      <c r="I406" s="60"/>
      <c r="J406" s="86"/>
      <c r="K406" s="60"/>
      <c r="L406" s="60"/>
      <c r="M406" s="60"/>
      <c r="N406" s="60"/>
      <c r="O406" s="60"/>
      <c r="P406" s="60"/>
      <c r="Q406" s="60"/>
      <c r="R406" s="81"/>
      <c r="S406" s="59"/>
      <c r="T406" s="59"/>
      <c r="U406" s="59"/>
      <c r="V406" s="59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</row>
    <row r="407" spans="1:46" x14ac:dyDescent="0.25">
      <c r="A407" s="22"/>
      <c r="B407" s="52"/>
      <c r="C407" s="52"/>
      <c r="D407" s="52"/>
      <c r="E407" s="188"/>
      <c r="F407" s="60"/>
      <c r="G407" s="60"/>
      <c r="H407" s="60"/>
      <c r="I407" s="60"/>
      <c r="J407" s="86"/>
      <c r="K407" s="60"/>
      <c r="L407" s="60"/>
      <c r="M407" s="60"/>
      <c r="N407" s="60"/>
      <c r="O407" s="60"/>
      <c r="P407" s="60"/>
      <c r="Q407" s="60"/>
      <c r="R407" s="81"/>
      <c r="S407" s="59"/>
      <c r="T407" s="59"/>
      <c r="U407" s="59"/>
      <c r="V407" s="59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</row>
    <row r="408" spans="1:46" x14ac:dyDescent="0.25">
      <c r="A408" s="22"/>
      <c r="B408" s="52"/>
      <c r="C408" s="52"/>
      <c r="D408" s="52"/>
      <c r="E408" s="188"/>
      <c r="F408" s="60"/>
      <c r="G408" s="60"/>
      <c r="H408" s="60"/>
      <c r="I408" s="60"/>
      <c r="J408" s="86"/>
      <c r="K408" s="60"/>
      <c r="L408" s="60"/>
      <c r="M408" s="60"/>
      <c r="N408" s="60"/>
      <c r="O408" s="60"/>
      <c r="P408" s="60"/>
      <c r="Q408" s="60"/>
      <c r="R408" s="81"/>
      <c r="S408" s="59"/>
      <c r="T408" s="59"/>
      <c r="U408" s="59"/>
      <c r="V408" s="59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</row>
    <row r="409" spans="1:46" x14ac:dyDescent="0.25">
      <c r="A409" s="22"/>
      <c r="B409" s="52"/>
      <c r="C409" s="52"/>
      <c r="D409" s="52"/>
      <c r="E409" s="188"/>
      <c r="F409" s="60"/>
      <c r="G409" s="60"/>
      <c r="H409" s="60"/>
      <c r="I409" s="60"/>
      <c r="J409" s="86"/>
      <c r="K409" s="60"/>
      <c r="L409" s="60"/>
      <c r="M409" s="60"/>
      <c r="N409" s="60"/>
      <c r="O409" s="60"/>
      <c r="P409" s="60"/>
      <c r="Q409" s="60"/>
      <c r="R409" s="81"/>
      <c r="S409" s="59"/>
      <c r="T409" s="59"/>
      <c r="U409" s="59"/>
      <c r="V409" s="59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</row>
    <row r="410" spans="1:46" x14ac:dyDescent="0.25">
      <c r="A410" s="22"/>
      <c r="B410" s="52"/>
      <c r="C410" s="52"/>
      <c r="D410" s="52"/>
      <c r="E410" s="188"/>
      <c r="F410" s="60"/>
      <c r="G410" s="60"/>
      <c r="H410" s="60"/>
      <c r="I410" s="60"/>
      <c r="J410" s="86"/>
      <c r="K410" s="60"/>
      <c r="L410" s="60"/>
      <c r="M410" s="60"/>
      <c r="N410" s="60"/>
      <c r="O410" s="60"/>
      <c r="P410" s="60"/>
      <c r="Q410" s="60"/>
      <c r="R410" s="81"/>
      <c r="S410" s="59"/>
      <c r="T410" s="59"/>
      <c r="U410" s="59"/>
      <c r="V410" s="59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</row>
    <row r="411" spans="1:46" x14ac:dyDescent="0.25">
      <c r="A411" s="22"/>
      <c r="B411" s="52"/>
      <c r="C411" s="52"/>
      <c r="D411" s="52"/>
      <c r="E411" s="188"/>
      <c r="F411" s="60"/>
      <c r="G411" s="60"/>
      <c r="H411" s="60"/>
      <c r="I411" s="60"/>
      <c r="J411" s="86"/>
      <c r="K411" s="60"/>
      <c r="L411" s="60"/>
      <c r="M411" s="60"/>
      <c r="N411" s="60"/>
      <c r="O411" s="60"/>
      <c r="P411" s="60"/>
      <c r="Q411" s="60"/>
      <c r="R411" s="81"/>
      <c r="S411" s="59"/>
      <c r="T411" s="59"/>
      <c r="U411" s="59"/>
      <c r="V411" s="59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</row>
    <row r="412" spans="1:46" x14ac:dyDescent="0.25">
      <c r="A412" s="22"/>
      <c r="B412" s="52"/>
      <c r="C412" s="52"/>
      <c r="D412" s="52"/>
      <c r="E412" s="188"/>
      <c r="F412" s="60"/>
      <c r="G412" s="60"/>
      <c r="H412" s="60"/>
      <c r="I412" s="60"/>
      <c r="J412" s="86"/>
      <c r="K412" s="60"/>
      <c r="L412" s="60"/>
      <c r="M412" s="60"/>
      <c r="N412" s="60"/>
      <c r="O412" s="60"/>
      <c r="P412" s="60"/>
      <c r="Q412" s="60"/>
      <c r="R412" s="81"/>
      <c r="S412" s="59"/>
      <c r="T412" s="59"/>
      <c r="U412" s="59"/>
      <c r="V412" s="59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</row>
    <row r="413" spans="1:46" x14ac:dyDescent="0.25">
      <c r="A413" s="22"/>
      <c r="B413" s="52"/>
      <c r="C413" s="52"/>
      <c r="D413" s="52"/>
      <c r="E413" s="188"/>
      <c r="F413" s="60"/>
      <c r="G413" s="60"/>
      <c r="H413" s="60"/>
      <c r="I413" s="60"/>
      <c r="J413" s="86"/>
      <c r="K413" s="60"/>
      <c r="L413" s="60"/>
      <c r="M413" s="60"/>
      <c r="N413" s="60"/>
      <c r="O413" s="60"/>
      <c r="P413" s="60"/>
      <c r="Q413" s="60"/>
      <c r="R413" s="81"/>
      <c r="S413" s="59"/>
      <c r="T413" s="59"/>
      <c r="U413" s="59"/>
      <c r="V413" s="59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</row>
    <row r="414" spans="1:46" x14ac:dyDescent="0.25">
      <c r="A414" s="22"/>
      <c r="B414" s="52"/>
      <c r="C414" s="52"/>
      <c r="D414" s="52"/>
      <c r="E414" s="188"/>
      <c r="F414" s="60"/>
      <c r="G414" s="60"/>
      <c r="H414" s="60"/>
      <c r="I414" s="60"/>
      <c r="J414" s="86"/>
      <c r="K414" s="60"/>
      <c r="L414" s="60"/>
      <c r="M414" s="60"/>
      <c r="N414" s="60"/>
      <c r="O414" s="60"/>
      <c r="P414" s="60"/>
      <c r="Q414" s="60"/>
      <c r="R414" s="81"/>
      <c r="S414" s="59"/>
      <c r="T414" s="59"/>
      <c r="U414" s="59"/>
      <c r="V414" s="59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</row>
    <row r="415" spans="1:46" x14ac:dyDescent="0.25">
      <c r="A415" s="22"/>
      <c r="B415" s="52"/>
      <c r="C415" s="52"/>
      <c r="D415" s="52"/>
      <c r="E415" s="188"/>
      <c r="F415" s="60"/>
      <c r="G415" s="60"/>
      <c r="H415" s="60"/>
      <c r="I415" s="60"/>
      <c r="J415" s="86"/>
      <c r="K415" s="60"/>
      <c r="L415" s="60"/>
      <c r="M415" s="60"/>
      <c r="N415" s="60"/>
      <c r="O415" s="60"/>
      <c r="P415" s="60"/>
      <c r="Q415" s="60"/>
      <c r="R415" s="81"/>
      <c r="S415" s="59"/>
      <c r="T415" s="59"/>
      <c r="U415" s="59"/>
      <c r="V415" s="59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</row>
    <row r="416" spans="1:46" x14ac:dyDescent="0.25">
      <c r="A416" s="22"/>
      <c r="B416" s="52"/>
      <c r="C416" s="52"/>
      <c r="D416" s="52"/>
      <c r="E416" s="188"/>
      <c r="F416" s="60"/>
      <c r="G416" s="60"/>
      <c r="H416" s="60"/>
      <c r="I416" s="60"/>
      <c r="J416" s="86"/>
      <c r="K416" s="60"/>
      <c r="L416" s="60"/>
      <c r="M416" s="60"/>
      <c r="N416" s="60"/>
      <c r="O416" s="60"/>
      <c r="P416" s="60"/>
      <c r="Q416" s="60"/>
      <c r="R416" s="81"/>
      <c r="S416" s="59"/>
      <c r="T416" s="59"/>
      <c r="U416" s="59"/>
      <c r="V416" s="59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</row>
    <row r="417" spans="1:46" x14ac:dyDescent="0.25">
      <c r="A417" s="22"/>
      <c r="B417" s="52"/>
      <c r="C417" s="52"/>
      <c r="D417" s="52"/>
      <c r="E417" s="188"/>
      <c r="F417" s="60"/>
      <c r="G417" s="60"/>
      <c r="H417" s="60"/>
      <c r="I417" s="60"/>
      <c r="J417" s="86"/>
      <c r="K417" s="60"/>
      <c r="L417" s="60"/>
      <c r="M417" s="60"/>
      <c r="N417" s="60"/>
      <c r="O417" s="60"/>
      <c r="P417" s="60"/>
      <c r="Q417" s="60"/>
      <c r="R417" s="81"/>
      <c r="S417" s="59"/>
      <c r="T417" s="59"/>
      <c r="U417" s="59"/>
      <c r="V417" s="59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</row>
    <row r="418" spans="1:46" x14ac:dyDescent="0.25">
      <c r="A418" s="22"/>
      <c r="B418" s="52"/>
      <c r="C418" s="52"/>
      <c r="D418" s="52"/>
      <c r="E418" s="188"/>
      <c r="F418" s="60"/>
      <c r="G418" s="60"/>
      <c r="H418" s="60"/>
      <c r="I418" s="60"/>
      <c r="J418" s="86"/>
      <c r="K418" s="60"/>
      <c r="L418" s="60"/>
      <c r="M418" s="60"/>
      <c r="N418" s="60"/>
      <c r="O418" s="60"/>
      <c r="P418" s="60"/>
      <c r="Q418" s="60"/>
      <c r="R418" s="81"/>
      <c r="S418" s="59"/>
      <c r="T418" s="59"/>
      <c r="U418" s="59"/>
      <c r="V418" s="59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</row>
    <row r="419" spans="1:46" x14ac:dyDescent="0.25">
      <c r="A419" s="22"/>
      <c r="B419" s="52"/>
      <c r="C419" s="52"/>
      <c r="D419" s="52"/>
      <c r="E419" s="188"/>
      <c r="F419" s="60"/>
      <c r="G419" s="60"/>
      <c r="H419" s="60"/>
      <c r="I419" s="60"/>
      <c r="J419" s="86"/>
      <c r="K419" s="60"/>
      <c r="L419" s="60"/>
      <c r="M419" s="60"/>
      <c r="N419" s="60"/>
      <c r="O419" s="60"/>
      <c r="P419" s="60"/>
      <c r="Q419" s="60"/>
      <c r="R419" s="81"/>
      <c r="S419" s="59"/>
      <c r="T419" s="59"/>
      <c r="U419" s="59"/>
      <c r="V419" s="59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</row>
    <row r="420" spans="1:46" x14ac:dyDescent="0.25">
      <c r="A420" s="22"/>
      <c r="B420" s="52"/>
      <c r="C420" s="52"/>
      <c r="D420" s="52"/>
      <c r="E420" s="188"/>
      <c r="F420" s="60"/>
      <c r="G420" s="60"/>
      <c r="H420" s="60"/>
      <c r="I420" s="60"/>
      <c r="J420" s="86"/>
      <c r="K420" s="60"/>
      <c r="L420" s="60"/>
      <c r="M420" s="60"/>
      <c r="N420" s="60"/>
      <c r="O420" s="60"/>
      <c r="P420" s="60"/>
      <c r="Q420" s="60"/>
      <c r="R420" s="81"/>
      <c r="S420" s="59"/>
      <c r="T420" s="59"/>
      <c r="U420" s="59"/>
      <c r="V420" s="59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</row>
    <row r="421" spans="1:46" x14ac:dyDescent="0.25">
      <c r="A421" s="22"/>
      <c r="B421" s="52"/>
      <c r="C421" s="52"/>
      <c r="D421" s="52"/>
      <c r="E421" s="188"/>
      <c r="F421" s="60"/>
      <c r="G421" s="60"/>
      <c r="H421" s="60"/>
      <c r="I421" s="60"/>
      <c r="J421" s="86"/>
      <c r="K421" s="60"/>
      <c r="L421" s="60"/>
      <c r="M421" s="60"/>
      <c r="N421" s="60"/>
      <c r="O421" s="60"/>
      <c r="P421" s="60"/>
      <c r="Q421" s="60"/>
      <c r="R421" s="81"/>
      <c r="S421" s="59"/>
      <c r="T421" s="59"/>
      <c r="U421" s="59"/>
      <c r="V421" s="59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</row>
    <row r="422" spans="1:46" x14ac:dyDescent="0.25">
      <c r="A422" s="22"/>
      <c r="B422" s="52"/>
      <c r="C422" s="52"/>
      <c r="D422" s="52"/>
      <c r="E422" s="188"/>
      <c r="F422" s="60"/>
      <c r="G422" s="60"/>
      <c r="H422" s="60"/>
      <c r="I422" s="60"/>
      <c r="J422" s="86"/>
      <c r="K422" s="60"/>
      <c r="L422" s="60"/>
      <c r="M422" s="60"/>
      <c r="N422" s="60"/>
      <c r="O422" s="60"/>
      <c r="P422" s="60"/>
      <c r="Q422" s="60"/>
      <c r="R422" s="81"/>
      <c r="S422" s="59"/>
      <c r="T422" s="59"/>
      <c r="U422" s="59"/>
      <c r="V422" s="59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</row>
    <row r="423" spans="1:46" x14ac:dyDescent="0.25">
      <c r="A423" s="22"/>
      <c r="B423" s="52"/>
      <c r="C423" s="52"/>
      <c r="D423" s="52"/>
      <c r="E423" s="188"/>
      <c r="F423" s="60"/>
      <c r="G423" s="60"/>
      <c r="H423" s="60"/>
      <c r="I423" s="60"/>
      <c r="J423" s="83"/>
      <c r="K423" s="60"/>
      <c r="L423" s="60"/>
      <c r="M423" s="60"/>
      <c r="N423" s="60"/>
      <c r="O423" s="60"/>
      <c r="P423" s="60"/>
      <c r="Q423" s="60"/>
      <c r="R423" s="81"/>
      <c r="S423" s="59"/>
      <c r="T423" s="59"/>
      <c r="U423" s="59"/>
      <c r="V423" s="59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</row>
    <row r="424" spans="1:46" x14ac:dyDescent="0.25">
      <c r="A424" s="22"/>
      <c r="B424" s="52"/>
      <c r="C424" s="52"/>
      <c r="D424" s="52"/>
      <c r="E424" s="188"/>
      <c r="F424" s="60"/>
      <c r="G424" s="60"/>
      <c r="H424" s="60"/>
      <c r="I424" s="60"/>
      <c r="J424" s="83"/>
      <c r="K424" s="60"/>
      <c r="L424" s="60"/>
      <c r="M424" s="60"/>
      <c r="N424" s="60"/>
      <c r="O424" s="60"/>
      <c r="P424" s="60"/>
      <c r="Q424" s="60"/>
      <c r="R424" s="81"/>
      <c r="S424" s="59"/>
      <c r="T424" s="59"/>
      <c r="U424" s="59"/>
      <c r="V424" s="59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</row>
    <row r="425" spans="1:46" x14ac:dyDescent="0.25">
      <c r="A425" s="22"/>
      <c r="B425" s="52"/>
      <c r="C425" s="52"/>
      <c r="D425" s="52"/>
      <c r="E425" s="188"/>
      <c r="F425" s="60"/>
      <c r="G425" s="60"/>
      <c r="H425" s="60"/>
      <c r="I425" s="60"/>
      <c r="J425" s="83"/>
      <c r="K425" s="60"/>
      <c r="L425" s="60"/>
      <c r="M425" s="60"/>
      <c r="N425" s="60"/>
      <c r="O425" s="60"/>
      <c r="P425" s="60"/>
      <c r="Q425" s="60"/>
      <c r="R425" s="81"/>
      <c r="S425" s="59"/>
      <c r="T425" s="59"/>
      <c r="U425" s="59"/>
      <c r="V425" s="59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</row>
    <row r="426" spans="1:46" x14ac:dyDescent="0.25">
      <c r="A426" s="22"/>
      <c r="B426" s="52"/>
      <c r="C426" s="52"/>
      <c r="D426" s="52"/>
      <c r="E426" s="188"/>
      <c r="F426" s="60"/>
      <c r="G426" s="60"/>
      <c r="H426" s="60"/>
      <c r="I426" s="60"/>
      <c r="J426" s="83"/>
      <c r="K426" s="60"/>
      <c r="L426" s="60"/>
      <c r="M426" s="60"/>
      <c r="N426" s="60"/>
      <c r="O426" s="60"/>
      <c r="P426" s="60"/>
      <c r="Q426" s="60"/>
      <c r="R426" s="81"/>
      <c r="S426" s="59"/>
      <c r="T426" s="59"/>
      <c r="U426" s="59"/>
      <c r="V426" s="59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</row>
    <row r="427" spans="1:46" x14ac:dyDescent="0.25">
      <c r="A427" s="22"/>
      <c r="B427" s="52"/>
      <c r="C427" s="52"/>
      <c r="D427" s="52"/>
      <c r="E427" s="188"/>
      <c r="F427" s="60"/>
      <c r="G427" s="60"/>
      <c r="H427" s="60"/>
      <c r="I427" s="60"/>
      <c r="J427" s="83"/>
      <c r="K427" s="60"/>
      <c r="L427" s="60"/>
      <c r="M427" s="60"/>
      <c r="N427" s="60"/>
      <c r="O427" s="60"/>
      <c r="P427" s="60"/>
      <c r="Q427" s="60"/>
      <c r="R427" s="81"/>
      <c r="S427" s="59"/>
      <c r="T427" s="59"/>
      <c r="U427" s="59"/>
      <c r="V427" s="59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</row>
    <row r="428" spans="1:46" x14ac:dyDescent="0.25">
      <c r="A428" s="22"/>
      <c r="B428" s="52"/>
      <c r="C428" s="52"/>
      <c r="D428" s="52"/>
      <c r="E428" s="188"/>
      <c r="F428" s="60"/>
      <c r="G428" s="60"/>
      <c r="H428" s="60"/>
      <c r="I428" s="60"/>
      <c r="J428" s="83"/>
      <c r="K428" s="60"/>
      <c r="L428" s="60"/>
      <c r="M428" s="60"/>
      <c r="N428" s="60"/>
      <c r="O428" s="60"/>
      <c r="P428" s="60"/>
      <c r="Q428" s="60"/>
      <c r="R428" s="81"/>
      <c r="S428" s="59"/>
      <c r="T428" s="59"/>
      <c r="U428" s="59"/>
      <c r="V428" s="59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</row>
    <row r="429" spans="1:46" x14ac:dyDescent="0.25">
      <c r="A429" s="22"/>
      <c r="B429" s="52"/>
      <c r="C429" s="52"/>
      <c r="D429" s="52"/>
      <c r="E429" s="188"/>
      <c r="F429" s="60"/>
      <c r="G429" s="60"/>
      <c r="H429" s="60"/>
      <c r="I429" s="60"/>
      <c r="J429" s="83"/>
      <c r="K429" s="60"/>
      <c r="L429" s="60"/>
      <c r="M429" s="60"/>
      <c r="N429" s="60"/>
      <c r="O429" s="60"/>
      <c r="P429" s="60"/>
      <c r="Q429" s="60"/>
      <c r="R429" s="81"/>
      <c r="S429" s="59"/>
      <c r="T429" s="59"/>
      <c r="U429" s="59"/>
      <c r="V429" s="59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</row>
    <row r="430" spans="1:46" x14ac:dyDescent="0.25">
      <c r="A430" s="22"/>
      <c r="B430" s="52"/>
      <c r="C430" s="52"/>
      <c r="D430" s="52"/>
      <c r="E430" s="188"/>
      <c r="F430" s="60"/>
      <c r="G430" s="60"/>
      <c r="H430" s="60"/>
      <c r="I430" s="60"/>
      <c r="J430" s="83"/>
      <c r="K430" s="60"/>
      <c r="L430" s="60"/>
      <c r="M430" s="60"/>
      <c r="N430" s="60"/>
      <c r="O430" s="60"/>
      <c r="P430" s="60"/>
      <c r="Q430" s="60"/>
      <c r="R430" s="81"/>
      <c r="S430" s="59"/>
      <c r="T430" s="59"/>
      <c r="U430" s="59"/>
      <c r="V430" s="59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</row>
    <row r="431" spans="1:46" x14ac:dyDescent="0.25">
      <c r="A431" s="22"/>
      <c r="B431" s="52"/>
      <c r="C431" s="52"/>
      <c r="D431" s="52"/>
      <c r="E431" s="188"/>
      <c r="F431" s="60"/>
      <c r="G431" s="60"/>
      <c r="H431" s="60"/>
      <c r="I431" s="60"/>
      <c r="J431" s="83"/>
      <c r="K431" s="60"/>
      <c r="L431" s="60"/>
      <c r="M431" s="60"/>
      <c r="N431" s="60"/>
      <c r="O431" s="60"/>
      <c r="P431" s="60"/>
      <c r="Q431" s="60"/>
      <c r="R431" s="81"/>
      <c r="S431" s="59"/>
      <c r="T431" s="59"/>
      <c r="U431" s="59"/>
      <c r="V431" s="59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</row>
    <row r="432" spans="1:46" x14ac:dyDescent="0.25">
      <c r="A432" s="22"/>
      <c r="B432" s="52"/>
      <c r="C432" s="52"/>
      <c r="D432" s="52"/>
      <c r="E432" s="188"/>
      <c r="F432" s="60"/>
      <c r="G432" s="60"/>
      <c r="H432" s="60"/>
      <c r="I432" s="60"/>
      <c r="J432" s="83"/>
      <c r="K432" s="60"/>
      <c r="L432" s="60"/>
      <c r="M432" s="60"/>
      <c r="N432" s="60"/>
      <c r="O432" s="60"/>
      <c r="P432" s="60"/>
      <c r="Q432" s="60"/>
      <c r="R432" s="81"/>
      <c r="S432" s="59"/>
      <c r="T432" s="59"/>
      <c r="U432" s="59"/>
      <c r="V432" s="59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</row>
    <row r="433" spans="1:46" x14ac:dyDescent="0.25">
      <c r="A433" s="22"/>
      <c r="B433" s="52"/>
      <c r="C433" s="52"/>
      <c r="D433" s="52"/>
      <c r="E433" s="188"/>
      <c r="F433" s="60"/>
      <c r="G433" s="60"/>
      <c r="H433" s="60"/>
      <c r="I433" s="60"/>
      <c r="J433" s="83"/>
      <c r="K433" s="60"/>
      <c r="L433" s="60"/>
      <c r="M433" s="60"/>
      <c r="N433" s="60"/>
      <c r="O433" s="60"/>
      <c r="P433" s="60"/>
      <c r="Q433" s="60"/>
      <c r="R433" s="81"/>
      <c r="S433" s="59"/>
      <c r="T433" s="59"/>
      <c r="U433" s="59"/>
      <c r="V433" s="59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</row>
    <row r="434" spans="1:46" x14ac:dyDescent="0.25">
      <c r="A434" s="22"/>
      <c r="B434" s="52"/>
      <c r="C434" s="52"/>
      <c r="D434" s="52"/>
      <c r="E434" s="188"/>
      <c r="F434" s="60"/>
      <c r="G434" s="60"/>
      <c r="H434" s="60"/>
      <c r="I434" s="60"/>
      <c r="J434" s="83"/>
      <c r="K434" s="60"/>
      <c r="L434" s="60"/>
      <c r="M434" s="60"/>
      <c r="N434" s="60"/>
      <c r="O434" s="60"/>
      <c r="P434" s="60"/>
      <c r="Q434" s="60"/>
      <c r="R434" s="81"/>
      <c r="S434" s="59"/>
      <c r="T434" s="59"/>
      <c r="U434" s="59"/>
      <c r="V434" s="59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</row>
    <row r="435" spans="1:46" x14ac:dyDescent="0.25">
      <c r="A435" s="22"/>
      <c r="B435" s="52"/>
      <c r="C435" s="52"/>
      <c r="D435" s="52"/>
      <c r="E435" s="188"/>
      <c r="F435" s="60"/>
      <c r="G435" s="60"/>
      <c r="H435" s="60"/>
      <c r="I435" s="60"/>
      <c r="J435" s="83"/>
      <c r="K435" s="60"/>
      <c r="L435" s="60"/>
      <c r="M435" s="60"/>
      <c r="N435" s="60"/>
      <c r="O435" s="60"/>
      <c r="P435" s="60"/>
      <c r="Q435" s="60"/>
      <c r="R435" s="81"/>
      <c r="S435" s="59"/>
      <c r="T435" s="59"/>
      <c r="U435" s="59"/>
      <c r="V435" s="59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</row>
    <row r="436" spans="1:46" x14ac:dyDescent="0.25">
      <c r="A436" s="22"/>
      <c r="B436" s="52"/>
      <c r="C436" s="52"/>
      <c r="D436" s="52"/>
      <c r="E436" s="188"/>
      <c r="F436" s="60"/>
      <c r="G436" s="60"/>
      <c r="H436" s="60"/>
      <c r="I436" s="60"/>
      <c r="J436" s="83"/>
      <c r="K436" s="60"/>
      <c r="L436" s="60"/>
      <c r="M436" s="60"/>
      <c r="N436" s="60"/>
      <c r="O436" s="60"/>
      <c r="P436" s="60"/>
      <c r="Q436" s="60"/>
      <c r="R436" s="81"/>
      <c r="S436" s="59"/>
      <c r="T436" s="59"/>
      <c r="U436" s="59"/>
      <c r="V436" s="59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</row>
    <row r="437" spans="1:46" x14ac:dyDescent="0.25">
      <c r="A437" s="22"/>
      <c r="B437" s="52"/>
      <c r="C437" s="52"/>
      <c r="D437" s="52"/>
      <c r="E437" s="188"/>
      <c r="F437" s="60"/>
      <c r="G437" s="60"/>
      <c r="H437" s="60"/>
      <c r="I437" s="60"/>
      <c r="J437" s="83"/>
      <c r="K437" s="60"/>
      <c r="L437" s="60"/>
      <c r="M437" s="60"/>
      <c r="N437" s="60"/>
      <c r="O437" s="60"/>
      <c r="P437" s="60"/>
      <c r="Q437" s="60"/>
      <c r="R437" s="81"/>
      <c r="S437" s="59"/>
      <c r="T437" s="59"/>
      <c r="U437" s="59"/>
      <c r="V437" s="59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</row>
    <row r="438" spans="1:46" x14ac:dyDescent="0.25">
      <c r="A438" s="22"/>
      <c r="B438" s="52"/>
      <c r="C438" s="52"/>
      <c r="D438" s="52"/>
      <c r="E438" s="188"/>
      <c r="F438" s="60"/>
      <c r="G438" s="60"/>
      <c r="H438" s="60"/>
      <c r="I438" s="60"/>
      <c r="J438" s="83"/>
      <c r="K438" s="60"/>
      <c r="L438" s="60"/>
      <c r="M438" s="60"/>
      <c r="N438" s="60"/>
      <c r="O438" s="60"/>
      <c r="P438" s="60"/>
      <c r="Q438" s="60"/>
      <c r="R438" s="81"/>
      <c r="S438" s="59"/>
      <c r="T438" s="59"/>
      <c r="U438" s="59"/>
      <c r="V438" s="59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</row>
    <row r="439" spans="1:46" x14ac:dyDescent="0.25">
      <c r="A439" s="22"/>
      <c r="B439" s="52"/>
      <c r="C439" s="52"/>
      <c r="D439" s="52"/>
      <c r="E439" s="188"/>
      <c r="F439" s="60"/>
      <c r="G439" s="60"/>
      <c r="H439" s="60"/>
      <c r="I439" s="60"/>
      <c r="J439" s="83"/>
      <c r="K439" s="60"/>
      <c r="L439" s="60"/>
      <c r="M439" s="60"/>
      <c r="N439" s="60"/>
      <c r="O439" s="60"/>
      <c r="P439" s="60"/>
      <c r="Q439" s="60"/>
      <c r="R439" s="81"/>
      <c r="S439" s="59"/>
      <c r="T439" s="59"/>
      <c r="U439" s="59"/>
      <c r="V439" s="59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</row>
    <row r="440" spans="1:46" x14ac:dyDescent="0.25">
      <c r="A440" s="22"/>
      <c r="B440" s="52"/>
      <c r="C440" s="52"/>
      <c r="D440" s="52"/>
      <c r="E440" s="188"/>
      <c r="F440" s="60"/>
      <c r="G440" s="60"/>
      <c r="H440" s="60"/>
      <c r="I440" s="60"/>
      <c r="J440" s="83"/>
      <c r="K440" s="60"/>
      <c r="L440" s="60"/>
      <c r="M440" s="60"/>
      <c r="N440" s="60"/>
      <c r="O440" s="60"/>
      <c r="P440" s="60"/>
      <c r="Q440" s="60"/>
      <c r="R440" s="81"/>
      <c r="S440" s="59"/>
      <c r="T440" s="59"/>
      <c r="U440" s="59"/>
      <c r="V440" s="59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</row>
    <row r="441" spans="1:46" x14ac:dyDescent="0.25">
      <c r="A441" s="22"/>
      <c r="B441" s="52"/>
      <c r="C441" s="52"/>
      <c r="D441" s="52"/>
      <c r="E441" s="188"/>
      <c r="F441" s="60"/>
      <c r="G441" s="60"/>
      <c r="H441" s="60"/>
      <c r="I441" s="60"/>
      <c r="J441" s="83"/>
      <c r="K441" s="60"/>
      <c r="L441" s="60"/>
      <c r="M441" s="60"/>
      <c r="N441" s="60"/>
      <c r="O441" s="60"/>
      <c r="P441" s="60"/>
      <c r="Q441" s="60"/>
      <c r="R441" s="81"/>
      <c r="S441" s="59"/>
      <c r="T441" s="59"/>
      <c r="U441" s="59"/>
      <c r="V441" s="59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</row>
    <row r="442" spans="1:46" x14ac:dyDescent="0.25">
      <c r="A442" s="22"/>
      <c r="B442" s="52"/>
      <c r="C442" s="52"/>
      <c r="D442" s="52"/>
      <c r="E442" s="188"/>
      <c r="F442" s="60"/>
      <c r="G442" s="60"/>
      <c r="H442" s="60"/>
      <c r="I442" s="60"/>
      <c r="J442" s="83"/>
      <c r="K442" s="60"/>
      <c r="L442" s="60"/>
      <c r="M442" s="60"/>
      <c r="N442" s="60"/>
      <c r="O442" s="60"/>
      <c r="P442" s="60"/>
      <c r="Q442" s="60"/>
      <c r="R442" s="81"/>
      <c r="S442" s="59"/>
      <c r="T442" s="59"/>
      <c r="U442" s="59"/>
      <c r="V442" s="59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</row>
    <row r="443" spans="1:46" x14ac:dyDescent="0.25">
      <c r="A443" s="22"/>
      <c r="B443" s="52"/>
      <c r="C443" s="52"/>
      <c r="D443" s="52"/>
      <c r="E443" s="188"/>
      <c r="F443" s="60"/>
      <c r="G443" s="60"/>
      <c r="H443" s="60"/>
      <c r="I443" s="60"/>
      <c r="J443" s="83"/>
      <c r="K443" s="60"/>
      <c r="L443" s="60"/>
      <c r="M443" s="60"/>
      <c r="N443" s="60"/>
      <c r="O443" s="60"/>
      <c r="P443" s="60"/>
      <c r="Q443" s="60"/>
      <c r="R443" s="81"/>
      <c r="S443" s="59"/>
      <c r="T443" s="59"/>
      <c r="U443" s="59"/>
      <c r="V443" s="59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</row>
    <row r="444" spans="1:46" x14ac:dyDescent="0.25">
      <c r="A444" s="22"/>
      <c r="B444" s="52"/>
      <c r="C444" s="52"/>
      <c r="D444" s="52"/>
      <c r="E444" s="188"/>
      <c r="F444" s="60"/>
      <c r="G444" s="60"/>
      <c r="H444" s="60"/>
      <c r="I444" s="60"/>
      <c r="J444" s="83"/>
      <c r="K444" s="60"/>
      <c r="L444" s="60"/>
      <c r="M444" s="60"/>
      <c r="N444" s="60"/>
      <c r="O444" s="60"/>
      <c r="P444" s="60"/>
      <c r="Q444" s="60"/>
      <c r="R444" s="81"/>
      <c r="S444" s="59"/>
      <c r="T444" s="59"/>
      <c r="U444" s="59"/>
      <c r="V444" s="59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</row>
    <row r="445" spans="1:46" x14ac:dyDescent="0.25">
      <c r="A445" s="22"/>
      <c r="B445" s="52"/>
      <c r="C445" s="52"/>
      <c r="D445" s="52"/>
      <c r="E445" s="188"/>
      <c r="F445" s="60"/>
      <c r="G445" s="60"/>
      <c r="H445" s="60"/>
      <c r="I445" s="60"/>
      <c r="J445" s="83"/>
      <c r="K445" s="60"/>
      <c r="L445" s="60"/>
      <c r="M445" s="60"/>
      <c r="N445" s="60"/>
      <c r="O445" s="60"/>
      <c r="P445" s="60"/>
      <c r="Q445" s="60"/>
      <c r="R445" s="81"/>
      <c r="S445" s="59"/>
      <c r="T445" s="59"/>
      <c r="U445" s="59"/>
      <c r="V445" s="59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</row>
    <row r="446" spans="1:46" x14ac:dyDescent="0.25">
      <c r="A446" s="22"/>
      <c r="B446" s="52"/>
      <c r="C446" s="52"/>
      <c r="D446" s="52"/>
      <c r="E446" s="188"/>
      <c r="F446" s="60"/>
      <c r="G446" s="60"/>
      <c r="H446" s="60"/>
      <c r="I446" s="60"/>
      <c r="J446" s="83"/>
      <c r="K446" s="60"/>
      <c r="L446" s="60"/>
      <c r="M446" s="60"/>
      <c r="N446" s="60"/>
      <c r="O446" s="60"/>
      <c r="P446" s="60"/>
      <c r="Q446" s="60"/>
      <c r="R446" s="81"/>
      <c r="S446" s="59"/>
      <c r="T446" s="59"/>
      <c r="U446" s="59"/>
      <c r="V446" s="59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</row>
    <row r="447" spans="1:46" x14ac:dyDescent="0.25">
      <c r="A447" s="22"/>
      <c r="B447" s="52"/>
      <c r="C447" s="52"/>
      <c r="D447" s="52"/>
      <c r="E447" s="188"/>
      <c r="F447" s="60"/>
      <c r="G447" s="60"/>
      <c r="H447" s="60"/>
      <c r="I447" s="60"/>
      <c r="J447" s="83"/>
      <c r="K447" s="60"/>
      <c r="L447" s="60"/>
      <c r="M447" s="60"/>
      <c r="N447" s="60"/>
      <c r="O447" s="60"/>
      <c r="P447" s="60"/>
      <c r="Q447" s="60"/>
      <c r="R447" s="81"/>
      <c r="S447" s="59"/>
      <c r="T447" s="59"/>
      <c r="U447" s="59"/>
      <c r="V447" s="59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</row>
    <row r="448" spans="1:46" x14ac:dyDescent="0.25">
      <c r="A448" s="22"/>
      <c r="B448" s="52"/>
      <c r="C448" s="52"/>
      <c r="D448" s="52"/>
      <c r="E448" s="188"/>
      <c r="F448" s="60"/>
      <c r="G448" s="60"/>
      <c r="H448" s="60"/>
      <c r="I448" s="60"/>
      <c r="J448" s="83"/>
      <c r="K448" s="60"/>
      <c r="L448" s="60"/>
      <c r="M448" s="60"/>
      <c r="N448" s="60"/>
      <c r="O448" s="60"/>
      <c r="P448" s="60"/>
      <c r="Q448" s="60"/>
      <c r="R448" s="81"/>
      <c r="S448" s="59"/>
      <c r="T448" s="59"/>
      <c r="U448" s="59"/>
      <c r="V448" s="59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</row>
    <row r="449" spans="1:46" x14ac:dyDescent="0.25">
      <c r="A449" s="22"/>
      <c r="B449" s="52"/>
      <c r="C449" s="52"/>
      <c r="D449" s="52"/>
      <c r="E449" s="188"/>
      <c r="F449" s="60"/>
      <c r="G449" s="60"/>
      <c r="H449" s="60"/>
      <c r="I449" s="60"/>
      <c r="J449" s="83"/>
      <c r="K449" s="60"/>
      <c r="L449" s="60"/>
      <c r="M449" s="60"/>
      <c r="N449" s="60"/>
      <c r="O449" s="60"/>
      <c r="P449" s="60"/>
      <c r="Q449" s="60"/>
      <c r="R449" s="81"/>
      <c r="S449" s="59"/>
      <c r="T449" s="59"/>
      <c r="U449" s="59"/>
      <c r="V449" s="59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</row>
    <row r="450" spans="1:46" x14ac:dyDescent="0.25">
      <c r="A450" s="22"/>
      <c r="B450" s="52"/>
      <c r="C450" s="52"/>
      <c r="D450" s="52"/>
      <c r="E450" s="188"/>
      <c r="F450" s="60"/>
      <c r="G450" s="60"/>
      <c r="H450" s="60"/>
      <c r="I450" s="60"/>
      <c r="J450" s="83"/>
      <c r="K450" s="60"/>
      <c r="L450" s="60"/>
      <c r="M450" s="60"/>
      <c r="N450" s="60"/>
      <c r="O450" s="60"/>
      <c r="P450" s="60"/>
      <c r="Q450" s="60"/>
      <c r="R450" s="81"/>
      <c r="S450" s="59"/>
      <c r="T450" s="59"/>
      <c r="U450" s="59"/>
      <c r="V450" s="59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</row>
    <row r="451" spans="1:46" x14ac:dyDescent="0.25">
      <c r="A451" s="22"/>
      <c r="B451" s="52"/>
      <c r="C451" s="52"/>
      <c r="D451" s="52"/>
      <c r="E451" s="188"/>
      <c r="F451" s="60"/>
      <c r="G451" s="60"/>
      <c r="H451" s="60"/>
      <c r="I451" s="60"/>
      <c r="J451" s="83"/>
      <c r="K451" s="60"/>
      <c r="L451" s="60"/>
      <c r="M451" s="60"/>
      <c r="N451" s="60"/>
      <c r="O451" s="60"/>
      <c r="P451" s="60"/>
      <c r="Q451" s="60"/>
      <c r="R451" s="81"/>
      <c r="S451" s="59"/>
      <c r="T451" s="59"/>
      <c r="U451" s="59"/>
      <c r="V451" s="59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</row>
    <row r="452" spans="1:46" x14ac:dyDescent="0.25">
      <c r="A452" s="22"/>
      <c r="B452" s="52"/>
      <c r="C452" s="52"/>
      <c r="D452" s="52"/>
      <c r="E452" s="188"/>
      <c r="F452" s="60"/>
      <c r="G452" s="60"/>
      <c r="H452" s="60"/>
      <c r="I452" s="60"/>
      <c r="J452" s="83"/>
      <c r="K452" s="60"/>
      <c r="L452" s="60"/>
      <c r="M452" s="60"/>
      <c r="N452" s="60"/>
      <c r="O452" s="60"/>
      <c r="P452" s="60"/>
      <c r="Q452" s="60"/>
      <c r="R452" s="81"/>
      <c r="S452" s="59"/>
      <c r="T452" s="59"/>
      <c r="U452" s="59"/>
      <c r="V452" s="59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</row>
    <row r="453" spans="1:46" x14ac:dyDescent="0.25">
      <c r="A453" s="22"/>
      <c r="B453" s="52"/>
      <c r="C453" s="52"/>
      <c r="D453" s="52"/>
      <c r="E453" s="188"/>
      <c r="F453" s="60"/>
      <c r="G453" s="60"/>
      <c r="H453" s="60"/>
      <c r="I453" s="60"/>
      <c r="J453" s="83"/>
      <c r="K453" s="60"/>
      <c r="L453" s="60"/>
      <c r="M453" s="60"/>
      <c r="N453" s="60"/>
      <c r="O453" s="60"/>
      <c r="P453" s="60"/>
      <c r="Q453" s="60"/>
      <c r="R453" s="81"/>
      <c r="S453" s="59"/>
      <c r="T453" s="59"/>
      <c r="U453" s="59"/>
      <c r="V453" s="59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</row>
    <row r="454" spans="1:46" x14ac:dyDescent="0.25">
      <c r="A454" s="22"/>
      <c r="B454" s="52"/>
      <c r="C454" s="52"/>
      <c r="D454" s="52"/>
      <c r="E454" s="188"/>
      <c r="F454" s="60"/>
      <c r="G454" s="60"/>
      <c r="H454" s="60"/>
      <c r="I454" s="60"/>
      <c r="J454" s="83"/>
      <c r="K454" s="60"/>
      <c r="L454" s="60"/>
      <c r="M454" s="60"/>
      <c r="N454" s="60"/>
      <c r="O454" s="60"/>
      <c r="P454" s="60"/>
      <c r="Q454" s="60"/>
      <c r="R454" s="81"/>
      <c r="S454" s="59"/>
      <c r="T454" s="59"/>
      <c r="U454" s="59"/>
      <c r="V454" s="59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</row>
    <row r="455" spans="1:46" x14ac:dyDescent="0.25">
      <c r="A455" s="22"/>
      <c r="B455" s="52"/>
      <c r="C455" s="52"/>
      <c r="D455" s="52"/>
      <c r="E455" s="188"/>
      <c r="F455" s="60"/>
      <c r="G455" s="60"/>
      <c r="H455" s="60"/>
      <c r="I455" s="60"/>
      <c r="J455" s="83"/>
      <c r="K455" s="60"/>
      <c r="L455" s="60"/>
      <c r="M455" s="60"/>
      <c r="N455" s="60"/>
      <c r="O455" s="60"/>
      <c r="P455" s="60"/>
      <c r="Q455" s="60"/>
      <c r="R455" s="81"/>
      <c r="S455" s="59"/>
      <c r="T455" s="59"/>
      <c r="U455" s="59"/>
      <c r="V455" s="59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</row>
    <row r="456" spans="1:46" x14ac:dyDescent="0.25">
      <c r="A456" s="22"/>
      <c r="B456" s="52"/>
      <c r="C456" s="52"/>
      <c r="D456" s="52"/>
      <c r="E456" s="188"/>
      <c r="F456" s="60"/>
      <c r="G456" s="60"/>
      <c r="H456" s="60"/>
      <c r="I456" s="60"/>
      <c r="J456" s="83"/>
      <c r="K456" s="60"/>
      <c r="L456" s="60"/>
      <c r="M456" s="60"/>
      <c r="N456" s="60"/>
      <c r="O456" s="60"/>
      <c r="P456" s="60"/>
      <c r="Q456" s="60"/>
      <c r="R456" s="81"/>
      <c r="S456" s="59"/>
      <c r="T456" s="59"/>
      <c r="U456" s="59"/>
      <c r="V456" s="59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</row>
    <row r="457" spans="1:46" x14ac:dyDescent="0.25">
      <c r="A457" s="22"/>
      <c r="B457" s="52"/>
      <c r="C457" s="52"/>
      <c r="D457" s="52"/>
      <c r="E457" s="188"/>
      <c r="F457" s="60"/>
      <c r="G457" s="60"/>
      <c r="H457" s="60"/>
      <c r="I457" s="60"/>
      <c r="J457" s="83"/>
      <c r="K457" s="60"/>
      <c r="L457" s="60"/>
      <c r="M457" s="60"/>
      <c r="N457" s="60"/>
      <c r="O457" s="60"/>
      <c r="P457" s="60"/>
      <c r="Q457" s="60"/>
      <c r="R457" s="81"/>
      <c r="S457" s="59"/>
      <c r="T457" s="59"/>
      <c r="U457" s="59"/>
      <c r="V457" s="59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</row>
    <row r="458" spans="1:46" x14ac:dyDescent="0.25">
      <c r="A458" s="22"/>
      <c r="B458" s="52"/>
      <c r="C458" s="52"/>
      <c r="D458" s="52"/>
      <c r="E458" s="188"/>
      <c r="F458" s="60"/>
      <c r="G458" s="60"/>
      <c r="H458" s="60"/>
      <c r="I458" s="60"/>
      <c r="J458" s="83"/>
      <c r="K458" s="60"/>
      <c r="L458" s="60"/>
      <c r="M458" s="60"/>
      <c r="N458" s="60"/>
      <c r="O458" s="60"/>
      <c r="P458" s="60"/>
      <c r="Q458" s="60"/>
      <c r="R458" s="81"/>
      <c r="S458" s="59"/>
      <c r="T458" s="59"/>
      <c r="U458" s="59"/>
      <c r="V458" s="59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</row>
    <row r="459" spans="1:46" x14ac:dyDescent="0.25">
      <c r="A459" s="22"/>
      <c r="B459" s="52"/>
      <c r="C459" s="52"/>
      <c r="D459" s="52"/>
      <c r="E459" s="188"/>
      <c r="F459" s="60"/>
      <c r="G459" s="60"/>
      <c r="H459" s="60"/>
      <c r="I459" s="60"/>
      <c r="J459" s="83"/>
      <c r="K459" s="60"/>
      <c r="L459" s="60"/>
      <c r="M459" s="60"/>
      <c r="N459" s="60"/>
      <c r="O459" s="60"/>
      <c r="P459" s="60"/>
      <c r="Q459" s="60"/>
      <c r="R459" s="81"/>
      <c r="S459" s="59"/>
      <c r="T459" s="59"/>
      <c r="U459" s="59"/>
      <c r="V459" s="59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</row>
    <row r="460" spans="1:46" x14ac:dyDescent="0.25">
      <c r="A460" s="22"/>
      <c r="B460" s="52"/>
      <c r="C460" s="52"/>
      <c r="D460" s="52"/>
      <c r="E460" s="188"/>
      <c r="F460" s="60"/>
      <c r="G460" s="60"/>
      <c r="H460" s="60"/>
      <c r="I460" s="60"/>
      <c r="J460" s="83"/>
      <c r="K460" s="60"/>
      <c r="L460" s="60"/>
      <c r="M460" s="60"/>
      <c r="N460" s="60"/>
      <c r="O460" s="60"/>
      <c r="P460" s="60"/>
      <c r="Q460" s="60"/>
      <c r="R460" s="81"/>
      <c r="S460" s="59"/>
      <c r="T460" s="59"/>
      <c r="U460" s="59"/>
      <c r="V460" s="59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</row>
    <row r="461" spans="1:46" x14ac:dyDescent="0.25">
      <c r="A461" s="22"/>
      <c r="B461" s="52"/>
      <c r="C461" s="52"/>
      <c r="D461" s="52"/>
      <c r="E461" s="188"/>
      <c r="F461" s="60"/>
      <c r="G461" s="60"/>
      <c r="H461" s="60"/>
      <c r="I461" s="60"/>
      <c r="J461" s="83"/>
      <c r="K461" s="60"/>
      <c r="L461" s="60"/>
      <c r="M461" s="60"/>
      <c r="N461" s="60"/>
      <c r="O461" s="60"/>
      <c r="P461" s="60"/>
      <c r="Q461" s="60"/>
      <c r="R461" s="81"/>
      <c r="S461" s="59"/>
      <c r="T461" s="59"/>
      <c r="U461" s="59"/>
      <c r="V461" s="59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</row>
    <row r="462" spans="1:46" x14ac:dyDescent="0.25">
      <c r="A462" s="22"/>
      <c r="B462" s="52"/>
      <c r="C462" s="52"/>
      <c r="D462" s="52"/>
      <c r="E462" s="188"/>
      <c r="F462" s="60"/>
      <c r="G462" s="60"/>
      <c r="H462" s="60"/>
      <c r="I462" s="60"/>
      <c r="J462" s="83"/>
      <c r="K462" s="60"/>
      <c r="L462" s="60"/>
      <c r="M462" s="60"/>
      <c r="N462" s="60"/>
      <c r="O462" s="60"/>
      <c r="P462" s="60"/>
      <c r="Q462" s="60"/>
      <c r="R462" s="81"/>
      <c r="S462" s="59"/>
      <c r="T462" s="59"/>
      <c r="U462" s="59"/>
      <c r="V462" s="59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</row>
    <row r="463" spans="1:46" x14ac:dyDescent="0.25">
      <c r="A463" s="22"/>
      <c r="B463" s="52"/>
      <c r="C463" s="52"/>
      <c r="D463" s="52"/>
      <c r="E463" s="188"/>
      <c r="F463" s="60"/>
      <c r="G463" s="60"/>
      <c r="H463" s="60"/>
      <c r="I463" s="60"/>
      <c r="J463" s="83"/>
      <c r="K463" s="60"/>
      <c r="L463" s="60"/>
      <c r="M463" s="60"/>
      <c r="N463" s="60"/>
      <c r="O463" s="60"/>
      <c r="P463" s="60"/>
      <c r="Q463" s="60"/>
      <c r="R463" s="81"/>
      <c r="S463" s="59"/>
      <c r="T463" s="59"/>
      <c r="U463" s="59"/>
      <c r="V463" s="59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</row>
    <row r="464" spans="1:46" x14ac:dyDescent="0.25">
      <c r="A464" s="22"/>
      <c r="B464" s="52"/>
      <c r="C464" s="52"/>
      <c r="D464" s="52"/>
      <c r="E464" s="188"/>
      <c r="F464" s="60"/>
      <c r="G464" s="60"/>
      <c r="H464" s="60"/>
      <c r="I464" s="60"/>
      <c r="J464" s="83"/>
      <c r="K464" s="60"/>
      <c r="L464" s="60"/>
      <c r="M464" s="60"/>
      <c r="N464" s="60"/>
      <c r="O464" s="60"/>
      <c r="P464" s="60"/>
      <c r="Q464" s="60"/>
      <c r="R464" s="81"/>
      <c r="S464" s="59"/>
      <c r="T464" s="59"/>
      <c r="U464" s="59"/>
      <c r="V464" s="59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</row>
    <row r="465" spans="1:46" x14ac:dyDescent="0.25">
      <c r="A465" s="22"/>
      <c r="B465" s="52"/>
      <c r="C465" s="52"/>
      <c r="D465" s="52"/>
      <c r="E465" s="188"/>
      <c r="F465" s="60"/>
      <c r="G465" s="60"/>
      <c r="H465" s="60"/>
      <c r="I465" s="60"/>
      <c r="J465" s="83"/>
      <c r="K465" s="60"/>
      <c r="L465" s="60"/>
      <c r="M465" s="60"/>
      <c r="N465" s="60"/>
      <c r="O465" s="60"/>
      <c r="P465" s="60"/>
      <c r="Q465" s="60"/>
      <c r="R465" s="81"/>
      <c r="S465" s="59"/>
      <c r="T465" s="59"/>
      <c r="U465" s="59"/>
      <c r="V465" s="59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</row>
    <row r="466" spans="1:46" x14ac:dyDescent="0.25">
      <c r="A466" s="22"/>
      <c r="B466" s="52"/>
      <c r="C466" s="52"/>
      <c r="D466" s="52"/>
      <c r="E466" s="188"/>
      <c r="F466" s="60"/>
      <c r="G466" s="60"/>
      <c r="H466" s="60"/>
      <c r="I466" s="60"/>
      <c r="J466" s="83"/>
      <c r="K466" s="60"/>
      <c r="L466" s="60"/>
      <c r="M466" s="60"/>
      <c r="N466" s="60"/>
      <c r="O466" s="60"/>
      <c r="P466" s="60"/>
      <c r="Q466" s="60"/>
      <c r="R466" s="81"/>
      <c r="S466" s="59"/>
      <c r="T466" s="59"/>
      <c r="U466" s="59"/>
      <c r="V466" s="59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</row>
    <row r="467" spans="1:46" x14ac:dyDescent="0.25">
      <c r="A467" s="22"/>
      <c r="B467" s="52"/>
      <c r="C467" s="52"/>
      <c r="D467" s="52"/>
      <c r="E467" s="188"/>
      <c r="F467" s="60"/>
      <c r="G467" s="60"/>
      <c r="H467" s="60"/>
      <c r="I467" s="60"/>
      <c r="J467" s="83"/>
      <c r="K467" s="60"/>
      <c r="L467" s="60"/>
      <c r="M467" s="60"/>
      <c r="N467" s="60"/>
      <c r="O467" s="60"/>
      <c r="P467" s="60"/>
      <c r="Q467" s="60"/>
      <c r="R467" s="81"/>
      <c r="S467" s="59"/>
      <c r="T467" s="59"/>
      <c r="U467" s="59"/>
      <c r="V467" s="59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</row>
    <row r="468" spans="1:46" x14ac:dyDescent="0.25">
      <c r="A468" s="22"/>
      <c r="B468" s="52"/>
      <c r="C468" s="52"/>
      <c r="D468" s="52"/>
      <c r="E468" s="188"/>
      <c r="F468" s="60"/>
      <c r="G468" s="60"/>
      <c r="H468" s="60"/>
      <c r="I468" s="60"/>
      <c r="J468" s="83"/>
      <c r="K468" s="60"/>
      <c r="L468" s="60"/>
      <c r="M468" s="60"/>
      <c r="N468" s="60"/>
      <c r="O468" s="60"/>
      <c r="P468" s="60"/>
      <c r="Q468" s="60"/>
      <c r="R468" s="81"/>
      <c r="S468" s="59"/>
      <c r="T468" s="59"/>
      <c r="U468" s="59"/>
      <c r="V468" s="59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</row>
    <row r="469" spans="1:46" x14ac:dyDescent="0.25">
      <c r="A469" s="22"/>
      <c r="B469" s="52"/>
      <c r="C469" s="52"/>
      <c r="D469" s="52"/>
      <c r="E469" s="188"/>
      <c r="F469" s="60"/>
      <c r="G469" s="60"/>
      <c r="H469" s="60"/>
      <c r="I469" s="60"/>
      <c r="J469" s="83"/>
      <c r="K469" s="60"/>
      <c r="L469" s="60"/>
      <c r="M469" s="60"/>
      <c r="N469" s="60"/>
      <c r="O469" s="60"/>
      <c r="P469" s="60"/>
      <c r="Q469" s="60"/>
      <c r="R469" s="81"/>
      <c r="S469" s="59"/>
      <c r="T469" s="59"/>
      <c r="U469" s="59"/>
      <c r="V469" s="59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</row>
    <row r="470" spans="1:46" x14ac:dyDescent="0.25">
      <c r="A470" s="22"/>
      <c r="B470" s="52"/>
      <c r="C470" s="52"/>
      <c r="D470" s="52"/>
      <c r="E470" s="188"/>
      <c r="F470" s="60"/>
      <c r="G470" s="60"/>
      <c r="H470" s="60"/>
      <c r="I470" s="60"/>
      <c r="J470" s="83"/>
      <c r="K470" s="60"/>
      <c r="L470" s="60"/>
      <c r="M470" s="60"/>
      <c r="N470" s="60"/>
      <c r="O470" s="60"/>
      <c r="P470" s="60"/>
      <c r="Q470" s="60"/>
      <c r="R470" s="81"/>
      <c r="S470" s="59"/>
      <c r="T470" s="59"/>
      <c r="U470" s="59"/>
      <c r="V470" s="59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</row>
    <row r="471" spans="1:46" x14ac:dyDescent="0.25">
      <c r="A471" s="22"/>
      <c r="B471" s="52"/>
      <c r="C471" s="52"/>
      <c r="D471" s="52"/>
      <c r="E471" s="188"/>
      <c r="F471" s="60"/>
      <c r="G471" s="60"/>
      <c r="H471" s="60"/>
      <c r="I471" s="60"/>
      <c r="J471" s="83"/>
      <c r="K471" s="60"/>
      <c r="L471" s="60"/>
      <c r="M471" s="60"/>
      <c r="N471" s="60"/>
      <c r="O471" s="60"/>
      <c r="P471" s="60"/>
      <c r="Q471" s="60"/>
      <c r="R471" s="81"/>
      <c r="S471" s="59"/>
      <c r="T471" s="59"/>
      <c r="U471" s="59"/>
      <c r="V471" s="59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</row>
    <row r="472" spans="1:46" x14ac:dyDescent="0.25">
      <c r="A472" s="22"/>
      <c r="B472" s="52"/>
      <c r="C472" s="52"/>
      <c r="D472" s="52"/>
      <c r="E472" s="188"/>
      <c r="F472" s="60"/>
      <c r="G472" s="60"/>
      <c r="H472" s="60"/>
      <c r="I472" s="60"/>
      <c r="J472" s="83"/>
      <c r="K472" s="60"/>
      <c r="L472" s="60"/>
      <c r="M472" s="60"/>
      <c r="N472" s="60"/>
      <c r="O472" s="60"/>
      <c r="P472" s="60"/>
      <c r="Q472" s="60"/>
      <c r="R472" s="81"/>
      <c r="S472" s="59"/>
      <c r="T472" s="59"/>
      <c r="U472" s="59"/>
      <c r="V472" s="59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</row>
    <row r="473" spans="1:46" x14ac:dyDescent="0.25">
      <c r="A473" s="22"/>
      <c r="B473" s="52"/>
      <c r="C473" s="52"/>
      <c r="D473" s="52"/>
      <c r="E473" s="188"/>
      <c r="F473" s="60"/>
      <c r="G473" s="60"/>
      <c r="H473" s="60"/>
      <c r="I473" s="60"/>
      <c r="J473" s="83"/>
      <c r="K473" s="60"/>
      <c r="L473" s="60"/>
      <c r="M473" s="60"/>
      <c r="N473" s="60"/>
      <c r="O473" s="60"/>
      <c r="P473" s="60"/>
      <c r="Q473" s="60"/>
      <c r="R473" s="81"/>
      <c r="S473" s="59"/>
      <c r="T473" s="59"/>
      <c r="U473" s="59"/>
      <c r="V473" s="59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</row>
    <row r="474" spans="1:46" x14ac:dyDescent="0.25">
      <c r="A474" s="22"/>
      <c r="B474" s="52"/>
      <c r="C474" s="52"/>
      <c r="D474" s="52"/>
      <c r="E474" s="188"/>
      <c r="F474" s="60"/>
      <c r="G474" s="60"/>
      <c r="H474" s="60"/>
      <c r="I474" s="60"/>
      <c r="J474" s="83"/>
      <c r="K474" s="60"/>
      <c r="L474" s="60"/>
      <c r="M474" s="60"/>
      <c r="N474" s="60"/>
      <c r="O474" s="60"/>
      <c r="P474" s="60"/>
      <c r="Q474" s="60"/>
      <c r="R474" s="81"/>
      <c r="S474" s="59"/>
      <c r="T474" s="59"/>
      <c r="U474" s="59"/>
      <c r="V474" s="59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</row>
    <row r="475" spans="1:46" x14ac:dyDescent="0.25">
      <c r="A475" s="22"/>
      <c r="B475" s="52"/>
      <c r="C475" s="52"/>
      <c r="D475" s="52"/>
      <c r="E475" s="188"/>
      <c r="F475" s="60"/>
      <c r="G475" s="60"/>
      <c r="H475" s="60"/>
      <c r="I475" s="60"/>
      <c r="J475" s="83"/>
      <c r="K475" s="60"/>
      <c r="L475" s="60"/>
      <c r="M475" s="60"/>
      <c r="N475" s="60"/>
      <c r="O475" s="60"/>
      <c r="P475" s="60"/>
      <c r="Q475" s="60"/>
      <c r="R475" s="81"/>
      <c r="S475" s="59"/>
      <c r="T475" s="59"/>
      <c r="U475" s="59"/>
      <c r="V475" s="59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</row>
    <row r="476" spans="1:46" x14ac:dyDescent="0.25">
      <c r="A476" s="22"/>
      <c r="B476" s="52"/>
      <c r="C476" s="52"/>
      <c r="D476" s="52"/>
      <c r="E476" s="188"/>
      <c r="F476" s="60"/>
      <c r="G476" s="60"/>
      <c r="H476" s="60"/>
      <c r="I476" s="60"/>
      <c r="J476" s="83"/>
      <c r="K476" s="60"/>
      <c r="L476" s="60"/>
      <c r="M476" s="60"/>
      <c r="N476" s="60"/>
      <c r="O476" s="60"/>
      <c r="P476" s="60"/>
      <c r="Q476" s="60"/>
      <c r="R476" s="81"/>
      <c r="S476" s="59"/>
      <c r="T476" s="59"/>
      <c r="U476" s="59"/>
      <c r="V476" s="59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</row>
    <row r="477" spans="1:46" x14ac:dyDescent="0.25">
      <c r="A477" s="22"/>
      <c r="B477" s="52"/>
      <c r="C477" s="52"/>
      <c r="D477" s="52"/>
      <c r="E477" s="188"/>
      <c r="F477" s="60"/>
      <c r="G477" s="60"/>
      <c r="H477" s="60"/>
      <c r="I477" s="60"/>
      <c r="J477" s="83"/>
      <c r="K477" s="60"/>
      <c r="L477" s="60"/>
      <c r="M477" s="60"/>
      <c r="N477" s="60"/>
      <c r="O477" s="60"/>
      <c r="P477" s="60"/>
      <c r="Q477" s="60"/>
      <c r="R477" s="81"/>
      <c r="S477" s="59"/>
      <c r="T477" s="59"/>
      <c r="U477" s="59"/>
      <c r="V477" s="59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</row>
    <row r="478" spans="1:46" x14ac:dyDescent="0.25">
      <c r="A478" s="22"/>
      <c r="B478" s="52"/>
      <c r="C478" s="52"/>
      <c r="D478" s="52"/>
      <c r="E478" s="188"/>
      <c r="F478" s="60"/>
      <c r="G478" s="60"/>
      <c r="H478" s="60"/>
      <c r="I478" s="60"/>
      <c r="J478" s="83"/>
      <c r="K478" s="60"/>
      <c r="L478" s="60"/>
      <c r="M478" s="60"/>
      <c r="N478" s="60"/>
      <c r="O478" s="60"/>
      <c r="P478" s="60"/>
      <c r="Q478" s="60"/>
      <c r="R478" s="81"/>
      <c r="S478" s="59"/>
      <c r="T478" s="59"/>
      <c r="U478" s="59"/>
      <c r="V478" s="59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</row>
    <row r="479" spans="1:46" x14ac:dyDescent="0.25">
      <c r="A479" s="22"/>
      <c r="B479" s="52"/>
      <c r="C479" s="52"/>
      <c r="D479" s="52"/>
      <c r="E479" s="188"/>
      <c r="F479" s="60"/>
      <c r="G479" s="60"/>
      <c r="H479" s="60"/>
      <c r="I479" s="60"/>
      <c r="J479" s="83"/>
      <c r="K479" s="60"/>
      <c r="L479" s="60"/>
      <c r="M479" s="60"/>
      <c r="N479" s="60"/>
      <c r="O479" s="60"/>
      <c r="P479" s="60"/>
      <c r="Q479" s="60"/>
      <c r="R479" s="81"/>
      <c r="S479" s="59"/>
      <c r="T479" s="59"/>
      <c r="U479" s="59"/>
      <c r="V479" s="59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</row>
    <row r="480" spans="1:46" x14ac:dyDescent="0.25">
      <c r="A480" s="22"/>
      <c r="B480" s="52"/>
      <c r="C480" s="52"/>
      <c r="D480" s="52"/>
      <c r="E480" s="188"/>
      <c r="F480" s="60"/>
      <c r="G480" s="60"/>
      <c r="H480" s="60"/>
      <c r="I480" s="60"/>
      <c r="J480" s="83"/>
      <c r="K480" s="60"/>
      <c r="L480" s="60"/>
      <c r="M480" s="60"/>
      <c r="N480" s="60"/>
      <c r="O480" s="60"/>
      <c r="P480" s="60"/>
      <c r="Q480" s="60"/>
      <c r="R480" s="81"/>
      <c r="S480" s="59"/>
      <c r="T480" s="59"/>
      <c r="U480" s="59"/>
      <c r="V480" s="59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</row>
    <row r="481" spans="1:46" x14ac:dyDescent="0.25">
      <c r="A481" s="22"/>
      <c r="B481" s="52"/>
      <c r="C481" s="52"/>
      <c r="D481" s="52"/>
      <c r="E481" s="188"/>
      <c r="F481" s="60"/>
      <c r="G481" s="60"/>
      <c r="H481" s="60"/>
      <c r="I481" s="60"/>
      <c r="J481" s="83"/>
      <c r="K481" s="60"/>
      <c r="L481" s="60"/>
      <c r="M481" s="60"/>
      <c r="N481" s="60"/>
      <c r="O481" s="60"/>
      <c r="P481" s="60"/>
      <c r="Q481" s="60"/>
      <c r="R481" s="81"/>
      <c r="S481" s="59"/>
      <c r="T481" s="59"/>
      <c r="U481" s="59"/>
      <c r="V481" s="59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</row>
    <row r="482" spans="1:46" x14ac:dyDescent="0.25">
      <c r="A482" s="22"/>
      <c r="B482" s="52"/>
      <c r="C482" s="52"/>
      <c r="D482" s="52"/>
      <c r="E482" s="188"/>
      <c r="F482" s="60"/>
      <c r="G482" s="60"/>
      <c r="H482" s="60"/>
      <c r="I482" s="60"/>
      <c r="J482" s="83"/>
      <c r="K482" s="60"/>
      <c r="L482" s="60"/>
      <c r="M482" s="60"/>
      <c r="N482" s="60"/>
      <c r="O482" s="60"/>
      <c r="P482" s="60"/>
      <c r="Q482" s="60"/>
      <c r="R482" s="81"/>
      <c r="S482" s="59"/>
      <c r="T482" s="59"/>
      <c r="U482" s="59"/>
      <c r="V482" s="59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</row>
    <row r="483" spans="1:46" x14ac:dyDescent="0.25">
      <c r="A483" s="22"/>
      <c r="B483" s="52"/>
      <c r="C483" s="52"/>
      <c r="D483" s="52"/>
      <c r="E483" s="188"/>
      <c r="F483" s="60"/>
      <c r="G483" s="60"/>
      <c r="H483" s="60"/>
      <c r="I483" s="60"/>
      <c r="J483" s="83"/>
      <c r="K483" s="60"/>
      <c r="L483" s="60"/>
      <c r="M483" s="60"/>
      <c r="N483" s="60"/>
      <c r="O483" s="60"/>
      <c r="P483" s="60"/>
      <c r="Q483" s="60"/>
      <c r="R483" s="81"/>
      <c r="S483" s="59"/>
      <c r="T483" s="59"/>
      <c r="U483" s="59"/>
      <c r="V483" s="59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</row>
    <row r="484" spans="1:46" x14ac:dyDescent="0.25">
      <c r="A484" s="22"/>
      <c r="B484" s="52"/>
      <c r="C484" s="52"/>
      <c r="D484" s="52"/>
      <c r="E484" s="188"/>
      <c r="F484" s="60"/>
      <c r="G484" s="60"/>
      <c r="H484" s="60"/>
      <c r="I484" s="60"/>
      <c r="J484" s="83"/>
      <c r="K484" s="60"/>
      <c r="L484" s="60"/>
      <c r="M484" s="60"/>
      <c r="N484" s="60"/>
      <c r="O484" s="60"/>
      <c r="P484" s="60"/>
      <c r="Q484" s="60"/>
      <c r="R484" s="81"/>
      <c r="S484" s="59"/>
      <c r="T484" s="59"/>
      <c r="U484" s="59"/>
      <c r="V484" s="59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</row>
    <row r="485" spans="1:46" x14ac:dyDescent="0.25">
      <c r="A485" s="22"/>
      <c r="B485" s="52"/>
      <c r="C485" s="52"/>
      <c r="D485" s="52"/>
      <c r="E485" s="188"/>
      <c r="F485" s="60"/>
      <c r="G485" s="60"/>
      <c r="H485" s="60"/>
      <c r="I485" s="60"/>
      <c r="J485" s="83"/>
      <c r="K485" s="60"/>
      <c r="L485" s="60"/>
      <c r="M485" s="60"/>
      <c r="N485" s="60"/>
      <c r="O485" s="60"/>
      <c r="P485" s="60"/>
      <c r="Q485" s="60"/>
      <c r="R485" s="81"/>
      <c r="S485" s="59"/>
      <c r="T485" s="59"/>
      <c r="U485" s="59"/>
      <c r="V485" s="59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</row>
    <row r="486" spans="1:46" x14ac:dyDescent="0.25">
      <c r="A486" s="22"/>
      <c r="B486" s="52"/>
      <c r="C486" s="52"/>
      <c r="D486" s="52"/>
      <c r="E486" s="188"/>
      <c r="F486" s="60"/>
      <c r="G486" s="60"/>
      <c r="H486" s="60"/>
      <c r="I486" s="60"/>
      <c r="J486" s="83"/>
      <c r="K486" s="60"/>
      <c r="L486" s="60"/>
      <c r="M486" s="60"/>
      <c r="N486" s="60"/>
      <c r="O486" s="60"/>
      <c r="P486" s="60"/>
      <c r="Q486" s="60"/>
      <c r="R486" s="81"/>
      <c r="S486" s="59"/>
      <c r="T486" s="59"/>
      <c r="U486" s="59"/>
      <c r="V486" s="59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</row>
    <row r="487" spans="1:46" x14ac:dyDescent="0.25">
      <c r="A487" s="22"/>
      <c r="B487" s="52"/>
      <c r="C487" s="52"/>
      <c r="D487" s="52"/>
      <c r="E487" s="188"/>
      <c r="F487" s="60"/>
      <c r="G487" s="60"/>
      <c r="H487" s="60"/>
      <c r="I487" s="60"/>
      <c r="J487" s="83"/>
      <c r="K487" s="60"/>
      <c r="L487" s="60"/>
      <c r="M487" s="60"/>
      <c r="N487" s="60"/>
      <c r="O487" s="60"/>
      <c r="P487" s="60"/>
      <c r="Q487" s="60"/>
      <c r="R487" s="81"/>
      <c r="S487" s="59"/>
      <c r="T487" s="59"/>
      <c r="U487" s="59"/>
      <c r="V487" s="59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</row>
    <row r="488" spans="1:46" x14ac:dyDescent="0.25">
      <c r="A488" s="22"/>
      <c r="B488" s="52"/>
      <c r="C488" s="52"/>
      <c r="D488" s="52"/>
      <c r="E488" s="188"/>
      <c r="F488" s="60"/>
      <c r="G488" s="60"/>
      <c r="H488" s="60"/>
      <c r="I488" s="60"/>
      <c r="J488" s="83"/>
      <c r="K488" s="60"/>
      <c r="L488" s="60"/>
      <c r="M488" s="60"/>
      <c r="N488" s="60"/>
      <c r="O488" s="60"/>
      <c r="P488" s="60"/>
      <c r="Q488" s="60"/>
      <c r="R488" s="81"/>
      <c r="S488" s="59"/>
      <c r="T488" s="59"/>
      <c r="U488" s="59"/>
      <c r="V488" s="59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</row>
    <row r="489" spans="1:46" x14ac:dyDescent="0.25">
      <c r="A489" s="22"/>
      <c r="B489" s="52"/>
      <c r="C489" s="52"/>
      <c r="D489" s="52"/>
      <c r="E489" s="188"/>
      <c r="F489" s="60"/>
      <c r="G489" s="60"/>
      <c r="H489" s="60"/>
      <c r="I489" s="60"/>
      <c r="J489" s="83"/>
      <c r="K489" s="60"/>
      <c r="L489" s="60"/>
      <c r="M489" s="60"/>
      <c r="N489" s="60"/>
      <c r="O489" s="60"/>
      <c r="P489" s="60"/>
      <c r="Q489" s="60"/>
      <c r="R489" s="81"/>
      <c r="S489" s="59"/>
      <c r="T489" s="59"/>
      <c r="U489" s="59"/>
      <c r="V489" s="59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</row>
    <row r="490" spans="1:46" x14ac:dyDescent="0.25">
      <c r="A490" s="22"/>
      <c r="B490" s="52"/>
      <c r="C490" s="52"/>
      <c r="D490" s="52"/>
      <c r="E490" s="188"/>
      <c r="F490" s="60"/>
      <c r="G490" s="60"/>
      <c r="H490" s="60"/>
      <c r="I490" s="60"/>
      <c r="J490" s="83"/>
      <c r="K490" s="60"/>
      <c r="L490" s="60"/>
      <c r="M490" s="60"/>
      <c r="N490" s="60"/>
      <c r="O490" s="60"/>
      <c r="P490" s="60"/>
      <c r="Q490" s="60"/>
      <c r="R490" s="81"/>
      <c r="S490" s="59"/>
      <c r="T490" s="59"/>
      <c r="U490" s="59"/>
      <c r="V490" s="59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</row>
    <row r="491" spans="1:46" x14ac:dyDescent="0.25">
      <c r="A491" s="22"/>
      <c r="B491" s="52"/>
      <c r="C491" s="52"/>
      <c r="D491" s="52"/>
      <c r="E491" s="188"/>
      <c r="F491" s="60"/>
      <c r="G491" s="60"/>
      <c r="H491" s="60"/>
      <c r="I491" s="60"/>
      <c r="J491" s="83"/>
      <c r="K491" s="60"/>
      <c r="L491" s="60"/>
      <c r="M491" s="60"/>
      <c r="N491" s="60"/>
      <c r="O491" s="60"/>
      <c r="P491" s="60"/>
      <c r="Q491" s="60"/>
      <c r="R491" s="81"/>
      <c r="S491" s="59"/>
      <c r="T491" s="59"/>
      <c r="U491" s="59"/>
      <c r="V491" s="59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</row>
    <row r="492" spans="1:46" x14ac:dyDescent="0.25">
      <c r="A492" s="22"/>
      <c r="B492" s="52"/>
      <c r="C492" s="52"/>
      <c r="D492" s="52"/>
      <c r="E492" s="188"/>
      <c r="F492" s="60"/>
      <c r="G492" s="60"/>
      <c r="H492" s="60"/>
      <c r="I492" s="60"/>
      <c r="J492" s="83"/>
      <c r="K492" s="60"/>
      <c r="L492" s="60"/>
      <c r="M492" s="60"/>
      <c r="N492" s="60"/>
      <c r="O492" s="60"/>
      <c r="P492" s="60"/>
      <c r="Q492" s="60"/>
      <c r="R492" s="81"/>
      <c r="S492" s="59"/>
      <c r="T492" s="59"/>
      <c r="U492" s="59"/>
      <c r="V492" s="59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</row>
    <row r="493" spans="1:46" x14ac:dyDescent="0.25">
      <c r="A493" s="22"/>
      <c r="B493" s="52"/>
      <c r="C493" s="52"/>
      <c r="D493" s="52"/>
      <c r="E493" s="188"/>
      <c r="F493" s="60"/>
      <c r="G493" s="60"/>
      <c r="H493" s="60"/>
      <c r="I493" s="60"/>
      <c r="J493" s="83"/>
      <c r="K493" s="60"/>
      <c r="L493" s="60"/>
      <c r="M493" s="60"/>
      <c r="N493" s="60"/>
      <c r="O493" s="60"/>
      <c r="P493" s="60"/>
      <c r="Q493" s="60"/>
      <c r="R493" s="81"/>
      <c r="S493" s="59"/>
      <c r="T493" s="59"/>
      <c r="U493" s="59"/>
      <c r="V493" s="59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</row>
    <row r="494" spans="1:46" x14ac:dyDescent="0.25">
      <c r="A494" s="22"/>
      <c r="B494" s="52"/>
      <c r="C494" s="52"/>
      <c r="D494" s="52"/>
      <c r="E494" s="188"/>
      <c r="F494" s="60"/>
      <c r="G494" s="60"/>
      <c r="H494" s="60"/>
      <c r="I494" s="60"/>
      <c r="J494" s="83"/>
      <c r="K494" s="60"/>
      <c r="L494" s="60"/>
      <c r="M494" s="60"/>
      <c r="N494" s="60"/>
      <c r="O494" s="60"/>
      <c r="P494" s="60"/>
      <c r="Q494" s="60"/>
      <c r="R494" s="81"/>
      <c r="S494" s="59"/>
      <c r="T494" s="59"/>
      <c r="U494" s="59"/>
      <c r="V494" s="59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</row>
    <row r="495" spans="1:46" x14ac:dyDescent="0.25">
      <c r="A495" s="22"/>
      <c r="B495" s="52"/>
      <c r="C495" s="52"/>
      <c r="D495" s="52"/>
      <c r="E495" s="188"/>
      <c r="F495" s="60"/>
      <c r="G495" s="60"/>
      <c r="H495" s="60"/>
      <c r="I495" s="60"/>
      <c r="J495" s="83"/>
      <c r="K495" s="60"/>
      <c r="L495" s="60"/>
      <c r="M495" s="60"/>
      <c r="N495" s="60"/>
      <c r="O495" s="60"/>
      <c r="P495" s="60"/>
      <c r="Q495" s="60"/>
      <c r="R495" s="81"/>
      <c r="S495" s="59"/>
      <c r="T495" s="59"/>
      <c r="U495" s="59"/>
      <c r="V495" s="59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</row>
    <row r="496" spans="1:46" x14ac:dyDescent="0.25">
      <c r="A496" s="22"/>
      <c r="B496" s="52"/>
      <c r="C496" s="52"/>
      <c r="D496" s="52"/>
      <c r="E496" s="188"/>
      <c r="F496" s="60"/>
      <c r="G496" s="60"/>
      <c r="H496" s="60"/>
      <c r="I496" s="60"/>
      <c r="J496" s="83"/>
      <c r="K496" s="60"/>
      <c r="L496" s="60"/>
      <c r="M496" s="60"/>
      <c r="N496" s="60"/>
      <c r="O496" s="60"/>
      <c r="P496" s="60"/>
      <c r="Q496" s="60"/>
      <c r="R496" s="81"/>
      <c r="S496" s="59"/>
      <c r="T496" s="59"/>
      <c r="U496" s="59"/>
      <c r="V496" s="59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</row>
    <row r="497" spans="1:46" x14ac:dyDescent="0.25">
      <c r="A497" s="22"/>
      <c r="B497" s="52"/>
      <c r="C497" s="52"/>
      <c r="D497" s="52"/>
      <c r="E497" s="188"/>
      <c r="F497" s="60"/>
      <c r="G497" s="60"/>
      <c r="H497" s="60"/>
      <c r="I497" s="60"/>
      <c r="J497" s="83"/>
      <c r="K497" s="60"/>
      <c r="L497" s="60"/>
      <c r="M497" s="60"/>
      <c r="N497" s="60"/>
      <c r="O497" s="60"/>
      <c r="P497" s="60"/>
      <c r="Q497" s="60"/>
      <c r="R497" s="81"/>
      <c r="S497" s="59"/>
      <c r="T497" s="59"/>
      <c r="U497" s="59"/>
      <c r="V497" s="59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</row>
    <row r="498" spans="1:46" x14ac:dyDescent="0.25">
      <c r="A498" s="22"/>
      <c r="B498" s="52"/>
      <c r="C498" s="52"/>
      <c r="D498" s="52"/>
      <c r="E498" s="188"/>
      <c r="F498" s="60"/>
      <c r="G498" s="60"/>
      <c r="H498" s="60"/>
      <c r="I498" s="60"/>
      <c r="J498" s="83"/>
      <c r="K498" s="60"/>
      <c r="L498" s="60"/>
      <c r="M498" s="60"/>
      <c r="N498" s="60"/>
      <c r="O498" s="60"/>
      <c r="P498" s="60"/>
      <c r="Q498" s="60"/>
      <c r="R498" s="81"/>
      <c r="S498" s="59"/>
      <c r="T498" s="59"/>
      <c r="U498" s="59"/>
      <c r="V498" s="59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</row>
    <row r="499" spans="1:46" x14ac:dyDescent="0.25">
      <c r="A499" s="22"/>
      <c r="B499" s="52"/>
      <c r="C499" s="52"/>
      <c r="D499" s="52"/>
      <c r="E499" s="188"/>
      <c r="F499" s="60"/>
      <c r="G499" s="60"/>
      <c r="H499" s="60"/>
      <c r="I499" s="60"/>
      <c r="J499" s="83"/>
      <c r="K499" s="60"/>
      <c r="L499" s="60"/>
      <c r="M499" s="60"/>
      <c r="N499" s="60"/>
      <c r="O499" s="60"/>
      <c r="P499" s="60"/>
      <c r="Q499" s="60"/>
      <c r="R499" s="81"/>
      <c r="S499" s="59"/>
      <c r="T499" s="59"/>
      <c r="U499" s="59"/>
      <c r="V499" s="59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</row>
    <row r="500" spans="1:46" x14ac:dyDescent="0.25">
      <c r="A500" s="22"/>
      <c r="B500" s="52"/>
      <c r="C500" s="52"/>
      <c r="D500" s="52"/>
      <c r="E500" s="188"/>
      <c r="F500" s="60"/>
      <c r="G500" s="60"/>
      <c r="H500" s="60"/>
      <c r="I500" s="60"/>
      <c r="J500" s="83"/>
      <c r="K500" s="60"/>
      <c r="L500" s="60"/>
      <c r="M500" s="60"/>
      <c r="N500" s="60"/>
      <c r="O500" s="60"/>
      <c r="P500" s="60"/>
      <c r="Q500" s="60"/>
      <c r="R500" s="81"/>
      <c r="S500" s="59"/>
      <c r="T500" s="59"/>
      <c r="U500" s="59"/>
      <c r="V500" s="59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</row>
    <row r="501" spans="1:46" x14ac:dyDescent="0.25">
      <c r="A501" s="22"/>
      <c r="B501" s="52"/>
      <c r="C501" s="52"/>
      <c r="D501" s="52"/>
      <c r="E501" s="188"/>
      <c r="F501" s="60"/>
      <c r="G501" s="60"/>
      <c r="H501" s="60"/>
      <c r="I501" s="60"/>
      <c r="J501" s="83"/>
      <c r="K501" s="60"/>
      <c r="L501" s="60"/>
      <c r="M501" s="60"/>
      <c r="N501" s="60"/>
      <c r="O501" s="60"/>
      <c r="P501" s="60"/>
      <c r="Q501" s="60"/>
      <c r="R501" s="81"/>
      <c r="S501" s="59"/>
      <c r="T501" s="59"/>
      <c r="U501" s="59"/>
      <c r="V501" s="59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</row>
    <row r="502" spans="1:46" x14ac:dyDescent="0.25">
      <c r="A502" s="22"/>
      <c r="B502" s="52"/>
      <c r="C502" s="52"/>
      <c r="D502" s="52"/>
      <c r="E502" s="188"/>
      <c r="F502" s="60"/>
      <c r="G502" s="60"/>
      <c r="H502" s="60"/>
      <c r="I502" s="60"/>
      <c r="J502" s="83"/>
      <c r="K502" s="60"/>
      <c r="L502" s="60"/>
      <c r="M502" s="60"/>
      <c r="N502" s="60"/>
      <c r="O502" s="60"/>
      <c r="P502" s="60"/>
      <c r="Q502" s="60"/>
      <c r="R502" s="81"/>
      <c r="S502" s="59"/>
      <c r="T502" s="59"/>
      <c r="U502" s="59"/>
      <c r="V502" s="59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</row>
    <row r="503" spans="1:46" x14ac:dyDescent="0.25">
      <c r="A503" s="22"/>
      <c r="B503" s="52"/>
      <c r="C503" s="52"/>
      <c r="D503" s="52"/>
      <c r="E503" s="188"/>
      <c r="F503" s="60"/>
      <c r="G503" s="60"/>
      <c r="H503" s="60"/>
      <c r="I503" s="60"/>
      <c r="J503" s="83"/>
      <c r="K503" s="60"/>
      <c r="L503" s="60"/>
      <c r="M503" s="60"/>
      <c r="N503" s="60"/>
      <c r="O503" s="60"/>
      <c r="P503" s="60"/>
      <c r="Q503" s="60"/>
      <c r="R503" s="81"/>
      <c r="S503" s="59"/>
      <c r="T503" s="59"/>
      <c r="U503" s="59"/>
      <c r="V503" s="59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</row>
    <row r="504" spans="1:46" x14ac:dyDescent="0.25">
      <c r="A504" s="22"/>
      <c r="B504" s="52"/>
      <c r="C504" s="52"/>
      <c r="D504" s="52"/>
      <c r="E504" s="188"/>
      <c r="F504" s="60"/>
      <c r="G504" s="60"/>
      <c r="H504" s="60"/>
      <c r="I504" s="60"/>
      <c r="J504" s="83"/>
      <c r="K504" s="60"/>
      <c r="L504" s="60"/>
      <c r="M504" s="60"/>
      <c r="N504" s="60"/>
      <c r="O504" s="60"/>
      <c r="P504" s="60"/>
      <c r="Q504" s="60"/>
      <c r="R504" s="81"/>
      <c r="S504" s="59"/>
      <c r="T504" s="59"/>
      <c r="U504" s="59"/>
      <c r="V504" s="59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</row>
    <row r="505" spans="1:46" x14ac:dyDescent="0.25">
      <c r="A505" s="22"/>
      <c r="B505" s="52"/>
      <c r="C505" s="52"/>
      <c r="D505" s="52"/>
      <c r="E505" s="188"/>
      <c r="F505" s="60"/>
      <c r="G505" s="60"/>
      <c r="H505" s="60"/>
      <c r="I505" s="60"/>
      <c r="J505" s="83"/>
      <c r="K505" s="60"/>
      <c r="L505" s="60"/>
      <c r="M505" s="60"/>
      <c r="N505" s="60"/>
      <c r="O505" s="60"/>
      <c r="P505" s="60"/>
      <c r="Q505" s="60"/>
      <c r="R505" s="81"/>
      <c r="S505" s="59"/>
      <c r="T505" s="59"/>
      <c r="U505" s="59"/>
      <c r="V505" s="59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</row>
    <row r="506" spans="1:46" x14ac:dyDescent="0.25">
      <c r="A506" s="22"/>
      <c r="B506" s="52"/>
      <c r="C506" s="52"/>
      <c r="D506" s="52"/>
      <c r="E506" s="188"/>
      <c r="F506" s="60"/>
      <c r="G506" s="60"/>
      <c r="H506" s="60"/>
      <c r="I506" s="60"/>
      <c r="J506" s="83"/>
      <c r="K506" s="60"/>
      <c r="L506" s="60"/>
      <c r="M506" s="60"/>
      <c r="N506" s="60"/>
      <c r="O506" s="60"/>
      <c r="P506" s="60"/>
      <c r="Q506" s="60"/>
      <c r="R506" s="81"/>
      <c r="S506" s="59"/>
      <c r="T506" s="59"/>
      <c r="U506" s="59"/>
      <c r="V506" s="59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</row>
    <row r="507" spans="1:46" x14ac:dyDescent="0.25">
      <c r="A507" s="22"/>
      <c r="B507" s="52"/>
      <c r="C507" s="52"/>
      <c r="D507" s="52"/>
      <c r="E507" s="188"/>
      <c r="F507" s="60"/>
      <c r="G507" s="60"/>
      <c r="H507" s="60"/>
      <c r="I507" s="60"/>
      <c r="J507" s="83"/>
      <c r="K507" s="60"/>
      <c r="L507" s="60"/>
      <c r="M507" s="60"/>
      <c r="N507" s="60"/>
      <c r="O507" s="60"/>
      <c r="P507" s="60"/>
      <c r="Q507" s="60"/>
      <c r="R507" s="81"/>
      <c r="S507" s="59"/>
      <c r="T507" s="59"/>
      <c r="U507" s="59"/>
      <c r="V507" s="59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</row>
    <row r="508" spans="1:46" x14ac:dyDescent="0.25">
      <c r="A508" s="22"/>
      <c r="B508" s="52"/>
      <c r="C508" s="52"/>
      <c r="D508" s="52"/>
      <c r="E508" s="188"/>
      <c r="F508" s="60"/>
      <c r="G508" s="60"/>
      <c r="H508" s="60"/>
      <c r="I508" s="60"/>
      <c r="J508" s="83"/>
      <c r="K508" s="60"/>
      <c r="L508" s="60"/>
      <c r="M508" s="60"/>
      <c r="N508" s="60"/>
      <c r="O508" s="60"/>
      <c r="P508" s="60"/>
      <c r="Q508" s="60"/>
      <c r="R508" s="81"/>
      <c r="S508" s="59"/>
      <c r="T508" s="59"/>
      <c r="U508" s="59"/>
      <c r="V508" s="59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</row>
    <row r="509" spans="1:46" x14ac:dyDescent="0.25">
      <c r="A509" s="22"/>
      <c r="B509" s="52"/>
      <c r="C509" s="52"/>
      <c r="D509" s="52"/>
      <c r="E509" s="188"/>
      <c r="F509" s="60"/>
      <c r="G509" s="60"/>
      <c r="H509" s="60"/>
      <c r="I509" s="60"/>
      <c r="J509" s="83"/>
      <c r="K509" s="60"/>
      <c r="L509" s="60"/>
      <c r="M509" s="60"/>
      <c r="N509" s="60"/>
      <c r="O509" s="60"/>
      <c r="P509" s="60"/>
      <c r="Q509" s="60"/>
      <c r="R509" s="81"/>
      <c r="S509" s="59"/>
      <c r="T509" s="59"/>
      <c r="U509" s="59"/>
      <c r="V509" s="59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</row>
    <row r="510" spans="1:46" x14ac:dyDescent="0.25">
      <c r="A510" s="22"/>
      <c r="B510" s="52"/>
      <c r="C510" s="52"/>
      <c r="D510" s="52"/>
      <c r="E510" s="188"/>
      <c r="F510" s="60"/>
      <c r="G510" s="60"/>
      <c r="H510" s="60"/>
      <c r="I510" s="60"/>
      <c r="J510" s="83"/>
      <c r="K510" s="60"/>
      <c r="L510" s="60"/>
      <c r="M510" s="60"/>
      <c r="N510" s="60"/>
      <c r="O510" s="60"/>
      <c r="P510" s="60"/>
      <c r="Q510" s="60"/>
      <c r="R510" s="81"/>
      <c r="S510" s="59"/>
      <c r="T510" s="59"/>
      <c r="U510" s="59"/>
      <c r="V510" s="59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</row>
    <row r="511" spans="1:46" x14ac:dyDescent="0.25">
      <c r="A511" s="22"/>
      <c r="B511" s="52"/>
      <c r="C511" s="52"/>
      <c r="D511" s="52"/>
      <c r="E511" s="188"/>
      <c r="F511" s="60"/>
      <c r="G511" s="60"/>
      <c r="H511" s="60"/>
      <c r="I511" s="60"/>
      <c r="J511" s="83"/>
      <c r="K511" s="60"/>
      <c r="L511" s="60"/>
      <c r="M511" s="60"/>
      <c r="N511" s="60"/>
      <c r="O511" s="60"/>
      <c r="P511" s="60"/>
      <c r="Q511" s="60"/>
      <c r="R511" s="81"/>
      <c r="S511" s="59"/>
      <c r="T511" s="59"/>
      <c r="U511" s="59"/>
      <c r="V511" s="59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</row>
    <row r="512" spans="1:46" x14ac:dyDescent="0.25">
      <c r="A512" s="22"/>
      <c r="B512" s="52"/>
      <c r="C512" s="52"/>
      <c r="D512" s="52"/>
      <c r="E512" s="188"/>
      <c r="F512" s="60"/>
      <c r="G512" s="60"/>
      <c r="H512" s="60"/>
      <c r="I512" s="60"/>
      <c r="J512" s="83"/>
      <c r="K512" s="60"/>
      <c r="L512" s="60"/>
      <c r="M512" s="60"/>
      <c r="N512" s="60"/>
      <c r="O512" s="60"/>
      <c r="P512" s="60"/>
      <c r="Q512" s="60"/>
      <c r="R512" s="81"/>
      <c r="S512" s="59"/>
      <c r="T512" s="59"/>
      <c r="U512" s="59"/>
      <c r="V512" s="59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</row>
    <row r="513" spans="1:46" x14ac:dyDescent="0.25">
      <c r="A513" s="22"/>
      <c r="B513" s="52"/>
      <c r="C513" s="52"/>
      <c r="D513" s="52"/>
      <c r="E513" s="188"/>
      <c r="F513" s="60"/>
      <c r="G513" s="60"/>
      <c r="H513" s="60"/>
      <c r="I513" s="60"/>
      <c r="J513" s="83"/>
      <c r="K513" s="60"/>
      <c r="L513" s="60"/>
      <c r="M513" s="60"/>
      <c r="N513" s="60"/>
      <c r="O513" s="60"/>
      <c r="P513" s="60"/>
      <c r="Q513" s="60"/>
      <c r="R513" s="81"/>
      <c r="S513" s="59"/>
      <c r="T513" s="59"/>
      <c r="U513" s="59"/>
      <c r="V513" s="59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</row>
    <row r="514" spans="1:46" x14ac:dyDescent="0.25">
      <c r="A514" s="22"/>
      <c r="B514" s="52"/>
      <c r="C514" s="52"/>
      <c r="D514" s="52"/>
      <c r="E514" s="188"/>
      <c r="F514" s="60"/>
      <c r="G514" s="60"/>
      <c r="H514" s="60"/>
      <c r="I514" s="60"/>
      <c r="J514" s="83"/>
      <c r="K514" s="60"/>
      <c r="L514" s="60"/>
      <c r="M514" s="60"/>
      <c r="N514" s="60"/>
      <c r="O514" s="60"/>
      <c r="P514" s="60"/>
      <c r="Q514" s="60"/>
      <c r="R514" s="81"/>
      <c r="S514" s="59"/>
      <c r="T514" s="59"/>
      <c r="U514" s="59"/>
      <c r="V514" s="59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</row>
    <row r="515" spans="1:46" x14ac:dyDescent="0.25">
      <c r="A515" s="22"/>
      <c r="B515" s="52"/>
      <c r="C515" s="52"/>
      <c r="D515" s="52"/>
      <c r="E515" s="188"/>
      <c r="F515" s="60"/>
      <c r="G515" s="60"/>
      <c r="H515" s="60"/>
      <c r="I515" s="60"/>
      <c r="J515" s="83"/>
      <c r="K515" s="60"/>
      <c r="L515" s="60"/>
      <c r="M515" s="60"/>
      <c r="N515" s="60"/>
      <c r="O515" s="60"/>
      <c r="P515" s="60"/>
      <c r="Q515" s="60"/>
      <c r="R515" s="81"/>
      <c r="S515" s="59"/>
      <c r="T515" s="59"/>
      <c r="U515" s="59"/>
      <c r="V515" s="59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</row>
    <row r="516" spans="1:46" x14ac:dyDescent="0.25">
      <c r="A516" s="22"/>
      <c r="B516" s="52"/>
      <c r="C516" s="52"/>
      <c r="D516" s="52"/>
      <c r="E516" s="188"/>
      <c r="F516" s="60"/>
      <c r="G516" s="60"/>
      <c r="H516" s="60"/>
      <c r="I516" s="60"/>
      <c r="J516" s="83"/>
      <c r="K516" s="60"/>
      <c r="L516" s="60"/>
      <c r="M516" s="60"/>
      <c r="N516" s="60"/>
      <c r="O516" s="60"/>
      <c r="P516" s="60"/>
      <c r="Q516" s="60"/>
      <c r="R516" s="81"/>
      <c r="S516" s="59"/>
      <c r="T516" s="59"/>
      <c r="U516" s="59"/>
      <c r="V516" s="59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</row>
    <row r="517" spans="1:46" x14ac:dyDescent="0.25">
      <c r="A517" s="22"/>
      <c r="B517" s="52"/>
      <c r="C517" s="52"/>
      <c r="D517" s="52"/>
      <c r="E517" s="188"/>
      <c r="F517" s="60"/>
      <c r="G517" s="60"/>
      <c r="H517" s="60"/>
      <c r="I517" s="60"/>
      <c r="J517" s="83"/>
      <c r="K517" s="60"/>
      <c r="L517" s="60"/>
      <c r="M517" s="60"/>
      <c r="N517" s="60"/>
      <c r="O517" s="60"/>
      <c r="P517" s="60"/>
      <c r="Q517" s="60"/>
      <c r="R517" s="81"/>
      <c r="S517" s="59"/>
      <c r="T517" s="59"/>
      <c r="U517" s="59"/>
      <c r="V517" s="59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</row>
    <row r="518" spans="1:46" x14ac:dyDescent="0.25">
      <c r="A518" s="22"/>
      <c r="B518" s="52"/>
      <c r="C518" s="52"/>
      <c r="D518" s="52"/>
      <c r="E518" s="188"/>
      <c r="F518" s="60"/>
      <c r="G518" s="60"/>
      <c r="H518" s="60"/>
      <c r="I518" s="60"/>
      <c r="J518" s="83"/>
      <c r="K518" s="60"/>
      <c r="L518" s="60"/>
      <c r="M518" s="60"/>
      <c r="N518" s="60"/>
      <c r="O518" s="60"/>
      <c r="P518" s="60"/>
      <c r="Q518" s="60"/>
      <c r="R518" s="82"/>
      <c r="S518" s="59"/>
      <c r="T518" s="59"/>
      <c r="U518" s="59"/>
      <c r="V518" s="59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</row>
    <row r="519" spans="1:46" x14ac:dyDescent="0.25">
      <c r="A519" s="22"/>
      <c r="B519" s="52"/>
      <c r="C519" s="52"/>
      <c r="D519" s="52"/>
      <c r="E519" s="188"/>
      <c r="F519" s="60"/>
      <c r="G519" s="60"/>
      <c r="H519" s="60"/>
      <c r="I519" s="60"/>
      <c r="J519" s="83"/>
      <c r="K519" s="60"/>
      <c r="L519" s="60"/>
      <c r="M519" s="60"/>
      <c r="N519" s="60"/>
      <c r="O519" s="60"/>
      <c r="P519" s="60"/>
      <c r="Q519" s="60"/>
      <c r="R519" s="82"/>
      <c r="S519" s="59"/>
      <c r="T519" s="59"/>
      <c r="U519" s="59"/>
      <c r="V519" s="59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</row>
    <row r="520" spans="1:46" x14ac:dyDescent="0.25">
      <c r="A520" s="22"/>
      <c r="B520" s="52"/>
      <c r="C520" s="52"/>
      <c r="D520" s="52"/>
      <c r="E520" s="188"/>
      <c r="F520" s="60"/>
      <c r="G520" s="60"/>
      <c r="H520" s="60"/>
      <c r="I520" s="60"/>
      <c r="J520" s="83"/>
      <c r="K520" s="60"/>
      <c r="L520" s="60"/>
      <c r="M520" s="60"/>
      <c r="N520" s="60"/>
      <c r="O520" s="60"/>
      <c r="P520" s="60"/>
      <c r="Q520" s="60"/>
      <c r="R520" s="82"/>
      <c r="S520" s="59"/>
      <c r="T520" s="59"/>
      <c r="U520" s="59"/>
      <c r="V520" s="59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</row>
    <row r="521" spans="1:46" x14ac:dyDescent="0.25">
      <c r="A521" s="22"/>
      <c r="B521" s="52"/>
      <c r="C521" s="52"/>
      <c r="D521" s="52"/>
      <c r="E521" s="188"/>
      <c r="F521" s="60"/>
      <c r="G521" s="60"/>
      <c r="H521" s="60"/>
      <c r="I521" s="60"/>
      <c r="J521" s="83"/>
      <c r="K521" s="60"/>
      <c r="L521" s="60"/>
      <c r="M521" s="60"/>
      <c r="N521" s="60"/>
      <c r="O521" s="60"/>
      <c r="P521" s="60"/>
      <c r="Q521" s="60"/>
      <c r="R521" s="82"/>
      <c r="S521" s="59"/>
      <c r="T521" s="59"/>
      <c r="U521" s="59"/>
      <c r="V521" s="59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</row>
    <row r="522" spans="1:46" x14ac:dyDescent="0.25">
      <c r="A522" s="22"/>
      <c r="B522" s="52"/>
      <c r="C522" s="52"/>
      <c r="D522" s="52"/>
      <c r="E522" s="188"/>
      <c r="F522" s="60"/>
      <c r="G522" s="60"/>
      <c r="H522" s="60"/>
      <c r="I522" s="60"/>
      <c r="J522" s="83"/>
      <c r="K522" s="60"/>
      <c r="L522" s="60"/>
      <c r="M522" s="60"/>
      <c r="N522" s="60"/>
      <c r="O522" s="60"/>
      <c r="P522" s="60"/>
      <c r="Q522" s="60"/>
      <c r="R522" s="82"/>
      <c r="S522" s="59"/>
      <c r="T522" s="59"/>
      <c r="U522" s="59"/>
      <c r="V522" s="59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</row>
    <row r="523" spans="1:46" x14ac:dyDescent="0.25">
      <c r="A523" s="22"/>
      <c r="B523" s="52"/>
      <c r="C523" s="52"/>
      <c r="D523" s="52"/>
      <c r="E523" s="188"/>
      <c r="F523" s="60"/>
      <c r="G523" s="60"/>
      <c r="H523" s="60"/>
      <c r="I523" s="60"/>
      <c r="J523" s="83"/>
      <c r="K523" s="60"/>
      <c r="L523" s="60"/>
      <c r="M523" s="60"/>
      <c r="N523" s="60"/>
      <c r="O523" s="60"/>
      <c r="P523" s="60"/>
      <c r="Q523" s="60"/>
      <c r="R523" s="82"/>
      <c r="S523" s="59"/>
      <c r="T523" s="59"/>
      <c r="U523" s="59"/>
      <c r="V523" s="59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</row>
    <row r="524" spans="1:46" x14ac:dyDescent="0.25">
      <c r="A524" s="22"/>
      <c r="B524" s="52"/>
      <c r="C524" s="52"/>
      <c r="D524" s="52"/>
      <c r="E524" s="188"/>
      <c r="F524" s="60"/>
      <c r="G524" s="60"/>
      <c r="H524" s="60"/>
      <c r="I524" s="60"/>
      <c r="J524" s="83"/>
      <c r="K524" s="60"/>
      <c r="L524" s="60"/>
      <c r="M524" s="60"/>
      <c r="N524" s="60"/>
      <c r="O524" s="60"/>
      <c r="P524" s="60"/>
      <c r="Q524" s="60"/>
      <c r="R524" s="82"/>
      <c r="S524" s="59"/>
      <c r="T524" s="59"/>
      <c r="U524" s="59"/>
      <c r="V524" s="59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</row>
    <row r="525" spans="1:46" x14ac:dyDescent="0.25">
      <c r="A525" s="22"/>
      <c r="B525" s="52"/>
      <c r="C525" s="52"/>
      <c r="D525" s="52"/>
      <c r="E525" s="188"/>
      <c r="F525" s="60"/>
      <c r="G525" s="60"/>
      <c r="H525" s="60"/>
      <c r="I525" s="60"/>
      <c r="J525" s="83"/>
      <c r="K525" s="60"/>
      <c r="L525" s="60"/>
      <c r="M525" s="60"/>
      <c r="N525" s="60"/>
      <c r="O525" s="60"/>
      <c r="P525" s="60"/>
      <c r="Q525" s="60"/>
      <c r="R525" s="82"/>
      <c r="S525" s="59"/>
      <c r="T525" s="59"/>
      <c r="U525" s="59"/>
      <c r="V525" s="59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</row>
    <row r="526" spans="1:46" x14ac:dyDescent="0.25">
      <c r="A526" s="22"/>
      <c r="B526" s="52"/>
      <c r="C526" s="52"/>
      <c r="D526" s="52"/>
      <c r="E526" s="188"/>
      <c r="F526" s="60"/>
      <c r="G526" s="60"/>
      <c r="H526" s="60"/>
      <c r="I526" s="60"/>
      <c r="J526" s="83"/>
      <c r="K526" s="60"/>
      <c r="L526" s="60"/>
      <c r="M526" s="60"/>
      <c r="N526" s="60"/>
      <c r="O526" s="60"/>
      <c r="P526" s="60"/>
      <c r="Q526" s="60"/>
      <c r="R526" s="82"/>
      <c r="S526" s="59"/>
      <c r="T526" s="59"/>
      <c r="U526" s="59"/>
      <c r="V526" s="59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</row>
    <row r="527" spans="1:46" x14ac:dyDescent="0.25">
      <c r="A527" s="22"/>
      <c r="B527" s="52"/>
      <c r="C527" s="52"/>
      <c r="D527" s="52"/>
      <c r="E527" s="188"/>
      <c r="F527" s="60"/>
      <c r="G527" s="60"/>
      <c r="H527" s="60"/>
      <c r="I527" s="60"/>
      <c r="J527" s="83"/>
      <c r="K527" s="60"/>
      <c r="L527" s="60"/>
      <c r="M527" s="60"/>
      <c r="N527" s="60"/>
      <c r="O527" s="60"/>
      <c r="P527" s="60"/>
      <c r="Q527" s="60"/>
      <c r="R527" s="82"/>
      <c r="S527" s="59"/>
      <c r="T527" s="59"/>
      <c r="U527" s="59"/>
      <c r="V527" s="59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</row>
    <row r="528" spans="1:46" x14ac:dyDescent="0.25">
      <c r="A528" s="22"/>
      <c r="B528" s="52"/>
      <c r="C528" s="52"/>
      <c r="D528" s="52"/>
      <c r="E528" s="188"/>
      <c r="F528" s="60"/>
      <c r="G528" s="60"/>
      <c r="H528" s="60"/>
      <c r="I528" s="60"/>
      <c r="J528" s="83"/>
      <c r="K528" s="60"/>
      <c r="L528" s="60"/>
      <c r="M528" s="60"/>
      <c r="N528" s="60"/>
      <c r="O528" s="60"/>
      <c r="P528" s="60"/>
      <c r="Q528" s="60"/>
      <c r="R528" s="82"/>
      <c r="S528" s="59"/>
      <c r="T528" s="59"/>
      <c r="U528" s="59"/>
      <c r="V528" s="59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</row>
    <row r="529" spans="1:46" x14ac:dyDescent="0.25">
      <c r="A529" s="22"/>
      <c r="B529" s="52"/>
      <c r="C529" s="52"/>
      <c r="D529" s="52"/>
      <c r="E529" s="188"/>
      <c r="F529" s="60"/>
      <c r="G529" s="60"/>
      <c r="H529" s="60"/>
      <c r="I529" s="60"/>
      <c r="J529" s="83"/>
      <c r="K529" s="60"/>
      <c r="L529" s="60"/>
      <c r="M529" s="60"/>
      <c r="N529" s="60"/>
      <c r="O529" s="60"/>
      <c r="P529" s="60"/>
      <c r="Q529" s="60"/>
      <c r="R529" s="82"/>
      <c r="S529" s="59"/>
      <c r="T529" s="59"/>
      <c r="U529" s="59"/>
      <c r="V529" s="59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</row>
    <row r="530" spans="1:46" x14ac:dyDescent="0.25">
      <c r="A530" s="22"/>
      <c r="B530" s="52"/>
      <c r="C530" s="52"/>
      <c r="D530" s="52"/>
      <c r="E530" s="188"/>
      <c r="F530" s="60"/>
      <c r="G530" s="60"/>
      <c r="H530" s="60"/>
      <c r="I530" s="60"/>
      <c r="J530" s="83"/>
      <c r="K530" s="60"/>
      <c r="L530" s="60"/>
      <c r="M530" s="60"/>
      <c r="N530" s="60"/>
      <c r="O530" s="60"/>
      <c r="P530" s="60"/>
      <c r="Q530" s="60"/>
      <c r="R530" s="82"/>
      <c r="S530" s="59"/>
      <c r="T530" s="59"/>
      <c r="U530" s="59"/>
      <c r="V530" s="59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</row>
    <row r="531" spans="1:46" x14ac:dyDescent="0.25">
      <c r="A531" s="22"/>
      <c r="B531" s="52"/>
      <c r="C531" s="52"/>
      <c r="D531" s="52"/>
      <c r="E531" s="188"/>
      <c r="F531" s="60"/>
      <c r="G531" s="60"/>
      <c r="H531" s="60"/>
      <c r="I531" s="60"/>
      <c r="J531" s="83"/>
      <c r="K531" s="60"/>
      <c r="L531" s="60"/>
      <c r="M531" s="60"/>
      <c r="N531" s="60"/>
      <c r="O531" s="60"/>
      <c r="P531" s="60"/>
      <c r="Q531" s="60"/>
      <c r="R531" s="82"/>
      <c r="S531" s="59"/>
      <c r="T531" s="59"/>
      <c r="U531" s="59"/>
      <c r="V531" s="59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</row>
    <row r="532" spans="1:46" x14ac:dyDescent="0.25">
      <c r="A532" s="22"/>
      <c r="B532" s="52"/>
      <c r="C532" s="52"/>
      <c r="D532" s="52"/>
      <c r="E532" s="188"/>
      <c r="F532" s="60"/>
      <c r="G532" s="60"/>
      <c r="H532" s="60"/>
      <c r="I532" s="60"/>
      <c r="J532" s="83"/>
      <c r="K532" s="60"/>
      <c r="L532" s="60"/>
      <c r="M532" s="60"/>
      <c r="N532" s="60"/>
      <c r="O532" s="60"/>
      <c r="P532" s="60"/>
      <c r="Q532" s="60"/>
      <c r="R532" s="82"/>
      <c r="S532" s="59"/>
      <c r="T532" s="59"/>
      <c r="U532" s="59"/>
      <c r="V532" s="59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</row>
    <row r="533" spans="1:46" x14ac:dyDescent="0.25">
      <c r="A533" s="22"/>
      <c r="B533" s="52"/>
      <c r="C533" s="52"/>
      <c r="D533" s="52"/>
      <c r="E533" s="188"/>
      <c r="F533" s="60"/>
      <c r="G533" s="60"/>
      <c r="H533" s="60"/>
      <c r="I533" s="60"/>
      <c r="J533" s="83"/>
      <c r="K533" s="60"/>
      <c r="L533" s="60"/>
      <c r="M533" s="60"/>
      <c r="N533" s="60"/>
      <c r="O533" s="60"/>
      <c r="P533" s="60"/>
      <c r="Q533" s="60"/>
      <c r="R533" s="82"/>
      <c r="S533" s="59"/>
      <c r="T533" s="59"/>
      <c r="U533" s="59"/>
      <c r="V533" s="59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</row>
    <row r="534" spans="1:46" x14ac:dyDescent="0.25">
      <c r="A534" s="22"/>
      <c r="B534" s="52"/>
      <c r="C534" s="52"/>
      <c r="D534" s="52"/>
      <c r="E534" s="188"/>
      <c r="F534" s="60"/>
      <c r="G534" s="60"/>
      <c r="H534" s="60"/>
      <c r="I534" s="60"/>
      <c r="J534" s="83"/>
      <c r="K534" s="60"/>
      <c r="L534" s="60"/>
      <c r="M534" s="60"/>
      <c r="N534" s="60"/>
      <c r="O534" s="60"/>
      <c r="P534" s="60"/>
      <c r="Q534" s="60"/>
      <c r="R534" s="82"/>
      <c r="S534" s="59"/>
      <c r="T534" s="59"/>
      <c r="U534" s="59"/>
      <c r="V534" s="59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</row>
    <row r="535" spans="1:46" x14ac:dyDescent="0.25">
      <c r="A535" s="22"/>
      <c r="B535" s="52"/>
      <c r="C535" s="52"/>
      <c r="D535" s="52"/>
      <c r="E535" s="188"/>
      <c r="F535" s="60"/>
      <c r="G535" s="60"/>
      <c r="H535" s="60"/>
      <c r="I535" s="60"/>
      <c r="J535" s="83"/>
      <c r="K535" s="60"/>
      <c r="L535" s="60"/>
      <c r="M535" s="60"/>
      <c r="N535" s="60"/>
      <c r="O535" s="60"/>
      <c r="P535" s="60"/>
      <c r="Q535" s="60"/>
      <c r="R535" s="82"/>
      <c r="S535" s="59"/>
      <c r="T535" s="59"/>
      <c r="U535" s="59"/>
      <c r="V535" s="59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</row>
    <row r="536" spans="1:46" x14ac:dyDescent="0.25">
      <c r="A536" s="22"/>
      <c r="B536" s="52"/>
      <c r="C536" s="52"/>
      <c r="D536" s="52"/>
      <c r="E536" s="188"/>
      <c r="F536" s="60"/>
      <c r="G536" s="60"/>
      <c r="H536" s="60"/>
      <c r="I536" s="60"/>
      <c r="J536" s="83"/>
      <c r="K536" s="60"/>
      <c r="L536" s="60"/>
      <c r="M536" s="60"/>
      <c r="N536" s="60"/>
      <c r="O536" s="60"/>
      <c r="P536" s="60"/>
      <c r="Q536" s="60"/>
      <c r="R536" s="82"/>
      <c r="S536" s="59"/>
      <c r="T536" s="59"/>
      <c r="U536" s="59"/>
      <c r="V536" s="59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</row>
    <row r="537" spans="1:46" x14ac:dyDescent="0.25">
      <c r="A537" s="22"/>
      <c r="B537" s="52"/>
      <c r="C537" s="52"/>
      <c r="D537" s="52"/>
      <c r="E537" s="188"/>
      <c r="F537" s="60"/>
      <c r="G537" s="60"/>
      <c r="H537" s="60"/>
      <c r="I537" s="60"/>
      <c r="J537" s="83"/>
      <c r="K537" s="60"/>
      <c r="L537" s="60"/>
      <c r="M537" s="60"/>
      <c r="N537" s="60"/>
      <c r="O537" s="60"/>
      <c r="P537" s="60"/>
      <c r="Q537" s="60"/>
      <c r="R537" s="82"/>
      <c r="S537" s="59"/>
      <c r="T537" s="59"/>
      <c r="U537" s="59"/>
      <c r="V537" s="59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</row>
    <row r="538" spans="1:46" x14ac:dyDescent="0.25">
      <c r="A538" s="22"/>
      <c r="B538" s="52"/>
      <c r="C538" s="52"/>
      <c r="D538" s="52"/>
      <c r="E538" s="188"/>
      <c r="F538" s="60"/>
      <c r="G538" s="60"/>
      <c r="H538" s="60"/>
      <c r="I538" s="60"/>
      <c r="J538" s="83"/>
      <c r="K538" s="60"/>
      <c r="L538" s="60"/>
      <c r="M538" s="60"/>
      <c r="N538" s="60"/>
      <c r="O538" s="60"/>
      <c r="P538" s="60"/>
      <c r="Q538" s="60"/>
      <c r="R538" s="82"/>
      <c r="S538" s="59"/>
      <c r="T538" s="59"/>
      <c r="U538" s="59"/>
      <c r="V538" s="59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</row>
    <row r="539" spans="1:46" x14ac:dyDescent="0.25">
      <c r="A539" s="22"/>
      <c r="B539" s="52"/>
      <c r="C539" s="52"/>
      <c r="D539" s="52"/>
      <c r="E539" s="188"/>
      <c r="F539" s="60"/>
      <c r="G539" s="60"/>
      <c r="H539" s="60"/>
      <c r="I539" s="60"/>
      <c r="J539" s="83"/>
      <c r="K539" s="60"/>
      <c r="L539" s="60"/>
      <c r="M539" s="60"/>
      <c r="N539" s="60"/>
      <c r="O539" s="60"/>
      <c r="P539" s="60"/>
      <c r="Q539" s="60"/>
      <c r="R539" s="82"/>
      <c r="S539" s="59"/>
      <c r="T539" s="59"/>
      <c r="U539" s="59"/>
      <c r="V539" s="59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</row>
    <row r="540" spans="1:46" x14ac:dyDescent="0.25">
      <c r="A540" s="22"/>
      <c r="B540" s="52"/>
      <c r="C540" s="52"/>
      <c r="D540" s="52"/>
      <c r="E540" s="188"/>
      <c r="F540" s="60"/>
      <c r="G540" s="60"/>
      <c r="H540" s="60"/>
      <c r="I540" s="60"/>
      <c r="J540" s="83"/>
      <c r="K540" s="60"/>
      <c r="L540" s="60"/>
      <c r="M540" s="60"/>
      <c r="N540" s="60"/>
      <c r="O540" s="60"/>
      <c r="P540" s="60"/>
      <c r="Q540" s="60"/>
      <c r="R540" s="82"/>
      <c r="S540" s="59"/>
      <c r="T540" s="59"/>
      <c r="U540" s="59"/>
      <c r="V540" s="59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</row>
    <row r="541" spans="1:46" x14ac:dyDescent="0.25">
      <c r="A541" s="22"/>
      <c r="B541" s="52"/>
      <c r="C541" s="52"/>
      <c r="D541" s="52"/>
      <c r="E541" s="188"/>
      <c r="F541" s="60"/>
      <c r="G541" s="60"/>
      <c r="H541" s="60"/>
      <c r="I541" s="60"/>
      <c r="J541" s="83"/>
      <c r="K541" s="60"/>
      <c r="L541" s="60"/>
      <c r="M541" s="60"/>
      <c r="N541" s="60"/>
      <c r="O541" s="60"/>
      <c r="P541" s="60"/>
      <c r="Q541" s="60"/>
      <c r="R541" s="82"/>
      <c r="S541" s="59"/>
      <c r="T541" s="59"/>
      <c r="U541" s="59"/>
      <c r="V541" s="59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</row>
    <row r="542" spans="1:46" x14ac:dyDescent="0.25">
      <c r="A542" s="22"/>
      <c r="B542" s="52"/>
      <c r="C542" s="52"/>
      <c r="D542" s="52"/>
      <c r="E542" s="188"/>
      <c r="F542" s="60"/>
      <c r="G542" s="60"/>
      <c r="H542" s="60"/>
      <c r="I542" s="60"/>
      <c r="J542" s="83"/>
      <c r="K542" s="60"/>
      <c r="L542" s="60"/>
      <c r="M542" s="60"/>
      <c r="N542" s="60"/>
      <c r="O542" s="60"/>
      <c r="P542" s="60"/>
      <c r="Q542" s="60"/>
      <c r="R542" s="82"/>
      <c r="S542" s="59"/>
      <c r="T542" s="59"/>
      <c r="U542" s="59"/>
      <c r="V542" s="59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</row>
    <row r="543" spans="1:46" x14ac:dyDescent="0.25">
      <c r="A543" s="22"/>
      <c r="B543" s="52"/>
      <c r="C543" s="52"/>
      <c r="D543" s="52"/>
      <c r="E543" s="188"/>
      <c r="F543" s="60"/>
      <c r="G543" s="60"/>
      <c r="H543" s="60"/>
      <c r="I543" s="60"/>
      <c r="J543" s="83"/>
      <c r="K543" s="60"/>
      <c r="L543" s="60"/>
      <c r="M543" s="60"/>
      <c r="N543" s="60"/>
      <c r="O543" s="60"/>
      <c r="P543" s="60"/>
      <c r="Q543" s="60"/>
      <c r="R543" s="82"/>
      <c r="S543" s="59"/>
      <c r="T543" s="59"/>
      <c r="U543" s="59"/>
      <c r="V543" s="59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</row>
    <row r="544" spans="1:46" x14ac:dyDescent="0.25">
      <c r="A544" s="22"/>
      <c r="B544" s="52"/>
      <c r="C544" s="52"/>
      <c r="D544" s="52"/>
      <c r="E544" s="188"/>
      <c r="F544" s="60"/>
      <c r="G544" s="60"/>
      <c r="H544" s="60"/>
      <c r="I544" s="60"/>
      <c r="J544" s="83"/>
      <c r="K544" s="60"/>
      <c r="L544" s="60"/>
      <c r="M544" s="60"/>
      <c r="N544" s="60"/>
      <c r="O544" s="60"/>
      <c r="P544" s="60"/>
      <c r="Q544" s="60"/>
      <c r="R544" s="82"/>
      <c r="S544" s="59"/>
      <c r="T544" s="59"/>
      <c r="U544" s="59"/>
      <c r="V544" s="59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</row>
    <row r="545" spans="1:46" x14ac:dyDescent="0.25">
      <c r="A545" s="22"/>
      <c r="B545" s="52"/>
      <c r="C545" s="52"/>
      <c r="D545" s="52"/>
      <c r="E545" s="188"/>
      <c r="F545" s="60"/>
      <c r="G545" s="60"/>
      <c r="H545" s="60"/>
      <c r="I545" s="60"/>
      <c r="J545" s="83"/>
      <c r="K545" s="60"/>
      <c r="L545" s="60"/>
      <c r="M545" s="60"/>
      <c r="N545" s="60"/>
      <c r="O545" s="60"/>
      <c r="P545" s="60"/>
      <c r="Q545" s="60"/>
      <c r="R545" s="82"/>
      <c r="S545" s="59"/>
      <c r="T545" s="59"/>
      <c r="U545" s="59"/>
      <c r="V545" s="59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</row>
    <row r="546" spans="1:46" x14ac:dyDescent="0.25">
      <c r="A546" s="22"/>
      <c r="B546" s="52"/>
      <c r="C546" s="52"/>
      <c r="D546" s="52"/>
      <c r="E546" s="188"/>
      <c r="F546" s="60"/>
      <c r="G546" s="60"/>
      <c r="H546" s="60"/>
      <c r="I546" s="60"/>
      <c r="J546" s="83"/>
      <c r="K546" s="60"/>
      <c r="L546" s="60"/>
      <c r="M546" s="60"/>
      <c r="N546" s="60"/>
      <c r="O546" s="60"/>
      <c r="P546" s="60"/>
      <c r="Q546" s="60"/>
      <c r="R546" s="82"/>
      <c r="S546" s="59"/>
      <c r="T546" s="59"/>
      <c r="U546" s="59"/>
      <c r="V546" s="59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</row>
    <row r="547" spans="1:46" x14ac:dyDescent="0.25">
      <c r="A547" s="22"/>
      <c r="B547" s="52"/>
      <c r="C547" s="52"/>
      <c r="D547" s="52"/>
      <c r="E547" s="188"/>
      <c r="F547" s="60"/>
      <c r="G547" s="60"/>
      <c r="H547" s="60"/>
      <c r="I547" s="60"/>
      <c r="J547" s="83"/>
      <c r="K547" s="60"/>
      <c r="L547" s="60"/>
      <c r="M547" s="60"/>
      <c r="N547" s="60"/>
      <c r="O547" s="60"/>
      <c r="P547" s="60"/>
      <c r="Q547" s="60"/>
      <c r="R547" s="82"/>
      <c r="S547" s="59"/>
      <c r="T547" s="59"/>
      <c r="U547" s="59"/>
      <c r="V547" s="59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</row>
    <row r="548" spans="1:46" x14ac:dyDescent="0.25">
      <c r="A548" s="22"/>
      <c r="B548" s="52"/>
      <c r="C548" s="52"/>
      <c r="D548" s="52"/>
      <c r="E548" s="188"/>
      <c r="F548" s="60"/>
      <c r="G548" s="60"/>
      <c r="H548" s="60"/>
      <c r="I548" s="60"/>
      <c r="J548" s="83"/>
      <c r="K548" s="60"/>
      <c r="L548" s="60"/>
      <c r="M548" s="60"/>
      <c r="N548" s="60"/>
      <c r="O548" s="60"/>
      <c r="P548" s="60"/>
      <c r="Q548" s="60"/>
      <c r="R548" s="82"/>
      <c r="S548" s="59"/>
      <c r="T548" s="59"/>
      <c r="U548" s="59"/>
      <c r="V548" s="59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</row>
    <row r="549" spans="1:46" x14ac:dyDescent="0.25">
      <c r="A549" s="22"/>
      <c r="B549" s="52"/>
      <c r="C549" s="52"/>
      <c r="D549" s="52"/>
      <c r="E549" s="188"/>
      <c r="F549" s="60"/>
      <c r="G549" s="60"/>
      <c r="H549" s="60"/>
      <c r="I549" s="60"/>
      <c r="J549" s="83"/>
      <c r="K549" s="60"/>
      <c r="L549" s="60"/>
      <c r="M549" s="60"/>
      <c r="N549" s="60"/>
      <c r="O549" s="60"/>
      <c r="P549" s="60"/>
      <c r="Q549" s="60"/>
      <c r="R549" s="82"/>
      <c r="S549" s="59"/>
      <c r="T549" s="59"/>
      <c r="U549" s="59"/>
      <c r="V549" s="59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</row>
    <row r="550" spans="1:46" x14ac:dyDescent="0.25">
      <c r="A550" s="22"/>
      <c r="B550" s="52"/>
      <c r="C550" s="52"/>
      <c r="D550" s="52"/>
      <c r="E550" s="188"/>
      <c r="F550" s="60"/>
      <c r="G550" s="60"/>
      <c r="H550" s="60"/>
      <c r="I550" s="60"/>
      <c r="J550" s="83"/>
      <c r="K550" s="60"/>
      <c r="L550" s="60"/>
      <c r="M550" s="60"/>
      <c r="N550" s="60"/>
      <c r="O550" s="60"/>
      <c r="P550" s="60"/>
      <c r="Q550" s="60"/>
      <c r="R550" s="82"/>
      <c r="S550" s="59"/>
      <c r="T550" s="59"/>
      <c r="U550" s="59"/>
      <c r="V550" s="59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</row>
    <row r="551" spans="1:46" x14ac:dyDescent="0.25">
      <c r="A551" s="22"/>
      <c r="B551" s="52"/>
      <c r="C551" s="52"/>
      <c r="D551" s="52"/>
      <c r="E551" s="188"/>
      <c r="F551" s="60"/>
      <c r="G551" s="60"/>
      <c r="H551" s="60"/>
      <c r="I551" s="60"/>
      <c r="J551" s="83"/>
      <c r="K551" s="60"/>
      <c r="L551" s="60"/>
      <c r="M551" s="60"/>
      <c r="N551" s="60"/>
      <c r="O551" s="60"/>
      <c r="P551" s="60"/>
      <c r="Q551" s="60"/>
      <c r="R551" s="82"/>
      <c r="S551" s="59"/>
      <c r="T551" s="59"/>
      <c r="U551" s="59"/>
      <c r="V551" s="59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</row>
    <row r="552" spans="1:46" x14ac:dyDescent="0.25">
      <c r="A552" s="22"/>
      <c r="B552" s="52"/>
      <c r="C552" s="52"/>
      <c r="D552" s="52"/>
      <c r="E552" s="188"/>
      <c r="F552" s="60"/>
      <c r="G552" s="60"/>
      <c r="H552" s="60"/>
      <c r="I552" s="60"/>
      <c r="J552" s="83"/>
      <c r="K552" s="60"/>
      <c r="L552" s="60"/>
      <c r="M552" s="60"/>
      <c r="N552" s="60"/>
      <c r="O552" s="60"/>
      <c r="P552" s="60"/>
      <c r="Q552" s="60"/>
      <c r="R552" s="82"/>
      <c r="S552" s="59"/>
      <c r="T552" s="59"/>
      <c r="U552" s="59"/>
      <c r="V552" s="59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</row>
    <row r="553" spans="1:46" x14ac:dyDescent="0.25">
      <c r="A553" s="22"/>
      <c r="B553" s="52"/>
      <c r="C553" s="52"/>
      <c r="D553" s="52"/>
      <c r="E553" s="188"/>
      <c r="F553" s="60"/>
      <c r="G553" s="60"/>
      <c r="H553" s="60"/>
      <c r="I553" s="60"/>
      <c r="J553" s="83"/>
      <c r="K553" s="60"/>
      <c r="L553" s="60"/>
      <c r="M553" s="60"/>
      <c r="N553" s="60"/>
      <c r="O553" s="60"/>
      <c r="P553" s="60"/>
      <c r="Q553" s="60"/>
      <c r="R553" s="82"/>
      <c r="S553" s="59"/>
      <c r="T553" s="59"/>
      <c r="U553" s="59"/>
      <c r="V553" s="59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</row>
    <row r="554" spans="1:46" x14ac:dyDescent="0.25">
      <c r="A554" s="22"/>
      <c r="B554" s="52"/>
      <c r="C554" s="52"/>
      <c r="D554" s="52"/>
      <c r="E554" s="188"/>
      <c r="F554" s="60"/>
      <c r="G554" s="60"/>
      <c r="H554" s="60"/>
      <c r="I554" s="60"/>
      <c r="J554" s="83"/>
      <c r="K554" s="60"/>
      <c r="L554" s="60"/>
      <c r="M554" s="60"/>
      <c r="N554" s="60"/>
      <c r="O554" s="60"/>
      <c r="P554" s="60"/>
      <c r="Q554" s="60"/>
      <c r="R554" s="82"/>
      <c r="S554" s="59"/>
      <c r="T554" s="59"/>
      <c r="U554" s="59"/>
      <c r="V554" s="59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</row>
    <row r="555" spans="1:46" x14ac:dyDescent="0.25">
      <c r="A555" s="22"/>
      <c r="B555" s="52"/>
      <c r="C555" s="52"/>
      <c r="D555" s="52"/>
      <c r="E555" s="188"/>
      <c r="F555" s="60"/>
      <c r="G555" s="60"/>
      <c r="H555" s="60"/>
      <c r="I555" s="60"/>
      <c r="J555" s="83"/>
      <c r="K555" s="60"/>
      <c r="L555" s="60"/>
      <c r="M555" s="60"/>
      <c r="N555" s="60"/>
      <c r="O555" s="60"/>
      <c r="P555" s="60"/>
      <c r="Q555" s="60"/>
      <c r="R555" s="82"/>
      <c r="S555" s="59"/>
      <c r="T555" s="59"/>
      <c r="U555" s="59"/>
      <c r="V555" s="59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</row>
    <row r="556" spans="1:46" x14ac:dyDescent="0.25">
      <c r="A556" s="22"/>
      <c r="B556" s="52"/>
      <c r="C556" s="52"/>
      <c r="D556" s="52"/>
      <c r="E556" s="188"/>
      <c r="F556" s="60"/>
      <c r="G556" s="60"/>
      <c r="H556" s="60"/>
      <c r="I556" s="60"/>
      <c r="J556" s="83"/>
      <c r="K556" s="60"/>
      <c r="L556" s="60"/>
      <c r="M556" s="60"/>
      <c r="N556" s="60"/>
      <c r="O556" s="60"/>
      <c r="P556" s="60"/>
      <c r="Q556" s="60"/>
      <c r="R556" s="82"/>
      <c r="S556" s="59"/>
      <c r="T556" s="59"/>
      <c r="U556" s="59"/>
      <c r="V556" s="59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</row>
    <row r="557" spans="1:46" x14ac:dyDescent="0.25">
      <c r="A557" s="22"/>
      <c r="B557" s="52"/>
      <c r="C557" s="52"/>
      <c r="D557" s="52"/>
      <c r="E557" s="188"/>
      <c r="F557" s="60"/>
      <c r="G557" s="60"/>
      <c r="H557" s="60"/>
      <c r="I557" s="60"/>
      <c r="J557" s="83"/>
      <c r="K557" s="60"/>
      <c r="L557" s="60"/>
      <c r="M557" s="60"/>
      <c r="N557" s="60"/>
      <c r="O557" s="60"/>
      <c r="P557" s="60"/>
      <c r="Q557" s="60"/>
      <c r="R557" s="82"/>
      <c r="S557" s="59"/>
      <c r="T557" s="59"/>
      <c r="U557" s="59"/>
      <c r="V557" s="59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</row>
    <row r="558" spans="1:46" x14ac:dyDescent="0.25">
      <c r="A558" s="22"/>
      <c r="B558" s="52"/>
      <c r="C558" s="52"/>
      <c r="D558" s="52"/>
      <c r="E558" s="188"/>
      <c r="F558" s="60"/>
      <c r="G558" s="60"/>
      <c r="H558" s="60"/>
      <c r="I558" s="60"/>
      <c r="J558" s="83"/>
      <c r="K558" s="60"/>
      <c r="L558" s="60"/>
      <c r="M558" s="60"/>
      <c r="N558" s="60"/>
      <c r="O558" s="60"/>
      <c r="P558" s="60"/>
      <c r="Q558" s="60"/>
      <c r="R558" s="82"/>
      <c r="S558" s="59"/>
      <c r="T558" s="59"/>
      <c r="U558" s="59"/>
      <c r="V558" s="59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</row>
    <row r="559" spans="1:46" x14ac:dyDescent="0.25">
      <c r="A559" s="22"/>
      <c r="B559" s="52"/>
      <c r="C559" s="52"/>
      <c r="D559" s="52"/>
      <c r="E559" s="188"/>
      <c r="F559" s="60"/>
      <c r="G559" s="60"/>
      <c r="H559" s="60"/>
      <c r="I559" s="60"/>
      <c r="J559" s="83"/>
      <c r="K559" s="60"/>
      <c r="L559" s="60"/>
      <c r="M559" s="60"/>
      <c r="N559" s="60"/>
      <c r="O559" s="60"/>
      <c r="P559" s="60"/>
      <c r="Q559" s="60"/>
      <c r="R559" s="82"/>
      <c r="S559" s="59"/>
      <c r="T559" s="59"/>
      <c r="U559" s="59"/>
      <c r="V559" s="59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</row>
    <row r="560" spans="1:46" x14ac:dyDescent="0.25">
      <c r="A560" s="22"/>
      <c r="B560" s="52"/>
      <c r="C560" s="52"/>
      <c r="D560" s="52"/>
      <c r="E560" s="188"/>
      <c r="F560" s="60"/>
      <c r="G560" s="60"/>
      <c r="H560" s="60"/>
      <c r="I560" s="60"/>
      <c r="J560" s="83"/>
      <c r="K560" s="60"/>
      <c r="L560" s="60"/>
      <c r="M560" s="60"/>
      <c r="N560" s="60"/>
      <c r="O560" s="60"/>
      <c r="P560" s="60"/>
      <c r="Q560" s="60"/>
      <c r="R560" s="82"/>
      <c r="S560" s="59"/>
      <c r="T560" s="59"/>
      <c r="U560" s="59"/>
      <c r="V560" s="59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</row>
    <row r="561" spans="1:46" x14ac:dyDescent="0.25">
      <c r="A561" s="22"/>
      <c r="B561" s="52"/>
      <c r="C561" s="52"/>
      <c r="D561" s="52"/>
      <c r="E561" s="188"/>
      <c r="F561" s="60"/>
      <c r="G561" s="60"/>
      <c r="H561" s="60"/>
      <c r="I561" s="60"/>
      <c r="J561" s="83"/>
      <c r="K561" s="60"/>
      <c r="L561" s="60"/>
      <c r="M561" s="60"/>
      <c r="N561" s="60"/>
      <c r="O561" s="60"/>
      <c r="P561" s="60"/>
      <c r="Q561" s="60"/>
      <c r="R561" s="82"/>
      <c r="S561" s="59"/>
      <c r="T561" s="59"/>
      <c r="U561" s="59"/>
      <c r="V561" s="59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</row>
    <row r="562" spans="1:46" x14ac:dyDescent="0.25">
      <c r="A562" s="22"/>
      <c r="B562" s="67"/>
      <c r="C562" s="67"/>
      <c r="D562" s="67"/>
      <c r="E562" s="188"/>
      <c r="F562" s="60"/>
      <c r="G562" s="60"/>
      <c r="H562" s="60"/>
      <c r="I562" s="60"/>
      <c r="J562" s="83"/>
      <c r="K562" s="60"/>
      <c r="L562" s="60"/>
      <c r="M562" s="60"/>
      <c r="N562" s="60"/>
      <c r="O562" s="60"/>
      <c r="P562" s="60"/>
      <c r="Q562" s="60"/>
      <c r="R562" s="59"/>
      <c r="S562" s="59"/>
      <c r="T562" s="59"/>
      <c r="U562" s="59"/>
      <c r="V562" s="59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</row>
    <row r="563" spans="1:46" x14ac:dyDescent="0.25">
      <c r="A563" s="22"/>
      <c r="B563" s="67"/>
      <c r="C563" s="67"/>
      <c r="D563" s="67"/>
      <c r="E563" s="188"/>
      <c r="F563" s="60"/>
      <c r="G563" s="60"/>
      <c r="H563" s="60"/>
      <c r="I563" s="60"/>
      <c r="J563" s="83"/>
      <c r="K563" s="60"/>
      <c r="L563" s="60"/>
      <c r="M563" s="60"/>
      <c r="N563" s="60"/>
      <c r="O563" s="60"/>
      <c r="P563" s="60"/>
      <c r="Q563" s="60"/>
      <c r="R563" s="59"/>
      <c r="S563" s="59"/>
      <c r="T563" s="59"/>
      <c r="U563" s="59"/>
      <c r="V563" s="59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</row>
    <row r="564" spans="1:46" x14ac:dyDescent="0.25">
      <c r="A564" s="22"/>
      <c r="B564" s="67"/>
      <c r="C564" s="67"/>
      <c r="D564" s="67"/>
      <c r="E564" s="188"/>
      <c r="F564" s="60"/>
      <c r="G564" s="60"/>
      <c r="H564" s="60"/>
      <c r="I564" s="60"/>
      <c r="J564" s="83"/>
      <c r="K564" s="60"/>
      <c r="L564" s="60"/>
      <c r="M564" s="60"/>
      <c r="N564" s="60"/>
      <c r="O564" s="60"/>
      <c r="P564" s="60"/>
      <c r="Q564" s="60"/>
      <c r="R564" s="59"/>
      <c r="S564" s="59"/>
      <c r="T564" s="59"/>
      <c r="U564" s="59"/>
      <c r="V564" s="59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</row>
    <row r="565" spans="1:46" x14ac:dyDescent="0.25">
      <c r="A565" s="22"/>
      <c r="B565" s="67"/>
      <c r="C565" s="67"/>
      <c r="D565" s="67"/>
      <c r="E565" s="188"/>
      <c r="F565" s="60"/>
      <c r="G565" s="60"/>
      <c r="H565" s="60"/>
      <c r="I565" s="60"/>
      <c r="J565" s="83"/>
      <c r="K565" s="60"/>
      <c r="L565" s="60"/>
      <c r="M565" s="60"/>
      <c r="N565" s="60"/>
      <c r="O565" s="60"/>
      <c r="P565" s="60"/>
      <c r="Q565" s="60"/>
      <c r="R565" s="59"/>
      <c r="S565" s="59"/>
      <c r="T565" s="59"/>
      <c r="U565" s="59"/>
      <c r="V565" s="59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</row>
    <row r="566" spans="1:46" x14ac:dyDescent="0.25">
      <c r="A566" s="22"/>
      <c r="B566" s="67"/>
      <c r="C566" s="67"/>
      <c r="D566" s="67"/>
      <c r="E566" s="188"/>
      <c r="F566" s="60"/>
      <c r="G566" s="60"/>
      <c r="H566" s="60"/>
      <c r="I566" s="60"/>
      <c r="J566" s="83"/>
      <c r="K566" s="60"/>
      <c r="L566" s="60"/>
      <c r="M566" s="60"/>
      <c r="N566" s="60"/>
      <c r="O566" s="60"/>
      <c r="P566" s="60"/>
      <c r="Q566" s="60"/>
      <c r="R566" s="59"/>
      <c r="S566" s="59"/>
      <c r="T566" s="59"/>
      <c r="U566" s="59"/>
      <c r="V566" s="59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</row>
    <row r="567" spans="1:46" x14ac:dyDescent="0.25">
      <c r="A567" s="22"/>
      <c r="B567" s="67"/>
      <c r="C567" s="67"/>
      <c r="D567" s="67"/>
      <c r="E567" s="188"/>
      <c r="F567" s="60"/>
      <c r="G567" s="60"/>
      <c r="H567" s="60"/>
      <c r="I567" s="60"/>
      <c r="J567" s="83"/>
      <c r="K567" s="60"/>
      <c r="L567" s="60"/>
      <c r="M567" s="60"/>
      <c r="N567" s="60"/>
      <c r="O567" s="60"/>
      <c r="P567" s="60"/>
      <c r="Q567" s="60"/>
      <c r="R567" s="59"/>
      <c r="S567" s="59"/>
      <c r="T567" s="59"/>
      <c r="U567" s="59"/>
      <c r="V567" s="59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</row>
    <row r="568" spans="1:46" x14ac:dyDescent="0.25">
      <c r="A568" s="22"/>
      <c r="B568" s="22"/>
      <c r="C568" s="22"/>
      <c r="D568" s="117"/>
      <c r="E568" s="188"/>
      <c r="F568" s="60"/>
      <c r="G568" s="60"/>
      <c r="H568" s="60"/>
      <c r="I568" s="60"/>
      <c r="J568" s="83"/>
      <c r="K568" s="60"/>
      <c r="L568" s="60"/>
      <c r="M568" s="60"/>
      <c r="N568" s="60"/>
      <c r="O568" s="60"/>
      <c r="P568" s="60"/>
      <c r="Q568" s="60"/>
      <c r="R568" s="59"/>
      <c r="S568" s="59"/>
      <c r="T568" s="59"/>
      <c r="U568" s="59"/>
      <c r="V568" s="59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</row>
    <row r="569" spans="1:46" x14ac:dyDescent="0.25">
      <c r="A569" s="22"/>
      <c r="B569" s="22"/>
      <c r="C569" s="22"/>
      <c r="D569" s="117"/>
      <c r="E569" s="188"/>
      <c r="F569" s="60"/>
      <c r="G569" s="60"/>
      <c r="H569" s="60"/>
      <c r="I569" s="60"/>
      <c r="J569" s="83"/>
      <c r="K569" s="60"/>
      <c r="L569" s="60"/>
      <c r="M569" s="60"/>
      <c r="N569" s="60"/>
      <c r="O569" s="60"/>
      <c r="P569" s="60"/>
      <c r="Q569" s="60"/>
      <c r="R569" s="59"/>
      <c r="S569" s="59"/>
      <c r="T569" s="59"/>
      <c r="U569" s="59"/>
      <c r="V569" s="59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</row>
    <row r="570" spans="1:46" x14ac:dyDescent="0.25">
      <c r="A570" s="22"/>
      <c r="B570" s="22"/>
      <c r="C570" s="22"/>
      <c r="D570" s="117"/>
      <c r="E570" s="188"/>
      <c r="F570" s="60"/>
      <c r="G570" s="60"/>
      <c r="H570" s="60"/>
      <c r="I570" s="60"/>
      <c r="J570" s="83"/>
      <c r="K570" s="60"/>
      <c r="L570" s="60"/>
      <c r="M570" s="60"/>
      <c r="N570" s="60"/>
      <c r="O570" s="60"/>
      <c r="P570" s="60"/>
      <c r="Q570" s="60"/>
      <c r="R570" s="59"/>
      <c r="S570" s="59"/>
      <c r="T570" s="59"/>
      <c r="U570" s="59"/>
      <c r="V570" s="59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</row>
    <row r="571" spans="1:46" x14ac:dyDescent="0.25">
      <c r="A571" s="22"/>
      <c r="B571" s="22"/>
      <c r="C571" s="22"/>
      <c r="D571" s="117"/>
      <c r="E571" s="188"/>
      <c r="F571" s="60"/>
      <c r="G571" s="60"/>
      <c r="H571" s="60"/>
      <c r="I571" s="60"/>
      <c r="J571" s="83"/>
      <c r="K571" s="60"/>
      <c r="L571" s="60"/>
      <c r="M571" s="60"/>
      <c r="N571" s="60"/>
      <c r="O571" s="60"/>
      <c r="P571" s="60"/>
      <c r="Q571" s="60"/>
      <c r="R571" s="59"/>
      <c r="S571" s="59"/>
      <c r="T571" s="59"/>
      <c r="U571" s="59"/>
      <c r="V571" s="59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</row>
    <row r="572" spans="1:46" x14ac:dyDescent="0.25">
      <c r="A572" s="22"/>
      <c r="B572" s="22"/>
      <c r="C572" s="22"/>
      <c r="D572" s="117"/>
      <c r="E572" s="188"/>
      <c r="F572" s="60"/>
      <c r="G572" s="60"/>
      <c r="H572" s="60"/>
      <c r="I572" s="60"/>
      <c r="J572" s="83"/>
      <c r="K572" s="60"/>
      <c r="L572" s="60"/>
      <c r="M572" s="60"/>
      <c r="N572" s="60"/>
      <c r="O572" s="60"/>
      <c r="P572" s="60"/>
      <c r="Q572" s="60"/>
      <c r="R572" s="59"/>
      <c r="S572" s="59"/>
      <c r="T572" s="59"/>
      <c r="U572" s="59"/>
      <c r="V572" s="59"/>
    </row>
    <row r="573" spans="1:46" x14ac:dyDescent="0.25">
      <c r="A573" s="22"/>
      <c r="B573" s="22"/>
      <c r="C573" s="22"/>
      <c r="D573" s="117"/>
      <c r="E573" s="188"/>
      <c r="F573" s="60"/>
      <c r="G573" s="60"/>
      <c r="H573" s="60"/>
      <c r="I573" s="60"/>
      <c r="J573" s="83"/>
      <c r="K573" s="60"/>
      <c r="L573" s="60"/>
      <c r="M573" s="60"/>
      <c r="N573" s="60"/>
      <c r="O573" s="60"/>
      <c r="P573" s="60"/>
      <c r="Q573" s="60"/>
      <c r="R573" s="59"/>
      <c r="S573" s="59"/>
      <c r="T573" s="59"/>
      <c r="U573" s="59"/>
      <c r="V573" s="59"/>
    </row>
    <row r="574" spans="1:46" x14ac:dyDescent="0.25">
      <c r="A574" s="22"/>
      <c r="B574" s="22"/>
      <c r="C574" s="22"/>
      <c r="D574" s="117"/>
      <c r="E574" s="188"/>
      <c r="F574" s="60"/>
      <c r="G574" s="60"/>
      <c r="H574" s="60"/>
      <c r="I574" s="60"/>
      <c r="J574" s="83"/>
      <c r="K574" s="60"/>
      <c r="L574" s="60"/>
      <c r="M574" s="60"/>
      <c r="N574" s="60"/>
      <c r="O574" s="60"/>
      <c r="P574" s="60"/>
      <c r="Q574" s="60"/>
      <c r="R574" s="59"/>
      <c r="S574" s="59"/>
      <c r="T574" s="59"/>
      <c r="U574" s="59"/>
      <c r="V574" s="59"/>
    </row>
    <row r="575" spans="1:46" x14ac:dyDescent="0.25">
      <c r="A575" s="22"/>
      <c r="B575" s="22"/>
      <c r="C575" s="22"/>
      <c r="D575" s="117"/>
      <c r="E575" s="188"/>
      <c r="F575" s="60"/>
      <c r="G575" s="60"/>
      <c r="H575" s="60"/>
      <c r="I575" s="60"/>
      <c r="J575" s="83"/>
      <c r="K575" s="60"/>
      <c r="L575" s="60"/>
      <c r="M575" s="60"/>
      <c r="N575" s="60"/>
      <c r="O575" s="60"/>
      <c r="P575" s="60"/>
      <c r="Q575" s="60"/>
      <c r="R575" s="59"/>
      <c r="S575" s="59"/>
      <c r="T575" s="59"/>
      <c r="U575" s="59"/>
      <c r="V575" s="59"/>
    </row>
    <row r="576" spans="1:46" x14ac:dyDescent="0.25">
      <c r="A576" s="22"/>
      <c r="B576" s="22"/>
      <c r="C576" s="22"/>
      <c r="D576" s="117"/>
      <c r="E576" s="188"/>
      <c r="F576" s="60"/>
      <c r="G576" s="60"/>
      <c r="H576" s="60"/>
      <c r="I576" s="60"/>
      <c r="J576" s="83"/>
      <c r="K576" s="60"/>
      <c r="L576" s="60"/>
      <c r="M576" s="60"/>
      <c r="N576" s="60"/>
      <c r="O576" s="60"/>
      <c r="P576" s="60"/>
      <c r="Q576" s="60"/>
      <c r="R576" s="59"/>
      <c r="S576" s="59"/>
      <c r="T576" s="59"/>
      <c r="U576" s="59"/>
      <c r="V576" s="59"/>
    </row>
    <row r="577" spans="1:22" x14ac:dyDescent="0.25">
      <c r="A577" s="22"/>
      <c r="B577" s="22"/>
      <c r="C577" s="22"/>
      <c r="D577" s="117"/>
      <c r="E577" s="188"/>
      <c r="F577" s="60"/>
      <c r="G577" s="60"/>
      <c r="H577" s="60"/>
      <c r="I577" s="60"/>
      <c r="J577" s="83"/>
      <c r="K577" s="60"/>
      <c r="L577" s="60"/>
      <c r="M577" s="60"/>
      <c r="N577" s="60"/>
      <c r="O577" s="60"/>
      <c r="P577" s="60"/>
      <c r="Q577" s="60"/>
      <c r="R577" s="59"/>
      <c r="S577" s="59"/>
      <c r="T577" s="59"/>
      <c r="U577" s="59"/>
      <c r="V577" s="59"/>
    </row>
    <row r="578" spans="1:22" x14ac:dyDescent="0.25">
      <c r="A578" s="22"/>
      <c r="B578" s="22"/>
      <c r="C578" s="22"/>
      <c r="D578" s="117"/>
      <c r="E578" s="188"/>
      <c r="F578" s="60"/>
      <c r="G578" s="60"/>
      <c r="H578" s="60"/>
      <c r="I578" s="60"/>
      <c r="J578" s="83"/>
      <c r="K578" s="60"/>
      <c r="L578" s="60"/>
      <c r="M578" s="60"/>
      <c r="N578" s="60"/>
      <c r="O578" s="60"/>
      <c r="P578" s="60"/>
      <c r="Q578" s="60"/>
      <c r="R578" s="59"/>
      <c r="S578" s="59"/>
      <c r="T578" s="59"/>
      <c r="U578" s="59"/>
      <c r="V578" s="59"/>
    </row>
    <row r="579" spans="1:22" x14ac:dyDescent="0.25">
      <c r="A579" s="22"/>
      <c r="B579" s="22"/>
      <c r="C579" s="22"/>
      <c r="D579" s="117"/>
      <c r="E579" s="188"/>
      <c r="F579" s="60"/>
      <c r="G579" s="60"/>
      <c r="H579" s="60"/>
      <c r="I579" s="60"/>
      <c r="J579" s="83"/>
      <c r="K579" s="60"/>
      <c r="L579" s="60"/>
      <c r="M579" s="60"/>
      <c r="N579" s="60"/>
      <c r="O579" s="60"/>
      <c r="P579" s="60"/>
      <c r="Q579" s="60"/>
      <c r="R579" s="59"/>
      <c r="S579" s="59"/>
      <c r="T579" s="59"/>
      <c r="U579" s="59"/>
      <c r="V579" s="59"/>
    </row>
    <row r="580" spans="1:22" x14ac:dyDescent="0.25">
      <c r="A580" s="22"/>
      <c r="B580" s="22"/>
      <c r="C580" s="22"/>
      <c r="D580" s="117"/>
      <c r="E580" s="188"/>
      <c r="F580" s="60"/>
      <c r="G580" s="60"/>
      <c r="H580" s="60"/>
      <c r="I580" s="60"/>
      <c r="J580" s="83"/>
      <c r="K580" s="60"/>
      <c r="L580" s="60"/>
      <c r="M580" s="60"/>
      <c r="N580" s="60"/>
      <c r="O580" s="60"/>
      <c r="P580" s="60"/>
      <c r="Q580" s="60"/>
      <c r="R580" s="59"/>
      <c r="S580" s="59"/>
      <c r="T580" s="59"/>
      <c r="U580" s="59"/>
      <c r="V580" s="59"/>
    </row>
    <row r="581" spans="1:22" x14ac:dyDescent="0.25">
      <c r="A581" s="22"/>
      <c r="B581" s="22"/>
      <c r="C581" s="22"/>
      <c r="D581" s="117"/>
      <c r="E581" s="188"/>
      <c r="F581" s="60"/>
      <c r="G581" s="60"/>
      <c r="H581" s="60"/>
      <c r="I581" s="60"/>
      <c r="J581" s="83"/>
      <c r="K581" s="60"/>
      <c r="L581" s="60"/>
      <c r="M581" s="60"/>
      <c r="N581" s="60"/>
      <c r="O581" s="60"/>
      <c r="P581" s="60"/>
      <c r="Q581" s="60"/>
      <c r="R581" s="59"/>
      <c r="S581" s="59"/>
      <c r="T581" s="59"/>
      <c r="U581" s="59"/>
      <c r="V581" s="59"/>
    </row>
    <row r="582" spans="1:22" x14ac:dyDescent="0.25">
      <c r="A582" s="22"/>
      <c r="B582" s="22"/>
      <c r="C582" s="22"/>
      <c r="D582" s="117"/>
      <c r="E582" s="188"/>
      <c r="F582" s="60"/>
      <c r="G582" s="60"/>
      <c r="H582" s="60"/>
      <c r="I582" s="60"/>
      <c r="J582" s="83"/>
      <c r="K582" s="60"/>
      <c r="L582" s="60"/>
      <c r="M582" s="60"/>
      <c r="N582" s="60"/>
      <c r="O582" s="60"/>
      <c r="P582" s="60"/>
      <c r="Q582" s="60"/>
      <c r="R582" s="59"/>
      <c r="S582" s="59"/>
      <c r="T582" s="59"/>
      <c r="U582" s="59"/>
      <c r="V582" s="59"/>
    </row>
    <row r="583" spans="1:22" x14ac:dyDescent="0.25">
      <c r="A583" s="22"/>
      <c r="B583" s="22"/>
      <c r="C583" s="22"/>
      <c r="D583" s="117"/>
      <c r="E583" s="188"/>
      <c r="F583" s="60"/>
      <c r="G583" s="60"/>
      <c r="H583" s="60"/>
      <c r="I583" s="60"/>
      <c r="J583" s="83"/>
      <c r="K583" s="60"/>
      <c r="L583" s="60"/>
      <c r="M583" s="60"/>
      <c r="N583" s="60"/>
      <c r="O583" s="60"/>
      <c r="P583" s="60"/>
      <c r="Q583" s="60"/>
      <c r="R583" s="59"/>
      <c r="S583" s="59"/>
      <c r="T583" s="59"/>
      <c r="U583" s="59"/>
      <c r="V583" s="59"/>
    </row>
    <row r="584" spans="1:22" x14ac:dyDescent="0.25">
      <c r="A584" s="22"/>
      <c r="B584" s="22"/>
      <c r="C584" s="22"/>
      <c r="D584" s="117"/>
      <c r="E584" s="188"/>
      <c r="F584" s="60"/>
      <c r="G584" s="60"/>
      <c r="H584" s="60"/>
      <c r="I584" s="60"/>
      <c r="J584" s="83"/>
      <c r="K584" s="60"/>
      <c r="L584" s="60"/>
      <c r="M584" s="60"/>
      <c r="N584" s="60"/>
      <c r="O584" s="60"/>
      <c r="P584" s="60"/>
      <c r="Q584" s="60"/>
      <c r="R584" s="59"/>
      <c r="S584" s="59"/>
      <c r="T584" s="59"/>
      <c r="U584" s="59"/>
      <c r="V584" s="59"/>
    </row>
    <row r="585" spans="1:22" x14ac:dyDescent="0.25">
      <c r="A585" s="22"/>
      <c r="B585" s="22"/>
      <c r="C585" s="22"/>
      <c r="D585" s="117"/>
      <c r="E585" s="188"/>
      <c r="F585" s="60"/>
      <c r="G585" s="60"/>
      <c r="H585" s="60"/>
      <c r="I585" s="60"/>
      <c r="J585" s="83"/>
      <c r="K585" s="60"/>
      <c r="L585" s="60"/>
      <c r="M585" s="60"/>
      <c r="N585" s="60"/>
      <c r="O585" s="60"/>
      <c r="P585" s="60"/>
      <c r="Q585" s="60"/>
      <c r="R585" s="59"/>
      <c r="S585" s="59"/>
      <c r="T585" s="59"/>
      <c r="U585" s="59"/>
      <c r="V585" s="59"/>
    </row>
    <row r="586" spans="1:22" x14ac:dyDescent="0.25">
      <c r="A586" s="22"/>
      <c r="B586" s="22"/>
      <c r="C586" s="22"/>
      <c r="D586" s="117"/>
      <c r="E586" s="188"/>
      <c r="F586" s="60"/>
      <c r="G586" s="60"/>
      <c r="H586" s="60"/>
      <c r="I586" s="60"/>
      <c r="J586" s="83"/>
      <c r="K586" s="60"/>
      <c r="L586" s="60"/>
      <c r="M586" s="60"/>
      <c r="N586" s="60"/>
      <c r="O586" s="60"/>
      <c r="P586" s="60"/>
      <c r="Q586" s="60"/>
      <c r="R586" s="59"/>
      <c r="S586" s="59"/>
      <c r="T586" s="59"/>
      <c r="U586" s="59"/>
      <c r="V586" s="59"/>
    </row>
    <row r="587" spans="1:22" x14ac:dyDescent="0.25">
      <c r="A587" s="22"/>
      <c r="B587" s="22"/>
      <c r="C587" s="22"/>
      <c r="D587" s="117"/>
      <c r="E587" s="188"/>
      <c r="F587" s="55"/>
      <c r="G587" s="55"/>
      <c r="H587" s="55"/>
      <c r="I587" s="21"/>
      <c r="J587" s="84"/>
      <c r="K587" s="21"/>
      <c r="L587" s="21"/>
      <c r="M587" s="21"/>
      <c r="N587" s="21"/>
      <c r="O587" s="21"/>
      <c r="P587" s="21"/>
      <c r="Q587" s="21"/>
    </row>
    <row r="588" spans="1:22" x14ac:dyDescent="0.25">
      <c r="A588" s="22"/>
      <c r="B588" s="22"/>
      <c r="C588" s="22"/>
      <c r="D588" s="117"/>
      <c r="E588" s="188"/>
      <c r="F588" s="55"/>
      <c r="G588" s="55"/>
      <c r="H588" s="55"/>
      <c r="I588" s="21"/>
      <c r="J588" s="84"/>
      <c r="K588" s="21"/>
      <c r="L588" s="21"/>
      <c r="M588" s="21"/>
      <c r="N588" s="21"/>
      <c r="O588" s="21"/>
      <c r="P588" s="21"/>
      <c r="Q588" s="21"/>
    </row>
    <row r="589" spans="1:22" x14ac:dyDescent="0.25">
      <c r="A589" s="22"/>
      <c r="B589" s="22"/>
      <c r="C589" s="22"/>
      <c r="D589" s="117"/>
      <c r="E589" s="188"/>
      <c r="F589" s="55"/>
      <c r="G589" s="55"/>
      <c r="H589" s="55"/>
      <c r="I589" s="21"/>
      <c r="J589" s="84"/>
      <c r="K589" s="21"/>
      <c r="L589" s="21"/>
      <c r="M589" s="21"/>
      <c r="N589" s="21"/>
      <c r="O589" s="21"/>
      <c r="P589" s="21"/>
      <c r="Q589" s="21"/>
    </row>
    <row r="590" spans="1:22" x14ac:dyDescent="0.25">
      <c r="A590" s="22"/>
      <c r="B590" s="22"/>
      <c r="C590" s="22"/>
      <c r="D590" s="117"/>
      <c r="E590" s="188"/>
      <c r="F590" s="55"/>
      <c r="G590" s="55"/>
      <c r="H590" s="55"/>
      <c r="I590" s="21"/>
      <c r="J590" s="84"/>
      <c r="K590" s="21"/>
      <c r="L590" s="21"/>
      <c r="M590" s="21"/>
      <c r="N590" s="21"/>
      <c r="O590" s="21"/>
      <c r="P590" s="21"/>
      <c r="Q590" s="21"/>
    </row>
    <row r="591" spans="1:22" x14ac:dyDescent="0.25">
      <c r="A591" s="22"/>
      <c r="B591" s="22"/>
      <c r="C591" s="22"/>
      <c r="D591" s="117"/>
      <c r="E591" s="188"/>
      <c r="F591" s="55"/>
      <c r="G591" s="55"/>
      <c r="H591" s="55"/>
      <c r="I591" s="21"/>
      <c r="J591" s="84"/>
      <c r="K591" s="21"/>
      <c r="L591" s="21"/>
      <c r="M591" s="21"/>
      <c r="N591" s="21"/>
      <c r="O591" s="21"/>
      <c r="P591" s="21"/>
      <c r="Q591" s="21"/>
    </row>
    <row r="592" spans="1:22" x14ac:dyDescent="0.25">
      <c r="A592" s="22"/>
      <c r="B592" s="22"/>
      <c r="C592" s="22"/>
      <c r="D592" s="117"/>
      <c r="E592" s="188"/>
      <c r="F592" s="55"/>
      <c r="G592" s="55"/>
      <c r="H592" s="55"/>
      <c r="I592" s="21"/>
      <c r="J592" s="84"/>
      <c r="K592" s="21"/>
      <c r="L592" s="21"/>
      <c r="M592" s="21"/>
      <c r="N592" s="21"/>
      <c r="O592" s="21"/>
      <c r="P592" s="21"/>
      <c r="Q592" s="21"/>
    </row>
    <row r="593" spans="1:17" x14ac:dyDescent="0.25">
      <c r="A593" s="22"/>
      <c r="B593" s="22"/>
      <c r="C593" s="22"/>
      <c r="D593" s="117"/>
      <c r="E593" s="188"/>
      <c r="F593" s="55"/>
      <c r="G593" s="55"/>
      <c r="H593" s="55"/>
      <c r="I593" s="21"/>
      <c r="J593" s="84"/>
      <c r="K593" s="21"/>
      <c r="L593" s="21"/>
      <c r="M593" s="21"/>
      <c r="N593" s="21"/>
      <c r="O593" s="21"/>
      <c r="P593" s="21"/>
      <c r="Q593" s="21"/>
    </row>
    <row r="594" spans="1:17" x14ac:dyDescent="0.25">
      <c r="A594" s="22"/>
      <c r="B594" s="22"/>
      <c r="C594" s="22"/>
      <c r="D594" s="117"/>
      <c r="E594" s="188"/>
      <c r="F594" s="55"/>
      <c r="G594" s="55"/>
      <c r="H594" s="55"/>
      <c r="I594" s="21"/>
      <c r="J594" s="84"/>
      <c r="K594" s="21"/>
      <c r="L594" s="21"/>
      <c r="M594" s="21"/>
      <c r="N594" s="21"/>
      <c r="O594" s="21"/>
      <c r="P594" s="21"/>
      <c r="Q594" s="21"/>
    </row>
    <row r="595" spans="1:17" x14ac:dyDescent="0.25">
      <c r="A595" s="22"/>
      <c r="B595" s="22"/>
      <c r="C595" s="22"/>
      <c r="D595" s="117"/>
      <c r="E595" s="188"/>
      <c r="F595" s="55"/>
      <c r="G595" s="55"/>
      <c r="H595" s="55"/>
      <c r="I595" s="21"/>
      <c r="J595" s="84"/>
      <c r="K595" s="21"/>
      <c r="L595" s="21"/>
      <c r="M595" s="21"/>
      <c r="N595" s="21"/>
      <c r="O595" s="21"/>
      <c r="P595" s="21"/>
      <c r="Q595" s="21"/>
    </row>
    <row r="596" spans="1:17" x14ac:dyDescent="0.25">
      <c r="A596" s="22"/>
      <c r="B596" s="22"/>
      <c r="C596" s="22"/>
      <c r="D596" s="117"/>
      <c r="E596" s="188"/>
      <c r="F596" s="55"/>
      <c r="G596" s="55"/>
      <c r="H596" s="55"/>
      <c r="I596" s="21"/>
      <c r="J596" s="84"/>
      <c r="K596" s="21"/>
      <c r="L596" s="21"/>
      <c r="M596" s="21"/>
      <c r="N596" s="21"/>
      <c r="O596" s="21"/>
      <c r="P596" s="21"/>
      <c r="Q596" s="21"/>
    </row>
    <row r="597" spans="1:17" x14ac:dyDescent="0.25">
      <c r="A597" s="22"/>
      <c r="B597" s="22"/>
      <c r="C597" s="22"/>
      <c r="D597" s="117"/>
      <c r="E597" s="188"/>
      <c r="F597" s="55"/>
      <c r="G597" s="55"/>
      <c r="H597" s="55"/>
      <c r="I597" s="21"/>
      <c r="J597" s="84"/>
      <c r="K597" s="21"/>
      <c r="L597" s="21"/>
      <c r="M597" s="21"/>
      <c r="N597" s="21"/>
      <c r="O597" s="21"/>
      <c r="P597" s="21"/>
      <c r="Q597" s="21"/>
    </row>
    <row r="598" spans="1:17" x14ac:dyDescent="0.25">
      <c r="A598" s="22"/>
      <c r="B598" s="22"/>
      <c r="C598" s="22"/>
      <c r="D598" s="117"/>
      <c r="E598" s="188"/>
      <c r="F598" s="55"/>
      <c r="G598" s="55"/>
      <c r="H598" s="55"/>
      <c r="I598" s="21"/>
      <c r="J598" s="84"/>
      <c r="K598" s="21"/>
      <c r="L598" s="21"/>
      <c r="M598" s="21"/>
      <c r="N598" s="21"/>
      <c r="O598" s="21"/>
      <c r="P598" s="21"/>
      <c r="Q598" s="21"/>
    </row>
    <row r="599" spans="1:17" x14ac:dyDescent="0.25">
      <c r="A599" s="22"/>
      <c r="B599" s="22"/>
      <c r="C599" s="22"/>
      <c r="D599" s="117"/>
      <c r="E599" s="188"/>
      <c r="F599" s="55"/>
      <c r="G599" s="55"/>
      <c r="H599" s="55"/>
      <c r="I599" s="21"/>
      <c r="J599" s="84"/>
      <c r="K599" s="21"/>
      <c r="L599" s="21"/>
      <c r="M599" s="21"/>
      <c r="N599" s="21"/>
      <c r="O599" s="21"/>
      <c r="P599" s="21"/>
      <c r="Q599" s="21"/>
    </row>
    <row r="600" spans="1:17" x14ac:dyDescent="0.25">
      <c r="A600" s="22"/>
      <c r="B600" s="22"/>
      <c r="C600" s="22"/>
      <c r="D600" s="117"/>
      <c r="E600" s="188"/>
      <c r="F600" s="55"/>
      <c r="G600" s="55"/>
      <c r="H600" s="55"/>
      <c r="I600" s="21"/>
      <c r="J600" s="84"/>
      <c r="K600" s="21"/>
      <c r="L600" s="21"/>
      <c r="M600" s="21"/>
      <c r="N600" s="21"/>
      <c r="O600" s="21"/>
      <c r="P600" s="21"/>
      <c r="Q600" s="21"/>
    </row>
    <row r="601" spans="1:17" x14ac:dyDescent="0.25">
      <c r="A601" s="22"/>
      <c r="B601" s="22"/>
      <c r="C601" s="22"/>
      <c r="D601" s="22"/>
      <c r="E601" s="188"/>
      <c r="F601" s="55"/>
      <c r="G601" s="55"/>
      <c r="H601" s="55"/>
      <c r="I601" s="21"/>
      <c r="J601" s="84"/>
      <c r="K601" s="21"/>
      <c r="L601" s="21"/>
      <c r="M601" s="21"/>
      <c r="N601" s="21"/>
      <c r="O601" s="21"/>
      <c r="P601" s="21"/>
      <c r="Q601" s="21"/>
    </row>
    <row r="602" spans="1:17" x14ac:dyDescent="0.25">
      <c r="A602" s="22"/>
      <c r="B602" s="22"/>
      <c r="C602" s="22"/>
      <c r="D602" s="22"/>
      <c r="E602" s="188"/>
      <c r="F602" s="55"/>
      <c r="G602" s="55"/>
      <c r="H602" s="55"/>
      <c r="I602" s="21"/>
      <c r="J602" s="84"/>
      <c r="K602" s="21"/>
      <c r="L602" s="21"/>
      <c r="M602" s="21"/>
      <c r="N602" s="21"/>
      <c r="O602" s="21"/>
      <c r="P602" s="21"/>
      <c r="Q602" s="21"/>
    </row>
    <row r="603" spans="1:17" x14ac:dyDescent="0.25">
      <c r="A603" s="22"/>
      <c r="B603" s="22"/>
      <c r="C603" s="22"/>
      <c r="D603" s="22"/>
      <c r="E603" s="188"/>
      <c r="F603" s="55"/>
      <c r="G603" s="55"/>
      <c r="H603" s="55"/>
      <c r="I603" s="21"/>
      <c r="J603" s="84"/>
      <c r="K603" s="21"/>
      <c r="L603" s="21"/>
      <c r="M603" s="21"/>
      <c r="N603" s="21"/>
      <c r="O603" s="21"/>
      <c r="P603" s="21"/>
      <c r="Q603" s="21"/>
    </row>
    <row r="604" spans="1:17" x14ac:dyDescent="0.25">
      <c r="A604" s="22"/>
      <c r="B604" s="22"/>
      <c r="C604" s="22"/>
      <c r="D604" s="22"/>
      <c r="E604" s="188"/>
      <c r="F604" s="55"/>
      <c r="G604" s="55"/>
      <c r="H604" s="55"/>
      <c r="I604" s="21"/>
      <c r="J604" s="84"/>
      <c r="K604" s="21"/>
      <c r="L604" s="21"/>
      <c r="M604" s="21"/>
      <c r="N604" s="21"/>
      <c r="O604" s="21"/>
      <c r="P604" s="21"/>
      <c r="Q604" s="21"/>
    </row>
    <row r="605" spans="1:17" x14ac:dyDescent="0.25">
      <c r="A605" s="22"/>
      <c r="B605" s="22"/>
      <c r="C605" s="22"/>
      <c r="D605" s="22"/>
      <c r="E605" s="188"/>
      <c r="F605" s="55"/>
      <c r="G605" s="55"/>
      <c r="H605" s="55"/>
      <c r="I605" s="21"/>
      <c r="J605" s="84"/>
      <c r="K605" s="21"/>
      <c r="L605" s="21"/>
      <c r="M605" s="21"/>
      <c r="N605" s="21"/>
      <c r="O605" s="21"/>
      <c r="P605" s="21"/>
      <c r="Q605" s="21"/>
    </row>
    <row r="606" spans="1:17" x14ac:dyDescent="0.25">
      <c r="A606" s="22"/>
      <c r="B606" s="22"/>
      <c r="C606" s="22"/>
      <c r="D606" s="22"/>
      <c r="E606" s="188"/>
      <c r="F606" s="55"/>
      <c r="G606" s="55"/>
      <c r="H606" s="55"/>
      <c r="I606" s="21"/>
      <c r="J606" s="84"/>
      <c r="K606" s="21"/>
      <c r="L606" s="21"/>
      <c r="M606" s="21"/>
      <c r="N606" s="21"/>
      <c r="O606" s="21"/>
      <c r="P606" s="21"/>
      <c r="Q606" s="21"/>
    </row>
    <row r="607" spans="1:17" x14ac:dyDescent="0.25">
      <c r="A607" s="22"/>
      <c r="B607" s="22"/>
      <c r="C607" s="22"/>
      <c r="D607" s="22"/>
      <c r="E607" s="188"/>
      <c r="F607" s="55"/>
      <c r="G607" s="55"/>
      <c r="H607" s="55"/>
      <c r="I607" s="21"/>
      <c r="J607" s="84"/>
      <c r="K607" s="21"/>
      <c r="L607" s="21"/>
      <c r="M607" s="21"/>
      <c r="N607" s="21"/>
      <c r="O607" s="21"/>
      <c r="P607" s="21"/>
      <c r="Q607" s="21"/>
    </row>
    <row r="608" spans="1:17" x14ac:dyDescent="0.25">
      <c r="A608" s="22"/>
      <c r="B608" s="22"/>
      <c r="C608" s="22"/>
      <c r="D608" s="22"/>
      <c r="E608" s="188"/>
      <c r="F608" s="55"/>
      <c r="G608" s="55"/>
      <c r="H608" s="55"/>
      <c r="I608" s="21"/>
      <c r="J608" s="84"/>
      <c r="K608" s="21"/>
      <c r="L608" s="21"/>
      <c r="M608" s="21"/>
      <c r="N608" s="21"/>
      <c r="O608" s="21"/>
      <c r="P608" s="21"/>
      <c r="Q608" s="21"/>
    </row>
    <row r="609" spans="1:17" x14ac:dyDescent="0.25">
      <c r="A609" s="22"/>
      <c r="B609" s="22"/>
      <c r="C609" s="22"/>
      <c r="D609" s="22"/>
      <c r="E609" s="188"/>
      <c r="F609" s="55"/>
      <c r="G609" s="55"/>
      <c r="H609" s="55"/>
      <c r="I609" s="21"/>
      <c r="J609" s="84"/>
      <c r="K609" s="21"/>
      <c r="L609" s="21"/>
      <c r="M609" s="21"/>
      <c r="N609" s="21"/>
      <c r="O609" s="21"/>
      <c r="P609" s="21"/>
      <c r="Q609" s="21"/>
    </row>
    <row r="610" spans="1:17" x14ac:dyDescent="0.25">
      <c r="A610" s="22"/>
      <c r="B610" s="22"/>
      <c r="C610" s="22"/>
      <c r="D610" s="22"/>
      <c r="E610" s="188"/>
      <c r="F610" s="55"/>
      <c r="G610" s="55"/>
      <c r="H610" s="55"/>
      <c r="I610" s="21"/>
      <c r="J610" s="84"/>
      <c r="K610" s="21"/>
      <c r="L610" s="21"/>
      <c r="M610" s="21"/>
      <c r="N610" s="21"/>
      <c r="O610" s="21"/>
      <c r="P610" s="21"/>
      <c r="Q610" s="21"/>
    </row>
    <row r="611" spans="1:17" x14ac:dyDescent="0.25">
      <c r="A611" s="22"/>
      <c r="B611" s="22"/>
      <c r="C611" s="22"/>
      <c r="D611" s="22"/>
      <c r="E611" s="188"/>
      <c r="F611" s="55"/>
      <c r="G611" s="55"/>
      <c r="H611" s="55"/>
      <c r="I611" s="21"/>
      <c r="J611" s="84"/>
      <c r="K611" s="21"/>
      <c r="L611" s="21"/>
      <c r="M611" s="21"/>
      <c r="N611" s="21"/>
      <c r="O611" s="21"/>
      <c r="P611" s="21"/>
      <c r="Q611" s="21"/>
    </row>
    <row r="612" spans="1:17" x14ac:dyDescent="0.25">
      <c r="A612" s="22"/>
      <c r="B612" s="22"/>
      <c r="C612" s="22"/>
      <c r="D612" s="22"/>
      <c r="E612" s="188"/>
      <c r="F612" s="55"/>
      <c r="G612" s="55"/>
      <c r="H612" s="55"/>
      <c r="I612" s="21"/>
      <c r="J612" s="84"/>
      <c r="K612" s="21"/>
      <c r="L612" s="21"/>
      <c r="M612" s="21"/>
      <c r="N612" s="21"/>
      <c r="O612" s="21"/>
      <c r="P612" s="21"/>
      <c r="Q612" s="21"/>
    </row>
    <row r="613" spans="1:17" x14ac:dyDescent="0.25">
      <c r="A613" s="22"/>
      <c r="B613" s="22"/>
      <c r="C613" s="22"/>
      <c r="D613" s="22"/>
      <c r="E613" s="188"/>
      <c r="F613" s="55"/>
      <c r="G613" s="55"/>
      <c r="H613" s="55"/>
      <c r="I613" s="21"/>
      <c r="J613" s="84"/>
      <c r="K613" s="21"/>
      <c r="L613" s="21"/>
      <c r="M613" s="21"/>
      <c r="N613" s="21"/>
      <c r="O613" s="21"/>
      <c r="P613" s="21"/>
      <c r="Q613" s="21"/>
    </row>
    <row r="614" spans="1:17" x14ac:dyDescent="0.25">
      <c r="A614" s="22"/>
      <c r="B614" s="22"/>
      <c r="C614" s="22"/>
      <c r="D614" s="22"/>
      <c r="E614" s="188"/>
      <c r="F614" s="55"/>
      <c r="G614" s="55"/>
      <c r="H614" s="55"/>
      <c r="I614" s="21"/>
      <c r="J614" s="84"/>
      <c r="K614" s="21"/>
      <c r="L614" s="21"/>
      <c r="M614" s="21"/>
      <c r="N614" s="21"/>
      <c r="O614" s="21"/>
      <c r="P614" s="21"/>
      <c r="Q614" s="21"/>
    </row>
    <row r="615" spans="1:17" x14ac:dyDescent="0.25">
      <c r="A615" s="22"/>
      <c r="B615" s="22"/>
      <c r="C615" s="22"/>
      <c r="D615" s="22"/>
      <c r="E615" s="188"/>
      <c r="F615" s="55"/>
      <c r="G615" s="55"/>
      <c r="H615" s="55"/>
      <c r="I615" s="21"/>
      <c r="J615" s="84"/>
      <c r="K615" s="21"/>
      <c r="L615" s="21"/>
      <c r="M615" s="21"/>
      <c r="N615" s="21"/>
      <c r="O615" s="21"/>
      <c r="P615" s="21"/>
      <c r="Q615" s="21"/>
    </row>
    <row r="616" spans="1:17" x14ac:dyDescent="0.25">
      <c r="A616" s="22"/>
      <c r="B616" s="22"/>
      <c r="C616" s="22"/>
      <c r="D616" s="22"/>
      <c r="E616" s="188"/>
      <c r="F616" s="55"/>
      <c r="G616" s="55"/>
      <c r="H616" s="55"/>
      <c r="I616" s="21"/>
      <c r="J616" s="84"/>
      <c r="K616" s="21"/>
      <c r="L616" s="21"/>
      <c r="M616" s="21"/>
      <c r="N616" s="21"/>
      <c r="O616" s="21"/>
      <c r="P616" s="21"/>
      <c r="Q616" s="21"/>
    </row>
    <row r="617" spans="1:17" x14ac:dyDescent="0.25">
      <c r="A617" s="22"/>
      <c r="B617" s="22"/>
      <c r="C617" s="22"/>
      <c r="D617" s="22"/>
      <c r="E617" s="188"/>
      <c r="F617" s="55"/>
      <c r="G617" s="55"/>
      <c r="H617" s="55"/>
      <c r="I617" s="21"/>
      <c r="J617" s="84"/>
      <c r="K617" s="21"/>
      <c r="L617" s="21"/>
      <c r="M617" s="21"/>
      <c r="N617" s="21"/>
      <c r="O617" s="21"/>
      <c r="P617" s="21"/>
      <c r="Q617" s="21"/>
    </row>
    <row r="618" spans="1:17" x14ac:dyDescent="0.25">
      <c r="A618" s="22"/>
      <c r="B618" s="22"/>
      <c r="C618" s="22"/>
      <c r="D618" s="22"/>
      <c r="E618" s="188"/>
      <c r="F618" s="55"/>
      <c r="G618" s="55"/>
      <c r="H618" s="55"/>
      <c r="I618" s="21"/>
      <c r="J618" s="84"/>
      <c r="K618" s="21"/>
      <c r="L618" s="21"/>
      <c r="M618" s="21"/>
      <c r="N618" s="21"/>
      <c r="O618" s="21"/>
      <c r="P618" s="21"/>
      <c r="Q618" s="21"/>
    </row>
    <row r="619" spans="1:17" x14ac:dyDescent="0.25">
      <c r="A619" s="22"/>
      <c r="B619" s="22"/>
      <c r="C619" s="22"/>
      <c r="D619" s="22"/>
      <c r="E619" s="188"/>
      <c r="F619" s="55"/>
      <c r="G619" s="55"/>
      <c r="H619" s="55"/>
      <c r="I619" s="21"/>
      <c r="J619" s="84"/>
      <c r="K619" s="21"/>
      <c r="L619" s="21"/>
      <c r="M619" s="21"/>
      <c r="N619" s="21"/>
      <c r="O619" s="21"/>
      <c r="P619" s="21"/>
      <c r="Q619" s="21"/>
    </row>
    <row r="620" spans="1:17" x14ac:dyDescent="0.25">
      <c r="A620" s="22"/>
      <c r="B620" s="22"/>
      <c r="C620" s="22"/>
      <c r="D620" s="22"/>
      <c r="E620" s="188"/>
      <c r="F620" s="55"/>
      <c r="G620" s="55"/>
      <c r="H620" s="55"/>
      <c r="I620" s="21"/>
      <c r="J620" s="84"/>
      <c r="K620" s="21"/>
      <c r="L620" s="21"/>
      <c r="M620" s="21"/>
      <c r="N620" s="21"/>
      <c r="O620" s="21"/>
      <c r="P620" s="21"/>
      <c r="Q620" s="21"/>
    </row>
    <row r="621" spans="1:17" x14ac:dyDescent="0.25">
      <c r="A621" s="22"/>
      <c r="B621" s="22"/>
      <c r="C621" s="22"/>
      <c r="D621" s="22"/>
      <c r="E621" s="188"/>
      <c r="F621" s="55"/>
      <c r="G621" s="55"/>
      <c r="H621" s="55"/>
      <c r="I621" s="21"/>
      <c r="J621" s="84"/>
      <c r="K621" s="21"/>
      <c r="L621" s="21"/>
      <c r="M621" s="21"/>
      <c r="N621" s="21"/>
      <c r="O621" s="21"/>
      <c r="P621" s="21"/>
      <c r="Q621" s="21"/>
    </row>
    <row r="622" spans="1:17" x14ac:dyDescent="0.25">
      <c r="A622" s="22"/>
      <c r="B622" s="22"/>
      <c r="C622" s="22"/>
      <c r="D622" s="22"/>
      <c r="E622" s="188"/>
      <c r="F622" s="55"/>
      <c r="G622" s="55"/>
      <c r="H622" s="55"/>
      <c r="I622" s="21"/>
      <c r="J622" s="84"/>
      <c r="K622" s="21"/>
      <c r="L622" s="21"/>
      <c r="M622" s="21"/>
      <c r="N622" s="21"/>
      <c r="O622" s="21"/>
      <c r="P622" s="21"/>
      <c r="Q622" s="21"/>
    </row>
    <row r="623" spans="1:17" x14ac:dyDescent="0.25">
      <c r="A623" s="22"/>
      <c r="B623" s="22"/>
      <c r="C623" s="22"/>
      <c r="D623" s="22"/>
      <c r="E623" s="188"/>
      <c r="F623" s="55"/>
      <c r="G623" s="55"/>
      <c r="H623" s="55"/>
      <c r="I623" s="21"/>
      <c r="J623" s="84"/>
      <c r="K623" s="21"/>
      <c r="L623" s="21"/>
      <c r="M623" s="21"/>
      <c r="N623" s="21"/>
      <c r="O623" s="21"/>
      <c r="P623" s="21"/>
      <c r="Q623" s="21"/>
    </row>
    <row r="624" spans="1:17" x14ac:dyDescent="0.25">
      <c r="A624" s="22"/>
      <c r="B624" s="22"/>
      <c r="C624" s="22"/>
      <c r="D624" s="22"/>
      <c r="E624" s="188"/>
      <c r="F624" s="55"/>
      <c r="G624" s="55"/>
      <c r="H624" s="55"/>
      <c r="I624" s="21"/>
      <c r="J624" s="84"/>
      <c r="K624" s="21"/>
      <c r="L624" s="21"/>
      <c r="M624" s="21"/>
      <c r="N624" s="21"/>
      <c r="O624" s="21"/>
      <c r="P624" s="21"/>
      <c r="Q624" s="21"/>
    </row>
    <row r="625" spans="1:17" x14ac:dyDescent="0.25">
      <c r="A625" s="22"/>
      <c r="B625" s="22"/>
      <c r="C625" s="22"/>
      <c r="D625" s="22"/>
      <c r="E625" s="188"/>
      <c r="F625" s="55"/>
      <c r="G625" s="55"/>
      <c r="H625" s="55"/>
      <c r="I625" s="21"/>
      <c r="J625" s="84"/>
      <c r="K625" s="21"/>
      <c r="L625" s="21"/>
      <c r="M625" s="21"/>
      <c r="N625" s="21"/>
      <c r="O625" s="21"/>
      <c r="P625" s="21"/>
      <c r="Q625" s="21"/>
    </row>
    <row r="626" spans="1:17" x14ac:dyDescent="0.25">
      <c r="A626" s="22"/>
      <c r="B626" s="22"/>
      <c r="C626" s="22"/>
      <c r="D626" s="22"/>
      <c r="E626" s="188"/>
      <c r="F626" s="21"/>
      <c r="G626" s="21"/>
      <c r="H626" s="21"/>
      <c r="I626" s="21"/>
      <c r="J626" s="84"/>
      <c r="K626" s="21"/>
      <c r="L626" s="21"/>
      <c r="M626" s="21"/>
      <c r="N626" s="21"/>
      <c r="O626" s="21"/>
      <c r="P626" s="21"/>
      <c r="Q626" s="21"/>
    </row>
    <row r="627" spans="1:17" x14ac:dyDescent="0.25">
      <c r="A627" s="22"/>
      <c r="B627" s="22"/>
      <c r="C627" s="22"/>
      <c r="D627" s="22"/>
      <c r="E627" s="188"/>
      <c r="F627" s="21"/>
      <c r="G627" s="21"/>
      <c r="H627" s="21"/>
      <c r="I627" s="21"/>
      <c r="J627" s="84"/>
      <c r="K627" s="21"/>
      <c r="L627" s="21"/>
      <c r="M627" s="21"/>
      <c r="N627" s="21"/>
      <c r="O627" s="21"/>
      <c r="P627" s="21"/>
      <c r="Q627" s="21"/>
    </row>
    <row r="628" spans="1:17" x14ac:dyDescent="0.25">
      <c r="A628" s="22"/>
      <c r="B628" s="22"/>
      <c r="C628" s="22"/>
      <c r="D628" s="22"/>
      <c r="E628" s="188"/>
      <c r="F628" s="21"/>
      <c r="G628" s="21"/>
      <c r="H628" s="21"/>
      <c r="I628" s="21"/>
      <c r="J628" s="84"/>
      <c r="K628" s="21"/>
      <c r="L628" s="21"/>
      <c r="M628" s="21"/>
      <c r="N628" s="21"/>
      <c r="O628" s="21"/>
      <c r="P628" s="21"/>
      <c r="Q628" s="21"/>
    </row>
    <row r="629" spans="1:17" x14ac:dyDescent="0.25">
      <c r="A629" s="22"/>
      <c r="B629" s="22"/>
      <c r="C629" s="22"/>
      <c r="D629" s="22"/>
      <c r="E629" s="188"/>
      <c r="F629" s="21"/>
      <c r="G629" s="21"/>
      <c r="H629" s="21"/>
      <c r="I629" s="21"/>
      <c r="J629" s="84"/>
      <c r="K629" s="21"/>
      <c r="L629" s="21"/>
      <c r="M629" s="21"/>
      <c r="N629" s="21"/>
      <c r="O629" s="21"/>
      <c r="P629" s="21"/>
      <c r="Q629" s="21"/>
    </row>
    <row r="630" spans="1:17" x14ac:dyDescent="0.25">
      <c r="A630" s="22"/>
      <c r="B630" s="22"/>
      <c r="C630" s="22"/>
      <c r="D630" s="22"/>
      <c r="E630" s="188"/>
      <c r="F630" s="21"/>
      <c r="G630" s="21"/>
      <c r="H630" s="21"/>
      <c r="I630" s="21"/>
      <c r="J630" s="84"/>
      <c r="K630" s="21"/>
      <c r="L630" s="21"/>
      <c r="M630" s="21"/>
      <c r="N630" s="21"/>
      <c r="O630" s="21"/>
      <c r="P630" s="21"/>
      <c r="Q630" s="21"/>
    </row>
    <row r="631" spans="1:17" x14ac:dyDescent="0.25">
      <c r="A631" s="22"/>
      <c r="B631" s="22"/>
      <c r="C631" s="22"/>
      <c r="D631" s="22"/>
      <c r="E631" s="188"/>
      <c r="F631" s="21"/>
      <c r="G631" s="21"/>
      <c r="H631" s="21"/>
      <c r="I631" s="21"/>
      <c r="J631" s="84"/>
      <c r="K631" s="21"/>
      <c r="L631" s="21"/>
      <c r="M631" s="21"/>
      <c r="N631" s="21"/>
      <c r="O631" s="21"/>
      <c r="P631" s="21"/>
      <c r="Q631" s="21"/>
    </row>
    <row r="632" spans="1:17" x14ac:dyDescent="0.25">
      <c r="A632" s="22"/>
      <c r="B632" s="22"/>
      <c r="C632" s="22"/>
      <c r="D632" s="22"/>
      <c r="E632" s="188"/>
      <c r="F632" s="21"/>
      <c r="G632" s="21"/>
      <c r="H632" s="21"/>
      <c r="I632" s="21"/>
      <c r="J632" s="84"/>
      <c r="K632" s="21"/>
      <c r="L632" s="21"/>
      <c r="M632" s="21"/>
      <c r="N632" s="21"/>
      <c r="O632" s="21"/>
      <c r="P632" s="21"/>
      <c r="Q632" s="21"/>
    </row>
    <row r="633" spans="1:17" x14ac:dyDescent="0.25">
      <c r="A633" s="22"/>
      <c r="B633" s="22"/>
      <c r="C633" s="22"/>
      <c r="D633" s="22"/>
      <c r="E633" s="188"/>
      <c r="F633" s="21"/>
      <c r="G633" s="21"/>
      <c r="H633" s="21"/>
      <c r="I633" s="21"/>
      <c r="J633" s="84"/>
      <c r="K633" s="21"/>
      <c r="L633" s="21"/>
      <c r="M633" s="21"/>
      <c r="N633" s="21"/>
      <c r="O633" s="21"/>
      <c r="P633" s="21"/>
      <c r="Q633" s="21"/>
    </row>
    <row r="634" spans="1:17" x14ac:dyDescent="0.25">
      <c r="A634" s="22"/>
      <c r="B634" s="22"/>
      <c r="C634" s="22"/>
      <c r="D634" s="22"/>
      <c r="E634" s="188"/>
      <c r="F634" s="21"/>
      <c r="G634" s="21"/>
      <c r="H634" s="21"/>
      <c r="I634" s="21"/>
      <c r="J634" s="84"/>
      <c r="K634" s="21"/>
      <c r="L634" s="21"/>
      <c r="M634" s="21"/>
      <c r="N634" s="21"/>
      <c r="O634" s="21"/>
      <c r="P634" s="21"/>
      <c r="Q634" s="21"/>
    </row>
    <row r="635" spans="1:17" x14ac:dyDescent="0.25">
      <c r="A635" s="22"/>
      <c r="B635" s="22"/>
      <c r="C635" s="22"/>
      <c r="D635" s="22"/>
      <c r="E635" s="188"/>
      <c r="F635" s="21"/>
      <c r="G635" s="21"/>
      <c r="H635" s="21"/>
      <c r="I635" s="21"/>
      <c r="J635" s="84"/>
      <c r="K635" s="21"/>
      <c r="L635" s="21"/>
      <c r="M635" s="21"/>
      <c r="N635" s="21"/>
      <c r="O635" s="21"/>
      <c r="P635" s="21"/>
      <c r="Q635" s="21"/>
    </row>
    <row r="636" spans="1:17" x14ac:dyDescent="0.25">
      <c r="A636" s="22"/>
      <c r="B636" s="22"/>
      <c r="C636" s="22"/>
      <c r="D636" s="22"/>
      <c r="E636" s="188"/>
      <c r="F636" s="21"/>
      <c r="G636" s="21"/>
      <c r="H636" s="21"/>
      <c r="I636" s="21"/>
      <c r="J636" s="84"/>
      <c r="K636" s="21"/>
      <c r="L636" s="21"/>
      <c r="M636" s="21"/>
      <c r="N636" s="21"/>
      <c r="O636" s="21"/>
      <c r="P636" s="21"/>
      <c r="Q636" s="21"/>
    </row>
    <row r="637" spans="1:17" x14ac:dyDescent="0.25">
      <c r="A637" s="22"/>
      <c r="B637" s="22"/>
      <c r="C637" s="22"/>
      <c r="D637" s="22"/>
      <c r="E637" s="188"/>
      <c r="F637" s="21"/>
      <c r="G637" s="21"/>
      <c r="H637" s="21"/>
      <c r="I637" s="21"/>
      <c r="J637" s="84"/>
      <c r="K637" s="21"/>
      <c r="L637" s="21"/>
      <c r="M637" s="21"/>
      <c r="N637" s="21"/>
      <c r="O637" s="21"/>
      <c r="P637" s="21"/>
      <c r="Q637" s="21"/>
    </row>
    <row r="638" spans="1:17" x14ac:dyDescent="0.25">
      <c r="A638" s="22"/>
      <c r="B638" s="22"/>
      <c r="C638" s="22"/>
      <c r="D638" s="22"/>
      <c r="E638" s="188"/>
      <c r="F638" s="21"/>
      <c r="G638" s="21"/>
      <c r="H638" s="21"/>
      <c r="I638" s="21"/>
      <c r="J638" s="84"/>
      <c r="K638" s="21"/>
      <c r="L638" s="21"/>
      <c r="M638" s="21"/>
      <c r="N638" s="21"/>
      <c r="O638" s="21"/>
      <c r="P638" s="21"/>
      <c r="Q638" s="21"/>
    </row>
    <row r="639" spans="1:17" x14ac:dyDescent="0.25">
      <c r="A639" s="22"/>
      <c r="B639" s="22"/>
      <c r="C639" s="22"/>
      <c r="D639" s="22"/>
      <c r="E639" s="188"/>
      <c r="F639" s="21"/>
      <c r="G639" s="21"/>
      <c r="H639" s="21"/>
      <c r="I639" s="21"/>
      <c r="J639" s="84"/>
      <c r="K639" s="21"/>
      <c r="L639" s="21"/>
      <c r="M639" s="21"/>
      <c r="N639" s="21"/>
      <c r="O639" s="21"/>
      <c r="P639" s="21"/>
      <c r="Q639" s="21"/>
    </row>
    <row r="640" spans="1:17" x14ac:dyDescent="0.25">
      <c r="A640" s="22"/>
      <c r="B640" s="22"/>
      <c r="C640" s="22"/>
      <c r="D640" s="22"/>
      <c r="E640" s="188"/>
      <c r="F640" s="21"/>
      <c r="G640" s="21"/>
      <c r="H640" s="21"/>
      <c r="I640" s="21"/>
      <c r="J640" s="84"/>
      <c r="K640" s="21"/>
      <c r="L640" s="21"/>
      <c r="M640" s="21"/>
      <c r="N640" s="21"/>
      <c r="O640" s="21"/>
      <c r="P640" s="21"/>
      <c r="Q640" s="21"/>
    </row>
    <row r="641" spans="1:17" x14ac:dyDescent="0.25">
      <c r="A641" s="22"/>
      <c r="B641" s="22"/>
      <c r="C641" s="22"/>
      <c r="D641" s="22"/>
      <c r="E641" s="188"/>
      <c r="F641" s="21"/>
      <c r="G641" s="21"/>
      <c r="H641" s="21"/>
      <c r="I641" s="21"/>
      <c r="J641" s="84"/>
      <c r="K641" s="21"/>
      <c r="L641" s="21"/>
      <c r="M641" s="21"/>
      <c r="N641" s="21"/>
      <c r="O641" s="21"/>
      <c r="P641" s="21"/>
      <c r="Q641" s="21"/>
    </row>
    <row r="642" spans="1:17" x14ac:dyDescent="0.25">
      <c r="A642" s="22"/>
      <c r="B642" s="22"/>
      <c r="C642" s="22"/>
      <c r="D642" s="22"/>
      <c r="E642" s="188"/>
      <c r="F642" s="21"/>
      <c r="G642" s="21"/>
      <c r="H642" s="21"/>
      <c r="I642" s="21"/>
      <c r="J642" s="84"/>
      <c r="K642" s="21"/>
      <c r="L642" s="21"/>
      <c r="M642" s="21"/>
      <c r="N642" s="21"/>
      <c r="O642" s="21"/>
      <c r="P642" s="21"/>
      <c r="Q642" s="21"/>
    </row>
    <row r="643" spans="1:17" x14ac:dyDescent="0.25">
      <c r="A643" s="22"/>
      <c r="B643" s="22"/>
      <c r="C643" s="22"/>
      <c r="D643" s="22"/>
      <c r="E643" s="188"/>
      <c r="F643" s="21"/>
      <c r="G643" s="21"/>
      <c r="H643" s="21"/>
      <c r="I643" s="21"/>
      <c r="J643" s="84"/>
      <c r="K643" s="21"/>
      <c r="L643" s="21"/>
      <c r="M643" s="21"/>
      <c r="N643" s="21"/>
      <c r="O643" s="21"/>
      <c r="P643" s="21"/>
      <c r="Q643" s="21"/>
    </row>
    <row r="644" spans="1:17" x14ac:dyDescent="0.25">
      <c r="A644" s="22"/>
      <c r="B644" s="22"/>
      <c r="C644" s="22"/>
      <c r="D644" s="22"/>
      <c r="E644" s="188"/>
      <c r="F644" s="21"/>
      <c r="G644" s="21"/>
      <c r="H644" s="21"/>
      <c r="I644" s="21"/>
      <c r="J644" s="84"/>
      <c r="K644" s="21"/>
      <c r="L644" s="21"/>
      <c r="M644" s="21"/>
      <c r="N644" s="21"/>
      <c r="O644" s="21"/>
      <c r="P644" s="21"/>
      <c r="Q644" s="21"/>
    </row>
    <row r="645" spans="1:17" x14ac:dyDescent="0.25">
      <c r="A645" s="22"/>
      <c r="B645" s="22"/>
      <c r="C645" s="22"/>
      <c r="D645" s="22"/>
      <c r="E645" s="188"/>
      <c r="F645" s="21"/>
      <c r="G645" s="21"/>
      <c r="H645" s="21"/>
      <c r="I645" s="21"/>
      <c r="J645" s="84"/>
      <c r="K645" s="21"/>
      <c r="L645" s="21"/>
      <c r="M645" s="21"/>
      <c r="N645" s="21"/>
      <c r="O645" s="21"/>
      <c r="P645" s="21"/>
      <c r="Q645" s="21"/>
    </row>
    <row r="646" spans="1:17" x14ac:dyDescent="0.25">
      <c r="A646" s="22"/>
      <c r="B646" s="22"/>
      <c r="C646" s="22"/>
      <c r="D646" s="22"/>
      <c r="E646" s="188"/>
      <c r="F646" s="21"/>
      <c r="G646" s="21"/>
      <c r="H646" s="21"/>
      <c r="I646" s="21"/>
      <c r="J646" s="84"/>
      <c r="K646" s="21"/>
      <c r="L646" s="21"/>
      <c r="M646" s="21"/>
      <c r="N646" s="21"/>
      <c r="O646" s="21"/>
      <c r="P646" s="21"/>
      <c r="Q646" s="21"/>
    </row>
    <row r="647" spans="1:17" x14ac:dyDescent="0.25">
      <c r="A647" s="22"/>
      <c r="B647" s="22"/>
      <c r="C647" s="22"/>
      <c r="D647" s="22"/>
      <c r="E647" s="188"/>
      <c r="F647" s="21"/>
      <c r="G647" s="21"/>
      <c r="H647" s="21"/>
      <c r="I647" s="21"/>
      <c r="J647" s="84"/>
      <c r="K647" s="21"/>
      <c r="L647" s="21"/>
      <c r="M647" s="21"/>
      <c r="N647" s="21"/>
      <c r="O647" s="21"/>
      <c r="P647" s="21"/>
      <c r="Q647" s="21"/>
    </row>
    <row r="648" spans="1:17" x14ac:dyDescent="0.25">
      <c r="A648" s="22"/>
      <c r="B648" s="22"/>
      <c r="C648" s="22"/>
      <c r="D648" s="22"/>
      <c r="E648" s="188"/>
      <c r="F648" s="21"/>
      <c r="G648" s="21"/>
      <c r="H648" s="21"/>
      <c r="I648" s="21"/>
      <c r="J648" s="85"/>
      <c r="K648" s="21"/>
      <c r="L648" s="21"/>
      <c r="M648" s="21"/>
      <c r="N648" s="21"/>
      <c r="O648" s="21"/>
      <c r="P648" s="21"/>
      <c r="Q648" s="21"/>
    </row>
    <row r="649" spans="1:17" x14ac:dyDescent="0.25">
      <c r="A649" s="22"/>
      <c r="B649" s="22"/>
      <c r="C649" s="22"/>
      <c r="D649" s="22"/>
      <c r="E649" s="188"/>
      <c r="F649" s="21"/>
      <c r="G649" s="21"/>
      <c r="H649" s="21"/>
      <c r="I649" s="21"/>
      <c r="J649" s="85"/>
      <c r="K649" s="21"/>
      <c r="L649" s="21"/>
      <c r="M649" s="21"/>
      <c r="N649" s="21"/>
      <c r="O649" s="21"/>
      <c r="P649" s="21"/>
      <c r="Q649" s="21"/>
    </row>
    <row r="650" spans="1:17" x14ac:dyDescent="0.25">
      <c r="A650" s="22"/>
      <c r="B650" s="22"/>
      <c r="C650" s="22"/>
      <c r="D650" s="22"/>
      <c r="E650" s="188"/>
      <c r="F650" s="21"/>
      <c r="G650" s="21"/>
      <c r="H650" s="21"/>
      <c r="I650" s="21"/>
      <c r="J650" s="85"/>
      <c r="K650" s="21"/>
      <c r="L650" s="21"/>
      <c r="M650" s="21"/>
      <c r="N650" s="21"/>
      <c r="O650" s="21"/>
      <c r="P650" s="21"/>
      <c r="Q650" s="21"/>
    </row>
    <row r="651" spans="1:17" x14ac:dyDescent="0.25">
      <c r="A651" s="22"/>
      <c r="B651" s="22"/>
      <c r="C651" s="22"/>
      <c r="D651" s="22"/>
      <c r="E651" s="188"/>
      <c r="F651" s="21"/>
      <c r="G651" s="21"/>
      <c r="H651" s="21"/>
      <c r="I651" s="21"/>
      <c r="J651" s="85"/>
      <c r="K651" s="21"/>
      <c r="L651" s="21"/>
      <c r="M651" s="21"/>
      <c r="N651" s="21"/>
      <c r="O651" s="21"/>
      <c r="P651" s="21"/>
      <c r="Q651" s="21"/>
    </row>
    <row r="652" spans="1:17" x14ac:dyDescent="0.25">
      <c r="A652" s="22"/>
      <c r="B652" s="22"/>
      <c r="C652" s="22"/>
      <c r="D652" s="22"/>
      <c r="E652" s="188"/>
      <c r="F652" s="21"/>
      <c r="G652" s="21"/>
      <c r="H652" s="21"/>
      <c r="I652" s="21"/>
      <c r="J652" s="85"/>
      <c r="K652" s="21"/>
      <c r="L652" s="21"/>
      <c r="M652" s="21"/>
      <c r="N652" s="21"/>
      <c r="O652" s="21"/>
      <c r="P652" s="21"/>
      <c r="Q652" s="21"/>
    </row>
    <row r="653" spans="1:17" x14ac:dyDescent="0.25">
      <c r="A653" s="22"/>
      <c r="B653" s="22"/>
      <c r="C653" s="22"/>
      <c r="D653" s="22"/>
      <c r="E653" s="188"/>
      <c r="F653" s="21"/>
      <c r="G653" s="21"/>
      <c r="H653" s="21"/>
      <c r="I653" s="21"/>
      <c r="J653" s="85"/>
      <c r="K653" s="21"/>
      <c r="L653" s="21"/>
      <c r="M653" s="21"/>
      <c r="N653" s="21"/>
      <c r="O653" s="21"/>
      <c r="P653" s="21"/>
      <c r="Q653" s="21"/>
    </row>
    <row r="654" spans="1:17" x14ac:dyDescent="0.25">
      <c r="A654" s="22"/>
      <c r="B654" s="22"/>
      <c r="C654" s="22"/>
      <c r="D654" s="22"/>
      <c r="E654" s="188"/>
      <c r="F654" s="21"/>
      <c r="G654" s="21"/>
      <c r="H654" s="21"/>
      <c r="I654" s="21"/>
      <c r="J654" s="85"/>
      <c r="K654" s="21"/>
      <c r="L654" s="21"/>
      <c r="M654" s="21"/>
      <c r="N654" s="21"/>
      <c r="O654" s="21"/>
      <c r="P654" s="21"/>
      <c r="Q654" s="21"/>
    </row>
    <row r="655" spans="1:17" x14ac:dyDescent="0.25">
      <c r="A655" s="22"/>
      <c r="B655" s="22"/>
      <c r="C655" s="22"/>
      <c r="D655" s="22"/>
      <c r="E655" s="188"/>
      <c r="F655" s="21"/>
      <c r="G655" s="21"/>
      <c r="H655" s="21"/>
      <c r="I655" s="21"/>
      <c r="J655" s="85"/>
      <c r="K655" s="21"/>
      <c r="L655" s="21"/>
      <c r="M655" s="21"/>
      <c r="N655" s="21"/>
      <c r="O655" s="21"/>
      <c r="P655" s="21"/>
      <c r="Q655" s="21"/>
    </row>
    <row r="656" spans="1:17" x14ac:dyDescent="0.25">
      <c r="A656" s="22"/>
      <c r="B656" s="22"/>
      <c r="C656" s="22"/>
      <c r="D656" s="22"/>
      <c r="E656" s="188"/>
      <c r="F656" s="21"/>
      <c r="G656" s="21"/>
      <c r="H656" s="21"/>
      <c r="I656" s="21"/>
      <c r="J656" s="85"/>
      <c r="K656" s="21"/>
      <c r="L656" s="21"/>
      <c r="M656" s="21"/>
      <c r="N656" s="21"/>
      <c r="O656" s="21"/>
      <c r="P656" s="21"/>
      <c r="Q656" s="21"/>
    </row>
    <row r="657" spans="1:17" x14ac:dyDescent="0.25">
      <c r="A657" s="22"/>
      <c r="B657" s="22"/>
      <c r="C657" s="22"/>
      <c r="D657" s="22"/>
      <c r="E657" s="188"/>
      <c r="F657" s="21"/>
      <c r="G657" s="21"/>
      <c r="H657" s="21"/>
      <c r="I657" s="21"/>
      <c r="J657" s="85"/>
      <c r="K657" s="21"/>
      <c r="L657" s="21"/>
      <c r="M657" s="21"/>
      <c r="N657" s="21"/>
      <c r="O657" s="21"/>
      <c r="P657" s="21"/>
      <c r="Q657" s="21"/>
    </row>
    <row r="658" spans="1:17" x14ac:dyDescent="0.25">
      <c r="A658" s="22"/>
      <c r="B658" s="22"/>
      <c r="C658" s="22"/>
      <c r="D658" s="22"/>
      <c r="E658" s="188"/>
      <c r="F658" s="21"/>
      <c r="G658" s="21"/>
      <c r="H658" s="21"/>
      <c r="I658" s="21"/>
      <c r="J658" s="85"/>
      <c r="K658" s="21"/>
      <c r="L658" s="21"/>
      <c r="M658" s="21"/>
      <c r="N658" s="21"/>
      <c r="O658" s="21"/>
      <c r="P658" s="21"/>
      <c r="Q658" s="21"/>
    </row>
    <row r="659" spans="1:17" x14ac:dyDescent="0.25">
      <c r="A659" s="22"/>
      <c r="B659" s="22"/>
      <c r="C659" s="22"/>
      <c r="D659" s="22"/>
      <c r="E659" s="188"/>
      <c r="F659" s="21"/>
      <c r="G659" s="21"/>
      <c r="H659" s="21"/>
      <c r="I659" s="21"/>
      <c r="J659" s="85"/>
      <c r="K659" s="21"/>
      <c r="L659" s="21"/>
      <c r="M659" s="21"/>
      <c r="N659" s="21"/>
      <c r="O659" s="21"/>
      <c r="P659" s="21"/>
      <c r="Q659" s="21"/>
    </row>
    <row r="660" spans="1:17" x14ac:dyDescent="0.25">
      <c r="A660" s="22"/>
      <c r="B660" s="22"/>
      <c r="C660" s="22"/>
      <c r="D660" s="22"/>
      <c r="E660" s="188"/>
      <c r="F660" s="21"/>
      <c r="G660" s="21"/>
      <c r="H660" s="21"/>
      <c r="I660" s="21"/>
      <c r="J660" s="85"/>
      <c r="K660" s="21"/>
      <c r="L660" s="21"/>
      <c r="M660" s="21"/>
      <c r="N660" s="21"/>
      <c r="O660" s="21"/>
      <c r="P660" s="21"/>
      <c r="Q660" s="21"/>
    </row>
    <row r="661" spans="1:17" x14ac:dyDescent="0.25">
      <c r="A661" s="22"/>
      <c r="B661" s="22"/>
      <c r="C661" s="22"/>
      <c r="D661" s="22"/>
      <c r="E661" s="188"/>
      <c r="F661" s="21"/>
      <c r="G661" s="21"/>
      <c r="H661" s="21"/>
      <c r="I661" s="21"/>
      <c r="J661" s="85"/>
      <c r="K661" s="21"/>
      <c r="L661" s="21"/>
      <c r="M661" s="21"/>
      <c r="N661" s="21"/>
      <c r="O661" s="21"/>
      <c r="P661" s="21"/>
      <c r="Q661" s="21"/>
    </row>
    <row r="662" spans="1:17" x14ac:dyDescent="0.25">
      <c r="A662" s="22"/>
      <c r="B662" s="22"/>
      <c r="C662" s="22"/>
      <c r="D662" s="22"/>
      <c r="E662" s="188"/>
      <c r="F662" s="21"/>
      <c r="G662" s="21"/>
      <c r="H662" s="21"/>
      <c r="I662" s="21"/>
      <c r="J662" s="85"/>
      <c r="K662" s="21"/>
      <c r="L662" s="21"/>
      <c r="M662" s="21"/>
      <c r="N662" s="21"/>
      <c r="O662" s="21"/>
      <c r="P662" s="21"/>
      <c r="Q662" s="21"/>
    </row>
    <row r="663" spans="1:17" x14ac:dyDescent="0.25">
      <c r="A663" s="22"/>
      <c r="B663" s="22"/>
      <c r="C663" s="22"/>
      <c r="D663" s="22"/>
      <c r="E663" s="188"/>
      <c r="F663" s="21"/>
      <c r="G663" s="21"/>
      <c r="H663" s="21"/>
      <c r="I663" s="21"/>
      <c r="J663" s="85"/>
      <c r="K663" s="21"/>
      <c r="L663" s="21"/>
      <c r="M663" s="21"/>
      <c r="N663" s="21"/>
      <c r="O663" s="21"/>
      <c r="P663" s="21"/>
      <c r="Q663" s="21"/>
    </row>
    <row r="664" spans="1:17" x14ac:dyDescent="0.25">
      <c r="A664" s="22"/>
      <c r="B664" s="22"/>
      <c r="C664" s="22"/>
      <c r="D664" s="22"/>
      <c r="E664" s="188"/>
      <c r="F664" s="21"/>
      <c r="G664" s="21"/>
      <c r="H664" s="21"/>
      <c r="I664" s="21"/>
      <c r="J664" s="85"/>
      <c r="K664" s="21"/>
      <c r="L664" s="21"/>
      <c r="M664" s="21"/>
      <c r="N664" s="21"/>
      <c r="O664" s="21"/>
      <c r="P664" s="21"/>
      <c r="Q664" s="21"/>
    </row>
    <row r="665" spans="1:17" x14ac:dyDescent="0.25">
      <c r="A665" s="22"/>
      <c r="B665" s="22"/>
      <c r="C665" s="22"/>
      <c r="D665" s="22"/>
      <c r="E665" s="188"/>
      <c r="F665" s="21"/>
      <c r="G665" s="21"/>
      <c r="H665" s="21"/>
      <c r="I665" s="21"/>
      <c r="J665" s="85"/>
      <c r="K665" s="21"/>
      <c r="L665" s="21"/>
      <c r="M665" s="21"/>
      <c r="N665" s="21"/>
      <c r="O665" s="21"/>
      <c r="P665" s="21"/>
      <c r="Q665" s="21"/>
    </row>
    <row r="666" spans="1:17" x14ac:dyDescent="0.25">
      <c r="A666" s="22"/>
      <c r="B666" s="22"/>
      <c r="C666" s="22"/>
      <c r="D666" s="22"/>
      <c r="E666" s="188"/>
      <c r="F666" s="21"/>
      <c r="G666" s="21"/>
      <c r="H666" s="21"/>
      <c r="I666" s="21"/>
      <c r="J666" s="85"/>
      <c r="K666" s="21"/>
      <c r="L666" s="21"/>
      <c r="M666" s="21"/>
      <c r="N666" s="21"/>
      <c r="O666" s="21"/>
      <c r="P666" s="21"/>
      <c r="Q666" s="21"/>
    </row>
    <row r="667" spans="1:17" x14ac:dyDescent="0.25">
      <c r="A667" s="22"/>
      <c r="B667" s="22"/>
      <c r="C667" s="22"/>
      <c r="D667" s="22"/>
      <c r="E667" s="188"/>
      <c r="F667" s="21"/>
      <c r="G667" s="21"/>
      <c r="H667" s="21"/>
      <c r="I667" s="21"/>
      <c r="J667" s="85"/>
      <c r="K667" s="21"/>
      <c r="L667" s="21"/>
      <c r="M667" s="21"/>
      <c r="N667" s="21"/>
      <c r="O667" s="21"/>
      <c r="P667" s="21"/>
      <c r="Q667" s="21"/>
    </row>
    <row r="668" spans="1:17" x14ac:dyDescent="0.25">
      <c r="A668" s="22"/>
      <c r="B668" s="22"/>
      <c r="C668" s="22"/>
      <c r="D668" s="22"/>
      <c r="E668" s="188"/>
      <c r="F668" s="21"/>
      <c r="G668" s="21"/>
      <c r="H668" s="21"/>
      <c r="I668" s="21"/>
      <c r="J668" s="85"/>
      <c r="K668" s="21"/>
      <c r="L668" s="21"/>
      <c r="M668" s="21"/>
      <c r="N668" s="21"/>
      <c r="O668" s="21"/>
      <c r="P668" s="21"/>
      <c r="Q668" s="21"/>
    </row>
    <row r="669" spans="1:17" x14ac:dyDescent="0.25">
      <c r="A669" s="22"/>
      <c r="B669" s="22"/>
      <c r="C669" s="22"/>
      <c r="D669" s="22"/>
      <c r="E669" s="188"/>
      <c r="F669" s="21"/>
      <c r="G669" s="21"/>
      <c r="H669" s="21"/>
      <c r="I669" s="21"/>
      <c r="J669" s="85"/>
      <c r="K669" s="21"/>
      <c r="L669" s="21"/>
      <c r="M669" s="21"/>
      <c r="N669" s="21"/>
      <c r="O669" s="21"/>
      <c r="P669" s="21"/>
      <c r="Q669" s="21"/>
    </row>
    <row r="670" spans="1:17" x14ac:dyDescent="0.25">
      <c r="A670" s="22"/>
      <c r="B670" s="22"/>
      <c r="C670" s="22"/>
      <c r="D670" s="22"/>
      <c r="E670" s="188"/>
      <c r="F670" s="21"/>
      <c r="G670" s="21"/>
      <c r="H670" s="21"/>
      <c r="I670" s="21"/>
      <c r="J670" s="85"/>
      <c r="K670" s="21"/>
      <c r="L670" s="21"/>
      <c r="M670" s="21"/>
      <c r="N670" s="21"/>
      <c r="O670" s="21"/>
      <c r="P670" s="21"/>
      <c r="Q670" s="21"/>
    </row>
    <row r="671" spans="1:17" x14ac:dyDescent="0.25">
      <c r="A671" s="22"/>
      <c r="B671" s="22"/>
      <c r="C671" s="22"/>
      <c r="D671" s="22"/>
      <c r="E671" s="188"/>
      <c r="F671" s="21"/>
      <c r="G671" s="21"/>
      <c r="H671" s="21"/>
      <c r="I671" s="21"/>
      <c r="J671" s="85"/>
      <c r="K671" s="21"/>
      <c r="L671" s="21"/>
      <c r="M671" s="21"/>
      <c r="N671" s="21"/>
      <c r="O671" s="21"/>
      <c r="P671" s="21"/>
      <c r="Q671" s="21"/>
    </row>
    <row r="672" spans="1:17" x14ac:dyDescent="0.25">
      <c r="A672" s="22"/>
      <c r="B672" s="22"/>
      <c r="C672" s="22"/>
      <c r="D672" s="22"/>
      <c r="E672" s="188"/>
      <c r="F672" s="21"/>
      <c r="G672" s="21"/>
      <c r="H672" s="21"/>
      <c r="I672" s="21"/>
      <c r="J672" s="85"/>
      <c r="K672" s="21"/>
      <c r="L672" s="21"/>
      <c r="M672" s="21"/>
      <c r="N672" s="21"/>
      <c r="O672" s="21"/>
      <c r="P672" s="21"/>
      <c r="Q672" s="21"/>
    </row>
    <row r="673" spans="1:17" x14ac:dyDescent="0.25">
      <c r="A673" s="22"/>
      <c r="B673" s="22"/>
      <c r="C673" s="22"/>
      <c r="D673" s="22"/>
      <c r="E673" s="188"/>
      <c r="F673" s="21"/>
      <c r="G673" s="21"/>
      <c r="H673" s="21"/>
      <c r="I673" s="21"/>
      <c r="J673" s="85"/>
      <c r="K673" s="21"/>
      <c r="L673" s="21"/>
      <c r="M673" s="21"/>
      <c r="N673" s="21"/>
      <c r="O673" s="21"/>
      <c r="P673" s="21"/>
      <c r="Q673" s="21"/>
    </row>
    <row r="674" spans="1:17" x14ac:dyDescent="0.25">
      <c r="A674" s="22"/>
      <c r="B674" s="22"/>
      <c r="C674" s="22"/>
      <c r="D674" s="22"/>
      <c r="E674" s="188"/>
      <c r="F674" s="21"/>
      <c r="G674" s="21"/>
      <c r="H674" s="21"/>
      <c r="I674" s="21"/>
      <c r="J674" s="85"/>
      <c r="K674" s="21"/>
      <c r="L674" s="21"/>
      <c r="M674" s="21"/>
      <c r="N674" s="21"/>
      <c r="O674" s="21"/>
      <c r="P674" s="21"/>
      <c r="Q674" s="21"/>
    </row>
    <row r="675" spans="1:17" x14ac:dyDescent="0.25">
      <c r="A675" s="22"/>
      <c r="B675" s="22"/>
      <c r="C675" s="22"/>
      <c r="D675" s="22"/>
      <c r="E675" s="188"/>
      <c r="F675" s="21"/>
      <c r="G675" s="21"/>
      <c r="H675" s="21"/>
      <c r="I675" s="21"/>
      <c r="J675" s="85"/>
      <c r="K675" s="21"/>
      <c r="L675" s="21"/>
      <c r="M675" s="21"/>
      <c r="N675" s="21"/>
      <c r="O675" s="21"/>
      <c r="P675" s="21"/>
      <c r="Q675" s="21"/>
    </row>
    <row r="676" spans="1:17" x14ac:dyDescent="0.25">
      <c r="A676" s="22"/>
      <c r="B676" s="22"/>
      <c r="C676" s="22"/>
      <c r="D676" s="22"/>
      <c r="E676" s="188"/>
      <c r="F676" s="19"/>
      <c r="G676" s="19"/>
      <c r="H676" s="19"/>
      <c r="I676" s="19"/>
      <c r="J676" s="38"/>
      <c r="K676" s="19"/>
      <c r="L676" s="19"/>
      <c r="M676" s="19"/>
      <c r="N676" s="19"/>
      <c r="O676" s="19"/>
      <c r="P676" s="19"/>
      <c r="Q676" s="19"/>
    </row>
    <row r="677" spans="1:17" x14ac:dyDescent="0.25">
      <c r="A677" s="22"/>
      <c r="B677" s="22"/>
      <c r="C677" s="22"/>
      <c r="D677" s="22"/>
      <c r="E677" s="188"/>
      <c r="F677" s="19"/>
      <c r="G677" s="19"/>
      <c r="H677" s="19"/>
      <c r="I677" s="19"/>
      <c r="J677" s="38"/>
      <c r="K677" s="19"/>
      <c r="L677" s="19"/>
      <c r="M677" s="19"/>
      <c r="N677" s="19"/>
      <c r="O677" s="19"/>
      <c r="P677" s="19"/>
      <c r="Q677" s="19"/>
    </row>
    <row r="678" spans="1:17" x14ac:dyDescent="0.25">
      <c r="A678" s="22"/>
      <c r="B678" s="22"/>
      <c r="C678" s="22"/>
      <c r="D678" s="22"/>
      <c r="E678" s="188"/>
      <c r="F678" s="19"/>
      <c r="G678" s="19"/>
      <c r="H678" s="19"/>
      <c r="I678" s="19"/>
      <c r="J678" s="38"/>
      <c r="K678" s="19"/>
      <c r="L678" s="19"/>
      <c r="M678" s="19"/>
      <c r="N678" s="19"/>
      <c r="O678" s="19"/>
      <c r="P678" s="19"/>
      <c r="Q678" s="19"/>
    </row>
    <row r="679" spans="1:17" x14ac:dyDescent="0.25">
      <c r="A679" s="22"/>
      <c r="B679" s="22"/>
      <c r="C679" s="22"/>
      <c r="D679" s="22"/>
      <c r="E679" s="188"/>
      <c r="F679" s="19"/>
      <c r="G679" s="19"/>
      <c r="H679" s="19"/>
      <c r="I679" s="19"/>
      <c r="J679" s="38"/>
      <c r="K679" s="19"/>
      <c r="L679" s="19"/>
      <c r="M679" s="19"/>
      <c r="N679" s="19"/>
      <c r="O679" s="19"/>
      <c r="P679" s="19"/>
      <c r="Q679" s="19"/>
    </row>
    <row r="680" spans="1:17" x14ac:dyDescent="0.25">
      <c r="A680" s="22"/>
      <c r="B680" s="22"/>
      <c r="C680" s="22"/>
      <c r="D680" s="22"/>
      <c r="E680" s="188"/>
      <c r="F680" s="19"/>
      <c r="G680" s="19"/>
      <c r="H680" s="19"/>
      <c r="I680" s="19"/>
      <c r="J680" s="38"/>
      <c r="K680" s="19"/>
      <c r="L680" s="19"/>
      <c r="M680" s="19"/>
      <c r="N680" s="19"/>
      <c r="O680" s="19"/>
      <c r="P680" s="19"/>
      <c r="Q680" s="19"/>
    </row>
    <row r="681" spans="1:17" x14ac:dyDescent="0.25">
      <c r="A681" s="22"/>
      <c r="B681" s="22"/>
      <c r="C681" s="22"/>
      <c r="D681" s="22"/>
      <c r="E681" s="188"/>
      <c r="F681" s="19"/>
      <c r="G681" s="19"/>
      <c r="H681" s="19"/>
      <c r="I681" s="19"/>
      <c r="J681" s="38"/>
      <c r="K681" s="19"/>
      <c r="L681" s="19"/>
      <c r="M681" s="19"/>
      <c r="N681" s="19"/>
      <c r="O681" s="19"/>
      <c r="P681" s="19"/>
      <c r="Q681" s="19"/>
    </row>
    <row r="682" spans="1:17" x14ac:dyDescent="0.25">
      <c r="A682" s="22"/>
      <c r="B682" s="22"/>
      <c r="C682" s="22"/>
      <c r="D682" s="22"/>
      <c r="E682" s="188"/>
      <c r="F682" s="19"/>
      <c r="G682" s="19"/>
      <c r="H682" s="19"/>
      <c r="I682" s="19"/>
      <c r="J682" s="38"/>
      <c r="K682" s="19"/>
      <c r="L682" s="19"/>
      <c r="M682" s="19"/>
      <c r="N682" s="19"/>
      <c r="O682" s="19"/>
      <c r="P682" s="19"/>
      <c r="Q682" s="19"/>
    </row>
    <row r="683" spans="1:17" x14ac:dyDescent="0.25">
      <c r="A683" s="22"/>
      <c r="B683" s="22"/>
      <c r="C683" s="22"/>
      <c r="D683" s="22"/>
      <c r="E683" s="188"/>
      <c r="F683" s="19"/>
      <c r="G683" s="19"/>
      <c r="H683" s="19"/>
      <c r="I683" s="19"/>
      <c r="J683" s="38"/>
      <c r="K683" s="19"/>
      <c r="L683" s="19"/>
      <c r="M683" s="19"/>
      <c r="N683" s="19"/>
      <c r="O683" s="19"/>
      <c r="P683" s="19"/>
      <c r="Q683" s="19"/>
    </row>
    <row r="684" spans="1:17" x14ac:dyDescent="0.25">
      <c r="A684" s="22"/>
      <c r="B684" s="22"/>
      <c r="C684" s="22"/>
      <c r="D684" s="22"/>
      <c r="E684" s="188"/>
      <c r="F684" s="19"/>
      <c r="G684" s="19"/>
      <c r="H684" s="19"/>
      <c r="I684" s="19"/>
      <c r="J684" s="38"/>
      <c r="K684" s="19"/>
      <c r="L684" s="19"/>
      <c r="M684" s="19"/>
      <c r="N684" s="19"/>
      <c r="O684" s="19"/>
      <c r="P684" s="19"/>
      <c r="Q684" s="19"/>
    </row>
    <row r="685" spans="1:17" x14ac:dyDescent="0.25">
      <c r="A685" s="22"/>
      <c r="B685" s="22"/>
      <c r="C685" s="22"/>
      <c r="D685" s="22"/>
      <c r="E685" s="188"/>
      <c r="F685" s="19"/>
      <c r="G685" s="19"/>
      <c r="H685" s="19"/>
      <c r="I685" s="19"/>
      <c r="J685" s="38"/>
      <c r="K685" s="19"/>
      <c r="L685" s="19"/>
      <c r="M685" s="19"/>
      <c r="N685" s="19"/>
      <c r="O685" s="19"/>
      <c r="P685" s="19"/>
      <c r="Q685" s="19"/>
    </row>
    <row r="686" spans="1:17" x14ac:dyDescent="0.25">
      <c r="A686" s="22"/>
      <c r="B686" s="22"/>
      <c r="C686" s="22"/>
      <c r="D686" s="22"/>
      <c r="E686" s="188"/>
      <c r="F686" s="19"/>
      <c r="G686" s="19"/>
      <c r="H686" s="19"/>
      <c r="I686" s="19"/>
      <c r="J686" s="38"/>
      <c r="K686" s="19"/>
      <c r="L686" s="19"/>
      <c r="M686" s="19"/>
      <c r="N686" s="19"/>
      <c r="O686" s="19"/>
      <c r="P686" s="19"/>
      <c r="Q686" s="19"/>
    </row>
    <row r="687" spans="1:17" x14ac:dyDescent="0.25">
      <c r="A687" s="22"/>
      <c r="B687" s="22"/>
      <c r="C687" s="22"/>
      <c r="D687" s="22"/>
      <c r="E687" s="188"/>
      <c r="F687" s="19"/>
      <c r="G687" s="19"/>
      <c r="H687" s="19"/>
      <c r="I687" s="19"/>
      <c r="J687" s="38"/>
      <c r="K687" s="19"/>
      <c r="L687" s="19"/>
      <c r="M687" s="19"/>
      <c r="N687" s="19"/>
      <c r="O687" s="19"/>
      <c r="P687" s="19"/>
      <c r="Q687" s="19"/>
    </row>
    <row r="688" spans="1:17" x14ac:dyDescent="0.25">
      <c r="A688" s="22"/>
      <c r="B688" s="22"/>
      <c r="C688" s="22"/>
      <c r="D688" s="22"/>
      <c r="E688" s="188"/>
      <c r="F688" s="19"/>
      <c r="G688" s="19"/>
      <c r="H688" s="19"/>
      <c r="I688" s="19"/>
      <c r="J688" s="38"/>
      <c r="K688" s="19"/>
      <c r="L688" s="19"/>
      <c r="M688" s="19"/>
      <c r="N688" s="19"/>
      <c r="O688" s="19"/>
      <c r="P688" s="19"/>
      <c r="Q688" s="19"/>
    </row>
    <row r="689" spans="1:17" x14ac:dyDescent="0.25">
      <c r="A689" s="22"/>
      <c r="B689" s="22"/>
      <c r="C689" s="22"/>
      <c r="D689" s="22"/>
      <c r="E689" s="188"/>
      <c r="F689" s="19"/>
      <c r="G689" s="19"/>
      <c r="H689" s="19"/>
      <c r="I689" s="19"/>
      <c r="J689" s="38"/>
      <c r="K689" s="19"/>
      <c r="L689" s="19"/>
      <c r="M689" s="19"/>
      <c r="N689" s="19"/>
      <c r="O689" s="19"/>
      <c r="P689" s="19"/>
      <c r="Q689" s="19"/>
    </row>
    <row r="690" spans="1:17" x14ac:dyDescent="0.25">
      <c r="A690" s="22"/>
      <c r="B690" s="22"/>
      <c r="C690" s="22"/>
      <c r="D690" s="22"/>
      <c r="E690" s="188"/>
      <c r="F690" s="19"/>
      <c r="G690" s="19"/>
      <c r="H690" s="19"/>
      <c r="I690" s="19"/>
      <c r="J690" s="38"/>
      <c r="K690" s="19"/>
      <c r="L690" s="19"/>
      <c r="M690" s="19"/>
      <c r="N690" s="19"/>
      <c r="O690" s="19"/>
      <c r="P690" s="19"/>
      <c r="Q690" s="19"/>
    </row>
    <row r="691" spans="1:17" x14ac:dyDescent="0.25">
      <c r="A691" s="22"/>
      <c r="B691" s="22"/>
      <c r="C691" s="22"/>
      <c r="D691" s="22"/>
      <c r="E691" s="188"/>
      <c r="F691" s="19"/>
      <c r="G691" s="19"/>
      <c r="H691" s="19"/>
      <c r="I691" s="19"/>
      <c r="J691" s="38"/>
      <c r="K691" s="19"/>
      <c r="L691" s="19"/>
      <c r="M691" s="19"/>
      <c r="N691" s="19"/>
      <c r="O691" s="19"/>
      <c r="P691" s="19"/>
      <c r="Q691" s="19"/>
    </row>
    <row r="692" spans="1:17" x14ac:dyDescent="0.25">
      <c r="A692" s="22"/>
      <c r="B692" s="22"/>
      <c r="C692" s="22"/>
      <c r="D692" s="22"/>
      <c r="E692" s="188"/>
      <c r="F692" s="19"/>
      <c r="G692" s="19"/>
      <c r="H692" s="19"/>
      <c r="I692" s="19"/>
      <c r="J692" s="38"/>
      <c r="K692" s="19"/>
      <c r="L692" s="19"/>
      <c r="M692" s="19"/>
      <c r="N692" s="19"/>
      <c r="O692" s="19"/>
      <c r="P692" s="19"/>
      <c r="Q692" s="19"/>
    </row>
    <row r="693" spans="1:17" x14ac:dyDescent="0.25">
      <c r="A693" s="22"/>
      <c r="B693" s="22"/>
      <c r="C693" s="22"/>
      <c r="D693" s="22"/>
      <c r="E693" s="188"/>
      <c r="F693" s="19"/>
      <c r="G693" s="19"/>
      <c r="H693" s="19"/>
      <c r="I693" s="19"/>
      <c r="J693" s="38"/>
      <c r="K693" s="19"/>
      <c r="L693" s="19"/>
      <c r="M693" s="19"/>
      <c r="N693" s="19"/>
      <c r="O693" s="19"/>
      <c r="P693" s="19"/>
      <c r="Q693" s="19"/>
    </row>
    <row r="694" spans="1:17" x14ac:dyDescent="0.25">
      <c r="A694" s="22"/>
      <c r="B694" s="22"/>
      <c r="C694" s="22"/>
      <c r="D694" s="22"/>
      <c r="E694" s="188"/>
      <c r="F694" s="19"/>
      <c r="G694" s="19"/>
      <c r="H694" s="19"/>
      <c r="I694" s="19"/>
      <c r="J694" s="38"/>
      <c r="K694" s="19"/>
      <c r="L694" s="19"/>
      <c r="M694" s="19"/>
      <c r="N694" s="19"/>
      <c r="O694" s="19"/>
      <c r="P694" s="19"/>
      <c r="Q694" s="19"/>
    </row>
    <row r="695" spans="1:17" x14ac:dyDescent="0.25">
      <c r="A695" s="22"/>
      <c r="B695" s="22"/>
      <c r="C695" s="22"/>
      <c r="D695" s="22"/>
      <c r="E695" s="188"/>
      <c r="F695" s="19"/>
      <c r="G695" s="19"/>
      <c r="H695" s="19"/>
      <c r="I695" s="19"/>
      <c r="J695" s="38"/>
      <c r="K695" s="19"/>
      <c r="L695" s="19"/>
      <c r="M695" s="19"/>
      <c r="N695" s="19"/>
      <c r="O695" s="19"/>
      <c r="P695" s="19"/>
      <c r="Q695" s="19"/>
    </row>
    <row r="696" spans="1:17" x14ac:dyDescent="0.25">
      <c r="A696" s="22"/>
      <c r="B696" s="22"/>
      <c r="C696" s="22"/>
      <c r="D696" s="22"/>
      <c r="E696" s="188"/>
      <c r="F696" s="19"/>
      <c r="G696" s="19"/>
      <c r="H696" s="19"/>
      <c r="I696" s="19"/>
      <c r="J696" s="38"/>
      <c r="K696" s="19"/>
      <c r="L696" s="19"/>
      <c r="M696" s="19"/>
      <c r="N696" s="19"/>
      <c r="O696" s="19"/>
      <c r="P696" s="19"/>
      <c r="Q696" s="19"/>
    </row>
    <row r="697" spans="1:17" x14ac:dyDescent="0.25">
      <c r="A697" s="22"/>
      <c r="B697" s="22"/>
      <c r="C697" s="22"/>
      <c r="D697" s="22"/>
      <c r="E697" s="188"/>
      <c r="F697" s="19"/>
      <c r="G697" s="19"/>
      <c r="H697" s="19"/>
      <c r="I697" s="19"/>
      <c r="J697" s="38"/>
      <c r="K697" s="19"/>
      <c r="L697" s="19"/>
      <c r="M697" s="19"/>
      <c r="N697" s="19"/>
      <c r="O697" s="19"/>
      <c r="P697" s="19"/>
      <c r="Q697" s="19"/>
    </row>
    <row r="698" spans="1:17" x14ac:dyDescent="0.25">
      <c r="A698" s="22"/>
      <c r="B698" s="22"/>
      <c r="C698" s="22"/>
      <c r="D698" s="22"/>
      <c r="E698" s="188"/>
      <c r="F698" s="19"/>
      <c r="G698" s="19"/>
      <c r="H698" s="19"/>
      <c r="I698" s="19"/>
      <c r="J698" s="38"/>
      <c r="K698" s="19"/>
      <c r="L698" s="19"/>
      <c r="M698" s="19"/>
      <c r="N698" s="19"/>
      <c r="O698" s="19"/>
      <c r="P698" s="19"/>
      <c r="Q698" s="19"/>
    </row>
    <row r="699" spans="1:17" x14ac:dyDescent="0.25">
      <c r="A699" s="22"/>
      <c r="B699" s="22"/>
      <c r="C699" s="22"/>
      <c r="D699" s="22"/>
      <c r="E699" s="188"/>
      <c r="F699" s="19"/>
      <c r="G699" s="19"/>
      <c r="H699" s="19"/>
      <c r="I699" s="19"/>
      <c r="J699" s="38"/>
      <c r="K699" s="19"/>
      <c r="L699" s="19"/>
      <c r="M699" s="19"/>
      <c r="N699" s="19"/>
      <c r="O699" s="19"/>
      <c r="P699" s="19"/>
      <c r="Q699" s="19"/>
    </row>
    <row r="700" spans="1:17" x14ac:dyDescent="0.25">
      <c r="A700" s="22"/>
      <c r="B700" s="22"/>
      <c r="C700" s="22"/>
      <c r="D700" s="22"/>
      <c r="E700" s="188"/>
      <c r="F700" s="19"/>
      <c r="G700" s="19"/>
      <c r="H700" s="19"/>
      <c r="I700" s="19"/>
      <c r="J700" s="38"/>
      <c r="K700" s="19"/>
      <c r="L700" s="19"/>
      <c r="M700" s="19"/>
      <c r="N700" s="19"/>
      <c r="O700" s="19"/>
      <c r="P700" s="19"/>
      <c r="Q700" s="19"/>
    </row>
    <row r="701" spans="1:17" x14ac:dyDescent="0.25">
      <c r="A701" s="22"/>
      <c r="B701" s="22"/>
      <c r="C701" s="22"/>
      <c r="D701" s="22"/>
      <c r="E701" s="188"/>
      <c r="F701" s="19"/>
      <c r="G701" s="19"/>
      <c r="H701" s="19"/>
      <c r="I701" s="19"/>
      <c r="J701" s="38"/>
      <c r="K701" s="19"/>
      <c r="L701" s="19"/>
      <c r="M701" s="19"/>
      <c r="N701" s="19"/>
      <c r="O701" s="19"/>
      <c r="P701" s="19"/>
      <c r="Q701" s="19"/>
    </row>
    <row r="702" spans="1:17" x14ac:dyDescent="0.25">
      <c r="A702" s="22"/>
      <c r="B702" s="22"/>
      <c r="C702" s="22"/>
      <c r="D702" s="22"/>
      <c r="E702" s="188"/>
      <c r="F702" s="19"/>
      <c r="G702" s="19"/>
      <c r="H702" s="19"/>
      <c r="I702" s="19"/>
      <c r="J702" s="38"/>
      <c r="K702" s="19"/>
      <c r="L702" s="19"/>
      <c r="M702" s="19"/>
      <c r="N702" s="19"/>
      <c r="O702" s="19"/>
      <c r="P702" s="19"/>
      <c r="Q702" s="19"/>
    </row>
    <row r="703" spans="1:17" x14ac:dyDescent="0.25">
      <c r="A703" s="22"/>
      <c r="B703" s="22"/>
      <c r="C703" s="22"/>
      <c r="D703" s="22"/>
      <c r="E703" s="188"/>
      <c r="F703" s="19"/>
      <c r="G703" s="19"/>
      <c r="H703" s="19"/>
      <c r="I703" s="19"/>
      <c r="J703" s="38"/>
      <c r="K703" s="19"/>
      <c r="L703" s="19"/>
      <c r="M703" s="19"/>
      <c r="N703" s="19"/>
      <c r="O703" s="19"/>
      <c r="P703" s="19"/>
      <c r="Q703" s="19"/>
    </row>
    <row r="704" spans="1:17" x14ac:dyDescent="0.25">
      <c r="A704" s="22"/>
      <c r="B704" s="22"/>
      <c r="C704" s="22"/>
      <c r="D704" s="22"/>
      <c r="E704" s="188"/>
      <c r="F704" s="19"/>
      <c r="G704" s="19"/>
      <c r="H704" s="19"/>
      <c r="I704" s="19"/>
      <c r="J704" s="38"/>
      <c r="K704" s="19"/>
      <c r="L704" s="19"/>
      <c r="M704" s="19"/>
      <c r="N704" s="19"/>
      <c r="O704" s="19"/>
      <c r="P704" s="19"/>
      <c r="Q704" s="19"/>
    </row>
    <row r="705" spans="1:17" x14ac:dyDescent="0.25">
      <c r="A705" s="22"/>
      <c r="B705" s="22"/>
      <c r="C705" s="22"/>
      <c r="D705" s="22"/>
      <c r="E705" s="188"/>
      <c r="F705" s="19"/>
      <c r="G705" s="19"/>
      <c r="H705" s="19"/>
      <c r="I705" s="19"/>
      <c r="J705" s="38"/>
      <c r="K705" s="19"/>
      <c r="L705" s="19"/>
      <c r="M705" s="19"/>
      <c r="N705" s="19"/>
      <c r="O705" s="19"/>
      <c r="P705" s="19"/>
      <c r="Q705" s="19"/>
    </row>
    <row r="706" spans="1:17" x14ac:dyDescent="0.25">
      <c r="A706" s="22"/>
      <c r="B706" s="22"/>
      <c r="C706" s="22"/>
      <c r="D706" s="22"/>
      <c r="E706" s="188"/>
      <c r="F706" s="19"/>
      <c r="G706" s="19"/>
      <c r="H706" s="19"/>
      <c r="I706" s="19"/>
      <c r="J706" s="38"/>
      <c r="K706" s="19"/>
      <c r="L706" s="19"/>
      <c r="M706" s="19"/>
      <c r="N706" s="19"/>
      <c r="O706" s="19"/>
      <c r="P706" s="19"/>
      <c r="Q706" s="19"/>
    </row>
    <row r="707" spans="1:17" x14ac:dyDescent="0.25">
      <c r="A707" s="22"/>
      <c r="B707" s="22"/>
      <c r="C707" s="22"/>
      <c r="D707" s="22"/>
      <c r="E707" s="188"/>
      <c r="F707" s="19"/>
      <c r="G707" s="19"/>
      <c r="H707" s="19"/>
      <c r="I707" s="19"/>
      <c r="J707" s="38"/>
      <c r="K707" s="19"/>
      <c r="L707" s="19"/>
      <c r="M707" s="19"/>
      <c r="N707" s="19"/>
      <c r="O707" s="19"/>
      <c r="P707" s="19"/>
      <c r="Q707" s="19"/>
    </row>
    <row r="708" spans="1:17" x14ac:dyDescent="0.25">
      <c r="A708" s="22"/>
      <c r="B708" s="22"/>
      <c r="C708" s="22"/>
      <c r="D708" s="22"/>
      <c r="E708" s="188"/>
      <c r="F708" s="19"/>
      <c r="G708" s="19"/>
      <c r="H708" s="19"/>
      <c r="I708" s="19"/>
      <c r="J708" s="38"/>
      <c r="K708" s="19"/>
      <c r="L708" s="19"/>
      <c r="M708" s="19"/>
      <c r="N708" s="19"/>
      <c r="O708" s="19"/>
      <c r="P708" s="19"/>
      <c r="Q708" s="19"/>
    </row>
    <row r="709" spans="1:17" x14ac:dyDescent="0.25">
      <c r="A709" s="22"/>
      <c r="B709" s="22"/>
      <c r="C709" s="22"/>
      <c r="D709" s="22"/>
      <c r="E709" s="188"/>
      <c r="F709" s="19"/>
      <c r="G709" s="19"/>
      <c r="H709" s="19"/>
      <c r="I709" s="19"/>
      <c r="J709" s="38"/>
      <c r="K709" s="19"/>
      <c r="L709" s="19"/>
      <c r="M709" s="19"/>
      <c r="N709" s="19"/>
      <c r="O709" s="19"/>
      <c r="P709" s="19"/>
      <c r="Q709" s="19"/>
    </row>
    <row r="710" spans="1:17" x14ac:dyDescent="0.25">
      <c r="A710" s="22"/>
      <c r="B710" s="22"/>
      <c r="C710" s="22"/>
      <c r="D710" s="22"/>
      <c r="E710" s="188"/>
      <c r="F710" s="19"/>
      <c r="G710" s="19"/>
      <c r="H710" s="19"/>
      <c r="I710" s="19"/>
      <c r="J710" s="38"/>
      <c r="K710" s="19"/>
      <c r="L710" s="19"/>
      <c r="M710" s="19"/>
      <c r="N710" s="19"/>
      <c r="O710" s="19"/>
      <c r="P710" s="19"/>
      <c r="Q710" s="19"/>
    </row>
    <row r="711" spans="1:17" x14ac:dyDescent="0.25">
      <c r="A711" s="22"/>
      <c r="B711" s="22"/>
      <c r="C711" s="22"/>
      <c r="D711" s="22"/>
      <c r="E711" s="188"/>
      <c r="F711" s="19"/>
      <c r="G711" s="19"/>
      <c r="H711" s="19"/>
      <c r="I711" s="19"/>
      <c r="J711" s="38"/>
      <c r="K711" s="19"/>
      <c r="L711" s="19"/>
      <c r="M711" s="19"/>
      <c r="N711" s="19"/>
      <c r="O711" s="19"/>
      <c r="P711" s="19"/>
      <c r="Q711" s="19"/>
    </row>
    <row r="712" spans="1:17" x14ac:dyDescent="0.25">
      <c r="A712" s="22"/>
      <c r="B712" s="22"/>
      <c r="C712" s="22"/>
      <c r="D712" s="22"/>
      <c r="E712" s="188"/>
      <c r="F712" s="19"/>
      <c r="G712" s="19"/>
      <c r="H712" s="19"/>
      <c r="I712" s="19"/>
      <c r="J712" s="38"/>
      <c r="K712" s="19"/>
      <c r="L712" s="19"/>
      <c r="M712" s="19"/>
      <c r="N712" s="19"/>
      <c r="O712" s="19"/>
      <c r="P712" s="19"/>
      <c r="Q712" s="19"/>
    </row>
    <row r="713" spans="1:17" x14ac:dyDescent="0.25">
      <c r="A713" s="22"/>
      <c r="B713" s="22"/>
      <c r="C713" s="22"/>
      <c r="D713" s="22"/>
      <c r="E713" s="188"/>
      <c r="F713" s="19"/>
      <c r="G713" s="19"/>
      <c r="H713" s="19"/>
      <c r="I713" s="19"/>
      <c r="J713" s="38"/>
      <c r="K713" s="19"/>
      <c r="L713" s="19"/>
      <c r="M713" s="19"/>
      <c r="N713" s="19"/>
      <c r="O713" s="19"/>
      <c r="P713" s="19"/>
      <c r="Q713" s="19"/>
    </row>
    <row r="714" spans="1:17" x14ac:dyDescent="0.25">
      <c r="A714" s="22"/>
      <c r="B714" s="22"/>
      <c r="C714" s="22"/>
      <c r="D714" s="22"/>
      <c r="E714" s="188"/>
      <c r="F714" s="19"/>
      <c r="G714" s="19"/>
      <c r="H714" s="19"/>
      <c r="I714" s="19"/>
      <c r="J714" s="38"/>
      <c r="K714" s="19"/>
      <c r="L714" s="19"/>
      <c r="M714" s="19"/>
      <c r="N714" s="19"/>
      <c r="O714" s="19"/>
      <c r="P714" s="19"/>
      <c r="Q714" s="19"/>
    </row>
    <row r="715" spans="1:17" x14ac:dyDescent="0.25">
      <c r="A715" s="22"/>
      <c r="B715" s="22"/>
      <c r="C715" s="22"/>
      <c r="D715" s="22"/>
      <c r="E715" s="188"/>
      <c r="F715" s="19"/>
      <c r="G715" s="19"/>
      <c r="H715" s="19"/>
      <c r="I715" s="19"/>
      <c r="J715" s="38"/>
      <c r="K715" s="19"/>
      <c r="L715" s="19"/>
      <c r="M715" s="19"/>
      <c r="N715" s="19"/>
      <c r="O715" s="19"/>
      <c r="P715" s="19"/>
      <c r="Q715" s="19"/>
    </row>
    <row r="716" spans="1:17" x14ac:dyDescent="0.25">
      <c r="A716" s="22"/>
      <c r="B716" s="22"/>
      <c r="C716" s="22"/>
      <c r="D716" s="22"/>
      <c r="E716" s="188"/>
      <c r="F716" s="19"/>
      <c r="G716" s="19"/>
      <c r="H716" s="19"/>
      <c r="I716" s="19"/>
      <c r="J716" s="38"/>
      <c r="K716" s="19"/>
      <c r="L716" s="19"/>
      <c r="M716" s="19"/>
      <c r="N716" s="19"/>
      <c r="O716" s="19"/>
      <c r="P716" s="19"/>
      <c r="Q716" s="19"/>
    </row>
    <row r="717" spans="1:17" x14ac:dyDescent="0.25">
      <c r="A717" s="22"/>
      <c r="B717" s="22"/>
      <c r="C717" s="22"/>
      <c r="D717" s="22"/>
      <c r="E717" s="188"/>
      <c r="F717" s="19"/>
      <c r="G717" s="19"/>
      <c r="H717" s="19"/>
      <c r="I717" s="19"/>
      <c r="J717" s="38"/>
      <c r="K717" s="19"/>
      <c r="L717" s="19"/>
      <c r="M717" s="19"/>
      <c r="N717" s="19"/>
      <c r="O717" s="19"/>
      <c r="P717" s="19"/>
      <c r="Q717" s="19"/>
    </row>
    <row r="718" spans="1:17" x14ac:dyDescent="0.25">
      <c r="A718" s="22"/>
      <c r="B718" s="22"/>
      <c r="C718" s="22"/>
      <c r="D718" s="22"/>
      <c r="E718" s="188"/>
      <c r="F718" s="19"/>
      <c r="G718" s="19"/>
      <c r="H718" s="19"/>
      <c r="I718" s="19"/>
      <c r="J718" s="38"/>
      <c r="K718" s="19"/>
      <c r="L718" s="19"/>
      <c r="M718" s="19"/>
      <c r="N718" s="19"/>
      <c r="O718" s="19"/>
      <c r="P718" s="19"/>
      <c r="Q718" s="19"/>
    </row>
    <row r="719" spans="1:17" x14ac:dyDescent="0.25">
      <c r="A719" s="22"/>
      <c r="B719" s="22"/>
      <c r="C719" s="22"/>
      <c r="D719" s="22"/>
      <c r="E719" s="188"/>
      <c r="F719" s="19"/>
      <c r="G719" s="19"/>
      <c r="H719" s="19"/>
      <c r="I719" s="19"/>
      <c r="J719" s="38"/>
      <c r="K719" s="19"/>
      <c r="L719" s="19"/>
      <c r="M719" s="19"/>
      <c r="N719" s="19"/>
      <c r="O719" s="19"/>
      <c r="P719" s="19"/>
      <c r="Q719" s="19"/>
    </row>
    <row r="720" spans="1:17" x14ac:dyDescent="0.25">
      <c r="A720" s="22"/>
      <c r="B720" s="22"/>
      <c r="C720" s="22"/>
      <c r="D720" s="22"/>
      <c r="E720" s="188"/>
      <c r="F720" s="19"/>
      <c r="G720" s="19"/>
      <c r="H720" s="19"/>
      <c r="I720" s="19"/>
      <c r="J720" s="38"/>
      <c r="K720" s="19"/>
      <c r="L720" s="19"/>
      <c r="M720" s="19"/>
      <c r="N720" s="19"/>
      <c r="O720" s="19"/>
      <c r="P720" s="19"/>
      <c r="Q720" s="19"/>
    </row>
    <row r="721" spans="1:17" x14ac:dyDescent="0.25">
      <c r="A721" s="22"/>
      <c r="B721" s="22"/>
      <c r="C721" s="22"/>
      <c r="D721" s="22"/>
      <c r="E721" s="188"/>
      <c r="F721" s="19"/>
      <c r="G721" s="19"/>
      <c r="H721" s="19"/>
      <c r="I721" s="19"/>
      <c r="J721" s="38"/>
      <c r="K721" s="19"/>
      <c r="L721" s="19"/>
      <c r="M721" s="19"/>
      <c r="N721" s="19"/>
      <c r="O721" s="19"/>
      <c r="P721" s="19"/>
      <c r="Q721" s="19"/>
    </row>
    <row r="722" spans="1:17" x14ac:dyDescent="0.25">
      <c r="A722" s="22"/>
      <c r="B722" s="22"/>
      <c r="C722" s="22"/>
      <c r="D722" s="22"/>
      <c r="E722" s="188"/>
      <c r="F722" s="19"/>
      <c r="G722" s="19"/>
      <c r="H722" s="19"/>
      <c r="I722" s="19"/>
      <c r="J722" s="38"/>
      <c r="K722" s="19"/>
      <c r="L722" s="19"/>
      <c r="M722" s="19"/>
      <c r="N722" s="19"/>
      <c r="O722" s="19"/>
      <c r="P722" s="19"/>
      <c r="Q722" s="19"/>
    </row>
    <row r="723" spans="1:17" x14ac:dyDescent="0.25">
      <c r="A723" s="22"/>
      <c r="B723" s="22"/>
      <c r="C723" s="22"/>
      <c r="D723" s="22"/>
      <c r="E723" s="188"/>
      <c r="F723" s="19"/>
      <c r="G723" s="19"/>
      <c r="H723" s="19"/>
      <c r="I723" s="19"/>
      <c r="J723" s="38"/>
      <c r="K723" s="19"/>
      <c r="L723" s="19"/>
      <c r="M723" s="19"/>
      <c r="N723" s="19"/>
      <c r="O723" s="19"/>
      <c r="P723" s="19"/>
      <c r="Q723" s="19"/>
    </row>
    <row r="724" spans="1:17" x14ac:dyDescent="0.25">
      <c r="A724" s="22"/>
      <c r="B724" s="22"/>
      <c r="C724" s="22"/>
      <c r="D724" s="22"/>
      <c r="E724" s="188"/>
      <c r="F724" s="19"/>
      <c r="G724" s="19"/>
      <c r="H724" s="19"/>
      <c r="I724" s="19"/>
      <c r="J724" s="38"/>
      <c r="K724" s="19"/>
      <c r="L724" s="19"/>
      <c r="M724" s="19"/>
      <c r="N724" s="19"/>
      <c r="O724" s="19"/>
      <c r="P724" s="19"/>
      <c r="Q724" s="19"/>
    </row>
    <row r="725" spans="1:17" x14ac:dyDescent="0.25">
      <c r="A725" s="22"/>
      <c r="B725" s="22"/>
      <c r="C725" s="22"/>
      <c r="D725" s="22"/>
      <c r="E725" s="188"/>
      <c r="F725" s="19"/>
      <c r="G725" s="19"/>
      <c r="H725" s="19"/>
      <c r="I725" s="19"/>
      <c r="J725" s="38"/>
      <c r="K725" s="19"/>
      <c r="L725" s="19"/>
      <c r="M725" s="19"/>
      <c r="N725" s="19"/>
      <c r="O725" s="19"/>
      <c r="P725" s="19"/>
      <c r="Q725" s="19"/>
    </row>
    <row r="726" spans="1:17" x14ac:dyDescent="0.25">
      <c r="A726" s="22"/>
      <c r="B726" s="22"/>
      <c r="C726" s="22"/>
      <c r="D726" s="22"/>
      <c r="E726" s="188"/>
      <c r="F726" s="19"/>
      <c r="G726" s="19"/>
      <c r="H726" s="19"/>
      <c r="I726" s="19"/>
      <c r="J726" s="38"/>
      <c r="K726" s="19"/>
      <c r="L726" s="19"/>
      <c r="M726" s="19"/>
      <c r="N726" s="19"/>
      <c r="O726" s="19"/>
      <c r="P726" s="19"/>
      <c r="Q726" s="19"/>
    </row>
    <row r="727" spans="1:17" x14ac:dyDescent="0.25">
      <c r="A727" s="22"/>
      <c r="B727" s="22"/>
      <c r="C727" s="22"/>
      <c r="D727" s="22"/>
      <c r="E727" s="188"/>
      <c r="F727" s="19"/>
      <c r="G727" s="19"/>
      <c r="H727" s="19"/>
      <c r="I727" s="19"/>
      <c r="J727" s="38"/>
      <c r="K727" s="19"/>
      <c r="L727" s="19"/>
      <c r="M727" s="19"/>
      <c r="N727" s="19"/>
      <c r="O727" s="19"/>
      <c r="P727" s="19"/>
      <c r="Q727" s="19"/>
    </row>
    <row r="728" spans="1:17" x14ac:dyDescent="0.25">
      <c r="A728" s="22"/>
      <c r="B728" s="22"/>
      <c r="C728" s="22"/>
      <c r="D728" s="22"/>
      <c r="E728" s="188"/>
      <c r="F728" s="19"/>
      <c r="G728" s="19"/>
      <c r="H728" s="19"/>
      <c r="I728" s="19"/>
      <c r="J728" s="38"/>
      <c r="K728" s="19"/>
      <c r="L728" s="19"/>
      <c r="M728" s="19"/>
      <c r="N728" s="19"/>
      <c r="O728" s="19"/>
      <c r="P728" s="19"/>
      <c r="Q728" s="19"/>
    </row>
    <row r="729" spans="1:17" x14ac:dyDescent="0.25">
      <c r="A729" s="22"/>
      <c r="B729" s="22"/>
      <c r="C729" s="22"/>
      <c r="D729" s="22"/>
      <c r="E729" s="188"/>
      <c r="F729" s="19"/>
      <c r="G729" s="19"/>
      <c r="H729" s="19"/>
      <c r="I729" s="19"/>
      <c r="J729" s="38"/>
      <c r="K729" s="19"/>
      <c r="L729" s="19"/>
      <c r="M729" s="19"/>
      <c r="N729" s="19"/>
      <c r="O729" s="19"/>
      <c r="P729" s="19"/>
      <c r="Q729" s="19"/>
    </row>
    <row r="730" spans="1:17" x14ac:dyDescent="0.25">
      <c r="A730" s="22"/>
      <c r="B730" s="22"/>
      <c r="C730" s="22"/>
      <c r="D730" s="22"/>
      <c r="E730" s="188"/>
      <c r="F730" s="19"/>
      <c r="G730" s="19"/>
      <c r="H730" s="19"/>
      <c r="I730" s="19"/>
      <c r="J730" s="38"/>
      <c r="K730" s="19"/>
      <c r="L730" s="19"/>
      <c r="M730" s="19"/>
      <c r="N730" s="19"/>
      <c r="O730" s="19"/>
      <c r="P730" s="19"/>
      <c r="Q730" s="19"/>
    </row>
    <row r="731" spans="1:17" x14ac:dyDescent="0.25">
      <c r="A731" s="22"/>
      <c r="B731" s="22"/>
      <c r="C731" s="22"/>
      <c r="D731" s="22"/>
      <c r="E731" s="188"/>
      <c r="F731" s="19"/>
      <c r="G731" s="19"/>
      <c r="H731" s="19"/>
      <c r="I731" s="19"/>
      <c r="J731" s="38"/>
      <c r="K731" s="19"/>
      <c r="L731" s="19"/>
      <c r="M731" s="19"/>
      <c r="N731" s="19"/>
      <c r="O731" s="19"/>
      <c r="P731" s="19"/>
      <c r="Q731" s="19"/>
    </row>
    <row r="732" spans="1:17" x14ac:dyDescent="0.25">
      <c r="A732" s="22"/>
      <c r="B732" s="22"/>
      <c r="C732" s="22"/>
      <c r="D732" s="22"/>
      <c r="E732" s="188"/>
      <c r="F732" s="19"/>
      <c r="G732" s="19"/>
      <c r="H732" s="19"/>
      <c r="I732" s="19"/>
      <c r="J732" s="38"/>
      <c r="K732" s="19"/>
      <c r="L732" s="19"/>
      <c r="M732" s="19"/>
      <c r="N732" s="19"/>
      <c r="O732" s="19"/>
      <c r="P732" s="19"/>
      <c r="Q732" s="19"/>
    </row>
    <row r="733" spans="1:17" x14ac:dyDescent="0.25">
      <c r="A733" s="22"/>
      <c r="B733" s="22"/>
      <c r="C733" s="22"/>
      <c r="D733" s="22"/>
      <c r="E733" s="188"/>
      <c r="F733" s="19"/>
      <c r="G733" s="19"/>
      <c r="H733" s="19"/>
      <c r="I733" s="19"/>
      <c r="J733" s="38"/>
      <c r="K733" s="19"/>
      <c r="L733" s="19"/>
      <c r="M733" s="19"/>
      <c r="N733" s="19"/>
      <c r="O733" s="19"/>
      <c r="P733" s="19"/>
      <c r="Q733" s="19"/>
    </row>
    <row r="734" spans="1:17" x14ac:dyDescent="0.25">
      <c r="A734" s="22"/>
      <c r="B734" s="22"/>
      <c r="C734" s="22"/>
      <c r="D734" s="22"/>
      <c r="E734" s="188"/>
      <c r="F734" s="19"/>
      <c r="G734" s="19"/>
      <c r="H734" s="19"/>
      <c r="I734" s="19"/>
      <c r="J734" s="38"/>
      <c r="K734" s="19"/>
      <c r="L734" s="19"/>
      <c r="M734" s="19"/>
      <c r="N734" s="19"/>
      <c r="O734" s="19"/>
      <c r="P734" s="19"/>
      <c r="Q734" s="19"/>
    </row>
    <row r="735" spans="1:17" x14ac:dyDescent="0.25">
      <c r="A735" s="22"/>
      <c r="B735" s="22"/>
      <c r="C735" s="22"/>
      <c r="D735" s="22"/>
      <c r="E735" s="188"/>
      <c r="F735" s="19"/>
      <c r="G735" s="19"/>
      <c r="H735" s="19"/>
      <c r="I735" s="19"/>
      <c r="J735" s="38"/>
      <c r="K735" s="19"/>
      <c r="L735" s="19"/>
      <c r="M735" s="19"/>
      <c r="N735" s="19"/>
      <c r="O735" s="19"/>
      <c r="P735" s="19"/>
      <c r="Q735" s="19"/>
    </row>
    <row r="736" spans="1:17" x14ac:dyDescent="0.25">
      <c r="A736" s="22"/>
      <c r="B736" s="22"/>
      <c r="C736" s="22"/>
      <c r="D736" s="22"/>
      <c r="E736" s="188"/>
      <c r="F736" s="19"/>
      <c r="G736" s="19"/>
      <c r="H736" s="19"/>
      <c r="I736" s="19"/>
      <c r="J736" s="38"/>
      <c r="K736" s="19"/>
      <c r="L736" s="19"/>
      <c r="M736" s="19"/>
      <c r="N736" s="19"/>
      <c r="O736" s="19"/>
      <c r="P736" s="19"/>
      <c r="Q736" s="19"/>
    </row>
    <row r="737" spans="1:17" x14ac:dyDescent="0.25">
      <c r="A737" s="22"/>
      <c r="B737" s="22"/>
      <c r="C737" s="22"/>
      <c r="D737" s="22"/>
      <c r="E737" s="188"/>
      <c r="F737" s="19"/>
      <c r="G737" s="19"/>
      <c r="H737" s="19"/>
      <c r="I737" s="19"/>
      <c r="J737" s="38"/>
      <c r="K737" s="19"/>
      <c r="L737" s="19"/>
      <c r="M737" s="19"/>
      <c r="N737" s="19"/>
      <c r="O737" s="19"/>
      <c r="P737" s="19"/>
      <c r="Q737" s="19"/>
    </row>
    <row r="738" spans="1:17" x14ac:dyDescent="0.25">
      <c r="A738" s="22"/>
      <c r="B738" s="22"/>
      <c r="C738" s="22"/>
      <c r="D738" s="22"/>
      <c r="E738" s="188"/>
      <c r="F738" s="19"/>
      <c r="G738" s="19"/>
      <c r="H738" s="19"/>
      <c r="I738" s="19"/>
      <c r="J738" s="38"/>
      <c r="K738" s="19"/>
      <c r="L738" s="19"/>
      <c r="M738" s="19"/>
      <c r="N738" s="19"/>
      <c r="O738" s="19"/>
      <c r="P738" s="19"/>
      <c r="Q738" s="19"/>
    </row>
    <row r="739" spans="1:17" x14ac:dyDescent="0.25">
      <c r="A739" s="22"/>
      <c r="B739" s="22"/>
      <c r="C739" s="22"/>
      <c r="D739" s="22"/>
      <c r="E739" s="188"/>
      <c r="F739" s="19"/>
      <c r="G739" s="19"/>
      <c r="H739" s="19"/>
      <c r="I739" s="19"/>
      <c r="J739" s="38"/>
      <c r="K739" s="19"/>
      <c r="L739" s="19"/>
      <c r="M739" s="19"/>
      <c r="N739" s="19"/>
      <c r="O739" s="19"/>
      <c r="P739" s="19"/>
      <c r="Q739" s="19"/>
    </row>
    <row r="740" spans="1:17" x14ac:dyDescent="0.25">
      <c r="A740" s="22"/>
      <c r="B740" s="22"/>
      <c r="C740" s="22"/>
      <c r="D740" s="22"/>
      <c r="E740" s="188"/>
      <c r="F740" s="19"/>
      <c r="G740" s="19"/>
      <c r="H740" s="19"/>
      <c r="I740" s="19"/>
      <c r="J740" s="38"/>
      <c r="K740" s="19"/>
      <c r="L740" s="19"/>
      <c r="M740" s="19"/>
      <c r="N740" s="19"/>
      <c r="O740" s="19"/>
      <c r="P740" s="19"/>
      <c r="Q740" s="19"/>
    </row>
    <row r="741" spans="1:17" x14ac:dyDescent="0.25">
      <c r="A741" s="22"/>
      <c r="B741" s="22"/>
      <c r="C741" s="22"/>
      <c r="D741" s="22"/>
      <c r="E741" s="188"/>
      <c r="F741" s="19"/>
      <c r="G741" s="19"/>
      <c r="H741" s="19"/>
      <c r="I741" s="19"/>
      <c r="J741" s="38"/>
      <c r="K741" s="19"/>
      <c r="L741" s="19"/>
      <c r="M741" s="19"/>
      <c r="N741" s="19"/>
      <c r="O741" s="19"/>
      <c r="P741" s="19"/>
      <c r="Q741" s="19"/>
    </row>
    <row r="742" spans="1:17" x14ac:dyDescent="0.25">
      <c r="A742" s="22"/>
      <c r="B742" s="22"/>
      <c r="C742" s="22"/>
      <c r="D742" s="22"/>
      <c r="E742" s="188"/>
      <c r="F742" s="19"/>
      <c r="G742" s="19"/>
      <c r="H742" s="19"/>
      <c r="I742" s="19"/>
      <c r="J742" s="38"/>
      <c r="K742" s="19"/>
      <c r="L742" s="19"/>
      <c r="M742" s="19"/>
      <c r="N742" s="19"/>
      <c r="O742" s="19"/>
      <c r="P742" s="19"/>
      <c r="Q742" s="19"/>
    </row>
    <row r="743" spans="1:17" x14ac:dyDescent="0.25">
      <c r="A743" s="22"/>
      <c r="B743" s="22"/>
      <c r="C743" s="22"/>
      <c r="D743" s="22"/>
      <c r="E743" s="188"/>
      <c r="F743" s="19"/>
      <c r="G743" s="19"/>
      <c r="H743" s="19"/>
      <c r="I743" s="19"/>
      <c r="J743" s="38"/>
      <c r="K743" s="19"/>
      <c r="L743" s="19"/>
      <c r="M743" s="19"/>
      <c r="N743" s="19"/>
      <c r="O743" s="19"/>
      <c r="P743" s="19"/>
      <c r="Q743" s="19"/>
    </row>
    <row r="744" spans="1:17" x14ac:dyDescent="0.25">
      <c r="A744" s="22"/>
      <c r="B744" s="22"/>
      <c r="C744" s="22"/>
      <c r="D744" s="22"/>
      <c r="E744" s="188"/>
      <c r="F744" s="19"/>
      <c r="G744" s="19"/>
      <c r="H744" s="19"/>
      <c r="I744" s="19"/>
      <c r="J744" s="38"/>
      <c r="K744" s="19"/>
      <c r="L744" s="19"/>
      <c r="M744" s="19"/>
      <c r="N744" s="19"/>
      <c r="O744" s="19"/>
      <c r="P744" s="19"/>
      <c r="Q744" s="19"/>
    </row>
    <row r="745" spans="1:17" x14ac:dyDescent="0.25">
      <c r="A745" s="22"/>
      <c r="B745" s="22"/>
      <c r="C745" s="22"/>
      <c r="D745" s="22"/>
      <c r="E745" s="188"/>
      <c r="F745" s="19"/>
      <c r="G745" s="19"/>
      <c r="H745" s="19"/>
      <c r="I745" s="19"/>
      <c r="J745" s="38"/>
      <c r="K745" s="19"/>
      <c r="L745" s="19"/>
      <c r="M745" s="19"/>
      <c r="N745" s="19"/>
      <c r="O745" s="19"/>
      <c r="P745" s="19"/>
      <c r="Q745" s="19"/>
    </row>
    <row r="746" spans="1:17" x14ac:dyDescent="0.25">
      <c r="A746" s="22"/>
      <c r="B746" s="22"/>
      <c r="C746" s="22"/>
      <c r="D746" s="22"/>
      <c r="E746" s="188"/>
      <c r="F746" s="19"/>
      <c r="G746" s="19"/>
      <c r="H746" s="19"/>
      <c r="I746" s="19"/>
      <c r="J746" s="38"/>
      <c r="K746" s="19"/>
      <c r="L746" s="19"/>
      <c r="M746" s="19"/>
      <c r="N746" s="19"/>
      <c r="O746" s="19"/>
      <c r="P746" s="19"/>
      <c r="Q746" s="19"/>
    </row>
    <row r="747" spans="1:17" x14ac:dyDescent="0.25">
      <c r="A747" s="22"/>
      <c r="B747" s="22"/>
      <c r="C747" s="22"/>
      <c r="D747" s="22"/>
      <c r="E747" s="188"/>
      <c r="F747" s="19"/>
      <c r="G747" s="19"/>
      <c r="H747" s="19"/>
      <c r="I747" s="19"/>
      <c r="J747" s="38"/>
      <c r="K747" s="19"/>
      <c r="L747" s="19"/>
      <c r="M747" s="19"/>
      <c r="N747" s="19"/>
      <c r="O747" s="19"/>
      <c r="P747" s="19"/>
      <c r="Q747" s="19"/>
    </row>
    <row r="748" spans="1:17" x14ac:dyDescent="0.25">
      <c r="A748" s="22"/>
      <c r="B748" s="22"/>
      <c r="C748" s="22"/>
      <c r="D748" s="22"/>
      <c r="E748" s="188"/>
      <c r="F748" s="19"/>
      <c r="G748" s="19"/>
      <c r="H748" s="19"/>
      <c r="I748" s="19"/>
      <c r="J748" s="38"/>
      <c r="K748" s="19"/>
      <c r="L748" s="19"/>
      <c r="M748" s="19"/>
      <c r="N748" s="19"/>
      <c r="O748" s="19"/>
      <c r="P748" s="19"/>
      <c r="Q748" s="19"/>
    </row>
    <row r="749" spans="1:17" x14ac:dyDescent="0.25">
      <c r="A749" s="22"/>
      <c r="B749" s="22"/>
      <c r="C749" s="22"/>
      <c r="D749" s="22"/>
      <c r="E749" s="188"/>
      <c r="F749" s="19"/>
      <c r="G749" s="19"/>
      <c r="H749" s="19"/>
      <c r="I749" s="19"/>
      <c r="J749" s="38"/>
      <c r="K749" s="19"/>
      <c r="L749" s="19"/>
      <c r="M749" s="19"/>
      <c r="N749" s="19"/>
      <c r="O749" s="19"/>
      <c r="P749" s="19"/>
      <c r="Q749" s="19"/>
    </row>
    <row r="750" spans="1:17" x14ac:dyDescent="0.25">
      <c r="A750" s="22"/>
      <c r="B750" s="22"/>
      <c r="C750" s="22"/>
      <c r="D750" s="22"/>
      <c r="E750" s="188"/>
      <c r="F750" s="19"/>
      <c r="G750" s="19"/>
      <c r="H750" s="19"/>
      <c r="I750" s="19"/>
      <c r="J750" s="38"/>
      <c r="K750" s="19"/>
      <c r="L750" s="19"/>
      <c r="M750" s="19"/>
      <c r="N750" s="19"/>
      <c r="O750" s="19"/>
      <c r="P750" s="19"/>
      <c r="Q750" s="19"/>
    </row>
    <row r="751" spans="1:17" x14ac:dyDescent="0.25">
      <c r="A751" s="22"/>
      <c r="B751" s="22"/>
      <c r="C751" s="22"/>
      <c r="D751" s="22"/>
      <c r="E751" s="188"/>
      <c r="F751" s="19"/>
      <c r="G751" s="19"/>
      <c r="H751" s="19"/>
      <c r="I751" s="19"/>
      <c r="J751" s="38"/>
      <c r="K751" s="19"/>
      <c r="L751" s="19"/>
      <c r="M751" s="19"/>
      <c r="N751" s="19"/>
      <c r="O751" s="19"/>
      <c r="P751" s="19"/>
      <c r="Q751" s="19"/>
    </row>
    <row r="752" spans="1:17" x14ac:dyDescent="0.25">
      <c r="A752" s="20"/>
      <c r="B752" s="20"/>
      <c r="C752" s="20"/>
      <c r="D752" s="20"/>
      <c r="E752" s="188"/>
      <c r="F752" s="19"/>
      <c r="G752" s="19"/>
      <c r="H752" s="19"/>
      <c r="I752" s="19"/>
      <c r="J752" s="38"/>
      <c r="K752" s="19"/>
      <c r="L752" s="19"/>
      <c r="M752" s="19"/>
      <c r="N752" s="19"/>
      <c r="O752" s="19"/>
      <c r="P752" s="19"/>
      <c r="Q752" s="19"/>
    </row>
    <row r="753" spans="1:17" x14ac:dyDescent="0.25">
      <c r="A753" s="20"/>
      <c r="B753" s="20"/>
      <c r="C753" s="20"/>
      <c r="D753" s="20"/>
      <c r="E753" s="188"/>
      <c r="F753" s="19"/>
      <c r="G753" s="19"/>
      <c r="H753" s="19"/>
      <c r="I753" s="19"/>
      <c r="J753" s="38"/>
      <c r="K753" s="19"/>
      <c r="L753" s="19"/>
      <c r="M753" s="19"/>
      <c r="N753" s="19"/>
      <c r="O753" s="19"/>
      <c r="P753" s="19"/>
      <c r="Q753" s="19"/>
    </row>
    <row r="754" spans="1:17" x14ac:dyDescent="0.25">
      <c r="A754" s="20"/>
      <c r="B754" s="20"/>
      <c r="C754" s="20"/>
      <c r="D754" s="20"/>
      <c r="E754" s="188"/>
      <c r="F754" s="19"/>
      <c r="G754" s="19"/>
      <c r="H754" s="19"/>
      <c r="I754" s="19"/>
      <c r="J754" s="38"/>
      <c r="K754" s="19"/>
      <c r="L754" s="19"/>
      <c r="M754" s="19"/>
      <c r="N754" s="19"/>
      <c r="O754" s="19"/>
      <c r="P754" s="19"/>
      <c r="Q754" s="19"/>
    </row>
    <row r="755" spans="1:17" x14ac:dyDescent="0.25">
      <c r="A755" s="20"/>
      <c r="B755" s="20"/>
      <c r="C755" s="20"/>
      <c r="D755" s="20"/>
      <c r="E755" s="188"/>
      <c r="F755" s="19"/>
      <c r="G755" s="19"/>
      <c r="H755" s="19"/>
      <c r="I755" s="19"/>
      <c r="J755" s="38"/>
      <c r="K755" s="19"/>
      <c r="L755" s="19"/>
      <c r="M755" s="19"/>
      <c r="N755" s="19"/>
      <c r="O755" s="19"/>
      <c r="P755" s="19"/>
      <c r="Q755" s="19"/>
    </row>
    <row r="756" spans="1:17" x14ac:dyDescent="0.25">
      <c r="A756" s="20"/>
      <c r="B756" s="20"/>
      <c r="C756" s="20"/>
      <c r="D756" s="20"/>
      <c r="E756" s="188"/>
      <c r="F756" s="19"/>
      <c r="G756" s="19"/>
      <c r="H756" s="19"/>
      <c r="I756" s="19"/>
      <c r="J756" s="38"/>
      <c r="K756" s="19"/>
      <c r="L756" s="19"/>
      <c r="M756" s="19"/>
      <c r="N756" s="19"/>
      <c r="O756" s="19"/>
      <c r="P756" s="19"/>
      <c r="Q756" s="19"/>
    </row>
    <row r="757" spans="1:17" x14ac:dyDescent="0.25">
      <c r="A757" s="20"/>
      <c r="B757" s="20"/>
      <c r="C757" s="20"/>
      <c r="D757" s="20"/>
      <c r="E757" s="188"/>
      <c r="F757" s="19"/>
      <c r="G757" s="19"/>
      <c r="H757" s="19"/>
      <c r="I757" s="19"/>
      <c r="J757" s="38"/>
      <c r="K757" s="19"/>
      <c r="L757" s="19"/>
      <c r="M757" s="19"/>
      <c r="N757" s="19"/>
      <c r="O757" s="19"/>
      <c r="P757" s="19"/>
      <c r="Q757" s="19"/>
    </row>
    <row r="758" spans="1:17" x14ac:dyDescent="0.25">
      <c r="A758" s="20"/>
      <c r="B758" s="20"/>
      <c r="C758" s="20"/>
      <c r="D758" s="20"/>
      <c r="E758" s="188"/>
      <c r="F758" s="19"/>
      <c r="G758" s="19"/>
      <c r="H758" s="19"/>
      <c r="I758" s="19"/>
      <c r="J758" s="38"/>
      <c r="K758" s="19"/>
      <c r="L758" s="19"/>
      <c r="M758" s="19"/>
      <c r="N758" s="19"/>
      <c r="O758" s="19"/>
      <c r="P758" s="19"/>
      <c r="Q758" s="19"/>
    </row>
    <row r="759" spans="1:17" x14ac:dyDescent="0.25">
      <c r="A759" s="20"/>
      <c r="B759" s="20"/>
      <c r="C759" s="20"/>
      <c r="D759" s="20"/>
      <c r="E759" s="188"/>
      <c r="F759" s="19"/>
      <c r="G759" s="19"/>
      <c r="H759" s="19"/>
      <c r="I759" s="19"/>
      <c r="J759" s="38"/>
      <c r="K759" s="19"/>
      <c r="L759" s="19"/>
      <c r="M759" s="19"/>
      <c r="N759" s="19"/>
      <c r="O759" s="19"/>
      <c r="P759" s="19"/>
      <c r="Q759" s="19"/>
    </row>
    <row r="760" spans="1:17" x14ac:dyDescent="0.25">
      <c r="A760" s="20"/>
      <c r="B760" s="20"/>
      <c r="C760" s="20"/>
      <c r="D760" s="20"/>
      <c r="E760" s="188"/>
      <c r="F760" s="19"/>
      <c r="G760" s="19"/>
      <c r="H760" s="19"/>
      <c r="I760" s="19"/>
      <c r="J760" s="38"/>
      <c r="K760" s="19"/>
      <c r="L760" s="19"/>
      <c r="M760" s="19"/>
      <c r="N760" s="19"/>
      <c r="O760" s="19"/>
      <c r="P760" s="19"/>
      <c r="Q760" s="19"/>
    </row>
    <row r="761" spans="1:17" x14ac:dyDescent="0.25">
      <c r="A761" s="20"/>
      <c r="B761" s="20"/>
      <c r="C761" s="20"/>
      <c r="D761" s="20"/>
      <c r="E761" s="188"/>
      <c r="F761" s="19"/>
      <c r="G761" s="19"/>
      <c r="H761" s="19"/>
      <c r="I761" s="19"/>
      <c r="J761" s="38"/>
      <c r="K761" s="19"/>
      <c r="L761" s="19"/>
      <c r="M761" s="19"/>
      <c r="N761" s="19"/>
      <c r="O761" s="19"/>
      <c r="P761" s="19"/>
      <c r="Q761" s="19"/>
    </row>
    <row r="762" spans="1:17" x14ac:dyDescent="0.25">
      <c r="A762" s="20"/>
      <c r="B762" s="20"/>
      <c r="C762" s="20"/>
      <c r="D762" s="20"/>
      <c r="E762" s="188"/>
      <c r="F762" s="19"/>
      <c r="G762" s="19"/>
      <c r="H762" s="19"/>
      <c r="I762" s="19"/>
      <c r="J762" s="38"/>
      <c r="K762" s="19"/>
      <c r="L762" s="19"/>
      <c r="M762" s="19"/>
      <c r="N762" s="19"/>
      <c r="O762" s="19"/>
      <c r="P762" s="19"/>
      <c r="Q762" s="19"/>
    </row>
    <row r="763" spans="1:17" x14ac:dyDescent="0.25">
      <c r="A763" s="20"/>
      <c r="B763" s="20"/>
      <c r="C763" s="20"/>
      <c r="D763" s="20"/>
      <c r="E763" s="188"/>
      <c r="F763" s="19"/>
      <c r="G763" s="19"/>
      <c r="H763" s="19"/>
      <c r="I763" s="19"/>
      <c r="J763" s="38"/>
      <c r="K763" s="19"/>
      <c r="L763" s="19"/>
      <c r="M763" s="19"/>
      <c r="N763" s="19"/>
      <c r="O763" s="19"/>
      <c r="P763" s="19"/>
      <c r="Q763" s="19"/>
    </row>
    <row r="764" spans="1:17" x14ac:dyDescent="0.25">
      <c r="A764" s="20"/>
      <c r="B764" s="20"/>
      <c r="C764" s="20"/>
      <c r="D764" s="20"/>
      <c r="E764" s="188"/>
      <c r="F764" s="19"/>
      <c r="G764" s="19"/>
      <c r="H764" s="19"/>
      <c r="I764" s="19"/>
      <c r="J764" s="38"/>
      <c r="K764" s="19"/>
      <c r="L764" s="19"/>
      <c r="M764" s="19"/>
      <c r="N764" s="19"/>
      <c r="O764" s="19"/>
      <c r="P764" s="19"/>
      <c r="Q764" s="19"/>
    </row>
    <row r="765" spans="1:17" x14ac:dyDescent="0.25">
      <c r="A765" s="20"/>
      <c r="B765" s="20"/>
      <c r="C765" s="20"/>
      <c r="D765" s="20"/>
      <c r="E765" s="188"/>
      <c r="F765" s="19"/>
      <c r="G765" s="19"/>
      <c r="H765" s="19"/>
      <c r="I765" s="19"/>
      <c r="J765" s="38"/>
      <c r="K765" s="19"/>
      <c r="L765" s="19"/>
      <c r="M765" s="19"/>
      <c r="N765" s="19"/>
      <c r="O765" s="19"/>
      <c r="P765" s="19"/>
      <c r="Q765" s="19"/>
    </row>
    <row r="766" spans="1:17" x14ac:dyDescent="0.25">
      <c r="A766" s="20"/>
      <c r="B766" s="20"/>
      <c r="C766" s="20"/>
      <c r="D766" s="20"/>
      <c r="E766" s="188"/>
      <c r="F766" s="19"/>
      <c r="G766" s="19"/>
      <c r="H766" s="19"/>
      <c r="I766" s="19"/>
      <c r="J766" s="38"/>
      <c r="K766" s="19"/>
      <c r="L766" s="19"/>
      <c r="M766" s="19"/>
      <c r="N766" s="19"/>
      <c r="O766" s="19"/>
      <c r="P766" s="19"/>
      <c r="Q766" s="19"/>
    </row>
    <row r="767" spans="1:17" x14ac:dyDescent="0.25">
      <c r="A767" s="20"/>
      <c r="B767" s="20"/>
      <c r="C767" s="20"/>
      <c r="D767" s="20"/>
      <c r="E767" s="188"/>
      <c r="F767" s="19"/>
      <c r="G767" s="19"/>
      <c r="H767" s="19"/>
      <c r="I767" s="19"/>
      <c r="J767" s="38"/>
      <c r="K767" s="19"/>
      <c r="L767" s="19"/>
      <c r="M767" s="19"/>
      <c r="N767" s="19"/>
      <c r="O767" s="19"/>
      <c r="P767" s="19"/>
      <c r="Q767" s="19"/>
    </row>
    <row r="768" spans="1:17" x14ac:dyDescent="0.25">
      <c r="A768" s="20"/>
      <c r="B768" s="20"/>
      <c r="C768" s="20"/>
      <c r="D768" s="20"/>
      <c r="E768" s="188"/>
      <c r="F768" s="19"/>
      <c r="G768" s="19"/>
      <c r="H768" s="19"/>
      <c r="I768" s="19"/>
      <c r="J768" s="38"/>
      <c r="K768" s="19"/>
      <c r="L768" s="19"/>
      <c r="M768" s="19"/>
      <c r="N768" s="19"/>
      <c r="O768" s="19"/>
      <c r="P768" s="19"/>
      <c r="Q768" s="19"/>
    </row>
    <row r="769" spans="1:17" x14ac:dyDescent="0.25">
      <c r="A769" s="20"/>
      <c r="B769" s="20"/>
      <c r="C769" s="20"/>
      <c r="D769" s="20"/>
      <c r="E769" s="188"/>
      <c r="F769" s="19"/>
      <c r="G769" s="19"/>
      <c r="H769" s="19"/>
      <c r="I769" s="19"/>
      <c r="J769" s="38"/>
      <c r="K769" s="19"/>
      <c r="L769" s="19"/>
      <c r="M769" s="19"/>
      <c r="N769" s="19"/>
      <c r="O769" s="19"/>
      <c r="P769" s="19"/>
      <c r="Q769" s="19"/>
    </row>
    <row r="770" spans="1:17" x14ac:dyDescent="0.25">
      <c r="A770" s="20"/>
      <c r="B770" s="20"/>
      <c r="C770" s="20"/>
      <c r="D770" s="20"/>
      <c r="E770" s="188"/>
      <c r="F770" s="19"/>
      <c r="G770" s="19"/>
      <c r="H770" s="19"/>
      <c r="I770" s="19"/>
      <c r="J770" s="38"/>
      <c r="K770" s="19"/>
      <c r="L770" s="19"/>
      <c r="M770" s="19"/>
      <c r="N770" s="19"/>
      <c r="O770" s="19"/>
      <c r="P770" s="19"/>
      <c r="Q770" s="19"/>
    </row>
    <row r="771" spans="1:17" x14ac:dyDescent="0.25">
      <c r="A771" s="20"/>
      <c r="B771" s="20"/>
      <c r="C771" s="20"/>
      <c r="D771" s="20"/>
      <c r="E771" s="188"/>
      <c r="F771" s="19"/>
      <c r="G771" s="19"/>
      <c r="H771" s="19"/>
      <c r="I771" s="19"/>
      <c r="J771" s="38"/>
      <c r="K771" s="19"/>
      <c r="L771" s="19"/>
      <c r="M771" s="19"/>
      <c r="N771" s="19"/>
      <c r="O771" s="19"/>
      <c r="P771" s="19"/>
      <c r="Q771" s="19"/>
    </row>
    <row r="772" spans="1:17" x14ac:dyDescent="0.25">
      <c r="A772" s="20"/>
      <c r="B772" s="20"/>
      <c r="C772" s="20"/>
      <c r="D772" s="20"/>
      <c r="E772" s="188"/>
      <c r="F772" s="19"/>
      <c r="G772" s="19"/>
      <c r="H772" s="19"/>
      <c r="I772" s="19"/>
      <c r="J772" s="38"/>
      <c r="K772" s="19"/>
      <c r="L772" s="19"/>
      <c r="M772" s="19"/>
      <c r="N772" s="19"/>
      <c r="O772" s="19"/>
      <c r="P772" s="19"/>
      <c r="Q772" s="19"/>
    </row>
    <row r="773" spans="1:17" x14ac:dyDescent="0.25">
      <c r="A773" s="20"/>
      <c r="B773" s="20"/>
      <c r="C773" s="20"/>
      <c r="D773" s="20"/>
      <c r="E773" s="188"/>
      <c r="F773" s="19"/>
      <c r="G773" s="19"/>
      <c r="H773" s="19"/>
      <c r="I773" s="19"/>
      <c r="J773" s="38"/>
      <c r="K773" s="19"/>
      <c r="L773" s="19"/>
      <c r="M773" s="19"/>
      <c r="N773" s="19"/>
      <c r="O773" s="19"/>
      <c r="P773" s="19"/>
      <c r="Q773" s="19"/>
    </row>
    <row r="774" spans="1:17" x14ac:dyDescent="0.25">
      <c r="A774" s="20"/>
      <c r="B774" s="20"/>
      <c r="C774" s="20"/>
      <c r="D774" s="20"/>
      <c r="E774" s="188"/>
      <c r="F774" s="19"/>
      <c r="G774" s="19"/>
      <c r="H774" s="19"/>
      <c r="I774" s="19"/>
      <c r="J774" s="38"/>
      <c r="K774" s="19"/>
      <c r="L774" s="19"/>
      <c r="M774" s="19"/>
      <c r="N774" s="19"/>
      <c r="O774" s="19"/>
      <c r="P774" s="19"/>
      <c r="Q774" s="19"/>
    </row>
    <row r="775" spans="1:17" x14ac:dyDescent="0.25">
      <c r="A775" s="20"/>
      <c r="B775" s="20"/>
      <c r="C775" s="20"/>
      <c r="D775" s="20"/>
      <c r="E775" s="188"/>
      <c r="F775" s="19"/>
      <c r="G775" s="19"/>
      <c r="H775" s="19"/>
      <c r="I775" s="19"/>
      <c r="J775" s="38"/>
      <c r="K775" s="19"/>
      <c r="L775" s="19"/>
      <c r="M775" s="19"/>
      <c r="N775" s="19"/>
      <c r="O775" s="19"/>
      <c r="P775" s="19"/>
      <c r="Q775" s="19"/>
    </row>
    <row r="776" spans="1:17" x14ac:dyDescent="0.25">
      <c r="A776" s="20"/>
      <c r="B776" s="20"/>
      <c r="C776" s="20"/>
      <c r="D776" s="20"/>
      <c r="E776" s="188"/>
      <c r="F776" s="19"/>
      <c r="G776" s="19"/>
      <c r="H776" s="19"/>
      <c r="I776" s="19"/>
      <c r="J776" s="38"/>
      <c r="K776" s="19"/>
      <c r="L776" s="19"/>
      <c r="M776" s="19"/>
      <c r="N776" s="19"/>
      <c r="O776" s="19"/>
      <c r="P776" s="19"/>
      <c r="Q776" s="19"/>
    </row>
    <row r="777" spans="1:17" x14ac:dyDescent="0.25">
      <c r="A777" s="20"/>
      <c r="B777" s="20"/>
      <c r="C777" s="20"/>
      <c r="D777" s="20"/>
      <c r="E777" s="188"/>
      <c r="F777" s="19"/>
      <c r="G777" s="19"/>
      <c r="H777" s="19"/>
      <c r="I777" s="19"/>
      <c r="J777" s="38"/>
      <c r="K777" s="19"/>
      <c r="L777" s="19"/>
      <c r="M777" s="19"/>
      <c r="N777" s="19"/>
      <c r="O777" s="19"/>
      <c r="P777" s="19"/>
      <c r="Q777" s="19"/>
    </row>
    <row r="778" spans="1:17" x14ac:dyDescent="0.25">
      <c r="A778" s="20"/>
      <c r="B778" s="20"/>
      <c r="C778" s="20"/>
      <c r="D778" s="20"/>
      <c r="E778" s="188"/>
      <c r="F778" s="19"/>
      <c r="G778" s="19"/>
      <c r="H778" s="19"/>
      <c r="I778" s="19"/>
      <c r="J778" s="38"/>
      <c r="K778" s="19"/>
      <c r="L778" s="19"/>
      <c r="M778" s="19"/>
      <c r="N778" s="19"/>
      <c r="O778" s="19"/>
      <c r="P778" s="19"/>
      <c r="Q778" s="19"/>
    </row>
    <row r="779" spans="1:17" x14ac:dyDescent="0.25">
      <c r="A779" s="20"/>
      <c r="B779" s="20"/>
      <c r="C779" s="20"/>
      <c r="D779" s="20"/>
      <c r="E779" s="188"/>
      <c r="F779" s="19"/>
      <c r="G779" s="19"/>
      <c r="H779" s="19"/>
      <c r="I779" s="19"/>
      <c r="J779" s="38"/>
      <c r="K779" s="19"/>
      <c r="L779" s="19"/>
      <c r="M779" s="19"/>
      <c r="N779" s="19"/>
      <c r="O779" s="19"/>
      <c r="P779" s="19"/>
      <c r="Q779" s="19"/>
    </row>
    <row r="780" spans="1:17" x14ac:dyDescent="0.25">
      <c r="A780" s="20"/>
      <c r="B780" s="20"/>
      <c r="C780" s="20"/>
      <c r="D780" s="20"/>
      <c r="E780" s="188"/>
      <c r="F780" s="19"/>
      <c r="G780" s="19"/>
      <c r="H780" s="19"/>
      <c r="I780" s="19"/>
      <c r="J780" s="38"/>
      <c r="K780" s="19"/>
      <c r="L780" s="19"/>
      <c r="M780" s="19"/>
      <c r="N780" s="19"/>
      <c r="O780" s="19"/>
      <c r="P780" s="19"/>
      <c r="Q780" s="19"/>
    </row>
    <row r="781" spans="1:17" x14ac:dyDescent="0.25">
      <c r="A781" s="20"/>
      <c r="B781" s="20"/>
      <c r="C781" s="20"/>
      <c r="D781" s="20"/>
      <c r="E781" s="188"/>
      <c r="F781" s="19"/>
      <c r="G781" s="19"/>
      <c r="H781" s="19"/>
      <c r="I781" s="19"/>
      <c r="J781" s="38"/>
      <c r="K781" s="19"/>
      <c r="L781" s="19"/>
      <c r="M781" s="19"/>
      <c r="N781" s="19"/>
      <c r="O781" s="19"/>
      <c r="P781" s="19"/>
      <c r="Q781" s="19"/>
    </row>
    <row r="782" spans="1:17" x14ac:dyDescent="0.25">
      <c r="A782" s="20"/>
      <c r="B782" s="20"/>
      <c r="C782" s="20"/>
      <c r="D782" s="20"/>
      <c r="E782" s="188"/>
      <c r="F782" s="19"/>
      <c r="G782" s="19"/>
      <c r="H782" s="19"/>
      <c r="I782" s="19"/>
      <c r="J782" s="38"/>
      <c r="K782" s="19"/>
      <c r="L782" s="19"/>
      <c r="M782" s="19"/>
      <c r="N782" s="19"/>
      <c r="O782" s="19"/>
      <c r="P782" s="19"/>
      <c r="Q782" s="19"/>
    </row>
    <row r="783" spans="1:17" x14ac:dyDescent="0.25">
      <c r="A783" s="20"/>
      <c r="B783" s="20"/>
      <c r="C783" s="20"/>
      <c r="D783" s="20"/>
      <c r="E783" s="188"/>
      <c r="F783" s="19"/>
      <c r="G783" s="19"/>
      <c r="H783" s="19"/>
      <c r="I783" s="19"/>
      <c r="J783" s="38"/>
      <c r="K783" s="19"/>
      <c r="L783" s="19"/>
      <c r="M783" s="19"/>
      <c r="N783" s="19"/>
      <c r="O783" s="19"/>
      <c r="P783" s="19"/>
      <c r="Q783" s="19"/>
    </row>
    <row r="784" spans="1:17" x14ac:dyDescent="0.25">
      <c r="A784" s="20"/>
      <c r="B784" s="20"/>
      <c r="C784" s="20"/>
      <c r="D784" s="20"/>
      <c r="E784" s="188"/>
      <c r="F784" s="19"/>
      <c r="G784" s="19"/>
      <c r="H784" s="19"/>
      <c r="I784" s="19"/>
      <c r="J784" s="38"/>
      <c r="K784" s="19"/>
      <c r="L784" s="19"/>
      <c r="M784" s="19"/>
      <c r="N784" s="19"/>
      <c r="O784" s="19"/>
      <c r="P784" s="19"/>
      <c r="Q784" s="19"/>
    </row>
    <row r="785" spans="1:17" x14ac:dyDescent="0.25">
      <c r="A785" s="20"/>
      <c r="B785" s="20"/>
      <c r="C785" s="20"/>
      <c r="D785" s="20"/>
      <c r="E785" s="188"/>
      <c r="F785" s="19"/>
      <c r="G785" s="19"/>
      <c r="H785" s="19"/>
      <c r="I785" s="19"/>
      <c r="J785" s="38"/>
      <c r="K785" s="19"/>
      <c r="L785" s="19"/>
      <c r="M785" s="19"/>
      <c r="N785" s="19"/>
      <c r="O785" s="19"/>
      <c r="P785" s="19"/>
      <c r="Q785" s="19"/>
    </row>
    <row r="786" spans="1:17" x14ac:dyDescent="0.25">
      <c r="A786" s="20"/>
      <c r="B786" s="20"/>
      <c r="C786" s="20"/>
      <c r="D786" s="20"/>
      <c r="E786" s="188"/>
      <c r="F786" s="19"/>
      <c r="G786" s="19"/>
      <c r="H786" s="19"/>
      <c r="I786" s="19"/>
      <c r="J786" s="38"/>
      <c r="K786" s="19"/>
      <c r="L786" s="19"/>
      <c r="M786" s="19"/>
      <c r="N786" s="19"/>
      <c r="O786" s="19"/>
      <c r="P786" s="19"/>
      <c r="Q786" s="19"/>
    </row>
    <row r="787" spans="1:17" x14ac:dyDescent="0.25">
      <c r="A787" s="20"/>
      <c r="B787" s="20"/>
      <c r="C787" s="20"/>
      <c r="D787" s="20"/>
      <c r="E787" s="188"/>
      <c r="F787" s="19"/>
      <c r="G787" s="19"/>
      <c r="H787" s="19"/>
      <c r="I787" s="19"/>
      <c r="J787" s="38"/>
      <c r="K787" s="19"/>
      <c r="L787" s="19"/>
      <c r="M787" s="19"/>
      <c r="N787" s="19"/>
      <c r="O787" s="19"/>
      <c r="P787" s="19"/>
      <c r="Q787" s="19"/>
    </row>
    <row r="788" spans="1:17" x14ac:dyDescent="0.25">
      <c r="A788" s="20"/>
      <c r="B788" s="20"/>
      <c r="C788" s="20"/>
      <c r="D788" s="20"/>
      <c r="E788" s="188"/>
      <c r="F788" s="19"/>
      <c r="G788" s="19"/>
      <c r="H788" s="19"/>
      <c r="I788" s="19"/>
      <c r="J788" s="38"/>
      <c r="K788" s="19"/>
      <c r="L788" s="19"/>
      <c r="M788" s="19"/>
      <c r="N788" s="19"/>
      <c r="O788" s="19"/>
      <c r="P788" s="19"/>
      <c r="Q788" s="19"/>
    </row>
    <row r="789" spans="1:17" x14ac:dyDescent="0.25">
      <c r="A789" s="20"/>
      <c r="B789" s="20"/>
      <c r="C789" s="20"/>
      <c r="D789" s="20"/>
      <c r="E789" s="188"/>
      <c r="F789" s="19"/>
      <c r="G789" s="19"/>
      <c r="H789" s="19"/>
      <c r="I789" s="19"/>
      <c r="J789" s="38"/>
      <c r="K789" s="19"/>
      <c r="L789" s="19"/>
      <c r="M789" s="19"/>
      <c r="N789" s="19"/>
      <c r="O789" s="19"/>
      <c r="P789" s="19"/>
      <c r="Q789" s="19"/>
    </row>
    <row r="790" spans="1:17" x14ac:dyDescent="0.25">
      <c r="A790" s="20"/>
      <c r="B790" s="20"/>
      <c r="C790" s="20"/>
      <c r="D790" s="20"/>
      <c r="E790" s="188"/>
      <c r="F790" s="19"/>
      <c r="G790" s="19"/>
      <c r="H790" s="19"/>
      <c r="I790" s="19"/>
      <c r="J790" s="38"/>
      <c r="K790" s="19"/>
      <c r="L790" s="19"/>
      <c r="M790" s="19"/>
      <c r="N790" s="19"/>
      <c r="O790" s="19"/>
      <c r="P790" s="19"/>
      <c r="Q790" s="19"/>
    </row>
    <row r="791" spans="1:17" x14ac:dyDescent="0.25">
      <c r="A791" s="20"/>
      <c r="B791" s="20"/>
      <c r="C791" s="20"/>
      <c r="D791" s="20"/>
      <c r="E791" s="188"/>
      <c r="F791" s="19"/>
      <c r="G791" s="19"/>
      <c r="H791" s="19"/>
      <c r="I791" s="19"/>
      <c r="J791" s="38"/>
      <c r="K791" s="19"/>
      <c r="L791" s="19"/>
      <c r="M791" s="19"/>
      <c r="N791" s="19"/>
      <c r="O791" s="19"/>
      <c r="P791" s="19"/>
      <c r="Q791" s="19"/>
    </row>
    <row r="792" spans="1:17" x14ac:dyDescent="0.25">
      <c r="A792" s="20"/>
      <c r="B792" s="20"/>
      <c r="C792" s="20"/>
      <c r="D792" s="20"/>
      <c r="E792" s="188"/>
      <c r="F792" s="19"/>
      <c r="G792" s="19"/>
      <c r="H792" s="19"/>
      <c r="I792" s="19"/>
      <c r="J792" s="38"/>
      <c r="K792" s="19"/>
      <c r="L792" s="19"/>
      <c r="M792" s="19"/>
      <c r="N792" s="19"/>
      <c r="O792" s="19"/>
      <c r="P792" s="19"/>
      <c r="Q792" s="19"/>
    </row>
    <row r="793" spans="1:17" x14ac:dyDescent="0.25">
      <c r="A793" s="20"/>
      <c r="B793" s="20"/>
      <c r="C793" s="20"/>
      <c r="D793" s="20"/>
      <c r="E793" s="188"/>
      <c r="F793" s="19"/>
      <c r="G793" s="19"/>
      <c r="H793" s="19"/>
      <c r="I793" s="19"/>
      <c r="J793" s="38"/>
      <c r="K793" s="19"/>
      <c r="L793" s="19"/>
      <c r="M793" s="19"/>
      <c r="N793" s="19"/>
      <c r="O793" s="19"/>
      <c r="P793" s="19"/>
      <c r="Q793" s="19"/>
    </row>
    <row r="794" spans="1:17" x14ac:dyDescent="0.25">
      <c r="A794" s="20"/>
      <c r="B794" s="20"/>
      <c r="C794" s="20"/>
      <c r="D794" s="20"/>
      <c r="E794" s="188"/>
      <c r="F794" s="19"/>
      <c r="G794" s="19"/>
      <c r="H794" s="19"/>
      <c r="I794" s="19"/>
      <c r="J794" s="38"/>
      <c r="K794" s="19"/>
      <c r="L794" s="19"/>
      <c r="M794" s="19"/>
      <c r="N794" s="19"/>
      <c r="O794" s="19"/>
      <c r="P794" s="19"/>
      <c r="Q794" s="19"/>
    </row>
    <row r="795" spans="1:17" x14ac:dyDescent="0.25">
      <c r="A795" s="20"/>
      <c r="B795" s="20"/>
      <c r="C795" s="20"/>
      <c r="D795" s="20"/>
      <c r="E795" s="188"/>
      <c r="F795" s="19"/>
      <c r="G795" s="19"/>
      <c r="H795" s="19"/>
      <c r="I795" s="19"/>
      <c r="J795" s="38"/>
      <c r="K795" s="19"/>
      <c r="L795" s="19"/>
      <c r="M795" s="19"/>
      <c r="N795" s="19"/>
      <c r="O795" s="19"/>
      <c r="P795" s="19"/>
      <c r="Q795" s="19"/>
    </row>
    <row r="796" spans="1:17" x14ac:dyDescent="0.25">
      <c r="A796" s="20"/>
      <c r="B796" s="20"/>
      <c r="C796" s="20"/>
      <c r="D796" s="20"/>
      <c r="E796" s="188"/>
      <c r="F796" s="19"/>
      <c r="G796" s="19"/>
      <c r="H796" s="19"/>
      <c r="I796" s="19"/>
      <c r="J796" s="38"/>
      <c r="K796" s="19"/>
      <c r="L796" s="19"/>
      <c r="M796" s="19"/>
      <c r="N796" s="19"/>
      <c r="O796" s="19"/>
      <c r="P796" s="19"/>
      <c r="Q796" s="19"/>
    </row>
    <row r="797" spans="1:17" x14ac:dyDescent="0.25">
      <c r="A797" s="20"/>
      <c r="B797" s="20"/>
      <c r="C797" s="20"/>
      <c r="D797" s="20"/>
      <c r="E797" s="188"/>
      <c r="F797" s="19"/>
      <c r="G797" s="19"/>
      <c r="H797" s="19"/>
      <c r="I797" s="19"/>
      <c r="J797" s="38"/>
      <c r="K797" s="19"/>
      <c r="L797" s="19"/>
      <c r="M797" s="19"/>
      <c r="N797" s="19"/>
      <c r="O797" s="19"/>
      <c r="P797" s="19"/>
      <c r="Q797" s="19"/>
    </row>
    <row r="798" spans="1:17" x14ac:dyDescent="0.25">
      <c r="A798" s="20"/>
      <c r="B798" s="20"/>
      <c r="C798" s="20"/>
      <c r="D798" s="20"/>
      <c r="E798" s="188"/>
      <c r="F798" s="19"/>
      <c r="G798" s="19"/>
      <c r="H798" s="19"/>
      <c r="I798" s="19"/>
      <c r="J798" s="38"/>
      <c r="K798" s="19"/>
      <c r="L798" s="19"/>
      <c r="M798" s="19"/>
      <c r="N798" s="19"/>
      <c r="O798" s="19"/>
      <c r="P798" s="19"/>
      <c r="Q798" s="19"/>
    </row>
    <row r="799" spans="1:17" x14ac:dyDescent="0.25">
      <c r="A799" s="20"/>
      <c r="B799" s="20"/>
      <c r="C799" s="20"/>
      <c r="D799" s="20"/>
      <c r="E799" s="188"/>
      <c r="F799" s="19"/>
      <c r="G799" s="19"/>
      <c r="H799" s="19"/>
      <c r="I799" s="19"/>
      <c r="J799" s="38"/>
      <c r="K799" s="19"/>
      <c r="L799" s="19"/>
      <c r="M799" s="19"/>
      <c r="N799" s="19"/>
      <c r="O799" s="19"/>
      <c r="P799" s="19"/>
      <c r="Q799" s="19"/>
    </row>
    <row r="800" spans="1:17" x14ac:dyDescent="0.25">
      <c r="A800" s="20"/>
      <c r="B800" s="20"/>
      <c r="C800" s="20"/>
      <c r="D800" s="20"/>
      <c r="E800" s="188"/>
      <c r="F800" s="19"/>
      <c r="G800" s="19"/>
      <c r="H800" s="19"/>
      <c r="I800" s="19"/>
      <c r="J800" s="38"/>
      <c r="K800" s="19"/>
      <c r="L800" s="19"/>
      <c r="M800" s="19"/>
      <c r="N800" s="19"/>
      <c r="O800" s="19"/>
      <c r="P800" s="19"/>
      <c r="Q800" s="19"/>
    </row>
    <row r="801" spans="1:17" x14ac:dyDescent="0.25">
      <c r="A801" s="20"/>
      <c r="B801" s="20"/>
      <c r="C801" s="20"/>
      <c r="D801" s="20"/>
      <c r="E801" s="188"/>
      <c r="F801" s="19"/>
      <c r="G801" s="19"/>
      <c r="H801" s="19"/>
      <c r="I801" s="19"/>
      <c r="J801" s="38"/>
      <c r="K801" s="19"/>
      <c r="L801" s="19"/>
      <c r="M801" s="19"/>
      <c r="N801" s="19"/>
      <c r="O801" s="19"/>
      <c r="P801" s="19"/>
      <c r="Q801" s="19"/>
    </row>
    <row r="802" spans="1:17" x14ac:dyDescent="0.25">
      <c r="A802" s="20"/>
      <c r="B802" s="20"/>
      <c r="C802" s="20"/>
      <c r="D802" s="20"/>
      <c r="E802" s="188"/>
      <c r="F802" s="19"/>
      <c r="G802" s="19"/>
      <c r="H802" s="19"/>
      <c r="I802" s="19"/>
      <c r="J802" s="38"/>
      <c r="K802" s="19"/>
      <c r="L802" s="19"/>
      <c r="M802" s="19"/>
      <c r="N802" s="19"/>
      <c r="O802" s="19"/>
      <c r="P802" s="19"/>
      <c r="Q802" s="19"/>
    </row>
    <row r="803" spans="1:17" x14ac:dyDescent="0.25">
      <c r="A803" s="20"/>
      <c r="B803" s="20"/>
      <c r="C803" s="20"/>
      <c r="D803" s="20"/>
      <c r="E803" s="188"/>
      <c r="F803" s="19"/>
      <c r="G803" s="19"/>
      <c r="H803" s="19"/>
      <c r="I803" s="19"/>
      <c r="J803" s="38"/>
      <c r="K803" s="19"/>
      <c r="L803" s="19"/>
      <c r="M803" s="19"/>
      <c r="N803" s="19"/>
      <c r="O803" s="19"/>
      <c r="P803" s="19"/>
      <c r="Q803" s="19"/>
    </row>
    <row r="804" spans="1:17" x14ac:dyDescent="0.25">
      <c r="A804" s="20"/>
      <c r="B804" s="20"/>
      <c r="C804" s="20"/>
      <c r="D804" s="20"/>
      <c r="E804" s="188"/>
      <c r="F804" s="19"/>
      <c r="G804" s="19"/>
      <c r="H804" s="19"/>
      <c r="I804" s="19"/>
      <c r="J804" s="38"/>
      <c r="K804" s="19"/>
      <c r="L804" s="19"/>
      <c r="M804" s="19"/>
      <c r="N804" s="19"/>
      <c r="O804" s="19"/>
      <c r="P804" s="19"/>
      <c r="Q804" s="19"/>
    </row>
    <row r="805" spans="1:17" x14ac:dyDescent="0.25">
      <c r="A805" s="20"/>
      <c r="B805" s="20"/>
      <c r="C805" s="20"/>
      <c r="D805" s="20"/>
      <c r="E805" s="188"/>
      <c r="F805" s="19"/>
      <c r="G805" s="19"/>
      <c r="H805" s="19"/>
      <c r="I805" s="19"/>
      <c r="J805" s="38"/>
      <c r="K805" s="19"/>
      <c r="L805" s="19"/>
      <c r="M805" s="19"/>
      <c r="N805" s="19"/>
      <c r="O805" s="19"/>
      <c r="P805" s="19"/>
      <c r="Q805" s="19"/>
    </row>
    <row r="806" spans="1:17" x14ac:dyDescent="0.25">
      <c r="A806" s="20"/>
      <c r="B806" s="20"/>
      <c r="C806" s="20"/>
      <c r="D806" s="20"/>
      <c r="E806" s="188"/>
      <c r="F806" s="19"/>
      <c r="G806" s="19"/>
      <c r="H806" s="19"/>
      <c r="I806" s="19"/>
      <c r="J806" s="38"/>
      <c r="K806" s="19"/>
      <c r="L806" s="19"/>
      <c r="M806" s="19"/>
      <c r="N806" s="19"/>
      <c r="O806" s="19"/>
      <c r="P806" s="19"/>
      <c r="Q806" s="19"/>
    </row>
    <row r="807" spans="1:17" x14ac:dyDescent="0.25">
      <c r="A807" s="20"/>
      <c r="B807" s="20"/>
      <c r="C807" s="20"/>
      <c r="D807" s="20"/>
      <c r="E807" s="188"/>
      <c r="F807" s="19"/>
      <c r="G807" s="19"/>
      <c r="H807" s="19"/>
      <c r="I807" s="19"/>
      <c r="J807" s="38"/>
      <c r="K807" s="19"/>
      <c r="L807" s="19"/>
      <c r="M807" s="19"/>
      <c r="N807" s="19"/>
      <c r="O807" s="19"/>
      <c r="P807" s="19"/>
      <c r="Q807" s="19"/>
    </row>
    <row r="808" spans="1:17" x14ac:dyDescent="0.25">
      <c r="A808" s="20"/>
      <c r="B808" s="20"/>
      <c r="C808" s="20"/>
      <c r="D808" s="20"/>
      <c r="E808" s="188"/>
      <c r="F808" s="19"/>
      <c r="G808" s="19"/>
      <c r="H808" s="19"/>
      <c r="I808" s="19"/>
      <c r="J808" s="38"/>
      <c r="K808" s="19"/>
      <c r="L808" s="19"/>
      <c r="M808" s="19"/>
      <c r="N808" s="19"/>
      <c r="O808" s="19"/>
      <c r="P808" s="19"/>
      <c r="Q808" s="19"/>
    </row>
    <row r="809" spans="1:17" x14ac:dyDescent="0.25">
      <c r="A809" s="20"/>
      <c r="B809" s="20"/>
      <c r="C809" s="20"/>
      <c r="D809" s="20"/>
      <c r="E809" s="188"/>
      <c r="F809" s="19"/>
      <c r="G809" s="19"/>
      <c r="H809" s="19"/>
      <c r="I809" s="19"/>
      <c r="J809" s="38"/>
      <c r="K809" s="19"/>
      <c r="L809" s="19"/>
      <c r="M809" s="19"/>
      <c r="N809" s="19"/>
      <c r="O809" s="19"/>
      <c r="P809" s="19"/>
      <c r="Q809" s="19"/>
    </row>
    <row r="810" spans="1:17" x14ac:dyDescent="0.25">
      <c r="A810" s="20"/>
      <c r="B810" s="20"/>
      <c r="C810" s="20"/>
      <c r="D810" s="20"/>
      <c r="E810" s="188"/>
      <c r="F810" s="19"/>
      <c r="G810" s="19"/>
      <c r="H810" s="19"/>
      <c r="I810" s="19"/>
      <c r="J810" s="38"/>
      <c r="K810" s="19"/>
      <c r="L810" s="19"/>
      <c r="M810" s="19"/>
      <c r="N810" s="19"/>
      <c r="O810" s="19"/>
      <c r="P810" s="19"/>
      <c r="Q810" s="19"/>
    </row>
    <row r="811" spans="1:17" x14ac:dyDescent="0.25">
      <c r="A811" s="20"/>
      <c r="B811" s="20"/>
      <c r="C811" s="20"/>
      <c r="D811" s="20"/>
      <c r="E811" s="188"/>
      <c r="F811" s="19"/>
      <c r="G811" s="19"/>
      <c r="H811" s="19"/>
      <c r="I811" s="19"/>
      <c r="J811" s="38"/>
      <c r="K811" s="19"/>
      <c r="L811" s="19"/>
      <c r="M811" s="19"/>
      <c r="N811" s="19"/>
      <c r="O811" s="19"/>
      <c r="P811" s="19"/>
      <c r="Q811" s="19"/>
    </row>
    <row r="812" spans="1:17" x14ac:dyDescent="0.25">
      <c r="A812" s="20"/>
      <c r="B812" s="20"/>
      <c r="C812" s="20"/>
      <c r="D812" s="20"/>
      <c r="E812" s="188"/>
      <c r="F812" s="19"/>
      <c r="G812" s="19"/>
      <c r="H812" s="19"/>
      <c r="I812" s="19"/>
      <c r="J812" s="38"/>
      <c r="K812" s="19"/>
      <c r="L812" s="19"/>
      <c r="M812" s="19"/>
      <c r="N812" s="19"/>
      <c r="O812" s="19"/>
      <c r="P812" s="19"/>
      <c r="Q812" s="19"/>
    </row>
    <row r="813" spans="1:17" x14ac:dyDescent="0.25">
      <c r="A813" s="20"/>
      <c r="B813" s="20"/>
      <c r="C813" s="20"/>
      <c r="D813" s="20"/>
      <c r="E813" s="188"/>
      <c r="F813" s="19"/>
      <c r="G813" s="19"/>
      <c r="H813" s="19"/>
      <c r="I813" s="19"/>
      <c r="J813" s="38"/>
      <c r="K813" s="19"/>
      <c r="L813" s="19"/>
      <c r="M813" s="19"/>
      <c r="N813" s="19"/>
      <c r="O813" s="19"/>
      <c r="P813" s="19"/>
      <c r="Q813" s="19"/>
    </row>
    <row r="814" spans="1:17" x14ac:dyDescent="0.25">
      <c r="A814" s="20"/>
      <c r="B814" s="20"/>
      <c r="C814" s="20"/>
      <c r="D814" s="20"/>
      <c r="E814" s="188"/>
      <c r="F814" s="19"/>
      <c r="G814" s="19"/>
      <c r="H814" s="19"/>
      <c r="I814" s="19"/>
      <c r="J814" s="38"/>
      <c r="K814" s="19"/>
      <c r="L814" s="19"/>
      <c r="M814" s="19"/>
      <c r="N814" s="19"/>
      <c r="O814" s="19"/>
      <c r="P814" s="19"/>
      <c r="Q814" s="19"/>
    </row>
    <row r="815" spans="1:17" x14ac:dyDescent="0.25">
      <c r="A815" s="20"/>
      <c r="B815" s="20"/>
      <c r="C815" s="20"/>
      <c r="D815" s="20"/>
      <c r="E815" s="188"/>
      <c r="F815" s="19"/>
      <c r="G815" s="19"/>
      <c r="H815" s="19"/>
      <c r="I815" s="19"/>
      <c r="J815" s="38"/>
      <c r="K815" s="19"/>
      <c r="L815" s="19"/>
      <c r="M815" s="19"/>
      <c r="N815" s="19"/>
      <c r="O815" s="19"/>
      <c r="P815" s="19"/>
      <c r="Q815" s="19"/>
    </row>
    <row r="816" spans="1:17" x14ac:dyDescent="0.25">
      <c r="A816" s="20"/>
      <c r="B816" s="20"/>
      <c r="C816" s="20"/>
      <c r="D816" s="20"/>
      <c r="E816" s="188"/>
      <c r="F816" s="19"/>
      <c r="G816" s="19"/>
      <c r="H816" s="19"/>
      <c r="I816" s="19"/>
      <c r="J816" s="38"/>
      <c r="K816" s="19"/>
      <c r="L816" s="19"/>
      <c r="M816" s="19"/>
      <c r="N816" s="19"/>
      <c r="O816" s="19"/>
      <c r="P816" s="19"/>
      <c r="Q816" s="19"/>
    </row>
    <row r="817" spans="1:17" x14ac:dyDescent="0.25">
      <c r="A817" s="20"/>
      <c r="B817" s="20"/>
      <c r="C817" s="20"/>
      <c r="D817" s="20"/>
      <c r="E817" s="188"/>
      <c r="F817" s="19"/>
      <c r="G817" s="19"/>
      <c r="H817" s="19"/>
      <c r="I817" s="19"/>
      <c r="J817" s="38"/>
      <c r="K817" s="19"/>
      <c r="L817" s="19"/>
      <c r="M817" s="19"/>
      <c r="N817" s="19"/>
      <c r="O817" s="19"/>
      <c r="P817" s="19"/>
      <c r="Q817" s="19"/>
    </row>
    <row r="818" spans="1:17" x14ac:dyDescent="0.25">
      <c r="A818" s="20"/>
      <c r="B818" s="20"/>
      <c r="C818" s="20"/>
      <c r="D818" s="20"/>
      <c r="E818" s="188"/>
      <c r="F818" s="19"/>
      <c r="G818" s="19"/>
      <c r="H818" s="19"/>
      <c r="I818" s="19"/>
      <c r="J818" s="38"/>
      <c r="K818" s="19"/>
      <c r="L818" s="19"/>
      <c r="M818" s="19"/>
      <c r="N818" s="19"/>
      <c r="O818" s="19"/>
      <c r="P818" s="19"/>
      <c r="Q818" s="19"/>
    </row>
    <row r="819" spans="1:17" x14ac:dyDescent="0.25">
      <c r="A819" s="20"/>
      <c r="B819" s="20"/>
      <c r="C819" s="20"/>
      <c r="D819" s="20"/>
      <c r="E819" s="188"/>
      <c r="F819" s="19"/>
      <c r="G819" s="19"/>
      <c r="H819" s="19"/>
      <c r="I819" s="19"/>
      <c r="J819" s="38"/>
      <c r="K819" s="19"/>
      <c r="L819" s="19"/>
      <c r="M819" s="19"/>
      <c r="N819" s="19"/>
      <c r="O819" s="19"/>
      <c r="P819" s="19"/>
      <c r="Q819" s="19"/>
    </row>
    <row r="820" spans="1:17" x14ac:dyDescent="0.25">
      <c r="A820" s="20"/>
      <c r="B820" s="20"/>
      <c r="C820" s="20"/>
      <c r="D820" s="20"/>
      <c r="E820" s="188"/>
      <c r="F820" s="19"/>
      <c r="G820" s="19"/>
      <c r="H820" s="19"/>
      <c r="I820" s="19"/>
      <c r="J820" s="38"/>
      <c r="K820" s="19"/>
      <c r="L820" s="19"/>
      <c r="M820" s="19"/>
      <c r="N820" s="19"/>
      <c r="O820" s="19"/>
      <c r="P820" s="19"/>
      <c r="Q820" s="19"/>
    </row>
    <row r="821" spans="1:17" x14ac:dyDescent="0.25">
      <c r="A821" s="20"/>
      <c r="B821" s="20"/>
      <c r="C821" s="20"/>
      <c r="D821" s="20"/>
      <c r="E821" s="188"/>
      <c r="F821" s="19"/>
      <c r="G821" s="19"/>
      <c r="H821" s="19"/>
      <c r="I821" s="19"/>
      <c r="J821" s="38"/>
      <c r="K821" s="19"/>
      <c r="L821" s="19"/>
      <c r="M821" s="19"/>
      <c r="N821" s="19"/>
      <c r="O821" s="19"/>
      <c r="P821" s="19"/>
      <c r="Q821" s="19"/>
    </row>
    <row r="822" spans="1:17" x14ac:dyDescent="0.25">
      <c r="A822" s="20"/>
      <c r="B822" s="20"/>
      <c r="C822" s="20"/>
      <c r="D822" s="20"/>
      <c r="E822" s="188"/>
      <c r="F822" s="19"/>
      <c r="G822" s="19"/>
      <c r="H822" s="19"/>
      <c r="I822" s="19"/>
      <c r="J822" s="38"/>
      <c r="K822" s="19"/>
      <c r="L822" s="19"/>
      <c r="M822" s="19"/>
      <c r="N822" s="19"/>
      <c r="O822" s="19"/>
      <c r="P822" s="19"/>
      <c r="Q822" s="19"/>
    </row>
    <row r="823" spans="1:17" x14ac:dyDescent="0.25">
      <c r="A823" s="20"/>
      <c r="B823" s="20"/>
      <c r="C823" s="20"/>
      <c r="D823" s="20"/>
      <c r="E823" s="188"/>
      <c r="F823" s="19"/>
      <c r="G823" s="19"/>
      <c r="H823" s="19"/>
      <c r="I823" s="19"/>
      <c r="J823" s="38"/>
      <c r="K823" s="19"/>
      <c r="L823" s="19"/>
      <c r="M823" s="19"/>
      <c r="N823" s="19"/>
      <c r="O823" s="19"/>
      <c r="P823" s="19"/>
      <c r="Q823" s="19"/>
    </row>
    <row r="824" spans="1:17" x14ac:dyDescent="0.25">
      <c r="A824" s="20"/>
      <c r="B824" s="20"/>
      <c r="C824" s="20"/>
      <c r="D824" s="20"/>
      <c r="E824" s="188"/>
      <c r="F824" s="19"/>
      <c r="G824" s="19"/>
      <c r="H824" s="19"/>
      <c r="I824" s="19"/>
      <c r="J824" s="38"/>
      <c r="K824" s="19"/>
      <c r="L824" s="19"/>
      <c r="M824" s="19"/>
      <c r="N824" s="19"/>
      <c r="O824" s="19"/>
      <c r="P824" s="19"/>
      <c r="Q824" s="19"/>
    </row>
    <row r="825" spans="1:17" x14ac:dyDescent="0.25">
      <c r="A825" s="20"/>
      <c r="B825" s="20"/>
      <c r="C825" s="20"/>
      <c r="D825" s="20"/>
      <c r="E825" s="188"/>
      <c r="F825" s="19"/>
      <c r="G825" s="19"/>
      <c r="H825" s="19"/>
      <c r="I825" s="19"/>
      <c r="J825" s="38"/>
      <c r="K825" s="19"/>
      <c r="L825" s="19"/>
      <c r="M825" s="19"/>
      <c r="N825" s="19"/>
      <c r="O825" s="19"/>
      <c r="P825" s="19"/>
      <c r="Q825" s="19"/>
    </row>
    <row r="826" spans="1:17" x14ac:dyDescent="0.25">
      <c r="A826" s="20"/>
      <c r="B826" s="20"/>
      <c r="C826" s="20"/>
      <c r="D826" s="20"/>
      <c r="E826" s="188"/>
      <c r="F826" s="19"/>
      <c r="G826" s="19"/>
      <c r="H826" s="19"/>
      <c r="I826" s="19"/>
      <c r="J826" s="38"/>
      <c r="K826" s="19"/>
      <c r="L826" s="19"/>
      <c r="M826" s="19"/>
      <c r="N826" s="19"/>
      <c r="O826" s="19"/>
      <c r="P826" s="19"/>
      <c r="Q826" s="19"/>
    </row>
    <row r="827" spans="1:17" x14ac:dyDescent="0.25">
      <c r="A827" s="20"/>
      <c r="B827" s="20"/>
      <c r="C827" s="20"/>
      <c r="D827" s="20"/>
      <c r="E827" s="188"/>
      <c r="F827" s="19"/>
      <c r="G827" s="19"/>
      <c r="H827" s="19"/>
      <c r="I827" s="19"/>
      <c r="J827" s="38"/>
      <c r="K827" s="19"/>
      <c r="L827" s="19"/>
      <c r="M827" s="19"/>
      <c r="N827" s="19"/>
      <c r="O827" s="19"/>
      <c r="P827" s="19"/>
      <c r="Q827" s="19"/>
    </row>
    <row r="828" spans="1:17" x14ac:dyDescent="0.25">
      <c r="A828" s="20"/>
      <c r="B828" s="20"/>
      <c r="C828" s="20"/>
      <c r="D828" s="20"/>
      <c r="E828" s="188"/>
      <c r="F828" s="19"/>
      <c r="G828" s="19"/>
      <c r="H828" s="19"/>
      <c r="I828" s="19"/>
      <c r="J828" s="38"/>
      <c r="K828" s="19"/>
      <c r="L828" s="19"/>
      <c r="M828" s="19"/>
      <c r="N828" s="19"/>
      <c r="O828" s="19"/>
      <c r="P828" s="19"/>
      <c r="Q828" s="19"/>
    </row>
    <row r="829" spans="1:17" x14ac:dyDescent="0.25">
      <c r="A829" s="20"/>
      <c r="B829" s="20"/>
      <c r="C829" s="20"/>
      <c r="D829" s="20"/>
      <c r="E829" s="188"/>
      <c r="F829" s="19"/>
      <c r="G829" s="19"/>
      <c r="H829" s="19"/>
      <c r="I829" s="19"/>
      <c r="J829" s="38"/>
      <c r="K829" s="19"/>
      <c r="L829" s="19"/>
      <c r="M829" s="19"/>
      <c r="N829" s="19"/>
      <c r="O829" s="19"/>
      <c r="P829" s="19"/>
      <c r="Q829" s="19"/>
    </row>
    <row r="830" spans="1:17" x14ac:dyDescent="0.25">
      <c r="A830" s="20"/>
      <c r="B830" s="20"/>
      <c r="C830" s="20"/>
      <c r="D830" s="20"/>
      <c r="E830" s="188"/>
      <c r="F830" s="19"/>
      <c r="G830" s="19"/>
      <c r="H830" s="19"/>
      <c r="I830" s="19"/>
      <c r="J830" s="38"/>
      <c r="K830" s="19"/>
      <c r="L830" s="19"/>
      <c r="M830" s="19"/>
      <c r="N830" s="19"/>
      <c r="O830" s="19"/>
      <c r="P830" s="19"/>
      <c r="Q830" s="19"/>
    </row>
    <row r="831" spans="1:17" x14ac:dyDescent="0.25">
      <c r="A831" s="20"/>
      <c r="B831" s="20"/>
      <c r="C831" s="20"/>
      <c r="D831" s="20"/>
      <c r="E831" s="188"/>
      <c r="F831" s="19"/>
      <c r="G831" s="19"/>
      <c r="H831" s="19"/>
      <c r="I831" s="19"/>
      <c r="J831" s="38"/>
      <c r="K831" s="19"/>
      <c r="L831" s="19"/>
      <c r="M831" s="19"/>
      <c r="N831" s="19"/>
      <c r="O831" s="19"/>
      <c r="P831" s="19"/>
      <c r="Q831" s="19"/>
    </row>
    <row r="832" spans="1:17" x14ac:dyDescent="0.25">
      <c r="A832" s="20"/>
      <c r="B832" s="20"/>
      <c r="C832" s="20"/>
      <c r="D832" s="20"/>
      <c r="E832" s="188"/>
      <c r="F832" s="19"/>
      <c r="G832" s="19"/>
      <c r="H832" s="19"/>
      <c r="I832" s="19"/>
      <c r="J832" s="38"/>
      <c r="K832" s="19"/>
      <c r="L832" s="19"/>
      <c r="M832" s="19"/>
      <c r="N832" s="19"/>
      <c r="O832" s="19"/>
      <c r="P832" s="19"/>
      <c r="Q832" s="19"/>
    </row>
    <row r="833" spans="1:17" x14ac:dyDescent="0.25">
      <c r="A833" s="20"/>
      <c r="B833" s="20"/>
      <c r="C833" s="20"/>
      <c r="D833" s="20"/>
      <c r="E833" s="188"/>
      <c r="F833" s="19"/>
      <c r="G833" s="19"/>
      <c r="H833" s="19"/>
      <c r="I833" s="19"/>
      <c r="J833" s="38"/>
      <c r="K833" s="19"/>
      <c r="L833" s="19"/>
      <c r="M833" s="19"/>
      <c r="N833" s="19"/>
      <c r="O833" s="19"/>
      <c r="P833" s="19"/>
      <c r="Q833" s="19"/>
    </row>
    <row r="834" spans="1:17" x14ac:dyDescent="0.25">
      <c r="A834" s="20"/>
      <c r="B834" s="20"/>
      <c r="C834" s="20"/>
      <c r="D834" s="20"/>
      <c r="E834" s="188"/>
      <c r="F834" s="19"/>
      <c r="G834" s="19"/>
      <c r="H834" s="19"/>
      <c r="I834" s="19"/>
      <c r="J834" s="38"/>
      <c r="K834" s="19"/>
      <c r="L834" s="19"/>
      <c r="M834" s="19"/>
      <c r="N834" s="19"/>
      <c r="O834" s="19"/>
      <c r="P834" s="19"/>
      <c r="Q834" s="19"/>
    </row>
    <row r="835" spans="1:17" x14ac:dyDescent="0.25">
      <c r="A835" s="20"/>
      <c r="B835" s="20"/>
      <c r="C835" s="20"/>
      <c r="D835" s="20"/>
      <c r="E835" s="188"/>
      <c r="F835" s="19"/>
      <c r="G835" s="19"/>
      <c r="H835" s="19"/>
      <c r="I835" s="19"/>
      <c r="J835" s="38"/>
      <c r="K835" s="19"/>
      <c r="L835" s="19"/>
      <c r="M835" s="19"/>
      <c r="N835" s="19"/>
      <c r="O835" s="19"/>
      <c r="P835" s="19"/>
      <c r="Q835" s="19"/>
    </row>
    <row r="836" spans="1:17" x14ac:dyDescent="0.25">
      <c r="A836" s="20"/>
      <c r="B836" s="20"/>
      <c r="C836" s="20"/>
      <c r="D836" s="20"/>
      <c r="E836" s="188"/>
      <c r="F836" s="19"/>
      <c r="G836" s="19"/>
      <c r="H836" s="19"/>
      <c r="I836" s="19"/>
      <c r="J836" s="38"/>
      <c r="K836" s="19"/>
      <c r="L836" s="19"/>
      <c r="M836" s="19"/>
      <c r="N836" s="19"/>
      <c r="O836" s="19"/>
      <c r="P836" s="19"/>
      <c r="Q836" s="19"/>
    </row>
    <row r="837" spans="1:17" x14ac:dyDescent="0.25">
      <c r="A837" s="20"/>
      <c r="B837" s="20"/>
      <c r="C837" s="20"/>
      <c r="D837" s="20"/>
      <c r="E837" s="188"/>
      <c r="F837" s="19"/>
      <c r="G837" s="19"/>
      <c r="H837" s="19"/>
      <c r="I837" s="19"/>
      <c r="J837" s="38"/>
      <c r="K837" s="19"/>
      <c r="L837" s="19"/>
      <c r="M837" s="19"/>
      <c r="N837" s="19"/>
      <c r="O837" s="19"/>
      <c r="P837" s="19"/>
      <c r="Q837" s="19"/>
    </row>
    <row r="838" spans="1:17" x14ac:dyDescent="0.25">
      <c r="A838" s="20"/>
      <c r="B838" s="20"/>
      <c r="C838" s="20"/>
      <c r="D838" s="20"/>
      <c r="E838" s="188"/>
      <c r="F838" s="19"/>
      <c r="G838" s="19"/>
      <c r="H838" s="19"/>
      <c r="I838" s="19"/>
      <c r="J838" s="38"/>
      <c r="K838" s="19"/>
      <c r="L838" s="19"/>
      <c r="M838" s="19"/>
      <c r="N838" s="19"/>
      <c r="O838" s="19"/>
      <c r="P838" s="19"/>
      <c r="Q838" s="19"/>
    </row>
    <row r="839" spans="1:17" x14ac:dyDescent="0.25">
      <c r="A839" s="20"/>
      <c r="B839" s="20"/>
      <c r="C839" s="20"/>
      <c r="D839" s="20"/>
      <c r="E839" s="188"/>
      <c r="F839" s="19"/>
      <c r="G839" s="19"/>
      <c r="H839" s="19"/>
      <c r="I839" s="19"/>
      <c r="J839" s="38"/>
      <c r="K839" s="19"/>
      <c r="L839" s="19"/>
      <c r="M839" s="19"/>
      <c r="N839" s="19"/>
      <c r="O839" s="19"/>
      <c r="P839" s="19"/>
      <c r="Q839" s="19"/>
    </row>
    <row r="840" spans="1:17" x14ac:dyDescent="0.25">
      <c r="A840" s="20"/>
      <c r="B840" s="20"/>
      <c r="C840" s="20"/>
      <c r="D840" s="20"/>
      <c r="E840" s="188"/>
      <c r="F840" s="19"/>
      <c r="G840" s="19"/>
      <c r="H840" s="19"/>
      <c r="I840" s="19"/>
      <c r="J840" s="38"/>
      <c r="K840" s="19"/>
      <c r="L840" s="19"/>
      <c r="M840" s="19"/>
      <c r="N840" s="19"/>
      <c r="O840" s="19"/>
      <c r="P840" s="19"/>
      <c r="Q840" s="19"/>
    </row>
    <row r="841" spans="1:17" x14ac:dyDescent="0.25">
      <c r="A841" s="20"/>
      <c r="B841" s="20"/>
      <c r="C841" s="20"/>
      <c r="D841" s="20"/>
      <c r="E841" s="188"/>
      <c r="F841" s="19"/>
      <c r="G841" s="19"/>
      <c r="H841" s="19"/>
      <c r="I841" s="19"/>
      <c r="J841" s="38"/>
      <c r="K841" s="19"/>
      <c r="L841" s="19"/>
      <c r="M841" s="19"/>
      <c r="N841" s="19"/>
      <c r="O841" s="19"/>
      <c r="P841" s="19"/>
      <c r="Q841" s="19"/>
    </row>
    <row r="842" spans="1:17" x14ac:dyDescent="0.25">
      <c r="A842" s="20"/>
      <c r="B842" s="20"/>
      <c r="C842" s="20"/>
      <c r="D842" s="20"/>
      <c r="E842" s="188"/>
      <c r="F842" s="19"/>
      <c r="G842" s="19"/>
      <c r="H842" s="19"/>
      <c r="I842" s="19"/>
      <c r="J842" s="38"/>
      <c r="K842" s="19"/>
      <c r="L842" s="19"/>
      <c r="M842" s="19"/>
      <c r="N842" s="19"/>
      <c r="O842" s="19"/>
      <c r="P842" s="19"/>
      <c r="Q842" s="19"/>
    </row>
    <row r="843" spans="1:17" x14ac:dyDescent="0.25">
      <c r="A843" s="20"/>
      <c r="B843" s="20"/>
      <c r="C843" s="20"/>
      <c r="D843" s="20"/>
      <c r="E843" s="188"/>
      <c r="F843" s="19"/>
      <c r="G843" s="19"/>
      <c r="H843" s="19"/>
      <c r="I843" s="19"/>
      <c r="J843" s="38"/>
      <c r="K843" s="19"/>
      <c r="L843" s="19"/>
      <c r="M843" s="19"/>
      <c r="N843" s="19"/>
      <c r="O843" s="19"/>
      <c r="P843" s="19"/>
      <c r="Q843" s="19"/>
    </row>
    <row r="844" spans="1:17" x14ac:dyDescent="0.25">
      <c r="A844" s="20"/>
      <c r="B844" s="20"/>
      <c r="C844" s="20"/>
      <c r="D844" s="20"/>
      <c r="E844" s="188"/>
      <c r="F844" s="19"/>
      <c r="G844" s="19"/>
      <c r="H844" s="19"/>
      <c r="I844" s="19"/>
      <c r="J844" s="38"/>
      <c r="K844" s="19"/>
      <c r="L844" s="19"/>
      <c r="M844" s="19"/>
      <c r="N844" s="19"/>
      <c r="O844" s="19"/>
      <c r="P844" s="19"/>
      <c r="Q844" s="19"/>
    </row>
    <row r="845" spans="1:17" x14ac:dyDescent="0.25">
      <c r="A845" s="20"/>
      <c r="B845" s="20"/>
      <c r="C845" s="20"/>
      <c r="D845" s="20"/>
      <c r="E845" s="188"/>
      <c r="F845" s="19"/>
      <c r="G845" s="19"/>
      <c r="H845" s="19"/>
      <c r="I845" s="19"/>
      <c r="J845" s="38"/>
      <c r="K845" s="19"/>
      <c r="L845" s="19"/>
      <c r="M845" s="19"/>
      <c r="N845" s="19"/>
      <c r="O845" s="19"/>
      <c r="P845" s="19"/>
      <c r="Q845" s="19"/>
    </row>
    <row r="846" spans="1:17" x14ac:dyDescent="0.25">
      <c r="A846" s="20"/>
      <c r="B846" s="20"/>
      <c r="C846" s="20"/>
      <c r="D846" s="20"/>
      <c r="E846" s="188"/>
      <c r="F846" s="19"/>
      <c r="G846" s="19"/>
      <c r="H846" s="19"/>
      <c r="I846" s="19"/>
      <c r="J846" s="38"/>
      <c r="K846" s="19"/>
      <c r="L846" s="19"/>
      <c r="M846" s="19"/>
      <c r="N846" s="19"/>
      <c r="O846" s="19"/>
      <c r="P846" s="19"/>
      <c r="Q846" s="19"/>
    </row>
    <row r="847" spans="1:17" x14ac:dyDescent="0.25">
      <c r="A847" s="20"/>
      <c r="B847" s="20"/>
      <c r="C847" s="20"/>
      <c r="D847" s="20"/>
      <c r="E847" s="188"/>
      <c r="F847" s="19"/>
      <c r="G847" s="19"/>
      <c r="H847" s="19"/>
      <c r="I847" s="19"/>
      <c r="J847" s="38"/>
      <c r="K847" s="19"/>
      <c r="L847" s="19"/>
      <c r="M847" s="19"/>
      <c r="N847" s="19"/>
      <c r="O847" s="19"/>
      <c r="P847" s="19"/>
      <c r="Q847" s="19"/>
    </row>
    <row r="848" spans="1:17" x14ac:dyDescent="0.25">
      <c r="A848" s="20"/>
      <c r="B848" s="20"/>
      <c r="C848" s="20"/>
      <c r="D848" s="20"/>
      <c r="E848" s="188"/>
      <c r="F848" s="19"/>
      <c r="G848" s="19"/>
      <c r="H848" s="19"/>
      <c r="I848" s="19"/>
      <c r="J848" s="38"/>
      <c r="K848" s="19"/>
      <c r="L848" s="19"/>
      <c r="M848" s="19"/>
      <c r="N848" s="19"/>
      <c r="O848" s="19"/>
      <c r="P848" s="19"/>
      <c r="Q848" s="19"/>
    </row>
    <row r="849" spans="1:17" x14ac:dyDescent="0.25">
      <c r="A849" s="20"/>
      <c r="B849" s="20"/>
      <c r="C849" s="20"/>
      <c r="D849" s="20"/>
      <c r="E849" s="188"/>
      <c r="F849" s="19"/>
      <c r="G849" s="19"/>
      <c r="H849" s="19"/>
      <c r="I849" s="19"/>
      <c r="J849" s="38"/>
      <c r="K849" s="19"/>
      <c r="L849" s="19"/>
      <c r="M849" s="19"/>
      <c r="N849" s="19"/>
      <c r="O849" s="19"/>
      <c r="P849" s="19"/>
      <c r="Q849" s="19"/>
    </row>
    <row r="850" spans="1:17" x14ac:dyDescent="0.25">
      <c r="A850" s="20"/>
      <c r="B850" s="20"/>
      <c r="C850" s="20"/>
      <c r="D850" s="20"/>
      <c r="E850" s="188"/>
      <c r="F850" s="19"/>
      <c r="G850" s="19"/>
      <c r="H850" s="19"/>
      <c r="I850" s="19"/>
      <c r="J850" s="38"/>
      <c r="K850" s="19"/>
      <c r="L850" s="19"/>
      <c r="M850" s="19"/>
      <c r="N850" s="19"/>
      <c r="O850" s="19"/>
      <c r="P850" s="19"/>
      <c r="Q850" s="19"/>
    </row>
    <row r="851" spans="1:17" x14ac:dyDescent="0.25">
      <c r="A851" s="20"/>
      <c r="B851" s="20"/>
      <c r="C851" s="20"/>
      <c r="D851" s="20"/>
      <c r="E851" s="188"/>
      <c r="F851" s="19"/>
      <c r="G851" s="19"/>
      <c r="H851" s="19"/>
      <c r="I851" s="19"/>
      <c r="J851" s="38"/>
      <c r="K851" s="19"/>
      <c r="L851" s="19"/>
      <c r="M851" s="19"/>
      <c r="N851" s="19"/>
      <c r="O851" s="19"/>
      <c r="P851" s="19"/>
      <c r="Q851" s="19"/>
    </row>
    <row r="852" spans="1:17" x14ac:dyDescent="0.25">
      <c r="A852" s="20"/>
      <c r="B852" s="20"/>
      <c r="C852" s="20"/>
      <c r="D852" s="20"/>
      <c r="E852" s="188"/>
      <c r="F852" s="19"/>
      <c r="G852" s="19"/>
      <c r="H852" s="19"/>
      <c r="I852" s="19"/>
      <c r="J852" s="38"/>
      <c r="K852" s="19"/>
      <c r="L852" s="19"/>
      <c r="M852" s="19"/>
      <c r="N852" s="19"/>
      <c r="O852" s="19"/>
      <c r="P852" s="19"/>
      <c r="Q852" s="19"/>
    </row>
    <row r="853" spans="1:17" x14ac:dyDescent="0.25">
      <c r="A853" s="20"/>
      <c r="B853" s="20"/>
      <c r="C853" s="20"/>
      <c r="D853" s="20"/>
      <c r="E853" s="188"/>
      <c r="F853" s="19"/>
      <c r="G853" s="19"/>
      <c r="H853" s="19"/>
      <c r="I853" s="19"/>
      <c r="J853" s="38"/>
      <c r="K853" s="19"/>
      <c r="L853" s="19"/>
      <c r="M853" s="19"/>
      <c r="N853" s="19"/>
      <c r="O853" s="19"/>
      <c r="P853" s="19"/>
      <c r="Q853" s="19"/>
    </row>
    <row r="854" spans="1:17" x14ac:dyDescent="0.25">
      <c r="A854" s="20"/>
      <c r="B854" s="20"/>
      <c r="C854" s="20"/>
      <c r="D854" s="20"/>
      <c r="E854" s="188"/>
      <c r="F854" s="19"/>
      <c r="G854" s="19"/>
      <c r="H854" s="19"/>
      <c r="I854" s="19"/>
      <c r="J854" s="38"/>
      <c r="K854" s="19"/>
      <c r="L854" s="19"/>
      <c r="M854" s="19"/>
      <c r="N854" s="19"/>
      <c r="O854" s="19"/>
      <c r="P854" s="19"/>
      <c r="Q854" s="19"/>
    </row>
    <row r="855" spans="1:17" x14ac:dyDescent="0.25">
      <c r="A855" s="20"/>
      <c r="B855" s="20"/>
      <c r="C855" s="20"/>
      <c r="D855" s="20"/>
      <c r="E855" s="188"/>
      <c r="F855" s="19"/>
      <c r="G855" s="19"/>
      <c r="H855" s="19"/>
      <c r="I855" s="19"/>
      <c r="J855" s="38"/>
      <c r="K855" s="19"/>
      <c r="L855" s="19"/>
      <c r="M855" s="19"/>
      <c r="N855" s="19"/>
      <c r="O855" s="19"/>
      <c r="P855" s="19"/>
      <c r="Q855" s="19"/>
    </row>
    <row r="856" spans="1:17" x14ac:dyDescent="0.25">
      <c r="A856" s="20"/>
      <c r="B856" s="20"/>
      <c r="C856" s="20"/>
      <c r="D856" s="20"/>
      <c r="E856" s="188"/>
      <c r="F856" s="19"/>
      <c r="G856" s="19"/>
      <c r="H856" s="19"/>
      <c r="I856" s="19"/>
      <c r="J856" s="38"/>
      <c r="K856" s="19"/>
      <c r="L856" s="19"/>
      <c r="M856" s="19"/>
      <c r="N856" s="19"/>
      <c r="O856" s="19"/>
      <c r="P856" s="19"/>
      <c r="Q856" s="19"/>
    </row>
    <row r="857" spans="1:17" x14ac:dyDescent="0.25">
      <c r="A857" s="20"/>
      <c r="B857" s="20"/>
      <c r="C857" s="20"/>
      <c r="D857" s="20"/>
      <c r="E857" s="188"/>
      <c r="F857" s="19"/>
      <c r="G857" s="19"/>
      <c r="H857" s="19"/>
      <c r="I857" s="19"/>
      <c r="J857" s="38"/>
      <c r="K857" s="19"/>
      <c r="L857" s="19"/>
      <c r="M857" s="19"/>
      <c r="N857" s="19"/>
      <c r="O857" s="19"/>
      <c r="P857" s="19"/>
      <c r="Q857" s="19"/>
    </row>
    <row r="858" spans="1:17" x14ac:dyDescent="0.25">
      <c r="A858" s="20"/>
      <c r="B858" s="20"/>
      <c r="C858" s="20"/>
      <c r="D858" s="20"/>
      <c r="E858" s="188"/>
      <c r="F858" s="19"/>
      <c r="G858" s="19"/>
      <c r="H858" s="19"/>
      <c r="I858" s="19"/>
      <c r="J858" s="38"/>
      <c r="K858" s="19"/>
      <c r="L858" s="19"/>
      <c r="M858" s="19"/>
      <c r="N858" s="19"/>
      <c r="O858" s="19"/>
      <c r="P858" s="19"/>
      <c r="Q858" s="19"/>
    </row>
    <row r="859" spans="1:17" x14ac:dyDescent="0.25">
      <c r="A859" s="20"/>
      <c r="B859" s="20"/>
      <c r="C859" s="20"/>
      <c r="D859" s="20"/>
      <c r="E859" s="188"/>
      <c r="F859" s="19"/>
      <c r="G859" s="19"/>
      <c r="H859" s="19"/>
      <c r="I859" s="19"/>
      <c r="J859" s="38"/>
      <c r="K859" s="19"/>
      <c r="L859" s="19"/>
      <c r="M859" s="19"/>
      <c r="N859" s="19"/>
      <c r="O859" s="19"/>
      <c r="P859" s="19"/>
      <c r="Q859" s="19"/>
    </row>
    <row r="860" spans="1:17" x14ac:dyDescent="0.25">
      <c r="A860" s="20"/>
      <c r="B860" s="20"/>
      <c r="C860" s="20"/>
      <c r="D860" s="20"/>
      <c r="E860" s="188"/>
      <c r="F860" s="19"/>
      <c r="G860" s="19"/>
      <c r="H860" s="19"/>
      <c r="I860" s="19"/>
      <c r="J860" s="38"/>
      <c r="K860" s="19"/>
      <c r="L860" s="19"/>
      <c r="M860" s="19"/>
      <c r="N860" s="19"/>
      <c r="O860" s="19"/>
      <c r="P860" s="19"/>
      <c r="Q860" s="19"/>
    </row>
    <row r="861" spans="1:17" x14ac:dyDescent="0.25">
      <c r="A861" s="20"/>
      <c r="B861" s="20"/>
      <c r="C861" s="20"/>
      <c r="D861" s="20"/>
      <c r="E861" s="188"/>
      <c r="F861" s="19"/>
      <c r="G861" s="19"/>
      <c r="H861" s="19"/>
      <c r="I861" s="19"/>
      <c r="J861" s="38"/>
      <c r="K861" s="19"/>
      <c r="L861" s="19"/>
      <c r="M861" s="19"/>
      <c r="N861" s="19"/>
      <c r="O861" s="19"/>
      <c r="P861" s="19"/>
      <c r="Q861" s="19"/>
    </row>
    <row r="862" spans="1:17" x14ac:dyDescent="0.25">
      <c r="A862" s="20"/>
      <c r="B862" s="20"/>
      <c r="C862" s="20"/>
      <c r="D862" s="20"/>
      <c r="E862" s="188"/>
      <c r="F862" s="19"/>
      <c r="G862" s="19"/>
      <c r="H862" s="19"/>
      <c r="I862" s="19"/>
      <c r="J862" s="38"/>
      <c r="K862" s="19"/>
      <c r="L862" s="19"/>
      <c r="M862" s="19"/>
      <c r="N862" s="19"/>
      <c r="O862" s="19"/>
      <c r="P862" s="19"/>
      <c r="Q862" s="19"/>
    </row>
    <row r="863" spans="1:17" x14ac:dyDescent="0.25">
      <c r="A863" s="20"/>
      <c r="B863" s="20"/>
      <c r="C863" s="20"/>
      <c r="D863" s="20"/>
      <c r="E863" s="188"/>
      <c r="F863" s="19"/>
      <c r="G863" s="19"/>
      <c r="H863" s="19"/>
      <c r="I863" s="19"/>
      <c r="J863" s="38"/>
      <c r="K863" s="19"/>
      <c r="L863" s="19"/>
      <c r="M863" s="19"/>
      <c r="N863" s="19"/>
      <c r="O863" s="19"/>
      <c r="P863" s="19"/>
      <c r="Q863" s="19"/>
    </row>
    <row r="864" spans="1:17" x14ac:dyDescent="0.25">
      <c r="A864" s="20"/>
      <c r="B864" s="20"/>
      <c r="C864" s="20"/>
      <c r="D864" s="20"/>
      <c r="E864" s="188"/>
      <c r="F864" s="19"/>
      <c r="G864" s="19"/>
      <c r="H864" s="19"/>
      <c r="I864" s="19"/>
      <c r="J864" s="38"/>
      <c r="K864" s="19"/>
      <c r="L864" s="19"/>
      <c r="M864" s="19"/>
      <c r="N864" s="19"/>
      <c r="O864" s="19"/>
      <c r="P864" s="19"/>
      <c r="Q864" s="19"/>
    </row>
    <row r="865" spans="1:17" x14ac:dyDescent="0.25">
      <c r="A865" s="20"/>
      <c r="B865" s="20"/>
      <c r="C865" s="20"/>
      <c r="D865" s="20"/>
      <c r="E865" s="188"/>
      <c r="F865" s="19"/>
      <c r="G865" s="19"/>
      <c r="H865" s="19"/>
      <c r="I865" s="19"/>
      <c r="J865" s="38"/>
      <c r="K865" s="19"/>
      <c r="L865" s="19"/>
      <c r="M865" s="19"/>
      <c r="N865" s="19"/>
      <c r="O865" s="19"/>
      <c r="P865" s="19"/>
      <c r="Q865" s="19"/>
    </row>
    <row r="866" spans="1:17" x14ac:dyDescent="0.25">
      <c r="A866" s="20"/>
      <c r="B866" s="20"/>
      <c r="C866" s="20"/>
      <c r="D866" s="20"/>
      <c r="E866" s="188"/>
      <c r="F866" s="19"/>
      <c r="G866" s="19"/>
      <c r="H866" s="19"/>
      <c r="I866" s="19"/>
      <c r="J866" s="38"/>
      <c r="K866" s="19"/>
      <c r="L866" s="19"/>
      <c r="M866" s="19"/>
      <c r="N866" s="19"/>
      <c r="O866" s="19"/>
      <c r="P866" s="19"/>
      <c r="Q866" s="19"/>
    </row>
    <row r="867" spans="1:17" x14ac:dyDescent="0.25">
      <c r="A867" s="20"/>
      <c r="B867" s="20"/>
      <c r="C867" s="20"/>
      <c r="D867" s="20"/>
      <c r="E867" s="188"/>
      <c r="F867" s="19"/>
      <c r="G867" s="19"/>
      <c r="H867" s="19"/>
      <c r="I867" s="19"/>
      <c r="J867" s="38"/>
      <c r="K867" s="19"/>
      <c r="L867" s="19"/>
      <c r="M867" s="19"/>
      <c r="N867" s="19"/>
      <c r="O867" s="19"/>
      <c r="P867" s="19"/>
      <c r="Q867" s="19"/>
    </row>
    <row r="868" spans="1:17" x14ac:dyDescent="0.25">
      <c r="A868" s="20"/>
      <c r="B868" s="20"/>
      <c r="C868" s="20"/>
      <c r="D868" s="20"/>
      <c r="E868" s="188"/>
      <c r="F868" s="19"/>
      <c r="G868" s="19"/>
      <c r="H868" s="19"/>
      <c r="I868" s="19"/>
      <c r="J868" s="38"/>
      <c r="K868" s="19"/>
      <c r="L868" s="19"/>
      <c r="M868" s="19"/>
      <c r="N868" s="19"/>
      <c r="O868" s="19"/>
      <c r="P868" s="19"/>
      <c r="Q868" s="19"/>
    </row>
    <row r="869" spans="1:17" x14ac:dyDescent="0.25">
      <c r="A869" s="20"/>
      <c r="B869" s="20"/>
      <c r="C869" s="20"/>
      <c r="D869" s="20"/>
      <c r="E869" s="188"/>
      <c r="F869" s="19"/>
      <c r="G869" s="19"/>
      <c r="H869" s="19"/>
      <c r="I869" s="19"/>
      <c r="J869" s="38"/>
      <c r="K869" s="19"/>
      <c r="L869" s="19"/>
      <c r="M869" s="19"/>
      <c r="N869" s="19"/>
      <c r="O869" s="19"/>
      <c r="P869" s="19"/>
      <c r="Q869" s="19"/>
    </row>
    <row r="870" spans="1:17" x14ac:dyDescent="0.25">
      <c r="A870" s="20"/>
      <c r="B870" s="20"/>
      <c r="C870" s="20"/>
      <c r="D870" s="20"/>
      <c r="E870" s="188"/>
      <c r="F870" s="19"/>
      <c r="G870" s="19"/>
      <c r="H870" s="19"/>
      <c r="I870" s="19"/>
      <c r="J870" s="38"/>
      <c r="K870" s="19"/>
      <c r="L870" s="19"/>
      <c r="M870" s="19"/>
      <c r="N870" s="19"/>
      <c r="O870" s="19"/>
      <c r="P870" s="19"/>
      <c r="Q870" s="19"/>
    </row>
    <row r="871" spans="1:17" x14ac:dyDescent="0.25">
      <c r="A871" s="20"/>
      <c r="B871" s="20"/>
      <c r="C871" s="20"/>
      <c r="D871" s="20"/>
      <c r="E871" s="188"/>
      <c r="F871" s="19"/>
      <c r="G871" s="19"/>
      <c r="H871" s="19"/>
      <c r="I871" s="19"/>
      <c r="J871" s="38"/>
      <c r="K871" s="19"/>
      <c r="L871" s="19"/>
      <c r="M871" s="19"/>
      <c r="N871" s="19"/>
      <c r="O871" s="19"/>
      <c r="P871" s="19"/>
      <c r="Q871" s="19"/>
    </row>
    <row r="872" spans="1:17" x14ac:dyDescent="0.25">
      <c r="A872" s="20"/>
      <c r="B872" s="20"/>
      <c r="C872" s="20"/>
      <c r="D872" s="20"/>
      <c r="E872" s="188"/>
      <c r="F872" s="19"/>
      <c r="G872" s="19"/>
      <c r="H872" s="19"/>
      <c r="I872" s="19"/>
      <c r="J872" s="38"/>
      <c r="K872" s="19"/>
      <c r="L872" s="19"/>
      <c r="M872" s="19"/>
      <c r="N872" s="19"/>
      <c r="O872" s="19"/>
      <c r="P872" s="19"/>
      <c r="Q872" s="19"/>
    </row>
    <row r="873" spans="1:17" x14ac:dyDescent="0.25">
      <c r="A873" s="20"/>
      <c r="B873" s="20"/>
      <c r="C873" s="20"/>
      <c r="D873" s="20"/>
      <c r="E873" s="188"/>
      <c r="F873" s="19"/>
      <c r="G873" s="19"/>
      <c r="H873" s="19"/>
      <c r="I873" s="19"/>
      <c r="J873" s="38"/>
      <c r="K873" s="19"/>
      <c r="L873" s="19"/>
      <c r="M873" s="19"/>
      <c r="N873" s="19"/>
      <c r="O873" s="19"/>
      <c r="P873" s="19"/>
      <c r="Q873" s="19"/>
    </row>
    <row r="874" spans="1:17" x14ac:dyDescent="0.25">
      <c r="A874" s="20"/>
      <c r="B874" s="20"/>
      <c r="C874" s="20"/>
      <c r="D874" s="20"/>
      <c r="E874" s="188"/>
      <c r="F874" s="19"/>
      <c r="G874" s="19"/>
      <c r="H874" s="19"/>
      <c r="I874" s="19"/>
      <c r="J874" s="38"/>
      <c r="K874" s="19"/>
      <c r="L874" s="19"/>
      <c r="M874" s="19"/>
      <c r="N874" s="19"/>
      <c r="O874" s="19"/>
      <c r="P874" s="19"/>
      <c r="Q874" s="19"/>
    </row>
    <row r="875" spans="1:17" x14ac:dyDescent="0.25">
      <c r="A875" s="20"/>
      <c r="B875" s="20"/>
      <c r="C875" s="20"/>
      <c r="D875" s="20"/>
      <c r="E875" s="188"/>
      <c r="F875" s="19"/>
      <c r="G875" s="19"/>
      <c r="H875" s="19"/>
      <c r="I875" s="19"/>
      <c r="J875" s="38"/>
      <c r="K875" s="19"/>
      <c r="L875" s="19"/>
      <c r="M875" s="19"/>
      <c r="N875" s="19"/>
      <c r="O875" s="19"/>
      <c r="P875" s="19"/>
      <c r="Q875" s="19"/>
    </row>
    <row r="876" spans="1:17" x14ac:dyDescent="0.25">
      <c r="A876" s="20"/>
      <c r="B876" s="20"/>
      <c r="C876" s="20"/>
      <c r="D876" s="20"/>
      <c r="E876" s="188"/>
      <c r="F876" s="19"/>
      <c r="G876" s="19"/>
      <c r="H876" s="19"/>
      <c r="I876" s="19"/>
      <c r="J876" s="38"/>
      <c r="K876" s="19"/>
      <c r="L876" s="19"/>
      <c r="M876" s="19"/>
      <c r="N876" s="19"/>
      <c r="O876" s="19"/>
      <c r="P876" s="19"/>
      <c r="Q876" s="19"/>
    </row>
    <row r="877" spans="1:17" x14ac:dyDescent="0.25">
      <c r="A877" s="20"/>
      <c r="B877" s="20"/>
      <c r="C877" s="20"/>
      <c r="D877" s="20"/>
      <c r="E877" s="188"/>
      <c r="F877" s="19"/>
      <c r="G877" s="19"/>
      <c r="H877" s="19"/>
      <c r="I877" s="19"/>
      <c r="J877" s="38"/>
      <c r="K877" s="19"/>
      <c r="L877" s="19"/>
      <c r="M877" s="19"/>
      <c r="N877" s="19"/>
      <c r="O877" s="19"/>
      <c r="P877" s="19"/>
      <c r="Q877" s="19"/>
    </row>
    <row r="878" spans="1:17" x14ac:dyDescent="0.25">
      <c r="A878" s="20"/>
      <c r="B878" s="20"/>
      <c r="C878" s="20"/>
      <c r="D878" s="20"/>
      <c r="E878" s="188"/>
      <c r="F878" s="19"/>
      <c r="G878" s="19"/>
      <c r="H878" s="19"/>
      <c r="I878" s="19"/>
      <c r="J878" s="38"/>
      <c r="K878" s="19"/>
      <c r="L878" s="19"/>
      <c r="M878" s="19"/>
      <c r="N878" s="19"/>
      <c r="O878" s="19"/>
      <c r="P878" s="19"/>
      <c r="Q878" s="19"/>
    </row>
    <row r="879" spans="1:17" x14ac:dyDescent="0.25">
      <c r="A879" s="20"/>
      <c r="B879" s="20"/>
      <c r="C879" s="20"/>
      <c r="D879" s="20"/>
      <c r="E879" s="188"/>
      <c r="F879" s="19"/>
      <c r="G879" s="19"/>
      <c r="H879" s="19"/>
      <c r="I879" s="19"/>
      <c r="J879" s="38"/>
      <c r="K879" s="19"/>
      <c r="L879" s="19"/>
      <c r="M879" s="19"/>
      <c r="N879" s="19"/>
      <c r="O879" s="19"/>
      <c r="P879" s="19"/>
      <c r="Q879" s="19"/>
    </row>
    <row r="880" spans="1:17" x14ac:dyDescent="0.25">
      <c r="A880" s="20"/>
      <c r="B880" s="20"/>
      <c r="C880" s="20"/>
      <c r="D880" s="20"/>
      <c r="E880" s="188"/>
      <c r="F880" s="19"/>
      <c r="G880" s="19"/>
      <c r="H880" s="19"/>
      <c r="I880" s="19"/>
      <c r="J880" s="38"/>
      <c r="K880" s="19"/>
      <c r="L880" s="19"/>
      <c r="M880" s="19"/>
      <c r="N880" s="19"/>
      <c r="O880" s="19"/>
      <c r="P880" s="19"/>
      <c r="Q880" s="19"/>
    </row>
    <row r="881" spans="1:17" x14ac:dyDescent="0.25">
      <c r="A881" s="20"/>
      <c r="B881" s="20"/>
      <c r="C881" s="20"/>
      <c r="D881" s="20"/>
      <c r="E881" s="188"/>
      <c r="F881" s="19"/>
      <c r="G881" s="19"/>
      <c r="H881" s="19"/>
      <c r="I881" s="19"/>
      <c r="J881" s="38"/>
      <c r="K881" s="19"/>
      <c r="L881" s="19"/>
      <c r="M881" s="19"/>
      <c r="N881" s="19"/>
      <c r="O881" s="19"/>
      <c r="P881" s="19"/>
      <c r="Q881" s="19"/>
    </row>
    <row r="882" spans="1:17" x14ac:dyDescent="0.25">
      <c r="A882" s="20"/>
      <c r="B882" s="20"/>
      <c r="C882" s="20"/>
      <c r="D882" s="20"/>
      <c r="E882" s="188"/>
      <c r="F882" s="19"/>
      <c r="G882" s="19"/>
      <c r="H882" s="19"/>
      <c r="I882" s="19"/>
      <c r="J882" s="38"/>
      <c r="K882" s="19"/>
      <c r="L882" s="19"/>
      <c r="M882" s="19"/>
      <c r="N882" s="19"/>
      <c r="O882" s="19"/>
      <c r="P882" s="19"/>
      <c r="Q882" s="19"/>
    </row>
    <row r="883" spans="1:17" x14ac:dyDescent="0.25">
      <c r="A883" s="20"/>
      <c r="B883" s="20"/>
      <c r="C883" s="20"/>
      <c r="D883" s="20"/>
      <c r="E883" s="188"/>
      <c r="F883" s="19"/>
      <c r="G883" s="19"/>
      <c r="H883" s="19"/>
      <c r="I883" s="19"/>
      <c r="J883" s="38"/>
      <c r="K883" s="19"/>
      <c r="L883" s="19"/>
      <c r="M883" s="19"/>
      <c r="N883" s="19"/>
      <c r="O883" s="19"/>
      <c r="P883" s="19"/>
      <c r="Q883" s="19"/>
    </row>
    <row r="884" spans="1:17" x14ac:dyDescent="0.25">
      <c r="A884" s="20"/>
      <c r="B884" s="20"/>
      <c r="C884" s="20"/>
      <c r="D884" s="20"/>
      <c r="E884" s="188"/>
      <c r="F884" s="19"/>
      <c r="G884" s="19"/>
      <c r="H884" s="19"/>
      <c r="I884" s="19"/>
      <c r="J884" s="38"/>
      <c r="K884" s="19"/>
      <c r="L884" s="19"/>
      <c r="M884" s="19"/>
      <c r="N884" s="19"/>
      <c r="O884" s="19"/>
      <c r="P884" s="19"/>
      <c r="Q884" s="19"/>
    </row>
    <row r="885" spans="1:17" x14ac:dyDescent="0.25">
      <c r="A885" s="20"/>
      <c r="B885" s="20"/>
      <c r="C885" s="20"/>
      <c r="D885" s="20"/>
      <c r="E885" s="188"/>
      <c r="F885" s="19"/>
      <c r="G885" s="19"/>
      <c r="H885" s="19"/>
      <c r="I885" s="19"/>
      <c r="J885" s="38"/>
      <c r="K885" s="19"/>
      <c r="L885" s="19"/>
      <c r="M885" s="19"/>
      <c r="N885" s="19"/>
      <c r="O885" s="19"/>
      <c r="P885" s="19"/>
      <c r="Q885" s="19"/>
    </row>
    <row r="886" spans="1:17" x14ac:dyDescent="0.25">
      <c r="A886" s="20"/>
      <c r="B886" s="20"/>
      <c r="C886" s="20"/>
      <c r="D886" s="20"/>
      <c r="E886" s="188"/>
      <c r="F886" s="19"/>
      <c r="G886" s="19"/>
      <c r="H886" s="19"/>
      <c r="I886" s="19"/>
      <c r="J886" s="38"/>
      <c r="K886" s="19"/>
      <c r="L886" s="19"/>
      <c r="M886" s="19"/>
      <c r="N886" s="19"/>
      <c r="O886" s="19"/>
      <c r="P886" s="19"/>
      <c r="Q886" s="19"/>
    </row>
    <row r="887" spans="1:17" x14ac:dyDescent="0.25">
      <c r="A887" s="20"/>
      <c r="B887" s="20"/>
      <c r="C887" s="20"/>
      <c r="D887" s="20"/>
      <c r="E887" s="188"/>
      <c r="F887" s="19"/>
      <c r="G887" s="19"/>
      <c r="H887" s="19"/>
      <c r="I887" s="19"/>
      <c r="J887" s="38"/>
      <c r="K887" s="19"/>
      <c r="L887" s="19"/>
      <c r="M887" s="19"/>
      <c r="N887" s="19"/>
      <c r="O887" s="19"/>
      <c r="P887" s="19"/>
      <c r="Q887" s="19"/>
    </row>
    <row r="888" spans="1:17" x14ac:dyDescent="0.25">
      <c r="A888" s="20"/>
      <c r="B888" s="20"/>
      <c r="C888" s="20"/>
      <c r="D888" s="20"/>
      <c r="E888" s="188"/>
      <c r="F888" s="19"/>
      <c r="G888" s="19"/>
      <c r="H888" s="19"/>
      <c r="I888" s="19"/>
      <c r="J888" s="38"/>
      <c r="K888" s="19"/>
      <c r="L888" s="19"/>
      <c r="M888" s="19"/>
      <c r="N888" s="19"/>
      <c r="O888" s="19"/>
      <c r="P888" s="19"/>
      <c r="Q888" s="19"/>
    </row>
    <row r="889" spans="1:17" x14ac:dyDescent="0.25">
      <c r="A889" s="20"/>
      <c r="B889" s="20"/>
      <c r="C889" s="20"/>
      <c r="D889" s="20"/>
      <c r="E889" s="188"/>
      <c r="F889" s="19"/>
      <c r="G889" s="19"/>
      <c r="H889" s="19"/>
      <c r="I889" s="19"/>
      <c r="J889" s="38"/>
      <c r="K889" s="19"/>
      <c r="L889" s="19"/>
      <c r="M889" s="19"/>
      <c r="N889" s="19"/>
      <c r="O889" s="19"/>
      <c r="P889" s="19"/>
      <c r="Q889" s="19"/>
    </row>
    <row r="890" spans="1:17" x14ac:dyDescent="0.25">
      <c r="A890" s="20"/>
      <c r="B890" s="20"/>
      <c r="C890" s="20"/>
      <c r="D890" s="20"/>
      <c r="E890" s="188"/>
      <c r="F890" s="19"/>
      <c r="G890" s="19"/>
      <c r="H890" s="19"/>
      <c r="I890" s="19"/>
      <c r="J890" s="38"/>
      <c r="K890" s="19"/>
      <c r="L890" s="19"/>
      <c r="M890" s="19"/>
      <c r="N890" s="19"/>
      <c r="O890" s="19"/>
      <c r="P890" s="19"/>
      <c r="Q890" s="19"/>
    </row>
    <row r="891" spans="1:17" x14ac:dyDescent="0.25">
      <c r="A891" s="20"/>
      <c r="B891" s="20"/>
      <c r="C891" s="20"/>
      <c r="D891" s="20"/>
      <c r="E891" s="188"/>
      <c r="F891" s="19"/>
      <c r="G891" s="19"/>
      <c r="H891" s="19"/>
      <c r="I891" s="19"/>
      <c r="J891" s="38"/>
      <c r="K891" s="19"/>
      <c r="L891" s="19"/>
      <c r="M891" s="19"/>
      <c r="N891" s="19"/>
      <c r="O891" s="19"/>
      <c r="P891" s="19"/>
      <c r="Q891" s="19"/>
    </row>
    <row r="892" spans="1:17" x14ac:dyDescent="0.25">
      <c r="A892" s="20"/>
      <c r="B892" s="20"/>
      <c r="C892" s="20"/>
      <c r="D892" s="20"/>
      <c r="E892" s="188"/>
      <c r="F892" s="19"/>
      <c r="G892" s="19"/>
      <c r="H892" s="19"/>
      <c r="I892" s="19"/>
      <c r="J892" s="38"/>
      <c r="K892" s="19"/>
      <c r="L892" s="19"/>
      <c r="M892" s="19"/>
      <c r="N892" s="19"/>
      <c r="O892" s="19"/>
      <c r="P892" s="19"/>
      <c r="Q892" s="19"/>
    </row>
    <row r="893" spans="1:17" x14ac:dyDescent="0.25">
      <c r="A893" s="20"/>
      <c r="B893" s="20"/>
      <c r="C893" s="20"/>
      <c r="D893" s="20"/>
      <c r="E893" s="188"/>
      <c r="F893" s="19"/>
      <c r="G893" s="19"/>
      <c r="H893" s="19"/>
      <c r="I893" s="19"/>
      <c r="J893" s="38"/>
      <c r="K893" s="19"/>
      <c r="L893" s="19"/>
      <c r="M893" s="19"/>
      <c r="N893" s="19"/>
      <c r="O893" s="19"/>
      <c r="P893" s="19"/>
      <c r="Q893" s="19"/>
    </row>
    <row r="894" spans="1:17" x14ac:dyDescent="0.25">
      <c r="A894" s="20"/>
      <c r="B894" s="20"/>
      <c r="C894" s="20"/>
      <c r="D894" s="20"/>
      <c r="E894" s="188"/>
      <c r="F894" s="19"/>
      <c r="G894" s="19"/>
      <c r="H894" s="19"/>
      <c r="I894" s="19"/>
      <c r="J894" s="38"/>
      <c r="K894" s="19"/>
      <c r="L894" s="19"/>
      <c r="M894" s="19"/>
      <c r="N894" s="19"/>
      <c r="O894" s="19"/>
      <c r="P894" s="19"/>
      <c r="Q894" s="19"/>
    </row>
    <row r="895" spans="1:17" x14ac:dyDescent="0.25">
      <c r="A895" s="20"/>
      <c r="B895" s="20"/>
      <c r="C895" s="20"/>
      <c r="D895" s="20"/>
      <c r="E895" s="188"/>
      <c r="F895" s="19"/>
      <c r="G895" s="19"/>
      <c r="H895" s="19"/>
      <c r="I895" s="19"/>
      <c r="J895" s="38"/>
      <c r="K895" s="19"/>
      <c r="L895" s="19"/>
      <c r="M895" s="19"/>
      <c r="N895" s="19"/>
      <c r="O895" s="19"/>
      <c r="P895" s="19"/>
      <c r="Q895" s="19"/>
    </row>
    <row r="896" spans="1:17" x14ac:dyDescent="0.25">
      <c r="A896" s="20"/>
      <c r="B896" s="20"/>
      <c r="C896" s="20"/>
      <c r="D896" s="20"/>
      <c r="E896" s="188"/>
      <c r="F896" s="19"/>
      <c r="G896" s="19"/>
      <c r="H896" s="19"/>
      <c r="I896" s="19"/>
      <c r="J896" s="38"/>
      <c r="K896" s="19"/>
      <c r="L896" s="19"/>
      <c r="M896" s="19"/>
      <c r="N896" s="19"/>
      <c r="O896" s="19"/>
      <c r="P896" s="19"/>
      <c r="Q896" s="19"/>
    </row>
    <row r="897" spans="1:17" x14ac:dyDescent="0.25">
      <c r="A897" s="20"/>
      <c r="B897" s="20"/>
      <c r="C897" s="20"/>
      <c r="D897" s="20"/>
      <c r="E897" s="188"/>
      <c r="F897" s="19"/>
      <c r="G897" s="19"/>
      <c r="H897" s="19"/>
      <c r="I897" s="19"/>
      <c r="J897" s="38"/>
      <c r="K897" s="19"/>
      <c r="L897" s="19"/>
      <c r="M897" s="19"/>
      <c r="N897" s="19"/>
      <c r="O897" s="19"/>
      <c r="P897" s="19"/>
      <c r="Q897" s="19"/>
    </row>
    <row r="898" spans="1:17" x14ac:dyDescent="0.25">
      <c r="A898" s="20"/>
      <c r="B898" s="20"/>
      <c r="C898" s="20"/>
      <c r="D898" s="20"/>
      <c r="E898" s="188"/>
      <c r="F898" s="19"/>
      <c r="G898" s="19"/>
      <c r="H898" s="19"/>
      <c r="I898" s="19"/>
      <c r="J898" s="38"/>
      <c r="K898" s="19"/>
      <c r="L898" s="19"/>
      <c r="M898" s="19"/>
      <c r="N898" s="19"/>
      <c r="O898" s="19"/>
      <c r="P898" s="19"/>
      <c r="Q898" s="19"/>
    </row>
    <row r="899" spans="1:17" x14ac:dyDescent="0.25">
      <c r="A899" s="20"/>
      <c r="B899" s="20"/>
      <c r="C899" s="20"/>
      <c r="D899" s="20"/>
      <c r="E899" s="188"/>
      <c r="F899" s="19"/>
      <c r="G899" s="19"/>
      <c r="H899" s="19"/>
      <c r="I899" s="19"/>
      <c r="J899" s="38"/>
      <c r="K899" s="19"/>
      <c r="L899" s="19"/>
      <c r="M899" s="19"/>
      <c r="N899" s="19"/>
      <c r="O899" s="19"/>
      <c r="P899" s="19"/>
      <c r="Q899" s="19"/>
    </row>
    <row r="900" spans="1:17" x14ac:dyDescent="0.25">
      <c r="A900" s="20"/>
      <c r="B900" s="20"/>
      <c r="C900" s="20"/>
      <c r="D900" s="20"/>
      <c r="E900" s="188"/>
      <c r="F900" s="19"/>
      <c r="G900" s="19"/>
      <c r="H900" s="19"/>
      <c r="I900" s="19"/>
      <c r="J900" s="38"/>
      <c r="K900" s="19"/>
      <c r="L900" s="19"/>
      <c r="M900" s="19"/>
      <c r="N900" s="19"/>
      <c r="O900" s="19"/>
      <c r="P900" s="19"/>
      <c r="Q900" s="19"/>
    </row>
    <row r="901" spans="1:17" x14ac:dyDescent="0.25">
      <c r="A901" s="20"/>
      <c r="B901" s="20"/>
      <c r="C901" s="20"/>
      <c r="D901" s="20"/>
      <c r="E901" s="188"/>
      <c r="F901" s="19"/>
      <c r="G901" s="19"/>
      <c r="H901" s="19"/>
      <c r="I901" s="19"/>
      <c r="J901" s="38"/>
      <c r="K901" s="19"/>
      <c r="L901" s="19"/>
      <c r="M901" s="19"/>
      <c r="N901" s="19"/>
      <c r="O901" s="19"/>
      <c r="P901" s="19"/>
      <c r="Q901" s="19"/>
    </row>
    <row r="902" spans="1:17" x14ac:dyDescent="0.25">
      <c r="A902" s="20"/>
      <c r="B902" s="20"/>
      <c r="C902" s="20"/>
      <c r="D902" s="20"/>
      <c r="E902" s="188"/>
      <c r="F902" s="19"/>
      <c r="G902" s="19"/>
      <c r="H902" s="19"/>
      <c r="I902" s="19"/>
      <c r="J902" s="38"/>
      <c r="K902" s="19"/>
      <c r="L902" s="19"/>
      <c r="M902" s="19"/>
      <c r="N902" s="19"/>
      <c r="O902" s="19"/>
      <c r="P902" s="19"/>
      <c r="Q902" s="19"/>
    </row>
    <row r="903" spans="1:17" x14ac:dyDescent="0.25">
      <c r="A903" s="20"/>
      <c r="B903" s="20"/>
      <c r="C903" s="20"/>
      <c r="D903" s="20"/>
      <c r="E903" s="188"/>
      <c r="F903" s="19"/>
      <c r="G903" s="19"/>
      <c r="H903" s="19"/>
      <c r="I903" s="19"/>
      <c r="J903" s="38"/>
      <c r="K903" s="19"/>
      <c r="L903" s="19"/>
      <c r="M903" s="19"/>
      <c r="N903" s="19"/>
      <c r="O903" s="19"/>
      <c r="P903" s="19"/>
      <c r="Q903" s="19"/>
    </row>
    <row r="904" spans="1:17" x14ac:dyDescent="0.25">
      <c r="A904" s="20"/>
      <c r="B904" s="20"/>
      <c r="C904" s="20"/>
      <c r="D904" s="20"/>
      <c r="E904" s="188"/>
      <c r="F904" s="19"/>
      <c r="G904" s="19"/>
      <c r="H904" s="19"/>
      <c r="I904" s="19"/>
      <c r="J904" s="38"/>
      <c r="K904" s="19"/>
      <c r="L904" s="19"/>
      <c r="M904" s="19"/>
      <c r="N904" s="19"/>
      <c r="O904" s="19"/>
      <c r="P904" s="19"/>
      <c r="Q904" s="19"/>
    </row>
    <row r="905" spans="1:17" x14ac:dyDescent="0.25">
      <c r="A905" s="20"/>
      <c r="B905" s="20"/>
      <c r="C905" s="20"/>
      <c r="D905" s="20"/>
      <c r="E905" s="188"/>
      <c r="F905" s="19"/>
      <c r="G905" s="19"/>
      <c r="H905" s="19"/>
      <c r="I905" s="19"/>
      <c r="J905" s="38"/>
      <c r="K905" s="19"/>
      <c r="L905" s="19"/>
      <c r="M905" s="19"/>
      <c r="N905" s="19"/>
      <c r="O905" s="19"/>
      <c r="P905" s="19"/>
      <c r="Q905" s="19"/>
    </row>
    <row r="906" spans="1:17" x14ac:dyDescent="0.25">
      <c r="A906" s="20"/>
      <c r="B906" s="20"/>
      <c r="C906" s="20"/>
      <c r="D906" s="20"/>
      <c r="E906" s="188"/>
      <c r="F906" s="19"/>
      <c r="G906" s="19"/>
      <c r="H906" s="19"/>
      <c r="I906" s="19"/>
      <c r="J906" s="38"/>
      <c r="K906" s="19"/>
      <c r="L906" s="19"/>
      <c r="M906" s="19"/>
      <c r="N906" s="19"/>
      <c r="O906" s="19"/>
      <c r="P906" s="19"/>
      <c r="Q906" s="19"/>
    </row>
    <row r="907" spans="1:17" x14ac:dyDescent="0.25">
      <c r="A907" s="20"/>
      <c r="B907" s="20"/>
      <c r="C907" s="20"/>
      <c r="D907" s="20"/>
      <c r="E907" s="188"/>
      <c r="F907" s="19"/>
      <c r="G907" s="19"/>
      <c r="H907" s="19"/>
      <c r="I907" s="19"/>
      <c r="J907" s="38"/>
      <c r="K907" s="19"/>
      <c r="L907" s="19"/>
      <c r="M907" s="19"/>
      <c r="N907" s="19"/>
      <c r="O907" s="19"/>
      <c r="P907" s="19"/>
      <c r="Q907" s="19"/>
    </row>
    <row r="908" spans="1:17" x14ac:dyDescent="0.25">
      <c r="A908" s="20"/>
      <c r="B908" s="20"/>
      <c r="C908" s="20"/>
      <c r="D908" s="20"/>
      <c r="E908" s="188"/>
      <c r="F908" s="19"/>
      <c r="G908" s="19"/>
      <c r="H908" s="19"/>
      <c r="I908" s="19"/>
      <c r="J908" s="38"/>
      <c r="K908" s="19"/>
      <c r="L908" s="19"/>
      <c r="M908" s="19"/>
      <c r="N908" s="19"/>
      <c r="O908" s="19"/>
      <c r="P908" s="19"/>
      <c r="Q908" s="19"/>
    </row>
    <row r="909" spans="1:17" x14ac:dyDescent="0.25">
      <c r="A909" s="20"/>
      <c r="B909" s="20"/>
      <c r="C909" s="20"/>
      <c r="D909" s="20"/>
      <c r="E909" s="188"/>
      <c r="F909" s="19"/>
      <c r="G909" s="19"/>
      <c r="H909" s="19"/>
      <c r="I909" s="19"/>
      <c r="J909" s="38"/>
      <c r="K909" s="19"/>
      <c r="L909" s="19"/>
      <c r="M909" s="19"/>
      <c r="N909" s="19"/>
      <c r="O909" s="19"/>
      <c r="P909" s="19"/>
      <c r="Q909" s="19"/>
    </row>
    <row r="910" spans="1:17" x14ac:dyDescent="0.25">
      <c r="A910" s="20"/>
      <c r="B910" s="20"/>
      <c r="C910" s="20"/>
      <c r="D910" s="20"/>
      <c r="E910" s="188"/>
      <c r="F910" s="19"/>
      <c r="G910" s="19"/>
      <c r="H910" s="19"/>
      <c r="I910" s="19"/>
      <c r="J910" s="38"/>
      <c r="K910" s="19"/>
      <c r="L910" s="19"/>
      <c r="M910" s="19"/>
      <c r="N910" s="19"/>
      <c r="O910" s="19"/>
      <c r="P910" s="19"/>
      <c r="Q910" s="19"/>
    </row>
    <row r="911" spans="1:17" x14ac:dyDescent="0.25">
      <c r="A911" s="20"/>
      <c r="B911" s="20"/>
      <c r="C911" s="20"/>
      <c r="D911" s="20"/>
      <c r="E911" s="188"/>
      <c r="F911" s="19"/>
      <c r="G911" s="19"/>
      <c r="H911" s="19"/>
      <c r="I911" s="19"/>
      <c r="J911" s="38"/>
      <c r="K911" s="19"/>
      <c r="L911" s="19"/>
      <c r="M911" s="19"/>
      <c r="N911" s="19"/>
      <c r="O911" s="19"/>
      <c r="P911" s="19"/>
      <c r="Q911" s="19"/>
    </row>
    <row r="912" spans="1:17" x14ac:dyDescent="0.25">
      <c r="A912" s="20"/>
      <c r="B912" s="20"/>
      <c r="C912" s="20"/>
      <c r="D912" s="20"/>
      <c r="E912" s="188"/>
      <c r="F912" s="19"/>
      <c r="G912" s="19"/>
      <c r="H912" s="19"/>
      <c r="I912" s="19"/>
      <c r="J912" s="38"/>
      <c r="K912" s="19"/>
      <c r="L912" s="19"/>
      <c r="M912" s="19"/>
      <c r="N912" s="19"/>
      <c r="O912" s="19"/>
      <c r="P912" s="19"/>
      <c r="Q912" s="19"/>
    </row>
    <row r="913" spans="1:17" x14ac:dyDescent="0.25">
      <c r="A913" s="20"/>
      <c r="B913" s="20"/>
      <c r="C913" s="20"/>
      <c r="D913" s="20"/>
      <c r="E913" s="188"/>
      <c r="F913" s="19"/>
      <c r="G913" s="19"/>
      <c r="H913" s="19"/>
      <c r="I913" s="19"/>
      <c r="J913" s="38"/>
      <c r="K913" s="19"/>
      <c r="L913" s="19"/>
      <c r="M913" s="19"/>
      <c r="N913" s="19"/>
      <c r="O913" s="19"/>
      <c r="P913" s="19"/>
      <c r="Q913" s="19"/>
    </row>
    <row r="914" spans="1:17" x14ac:dyDescent="0.25">
      <c r="A914" s="20"/>
      <c r="B914" s="20"/>
      <c r="C914" s="20"/>
      <c r="D914" s="20"/>
      <c r="E914" s="188"/>
      <c r="F914" s="19"/>
      <c r="G914" s="19"/>
      <c r="H914" s="19"/>
      <c r="I914" s="19"/>
      <c r="J914" s="38"/>
      <c r="K914" s="19"/>
      <c r="L914" s="19"/>
      <c r="M914" s="19"/>
      <c r="N914" s="19"/>
      <c r="O914" s="19"/>
      <c r="P914" s="19"/>
      <c r="Q914" s="19"/>
    </row>
    <row r="915" spans="1:17" x14ac:dyDescent="0.25">
      <c r="A915" s="20"/>
      <c r="B915" s="20"/>
      <c r="C915" s="20"/>
      <c r="D915" s="20"/>
      <c r="E915" s="188"/>
      <c r="F915" s="19"/>
      <c r="G915" s="19"/>
      <c r="H915" s="19"/>
      <c r="I915" s="19"/>
      <c r="J915" s="38"/>
      <c r="K915" s="19"/>
      <c r="L915" s="19"/>
      <c r="M915" s="19"/>
      <c r="N915" s="19"/>
      <c r="O915" s="19"/>
      <c r="P915" s="19"/>
      <c r="Q915" s="19"/>
    </row>
    <row r="916" spans="1:17" x14ac:dyDescent="0.25">
      <c r="A916" s="20"/>
      <c r="B916" s="20"/>
      <c r="C916" s="20"/>
      <c r="D916" s="20"/>
      <c r="E916" s="188"/>
      <c r="F916" s="19"/>
      <c r="G916" s="19"/>
      <c r="H916" s="19"/>
      <c r="I916" s="19"/>
      <c r="J916" s="38"/>
      <c r="K916" s="19"/>
      <c r="L916" s="19"/>
      <c r="M916" s="19"/>
      <c r="N916" s="19"/>
      <c r="O916" s="19"/>
      <c r="P916" s="19"/>
      <c r="Q916" s="19"/>
    </row>
    <row r="917" spans="1:17" x14ac:dyDescent="0.25">
      <c r="A917" s="20"/>
      <c r="B917" s="20"/>
      <c r="C917" s="20"/>
      <c r="D917" s="20"/>
      <c r="E917" s="188"/>
      <c r="F917" s="19"/>
      <c r="G917" s="19"/>
      <c r="H917" s="19"/>
      <c r="I917" s="19"/>
      <c r="J917" s="38"/>
      <c r="K917" s="19"/>
      <c r="L917" s="19"/>
      <c r="M917" s="19"/>
      <c r="N917" s="19"/>
      <c r="O917" s="19"/>
      <c r="P917" s="19"/>
      <c r="Q917" s="19"/>
    </row>
    <row r="918" spans="1:17" x14ac:dyDescent="0.25">
      <c r="A918" s="20"/>
      <c r="B918" s="20"/>
      <c r="C918" s="20"/>
      <c r="D918" s="20"/>
      <c r="E918" s="188"/>
      <c r="F918" s="19"/>
      <c r="G918" s="19"/>
      <c r="H918" s="19"/>
      <c r="I918" s="19"/>
      <c r="J918" s="38"/>
      <c r="K918" s="19"/>
      <c r="L918" s="19"/>
      <c r="M918" s="19"/>
      <c r="N918" s="19"/>
      <c r="O918" s="19"/>
      <c r="P918" s="19"/>
      <c r="Q918" s="19"/>
    </row>
    <row r="919" spans="1:17" x14ac:dyDescent="0.25">
      <c r="A919" s="20"/>
      <c r="B919" s="20"/>
      <c r="C919" s="20"/>
      <c r="D919" s="20"/>
      <c r="E919" s="188"/>
      <c r="F919" s="19"/>
      <c r="G919" s="19"/>
      <c r="H919" s="19"/>
      <c r="I919" s="19"/>
      <c r="J919" s="38"/>
      <c r="K919" s="19"/>
      <c r="L919" s="19"/>
      <c r="M919" s="19"/>
      <c r="N919" s="19"/>
      <c r="O919" s="19"/>
      <c r="P919" s="19"/>
      <c r="Q919" s="19"/>
    </row>
    <row r="920" spans="1:17" x14ac:dyDescent="0.25">
      <c r="A920" s="20"/>
      <c r="B920" s="20"/>
      <c r="C920" s="20"/>
      <c r="D920" s="20"/>
      <c r="E920" s="188"/>
      <c r="F920" s="19"/>
      <c r="G920" s="19"/>
      <c r="H920" s="19"/>
      <c r="I920" s="19"/>
      <c r="J920" s="38"/>
      <c r="K920" s="19"/>
      <c r="L920" s="19"/>
      <c r="M920" s="19"/>
      <c r="N920" s="19"/>
      <c r="O920" s="19"/>
      <c r="P920" s="19"/>
      <c r="Q920" s="19"/>
    </row>
    <row r="921" spans="1:17" x14ac:dyDescent="0.25">
      <c r="A921" s="20"/>
      <c r="B921" s="20"/>
      <c r="C921" s="20"/>
      <c r="D921" s="20"/>
      <c r="E921" s="188"/>
      <c r="F921" s="19"/>
      <c r="G921" s="19"/>
      <c r="H921" s="19"/>
      <c r="I921" s="19"/>
      <c r="J921" s="38"/>
      <c r="K921" s="19"/>
      <c r="L921" s="19"/>
      <c r="M921" s="19"/>
      <c r="N921" s="19"/>
      <c r="O921" s="19"/>
      <c r="P921" s="19"/>
      <c r="Q921" s="19"/>
    </row>
    <row r="922" spans="1:17" x14ac:dyDescent="0.25">
      <c r="A922" s="20"/>
      <c r="B922" s="20"/>
      <c r="C922" s="20"/>
      <c r="D922" s="20"/>
      <c r="E922" s="188"/>
      <c r="F922" s="19"/>
      <c r="G922" s="19"/>
      <c r="H922" s="19"/>
      <c r="I922" s="19"/>
      <c r="J922" s="38"/>
      <c r="K922" s="19"/>
      <c r="L922" s="19"/>
      <c r="M922" s="19"/>
      <c r="N922" s="19"/>
      <c r="O922" s="19"/>
      <c r="P922" s="19"/>
      <c r="Q922" s="19"/>
    </row>
    <row r="923" spans="1:17" x14ac:dyDescent="0.25">
      <c r="A923" s="20"/>
      <c r="B923" s="20"/>
      <c r="C923" s="20"/>
      <c r="D923" s="20"/>
      <c r="E923" s="188"/>
      <c r="F923" s="19"/>
      <c r="G923" s="19"/>
      <c r="H923" s="19"/>
      <c r="I923" s="19"/>
      <c r="J923" s="38"/>
      <c r="K923" s="19"/>
      <c r="L923" s="19"/>
      <c r="M923" s="19"/>
      <c r="N923" s="19"/>
      <c r="O923" s="19"/>
      <c r="P923" s="19"/>
      <c r="Q923" s="19"/>
    </row>
    <row r="924" spans="1:17" x14ac:dyDescent="0.25">
      <c r="A924" s="20"/>
      <c r="B924" s="20"/>
      <c r="C924" s="20"/>
      <c r="D924" s="20"/>
      <c r="E924" s="188"/>
      <c r="F924" s="19"/>
      <c r="G924" s="19"/>
      <c r="H924" s="19"/>
      <c r="I924" s="19"/>
      <c r="J924" s="38"/>
      <c r="K924" s="19"/>
      <c r="L924" s="19"/>
      <c r="M924" s="19"/>
      <c r="N924" s="19"/>
      <c r="O924" s="19"/>
      <c r="P924" s="19"/>
      <c r="Q924" s="19"/>
    </row>
    <row r="925" spans="1:17" x14ac:dyDescent="0.25">
      <c r="A925" s="20"/>
      <c r="B925" s="20"/>
      <c r="C925" s="20"/>
      <c r="D925" s="20"/>
      <c r="E925" s="188"/>
      <c r="F925" s="19"/>
      <c r="G925" s="19"/>
      <c r="H925" s="19"/>
      <c r="I925" s="19"/>
      <c r="J925" s="38"/>
      <c r="K925" s="19"/>
      <c r="L925" s="19"/>
      <c r="M925" s="19"/>
      <c r="N925" s="19"/>
      <c r="O925" s="19"/>
      <c r="P925" s="19"/>
      <c r="Q925" s="19"/>
    </row>
    <row r="926" spans="1:17" x14ac:dyDescent="0.25">
      <c r="A926" s="20"/>
      <c r="B926" s="20"/>
      <c r="C926" s="20"/>
      <c r="D926" s="20"/>
      <c r="E926" s="188"/>
      <c r="F926" s="19"/>
      <c r="G926" s="19"/>
      <c r="H926" s="19"/>
      <c r="I926" s="19"/>
      <c r="J926" s="38"/>
      <c r="K926" s="19"/>
      <c r="L926" s="19"/>
      <c r="M926" s="19"/>
      <c r="N926" s="19"/>
      <c r="O926" s="19"/>
      <c r="P926" s="19"/>
      <c r="Q926" s="19"/>
    </row>
    <row r="927" spans="1:17" x14ac:dyDescent="0.25">
      <c r="A927" s="20"/>
      <c r="B927" s="20"/>
      <c r="C927" s="20"/>
      <c r="D927" s="20"/>
      <c r="E927" s="188"/>
      <c r="F927" s="19"/>
      <c r="G927" s="19"/>
      <c r="H927" s="19"/>
      <c r="I927" s="19"/>
      <c r="J927" s="38"/>
      <c r="K927" s="19"/>
      <c r="L927" s="19"/>
      <c r="M927" s="19"/>
      <c r="N927" s="19"/>
      <c r="O927" s="19"/>
      <c r="P927" s="19"/>
      <c r="Q927" s="19"/>
    </row>
    <row r="928" spans="1:17" x14ac:dyDescent="0.25">
      <c r="A928" s="20"/>
      <c r="B928" s="20"/>
      <c r="C928" s="20"/>
      <c r="D928" s="20"/>
      <c r="E928" s="188"/>
      <c r="F928" s="19"/>
      <c r="G928" s="19"/>
      <c r="H928" s="19"/>
      <c r="I928" s="19"/>
      <c r="J928" s="38"/>
      <c r="K928" s="19"/>
      <c r="L928" s="19"/>
      <c r="M928" s="19"/>
      <c r="N928" s="19"/>
      <c r="O928" s="19"/>
      <c r="P928" s="19"/>
      <c r="Q928" s="19"/>
    </row>
    <row r="929" spans="1:17" x14ac:dyDescent="0.25">
      <c r="A929" s="20"/>
      <c r="B929" s="20"/>
      <c r="C929" s="20"/>
      <c r="D929" s="20"/>
      <c r="E929" s="188"/>
      <c r="F929" s="19"/>
      <c r="G929" s="19"/>
      <c r="H929" s="19"/>
      <c r="I929" s="19"/>
      <c r="J929" s="38"/>
      <c r="K929" s="19"/>
      <c r="L929" s="19"/>
      <c r="M929" s="19"/>
      <c r="N929" s="19"/>
      <c r="O929" s="19"/>
      <c r="P929" s="19"/>
      <c r="Q929" s="19"/>
    </row>
    <row r="930" spans="1:17" x14ac:dyDescent="0.25">
      <c r="A930" s="20"/>
      <c r="B930" s="20"/>
      <c r="C930" s="20"/>
      <c r="D930" s="20"/>
      <c r="E930" s="188"/>
      <c r="F930" s="19"/>
      <c r="G930" s="19"/>
      <c r="H930" s="19"/>
      <c r="I930" s="19"/>
      <c r="J930" s="38"/>
      <c r="K930" s="19"/>
      <c r="L930" s="19"/>
      <c r="M930" s="19"/>
      <c r="N930" s="19"/>
      <c r="O930" s="19"/>
      <c r="P930" s="19"/>
      <c r="Q930" s="19"/>
    </row>
    <row r="931" spans="1:17" x14ac:dyDescent="0.25">
      <c r="A931" s="20"/>
      <c r="B931" s="20"/>
      <c r="C931" s="20"/>
      <c r="D931" s="20"/>
      <c r="E931" s="188"/>
      <c r="F931" s="19"/>
      <c r="G931" s="19"/>
      <c r="H931" s="19"/>
      <c r="I931" s="19"/>
      <c r="J931" s="38"/>
      <c r="K931" s="19"/>
      <c r="L931" s="19"/>
      <c r="M931" s="19"/>
      <c r="N931" s="19"/>
      <c r="O931" s="19"/>
      <c r="P931" s="19"/>
      <c r="Q931" s="19"/>
    </row>
    <row r="932" spans="1:17" x14ac:dyDescent="0.25">
      <c r="A932" s="20"/>
      <c r="B932" s="20"/>
      <c r="C932" s="20"/>
      <c r="D932" s="20"/>
      <c r="E932" s="188"/>
      <c r="F932" s="19"/>
      <c r="G932" s="19"/>
      <c r="H932" s="19"/>
      <c r="I932" s="19"/>
      <c r="J932" s="38"/>
      <c r="K932" s="19"/>
      <c r="L932" s="19"/>
      <c r="M932" s="19"/>
      <c r="N932" s="19"/>
      <c r="O932" s="19"/>
      <c r="P932" s="19"/>
      <c r="Q932" s="19"/>
    </row>
    <row r="933" spans="1:17" x14ac:dyDescent="0.25">
      <c r="A933" s="20"/>
      <c r="B933" s="20"/>
      <c r="C933" s="20"/>
      <c r="D933" s="20"/>
      <c r="E933" s="188"/>
      <c r="F933" s="19"/>
      <c r="G933" s="19"/>
      <c r="H933" s="19"/>
      <c r="I933" s="19"/>
      <c r="J933" s="38"/>
      <c r="K933" s="19"/>
      <c r="L933" s="19"/>
      <c r="M933" s="19"/>
      <c r="N933" s="19"/>
      <c r="O933" s="19"/>
      <c r="P933" s="19"/>
      <c r="Q933" s="19"/>
    </row>
    <row r="934" spans="1:17" x14ac:dyDescent="0.25">
      <c r="A934" s="20"/>
      <c r="B934" s="20"/>
      <c r="C934" s="20"/>
      <c r="D934" s="20"/>
      <c r="E934" s="188"/>
      <c r="F934" s="19"/>
      <c r="G934" s="19"/>
      <c r="H934" s="19"/>
      <c r="I934" s="19"/>
      <c r="J934" s="38"/>
      <c r="K934" s="19"/>
      <c r="L934" s="19"/>
      <c r="M934" s="19"/>
      <c r="N934" s="19"/>
      <c r="O934" s="19"/>
      <c r="P934" s="19"/>
      <c r="Q934" s="19"/>
    </row>
    <row r="935" spans="1:17" x14ac:dyDescent="0.25">
      <c r="A935" s="20"/>
      <c r="B935" s="20"/>
      <c r="C935" s="20"/>
      <c r="D935" s="20"/>
      <c r="E935" s="188"/>
      <c r="F935" s="19"/>
      <c r="G935" s="19"/>
      <c r="H935" s="19"/>
      <c r="I935" s="19"/>
      <c r="J935" s="38"/>
      <c r="K935" s="19"/>
      <c r="L935" s="19"/>
      <c r="M935" s="19"/>
      <c r="N935" s="19"/>
      <c r="O935" s="19"/>
      <c r="P935" s="19"/>
      <c r="Q935" s="19"/>
    </row>
    <row r="936" spans="1:17" x14ac:dyDescent="0.25">
      <c r="A936" s="20"/>
      <c r="B936" s="20"/>
      <c r="C936" s="20"/>
      <c r="D936" s="20"/>
      <c r="E936" s="188"/>
      <c r="F936" s="19"/>
      <c r="G936" s="19"/>
      <c r="H936" s="19"/>
      <c r="I936" s="19"/>
      <c r="J936" s="38"/>
      <c r="K936" s="19"/>
      <c r="L936" s="19"/>
      <c r="M936" s="19"/>
      <c r="N936" s="19"/>
      <c r="O936" s="19"/>
      <c r="P936" s="19"/>
      <c r="Q936" s="19"/>
    </row>
    <row r="937" spans="1:17" x14ac:dyDescent="0.25">
      <c r="A937" s="20"/>
      <c r="B937" s="20"/>
      <c r="C937" s="20"/>
      <c r="D937" s="20"/>
      <c r="E937" s="188"/>
      <c r="F937" s="19"/>
      <c r="G937" s="19"/>
      <c r="H937" s="19"/>
      <c r="I937" s="19"/>
      <c r="J937" s="38"/>
      <c r="K937" s="19"/>
      <c r="L937" s="19"/>
      <c r="M937" s="19"/>
      <c r="N937" s="19"/>
      <c r="O937" s="19"/>
      <c r="P937" s="19"/>
      <c r="Q937" s="19"/>
    </row>
    <row r="938" spans="1:17" x14ac:dyDescent="0.25">
      <c r="A938" s="20"/>
      <c r="B938" s="20"/>
      <c r="C938" s="20"/>
      <c r="D938" s="20"/>
      <c r="E938" s="188"/>
      <c r="F938" s="19"/>
      <c r="G938" s="19"/>
      <c r="H938" s="19"/>
      <c r="I938" s="19"/>
      <c r="J938" s="38"/>
      <c r="K938" s="19"/>
      <c r="L938" s="19"/>
      <c r="M938" s="19"/>
      <c r="N938" s="19"/>
      <c r="O938" s="19"/>
      <c r="P938" s="19"/>
      <c r="Q938" s="19"/>
    </row>
    <row r="939" spans="1:17" x14ac:dyDescent="0.25">
      <c r="A939" s="20"/>
      <c r="B939" s="20"/>
      <c r="C939" s="20"/>
      <c r="D939" s="20"/>
      <c r="E939" s="188"/>
      <c r="F939" s="19"/>
      <c r="G939" s="19"/>
      <c r="H939" s="19"/>
      <c r="I939" s="19"/>
      <c r="J939" s="38"/>
      <c r="K939" s="19"/>
      <c r="L939" s="19"/>
      <c r="M939" s="19"/>
      <c r="N939" s="19"/>
      <c r="O939" s="19"/>
      <c r="P939" s="19"/>
      <c r="Q939" s="19"/>
    </row>
    <row r="940" spans="1:17" x14ac:dyDescent="0.25">
      <c r="A940" s="20"/>
      <c r="B940" s="20"/>
      <c r="C940" s="20"/>
      <c r="D940" s="20"/>
      <c r="E940" s="188"/>
      <c r="F940" s="19"/>
      <c r="G940" s="19"/>
      <c r="H940" s="19"/>
      <c r="I940" s="19"/>
      <c r="J940" s="38"/>
      <c r="K940" s="19"/>
      <c r="L940" s="19"/>
      <c r="M940" s="19"/>
      <c r="N940" s="19"/>
      <c r="O940" s="19"/>
      <c r="P940" s="19"/>
      <c r="Q940" s="19"/>
    </row>
    <row r="941" spans="1:17" x14ac:dyDescent="0.25">
      <c r="A941" s="20"/>
      <c r="B941" s="20"/>
      <c r="C941" s="20"/>
      <c r="D941" s="20"/>
      <c r="E941" s="188"/>
      <c r="F941" s="19"/>
      <c r="G941" s="19"/>
      <c r="H941" s="19"/>
      <c r="I941" s="19"/>
      <c r="J941" s="38"/>
      <c r="K941" s="19"/>
      <c r="L941" s="19"/>
      <c r="M941" s="19"/>
      <c r="N941" s="19"/>
      <c r="O941" s="19"/>
      <c r="P941" s="19"/>
      <c r="Q941" s="19"/>
    </row>
    <row r="942" spans="1:17" x14ac:dyDescent="0.25">
      <c r="A942" s="20"/>
      <c r="B942" s="20"/>
      <c r="C942" s="20"/>
      <c r="D942" s="20"/>
      <c r="E942" s="188"/>
      <c r="F942" s="19"/>
      <c r="G942" s="19"/>
      <c r="H942" s="19"/>
      <c r="I942" s="19"/>
      <c r="J942" s="38"/>
      <c r="K942" s="19"/>
      <c r="L942" s="19"/>
      <c r="M942" s="19"/>
      <c r="N942" s="19"/>
      <c r="O942" s="19"/>
      <c r="P942" s="19"/>
      <c r="Q942" s="19"/>
    </row>
    <row r="943" spans="1:17" x14ac:dyDescent="0.25">
      <c r="A943" s="20"/>
      <c r="B943" s="20"/>
      <c r="C943" s="20"/>
      <c r="D943" s="20"/>
      <c r="E943" s="188"/>
      <c r="F943" s="19"/>
      <c r="G943" s="19"/>
      <c r="H943" s="19"/>
      <c r="I943" s="19"/>
      <c r="J943" s="38"/>
      <c r="K943" s="19"/>
      <c r="L943" s="19"/>
      <c r="M943" s="19"/>
      <c r="N943" s="19"/>
      <c r="O943" s="19"/>
      <c r="P943" s="19"/>
      <c r="Q943" s="19"/>
    </row>
    <row r="944" spans="1:17" x14ac:dyDescent="0.25">
      <c r="A944" s="20"/>
      <c r="B944" s="20"/>
      <c r="C944" s="20"/>
      <c r="D944" s="20"/>
      <c r="E944" s="188"/>
      <c r="F944" s="19"/>
      <c r="G944" s="19"/>
      <c r="H944" s="19"/>
      <c r="I944" s="19"/>
      <c r="J944" s="38"/>
      <c r="K944" s="19"/>
      <c r="L944" s="19"/>
      <c r="M944" s="19"/>
      <c r="N944" s="19"/>
      <c r="O944" s="19"/>
      <c r="P944" s="19"/>
      <c r="Q944" s="19"/>
    </row>
    <row r="945" spans="1:17" x14ac:dyDescent="0.25">
      <c r="A945" s="20"/>
      <c r="B945" s="20"/>
      <c r="C945" s="20"/>
      <c r="D945" s="20"/>
      <c r="E945" s="188"/>
      <c r="F945" s="19"/>
      <c r="G945" s="19"/>
      <c r="H945" s="19"/>
      <c r="I945" s="19"/>
      <c r="J945" s="38"/>
      <c r="K945" s="19"/>
      <c r="L945" s="19"/>
      <c r="M945" s="19"/>
      <c r="N945" s="19"/>
      <c r="O945" s="19"/>
      <c r="P945" s="19"/>
      <c r="Q945" s="19"/>
    </row>
    <row r="946" spans="1:17" x14ac:dyDescent="0.25">
      <c r="A946" s="20"/>
      <c r="B946" s="20"/>
      <c r="C946" s="20"/>
      <c r="D946" s="20"/>
      <c r="E946" s="188"/>
      <c r="F946" s="19"/>
      <c r="G946" s="19"/>
      <c r="H946" s="19"/>
      <c r="I946" s="19"/>
      <c r="J946" s="38"/>
      <c r="K946" s="19"/>
      <c r="L946" s="19"/>
      <c r="M946" s="19"/>
      <c r="N946" s="19"/>
      <c r="O946" s="19"/>
      <c r="P946" s="19"/>
      <c r="Q946" s="19"/>
    </row>
    <row r="947" spans="1:17" x14ac:dyDescent="0.25">
      <c r="A947" s="20"/>
      <c r="B947" s="20"/>
      <c r="C947" s="20"/>
      <c r="D947" s="20"/>
      <c r="E947" s="188"/>
      <c r="F947" s="19"/>
      <c r="G947" s="19"/>
      <c r="H947" s="19"/>
      <c r="I947" s="19"/>
      <c r="J947" s="38"/>
      <c r="K947" s="19"/>
      <c r="L947" s="19"/>
      <c r="M947" s="19"/>
      <c r="N947" s="19"/>
      <c r="O947" s="19"/>
      <c r="P947" s="19"/>
      <c r="Q947" s="19"/>
    </row>
    <row r="948" spans="1:17" x14ac:dyDescent="0.25">
      <c r="A948" s="20"/>
      <c r="B948" s="20"/>
      <c r="C948" s="20"/>
      <c r="D948" s="20"/>
      <c r="E948" s="188"/>
      <c r="F948" s="19"/>
      <c r="G948" s="19"/>
      <c r="H948" s="19"/>
      <c r="I948" s="19"/>
      <c r="J948" s="38"/>
      <c r="K948" s="19"/>
      <c r="L948" s="19"/>
      <c r="M948" s="19"/>
      <c r="N948" s="19"/>
      <c r="O948" s="19"/>
      <c r="P948" s="19"/>
      <c r="Q948" s="19"/>
    </row>
    <row r="949" spans="1:17" x14ac:dyDescent="0.25">
      <c r="A949" s="20"/>
      <c r="B949" s="20"/>
      <c r="C949" s="20"/>
      <c r="D949" s="20"/>
      <c r="E949" s="188"/>
      <c r="F949" s="19"/>
      <c r="G949" s="19"/>
      <c r="H949" s="19"/>
      <c r="I949" s="19"/>
      <c r="J949" s="38"/>
      <c r="K949" s="19"/>
      <c r="L949" s="19"/>
      <c r="M949" s="19"/>
      <c r="N949" s="19"/>
      <c r="O949" s="19"/>
      <c r="P949" s="19"/>
      <c r="Q949" s="19"/>
    </row>
    <row r="950" spans="1:17" x14ac:dyDescent="0.25">
      <c r="A950" s="20"/>
      <c r="B950" s="20"/>
      <c r="C950" s="20"/>
      <c r="D950" s="20"/>
      <c r="E950" s="188"/>
      <c r="F950" s="19"/>
      <c r="G950" s="19"/>
      <c r="H950" s="19"/>
      <c r="I950" s="19"/>
      <c r="J950" s="38"/>
      <c r="K950" s="19"/>
      <c r="L950" s="19"/>
      <c r="M950" s="19"/>
      <c r="N950" s="19"/>
      <c r="O950" s="19"/>
      <c r="P950" s="19"/>
      <c r="Q950" s="19"/>
    </row>
    <row r="951" spans="1:17" x14ac:dyDescent="0.25">
      <c r="A951" s="20"/>
      <c r="B951" s="20"/>
      <c r="C951" s="20"/>
      <c r="D951" s="20"/>
      <c r="E951" s="188"/>
      <c r="F951" s="19"/>
      <c r="G951" s="19"/>
      <c r="H951" s="19"/>
      <c r="I951" s="19"/>
      <c r="J951" s="38"/>
      <c r="K951" s="19"/>
      <c r="L951" s="19"/>
      <c r="M951" s="19"/>
      <c r="N951" s="19"/>
      <c r="O951" s="19"/>
      <c r="P951" s="19"/>
      <c r="Q951" s="19"/>
    </row>
    <row r="952" spans="1:17" x14ac:dyDescent="0.25">
      <c r="A952" s="20"/>
      <c r="B952" s="20"/>
      <c r="C952" s="20"/>
      <c r="D952" s="20"/>
      <c r="E952" s="188"/>
      <c r="F952" s="19"/>
      <c r="G952" s="19"/>
      <c r="H952" s="19"/>
      <c r="I952" s="19"/>
      <c r="J952" s="38"/>
      <c r="K952" s="19"/>
      <c r="L952" s="19"/>
      <c r="M952" s="19"/>
      <c r="N952" s="19"/>
      <c r="O952" s="19"/>
      <c r="P952" s="19"/>
      <c r="Q952" s="19"/>
    </row>
    <row r="953" spans="1:17" x14ac:dyDescent="0.25">
      <c r="A953" s="20"/>
      <c r="B953" s="20"/>
      <c r="C953" s="20"/>
      <c r="D953" s="20"/>
      <c r="E953" s="188"/>
      <c r="F953" s="19"/>
      <c r="G953" s="19"/>
      <c r="H953" s="19"/>
      <c r="I953" s="19"/>
      <c r="J953" s="38"/>
      <c r="K953" s="19"/>
      <c r="L953" s="19"/>
      <c r="M953" s="19"/>
      <c r="N953" s="19"/>
      <c r="O953" s="19"/>
      <c r="P953" s="19"/>
      <c r="Q953" s="19"/>
    </row>
    <row r="954" spans="1:17" x14ac:dyDescent="0.25">
      <c r="A954" s="20"/>
      <c r="B954" s="20"/>
      <c r="C954" s="20"/>
      <c r="D954" s="20"/>
      <c r="E954" s="188"/>
      <c r="F954" s="19"/>
      <c r="G954" s="19"/>
      <c r="H954" s="19"/>
      <c r="I954" s="19"/>
      <c r="J954" s="38"/>
      <c r="K954" s="19"/>
      <c r="L954" s="19"/>
      <c r="M954" s="19"/>
      <c r="N954" s="19"/>
      <c r="O954" s="19"/>
      <c r="P954" s="19"/>
      <c r="Q954" s="19"/>
    </row>
    <row r="955" spans="1:17" x14ac:dyDescent="0.25">
      <c r="A955" s="20"/>
      <c r="B955" s="20"/>
      <c r="C955" s="20"/>
      <c r="D955" s="20"/>
      <c r="E955" s="188"/>
      <c r="F955" s="19"/>
      <c r="G955" s="19"/>
      <c r="H955" s="19"/>
      <c r="I955" s="19"/>
      <c r="J955" s="38"/>
      <c r="K955" s="19"/>
      <c r="L955" s="19"/>
      <c r="M955" s="19"/>
      <c r="N955" s="19"/>
      <c r="O955" s="19"/>
      <c r="P955" s="19"/>
      <c r="Q955" s="19"/>
    </row>
    <row r="956" spans="1:17" x14ac:dyDescent="0.25">
      <c r="A956" s="20"/>
      <c r="B956" s="20"/>
      <c r="C956" s="20"/>
      <c r="D956" s="20"/>
      <c r="E956" s="188"/>
      <c r="F956" s="19"/>
      <c r="G956" s="19"/>
      <c r="H956" s="19"/>
      <c r="I956" s="19"/>
      <c r="J956" s="38"/>
      <c r="K956" s="19"/>
      <c r="L956" s="19"/>
      <c r="M956" s="19"/>
      <c r="N956" s="19"/>
      <c r="O956" s="19"/>
      <c r="P956" s="19"/>
      <c r="Q956" s="19"/>
    </row>
    <row r="957" spans="1:17" x14ac:dyDescent="0.25">
      <c r="A957" s="20"/>
      <c r="B957" s="20"/>
      <c r="C957" s="20"/>
      <c r="D957" s="20"/>
      <c r="E957" s="188"/>
      <c r="F957" s="19"/>
      <c r="G957" s="19"/>
      <c r="H957" s="19"/>
      <c r="I957" s="19"/>
      <c r="J957" s="38"/>
      <c r="K957" s="19"/>
      <c r="L957" s="19"/>
      <c r="M957" s="19"/>
      <c r="N957" s="19"/>
      <c r="O957" s="19"/>
      <c r="P957" s="19"/>
      <c r="Q957" s="19"/>
    </row>
    <row r="958" spans="1:17" x14ac:dyDescent="0.25">
      <c r="A958" s="20"/>
      <c r="B958" s="20"/>
      <c r="C958" s="20"/>
      <c r="D958" s="20"/>
      <c r="E958" s="188"/>
      <c r="F958" s="19"/>
      <c r="G958" s="19"/>
      <c r="H958" s="19"/>
      <c r="I958" s="19"/>
      <c r="J958" s="38"/>
      <c r="K958" s="19"/>
      <c r="L958" s="19"/>
      <c r="M958" s="19"/>
      <c r="N958" s="19"/>
      <c r="O958" s="19"/>
      <c r="P958" s="19"/>
      <c r="Q958" s="19"/>
    </row>
    <row r="959" spans="1:17" x14ac:dyDescent="0.25">
      <c r="A959" s="20"/>
      <c r="B959" s="20"/>
      <c r="C959" s="20"/>
      <c r="D959" s="20"/>
      <c r="E959" s="188"/>
      <c r="F959" s="19"/>
      <c r="G959" s="19"/>
      <c r="H959" s="19"/>
      <c r="I959" s="19"/>
      <c r="J959" s="38"/>
      <c r="K959" s="19"/>
      <c r="L959" s="19"/>
      <c r="M959" s="19"/>
      <c r="N959" s="19"/>
      <c r="O959" s="19"/>
      <c r="P959" s="19"/>
      <c r="Q959" s="19"/>
    </row>
    <row r="960" spans="1:17" x14ac:dyDescent="0.25">
      <c r="A960" s="20"/>
      <c r="B960" s="20"/>
      <c r="C960" s="20"/>
      <c r="D960" s="20"/>
      <c r="E960" s="188"/>
      <c r="F960" s="19"/>
      <c r="G960" s="19"/>
      <c r="H960" s="19"/>
      <c r="I960" s="19"/>
      <c r="J960" s="38"/>
      <c r="K960" s="19"/>
      <c r="L960" s="19"/>
      <c r="M960" s="19"/>
      <c r="N960" s="19"/>
      <c r="O960" s="19"/>
      <c r="P960" s="19"/>
      <c r="Q960" s="19"/>
    </row>
    <row r="961" spans="5:5" x14ac:dyDescent="0.25">
      <c r="E961" s="189"/>
    </row>
    <row r="962" spans="5:5" x14ac:dyDescent="0.25">
      <c r="E962" s="189"/>
    </row>
    <row r="963" spans="5:5" x14ac:dyDescent="0.25">
      <c r="E963" s="189"/>
    </row>
    <row r="964" spans="5:5" x14ac:dyDescent="0.25">
      <c r="E964" s="189"/>
    </row>
    <row r="965" spans="5:5" x14ac:dyDescent="0.25">
      <c r="E965" s="189"/>
    </row>
    <row r="966" spans="5:5" x14ac:dyDescent="0.25">
      <c r="E966" s="189"/>
    </row>
    <row r="967" spans="5:5" x14ac:dyDescent="0.25">
      <c r="E967" s="189"/>
    </row>
    <row r="968" spans="5:5" x14ac:dyDescent="0.25">
      <c r="E968" s="189"/>
    </row>
    <row r="969" spans="5:5" x14ac:dyDescent="0.25">
      <c r="E969" s="189"/>
    </row>
    <row r="970" spans="5:5" x14ac:dyDescent="0.25">
      <c r="E970" s="189"/>
    </row>
    <row r="971" spans="5:5" x14ac:dyDescent="0.25">
      <c r="E971" s="189"/>
    </row>
    <row r="972" spans="5:5" x14ac:dyDescent="0.25">
      <c r="E972" s="189"/>
    </row>
    <row r="973" spans="5:5" x14ac:dyDescent="0.25">
      <c r="E973" s="189"/>
    </row>
    <row r="974" spans="5:5" x14ac:dyDescent="0.25">
      <c r="E974" s="189"/>
    </row>
    <row r="975" spans="5:5" x14ac:dyDescent="0.25">
      <c r="E975" s="189"/>
    </row>
    <row r="976" spans="5:5" x14ac:dyDescent="0.25">
      <c r="E976" s="189"/>
    </row>
    <row r="977" spans="5:5" x14ac:dyDescent="0.25">
      <c r="E977" s="189"/>
    </row>
    <row r="978" spans="5:5" x14ac:dyDescent="0.25">
      <c r="E978" s="189"/>
    </row>
    <row r="979" spans="5:5" x14ac:dyDescent="0.25">
      <c r="E979" s="189"/>
    </row>
    <row r="980" spans="5:5" x14ac:dyDescent="0.25">
      <c r="E980" s="189"/>
    </row>
    <row r="981" spans="5:5" x14ac:dyDescent="0.25">
      <c r="E981" s="189"/>
    </row>
    <row r="982" spans="5:5" x14ac:dyDescent="0.25">
      <c r="E982" s="189"/>
    </row>
    <row r="983" spans="5:5" x14ac:dyDescent="0.25">
      <c r="E983" s="189"/>
    </row>
    <row r="984" spans="5:5" x14ac:dyDescent="0.25">
      <c r="E984" s="189"/>
    </row>
    <row r="985" spans="5:5" x14ac:dyDescent="0.25">
      <c r="E985" s="189"/>
    </row>
    <row r="986" spans="5:5" x14ac:dyDescent="0.25">
      <c r="E986" s="189"/>
    </row>
    <row r="987" spans="5:5" x14ac:dyDescent="0.25">
      <c r="E987" s="189"/>
    </row>
    <row r="988" spans="5:5" x14ac:dyDescent="0.25">
      <c r="E988" s="189"/>
    </row>
    <row r="989" spans="5:5" x14ac:dyDescent="0.25">
      <c r="E989" s="189"/>
    </row>
    <row r="990" spans="5:5" x14ac:dyDescent="0.25">
      <c r="E990" s="189"/>
    </row>
    <row r="991" spans="5:5" x14ac:dyDescent="0.25">
      <c r="E991" s="189"/>
    </row>
    <row r="992" spans="5:5" x14ac:dyDescent="0.25">
      <c r="E992" s="189"/>
    </row>
    <row r="993" spans="5:5" x14ac:dyDescent="0.25">
      <c r="E993" s="189"/>
    </row>
    <row r="994" spans="5:5" x14ac:dyDescent="0.25">
      <c r="E994" s="189"/>
    </row>
    <row r="995" spans="5:5" x14ac:dyDescent="0.25">
      <c r="E995" s="189"/>
    </row>
    <row r="996" spans="5:5" x14ac:dyDescent="0.25">
      <c r="E996" s="189"/>
    </row>
    <row r="997" spans="5:5" x14ac:dyDescent="0.25">
      <c r="E997" s="189"/>
    </row>
    <row r="998" spans="5:5" x14ac:dyDescent="0.25">
      <c r="E998" s="189"/>
    </row>
    <row r="999" spans="5:5" x14ac:dyDescent="0.25">
      <c r="E999" s="189"/>
    </row>
    <row r="1000" spans="5:5" x14ac:dyDescent="0.25">
      <c r="E1000" s="189"/>
    </row>
    <row r="1001" spans="5:5" x14ac:dyDescent="0.25">
      <c r="E1001" s="189"/>
    </row>
    <row r="1002" spans="5:5" x14ac:dyDescent="0.25">
      <c r="E1002" s="189"/>
    </row>
    <row r="1003" spans="5:5" x14ac:dyDescent="0.25">
      <c r="E1003" s="189"/>
    </row>
    <row r="1004" spans="5:5" x14ac:dyDescent="0.25">
      <c r="E1004" s="189"/>
    </row>
    <row r="1005" spans="5:5" x14ac:dyDescent="0.25">
      <c r="E1005" s="189"/>
    </row>
    <row r="1006" spans="5:5" x14ac:dyDescent="0.25">
      <c r="E1006" s="189"/>
    </row>
    <row r="1007" spans="5:5" x14ac:dyDescent="0.25">
      <c r="E1007" s="189"/>
    </row>
    <row r="1008" spans="5:5" x14ac:dyDescent="0.25">
      <c r="E1008" s="189"/>
    </row>
    <row r="1009" spans="5:5" x14ac:dyDescent="0.25">
      <c r="E1009" s="189"/>
    </row>
    <row r="1010" spans="5:5" x14ac:dyDescent="0.25">
      <c r="E1010" s="189"/>
    </row>
    <row r="1011" spans="5:5" x14ac:dyDescent="0.25">
      <c r="E1011" s="189"/>
    </row>
    <row r="1012" spans="5:5" x14ac:dyDescent="0.25">
      <c r="E1012" s="189"/>
    </row>
    <row r="1013" spans="5:5" x14ac:dyDescent="0.25">
      <c r="E1013" s="189"/>
    </row>
    <row r="1014" spans="5:5" x14ac:dyDescent="0.25">
      <c r="E1014" s="189"/>
    </row>
    <row r="1015" spans="5:5" x14ac:dyDescent="0.25">
      <c r="E1015" s="189"/>
    </row>
    <row r="1016" spans="5:5" x14ac:dyDescent="0.25">
      <c r="E1016" s="189"/>
    </row>
    <row r="1017" spans="5:5" x14ac:dyDescent="0.25">
      <c r="E1017" s="189"/>
    </row>
    <row r="1018" spans="5:5" x14ac:dyDescent="0.25">
      <c r="E1018" s="189"/>
    </row>
    <row r="1019" spans="5:5" x14ac:dyDescent="0.25">
      <c r="E1019" s="189"/>
    </row>
    <row r="1020" spans="5:5" x14ac:dyDescent="0.25">
      <c r="E1020" s="189"/>
    </row>
    <row r="1021" spans="5:5" x14ac:dyDescent="0.25">
      <c r="E1021" s="189"/>
    </row>
    <row r="1022" spans="5:5" x14ac:dyDescent="0.25">
      <c r="E1022" s="189"/>
    </row>
    <row r="1023" spans="5:5" x14ac:dyDescent="0.25">
      <c r="E1023" s="189"/>
    </row>
    <row r="1024" spans="5:5" x14ac:dyDescent="0.25">
      <c r="E1024" s="189"/>
    </row>
    <row r="1025" spans="5:5" x14ac:dyDescent="0.25">
      <c r="E1025" s="189"/>
    </row>
    <row r="1026" spans="5:5" x14ac:dyDescent="0.25">
      <c r="E1026" s="189"/>
    </row>
    <row r="1027" spans="5:5" x14ac:dyDescent="0.25">
      <c r="E1027" s="189"/>
    </row>
    <row r="1028" spans="5:5" x14ac:dyDescent="0.25">
      <c r="E1028" s="189"/>
    </row>
    <row r="1029" spans="5:5" x14ac:dyDescent="0.25">
      <c r="E1029" s="189"/>
    </row>
    <row r="1030" spans="5:5" x14ac:dyDescent="0.25">
      <c r="E1030" s="189"/>
    </row>
    <row r="1031" spans="5:5" x14ac:dyDescent="0.25">
      <c r="E1031" s="189"/>
    </row>
    <row r="1032" spans="5:5" x14ac:dyDescent="0.25">
      <c r="E1032" s="189"/>
    </row>
    <row r="1033" spans="5:5" x14ac:dyDescent="0.25">
      <c r="E1033" s="189"/>
    </row>
    <row r="1034" spans="5:5" x14ac:dyDescent="0.25">
      <c r="E1034" s="189"/>
    </row>
    <row r="1035" spans="5:5" x14ac:dyDescent="0.25">
      <c r="E1035" s="189"/>
    </row>
    <row r="1036" spans="5:5" x14ac:dyDescent="0.25">
      <c r="E1036" s="189"/>
    </row>
    <row r="1037" spans="5:5" x14ac:dyDescent="0.25">
      <c r="E1037" s="189"/>
    </row>
    <row r="1038" spans="5:5" x14ac:dyDescent="0.25">
      <c r="E1038" s="189"/>
    </row>
    <row r="1039" spans="5:5" x14ac:dyDescent="0.25">
      <c r="E1039" s="189"/>
    </row>
    <row r="1040" spans="5:5" x14ac:dyDescent="0.25">
      <c r="E1040" s="189"/>
    </row>
    <row r="1041" spans="5:5" x14ac:dyDescent="0.25">
      <c r="E1041" s="189"/>
    </row>
    <row r="1042" spans="5:5" x14ac:dyDescent="0.25">
      <c r="E1042" s="189"/>
    </row>
    <row r="1043" spans="5:5" x14ac:dyDescent="0.25">
      <c r="E1043" s="189"/>
    </row>
    <row r="1044" spans="5:5" x14ac:dyDescent="0.25">
      <c r="E1044" s="189"/>
    </row>
    <row r="1045" spans="5:5" x14ac:dyDescent="0.25">
      <c r="E1045" s="189"/>
    </row>
    <row r="1046" spans="5:5" x14ac:dyDescent="0.25">
      <c r="E1046" s="189"/>
    </row>
    <row r="1047" spans="5:5" x14ac:dyDescent="0.25">
      <c r="E1047" s="189"/>
    </row>
    <row r="1048" spans="5:5" x14ac:dyDescent="0.25">
      <c r="E1048" s="189"/>
    </row>
    <row r="1049" spans="5:5" x14ac:dyDescent="0.25">
      <c r="E1049" s="189"/>
    </row>
    <row r="1050" spans="5:5" x14ac:dyDescent="0.25">
      <c r="E1050" s="189"/>
    </row>
    <row r="1051" spans="5:5" x14ac:dyDescent="0.25">
      <c r="E1051" s="189"/>
    </row>
    <row r="1052" spans="5:5" x14ac:dyDescent="0.25">
      <c r="E1052" s="189"/>
    </row>
    <row r="1053" spans="5:5" x14ac:dyDescent="0.25">
      <c r="E1053" s="189"/>
    </row>
    <row r="1054" spans="5:5" x14ac:dyDescent="0.25">
      <c r="E1054" s="189"/>
    </row>
    <row r="1055" spans="5:5" x14ac:dyDescent="0.25">
      <c r="E1055" s="189"/>
    </row>
    <row r="1056" spans="5:5" x14ac:dyDescent="0.25">
      <c r="E1056" s="189"/>
    </row>
    <row r="1057" spans="5:5" x14ac:dyDescent="0.25">
      <c r="E1057" s="189"/>
    </row>
    <row r="1058" spans="5:5" x14ac:dyDescent="0.25">
      <c r="E1058" s="189"/>
    </row>
    <row r="1059" spans="5:5" x14ac:dyDescent="0.25">
      <c r="E1059" s="189"/>
    </row>
    <row r="1060" spans="5:5" x14ac:dyDescent="0.25">
      <c r="E1060" s="189"/>
    </row>
    <row r="1061" spans="5:5" x14ac:dyDescent="0.25">
      <c r="E1061" s="189"/>
    </row>
    <row r="1062" spans="5:5" x14ac:dyDescent="0.25">
      <c r="E1062" s="189"/>
    </row>
    <row r="1063" spans="5:5" x14ac:dyDescent="0.25">
      <c r="E1063" s="189"/>
    </row>
    <row r="1064" spans="5:5" x14ac:dyDescent="0.25">
      <c r="E1064" s="189"/>
    </row>
    <row r="1065" spans="5:5" x14ac:dyDescent="0.25">
      <c r="E1065" s="189"/>
    </row>
    <row r="1066" spans="5:5" x14ac:dyDescent="0.25">
      <c r="E1066" s="189"/>
    </row>
    <row r="1067" spans="5:5" x14ac:dyDescent="0.25">
      <c r="E1067" s="189"/>
    </row>
    <row r="1068" spans="5:5" x14ac:dyDescent="0.25">
      <c r="E1068" s="189"/>
    </row>
    <row r="1069" spans="5:5" x14ac:dyDescent="0.25">
      <c r="E1069" s="189"/>
    </row>
    <row r="1070" spans="5:5" x14ac:dyDescent="0.25">
      <c r="E1070" s="189"/>
    </row>
    <row r="1071" spans="5:5" x14ac:dyDescent="0.25">
      <c r="E1071" s="189"/>
    </row>
    <row r="1072" spans="5:5" x14ac:dyDescent="0.25">
      <c r="E1072" s="189"/>
    </row>
    <row r="1073" spans="5:5" x14ac:dyDescent="0.25">
      <c r="E1073" s="189"/>
    </row>
    <row r="1074" spans="5:5" x14ac:dyDescent="0.25">
      <c r="E1074" s="189"/>
    </row>
    <row r="1075" spans="5:5" x14ac:dyDescent="0.25">
      <c r="E1075" s="189"/>
    </row>
    <row r="1076" spans="5:5" x14ac:dyDescent="0.25">
      <c r="E1076" s="189"/>
    </row>
    <row r="1077" spans="5:5" x14ac:dyDescent="0.25">
      <c r="E1077" s="189"/>
    </row>
    <row r="1078" spans="5:5" x14ac:dyDescent="0.25">
      <c r="E1078" s="189"/>
    </row>
    <row r="1079" spans="5:5" x14ac:dyDescent="0.25">
      <c r="E1079" s="189"/>
    </row>
    <row r="1080" spans="5:5" x14ac:dyDescent="0.25">
      <c r="E1080" s="189"/>
    </row>
    <row r="1081" spans="5:5" x14ac:dyDescent="0.25">
      <c r="E1081" s="189"/>
    </row>
    <row r="1082" spans="5:5" x14ac:dyDescent="0.25">
      <c r="E1082" s="189"/>
    </row>
    <row r="1083" spans="5:5" x14ac:dyDescent="0.25">
      <c r="E1083" s="189"/>
    </row>
    <row r="1084" spans="5:5" x14ac:dyDescent="0.25">
      <c r="E1084" s="189"/>
    </row>
    <row r="1085" spans="5:5" x14ac:dyDescent="0.25">
      <c r="E1085" s="189"/>
    </row>
    <row r="1086" spans="5:5" x14ac:dyDescent="0.25">
      <c r="E1086" s="189"/>
    </row>
    <row r="1087" spans="5:5" x14ac:dyDescent="0.25">
      <c r="E1087" s="189"/>
    </row>
    <row r="1088" spans="5:5" x14ac:dyDescent="0.25">
      <c r="E1088" s="189"/>
    </row>
    <row r="1089" spans="5:5" x14ac:dyDescent="0.25">
      <c r="E1089" s="189"/>
    </row>
    <row r="1090" spans="5:5" x14ac:dyDescent="0.25">
      <c r="E1090" s="189"/>
    </row>
    <row r="1091" spans="5:5" x14ac:dyDescent="0.25">
      <c r="E1091" s="189"/>
    </row>
    <row r="1092" spans="5:5" x14ac:dyDescent="0.25">
      <c r="E1092" s="189"/>
    </row>
    <row r="1093" spans="5:5" x14ac:dyDescent="0.25">
      <c r="E1093" s="189"/>
    </row>
    <row r="1094" spans="5:5" x14ac:dyDescent="0.25">
      <c r="E1094" s="189"/>
    </row>
    <row r="1095" spans="5:5" x14ac:dyDescent="0.25">
      <c r="E1095" s="189"/>
    </row>
    <row r="1096" spans="5:5" x14ac:dyDescent="0.25">
      <c r="E1096" s="189"/>
    </row>
    <row r="1097" spans="5:5" x14ac:dyDescent="0.25">
      <c r="E1097" s="189"/>
    </row>
    <row r="1098" spans="5:5" x14ac:dyDescent="0.25">
      <c r="E1098" s="189"/>
    </row>
    <row r="1099" spans="5:5" x14ac:dyDescent="0.25">
      <c r="E1099" s="189"/>
    </row>
    <row r="1100" spans="5:5" x14ac:dyDescent="0.25">
      <c r="E1100" s="189"/>
    </row>
    <row r="1101" spans="5:5" x14ac:dyDescent="0.25">
      <c r="E1101" s="189"/>
    </row>
    <row r="1102" spans="5:5" x14ac:dyDescent="0.25">
      <c r="E1102" s="189"/>
    </row>
    <row r="1103" spans="5:5" x14ac:dyDescent="0.25">
      <c r="E1103" s="189"/>
    </row>
    <row r="1104" spans="5:5" x14ac:dyDescent="0.25">
      <c r="E1104" s="189"/>
    </row>
    <row r="1105" spans="5:5" x14ac:dyDescent="0.25">
      <c r="E1105" s="189"/>
    </row>
    <row r="1106" spans="5:5" x14ac:dyDescent="0.25">
      <c r="E1106" s="189"/>
    </row>
    <row r="1107" spans="5:5" x14ac:dyDescent="0.25">
      <c r="E1107" s="189"/>
    </row>
    <row r="1108" spans="5:5" x14ac:dyDescent="0.25">
      <c r="E1108" s="189"/>
    </row>
    <row r="1109" spans="5:5" x14ac:dyDescent="0.25">
      <c r="E1109" s="189"/>
    </row>
    <row r="1110" spans="5:5" x14ac:dyDescent="0.25">
      <c r="E1110" s="189"/>
    </row>
    <row r="1111" spans="5:5" x14ac:dyDescent="0.25">
      <c r="E1111" s="189"/>
    </row>
    <row r="1112" spans="5:5" x14ac:dyDescent="0.25">
      <c r="E1112" s="189"/>
    </row>
    <row r="1113" spans="5:5" x14ac:dyDescent="0.25">
      <c r="E1113" s="189"/>
    </row>
    <row r="1114" spans="5:5" x14ac:dyDescent="0.25">
      <c r="E1114" s="189"/>
    </row>
    <row r="1115" spans="5:5" x14ac:dyDescent="0.25">
      <c r="E1115" s="189"/>
    </row>
    <row r="1116" spans="5:5" x14ac:dyDescent="0.25">
      <c r="E1116" s="189"/>
    </row>
    <row r="1117" spans="5:5" x14ac:dyDescent="0.25">
      <c r="E1117" s="189"/>
    </row>
    <row r="1118" spans="5:5" x14ac:dyDescent="0.25">
      <c r="E1118" s="189"/>
    </row>
    <row r="1119" spans="5:5" x14ac:dyDescent="0.25">
      <c r="E1119" s="189"/>
    </row>
    <row r="1120" spans="5:5" x14ac:dyDescent="0.25">
      <c r="E1120" s="189"/>
    </row>
    <row r="1121" spans="5:5" x14ac:dyDescent="0.25">
      <c r="E1121" s="189"/>
    </row>
    <row r="1122" spans="5:5" x14ac:dyDescent="0.25">
      <c r="E1122" s="189"/>
    </row>
    <row r="1123" spans="5:5" x14ac:dyDescent="0.25">
      <c r="E1123" s="189"/>
    </row>
    <row r="1124" spans="5:5" x14ac:dyDescent="0.25">
      <c r="E1124" s="189"/>
    </row>
    <row r="1125" spans="5:5" x14ac:dyDescent="0.25">
      <c r="E1125" s="189"/>
    </row>
    <row r="1126" spans="5:5" x14ac:dyDescent="0.25">
      <c r="E1126" s="189"/>
    </row>
    <row r="1127" spans="5:5" x14ac:dyDescent="0.25">
      <c r="E1127" s="189"/>
    </row>
    <row r="1128" spans="5:5" x14ac:dyDescent="0.25">
      <c r="E1128" s="189"/>
    </row>
    <row r="1129" spans="5:5" x14ac:dyDescent="0.25">
      <c r="E1129" s="189"/>
    </row>
    <row r="1130" spans="5:5" x14ac:dyDescent="0.25">
      <c r="E1130" s="189"/>
    </row>
    <row r="1131" spans="5:5" x14ac:dyDescent="0.25">
      <c r="E1131" s="189"/>
    </row>
    <row r="1132" spans="5:5" x14ac:dyDescent="0.25">
      <c r="E1132" s="189"/>
    </row>
    <row r="1133" spans="5:5" x14ac:dyDescent="0.25">
      <c r="E1133" s="189"/>
    </row>
    <row r="1134" spans="5:5" x14ac:dyDescent="0.25">
      <c r="E1134" s="189"/>
    </row>
    <row r="1135" spans="5:5" x14ac:dyDescent="0.25">
      <c r="E1135" s="189"/>
    </row>
    <row r="1136" spans="5:5" x14ac:dyDescent="0.25">
      <c r="E1136" s="189"/>
    </row>
    <row r="1137" spans="5:5" x14ac:dyDescent="0.25">
      <c r="E1137" s="189"/>
    </row>
    <row r="1138" spans="5:5" x14ac:dyDescent="0.25">
      <c r="E1138" s="189"/>
    </row>
    <row r="1139" spans="5:5" x14ac:dyDescent="0.25">
      <c r="E1139" s="189"/>
    </row>
    <row r="1140" spans="5:5" x14ac:dyDescent="0.25">
      <c r="E1140" s="189"/>
    </row>
    <row r="1141" spans="5:5" x14ac:dyDescent="0.25">
      <c r="E1141" s="189"/>
    </row>
    <row r="1142" spans="5:5" x14ac:dyDescent="0.25">
      <c r="E1142" s="189"/>
    </row>
    <row r="1143" spans="5:5" x14ac:dyDescent="0.25">
      <c r="E1143" s="189"/>
    </row>
    <row r="1144" spans="5:5" x14ac:dyDescent="0.25">
      <c r="E1144" s="189"/>
    </row>
    <row r="1145" spans="5:5" x14ac:dyDescent="0.25">
      <c r="E1145" s="189"/>
    </row>
    <row r="1146" spans="5:5" x14ac:dyDescent="0.25">
      <c r="E1146" s="189"/>
    </row>
    <row r="1147" spans="5:5" x14ac:dyDescent="0.25">
      <c r="E1147" s="189"/>
    </row>
    <row r="1148" spans="5:5" x14ac:dyDescent="0.25">
      <c r="E1148" s="189"/>
    </row>
    <row r="1149" spans="5:5" x14ac:dyDescent="0.25">
      <c r="E1149" s="189"/>
    </row>
    <row r="1150" spans="5:5" x14ac:dyDescent="0.25">
      <c r="E1150" s="189"/>
    </row>
    <row r="1151" spans="5:5" x14ac:dyDescent="0.25">
      <c r="E1151" s="189"/>
    </row>
    <row r="1152" spans="5:5" x14ac:dyDescent="0.25">
      <c r="E1152" s="189"/>
    </row>
    <row r="1153" spans="5:5" x14ac:dyDescent="0.25">
      <c r="E1153" s="189"/>
    </row>
    <row r="1154" spans="5:5" x14ac:dyDescent="0.25">
      <c r="E1154" s="189"/>
    </row>
    <row r="1155" spans="5:5" x14ac:dyDescent="0.25">
      <c r="E1155" s="189"/>
    </row>
    <row r="1156" spans="5:5" x14ac:dyDescent="0.25">
      <c r="E1156" s="189"/>
    </row>
    <row r="1157" spans="5:5" x14ac:dyDescent="0.25">
      <c r="E1157" s="189"/>
    </row>
    <row r="1158" spans="5:5" x14ac:dyDescent="0.25">
      <c r="E1158" s="189"/>
    </row>
    <row r="1159" spans="5:5" x14ac:dyDescent="0.25">
      <c r="E1159" s="189"/>
    </row>
    <row r="1160" spans="5:5" x14ac:dyDescent="0.25">
      <c r="E1160" s="189"/>
    </row>
    <row r="1161" spans="5:5" x14ac:dyDescent="0.25">
      <c r="E1161" s="189"/>
    </row>
    <row r="1162" spans="5:5" x14ac:dyDescent="0.25">
      <c r="E1162" s="189"/>
    </row>
    <row r="1163" spans="5:5" x14ac:dyDescent="0.25">
      <c r="E1163" s="189"/>
    </row>
    <row r="1164" spans="5:5" x14ac:dyDescent="0.25">
      <c r="E1164" s="189"/>
    </row>
    <row r="1165" spans="5:5" x14ac:dyDescent="0.25">
      <c r="E1165" s="189"/>
    </row>
    <row r="1166" spans="5:5" x14ac:dyDescent="0.25">
      <c r="E1166" s="189"/>
    </row>
    <row r="1167" spans="5:5" x14ac:dyDescent="0.25">
      <c r="E1167" s="189"/>
    </row>
    <row r="1168" spans="5:5" x14ac:dyDescent="0.25">
      <c r="E1168" s="189"/>
    </row>
    <row r="1169" spans="5:5" x14ac:dyDescent="0.25">
      <c r="E1169" s="189"/>
    </row>
    <row r="1170" spans="5:5" x14ac:dyDescent="0.25">
      <c r="E1170" s="189"/>
    </row>
    <row r="1171" spans="5:5" x14ac:dyDescent="0.25">
      <c r="E1171" s="189"/>
    </row>
    <row r="1172" spans="5:5" x14ac:dyDescent="0.25">
      <c r="E1172" s="189"/>
    </row>
    <row r="1173" spans="5:5" x14ac:dyDescent="0.25">
      <c r="E1173" s="189"/>
    </row>
    <row r="1174" spans="5:5" x14ac:dyDescent="0.25">
      <c r="E1174" s="189"/>
    </row>
    <row r="1175" spans="5:5" x14ac:dyDescent="0.25">
      <c r="E1175" s="189"/>
    </row>
    <row r="1176" spans="5:5" x14ac:dyDescent="0.25">
      <c r="E1176" s="189"/>
    </row>
    <row r="1177" spans="5:5" x14ac:dyDescent="0.25">
      <c r="E1177" s="189"/>
    </row>
    <row r="1178" spans="5:5" x14ac:dyDescent="0.25">
      <c r="E1178" s="189"/>
    </row>
    <row r="1179" spans="5:5" x14ac:dyDescent="0.25">
      <c r="E1179" s="189"/>
    </row>
    <row r="1180" spans="5:5" x14ac:dyDescent="0.25">
      <c r="E1180" s="189"/>
    </row>
    <row r="1181" spans="5:5" x14ac:dyDescent="0.25">
      <c r="E1181" s="189"/>
    </row>
    <row r="1182" spans="5:5" x14ac:dyDescent="0.25">
      <c r="E1182" s="189"/>
    </row>
    <row r="1183" spans="5:5" x14ac:dyDescent="0.25">
      <c r="E1183" s="189"/>
    </row>
    <row r="1184" spans="5:5" x14ac:dyDescent="0.25">
      <c r="E1184" s="189"/>
    </row>
    <row r="1185" spans="5:5" x14ac:dyDescent="0.25">
      <c r="E1185" s="189"/>
    </row>
    <row r="1186" spans="5:5" x14ac:dyDescent="0.25">
      <c r="E1186" s="189"/>
    </row>
    <row r="1187" spans="5:5" x14ac:dyDescent="0.25">
      <c r="E1187" s="189"/>
    </row>
    <row r="1188" spans="5:5" x14ac:dyDescent="0.25">
      <c r="E1188" s="189"/>
    </row>
    <row r="1189" spans="5:5" x14ac:dyDescent="0.25">
      <c r="E1189" s="189"/>
    </row>
    <row r="1190" spans="5:5" x14ac:dyDescent="0.25">
      <c r="E1190" s="189"/>
    </row>
    <row r="1191" spans="5:5" x14ac:dyDescent="0.25">
      <c r="E1191" s="189"/>
    </row>
    <row r="1192" spans="5:5" x14ac:dyDescent="0.25">
      <c r="E1192" s="189"/>
    </row>
    <row r="1193" spans="5:5" x14ac:dyDescent="0.25">
      <c r="E1193" s="189"/>
    </row>
    <row r="1194" spans="5:5" x14ac:dyDescent="0.25">
      <c r="E1194" s="189"/>
    </row>
    <row r="1195" spans="5:5" x14ac:dyDescent="0.25">
      <c r="E1195" s="189"/>
    </row>
    <row r="1196" spans="5:5" x14ac:dyDescent="0.25">
      <c r="E1196" s="189"/>
    </row>
    <row r="1197" spans="5:5" x14ac:dyDescent="0.25">
      <c r="E1197" s="189"/>
    </row>
    <row r="1198" spans="5:5" x14ac:dyDescent="0.25">
      <c r="E1198" s="189"/>
    </row>
    <row r="1199" spans="5:5" x14ac:dyDescent="0.25">
      <c r="E1199" s="189"/>
    </row>
    <row r="1200" spans="5:5" x14ac:dyDescent="0.25">
      <c r="E1200" s="189"/>
    </row>
    <row r="1201" spans="5:5" x14ac:dyDescent="0.25">
      <c r="E1201" s="189"/>
    </row>
    <row r="1202" spans="5:5" x14ac:dyDescent="0.25">
      <c r="E1202" s="189"/>
    </row>
    <row r="1203" spans="5:5" x14ac:dyDescent="0.25">
      <c r="E1203" s="189"/>
    </row>
    <row r="1204" spans="5:5" x14ac:dyDescent="0.25">
      <c r="E1204" s="189"/>
    </row>
    <row r="1205" spans="5:5" x14ac:dyDescent="0.25">
      <c r="E1205" s="189"/>
    </row>
    <row r="1206" spans="5:5" x14ac:dyDescent="0.25">
      <c r="E1206" s="189"/>
    </row>
    <row r="1207" spans="5:5" x14ac:dyDescent="0.25">
      <c r="E1207" s="189"/>
    </row>
    <row r="1208" spans="5:5" x14ac:dyDescent="0.25">
      <c r="E1208" s="189"/>
    </row>
    <row r="1209" spans="5:5" x14ac:dyDescent="0.25">
      <c r="E1209" s="189"/>
    </row>
    <row r="1210" spans="5:5" x14ac:dyDescent="0.25">
      <c r="E1210" s="189"/>
    </row>
    <row r="1211" spans="5:5" x14ac:dyDescent="0.25">
      <c r="E1211" s="189"/>
    </row>
    <row r="1212" spans="5:5" x14ac:dyDescent="0.25">
      <c r="E1212" s="189"/>
    </row>
    <row r="1213" spans="5:5" x14ac:dyDescent="0.25">
      <c r="E1213" s="189"/>
    </row>
    <row r="1214" spans="5:5" x14ac:dyDescent="0.25">
      <c r="E1214" s="189"/>
    </row>
    <row r="1215" spans="5:5" x14ac:dyDescent="0.25">
      <c r="E1215" s="189"/>
    </row>
    <row r="1216" spans="5:5" x14ac:dyDescent="0.25">
      <c r="E1216" s="189"/>
    </row>
    <row r="1217" spans="5:5" x14ac:dyDescent="0.25">
      <c r="E1217" s="189"/>
    </row>
    <row r="1218" spans="5:5" x14ac:dyDescent="0.25">
      <c r="E1218" s="189"/>
    </row>
    <row r="1219" spans="5:5" x14ac:dyDescent="0.25">
      <c r="E1219" s="189"/>
    </row>
    <row r="1220" spans="5:5" x14ac:dyDescent="0.25">
      <c r="E1220" s="189"/>
    </row>
    <row r="1221" spans="5:5" x14ac:dyDescent="0.25">
      <c r="E1221" s="189"/>
    </row>
    <row r="1222" spans="5:5" x14ac:dyDescent="0.25">
      <c r="E1222" s="189"/>
    </row>
    <row r="1223" spans="5:5" x14ac:dyDescent="0.25">
      <c r="E1223" s="189"/>
    </row>
    <row r="1224" spans="5:5" x14ac:dyDescent="0.25">
      <c r="E1224" s="189"/>
    </row>
    <row r="1225" spans="5:5" x14ac:dyDescent="0.25">
      <c r="E1225" s="189"/>
    </row>
    <row r="1226" spans="5:5" x14ac:dyDescent="0.25">
      <c r="E1226" s="189"/>
    </row>
    <row r="1227" spans="5:5" x14ac:dyDescent="0.25">
      <c r="E1227" s="189"/>
    </row>
    <row r="1228" spans="5:5" x14ac:dyDescent="0.25">
      <c r="E1228" s="189"/>
    </row>
    <row r="1229" spans="5:5" x14ac:dyDescent="0.25">
      <c r="E1229" s="189"/>
    </row>
    <row r="1230" spans="5:5" x14ac:dyDescent="0.25">
      <c r="E1230" s="189"/>
    </row>
    <row r="1231" spans="5:5" x14ac:dyDescent="0.25">
      <c r="E1231" s="189"/>
    </row>
    <row r="1232" spans="5:5" x14ac:dyDescent="0.25">
      <c r="E1232" s="189"/>
    </row>
    <row r="1233" spans="5:5" x14ac:dyDescent="0.25">
      <c r="E1233" s="189"/>
    </row>
    <row r="1234" spans="5:5" x14ac:dyDescent="0.25">
      <c r="E1234" s="189"/>
    </row>
    <row r="1235" spans="5:5" x14ac:dyDescent="0.25">
      <c r="E1235" s="189"/>
    </row>
    <row r="1236" spans="5:5" x14ac:dyDescent="0.25">
      <c r="E1236" s="189"/>
    </row>
    <row r="1237" spans="5:5" x14ac:dyDescent="0.25">
      <c r="E1237" s="189"/>
    </row>
    <row r="1238" spans="5:5" x14ac:dyDescent="0.25">
      <c r="E1238" s="189"/>
    </row>
    <row r="1239" spans="5:5" x14ac:dyDescent="0.25">
      <c r="E1239" s="189"/>
    </row>
    <row r="1240" spans="5:5" x14ac:dyDescent="0.25">
      <c r="E1240" s="189"/>
    </row>
    <row r="1241" spans="5:5" x14ac:dyDescent="0.25">
      <c r="E1241" s="189"/>
    </row>
    <row r="1242" spans="5:5" x14ac:dyDescent="0.25">
      <c r="E1242" s="189"/>
    </row>
    <row r="1243" spans="5:5" x14ac:dyDescent="0.25">
      <c r="E1243" s="189"/>
    </row>
    <row r="1244" spans="5:5" x14ac:dyDescent="0.25">
      <c r="E1244" s="189"/>
    </row>
    <row r="1245" spans="5:5" x14ac:dyDescent="0.25">
      <c r="E1245" s="189"/>
    </row>
    <row r="1246" spans="5:5" x14ac:dyDescent="0.25">
      <c r="E1246" s="189"/>
    </row>
    <row r="1247" spans="5:5" x14ac:dyDescent="0.25">
      <c r="E1247" s="189"/>
    </row>
    <row r="1248" spans="5:5" x14ac:dyDescent="0.25">
      <c r="E1248" s="189"/>
    </row>
    <row r="1249" spans="5:5" x14ac:dyDescent="0.25">
      <c r="E1249" s="189"/>
    </row>
    <row r="1250" spans="5:5" x14ac:dyDescent="0.25">
      <c r="E1250" s="189"/>
    </row>
    <row r="1251" spans="5:5" x14ac:dyDescent="0.25">
      <c r="E1251" s="189"/>
    </row>
    <row r="1252" spans="5:5" x14ac:dyDescent="0.25">
      <c r="E1252" s="189"/>
    </row>
    <row r="1253" spans="5:5" x14ac:dyDescent="0.25">
      <c r="E1253" s="189"/>
    </row>
    <row r="1254" spans="5:5" x14ac:dyDescent="0.25">
      <c r="E1254" s="189"/>
    </row>
    <row r="1255" spans="5:5" x14ac:dyDescent="0.25">
      <c r="E1255" s="189"/>
    </row>
    <row r="1256" spans="5:5" x14ac:dyDescent="0.25">
      <c r="E1256" s="189"/>
    </row>
    <row r="1257" spans="5:5" x14ac:dyDescent="0.25">
      <c r="E1257" s="189"/>
    </row>
    <row r="1258" spans="5:5" x14ac:dyDescent="0.25">
      <c r="E1258" s="189"/>
    </row>
    <row r="1259" spans="5:5" x14ac:dyDescent="0.25">
      <c r="E1259" s="189"/>
    </row>
    <row r="1260" spans="5:5" x14ac:dyDescent="0.25">
      <c r="E1260" s="189"/>
    </row>
    <row r="1261" spans="5:5" x14ac:dyDescent="0.25">
      <c r="E1261" s="189"/>
    </row>
    <row r="1262" spans="5:5" x14ac:dyDescent="0.25">
      <c r="E1262" s="189"/>
    </row>
    <row r="1263" spans="5:5" x14ac:dyDescent="0.25">
      <c r="E1263" s="189"/>
    </row>
    <row r="1264" spans="5:5" x14ac:dyDescent="0.25">
      <c r="E1264" s="189"/>
    </row>
    <row r="1265" spans="5:5" x14ac:dyDescent="0.25">
      <c r="E1265" s="189"/>
    </row>
    <row r="1266" spans="5:5" x14ac:dyDescent="0.25">
      <c r="E1266" s="189"/>
    </row>
    <row r="1267" spans="5:5" x14ac:dyDescent="0.25">
      <c r="E1267" s="189"/>
    </row>
    <row r="1268" spans="5:5" x14ac:dyDescent="0.25">
      <c r="E1268" s="189"/>
    </row>
    <row r="1269" spans="5:5" x14ac:dyDescent="0.25">
      <c r="E1269" s="189"/>
    </row>
    <row r="1270" spans="5:5" x14ac:dyDescent="0.25">
      <c r="E1270" s="189"/>
    </row>
    <row r="1271" spans="5:5" x14ac:dyDescent="0.25">
      <c r="E1271" s="189"/>
    </row>
    <row r="1272" spans="5:5" x14ac:dyDescent="0.25">
      <c r="E1272" s="189"/>
    </row>
    <row r="1273" spans="5:5" x14ac:dyDescent="0.25">
      <c r="E1273" s="189"/>
    </row>
    <row r="1274" spans="5:5" x14ac:dyDescent="0.25">
      <c r="E1274" s="189"/>
    </row>
    <row r="1275" spans="5:5" x14ac:dyDescent="0.25">
      <c r="E1275" s="189"/>
    </row>
    <row r="1276" spans="5:5" x14ac:dyDescent="0.25">
      <c r="E1276" s="189"/>
    </row>
    <row r="1277" spans="5:5" x14ac:dyDescent="0.25">
      <c r="E1277" s="189"/>
    </row>
    <row r="1278" spans="5:5" x14ac:dyDescent="0.25">
      <c r="E1278" s="189"/>
    </row>
    <row r="1279" spans="5:5" x14ac:dyDescent="0.25">
      <c r="E1279" s="189"/>
    </row>
    <row r="1280" spans="5:5" x14ac:dyDescent="0.25">
      <c r="E1280" s="189"/>
    </row>
    <row r="1281" spans="5:5" x14ac:dyDescent="0.25">
      <c r="E1281" s="189"/>
    </row>
    <row r="1282" spans="5:5" x14ac:dyDescent="0.25">
      <c r="E1282" s="189"/>
    </row>
    <row r="1283" spans="5:5" x14ac:dyDescent="0.25">
      <c r="E1283" s="189"/>
    </row>
    <row r="1284" spans="5:5" x14ac:dyDescent="0.25">
      <c r="E1284" s="189"/>
    </row>
    <row r="1285" spans="5:5" x14ac:dyDescent="0.25">
      <c r="E1285" s="189"/>
    </row>
    <row r="1286" spans="5:5" x14ac:dyDescent="0.25">
      <c r="E1286" s="189"/>
    </row>
    <row r="1287" spans="5:5" x14ac:dyDescent="0.25">
      <c r="E1287" s="189"/>
    </row>
    <row r="1288" spans="5:5" x14ac:dyDescent="0.25">
      <c r="E1288" s="189"/>
    </row>
    <row r="1289" spans="5:5" x14ac:dyDescent="0.25">
      <c r="E1289" s="189"/>
    </row>
    <row r="1290" spans="5:5" x14ac:dyDescent="0.25">
      <c r="E1290" s="189"/>
    </row>
    <row r="1291" spans="5:5" x14ac:dyDescent="0.25">
      <c r="E1291" s="189"/>
    </row>
    <row r="1292" spans="5:5" x14ac:dyDescent="0.25">
      <c r="E1292" s="189"/>
    </row>
    <row r="1293" spans="5:5" x14ac:dyDescent="0.25">
      <c r="E1293" s="189"/>
    </row>
    <row r="1294" spans="5:5" x14ac:dyDescent="0.25">
      <c r="E1294" s="189"/>
    </row>
    <row r="1295" spans="5:5" x14ac:dyDescent="0.25">
      <c r="E1295" s="189"/>
    </row>
    <row r="1296" spans="5:5" x14ac:dyDescent="0.25">
      <c r="E1296" s="189"/>
    </row>
    <row r="1297" spans="5:5" x14ac:dyDescent="0.25">
      <c r="E1297" s="189"/>
    </row>
    <row r="1298" spans="5:5" x14ac:dyDescent="0.25">
      <c r="E1298" s="189"/>
    </row>
    <row r="1299" spans="5:5" x14ac:dyDescent="0.25">
      <c r="E1299" s="189"/>
    </row>
    <row r="1300" spans="5:5" x14ac:dyDescent="0.25">
      <c r="E1300" s="189"/>
    </row>
    <row r="1301" spans="5:5" x14ac:dyDescent="0.25">
      <c r="E1301" s="189"/>
    </row>
    <row r="1302" spans="5:5" x14ac:dyDescent="0.25">
      <c r="E1302" s="189"/>
    </row>
    <row r="1303" spans="5:5" x14ac:dyDescent="0.25">
      <c r="E1303" s="189"/>
    </row>
    <row r="1304" spans="5:5" x14ac:dyDescent="0.25">
      <c r="E1304" s="189"/>
    </row>
    <row r="1305" spans="5:5" x14ac:dyDescent="0.25">
      <c r="E1305" s="189"/>
    </row>
    <row r="1306" spans="5:5" x14ac:dyDescent="0.25">
      <c r="E1306" s="189"/>
    </row>
    <row r="1307" spans="5:5" x14ac:dyDescent="0.25">
      <c r="E1307" s="189"/>
    </row>
    <row r="1308" spans="5:5" x14ac:dyDescent="0.25">
      <c r="E1308" s="189"/>
    </row>
    <row r="1309" spans="5:5" x14ac:dyDescent="0.25">
      <c r="E1309" s="189"/>
    </row>
    <row r="1310" spans="5:5" x14ac:dyDescent="0.25">
      <c r="E1310" s="189"/>
    </row>
    <row r="1311" spans="5:5" x14ac:dyDescent="0.25">
      <c r="E1311" s="189"/>
    </row>
    <row r="1312" spans="5:5" x14ac:dyDescent="0.25">
      <c r="E1312" s="189"/>
    </row>
    <row r="1313" spans="5:5" x14ac:dyDescent="0.25">
      <c r="E1313" s="189"/>
    </row>
    <row r="1314" spans="5:5" x14ac:dyDescent="0.25">
      <c r="E1314" s="189"/>
    </row>
    <row r="1315" spans="5:5" x14ac:dyDescent="0.25">
      <c r="E1315" s="189"/>
    </row>
    <row r="1316" spans="5:5" x14ac:dyDescent="0.25">
      <c r="E1316" s="189"/>
    </row>
    <row r="1317" spans="5:5" x14ac:dyDescent="0.25">
      <c r="E1317" s="189"/>
    </row>
    <row r="1318" spans="5:5" x14ac:dyDescent="0.25">
      <c r="E1318" s="189"/>
    </row>
    <row r="1319" spans="5:5" x14ac:dyDescent="0.25">
      <c r="E1319" s="189"/>
    </row>
    <row r="1320" spans="5:5" x14ac:dyDescent="0.25">
      <c r="E1320" s="189"/>
    </row>
    <row r="1321" spans="5:5" x14ac:dyDescent="0.25">
      <c r="E1321" s="189"/>
    </row>
    <row r="1322" spans="5:5" x14ac:dyDescent="0.25">
      <c r="E1322" s="189"/>
    </row>
    <row r="1323" spans="5:5" x14ac:dyDescent="0.25">
      <c r="E1323" s="189"/>
    </row>
    <row r="1324" spans="5:5" x14ac:dyDescent="0.25">
      <c r="E1324" s="189"/>
    </row>
    <row r="1325" spans="5:5" x14ac:dyDescent="0.25">
      <c r="E1325" s="189"/>
    </row>
    <row r="1326" spans="5:5" x14ac:dyDescent="0.25">
      <c r="E1326" s="189"/>
    </row>
    <row r="1327" spans="5:5" x14ac:dyDescent="0.25">
      <c r="E1327" s="189"/>
    </row>
    <row r="1328" spans="5:5" x14ac:dyDescent="0.25">
      <c r="E1328" s="189"/>
    </row>
    <row r="1329" spans="5:5" x14ac:dyDescent="0.25">
      <c r="E1329" s="189"/>
    </row>
    <row r="1330" spans="5:5" x14ac:dyDescent="0.25">
      <c r="E1330" s="189"/>
    </row>
    <row r="1331" spans="5:5" x14ac:dyDescent="0.25">
      <c r="E1331" s="189"/>
    </row>
    <row r="1332" spans="5:5" x14ac:dyDescent="0.25">
      <c r="E1332" s="189"/>
    </row>
    <row r="1333" spans="5:5" x14ac:dyDescent="0.25">
      <c r="E1333" s="189"/>
    </row>
    <row r="1334" spans="5:5" x14ac:dyDescent="0.25">
      <c r="E1334" s="189"/>
    </row>
    <row r="1335" spans="5:5" x14ac:dyDescent="0.25">
      <c r="E1335" s="189"/>
    </row>
    <row r="1336" spans="5:5" x14ac:dyDescent="0.25">
      <c r="E1336" s="189"/>
    </row>
    <row r="1337" spans="5:5" x14ac:dyDescent="0.25">
      <c r="E1337" s="189"/>
    </row>
    <row r="1338" spans="5:5" x14ac:dyDescent="0.25">
      <c r="E1338" s="189"/>
    </row>
    <row r="1339" spans="5:5" x14ac:dyDescent="0.25">
      <c r="E1339" s="189"/>
    </row>
    <row r="1340" spans="5:5" x14ac:dyDescent="0.25">
      <c r="E1340" s="189"/>
    </row>
    <row r="1341" spans="5:5" x14ac:dyDescent="0.25">
      <c r="E1341" s="189"/>
    </row>
    <row r="1342" spans="5:5" x14ac:dyDescent="0.25">
      <c r="E1342" s="189"/>
    </row>
    <row r="1343" spans="5:5" x14ac:dyDescent="0.25">
      <c r="E1343" s="189"/>
    </row>
    <row r="1344" spans="5:5" x14ac:dyDescent="0.25">
      <c r="E1344" s="189"/>
    </row>
    <row r="1345" spans="5:5" x14ac:dyDescent="0.25">
      <c r="E1345" s="189"/>
    </row>
    <row r="1346" spans="5:5" x14ac:dyDescent="0.25">
      <c r="E1346" s="189"/>
    </row>
    <row r="1347" spans="5:5" x14ac:dyDescent="0.25">
      <c r="E1347" s="189"/>
    </row>
    <row r="1348" spans="5:5" x14ac:dyDescent="0.25">
      <c r="E1348" s="189"/>
    </row>
    <row r="1349" spans="5:5" x14ac:dyDescent="0.25">
      <c r="E1349" s="189"/>
    </row>
    <row r="1350" spans="5:5" x14ac:dyDescent="0.25">
      <c r="E1350" s="189"/>
    </row>
    <row r="1351" spans="5:5" x14ac:dyDescent="0.25">
      <c r="E1351" s="189"/>
    </row>
    <row r="1352" spans="5:5" x14ac:dyDescent="0.25">
      <c r="E1352" s="189"/>
    </row>
    <row r="1353" spans="5:5" x14ac:dyDescent="0.25">
      <c r="E1353" s="189"/>
    </row>
    <row r="1354" spans="5:5" x14ac:dyDescent="0.25">
      <c r="E1354" s="189"/>
    </row>
    <row r="1355" spans="5:5" x14ac:dyDescent="0.25">
      <c r="E1355" s="189"/>
    </row>
    <row r="1356" spans="5:5" x14ac:dyDescent="0.25">
      <c r="E1356" s="189"/>
    </row>
    <row r="1357" spans="5:5" x14ac:dyDescent="0.25">
      <c r="E1357" s="189"/>
    </row>
    <row r="1358" spans="5:5" x14ac:dyDescent="0.25">
      <c r="E1358" s="189"/>
    </row>
    <row r="1359" spans="5:5" x14ac:dyDescent="0.25">
      <c r="E1359" s="189"/>
    </row>
    <row r="1360" spans="5:5" x14ac:dyDescent="0.25">
      <c r="E1360" s="189"/>
    </row>
    <row r="1361" spans="5:5" x14ac:dyDescent="0.25">
      <c r="E1361" s="189"/>
    </row>
    <row r="1362" spans="5:5" x14ac:dyDescent="0.25">
      <c r="E1362" s="189"/>
    </row>
    <row r="1363" spans="5:5" x14ac:dyDescent="0.25">
      <c r="E1363" s="189"/>
    </row>
    <row r="1364" spans="5:5" x14ac:dyDescent="0.25">
      <c r="E1364" s="189"/>
    </row>
    <row r="1365" spans="5:5" x14ac:dyDescent="0.25">
      <c r="E1365" s="189"/>
    </row>
    <row r="1366" spans="5:5" x14ac:dyDescent="0.25">
      <c r="E1366" s="189"/>
    </row>
    <row r="1367" spans="5:5" x14ac:dyDescent="0.25">
      <c r="E1367" s="189"/>
    </row>
    <row r="1368" spans="5:5" x14ac:dyDescent="0.25">
      <c r="E1368" s="189"/>
    </row>
    <row r="1369" spans="5:5" x14ac:dyDescent="0.25">
      <c r="E1369" s="189"/>
    </row>
    <row r="1370" spans="5:5" x14ac:dyDescent="0.25">
      <c r="E1370" s="189"/>
    </row>
    <row r="1371" spans="5:5" x14ac:dyDescent="0.25">
      <c r="E1371" s="189"/>
    </row>
    <row r="1372" spans="5:5" x14ac:dyDescent="0.25">
      <c r="E1372" s="189"/>
    </row>
    <row r="1373" spans="5:5" x14ac:dyDescent="0.25">
      <c r="E1373" s="189"/>
    </row>
    <row r="1374" spans="5:5" x14ac:dyDescent="0.25">
      <c r="E1374" s="189"/>
    </row>
    <row r="1375" spans="5:5" x14ac:dyDescent="0.25">
      <c r="E1375" s="189"/>
    </row>
    <row r="1376" spans="5:5" x14ac:dyDescent="0.25">
      <c r="E1376" s="189"/>
    </row>
    <row r="1377" spans="5:5" x14ac:dyDescent="0.25">
      <c r="E1377" s="189"/>
    </row>
    <row r="1378" spans="5:5" x14ac:dyDescent="0.25">
      <c r="E1378" s="189"/>
    </row>
    <row r="1379" spans="5:5" x14ac:dyDescent="0.25">
      <c r="E1379" s="189"/>
    </row>
    <row r="1380" spans="5:5" x14ac:dyDescent="0.25">
      <c r="E1380" s="189"/>
    </row>
    <row r="1381" spans="5:5" x14ac:dyDescent="0.25">
      <c r="E1381" s="189"/>
    </row>
    <row r="1382" spans="5:5" x14ac:dyDescent="0.25">
      <c r="E1382" s="189"/>
    </row>
    <row r="1383" spans="5:5" x14ac:dyDescent="0.25">
      <c r="E1383" s="189"/>
    </row>
    <row r="1384" spans="5:5" x14ac:dyDescent="0.25">
      <c r="E1384" s="189"/>
    </row>
    <row r="1385" spans="5:5" x14ac:dyDescent="0.25">
      <c r="E1385" s="189"/>
    </row>
    <row r="1386" spans="5:5" x14ac:dyDescent="0.25">
      <c r="E1386" s="189"/>
    </row>
    <row r="1387" spans="5:5" x14ac:dyDescent="0.25">
      <c r="E1387" s="189"/>
    </row>
    <row r="1388" spans="5:5" x14ac:dyDescent="0.25">
      <c r="E1388" s="189"/>
    </row>
    <row r="1389" spans="5:5" x14ac:dyDescent="0.25">
      <c r="E1389" s="189"/>
    </row>
    <row r="1390" spans="5:5" x14ac:dyDescent="0.25">
      <c r="E1390" s="189"/>
    </row>
    <row r="1391" spans="5:5" x14ac:dyDescent="0.25">
      <c r="E1391" s="189"/>
    </row>
    <row r="1392" spans="5:5" x14ac:dyDescent="0.25">
      <c r="E1392" s="189"/>
    </row>
    <row r="1393" spans="5:5" x14ac:dyDescent="0.25">
      <c r="E1393" s="189"/>
    </row>
    <row r="1394" spans="5:5" x14ac:dyDescent="0.25">
      <c r="E1394" s="189"/>
    </row>
    <row r="1395" spans="5:5" x14ac:dyDescent="0.25">
      <c r="E1395" s="189"/>
    </row>
    <row r="1396" spans="5:5" x14ac:dyDescent="0.25">
      <c r="E1396" s="189"/>
    </row>
    <row r="1397" spans="5:5" x14ac:dyDescent="0.25">
      <c r="E1397" s="189"/>
    </row>
    <row r="1398" spans="5:5" x14ac:dyDescent="0.25">
      <c r="E1398" s="189"/>
    </row>
    <row r="1399" spans="5:5" x14ac:dyDescent="0.25">
      <c r="E1399" s="189"/>
    </row>
    <row r="1400" spans="5:5" x14ac:dyDescent="0.25">
      <c r="E1400" s="189"/>
    </row>
    <row r="1401" spans="5:5" x14ac:dyDescent="0.25">
      <c r="E1401" s="189"/>
    </row>
    <row r="1402" spans="5:5" x14ac:dyDescent="0.25">
      <c r="E1402" s="189"/>
    </row>
    <row r="1403" spans="5:5" x14ac:dyDescent="0.25">
      <c r="E1403" s="189"/>
    </row>
    <row r="1404" spans="5:5" x14ac:dyDescent="0.25">
      <c r="E1404" s="189"/>
    </row>
    <row r="1405" spans="5:5" x14ac:dyDescent="0.25">
      <c r="E1405" s="189"/>
    </row>
    <row r="1406" spans="5:5" x14ac:dyDescent="0.25">
      <c r="E1406" s="189"/>
    </row>
    <row r="1407" spans="5:5" x14ac:dyDescent="0.25">
      <c r="E1407" s="189"/>
    </row>
    <row r="1408" spans="5:5" x14ac:dyDescent="0.25">
      <c r="E1408" s="189"/>
    </row>
    <row r="1409" spans="5:5" x14ac:dyDescent="0.25">
      <c r="E1409" s="189"/>
    </row>
    <row r="1410" spans="5:5" x14ac:dyDescent="0.25">
      <c r="E1410" s="189"/>
    </row>
    <row r="1411" spans="5:5" x14ac:dyDescent="0.25">
      <c r="E1411" s="189"/>
    </row>
    <row r="1412" spans="5:5" x14ac:dyDescent="0.25">
      <c r="E1412" s="189"/>
    </row>
    <row r="1413" spans="5:5" x14ac:dyDescent="0.25">
      <c r="E1413" s="189"/>
    </row>
    <row r="1414" spans="5:5" x14ac:dyDescent="0.25">
      <c r="E1414" s="189"/>
    </row>
    <row r="1415" spans="5:5" x14ac:dyDescent="0.25">
      <c r="E1415" s="189"/>
    </row>
    <row r="1416" spans="5:5" x14ac:dyDescent="0.25">
      <c r="E1416" s="189"/>
    </row>
    <row r="1417" spans="5:5" x14ac:dyDescent="0.25">
      <c r="E1417" s="189"/>
    </row>
    <row r="1418" spans="5:5" x14ac:dyDescent="0.25">
      <c r="E1418" s="189"/>
    </row>
    <row r="1419" spans="5:5" x14ac:dyDescent="0.25">
      <c r="E1419" s="189"/>
    </row>
    <row r="1420" spans="5:5" x14ac:dyDescent="0.25">
      <c r="E1420" s="189"/>
    </row>
    <row r="1421" spans="5:5" x14ac:dyDescent="0.25">
      <c r="E1421" s="189"/>
    </row>
    <row r="1422" spans="5:5" x14ac:dyDescent="0.25">
      <c r="E1422" s="189"/>
    </row>
    <row r="1423" spans="5:5" x14ac:dyDescent="0.25">
      <c r="E1423" s="189"/>
    </row>
    <row r="1424" spans="5:5" x14ac:dyDescent="0.25">
      <c r="E1424" s="189"/>
    </row>
    <row r="1425" spans="5:5" x14ac:dyDescent="0.25">
      <c r="E1425" s="189"/>
    </row>
    <row r="1426" spans="5:5" x14ac:dyDescent="0.25">
      <c r="E1426" s="189"/>
    </row>
    <row r="1427" spans="5:5" x14ac:dyDescent="0.25">
      <c r="E1427" s="189"/>
    </row>
    <row r="1428" spans="5:5" x14ac:dyDescent="0.25">
      <c r="E1428" s="189"/>
    </row>
    <row r="1429" spans="5:5" x14ac:dyDescent="0.25">
      <c r="E1429" s="189"/>
    </row>
    <row r="1430" spans="5:5" x14ac:dyDescent="0.25">
      <c r="E1430" s="189"/>
    </row>
    <row r="1431" spans="5:5" x14ac:dyDescent="0.25">
      <c r="E1431" s="189"/>
    </row>
    <row r="1432" spans="5:5" x14ac:dyDescent="0.25">
      <c r="E1432" s="189"/>
    </row>
    <row r="1433" spans="5:5" x14ac:dyDescent="0.25">
      <c r="E1433" s="189"/>
    </row>
    <row r="1434" spans="5:5" x14ac:dyDescent="0.25">
      <c r="E1434" s="189"/>
    </row>
    <row r="1435" spans="5:5" x14ac:dyDescent="0.25">
      <c r="E1435" s="189"/>
    </row>
    <row r="1436" spans="5:5" x14ac:dyDescent="0.25">
      <c r="E1436" s="189"/>
    </row>
    <row r="1437" spans="5:5" x14ac:dyDescent="0.25">
      <c r="E1437" s="189"/>
    </row>
    <row r="1438" spans="5:5" x14ac:dyDescent="0.25">
      <c r="E1438" s="189"/>
    </row>
    <row r="1439" spans="5:5" x14ac:dyDescent="0.25">
      <c r="E1439" s="189"/>
    </row>
    <row r="1440" spans="5:5" x14ac:dyDescent="0.25">
      <c r="E1440" s="189"/>
    </row>
    <row r="1441" spans="5:5" x14ac:dyDescent="0.25">
      <c r="E1441" s="189"/>
    </row>
    <row r="1442" spans="5:5" x14ac:dyDescent="0.25">
      <c r="E1442" s="189"/>
    </row>
    <row r="1443" spans="5:5" x14ac:dyDescent="0.25">
      <c r="E1443" s="189"/>
    </row>
    <row r="1444" spans="5:5" x14ac:dyDescent="0.25">
      <c r="E1444" s="189"/>
    </row>
    <row r="1445" spans="5:5" x14ac:dyDescent="0.25">
      <c r="E1445" s="189"/>
    </row>
    <row r="1446" spans="5:5" x14ac:dyDescent="0.25">
      <c r="E1446" s="189"/>
    </row>
    <row r="1447" spans="5:5" x14ac:dyDescent="0.25">
      <c r="E1447" s="189"/>
    </row>
    <row r="1448" spans="5:5" x14ac:dyDescent="0.25">
      <c r="E1448" s="189"/>
    </row>
    <row r="1449" spans="5:5" x14ac:dyDescent="0.25">
      <c r="E1449" s="189"/>
    </row>
    <row r="1450" spans="5:5" x14ac:dyDescent="0.25">
      <c r="E1450" s="189"/>
    </row>
    <row r="1451" spans="5:5" x14ac:dyDescent="0.25">
      <c r="E1451" s="189"/>
    </row>
    <row r="1452" spans="5:5" x14ac:dyDescent="0.25">
      <c r="E1452" s="189"/>
    </row>
    <row r="1453" spans="5:5" x14ac:dyDescent="0.25">
      <c r="E1453" s="189"/>
    </row>
    <row r="1454" spans="5:5" x14ac:dyDescent="0.25">
      <c r="E1454" s="189"/>
    </row>
    <row r="1455" spans="5:5" x14ac:dyDescent="0.25">
      <c r="E1455" s="189"/>
    </row>
    <row r="1456" spans="5:5" x14ac:dyDescent="0.25">
      <c r="E1456" s="189"/>
    </row>
    <row r="1457" spans="5:5" x14ac:dyDescent="0.25">
      <c r="E1457" s="189"/>
    </row>
    <row r="1458" spans="5:5" x14ac:dyDescent="0.25">
      <c r="E1458" s="189"/>
    </row>
    <row r="1459" spans="5:5" x14ac:dyDescent="0.25">
      <c r="E1459" s="189"/>
    </row>
    <row r="1460" spans="5:5" x14ac:dyDescent="0.25">
      <c r="E1460" s="189"/>
    </row>
    <row r="1461" spans="5:5" x14ac:dyDescent="0.25">
      <c r="E1461" s="189"/>
    </row>
    <row r="1462" spans="5:5" x14ac:dyDescent="0.25">
      <c r="E1462" s="189"/>
    </row>
    <row r="1463" spans="5:5" x14ac:dyDescent="0.25">
      <c r="E1463" s="189"/>
    </row>
    <row r="1464" spans="5:5" x14ac:dyDescent="0.25">
      <c r="E1464" s="189"/>
    </row>
    <row r="1465" spans="5:5" x14ac:dyDescent="0.25">
      <c r="E1465" s="189"/>
    </row>
    <row r="1466" spans="5:5" x14ac:dyDescent="0.25">
      <c r="E1466" s="189"/>
    </row>
    <row r="1467" spans="5:5" x14ac:dyDescent="0.25">
      <c r="E1467" s="189"/>
    </row>
    <row r="1468" spans="5:5" x14ac:dyDescent="0.25">
      <c r="E1468" s="189"/>
    </row>
    <row r="1469" spans="5:5" x14ac:dyDescent="0.25">
      <c r="E1469" s="189"/>
    </row>
    <row r="1470" spans="5:5" x14ac:dyDescent="0.25">
      <c r="E1470" s="189"/>
    </row>
    <row r="1471" spans="5:5" x14ac:dyDescent="0.25">
      <c r="E1471" s="189"/>
    </row>
    <row r="1472" spans="5:5" x14ac:dyDescent="0.25">
      <c r="E1472" s="189"/>
    </row>
    <row r="1473" spans="5:5" x14ac:dyDescent="0.25">
      <c r="E1473" s="189"/>
    </row>
    <row r="1474" spans="5:5" x14ac:dyDescent="0.25">
      <c r="E1474" s="189"/>
    </row>
    <row r="1475" spans="5:5" x14ac:dyDescent="0.25">
      <c r="E1475" s="189"/>
    </row>
    <row r="1476" spans="5:5" x14ac:dyDescent="0.25">
      <c r="E1476" s="189"/>
    </row>
    <row r="1477" spans="5:5" x14ac:dyDescent="0.25">
      <c r="E1477" s="189"/>
    </row>
    <row r="1478" spans="5:5" x14ac:dyDescent="0.25">
      <c r="E1478" s="189"/>
    </row>
    <row r="1479" spans="5:5" x14ac:dyDescent="0.25">
      <c r="E1479" s="189"/>
    </row>
    <row r="1480" spans="5:5" x14ac:dyDescent="0.25">
      <c r="E1480" s="189"/>
    </row>
    <row r="1481" spans="5:5" x14ac:dyDescent="0.25">
      <c r="E1481" s="189"/>
    </row>
    <row r="1482" spans="5:5" x14ac:dyDescent="0.25">
      <c r="E1482" s="189"/>
    </row>
    <row r="1483" spans="5:5" x14ac:dyDescent="0.25">
      <c r="E1483" s="189"/>
    </row>
    <row r="1484" spans="5:5" x14ac:dyDescent="0.25">
      <c r="E1484" s="189"/>
    </row>
    <row r="1485" spans="5:5" x14ac:dyDescent="0.25">
      <c r="E1485" s="189"/>
    </row>
    <row r="1486" spans="5:5" x14ac:dyDescent="0.25">
      <c r="E1486" s="189"/>
    </row>
    <row r="1487" spans="5:5" x14ac:dyDescent="0.25">
      <c r="E1487" s="189"/>
    </row>
    <row r="1488" spans="5:5" x14ac:dyDescent="0.25">
      <c r="E1488" s="189"/>
    </row>
    <row r="1489" spans="5:5" x14ac:dyDescent="0.25">
      <c r="E1489" s="189"/>
    </row>
    <row r="1490" spans="5:5" x14ac:dyDescent="0.25">
      <c r="E1490" s="189"/>
    </row>
    <row r="1491" spans="5:5" x14ac:dyDescent="0.25">
      <c r="E1491" s="189"/>
    </row>
    <row r="1492" spans="5:5" x14ac:dyDescent="0.25">
      <c r="E1492" s="189"/>
    </row>
    <row r="1493" spans="5:5" x14ac:dyDescent="0.25">
      <c r="E1493" s="189"/>
    </row>
    <row r="1494" spans="5:5" x14ac:dyDescent="0.25">
      <c r="E1494" s="189"/>
    </row>
    <row r="1495" spans="5:5" x14ac:dyDescent="0.25">
      <c r="E1495" s="189"/>
    </row>
    <row r="1496" spans="5:5" x14ac:dyDescent="0.25">
      <c r="E1496" s="189"/>
    </row>
    <row r="1497" spans="5:5" x14ac:dyDescent="0.25">
      <c r="E1497" s="189"/>
    </row>
    <row r="1498" spans="5:5" x14ac:dyDescent="0.25">
      <c r="E1498" s="189"/>
    </row>
    <row r="1499" spans="5:5" x14ac:dyDescent="0.25">
      <c r="E1499" s="189"/>
    </row>
    <row r="1500" spans="5:5" x14ac:dyDescent="0.25">
      <c r="E1500" s="189"/>
    </row>
    <row r="1501" spans="5:5" x14ac:dyDescent="0.25">
      <c r="E1501" s="189"/>
    </row>
    <row r="1502" spans="5:5" x14ac:dyDescent="0.25">
      <c r="E1502" s="189"/>
    </row>
    <row r="1503" spans="5:5" x14ac:dyDescent="0.25">
      <c r="E1503" s="189"/>
    </row>
    <row r="1504" spans="5:5" x14ac:dyDescent="0.25">
      <c r="E1504" s="189"/>
    </row>
    <row r="1505" spans="5:5" x14ac:dyDescent="0.25">
      <c r="E1505" s="189"/>
    </row>
    <row r="1506" spans="5:5" x14ac:dyDescent="0.25">
      <c r="E1506" s="189"/>
    </row>
    <row r="1507" spans="5:5" x14ac:dyDescent="0.25">
      <c r="E1507" s="189"/>
    </row>
    <row r="1508" spans="5:5" x14ac:dyDescent="0.25">
      <c r="E1508" s="189"/>
    </row>
    <row r="1509" spans="5:5" x14ac:dyDescent="0.25">
      <c r="E1509" s="189"/>
    </row>
    <row r="1510" spans="5:5" x14ac:dyDescent="0.25">
      <c r="E1510" s="189"/>
    </row>
    <row r="1511" spans="5:5" x14ac:dyDescent="0.25">
      <c r="E1511" s="189"/>
    </row>
    <row r="1512" spans="5:5" x14ac:dyDescent="0.25">
      <c r="E1512" s="189"/>
    </row>
    <row r="1513" spans="5:5" x14ac:dyDescent="0.25">
      <c r="E1513" s="189"/>
    </row>
    <row r="1514" spans="5:5" x14ac:dyDescent="0.25">
      <c r="E1514" s="189"/>
    </row>
    <row r="1515" spans="5:5" x14ac:dyDescent="0.25">
      <c r="E1515" s="189"/>
    </row>
    <row r="1516" spans="5:5" x14ac:dyDescent="0.25">
      <c r="E1516" s="189"/>
    </row>
    <row r="1517" spans="5:5" x14ac:dyDescent="0.25">
      <c r="E1517" s="189"/>
    </row>
    <row r="1518" spans="5:5" x14ac:dyDescent="0.25">
      <c r="E1518" s="189"/>
    </row>
    <row r="1519" spans="5:5" x14ac:dyDescent="0.25">
      <c r="E1519" s="189"/>
    </row>
    <row r="1520" spans="5:5" x14ac:dyDescent="0.25">
      <c r="E1520" s="189"/>
    </row>
    <row r="1521" spans="5:5" x14ac:dyDescent="0.25">
      <c r="E1521" s="189"/>
    </row>
    <row r="1522" spans="5:5" x14ac:dyDescent="0.25">
      <c r="E1522" s="189"/>
    </row>
    <row r="1523" spans="5:5" x14ac:dyDescent="0.25">
      <c r="E1523" s="189"/>
    </row>
    <row r="1524" spans="5:5" x14ac:dyDescent="0.25">
      <c r="E1524" s="189"/>
    </row>
    <row r="1525" spans="5:5" x14ac:dyDescent="0.25">
      <c r="E1525" s="189"/>
    </row>
    <row r="1526" spans="5:5" x14ac:dyDescent="0.25">
      <c r="E1526" s="189"/>
    </row>
    <row r="1527" spans="5:5" x14ac:dyDescent="0.25">
      <c r="E1527" s="189"/>
    </row>
    <row r="1528" spans="5:5" x14ac:dyDescent="0.25">
      <c r="E1528" s="189"/>
    </row>
    <row r="1529" spans="5:5" x14ac:dyDescent="0.25">
      <c r="E1529" s="189"/>
    </row>
    <row r="1530" spans="5:5" x14ac:dyDescent="0.25">
      <c r="E1530" s="189"/>
    </row>
    <row r="1531" spans="5:5" x14ac:dyDescent="0.25">
      <c r="E1531" s="189"/>
    </row>
    <row r="1532" spans="5:5" x14ac:dyDescent="0.25">
      <c r="E1532" s="189"/>
    </row>
    <row r="1533" spans="5:5" x14ac:dyDescent="0.25">
      <c r="E1533" s="189"/>
    </row>
    <row r="1534" spans="5:5" x14ac:dyDescent="0.25">
      <c r="E1534" s="189"/>
    </row>
    <row r="1535" spans="5:5" x14ac:dyDescent="0.25">
      <c r="E1535" s="189"/>
    </row>
    <row r="1536" spans="5:5" x14ac:dyDescent="0.25">
      <c r="E1536" s="189"/>
    </row>
    <row r="1537" spans="5:5" x14ac:dyDescent="0.25">
      <c r="E1537" s="189"/>
    </row>
    <row r="1538" spans="5:5" x14ac:dyDescent="0.25">
      <c r="E1538" s="189"/>
    </row>
    <row r="1539" spans="5:5" x14ac:dyDescent="0.25">
      <c r="E1539" s="189"/>
    </row>
    <row r="1540" spans="5:5" x14ac:dyDescent="0.25">
      <c r="E1540" s="189"/>
    </row>
    <row r="1541" spans="5:5" x14ac:dyDescent="0.25">
      <c r="E1541" s="189"/>
    </row>
    <row r="1542" spans="5:5" x14ac:dyDescent="0.25">
      <c r="E1542" s="189"/>
    </row>
    <row r="1543" spans="5:5" x14ac:dyDescent="0.25">
      <c r="E1543" s="189"/>
    </row>
    <row r="1544" spans="5:5" x14ac:dyDescent="0.25">
      <c r="E1544" s="189"/>
    </row>
    <row r="1545" spans="5:5" x14ac:dyDescent="0.25">
      <c r="E1545" s="189"/>
    </row>
    <row r="1546" spans="5:5" x14ac:dyDescent="0.25">
      <c r="E1546" s="189"/>
    </row>
    <row r="1547" spans="5:5" x14ac:dyDescent="0.25">
      <c r="E1547" s="189"/>
    </row>
    <row r="1548" spans="5:5" x14ac:dyDescent="0.25">
      <c r="E1548" s="189"/>
    </row>
    <row r="1549" spans="5:5" x14ac:dyDescent="0.25">
      <c r="E1549" s="189"/>
    </row>
    <row r="1550" spans="5:5" x14ac:dyDescent="0.25">
      <c r="E1550" s="189"/>
    </row>
    <row r="1551" spans="5:5" x14ac:dyDescent="0.25">
      <c r="E1551" s="189"/>
    </row>
    <row r="1552" spans="5:5" x14ac:dyDescent="0.25">
      <c r="E1552" s="189"/>
    </row>
    <row r="1553" spans="5:5" x14ac:dyDescent="0.25">
      <c r="E1553" s="189"/>
    </row>
    <row r="1554" spans="5:5" x14ac:dyDescent="0.25">
      <c r="E1554" s="189"/>
    </row>
    <row r="1555" spans="5:5" x14ac:dyDescent="0.25">
      <c r="E1555" s="189"/>
    </row>
    <row r="1556" spans="5:5" x14ac:dyDescent="0.25">
      <c r="E1556" s="189"/>
    </row>
    <row r="1557" spans="5:5" x14ac:dyDescent="0.25">
      <c r="E1557" s="189"/>
    </row>
    <row r="1558" spans="5:5" x14ac:dyDescent="0.25">
      <c r="E1558" s="189"/>
    </row>
    <row r="1559" spans="5:5" x14ac:dyDescent="0.25">
      <c r="E1559" s="189"/>
    </row>
    <row r="1560" spans="5:5" x14ac:dyDescent="0.25">
      <c r="E1560" s="189"/>
    </row>
    <row r="1561" spans="5:5" x14ac:dyDescent="0.25">
      <c r="E1561" s="189"/>
    </row>
    <row r="1562" spans="5:5" x14ac:dyDescent="0.25">
      <c r="E1562" s="189"/>
    </row>
    <row r="1563" spans="5:5" x14ac:dyDescent="0.25">
      <c r="E1563" s="189"/>
    </row>
    <row r="1564" spans="5:5" x14ac:dyDescent="0.25">
      <c r="E1564" s="189"/>
    </row>
    <row r="1565" spans="5:5" x14ac:dyDescent="0.25">
      <c r="E1565" s="189"/>
    </row>
    <row r="1566" spans="5:5" x14ac:dyDescent="0.25">
      <c r="E1566" s="189"/>
    </row>
    <row r="1567" spans="5:5" x14ac:dyDescent="0.25">
      <c r="E1567" s="189"/>
    </row>
    <row r="1568" spans="5:5" x14ac:dyDescent="0.25">
      <c r="E1568" s="189"/>
    </row>
    <row r="1569" spans="5:5" x14ac:dyDescent="0.25">
      <c r="E1569" s="189"/>
    </row>
    <row r="1570" spans="5:5" x14ac:dyDescent="0.25">
      <c r="E1570" s="189"/>
    </row>
    <row r="1571" spans="5:5" x14ac:dyDescent="0.25">
      <c r="E1571" s="189"/>
    </row>
    <row r="1572" spans="5:5" x14ac:dyDescent="0.25">
      <c r="E1572" s="189"/>
    </row>
    <row r="1573" spans="5:5" x14ac:dyDescent="0.25">
      <c r="E1573" s="189"/>
    </row>
    <row r="1574" spans="5:5" x14ac:dyDescent="0.25">
      <c r="E1574" s="189"/>
    </row>
    <row r="1575" spans="5:5" x14ac:dyDescent="0.25">
      <c r="E1575" s="189"/>
    </row>
    <row r="1576" spans="5:5" x14ac:dyDescent="0.25">
      <c r="E1576" s="189"/>
    </row>
    <row r="1577" spans="5:5" x14ac:dyDescent="0.25">
      <c r="E1577" s="189"/>
    </row>
    <row r="1578" spans="5:5" x14ac:dyDescent="0.25">
      <c r="E1578" s="189"/>
    </row>
    <row r="1579" spans="5:5" x14ac:dyDescent="0.25">
      <c r="E1579" s="189"/>
    </row>
    <row r="1580" spans="5:5" x14ac:dyDescent="0.25">
      <c r="E1580" s="189"/>
    </row>
    <row r="1581" spans="5:5" x14ac:dyDescent="0.25">
      <c r="E1581" s="189"/>
    </row>
    <row r="1582" spans="5:5" x14ac:dyDescent="0.25">
      <c r="E1582" s="189"/>
    </row>
    <row r="1583" spans="5:5" x14ac:dyDescent="0.25">
      <c r="E1583" s="189"/>
    </row>
    <row r="1584" spans="5:5" x14ac:dyDescent="0.25">
      <c r="E1584" s="189"/>
    </row>
    <row r="1585" spans="5:5" x14ac:dyDescent="0.25">
      <c r="E1585" s="189"/>
    </row>
    <row r="1586" spans="5:5" x14ac:dyDescent="0.25">
      <c r="E1586" s="189"/>
    </row>
    <row r="1587" spans="5:5" x14ac:dyDescent="0.25">
      <c r="E1587" s="189"/>
    </row>
    <row r="1588" spans="5:5" x14ac:dyDescent="0.25">
      <c r="E1588" s="189"/>
    </row>
    <row r="1589" spans="5:5" x14ac:dyDescent="0.25">
      <c r="E1589" s="189"/>
    </row>
    <row r="1590" spans="5:5" x14ac:dyDescent="0.25">
      <c r="E1590" s="189"/>
    </row>
    <row r="1591" spans="5:5" x14ac:dyDescent="0.25">
      <c r="E1591" s="189"/>
    </row>
    <row r="1592" spans="5:5" x14ac:dyDescent="0.25">
      <c r="E1592" s="189"/>
    </row>
    <row r="1593" spans="5:5" x14ac:dyDescent="0.25">
      <c r="E1593" s="189"/>
    </row>
    <row r="1594" spans="5:5" x14ac:dyDescent="0.25">
      <c r="E1594" s="189"/>
    </row>
    <row r="1595" spans="5:5" x14ac:dyDescent="0.25">
      <c r="E1595" s="189"/>
    </row>
    <row r="1596" spans="5:5" x14ac:dyDescent="0.25">
      <c r="E1596" s="189"/>
    </row>
    <row r="1597" spans="5:5" x14ac:dyDescent="0.25">
      <c r="E1597" s="189"/>
    </row>
    <row r="1598" spans="5:5" x14ac:dyDescent="0.25">
      <c r="E1598" s="189"/>
    </row>
    <row r="1599" spans="5:5" x14ac:dyDescent="0.25">
      <c r="E1599" s="189"/>
    </row>
    <row r="1600" spans="5:5" x14ac:dyDescent="0.25">
      <c r="E1600" s="189"/>
    </row>
    <row r="1601" spans="5:5" x14ac:dyDescent="0.25">
      <c r="E1601" s="189"/>
    </row>
    <row r="1602" spans="5:5" x14ac:dyDescent="0.25">
      <c r="E1602" s="189"/>
    </row>
    <row r="1603" spans="5:5" x14ac:dyDescent="0.25">
      <c r="E1603" s="189"/>
    </row>
    <row r="1604" spans="5:5" x14ac:dyDescent="0.25">
      <c r="E1604" s="189"/>
    </row>
    <row r="1605" spans="5:5" x14ac:dyDescent="0.25">
      <c r="E1605" s="189"/>
    </row>
    <row r="1606" spans="5:5" x14ac:dyDescent="0.25">
      <c r="E1606" s="189"/>
    </row>
    <row r="1607" spans="5:5" x14ac:dyDescent="0.25">
      <c r="E1607" s="189"/>
    </row>
    <row r="1608" spans="5:5" x14ac:dyDescent="0.25">
      <c r="E1608" s="189"/>
    </row>
    <row r="1609" spans="5:5" x14ac:dyDescent="0.25">
      <c r="E1609" s="189"/>
    </row>
    <row r="1610" spans="5:5" x14ac:dyDescent="0.25">
      <c r="E1610" s="189"/>
    </row>
    <row r="1611" spans="5:5" x14ac:dyDescent="0.25">
      <c r="E1611" s="189"/>
    </row>
    <row r="1612" spans="5:5" x14ac:dyDescent="0.25">
      <c r="E1612" s="189"/>
    </row>
    <row r="1613" spans="5:5" x14ac:dyDescent="0.25">
      <c r="E1613" s="189"/>
    </row>
    <row r="1614" spans="5:5" x14ac:dyDescent="0.25">
      <c r="E1614" s="189"/>
    </row>
    <row r="1615" spans="5:5" x14ac:dyDescent="0.25">
      <c r="E1615" s="189"/>
    </row>
    <row r="1616" spans="5:5" x14ac:dyDescent="0.25">
      <c r="E1616" s="189"/>
    </row>
    <row r="1617" spans="5:5" x14ac:dyDescent="0.25">
      <c r="E1617" s="189"/>
    </row>
    <row r="1618" spans="5:5" x14ac:dyDescent="0.25">
      <c r="E1618" s="189"/>
    </row>
    <row r="1619" spans="5:5" x14ac:dyDescent="0.25">
      <c r="E1619" s="189"/>
    </row>
    <row r="1620" spans="5:5" x14ac:dyDescent="0.25">
      <c r="E1620" s="189"/>
    </row>
    <row r="1621" spans="5:5" x14ac:dyDescent="0.25">
      <c r="E1621" s="189"/>
    </row>
    <row r="1622" spans="5:5" x14ac:dyDescent="0.25">
      <c r="E1622" s="189"/>
    </row>
    <row r="1623" spans="5:5" x14ac:dyDescent="0.25">
      <c r="E1623" s="189"/>
    </row>
    <row r="1624" spans="5:5" x14ac:dyDescent="0.25">
      <c r="E1624" s="189"/>
    </row>
    <row r="1625" spans="5:5" x14ac:dyDescent="0.25">
      <c r="E1625" s="189"/>
    </row>
    <row r="1626" spans="5:5" x14ac:dyDescent="0.25">
      <c r="E1626" s="189"/>
    </row>
    <row r="1627" spans="5:5" x14ac:dyDescent="0.25">
      <c r="E1627" s="189"/>
    </row>
    <row r="1628" spans="5:5" x14ac:dyDescent="0.25">
      <c r="E1628" s="189"/>
    </row>
    <row r="1629" spans="5:5" x14ac:dyDescent="0.25">
      <c r="E1629" s="189"/>
    </row>
    <row r="1630" spans="5:5" x14ac:dyDescent="0.25">
      <c r="E1630" s="189"/>
    </row>
    <row r="1631" spans="5:5" x14ac:dyDescent="0.25">
      <c r="E1631" s="189"/>
    </row>
    <row r="1632" spans="5:5" x14ac:dyDescent="0.25">
      <c r="E1632" s="189"/>
    </row>
    <row r="1633" spans="5:5" x14ac:dyDescent="0.25">
      <c r="E1633" s="189"/>
    </row>
    <row r="1634" spans="5:5" x14ac:dyDescent="0.25">
      <c r="E1634" s="189"/>
    </row>
    <row r="1635" spans="5:5" x14ac:dyDescent="0.25">
      <c r="E1635" s="189"/>
    </row>
    <row r="1636" spans="5:5" x14ac:dyDescent="0.25">
      <c r="E1636" s="189"/>
    </row>
    <row r="1637" spans="5:5" x14ac:dyDescent="0.25">
      <c r="E1637" s="189"/>
    </row>
    <row r="1638" spans="5:5" x14ac:dyDescent="0.25">
      <c r="E1638" s="189"/>
    </row>
    <row r="1639" spans="5:5" x14ac:dyDescent="0.25">
      <c r="E1639" s="189"/>
    </row>
    <row r="1640" spans="5:5" x14ac:dyDescent="0.25">
      <c r="E1640" s="189"/>
    </row>
    <row r="1641" spans="5:5" x14ac:dyDescent="0.25">
      <c r="E1641" s="189"/>
    </row>
    <row r="1642" spans="5:5" x14ac:dyDescent="0.25">
      <c r="E1642" s="189"/>
    </row>
    <row r="1643" spans="5:5" x14ac:dyDescent="0.25">
      <c r="E1643" s="189"/>
    </row>
    <row r="1644" spans="5:5" x14ac:dyDescent="0.25">
      <c r="E1644" s="189"/>
    </row>
    <row r="1645" spans="5:5" x14ac:dyDescent="0.25">
      <c r="E1645" s="189"/>
    </row>
    <row r="1646" spans="5:5" x14ac:dyDescent="0.25">
      <c r="E1646" s="189"/>
    </row>
    <row r="1647" spans="5:5" x14ac:dyDescent="0.25">
      <c r="E1647" s="189"/>
    </row>
    <row r="1648" spans="5:5" x14ac:dyDescent="0.25">
      <c r="E1648" s="189"/>
    </row>
    <row r="1649" spans="5:5" x14ac:dyDescent="0.25">
      <c r="E1649" s="189"/>
    </row>
    <row r="1650" spans="5:5" x14ac:dyDescent="0.25">
      <c r="E1650" s="189"/>
    </row>
    <row r="1651" spans="5:5" x14ac:dyDescent="0.25">
      <c r="E1651" s="189"/>
    </row>
    <row r="1652" spans="5:5" x14ac:dyDescent="0.25">
      <c r="E1652" s="189"/>
    </row>
    <row r="1653" spans="5:5" x14ac:dyDescent="0.25">
      <c r="E1653" s="189"/>
    </row>
    <row r="1654" spans="5:5" x14ac:dyDescent="0.25">
      <c r="E1654" s="189"/>
    </row>
    <row r="1655" spans="5:5" x14ac:dyDescent="0.25">
      <c r="E1655" s="189"/>
    </row>
    <row r="1656" spans="5:5" x14ac:dyDescent="0.25">
      <c r="E1656" s="189"/>
    </row>
    <row r="1657" spans="5:5" x14ac:dyDescent="0.25">
      <c r="E1657" s="189"/>
    </row>
    <row r="1658" spans="5:5" x14ac:dyDescent="0.25">
      <c r="E1658" s="189"/>
    </row>
    <row r="1659" spans="5:5" x14ac:dyDescent="0.25">
      <c r="E1659" s="189"/>
    </row>
    <row r="1660" spans="5:5" x14ac:dyDescent="0.25">
      <c r="E1660" s="189"/>
    </row>
    <row r="1661" spans="5:5" x14ac:dyDescent="0.25">
      <c r="E1661" s="189"/>
    </row>
    <row r="1662" spans="5:5" x14ac:dyDescent="0.25">
      <c r="E1662" s="189"/>
    </row>
    <row r="1663" spans="5:5" x14ac:dyDescent="0.25">
      <c r="E1663" s="189"/>
    </row>
    <row r="1664" spans="5:5" x14ac:dyDescent="0.25">
      <c r="E1664" s="189"/>
    </row>
    <row r="1665" spans="5:5" x14ac:dyDescent="0.25">
      <c r="E1665" s="189"/>
    </row>
    <row r="1666" spans="5:5" x14ac:dyDescent="0.25">
      <c r="E1666" s="189"/>
    </row>
    <row r="1667" spans="5:5" x14ac:dyDescent="0.25">
      <c r="E1667" s="189"/>
    </row>
    <row r="1668" spans="5:5" x14ac:dyDescent="0.25">
      <c r="E1668" s="189"/>
    </row>
    <row r="1669" spans="5:5" x14ac:dyDescent="0.25">
      <c r="E1669" s="189"/>
    </row>
    <row r="1670" spans="5:5" x14ac:dyDescent="0.25">
      <c r="E1670" s="189"/>
    </row>
    <row r="1671" spans="5:5" x14ac:dyDescent="0.25">
      <c r="E1671" s="189"/>
    </row>
    <row r="1672" spans="5:5" x14ac:dyDescent="0.25">
      <c r="E1672" s="189"/>
    </row>
    <row r="1673" spans="5:5" x14ac:dyDescent="0.25">
      <c r="E1673" s="189"/>
    </row>
    <row r="1674" spans="5:5" x14ac:dyDescent="0.25">
      <c r="E1674" s="189"/>
    </row>
    <row r="1675" spans="5:5" x14ac:dyDescent="0.25">
      <c r="E1675" s="189"/>
    </row>
    <row r="1676" spans="5:5" x14ac:dyDescent="0.25">
      <c r="E1676" s="189"/>
    </row>
    <row r="1677" spans="5:5" x14ac:dyDescent="0.25">
      <c r="E1677" s="189"/>
    </row>
    <row r="1678" spans="5:5" x14ac:dyDescent="0.25">
      <c r="E1678" s="189"/>
    </row>
    <row r="1679" spans="5:5" x14ac:dyDescent="0.25">
      <c r="E1679" s="189"/>
    </row>
    <row r="1680" spans="5:5" x14ac:dyDescent="0.25">
      <c r="E1680" s="189"/>
    </row>
    <row r="1681" spans="5:5" x14ac:dyDescent="0.25">
      <c r="E1681" s="189"/>
    </row>
    <row r="1682" spans="5:5" x14ac:dyDescent="0.25">
      <c r="E1682" s="189"/>
    </row>
    <row r="1683" spans="5:5" x14ac:dyDescent="0.25">
      <c r="E1683" s="189"/>
    </row>
    <row r="1684" spans="5:5" x14ac:dyDescent="0.25">
      <c r="E1684" s="189"/>
    </row>
    <row r="1685" spans="5:5" x14ac:dyDescent="0.25">
      <c r="E1685" s="189"/>
    </row>
    <row r="1686" spans="5:5" x14ac:dyDescent="0.25">
      <c r="E1686" s="189"/>
    </row>
    <row r="1687" spans="5:5" x14ac:dyDescent="0.25">
      <c r="E1687" s="189"/>
    </row>
    <row r="1688" spans="5:5" x14ac:dyDescent="0.25">
      <c r="E1688" s="189"/>
    </row>
    <row r="1689" spans="5:5" x14ac:dyDescent="0.25">
      <c r="E1689" s="189"/>
    </row>
    <row r="1690" spans="5:5" x14ac:dyDescent="0.25">
      <c r="E1690" s="189"/>
    </row>
    <row r="1691" spans="5:5" x14ac:dyDescent="0.25">
      <c r="E1691" s="189"/>
    </row>
    <row r="1692" spans="5:5" x14ac:dyDescent="0.25">
      <c r="E1692" s="189"/>
    </row>
    <row r="1693" spans="5:5" x14ac:dyDescent="0.25">
      <c r="E1693" s="189"/>
    </row>
    <row r="1694" spans="5:5" x14ac:dyDescent="0.25">
      <c r="E1694" s="189"/>
    </row>
    <row r="1695" spans="5:5" x14ac:dyDescent="0.25">
      <c r="E1695" s="189"/>
    </row>
    <row r="1696" spans="5:5" x14ac:dyDescent="0.25">
      <c r="E1696" s="189"/>
    </row>
    <row r="1697" spans="5:5" x14ac:dyDescent="0.25">
      <c r="E1697" s="189"/>
    </row>
    <row r="1698" spans="5:5" x14ac:dyDescent="0.25">
      <c r="E1698" s="189"/>
    </row>
    <row r="1699" spans="5:5" x14ac:dyDescent="0.25">
      <c r="E1699" s="189"/>
    </row>
    <row r="1700" spans="5:5" x14ac:dyDescent="0.25">
      <c r="E1700" s="189"/>
    </row>
    <row r="1701" spans="5:5" x14ac:dyDescent="0.25">
      <c r="E1701" s="189"/>
    </row>
    <row r="1702" spans="5:5" x14ac:dyDescent="0.25">
      <c r="E1702" s="189"/>
    </row>
    <row r="1703" spans="5:5" x14ac:dyDescent="0.25">
      <c r="E1703" s="189"/>
    </row>
    <row r="1704" spans="5:5" x14ac:dyDescent="0.25">
      <c r="E1704" s="189"/>
    </row>
    <row r="1705" spans="5:5" x14ac:dyDescent="0.25">
      <c r="E1705" s="189"/>
    </row>
    <row r="1706" spans="5:5" x14ac:dyDescent="0.25">
      <c r="E1706" s="189"/>
    </row>
    <row r="1707" spans="5:5" x14ac:dyDescent="0.25">
      <c r="E1707" s="189"/>
    </row>
    <row r="1708" spans="5:5" x14ac:dyDescent="0.25">
      <c r="E1708" s="189"/>
    </row>
    <row r="1709" spans="5:5" x14ac:dyDescent="0.25">
      <c r="E1709" s="189"/>
    </row>
    <row r="1710" spans="5:5" x14ac:dyDescent="0.25">
      <c r="E1710" s="189"/>
    </row>
    <row r="1711" spans="5:5" x14ac:dyDescent="0.25">
      <c r="E1711" s="189"/>
    </row>
    <row r="1712" spans="5:5" x14ac:dyDescent="0.25">
      <c r="E1712" s="189"/>
    </row>
    <row r="1713" spans="5:5" x14ac:dyDescent="0.25">
      <c r="E1713" s="189"/>
    </row>
    <row r="1714" spans="5:5" x14ac:dyDescent="0.25">
      <c r="E1714" s="189"/>
    </row>
    <row r="1715" spans="5:5" x14ac:dyDescent="0.25">
      <c r="E1715" s="189"/>
    </row>
    <row r="1716" spans="5:5" x14ac:dyDescent="0.25">
      <c r="E1716" s="189"/>
    </row>
    <row r="1717" spans="5:5" x14ac:dyDescent="0.25">
      <c r="E1717" s="189"/>
    </row>
    <row r="1718" spans="5:5" x14ac:dyDescent="0.25">
      <c r="E1718" s="189"/>
    </row>
    <row r="1719" spans="5:5" x14ac:dyDescent="0.25">
      <c r="E1719" s="189"/>
    </row>
    <row r="1720" spans="5:5" x14ac:dyDescent="0.25">
      <c r="E1720" s="189"/>
    </row>
    <row r="1721" spans="5:5" x14ac:dyDescent="0.25">
      <c r="E1721" s="189"/>
    </row>
    <row r="1722" spans="5:5" x14ac:dyDescent="0.25">
      <c r="E1722" s="189"/>
    </row>
    <row r="1723" spans="5:5" x14ac:dyDescent="0.25">
      <c r="E1723" s="189"/>
    </row>
    <row r="1724" spans="5:5" x14ac:dyDescent="0.25">
      <c r="E1724" s="189"/>
    </row>
    <row r="1725" spans="5:5" x14ac:dyDescent="0.25">
      <c r="E1725" s="189"/>
    </row>
    <row r="1726" spans="5:5" x14ac:dyDescent="0.25">
      <c r="E1726" s="189"/>
    </row>
    <row r="1727" spans="5:5" x14ac:dyDescent="0.25">
      <c r="E1727" s="189"/>
    </row>
    <row r="1728" spans="5:5" x14ac:dyDescent="0.25">
      <c r="E1728" s="189"/>
    </row>
    <row r="1729" spans="5:5" x14ac:dyDescent="0.25">
      <c r="E1729" s="189"/>
    </row>
    <row r="1730" spans="5:5" x14ac:dyDescent="0.25">
      <c r="E1730" s="189"/>
    </row>
    <row r="1731" spans="5:5" x14ac:dyDescent="0.25">
      <c r="E1731" s="189"/>
    </row>
    <row r="1732" spans="5:5" x14ac:dyDescent="0.25">
      <c r="E1732" s="189"/>
    </row>
    <row r="1733" spans="5:5" x14ac:dyDescent="0.25">
      <c r="E1733" s="189"/>
    </row>
    <row r="1734" spans="5:5" x14ac:dyDescent="0.25">
      <c r="E1734" s="189"/>
    </row>
    <row r="1735" spans="5:5" x14ac:dyDescent="0.25">
      <c r="E1735" s="189"/>
    </row>
    <row r="1736" spans="5:5" x14ac:dyDescent="0.25">
      <c r="E1736" s="189"/>
    </row>
    <row r="1737" spans="5:5" x14ac:dyDescent="0.25">
      <c r="E1737" s="189"/>
    </row>
    <row r="1738" spans="5:5" x14ac:dyDescent="0.25">
      <c r="E1738" s="189"/>
    </row>
    <row r="1739" spans="5:5" x14ac:dyDescent="0.25">
      <c r="E1739" s="189"/>
    </row>
    <row r="1740" spans="5:5" x14ac:dyDescent="0.25">
      <c r="E1740" s="189"/>
    </row>
    <row r="1741" spans="5:5" x14ac:dyDescent="0.25">
      <c r="E1741" s="189"/>
    </row>
    <row r="1742" spans="5:5" x14ac:dyDescent="0.25">
      <c r="E1742" s="189"/>
    </row>
    <row r="1743" spans="5:5" x14ac:dyDescent="0.25">
      <c r="E1743" s="189"/>
    </row>
    <row r="1744" spans="5:5" x14ac:dyDescent="0.25">
      <c r="E1744" s="189"/>
    </row>
    <row r="1745" spans="5:5" x14ac:dyDescent="0.25">
      <c r="E1745" s="189"/>
    </row>
    <row r="1746" spans="5:5" x14ac:dyDescent="0.25">
      <c r="E1746" s="189"/>
    </row>
    <row r="1747" spans="5:5" x14ac:dyDescent="0.25">
      <c r="E1747" s="189"/>
    </row>
    <row r="1748" spans="5:5" x14ac:dyDescent="0.25">
      <c r="E1748" s="189"/>
    </row>
    <row r="1749" spans="5:5" x14ac:dyDescent="0.25">
      <c r="E1749" s="189"/>
    </row>
    <row r="1750" spans="5:5" x14ac:dyDescent="0.25">
      <c r="E1750" s="189"/>
    </row>
    <row r="1751" spans="5:5" x14ac:dyDescent="0.25">
      <c r="E1751" s="189"/>
    </row>
    <row r="1752" spans="5:5" x14ac:dyDescent="0.25">
      <c r="E1752" s="189"/>
    </row>
    <row r="1753" spans="5:5" x14ac:dyDescent="0.25">
      <c r="E1753" s="189"/>
    </row>
    <row r="1754" spans="5:5" x14ac:dyDescent="0.25">
      <c r="E1754" s="189"/>
    </row>
    <row r="1755" spans="5:5" x14ac:dyDescent="0.25">
      <c r="E1755" s="189"/>
    </row>
    <row r="1756" spans="5:5" x14ac:dyDescent="0.25">
      <c r="E1756" s="189"/>
    </row>
    <row r="1757" spans="5:5" x14ac:dyDescent="0.25">
      <c r="E1757" s="189"/>
    </row>
    <row r="1758" spans="5:5" x14ac:dyDescent="0.25">
      <c r="E1758" s="189"/>
    </row>
    <row r="1759" spans="5:5" x14ac:dyDescent="0.25">
      <c r="E1759" s="189"/>
    </row>
    <row r="1760" spans="5:5" x14ac:dyDescent="0.25">
      <c r="E1760" s="189"/>
    </row>
    <row r="1761" spans="5:5" x14ac:dyDescent="0.25">
      <c r="E1761" s="189"/>
    </row>
    <row r="1762" spans="5:5" x14ac:dyDescent="0.25">
      <c r="E1762" s="189"/>
    </row>
    <row r="1763" spans="5:5" x14ac:dyDescent="0.25">
      <c r="E1763" s="189"/>
    </row>
    <row r="1764" spans="5:5" x14ac:dyDescent="0.25">
      <c r="E1764" s="189"/>
    </row>
    <row r="1765" spans="5:5" x14ac:dyDescent="0.25">
      <c r="E1765" s="189"/>
    </row>
    <row r="1766" spans="5:5" x14ac:dyDescent="0.25">
      <c r="E1766" s="189"/>
    </row>
    <row r="1767" spans="5:5" x14ac:dyDescent="0.25">
      <c r="E1767" s="189"/>
    </row>
    <row r="1768" spans="5:5" x14ac:dyDescent="0.25">
      <c r="E1768" s="189"/>
    </row>
    <row r="1769" spans="5:5" x14ac:dyDescent="0.25">
      <c r="E1769" s="189"/>
    </row>
    <row r="1770" spans="5:5" x14ac:dyDescent="0.25">
      <c r="E1770" s="189"/>
    </row>
    <row r="1771" spans="5:5" x14ac:dyDescent="0.25">
      <c r="E1771" s="189"/>
    </row>
    <row r="1772" spans="5:5" x14ac:dyDescent="0.25">
      <c r="E1772" s="189"/>
    </row>
    <row r="1773" spans="5:5" x14ac:dyDescent="0.25">
      <c r="E1773" s="189"/>
    </row>
    <row r="1774" spans="5:5" x14ac:dyDescent="0.25">
      <c r="E1774" s="189"/>
    </row>
    <row r="1775" spans="5:5" x14ac:dyDescent="0.25">
      <c r="E1775" s="189"/>
    </row>
    <row r="1776" spans="5:5" x14ac:dyDescent="0.25">
      <c r="E1776" s="189"/>
    </row>
    <row r="1777" spans="5:5" x14ac:dyDescent="0.25">
      <c r="E1777" s="189"/>
    </row>
    <row r="1778" spans="5:5" x14ac:dyDescent="0.25">
      <c r="E1778" s="189"/>
    </row>
    <row r="1779" spans="5:5" x14ac:dyDescent="0.25">
      <c r="E1779" s="189"/>
    </row>
    <row r="1780" spans="5:5" x14ac:dyDescent="0.25">
      <c r="E1780" s="189"/>
    </row>
    <row r="1781" spans="5:5" x14ac:dyDescent="0.25">
      <c r="E1781" s="189"/>
    </row>
    <row r="1782" spans="5:5" x14ac:dyDescent="0.25">
      <c r="E1782" s="189"/>
    </row>
    <row r="1783" spans="5:5" x14ac:dyDescent="0.25">
      <c r="E1783" s="189"/>
    </row>
    <row r="1784" spans="5:5" x14ac:dyDescent="0.25">
      <c r="E1784" s="189"/>
    </row>
    <row r="1785" spans="5:5" x14ac:dyDescent="0.25">
      <c r="E1785" s="189"/>
    </row>
    <row r="1786" spans="5:5" x14ac:dyDescent="0.25">
      <c r="E1786" s="189"/>
    </row>
    <row r="1787" spans="5:5" x14ac:dyDescent="0.25">
      <c r="E1787" s="189"/>
    </row>
    <row r="1788" spans="5:5" x14ac:dyDescent="0.25">
      <c r="E1788" s="189"/>
    </row>
    <row r="1789" spans="5:5" x14ac:dyDescent="0.25">
      <c r="E1789" s="189"/>
    </row>
    <row r="1790" spans="5:5" x14ac:dyDescent="0.25">
      <c r="E1790" s="189"/>
    </row>
    <row r="1791" spans="5:5" x14ac:dyDescent="0.25">
      <c r="E1791" s="189"/>
    </row>
    <row r="1792" spans="5:5" x14ac:dyDescent="0.25">
      <c r="E1792" s="189"/>
    </row>
    <row r="1793" spans="5:5" x14ac:dyDescent="0.25">
      <c r="E1793" s="189"/>
    </row>
    <row r="1794" spans="5:5" x14ac:dyDescent="0.25">
      <c r="E1794" s="189"/>
    </row>
    <row r="1795" spans="5:5" x14ac:dyDescent="0.25">
      <c r="E1795" s="189"/>
    </row>
    <row r="1796" spans="5:5" x14ac:dyDescent="0.25">
      <c r="E1796" s="189"/>
    </row>
    <row r="1797" spans="5:5" x14ac:dyDescent="0.25">
      <c r="E1797" s="189"/>
    </row>
    <row r="1798" spans="5:5" x14ac:dyDescent="0.25">
      <c r="E1798" s="189"/>
    </row>
    <row r="1799" spans="5:5" x14ac:dyDescent="0.25">
      <c r="E1799" s="189"/>
    </row>
    <row r="1800" spans="5:5" x14ac:dyDescent="0.25">
      <c r="E1800" s="189"/>
    </row>
    <row r="1801" spans="5:5" x14ac:dyDescent="0.25">
      <c r="E1801" s="189"/>
    </row>
    <row r="1802" spans="5:5" x14ac:dyDescent="0.25">
      <c r="E1802" s="189"/>
    </row>
    <row r="1803" spans="5:5" x14ac:dyDescent="0.25">
      <c r="E1803" s="189"/>
    </row>
    <row r="1804" spans="5:5" x14ac:dyDescent="0.25">
      <c r="E1804" s="189"/>
    </row>
    <row r="1805" spans="5:5" x14ac:dyDescent="0.25">
      <c r="E1805" s="189"/>
    </row>
    <row r="1806" spans="5:5" x14ac:dyDescent="0.25">
      <c r="E1806" s="189"/>
    </row>
    <row r="1807" spans="5:5" x14ac:dyDescent="0.25">
      <c r="E1807" s="189"/>
    </row>
    <row r="1808" spans="5:5" x14ac:dyDescent="0.25">
      <c r="E1808" s="189"/>
    </row>
    <row r="1809" spans="5:5" x14ac:dyDescent="0.25">
      <c r="E1809" s="189"/>
    </row>
    <row r="1810" spans="5:5" x14ac:dyDescent="0.25">
      <c r="E1810" s="189"/>
    </row>
    <row r="1811" spans="5:5" x14ac:dyDescent="0.25">
      <c r="E1811" s="189"/>
    </row>
    <row r="1812" spans="5:5" x14ac:dyDescent="0.25">
      <c r="E1812" s="189"/>
    </row>
    <row r="1813" spans="5:5" x14ac:dyDescent="0.25">
      <c r="E1813" s="189"/>
    </row>
    <row r="1814" spans="5:5" x14ac:dyDescent="0.25">
      <c r="E1814" s="189"/>
    </row>
    <row r="1815" spans="5:5" x14ac:dyDescent="0.25">
      <c r="E1815" s="189"/>
    </row>
    <row r="1816" spans="5:5" x14ac:dyDescent="0.25">
      <c r="E1816" s="189"/>
    </row>
    <row r="1817" spans="5:5" x14ac:dyDescent="0.25">
      <c r="E1817" s="189"/>
    </row>
    <row r="1818" spans="5:5" x14ac:dyDescent="0.25">
      <c r="E1818" s="189"/>
    </row>
    <row r="1819" spans="5:5" x14ac:dyDescent="0.25">
      <c r="E1819" s="189"/>
    </row>
    <row r="1820" spans="5:5" x14ac:dyDescent="0.25">
      <c r="E1820" s="189"/>
    </row>
    <row r="1821" spans="5:5" x14ac:dyDescent="0.25">
      <c r="E1821" s="189"/>
    </row>
    <row r="1822" spans="5:5" x14ac:dyDescent="0.25">
      <c r="E1822" s="189"/>
    </row>
    <row r="1823" spans="5:5" x14ac:dyDescent="0.25">
      <c r="E1823" s="189"/>
    </row>
    <row r="1824" spans="5:5" x14ac:dyDescent="0.25">
      <c r="E1824" s="189"/>
    </row>
    <row r="1825" spans="5:5" x14ac:dyDescent="0.25">
      <c r="E1825" s="189"/>
    </row>
    <row r="1826" spans="5:5" x14ac:dyDescent="0.25">
      <c r="E1826" s="189"/>
    </row>
    <row r="1827" spans="5:5" x14ac:dyDescent="0.25">
      <c r="E1827" s="189"/>
    </row>
    <row r="1828" spans="5:5" x14ac:dyDescent="0.25">
      <c r="E1828" s="189"/>
    </row>
    <row r="1829" spans="5:5" x14ac:dyDescent="0.25">
      <c r="E1829" s="189"/>
    </row>
    <row r="1830" spans="5:5" x14ac:dyDescent="0.25">
      <c r="E1830" s="189"/>
    </row>
    <row r="1831" spans="5:5" x14ac:dyDescent="0.25">
      <c r="E1831" s="189"/>
    </row>
    <row r="1832" spans="5:5" x14ac:dyDescent="0.25">
      <c r="E1832" s="189"/>
    </row>
    <row r="1833" spans="5:5" x14ac:dyDescent="0.25">
      <c r="E1833" s="189"/>
    </row>
    <row r="1834" spans="5:5" x14ac:dyDescent="0.25">
      <c r="E1834" s="189"/>
    </row>
    <row r="1835" spans="5:5" x14ac:dyDescent="0.25">
      <c r="E1835" s="189"/>
    </row>
    <row r="1836" spans="5:5" x14ac:dyDescent="0.25">
      <c r="E1836" s="189"/>
    </row>
    <row r="1837" spans="5:5" x14ac:dyDescent="0.25">
      <c r="E1837" s="189"/>
    </row>
    <row r="1838" spans="5:5" x14ac:dyDescent="0.25">
      <c r="E1838" s="189"/>
    </row>
    <row r="1839" spans="5:5" x14ac:dyDescent="0.25">
      <c r="E1839" s="189"/>
    </row>
    <row r="1840" spans="5:5" x14ac:dyDescent="0.25">
      <c r="E1840" s="189"/>
    </row>
    <row r="1841" spans="5:5" x14ac:dyDescent="0.25">
      <c r="E1841" s="189"/>
    </row>
    <row r="1842" spans="5:5" x14ac:dyDescent="0.25">
      <c r="E1842" s="189"/>
    </row>
    <row r="1843" spans="5:5" x14ac:dyDescent="0.25">
      <c r="E1843" s="189"/>
    </row>
    <row r="1844" spans="5:5" x14ac:dyDescent="0.25">
      <c r="E1844" s="189"/>
    </row>
    <row r="1845" spans="5:5" x14ac:dyDescent="0.25">
      <c r="E1845" s="189"/>
    </row>
    <row r="1846" spans="5:5" x14ac:dyDescent="0.25">
      <c r="E1846" s="189"/>
    </row>
    <row r="1847" spans="5:5" x14ac:dyDescent="0.25">
      <c r="E1847" s="189"/>
    </row>
    <row r="1848" spans="5:5" x14ac:dyDescent="0.25">
      <c r="E1848" s="189"/>
    </row>
    <row r="1849" spans="5:5" x14ac:dyDescent="0.25">
      <c r="E1849" s="189"/>
    </row>
    <row r="1850" spans="5:5" x14ac:dyDescent="0.25">
      <c r="E1850" s="189"/>
    </row>
    <row r="1851" spans="5:5" x14ac:dyDescent="0.25">
      <c r="E1851" s="189"/>
    </row>
    <row r="1852" spans="5:5" x14ac:dyDescent="0.25">
      <c r="E1852" s="189"/>
    </row>
    <row r="1853" spans="5:5" x14ac:dyDescent="0.25">
      <c r="E1853" s="189"/>
    </row>
    <row r="1854" spans="5:5" x14ac:dyDescent="0.25">
      <c r="E1854" s="189"/>
    </row>
    <row r="1855" spans="5:5" x14ac:dyDescent="0.25">
      <c r="E1855" s="189"/>
    </row>
    <row r="1856" spans="5:5" x14ac:dyDescent="0.25">
      <c r="E1856" s="189"/>
    </row>
    <row r="1857" spans="5:5" x14ac:dyDescent="0.25">
      <c r="E1857" s="189"/>
    </row>
    <row r="1858" spans="5:5" x14ac:dyDescent="0.25">
      <c r="E1858" s="189"/>
    </row>
    <row r="1859" spans="5:5" x14ac:dyDescent="0.25">
      <c r="E1859" s="189"/>
    </row>
    <row r="1860" spans="5:5" x14ac:dyDescent="0.25">
      <c r="E1860" s="189"/>
    </row>
    <row r="1861" spans="5:5" x14ac:dyDescent="0.25">
      <c r="E1861" s="189"/>
    </row>
    <row r="1862" spans="5:5" x14ac:dyDescent="0.25">
      <c r="E1862" s="189"/>
    </row>
    <row r="1863" spans="5:5" x14ac:dyDescent="0.25">
      <c r="E1863" s="189"/>
    </row>
    <row r="1864" spans="5:5" x14ac:dyDescent="0.25">
      <c r="E1864" s="189"/>
    </row>
    <row r="1865" spans="5:5" x14ac:dyDescent="0.25">
      <c r="E1865" s="189"/>
    </row>
    <row r="1866" spans="5:5" x14ac:dyDescent="0.25">
      <c r="E1866" s="189"/>
    </row>
    <row r="1867" spans="5:5" x14ac:dyDescent="0.25">
      <c r="E1867" s="189"/>
    </row>
    <row r="1868" spans="5:5" x14ac:dyDescent="0.25">
      <c r="E1868" s="189"/>
    </row>
    <row r="1869" spans="5:5" x14ac:dyDescent="0.25">
      <c r="E1869" s="189"/>
    </row>
    <row r="1870" spans="5:5" x14ac:dyDescent="0.25">
      <c r="E1870" s="189"/>
    </row>
    <row r="1871" spans="5:5" x14ac:dyDescent="0.25">
      <c r="E1871" s="189"/>
    </row>
    <row r="1872" spans="5:5" x14ac:dyDescent="0.25">
      <c r="E1872" s="189"/>
    </row>
    <row r="1873" spans="5:5" x14ac:dyDescent="0.25">
      <c r="E1873" s="189"/>
    </row>
    <row r="1874" spans="5:5" x14ac:dyDescent="0.25">
      <c r="E1874" s="189"/>
    </row>
    <row r="1875" spans="5:5" x14ac:dyDescent="0.25">
      <c r="E1875" s="189"/>
    </row>
    <row r="1876" spans="5:5" x14ac:dyDescent="0.25">
      <c r="E1876" s="189"/>
    </row>
    <row r="1877" spans="5:5" x14ac:dyDescent="0.25">
      <c r="E1877" s="189"/>
    </row>
    <row r="1878" spans="5:5" x14ac:dyDescent="0.25">
      <c r="E1878" s="189"/>
    </row>
    <row r="1879" spans="5:5" x14ac:dyDescent="0.25">
      <c r="E1879" s="189"/>
    </row>
    <row r="1880" spans="5:5" x14ac:dyDescent="0.25">
      <c r="E1880" s="189"/>
    </row>
    <row r="1881" spans="5:5" x14ac:dyDescent="0.25">
      <c r="E1881" s="189"/>
    </row>
    <row r="1882" spans="5:5" x14ac:dyDescent="0.25">
      <c r="E1882" s="189"/>
    </row>
    <row r="1883" spans="5:5" x14ac:dyDescent="0.25">
      <c r="E1883" s="189"/>
    </row>
    <row r="1884" spans="5:5" x14ac:dyDescent="0.25">
      <c r="E1884" s="189"/>
    </row>
    <row r="1885" spans="5:5" x14ac:dyDescent="0.25">
      <c r="E1885" s="189"/>
    </row>
    <row r="1886" spans="5:5" x14ac:dyDescent="0.25">
      <c r="E1886" s="189"/>
    </row>
    <row r="1887" spans="5:5" x14ac:dyDescent="0.25">
      <c r="E1887" s="189"/>
    </row>
    <row r="1888" spans="5:5" x14ac:dyDescent="0.25">
      <c r="E1888" s="189"/>
    </row>
    <row r="1889" spans="5:5" x14ac:dyDescent="0.25">
      <c r="E1889" s="189"/>
    </row>
    <row r="1890" spans="5:5" x14ac:dyDescent="0.25">
      <c r="E1890" s="189"/>
    </row>
    <row r="1891" spans="5:5" x14ac:dyDescent="0.25">
      <c r="E1891" s="189"/>
    </row>
    <row r="1892" spans="5:5" x14ac:dyDescent="0.25">
      <c r="E1892" s="189"/>
    </row>
    <row r="1893" spans="5:5" x14ac:dyDescent="0.25">
      <c r="E1893" s="189"/>
    </row>
    <row r="1894" spans="5:5" x14ac:dyDescent="0.25">
      <c r="E1894" s="189"/>
    </row>
    <row r="1895" spans="5:5" x14ac:dyDescent="0.25">
      <c r="E1895" s="189"/>
    </row>
    <row r="1896" spans="5:5" x14ac:dyDescent="0.25">
      <c r="E1896" s="189"/>
    </row>
    <row r="1897" spans="5:5" x14ac:dyDescent="0.25">
      <c r="E1897" s="189"/>
    </row>
    <row r="1898" spans="5:5" x14ac:dyDescent="0.25">
      <c r="E1898" s="189"/>
    </row>
    <row r="1899" spans="5:5" x14ac:dyDescent="0.25">
      <c r="E1899" s="189"/>
    </row>
    <row r="1900" spans="5:5" x14ac:dyDescent="0.25">
      <c r="E1900" s="189"/>
    </row>
    <row r="1901" spans="5:5" x14ac:dyDescent="0.25">
      <c r="E1901" s="189"/>
    </row>
    <row r="1902" spans="5:5" x14ac:dyDescent="0.25">
      <c r="E1902" s="189"/>
    </row>
    <row r="1903" spans="5:5" x14ac:dyDescent="0.25">
      <c r="E1903" s="189"/>
    </row>
    <row r="1904" spans="5:5" x14ac:dyDescent="0.25">
      <c r="E1904" s="189"/>
    </row>
    <row r="1905" spans="5:5" x14ac:dyDescent="0.25">
      <c r="E1905" s="189"/>
    </row>
    <row r="1906" spans="5:5" x14ac:dyDescent="0.25">
      <c r="E1906" s="189"/>
    </row>
    <row r="1907" spans="5:5" x14ac:dyDescent="0.25">
      <c r="E1907" s="189"/>
    </row>
    <row r="1908" spans="5:5" x14ac:dyDescent="0.25">
      <c r="E1908" s="189"/>
    </row>
    <row r="1909" spans="5:5" x14ac:dyDescent="0.25">
      <c r="E1909" s="189"/>
    </row>
    <row r="1910" spans="5:5" x14ac:dyDescent="0.25">
      <c r="E1910" s="189"/>
    </row>
    <row r="1911" spans="5:5" x14ac:dyDescent="0.25">
      <c r="E1911" s="189"/>
    </row>
    <row r="1912" spans="5:5" x14ac:dyDescent="0.25">
      <c r="E1912" s="189"/>
    </row>
    <row r="1913" spans="5:5" x14ac:dyDescent="0.25">
      <c r="E1913" s="189"/>
    </row>
    <row r="1914" spans="5:5" x14ac:dyDescent="0.25">
      <c r="E1914" s="189"/>
    </row>
    <row r="1915" spans="5:5" x14ac:dyDescent="0.25">
      <c r="E1915" s="189"/>
    </row>
    <row r="1916" spans="5:5" x14ac:dyDescent="0.25">
      <c r="E1916" s="189"/>
    </row>
    <row r="1917" spans="5:5" x14ac:dyDescent="0.25">
      <c r="E1917" s="189"/>
    </row>
    <row r="1918" spans="5:5" x14ac:dyDescent="0.25">
      <c r="E1918" s="189"/>
    </row>
    <row r="1919" spans="5:5" x14ac:dyDescent="0.25">
      <c r="E1919" s="189"/>
    </row>
    <row r="1920" spans="5:5" x14ac:dyDescent="0.25">
      <c r="E1920" s="189"/>
    </row>
    <row r="1921" spans="5:5" x14ac:dyDescent="0.25">
      <c r="E1921" s="189"/>
    </row>
    <row r="1922" spans="5:5" x14ac:dyDescent="0.25">
      <c r="E1922" s="189"/>
    </row>
    <row r="1923" spans="5:5" x14ac:dyDescent="0.25">
      <c r="E1923" s="189"/>
    </row>
    <row r="1924" spans="5:5" x14ac:dyDescent="0.25">
      <c r="E1924" s="189"/>
    </row>
    <row r="1925" spans="5:5" x14ac:dyDescent="0.25">
      <c r="E1925" s="189"/>
    </row>
    <row r="1926" spans="5:5" x14ac:dyDescent="0.25">
      <c r="E1926" s="189"/>
    </row>
    <row r="1927" spans="5:5" x14ac:dyDescent="0.25">
      <c r="E1927" s="189"/>
    </row>
    <row r="1928" spans="5:5" x14ac:dyDescent="0.25">
      <c r="E1928" s="189"/>
    </row>
    <row r="1929" spans="5:5" x14ac:dyDescent="0.25">
      <c r="E1929" s="189"/>
    </row>
    <row r="1930" spans="5:5" x14ac:dyDescent="0.25">
      <c r="E1930" s="189"/>
    </row>
    <row r="1931" spans="5:5" x14ac:dyDescent="0.25">
      <c r="E1931" s="189"/>
    </row>
    <row r="1932" spans="5:5" x14ac:dyDescent="0.25">
      <c r="E1932" s="189"/>
    </row>
    <row r="1933" spans="5:5" x14ac:dyDescent="0.25">
      <c r="E1933" s="189"/>
    </row>
    <row r="1934" spans="5:5" x14ac:dyDescent="0.25">
      <c r="E1934" s="189"/>
    </row>
    <row r="1935" spans="5:5" x14ac:dyDescent="0.25">
      <c r="E1935" s="189"/>
    </row>
    <row r="1936" spans="5:5" x14ac:dyDescent="0.25">
      <c r="E1936" s="189"/>
    </row>
    <row r="1937" spans="5:5" x14ac:dyDescent="0.25">
      <c r="E1937" s="189"/>
    </row>
    <row r="1938" spans="5:5" x14ac:dyDescent="0.25">
      <c r="E1938" s="189"/>
    </row>
    <row r="1939" spans="5:5" x14ac:dyDescent="0.25">
      <c r="E1939" s="189"/>
    </row>
    <row r="1940" spans="5:5" x14ac:dyDescent="0.25">
      <c r="E1940" s="189"/>
    </row>
    <row r="1941" spans="5:5" x14ac:dyDescent="0.25">
      <c r="E1941" s="189"/>
    </row>
    <row r="1942" spans="5:5" x14ac:dyDescent="0.25">
      <c r="E1942" s="189"/>
    </row>
    <row r="1943" spans="5:5" x14ac:dyDescent="0.25">
      <c r="E1943" s="189"/>
    </row>
    <row r="1944" spans="5:5" x14ac:dyDescent="0.25">
      <c r="E1944" s="189"/>
    </row>
    <row r="1945" spans="5:5" x14ac:dyDescent="0.25">
      <c r="E1945" s="189"/>
    </row>
    <row r="1946" spans="5:5" x14ac:dyDescent="0.25">
      <c r="E1946" s="189"/>
    </row>
    <row r="1947" spans="5:5" x14ac:dyDescent="0.25">
      <c r="E1947" s="189"/>
    </row>
    <row r="1948" spans="5:5" x14ac:dyDescent="0.25">
      <c r="E1948" s="189"/>
    </row>
    <row r="1949" spans="5:5" x14ac:dyDescent="0.25">
      <c r="E1949" s="189"/>
    </row>
    <row r="1950" spans="5:5" x14ac:dyDescent="0.25">
      <c r="E1950" s="189"/>
    </row>
    <row r="1951" spans="5:5" x14ac:dyDescent="0.25">
      <c r="E1951" s="189"/>
    </row>
    <row r="1952" spans="5:5" x14ac:dyDescent="0.25">
      <c r="E1952" s="189"/>
    </row>
    <row r="1953" spans="5:5" x14ac:dyDescent="0.25">
      <c r="E1953" s="189"/>
    </row>
    <row r="1954" spans="5:5" x14ac:dyDescent="0.25">
      <c r="E1954" s="189"/>
    </row>
    <row r="1955" spans="5:5" x14ac:dyDescent="0.25">
      <c r="E1955" s="189"/>
    </row>
    <row r="1956" spans="5:5" x14ac:dyDescent="0.25">
      <c r="E1956" s="189"/>
    </row>
    <row r="1957" spans="5:5" x14ac:dyDescent="0.25">
      <c r="E1957" s="189"/>
    </row>
    <row r="1958" spans="5:5" x14ac:dyDescent="0.25">
      <c r="E1958" s="189"/>
    </row>
    <row r="1959" spans="5:5" x14ac:dyDescent="0.25">
      <c r="E1959" s="189"/>
    </row>
    <row r="1960" spans="5:5" x14ac:dyDescent="0.25">
      <c r="E1960" s="189"/>
    </row>
    <row r="1961" spans="5:5" x14ac:dyDescent="0.25">
      <c r="E1961" s="189"/>
    </row>
    <row r="1962" spans="5:5" x14ac:dyDescent="0.25">
      <c r="E1962" s="189"/>
    </row>
    <row r="1963" spans="5:5" x14ac:dyDescent="0.25">
      <c r="E1963" s="189"/>
    </row>
    <row r="1964" spans="5:5" x14ac:dyDescent="0.25">
      <c r="E1964" s="189"/>
    </row>
    <row r="1965" spans="5:5" x14ac:dyDescent="0.25">
      <c r="E1965" s="189"/>
    </row>
    <row r="1966" spans="5:5" x14ac:dyDescent="0.25">
      <c r="E1966" s="189"/>
    </row>
    <row r="1967" spans="5:5" x14ac:dyDescent="0.25">
      <c r="E1967" s="189"/>
    </row>
    <row r="1968" spans="5:5" x14ac:dyDescent="0.25">
      <c r="E1968" s="189"/>
    </row>
    <row r="1969" spans="5:5" x14ac:dyDescent="0.25">
      <c r="E1969" s="189"/>
    </row>
    <row r="1970" spans="5:5" x14ac:dyDescent="0.25">
      <c r="E1970" s="189"/>
    </row>
    <row r="1971" spans="5:5" x14ac:dyDescent="0.25">
      <c r="E1971" s="189"/>
    </row>
    <row r="1972" spans="5:5" x14ac:dyDescent="0.25">
      <c r="E1972" s="189"/>
    </row>
    <row r="1973" spans="5:5" x14ac:dyDescent="0.25">
      <c r="E1973" s="189"/>
    </row>
    <row r="1974" spans="5:5" x14ac:dyDescent="0.25">
      <c r="E1974" s="189"/>
    </row>
    <row r="1975" spans="5:5" x14ac:dyDescent="0.25">
      <c r="E1975" s="189"/>
    </row>
    <row r="1976" spans="5:5" x14ac:dyDescent="0.25">
      <c r="E1976" s="189"/>
    </row>
    <row r="1977" spans="5:5" x14ac:dyDescent="0.25">
      <c r="E1977" s="189"/>
    </row>
    <row r="1978" spans="5:5" x14ac:dyDescent="0.25">
      <c r="E1978" s="189"/>
    </row>
    <row r="1979" spans="5:5" x14ac:dyDescent="0.25">
      <c r="E1979" s="189"/>
    </row>
    <row r="1980" spans="5:5" x14ac:dyDescent="0.25">
      <c r="E1980" s="189"/>
    </row>
    <row r="1981" spans="5:5" x14ac:dyDescent="0.25">
      <c r="E1981" s="189"/>
    </row>
    <row r="1982" spans="5:5" x14ac:dyDescent="0.25">
      <c r="E1982" s="189"/>
    </row>
    <row r="1983" spans="5:5" x14ac:dyDescent="0.25">
      <c r="E1983" s="189"/>
    </row>
    <row r="1984" spans="5:5" x14ac:dyDescent="0.25">
      <c r="E1984" s="189"/>
    </row>
    <row r="1985" spans="5:5" x14ac:dyDescent="0.25">
      <c r="E1985" s="189"/>
    </row>
    <row r="1986" spans="5:5" x14ac:dyDescent="0.25">
      <c r="E1986" s="189"/>
    </row>
    <row r="1987" spans="5:5" x14ac:dyDescent="0.25">
      <c r="E1987" s="189"/>
    </row>
    <row r="1988" spans="5:5" x14ac:dyDescent="0.25">
      <c r="E1988" s="189"/>
    </row>
    <row r="1989" spans="5:5" x14ac:dyDescent="0.25">
      <c r="E1989" s="189"/>
    </row>
    <row r="1990" spans="5:5" x14ac:dyDescent="0.25">
      <c r="E1990" s="189"/>
    </row>
    <row r="1991" spans="5:5" x14ac:dyDescent="0.25">
      <c r="E1991" s="189"/>
    </row>
    <row r="1992" spans="5:5" x14ac:dyDescent="0.25">
      <c r="E1992" s="189"/>
    </row>
    <row r="1993" spans="5:5" x14ac:dyDescent="0.25">
      <c r="E1993" s="189"/>
    </row>
    <row r="1994" spans="5:5" x14ac:dyDescent="0.25">
      <c r="E1994" s="189"/>
    </row>
    <row r="1995" spans="5:5" x14ac:dyDescent="0.25">
      <c r="E1995" s="189"/>
    </row>
    <row r="1996" spans="5:5" x14ac:dyDescent="0.25">
      <c r="E1996" s="189"/>
    </row>
    <row r="1997" spans="5:5" x14ac:dyDescent="0.25">
      <c r="E1997" s="189"/>
    </row>
    <row r="1998" spans="5:5" x14ac:dyDescent="0.25">
      <c r="E1998" s="189"/>
    </row>
    <row r="1999" spans="5:5" x14ac:dyDescent="0.25">
      <c r="E1999" s="189"/>
    </row>
    <row r="2000" spans="5:5" x14ac:dyDescent="0.25">
      <c r="E2000" s="189"/>
    </row>
    <row r="2001" spans="5:5" x14ac:dyDescent="0.25">
      <c r="E2001" s="189"/>
    </row>
    <row r="2002" spans="5:5" x14ac:dyDescent="0.25">
      <c r="E2002" s="189"/>
    </row>
    <row r="2003" spans="5:5" x14ac:dyDescent="0.25">
      <c r="E2003" s="189"/>
    </row>
    <row r="2004" spans="5:5" x14ac:dyDescent="0.25">
      <c r="E2004" s="189"/>
    </row>
    <row r="2005" spans="5:5" x14ac:dyDescent="0.25">
      <c r="E2005" s="189"/>
    </row>
    <row r="2006" spans="5:5" x14ac:dyDescent="0.25">
      <c r="E2006" s="189"/>
    </row>
    <row r="2007" spans="5:5" x14ac:dyDescent="0.25">
      <c r="E2007" s="189"/>
    </row>
    <row r="2008" spans="5:5" x14ac:dyDescent="0.25">
      <c r="E2008" s="189"/>
    </row>
    <row r="2009" spans="5:5" x14ac:dyDescent="0.25">
      <c r="E2009" s="189"/>
    </row>
    <row r="2010" spans="5:5" x14ac:dyDescent="0.25">
      <c r="E2010" s="189"/>
    </row>
    <row r="2011" spans="5:5" x14ac:dyDescent="0.25">
      <c r="E2011" s="189"/>
    </row>
    <row r="2012" spans="5:5" x14ac:dyDescent="0.25">
      <c r="E2012" s="189"/>
    </row>
    <row r="2013" spans="5:5" x14ac:dyDescent="0.25">
      <c r="E2013" s="189"/>
    </row>
    <row r="2014" spans="5:5" x14ac:dyDescent="0.25">
      <c r="E2014" s="189"/>
    </row>
    <row r="2015" spans="5:5" x14ac:dyDescent="0.25">
      <c r="E2015" s="189"/>
    </row>
    <row r="2016" spans="5:5" x14ac:dyDescent="0.25">
      <c r="E2016" s="189"/>
    </row>
    <row r="2017" spans="5:5" x14ac:dyDescent="0.25">
      <c r="E2017" s="189"/>
    </row>
    <row r="2018" spans="5:5" x14ac:dyDescent="0.25">
      <c r="E2018" s="189"/>
    </row>
    <row r="2019" spans="5:5" x14ac:dyDescent="0.25">
      <c r="E2019" s="189"/>
    </row>
    <row r="2020" spans="5:5" x14ac:dyDescent="0.25">
      <c r="E2020" s="189"/>
    </row>
    <row r="2021" spans="5:5" x14ac:dyDescent="0.25">
      <c r="E2021" s="189"/>
    </row>
    <row r="2022" spans="5:5" x14ac:dyDescent="0.25">
      <c r="E2022" s="189"/>
    </row>
    <row r="2023" spans="5:5" x14ac:dyDescent="0.25">
      <c r="E2023" s="189"/>
    </row>
    <row r="2024" spans="5:5" x14ac:dyDescent="0.25">
      <c r="E2024" s="189"/>
    </row>
    <row r="2025" spans="5:5" x14ac:dyDescent="0.25">
      <c r="E2025" s="189"/>
    </row>
    <row r="2026" spans="5:5" x14ac:dyDescent="0.25">
      <c r="E2026" s="189"/>
    </row>
    <row r="2027" spans="5:5" x14ac:dyDescent="0.25">
      <c r="E2027" s="189"/>
    </row>
    <row r="2028" spans="5:5" x14ac:dyDescent="0.25">
      <c r="E2028" s="189"/>
    </row>
    <row r="2029" spans="5:5" x14ac:dyDescent="0.25">
      <c r="E2029" s="189"/>
    </row>
    <row r="2030" spans="5:5" x14ac:dyDescent="0.25">
      <c r="E2030" s="189"/>
    </row>
    <row r="2031" spans="5:5" x14ac:dyDescent="0.25">
      <c r="E2031" s="189"/>
    </row>
    <row r="2032" spans="5:5" x14ac:dyDescent="0.25">
      <c r="E2032" s="189"/>
    </row>
    <row r="2033" spans="5:5" x14ac:dyDescent="0.25">
      <c r="E2033" s="189"/>
    </row>
    <row r="2034" spans="5:5" x14ac:dyDescent="0.25">
      <c r="E2034" s="189"/>
    </row>
    <row r="2035" spans="5:5" x14ac:dyDescent="0.25">
      <c r="E2035" s="189"/>
    </row>
    <row r="2036" spans="5:5" x14ac:dyDescent="0.25">
      <c r="E2036" s="189"/>
    </row>
    <row r="2037" spans="5:5" x14ac:dyDescent="0.25">
      <c r="E2037" s="189"/>
    </row>
    <row r="2038" spans="5:5" x14ac:dyDescent="0.25">
      <c r="E2038" s="189"/>
    </row>
    <row r="2039" spans="5:5" x14ac:dyDescent="0.25">
      <c r="E2039" s="189"/>
    </row>
    <row r="2040" spans="5:5" x14ac:dyDescent="0.25">
      <c r="E2040" s="189"/>
    </row>
    <row r="2041" spans="5:5" x14ac:dyDescent="0.25">
      <c r="E2041" s="189"/>
    </row>
    <row r="2042" spans="5:5" x14ac:dyDescent="0.25">
      <c r="E2042" s="189"/>
    </row>
    <row r="2043" spans="5:5" x14ac:dyDescent="0.25">
      <c r="E2043" s="189"/>
    </row>
    <row r="2044" spans="5:5" x14ac:dyDescent="0.25">
      <c r="E2044" s="189"/>
    </row>
    <row r="2045" spans="5:5" x14ac:dyDescent="0.25">
      <c r="E2045" s="189"/>
    </row>
    <row r="2046" spans="5:5" x14ac:dyDescent="0.25">
      <c r="E2046" s="189"/>
    </row>
    <row r="2047" spans="5:5" x14ac:dyDescent="0.25">
      <c r="E2047" s="189"/>
    </row>
    <row r="2048" spans="5:5" x14ac:dyDescent="0.25">
      <c r="E2048" s="189"/>
    </row>
    <row r="2049" spans="5:5" x14ac:dyDescent="0.25">
      <c r="E2049" s="189"/>
    </row>
    <row r="2050" spans="5:5" x14ac:dyDescent="0.25">
      <c r="E2050" s="189"/>
    </row>
    <row r="2051" spans="5:5" x14ac:dyDescent="0.25">
      <c r="E2051" s="189"/>
    </row>
    <row r="2052" spans="5:5" x14ac:dyDescent="0.25">
      <c r="E2052" s="189"/>
    </row>
    <row r="2053" spans="5:5" x14ac:dyDescent="0.25">
      <c r="E2053" s="189"/>
    </row>
    <row r="2054" spans="5:5" x14ac:dyDescent="0.25">
      <c r="E2054" s="189"/>
    </row>
    <row r="2055" spans="5:5" x14ac:dyDescent="0.25">
      <c r="E2055" s="189"/>
    </row>
    <row r="2056" spans="5:5" x14ac:dyDescent="0.25">
      <c r="E2056" s="189"/>
    </row>
    <row r="2057" spans="5:5" x14ac:dyDescent="0.25">
      <c r="E2057" s="189"/>
    </row>
    <row r="2058" spans="5:5" x14ac:dyDescent="0.25">
      <c r="E2058" s="189"/>
    </row>
    <row r="2059" spans="5:5" x14ac:dyDescent="0.25">
      <c r="E2059" s="189"/>
    </row>
    <row r="2060" spans="5:5" x14ac:dyDescent="0.25">
      <c r="E2060" s="189"/>
    </row>
    <row r="2061" spans="5:5" x14ac:dyDescent="0.25">
      <c r="E2061" s="189"/>
    </row>
    <row r="2062" spans="5:5" x14ac:dyDescent="0.25">
      <c r="E2062" s="189"/>
    </row>
    <row r="2063" spans="5:5" x14ac:dyDescent="0.25">
      <c r="E2063" s="189"/>
    </row>
    <row r="2064" spans="5:5" x14ac:dyDescent="0.25">
      <c r="E2064" s="189"/>
    </row>
    <row r="2065" spans="5:5" x14ac:dyDescent="0.25">
      <c r="E2065" s="189"/>
    </row>
    <row r="2066" spans="5:5" x14ac:dyDescent="0.25">
      <c r="E2066" s="189"/>
    </row>
    <row r="2067" spans="5:5" x14ac:dyDescent="0.25">
      <c r="E2067" s="189"/>
    </row>
    <row r="2068" spans="5:5" x14ac:dyDescent="0.25">
      <c r="E2068" s="189"/>
    </row>
    <row r="2069" spans="5:5" x14ac:dyDescent="0.25">
      <c r="E2069" s="189"/>
    </row>
    <row r="2070" spans="5:5" x14ac:dyDescent="0.25">
      <c r="E2070" s="189"/>
    </row>
    <row r="2071" spans="5:5" x14ac:dyDescent="0.25">
      <c r="E2071" s="189"/>
    </row>
    <row r="2072" spans="5:5" x14ac:dyDescent="0.25">
      <c r="E2072" s="189"/>
    </row>
    <row r="2073" spans="5:5" x14ac:dyDescent="0.25">
      <c r="E2073" s="189"/>
    </row>
    <row r="2074" spans="5:5" x14ac:dyDescent="0.25">
      <c r="E2074" s="189"/>
    </row>
    <row r="2075" spans="5:5" x14ac:dyDescent="0.25">
      <c r="E2075" s="189"/>
    </row>
    <row r="2076" spans="5:5" x14ac:dyDescent="0.25">
      <c r="E2076" s="189"/>
    </row>
    <row r="2077" spans="5:5" x14ac:dyDescent="0.25">
      <c r="E2077" s="189"/>
    </row>
    <row r="2078" spans="5:5" x14ac:dyDescent="0.25">
      <c r="E2078" s="189"/>
    </row>
    <row r="2079" spans="5:5" x14ac:dyDescent="0.25">
      <c r="E2079" s="189"/>
    </row>
    <row r="2080" spans="5:5" x14ac:dyDescent="0.25">
      <c r="E2080" s="189"/>
    </row>
    <row r="2081" spans="5:5" x14ac:dyDescent="0.25">
      <c r="E2081" s="189"/>
    </row>
    <row r="2082" spans="5:5" x14ac:dyDescent="0.25">
      <c r="E2082" s="189"/>
    </row>
    <row r="2083" spans="5:5" x14ac:dyDescent="0.25">
      <c r="E2083" s="189"/>
    </row>
    <row r="2084" spans="5:5" x14ac:dyDescent="0.25">
      <c r="E2084" s="189"/>
    </row>
    <row r="2085" spans="5:5" x14ac:dyDescent="0.25">
      <c r="E2085" s="189"/>
    </row>
    <row r="2086" spans="5:5" x14ac:dyDescent="0.25">
      <c r="E2086" s="189"/>
    </row>
    <row r="2087" spans="5:5" x14ac:dyDescent="0.25">
      <c r="E2087" s="189"/>
    </row>
    <row r="2088" spans="5:5" x14ac:dyDescent="0.25">
      <c r="E2088" s="189"/>
    </row>
    <row r="2089" spans="5:5" x14ac:dyDescent="0.25">
      <c r="E2089" s="189"/>
    </row>
    <row r="2090" spans="5:5" x14ac:dyDescent="0.25">
      <c r="E2090" s="189"/>
    </row>
    <row r="2091" spans="5:5" x14ac:dyDescent="0.25">
      <c r="E2091" s="189"/>
    </row>
    <row r="2092" spans="5:5" x14ac:dyDescent="0.25">
      <c r="E2092" s="189"/>
    </row>
    <row r="2093" spans="5:5" x14ac:dyDescent="0.25">
      <c r="E2093" s="189"/>
    </row>
    <row r="2094" spans="5:5" x14ac:dyDescent="0.25">
      <c r="E2094" s="189"/>
    </row>
    <row r="2095" spans="5:5" x14ac:dyDescent="0.25">
      <c r="E2095" s="189"/>
    </row>
    <row r="2096" spans="5:5" x14ac:dyDescent="0.25">
      <c r="E2096" s="189"/>
    </row>
    <row r="2097" spans="5:5" x14ac:dyDescent="0.25">
      <c r="E2097" s="189"/>
    </row>
    <row r="2098" spans="5:5" x14ac:dyDescent="0.25">
      <c r="E2098" s="189"/>
    </row>
    <row r="2099" spans="5:5" x14ac:dyDescent="0.25">
      <c r="E2099" s="189"/>
    </row>
    <row r="2100" spans="5:5" x14ac:dyDescent="0.25">
      <c r="E2100" s="189"/>
    </row>
    <row r="2101" spans="5:5" x14ac:dyDescent="0.25">
      <c r="E2101" s="189"/>
    </row>
    <row r="2102" spans="5:5" x14ac:dyDescent="0.25">
      <c r="E2102" s="189"/>
    </row>
    <row r="2103" spans="5:5" x14ac:dyDescent="0.25">
      <c r="E2103" s="189"/>
    </row>
    <row r="2104" spans="5:5" x14ac:dyDescent="0.25">
      <c r="E2104" s="189"/>
    </row>
    <row r="2105" spans="5:5" x14ac:dyDescent="0.25">
      <c r="E2105" s="189"/>
    </row>
    <row r="2106" spans="5:5" x14ac:dyDescent="0.25">
      <c r="E2106" s="189"/>
    </row>
    <row r="2107" spans="5:5" x14ac:dyDescent="0.25">
      <c r="E2107" s="189"/>
    </row>
    <row r="2108" spans="5:5" x14ac:dyDescent="0.25">
      <c r="E2108" s="189"/>
    </row>
    <row r="2109" spans="5:5" x14ac:dyDescent="0.25">
      <c r="E2109" s="189"/>
    </row>
    <row r="2110" spans="5:5" x14ac:dyDescent="0.25">
      <c r="E2110" s="189"/>
    </row>
    <row r="2111" spans="5:5" x14ac:dyDescent="0.25">
      <c r="E2111" s="189"/>
    </row>
    <row r="2112" spans="5:5" x14ac:dyDescent="0.25">
      <c r="E2112" s="189"/>
    </row>
    <row r="2113" spans="5:5" x14ac:dyDescent="0.25">
      <c r="E2113" s="189"/>
    </row>
    <row r="2114" spans="5:5" x14ac:dyDescent="0.25">
      <c r="E2114" s="189"/>
    </row>
    <row r="2115" spans="5:5" x14ac:dyDescent="0.25">
      <c r="E2115" s="189"/>
    </row>
    <row r="2116" spans="5:5" x14ac:dyDescent="0.25">
      <c r="E2116" s="189"/>
    </row>
    <row r="2117" spans="5:5" x14ac:dyDescent="0.25">
      <c r="E2117" s="189"/>
    </row>
    <row r="2118" spans="5:5" x14ac:dyDescent="0.25">
      <c r="E2118" s="189"/>
    </row>
    <row r="2119" spans="5:5" x14ac:dyDescent="0.25">
      <c r="E2119" s="189"/>
    </row>
    <row r="2120" spans="5:5" x14ac:dyDescent="0.25">
      <c r="E2120" s="189"/>
    </row>
    <row r="2121" spans="5:5" x14ac:dyDescent="0.25">
      <c r="E2121" s="189"/>
    </row>
    <row r="2122" spans="5:5" x14ac:dyDescent="0.25">
      <c r="E2122" s="189"/>
    </row>
    <row r="2123" spans="5:5" x14ac:dyDescent="0.25">
      <c r="E2123" s="189"/>
    </row>
    <row r="2124" spans="5:5" x14ac:dyDescent="0.25">
      <c r="E2124" s="189"/>
    </row>
    <row r="2125" spans="5:5" x14ac:dyDescent="0.25">
      <c r="E2125" s="189"/>
    </row>
    <row r="2126" spans="5:5" x14ac:dyDescent="0.25">
      <c r="E2126" s="189"/>
    </row>
    <row r="2127" spans="5:5" x14ac:dyDescent="0.25">
      <c r="E2127" s="189"/>
    </row>
    <row r="2128" spans="5:5" x14ac:dyDescent="0.25">
      <c r="E2128" s="189"/>
    </row>
    <row r="2129" spans="5:5" x14ac:dyDescent="0.25">
      <c r="E2129" s="189"/>
    </row>
    <row r="2130" spans="5:5" x14ac:dyDescent="0.25">
      <c r="E2130" s="189"/>
    </row>
    <row r="2131" spans="5:5" x14ac:dyDescent="0.25">
      <c r="E2131" s="189"/>
    </row>
    <row r="2132" spans="5:5" x14ac:dyDescent="0.25">
      <c r="E2132" s="189"/>
    </row>
    <row r="2133" spans="5:5" x14ac:dyDescent="0.25">
      <c r="E2133" s="189"/>
    </row>
    <row r="2134" spans="5:5" x14ac:dyDescent="0.25">
      <c r="E2134" s="189"/>
    </row>
    <row r="2135" spans="5:5" x14ac:dyDescent="0.25">
      <c r="E2135" s="189"/>
    </row>
    <row r="2136" spans="5:5" x14ac:dyDescent="0.25">
      <c r="E2136" s="189"/>
    </row>
    <row r="2137" spans="5:5" x14ac:dyDescent="0.25">
      <c r="E2137" s="189"/>
    </row>
    <row r="2138" spans="5:5" x14ac:dyDescent="0.25">
      <c r="E2138" s="189"/>
    </row>
    <row r="2139" spans="5:5" x14ac:dyDescent="0.25">
      <c r="E2139" s="189"/>
    </row>
    <row r="2140" spans="5:5" x14ac:dyDescent="0.25">
      <c r="E2140" s="189"/>
    </row>
    <row r="2141" spans="5:5" x14ac:dyDescent="0.25">
      <c r="E2141" s="189"/>
    </row>
    <row r="2142" spans="5:5" x14ac:dyDescent="0.25">
      <c r="E2142" s="189"/>
    </row>
    <row r="2143" spans="5:5" x14ac:dyDescent="0.25">
      <c r="E2143" s="189"/>
    </row>
    <row r="2144" spans="5:5" x14ac:dyDescent="0.25">
      <c r="E2144" s="189"/>
    </row>
    <row r="2145" spans="5:5" x14ac:dyDescent="0.25">
      <c r="E2145" s="189"/>
    </row>
    <row r="2146" spans="5:5" x14ac:dyDescent="0.25">
      <c r="E2146" s="189"/>
    </row>
    <row r="2147" spans="5:5" x14ac:dyDescent="0.25">
      <c r="E2147" s="189"/>
    </row>
    <row r="2148" spans="5:5" x14ac:dyDescent="0.25">
      <c r="E2148" s="189"/>
    </row>
    <row r="2149" spans="5:5" x14ac:dyDescent="0.25">
      <c r="E2149" s="189"/>
    </row>
    <row r="2150" spans="5:5" x14ac:dyDescent="0.25">
      <c r="E2150" s="189"/>
    </row>
    <row r="2151" spans="5:5" x14ac:dyDescent="0.25">
      <c r="E2151" s="189"/>
    </row>
    <row r="2152" spans="5:5" x14ac:dyDescent="0.25">
      <c r="E2152" s="189"/>
    </row>
    <row r="2153" spans="5:5" x14ac:dyDescent="0.25">
      <c r="E2153" s="189"/>
    </row>
    <row r="2154" spans="5:5" x14ac:dyDescent="0.25">
      <c r="E2154" s="189"/>
    </row>
    <row r="2155" spans="5:5" x14ac:dyDescent="0.25">
      <c r="E2155" s="189"/>
    </row>
    <row r="2156" spans="5:5" x14ac:dyDescent="0.25">
      <c r="E2156" s="189"/>
    </row>
    <row r="2157" spans="5:5" x14ac:dyDescent="0.25">
      <c r="E2157" s="189"/>
    </row>
    <row r="2158" spans="5:5" x14ac:dyDescent="0.25">
      <c r="E2158" s="189"/>
    </row>
    <row r="2159" spans="5:5" x14ac:dyDescent="0.25">
      <c r="E2159" s="189"/>
    </row>
    <row r="2160" spans="5:5" x14ac:dyDescent="0.25">
      <c r="E2160" s="189"/>
    </row>
    <row r="2161" spans="5:5" x14ac:dyDescent="0.25">
      <c r="E2161" s="189"/>
    </row>
    <row r="2162" spans="5:5" x14ac:dyDescent="0.25">
      <c r="E2162" s="189"/>
    </row>
    <row r="2163" spans="5:5" x14ac:dyDescent="0.25">
      <c r="E2163" s="189"/>
    </row>
    <row r="2164" spans="5:5" x14ac:dyDescent="0.25">
      <c r="E2164" s="189"/>
    </row>
    <row r="2165" spans="5:5" x14ac:dyDescent="0.25">
      <c r="E2165" s="189"/>
    </row>
    <row r="2166" spans="5:5" x14ac:dyDescent="0.25">
      <c r="E2166" s="189"/>
    </row>
    <row r="2167" spans="5:5" x14ac:dyDescent="0.25">
      <c r="E2167" s="189"/>
    </row>
    <row r="2168" spans="5:5" x14ac:dyDescent="0.25">
      <c r="E2168" s="189"/>
    </row>
    <row r="2169" spans="5:5" x14ac:dyDescent="0.25">
      <c r="E2169" s="189"/>
    </row>
    <row r="2170" spans="5:5" x14ac:dyDescent="0.25">
      <c r="E2170" s="189"/>
    </row>
    <row r="2171" spans="5:5" x14ac:dyDescent="0.25">
      <c r="E2171" s="189"/>
    </row>
    <row r="2172" spans="5:5" x14ac:dyDescent="0.25">
      <c r="E2172" s="189"/>
    </row>
    <row r="2173" spans="5:5" x14ac:dyDescent="0.25">
      <c r="E2173" s="189"/>
    </row>
    <row r="2174" spans="5:5" x14ac:dyDescent="0.25">
      <c r="E2174" s="189"/>
    </row>
    <row r="2175" spans="5:5" x14ac:dyDescent="0.25">
      <c r="E2175" s="189"/>
    </row>
    <row r="2176" spans="5:5" x14ac:dyDescent="0.25">
      <c r="E2176" s="189"/>
    </row>
    <row r="2177" spans="5:5" x14ac:dyDescent="0.25">
      <c r="E2177" s="189"/>
    </row>
    <row r="2178" spans="5:5" x14ac:dyDescent="0.25">
      <c r="E2178" s="189"/>
    </row>
    <row r="2179" spans="5:5" x14ac:dyDescent="0.25">
      <c r="E2179" s="189"/>
    </row>
    <row r="2180" spans="5:5" x14ac:dyDescent="0.25">
      <c r="E2180" s="189"/>
    </row>
    <row r="2181" spans="5:5" x14ac:dyDescent="0.25">
      <c r="E2181" s="189"/>
    </row>
    <row r="2182" spans="5:5" x14ac:dyDescent="0.25">
      <c r="E2182" s="189"/>
    </row>
    <row r="2183" spans="5:5" x14ac:dyDescent="0.25">
      <c r="E2183" s="189"/>
    </row>
    <row r="2184" spans="5:5" x14ac:dyDescent="0.25">
      <c r="E2184" s="189"/>
    </row>
    <row r="2185" spans="5:5" x14ac:dyDescent="0.25">
      <c r="E2185" s="189"/>
    </row>
    <row r="2186" spans="5:5" x14ac:dyDescent="0.25">
      <c r="E2186" s="189"/>
    </row>
    <row r="2187" spans="5:5" x14ac:dyDescent="0.25">
      <c r="E2187" s="189"/>
    </row>
    <row r="2188" spans="5:5" x14ac:dyDescent="0.25">
      <c r="E2188" s="189"/>
    </row>
    <row r="2189" spans="5:5" x14ac:dyDescent="0.25">
      <c r="E2189" s="189"/>
    </row>
    <row r="2190" spans="5:5" x14ac:dyDescent="0.25">
      <c r="E2190" s="189"/>
    </row>
    <row r="2191" spans="5:5" x14ac:dyDescent="0.25">
      <c r="E2191" s="189"/>
    </row>
    <row r="2192" spans="5:5" x14ac:dyDescent="0.25">
      <c r="E2192" s="189"/>
    </row>
    <row r="2193" spans="5:5" x14ac:dyDescent="0.25">
      <c r="E2193" s="189"/>
    </row>
    <row r="2194" spans="5:5" x14ac:dyDescent="0.25">
      <c r="E2194" s="189"/>
    </row>
    <row r="2195" spans="5:5" x14ac:dyDescent="0.25">
      <c r="E2195" s="189"/>
    </row>
    <row r="2196" spans="5:5" x14ac:dyDescent="0.25">
      <c r="E2196" s="189"/>
    </row>
    <row r="2197" spans="5:5" x14ac:dyDescent="0.25">
      <c r="E2197" s="189"/>
    </row>
    <row r="2198" spans="5:5" x14ac:dyDescent="0.25">
      <c r="E2198" s="189"/>
    </row>
    <row r="2199" spans="5:5" x14ac:dyDescent="0.25">
      <c r="E2199" s="189"/>
    </row>
    <row r="2200" spans="5:5" x14ac:dyDescent="0.25">
      <c r="E2200" s="189"/>
    </row>
    <row r="2201" spans="5:5" x14ac:dyDescent="0.25">
      <c r="E2201" s="189"/>
    </row>
    <row r="2202" spans="5:5" x14ac:dyDescent="0.25">
      <c r="E2202" s="189"/>
    </row>
    <row r="2203" spans="5:5" x14ac:dyDescent="0.25">
      <c r="E2203" s="189"/>
    </row>
    <row r="2204" spans="5:5" x14ac:dyDescent="0.25">
      <c r="E2204" s="189"/>
    </row>
    <row r="2205" spans="5:5" x14ac:dyDescent="0.25">
      <c r="E2205" s="189"/>
    </row>
    <row r="2206" spans="5:5" x14ac:dyDescent="0.25">
      <c r="E2206" s="189"/>
    </row>
    <row r="2207" spans="5:5" x14ac:dyDescent="0.25">
      <c r="E2207" s="189"/>
    </row>
    <row r="2208" spans="5:5" x14ac:dyDescent="0.25">
      <c r="E2208" s="189"/>
    </row>
    <row r="2209" spans="5:5" x14ac:dyDescent="0.25">
      <c r="E2209" s="189"/>
    </row>
    <row r="2210" spans="5:5" x14ac:dyDescent="0.25">
      <c r="E2210" s="189"/>
    </row>
    <row r="2211" spans="5:5" x14ac:dyDescent="0.25">
      <c r="E2211" s="189"/>
    </row>
    <row r="2212" spans="5:5" x14ac:dyDescent="0.25">
      <c r="E2212" s="189"/>
    </row>
    <row r="2213" spans="5:5" x14ac:dyDescent="0.25">
      <c r="E2213" s="189"/>
    </row>
    <row r="2214" spans="5:5" x14ac:dyDescent="0.25">
      <c r="E2214" s="189"/>
    </row>
    <row r="2215" spans="5:5" x14ac:dyDescent="0.25">
      <c r="E2215" s="189"/>
    </row>
    <row r="2216" spans="5:5" x14ac:dyDescent="0.25">
      <c r="E2216" s="189"/>
    </row>
    <row r="2217" spans="5:5" x14ac:dyDescent="0.25">
      <c r="E2217" s="189"/>
    </row>
    <row r="2218" spans="5:5" x14ac:dyDescent="0.25">
      <c r="E2218" s="189"/>
    </row>
    <row r="2219" spans="5:5" x14ac:dyDescent="0.25">
      <c r="E2219" s="189"/>
    </row>
    <row r="2220" spans="5:5" x14ac:dyDescent="0.25">
      <c r="E2220" s="189"/>
    </row>
    <row r="2221" spans="5:5" x14ac:dyDescent="0.25">
      <c r="E2221" s="189"/>
    </row>
    <row r="2222" spans="5:5" x14ac:dyDescent="0.25">
      <c r="E2222" s="189"/>
    </row>
    <row r="2223" spans="5:5" x14ac:dyDescent="0.25">
      <c r="E2223" s="189"/>
    </row>
    <row r="2224" spans="5:5" x14ac:dyDescent="0.25">
      <c r="E2224" s="189"/>
    </row>
    <row r="2225" spans="5:5" x14ac:dyDescent="0.25">
      <c r="E2225" s="189"/>
    </row>
    <row r="2226" spans="5:5" x14ac:dyDescent="0.25">
      <c r="E2226" s="189"/>
    </row>
    <row r="2227" spans="5:5" x14ac:dyDescent="0.25">
      <c r="E2227" s="189"/>
    </row>
    <row r="2228" spans="5:5" x14ac:dyDescent="0.25">
      <c r="E2228" s="189"/>
    </row>
    <row r="2229" spans="5:5" x14ac:dyDescent="0.25">
      <c r="E2229" s="189"/>
    </row>
    <row r="2230" spans="5:5" x14ac:dyDescent="0.25">
      <c r="E2230" s="189"/>
    </row>
    <row r="2231" spans="5:5" x14ac:dyDescent="0.25">
      <c r="E2231" s="189"/>
    </row>
    <row r="2232" spans="5:5" x14ac:dyDescent="0.25">
      <c r="E2232" s="189"/>
    </row>
    <row r="2233" spans="5:5" x14ac:dyDescent="0.25">
      <c r="E2233" s="189"/>
    </row>
    <row r="2234" spans="5:5" x14ac:dyDescent="0.25">
      <c r="E2234" s="189"/>
    </row>
    <row r="2235" spans="5:5" x14ac:dyDescent="0.25">
      <c r="E2235" s="189"/>
    </row>
    <row r="2236" spans="5:5" x14ac:dyDescent="0.25">
      <c r="E2236" s="189"/>
    </row>
    <row r="2237" spans="5:5" x14ac:dyDescent="0.25">
      <c r="E2237" s="189"/>
    </row>
    <row r="2238" spans="5:5" x14ac:dyDescent="0.25">
      <c r="E2238" s="189"/>
    </row>
    <row r="2239" spans="5:5" x14ac:dyDescent="0.25">
      <c r="E2239" s="189"/>
    </row>
    <row r="2240" spans="5:5" x14ac:dyDescent="0.25">
      <c r="E2240" s="189"/>
    </row>
    <row r="2241" spans="5:5" x14ac:dyDescent="0.25">
      <c r="E2241" s="189"/>
    </row>
    <row r="2242" spans="5:5" x14ac:dyDescent="0.25">
      <c r="E2242" s="189"/>
    </row>
    <row r="2243" spans="5:5" x14ac:dyDescent="0.25">
      <c r="E2243" s="189"/>
    </row>
    <row r="2244" spans="5:5" x14ac:dyDescent="0.25">
      <c r="E2244" s="189"/>
    </row>
    <row r="2245" spans="5:5" x14ac:dyDescent="0.25">
      <c r="E2245" s="189"/>
    </row>
    <row r="2246" spans="5:5" x14ac:dyDescent="0.25">
      <c r="E2246" s="189"/>
    </row>
    <row r="2247" spans="5:5" x14ac:dyDescent="0.25">
      <c r="E2247" s="189"/>
    </row>
    <row r="2248" spans="5:5" x14ac:dyDescent="0.25">
      <c r="E2248" s="189"/>
    </row>
    <row r="2249" spans="5:5" x14ac:dyDescent="0.25">
      <c r="E2249" s="189"/>
    </row>
    <row r="2250" spans="5:5" x14ac:dyDescent="0.25">
      <c r="E2250" s="189"/>
    </row>
    <row r="2251" spans="5:5" x14ac:dyDescent="0.25">
      <c r="E2251" s="189"/>
    </row>
    <row r="2252" spans="5:5" x14ac:dyDescent="0.25">
      <c r="E2252" s="189"/>
    </row>
    <row r="2253" spans="5:5" x14ac:dyDescent="0.25">
      <c r="E2253" s="189"/>
    </row>
    <row r="2254" spans="5:5" x14ac:dyDescent="0.25">
      <c r="E2254" s="189"/>
    </row>
    <row r="2255" spans="5:5" x14ac:dyDescent="0.25">
      <c r="E2255" s="189"/>
    </row>
    <row r="2256" spans="5:5" x14ac:dyDescent="0.25">
      <c r="E2256" s="189"/>
    </row>
    <row r="2257" spans="5:5" x14ac:dyDescent="0.25">
      <c r="E2257" s="189"/>
    </row>
    <row r="2258" spans="5:5" x14ac:dyDescent="0.25">
      <c r="E2258" s="189"/>
    </row>
    <row r="2259" spans="5:5" x14ac:dyDescent="0.25">
      <c r="E2259" s="189"/>
    </row>
    <row r="2260" spans="5:5" x14ac:dyDescent="0.25">
      <c r="E2260" s="189"/>
    </row>
    <row r="2261" spans="5:5" x14ac:dyDescent="0.25">
      <c r="E2261" s="189"/>
    </row>
    <row r="2262" spans="5:5" x14ac:dyDescent="0.25">
      <c r="E2262" s="189"/>
    </row>
    <row r="2263" spans="5:5" x14ac:dyDescent="0.25">
      <c r="E2263" s="189"/>
    </row>
    <row r="2264" spans="5:5" x14ac:dyDescent="0.25">
      <c r="E2264" s="189"/>
    </row>
    <row r="2265" spans="5:5" x14ac:dyDescent="0.25">
      <c r="E2265" s="189"/>
    </row>
    <row r="2266" spans="5:5" x14ac:dyDescent="0.25">
      <c r="E2266" s="189"/>
    </row>
    <row r="2267" spans="5:5" x14ac:dyDescent="0.25">
      <c r="E2267" s="189"/>
    </row>
    <row r="2268" spans="5:5" x14ac:dyDescent="0.25">
      <c r="E2268" s="189"/>
    </row>
    <row r="2269" spans="5:5" x14ac:dyDescent="0.25">
      <c r="E2269" s="189"/>
    </row>
    <row r="2270" spans="5:5" x14ac:dyDescent="0.25">
      <c r="E2270" s="189"/>
    </row>
    <row r="2271" spans="5:5" x14ac:dyDescent="0.25">
      <c r="E2271" s="189"/>
    </row>
    <row r="2272" spans="5:5" x14ac:dyDescent="0.25">
      <c r="E2272" s="189"/>
    </row>
    <row r="2273" spans="5:5" x14ac:dyDescent="0.25">
      <c r="E2273" s="189"/>
    </row>
    <row r="2274" spans="5:5" x14ac:dyDescent="0.25">
      <c r="E2274" s="189"/>
    </row>
    <row r="2275" spans="5:5" x14ac:dyDescent="0.25">
      <c r="E2275" s="189"/>
    </row>
    <row r="2276" spans="5:5" x14ac:dyDescent="0.25">
      <c r="E2276" s="189"/>
    </row>
    <row r="2277" spans="5:5" x14ac:dyDescent="0.25">
      <c r="E2277" s="189"/>
    </row>
    <row r="2278" spans="5:5" x14ac:dyDescent="0.25">
      <c r="E2278" s="189"/>
    </row>
    <row r="2279" spans="5:5" x14ac:dyDescent="0.25">
      <c r="E2279" s="189"/>
    </row>
    <row r="2280" spans="5:5" x14ac:dyDescent="0.25">
      <c r="E2280" s="189"/>
    </row>
    <row r="2281" spans="5:5" x14ac:dyDescent="0.25">
      <c r="E2281" s="189"/>
    </row>
    <row r="2282" spans="5:5" x14ac:dyDescent="0.25">
      <c r="E2282" s="189"/>
    </row>
    <row r="2283" spans="5:5" x14ac:dyDescent="0.25">
      <c r="E2283" s="189"/>
    </row>
    <row r="2284" spans="5:5" x14ac:dyDescent="0.25">
      <c r="E2284" s="189"/>
    </row>
    <row r="2285" spans="5:5" x14ac:dyDescent="0.25">
      <c r="E2285" s="189"/>
    </row>
    <row r="2286" spans="5:5" x14ac:dyDescent="0.25">
      <c r="E2286" s="189"/>
    </row>
    <row r="2287" spans="5:5" x14ac:dyDescent="0.25">
      <c r="E2287" s="189"/>
    </row>
    <row r="2288" spans="5:5" x14ac:dyDescent="0.25">
      <c r="E2288" s="189"/>
    </row>
    <row r="2289" spans="5:5" x14ac:dyDescent="0.25">
      <c r="E2289" s="189"/>
    </row>
    <row r="2290" spans="5:5" x14ac:dyDescent="0.25">
      <c r="E2290" s="189"/>
    </row>
    <row r="2291" spans="5:5" x14ac:dyDescent="0.25">
      <c r="E2291" s="189"/>
    </row>
    <row r="2292" spans="5:5" x14ac:dyDescent="0.25">
      <c r="E2292" s="189"/>
    </row>
    <row r="2293" spans="5:5" x14ac:dyDescent="0.25">
      <c r="E2293" s="189"/>
    </row>
    <row r="2294" spans="5:5" x14ac:dyDescent="0.25">
      <c r="E2294" s="189"/>
    </row>
    <row r="2295" spans="5:5" x14ac:dyDescent="0.25">
      <c r="E2295" s="189"/>
    </row>
    <row r="2296" spans="5:5" x14ac:dyDescent="0.25">
      <c r="E2296" s="189"/>
    </row>
    <row r="2297" spans="5:5" x14ac:dyDescent="0.25">
      <c r="E2297" s="189"/>
    </row>
    <row r="2298" spans="5:5" x14ac:dyDescent="0.25">
      <c r="E2298" s="189"/>
    </row>
    <row r="2299" spans="5:5" x14ac:dyDescent="0.25">
      <c r="E2299" s="189"/>
    </row>
    <row r="2300" spans="5:5" x14ac:dyDescent="0.25">
      <c r="E2300" s="189"/>
    </row>
    <row r="2301" spans="5:5" x14ac:dyDescent="0.25">
      <c r="E2301" s="189"/>
    </row>
    <row r="2302" spans="5:5" x14ac:dyDescent="0.25">
      <c r="E2302" s="189"/>
    </row>
    <row r="2303" spans="5:5" x14ac:dyDescent="0.25">
      <c r="E2303" s="189"/>
    </row>
    <row r="2304" spans="5:5" x14ac:dyDescent="0.25">
      <c r="E2304" s="189"/>
    </row>
    <row r="2305" spans="5:5" x14ac:dyDescent="0.25">
      <c r="E2305" s="189"/>
    </row>
    <row r="2306" spans="5:5" x14ac:dyDescent="0.25">
      <c r="E2306" s="189"/>
    </row>
    <row r="2307" spans="5:5" x14ac:dyDescent="0.25">
      <c r="E2307" s="189"/>
    </row>
    <row r="2308" spans="5:5" x14ac:dyDescent="0.25">
      <c r="E2308" s="189"/>
    </row>
    <row r="2309" spans="5:5" x14ac:dyDescent="0.25">
      <c r="E2309" s="189"/>
    </row>
    <row r="2310" spans="5:5" x14ac:dyDescent="0.25">
      <c r="E2310" s="189"/>
    </row>
    <row r="2311" spans="5:5" x14ac:dyDescent="0.25">
      <c r="E2311" s="189"/>
    </row>
    <row r="2312" spans="5:5" x14ac:dyDescent="0.25">
      <c r="E2312" s="189"/>
    </row>
    <row r="2313" spans="5:5" x14ac:dyDescent="0.25">
      <c r="E2313" s="189"/>
    </row>
    <row r="2314" spans="5:5" x14ac:dyDescent="0.25">
      <c r="E2314" s="189"/>
    </row>
    <row r="2315" spans="5:5" x14ac:dyDescent="0.25">
      <c r="E2315" s="189"/>
    </row>
    <row r="2316" spans="5:5" x14ac:dyDescent="0.25">
      <c r="E2316" s="189"/>
    </row>
    <row r="2317" spans="5:5" x14ac:dyDescent="0.25">
      <c r="E2317" s="189"/>
    </row>
    <row r="2318" spans="5:5" x14ac:dyDescent="0.25">
      <c r="E2318" s="189"/>
    </row>
    <row r="2319" spans="5:5" x14ac:dyDescent="0.25">
      <c r="E2319" s="189"/>
    </row>
    <row r="2320" spans="5:5" x14ac:dyDescent="0.25">
      <c r="E2320" s="189"/>
    </row>
    <row r="2321" spans="5:5" x14ac:dyDescent="0.25">
      <c r="E2321" s="189"/>
    </row>
    <row r="2322" spans="5:5" x14ac:dyDescent="0.25">
      <c r="E2322" s="189"/>
    </row>
    <row r="2323" spans="5:5" x14ac:dyDescent="0.25">
      <c r="E2323" s="189"/>
    </row>
    <row r="2324" spans="5:5" x14ac:dyDescent="0.25">
      <c r="E2324" s="189"/>
    </row>
    <row r="2325" spans="5:5" x14ac:dyDescent="0.25">
      <c r="E2325" s="189"/>
    </row>
    <row r="2326" spans="5:5" x14ac:dyDescent="0.25">
      <c r="E2326" s="189"/>
    </row>
    <row r="2327" spans="5:5" x14ac:dyDescent="0.25">
      <c r="E2327" s="189"/>
    </row>
    <row r="2328" spans="5:5" x14ac:dyDescent="0.25">
      <c r="E2328" s="189"/>
    </row>
    <row r="2329" spans="5:5" x14ac:dyDescent="0.25">
      <c r="E2329" s="189"/>
    </row>
    <row r="2330" spans="5:5" x14ac:dyDescent="0.25">
      <c r="E2330" s="189"/>
    </row>
    <row r="2331" spans="5:5" x14ac:dyDescent="0.25">
      <c r="E2331" s="189"/>
    </row>
    <row r="2332" spans="5:5" x14ac:dyDescent="0.25">
      <c r="E2332" s="189"/>
    </row>
    <row r="2333" spans="5:5" x14ac:dyDescent="0.25">
      <c r="E2333" s="189"/>
    </row>
    <row r="2334" spans="5:5" x14ac:dyDescent="0.25">
      <c r="E2334" s="189"/>
    </row>
    <row r="2335" spans="5:5" x14ac:dyDescent="0.25">
      <c r="E2335" s="189"/>
    </row>
    <row r="2336" spans="5:5" x14ac:dyDescent="0.25">
      <c r="E2336" s="189"/>
    </row>
    <row r="2337" spans="5:5" x14ac:dyDescent="0.25">
      <c r="E2337" s="189"/>
    </row>
    <row r="2338" spans="5:5" x14ac:dyDescent="0.25">
      <c r="E2338" s="189"/>
    </row>
    <row r="2339" spans="5:5" x14ac:dyDescent="0.25">
      <c r="E2339" s="189"/>
    </row>
    <row r="2340" spans="5:5" x14ac:dyDescent="0.25">
      <c r="E2340" s="189"/>
    </row>
    <row r="2341" spans="5:5" x14ac:dyDescent="0.25">
      <c r="E2341" s="189"/>
    </row>
    <row r="2342" spans="5:5" x14ac:dyDescent="0.25">
      <c r="E2342" s="189"/>
    </row>
    <row r="2343" spans="5:5" x14ac:dyDescent="0.25">
      <c r="E2343" s="189"/>
    </row>
    <row r="2344" spans="5:5" x14ac:dyDescent="0.25">
      <c r="E2344" s="189"/>
    </row>
    <row r="2345" spans="5:5" x14ac:dyDescent="0.25">
      <c r="E2345" s="189"/>
    </row>
    <row r="2346" spans="5:5" x14ac:dyDescent="0.25">
      <c r="E2346" s="189"/>
    </row>
    <row r="2347" spans="5:5" x14ac:dyDescent="0.25">
      <c r="E2347" s="189"/>
    </row>
    <row r="2348" spans="5:5" x14ac:dyDescent="0.25">
      <c r="E2348" s="189"/>
    </row>
    <row r="2349" spans="5:5" x14ac:dyDescent="0.25">
      <c r="E2349" s="189"/>
    </row>
    <row r="2350" spans="5:5" x14ac:dyDescent="0.25">
      <c r="E2350" s="189"/>
    </row>
    <row r="2351" spans="5:5" x14ac:dyDescent="0.25">
      <c r="E2351" s="189"/>
    </row>
    <row r="2352" spans="5:5" x14ac:dyDescent="0.25">
      <c r="E2352" s="189"/>
    </row>
    <row r="2353" spans="5:5" x14ac:dyDescent="0.25">
      <c r="E2353" s="189"/>
    </row>
    <row r="2354" spans="5:5" x14ac:dyDescent="0.25">
      <c r="E2354" s="189"/>
    </row>
    <row r="2355" spans="5:5" x14ac:dyDescent="0.25">
      <c r="E2355" s="189"/>
    </row>
    <row r="2356" spans="5:5" x14ac:dyDescent="0.25">
      <c r="E2356" s="189"/>
    </row>
    <row r="2357" spans="5:5" x14ac:dyDescent="0.25">
      <c r="E2357" s="189"/>
    </row>
    <row r="2358" spans="5:5" x14ac:dyDescent="0.25">
      <c r="E2358" s="189"/>
    </row>
    <row r="2359" spans="5:5" x14ac:dyDescent="0.25">
      <c r="E2359" s="189"/>
    </row>
    <row r="2360" spans="5:5" x14ac:dyDescent="0.25">
      <c r="E2360" s="189"/>
    </row>
    <row r="2361" spans="5:5" x14ac:dyDescent="0.25">
      <c r="E2361" s="189"/>
    </row>
    <row r="2362" spans="5:5" x14ac:dyDescent="0.25">
      <c r="E2362" s="189"/>
    </row>
    <row r="2363" spans="5:5" x14ac:dyDescent="0.25">
      <c r="E2363" s="189"/>
    </row>
    <row r="2364" spans="5:5" x14ac:dyDescent="0.25">
      <c r="E2364" s="189"/>
    </row>
    <row r="2365" spans="5:5" x14ac:dyDescent="0.25">
      <c r="E2365" s="189"/>
    </row>
    <row r="2366" spans="5:5" x14ac:dyDescent="0.25">
      <c r="E2366" s="189"/>
    </row>
    <row r="2367" spans="5:5" x14ac:dyDescent="0.25">
      <c r="E2367" s="189"/>
    </row>
    <row r="2368" spans="5:5" x14ac:dyDescent="0.25">
      <c r="E2368" s="189"/>
    </row>
    <row r="2369" spans="5:5" x14ac:dyDescent="0.25">
      <c r="E2369" s="189"/>
    </row>
    <row r="2370" spans="5:5" x14ac:dyDescent="0.25">
      <c r="E2370" s="189"/>
    </row>
    <row r="2371" spans="5:5" x14ac:dyDescent="0.25">
      <c r="E2371" s="189"/>
    </row>
    <row r="2372" spans="5:5" x14ac:dyDescent="0.25">
      <c r="E2372" s="189"/>
    </row>
    <row r="2373" spans="5:5" x14ac:dyDescent="0.25">
      <c r="E2373" s="189"/>
    </row>
    <row r="2374" spans="5:5" x14ac:dyDescent="0.25">
      <c r="E2374" s="189"/>
    </row>
    <row r="2375" spans="5:5" x14ac:dyDescent="0.25">
      <c r="E2375" s="189"/>
    </row>
    <row r="2376" spans="5:5" x14ac:dyDescent="0.25">
      <c r="E2376" s="189"/>
    </row>
    <row r="2377" spans="5:5" x14ac:dyDescent="0.25">
      <c r="E2377" s="189"/>
    </row>
    <row r="2378" spans="5:5" x14ac:dyDescent="0.25">
      <c r="E2378" s="189"/>
    </row>
    <row r="2379" spans="5:5" x14ac:dyDescent="0.25">
      <c r="E2379" s="189"/>
    </row>
    <row r="2380" spans="5:5" x14ac:dyDescent="0.25">
      <c r="E2380" s="189"/>
    </row>
    <row r="2381" spans="5:5" x14ac:dyDescent="0.25">
      <c r="E2381" s="189"/>
    </row>
    <row r="2382" spans="5:5" x14ac:dyDescent="0.25">
      <c r="E2382" s="189"/>
    </row>
    <row r="2383" spans="5:5" x14ac:dyDescent="0.25">
      <c r="E2383" s="189"/>
    </row>
    <row r="2384" spans="5:5" x14ac:dyDescent="0.25">
      <c r="E2384" s="189"/>
    </row>
    <row r="2385" spans="5:5" x14ac:dyDescent="0.25">
      <c r="E2385" s="189"/>
    </row>
    <row r="2386" spans="5:5" x14ac:dyDescent="0.25">
      <c r="E2386" s="189"/>
    </row>
    <row r="2387" spans="5:5" x14ac:dyDescent="0.25">
      <c r="E2387" s="189"/>
    </row>
    <row r="2388" spans="5:5" x14ac:dyDescent="0.25">
      <c r="E2388" s="189"/>
    </row>
    <row r="2389" spans="5:5" x14ac:dyDescent="0.25">
      <c r="E2389" s="189"/>
    </row>
    <row r="2390" spans="5:5" x14ac:dyDescent="0.25">
      <c r="E2390" s="189"/>
    </row>
    <row r="2391" spans="5:5" x14ac:dyDescent="0.25">
      <c r="E2391" s="189"/>
    </row>
    <row r="2392" spans="5:5" x14ac:dyDescent="0.25">
      <c r="E2392" s="189"/>
    </row>
    <row r="2393" spans="5:5" x14ac:dyDescent="0.25">
      <c r="E2393" s="189"/>
    </row>
    <row r="2394" spans="5:5" x14ac:dyDescent="0.25">
      <c r="E2394" s="189"/>
    </row>
    <row r="2395" spans="5:5" x14ac:dyDescent="0.25">
      <c r="E2395" s="189"/>
    </row>
    <row r="2396" spans="5:5" x14ac:dyDescent="0.25">
      <c r="E2396" s="189"/>
    </row>
    <row r="2397" spans="5:5" x14ac:dyDescent="0.25">
      <c r="E2397" s="189"/>
    </row>
    <row r="2398" spans="5:5" x14ac:dyDescent="0.25">
      <c r="E2398" s="189"/>
    </row>
    <row r="2399" spans="5:5" x14ac:dyDescent="0.25">
      <c r="E2399" s="189"/>
    </row>
    <row r="2400" spans="5:5" x14ac:dyDescent="0.25">
      <c r="E2400" s="189"/>
    </row>
    <row r="2401" spans="5:5" x14ac:dyDescent="0.25">
      <c r="E2401" s="189"/>
    </row>
    <row r="2402" spans="5:5" x14ac:dyDescent="0.25">
      <c r="E2402" s="189"/>
    </row>
    <row r="2403" spans="5:5" x14ac:dyDescent="0.25">
      <c r="E2403" s="189"/>
    </row>
    <row r="2404" spans="5:5" x14ac:dyDescent="0.25">
      <c r="E2404" s="189"/>
    </row>
    <row r="2405" spans="5:5" x14ac:dyDescent="0.25">
      <c r="E2405" s="189"/>
    </row>
    <row r="2406" spans="5:5" x14ac:dyDescent="0.25">
      <c r="E2406" s="189"/>
    </row>
    <row r="2407" spans="5:5" x14ac:dyDescent="0.25">
      <c r="E2407" s="189"/>
    </row>
    <row r="2408" spans="5:5" x14ac:dyDescent="0.25">
      <c r="E2408" s="189"/>
    </row>
    <row r="2409" spans="5:5" x14ac:dyDescent="0.25">
      <c r="E2409" s="189"/>
    </row>
    <row r="2410" spans="5:5" x14ac:dyDescent="0.25">
      <c r="E2410" s="189"/>
    </row>
    <row r="2411" spans="5:5" x14ac:dyDescent="0.25">
      <c r="E2411" s="189"/>
    </row>
    <row r="2412" spans="5:5" x14ac:dyDescent="0.25">
      <c r="E2412" s="189"/>
    </row>
    <row r="2413" spans="5:5" x14ac:dyDescent="0.25">
      <c r="E2413" s="189"/>
    </row>
    <row r="2414" spans="5:5" x14ac:dyDescent="0.25">
      <c r="E2414" s="189"/>
    </row>
    <row r="2415" spans="5:5" x14ac:dyDescent="0.25">
      <c r="E2415" s="189"/>
    </row>
    <row r="2416" spans="5:5" x14ac:dyDescent="0.25">
      <c r="E2416" s="189"/>
    </row>
    <row r="2417" spans="5:5" x14ac:dyDescent="0.25">
      <c r="E2417" s="189"/>
    </row>
    <row r="2418" spans="5:5" x14ac:dyDescent="0.25">
      <c r="E2418" s="189"/>
    </row>
    <row r="2419" spans="5:5" x14ac:dyDescent="0.25">
      <c r="E2419" s="189"/>
    </row>
    <row r="2420" spans="5:5" x14ac:dyDescent="0.25">
      <c r="E2420" s="189"/>
    </row>
    <row r="2421" spans="5:5" x14ac:dyDescent="0.25">
      <c r="E2421" s="189"/>
    </row>
    <row r="2422" spans="5:5" x14ac:dyDescent="0.25">
      <c r="E2422" s="189"/>
    </row>
    <row r="2423" spans="5:5" x14ac:dyDescent="0.25">
      <c r="E2423" s="189"/>
    </row>
    <row r="2424" spans="5:5" x14ac:dyDescent="0.25">
      <c r="E2424" s="189"/>
    </row>
    <row r="2425" spans="5:5" x14ac:dyDescent="0.25">
      <c r="E2425" s="189"/>
    </row>
    <row r="2426" spans="5:5" x14ac:dyDescent="0.25">
      <c r="E2426" s="189"/>
    </row>
    <row r="2427" spans="5:5" x14ac:dyDescent="0.25">
      <c r="E2427" s="189"/>
    </row>
    <row r="2428" spans="5:5" x14ac:dyDescent="0.25">
      <c r="E2428" s="189"/>
    </row>
    <row r="2429" spans="5:5" x14ac:dyDescent="0.25">
      <c r="E2429" s="189"/>
    </row>
    <row r="2430" spans="5:5" x14ac:dyDescent="0.25">
      <c r="E2430" s="189"/>
    </row>
    <row r="2431" spans="5:5" x14ac:dyDescent="0.25">
      <c r="E2431" s="189"/>
    </row>
    <row r="2432" spans="5:5" x14ac:dyDescent="0.25">
      <c r="E2432" s="189"/>
    </row>
    <row r="2433" spans="5:5" x14ac:dyDescent="0.25">
      <c r="E2433" s="189"/>
    </row>
    <row r="2434" spans="5:5" x14ac:dyDescent="0.25">
      <c r="E2434" s="189"/>
    </row>
    <row r="2435" spans="5:5" x14ac:dyDescent="0.25">
      <c r="E2435" s="189"/>
    </row>
    <row r="2436" spans="5:5" x14ac:dyDescent="0.25">
      <c r="E2436" s="189"/>
    </row>
    <row r="2437" spans="5:5" x14ac:dyDescent="0.25">
      <c r="E2437" s="189"/>
    </row>
    <row r="2438" spans="5:5" x14ac:dyDescent="0.25">
      <c r="E2438" s="189"/>
    </row>
    <row r="2439" spans="5:5" x14ac:dyDescent="0.25">
      <c r="E2439" s="189"/>
    </row>
    <row r="2440" spans="5:5" x14ac:dyDescent="0.25">
      <c r="E2440" s="189"/>
    </row>
    <row r="2441" spans="5:5" x14ac:dyDescent="0.25">
      <c r="E2441" s="189"/>
    </row>
    <row r="2442" spans="5:5" x14ac:dyDescent="0.25">
      <c r="E2442" s="189"/>
    </row>
    <row r="2443" spans="5:5" x14ac:dyDescent="0.25">
      <c r="E2443" s="189"/>
    </row>
    <row r="2444" spans="5:5" x14ac:dyDescent="0.25">
      <c r="E2444" s="189"/>
    </row>
    <row r="2445" spans="5:5" x14ac:dyDescent="0.25">
      <c r="E2445" s="189"/>
    </row>
    <row r="2446" spans="5:5" x14ac:dyDescent="0.25">
      <c r="E2446" s="189"/>
    </row>
    <row r="2447" spans="5:5" x14ac:dyDescent="0.25">
      <c r="E2447" s="189"/>
    </row>
    <row r="2448" spans="5:5" x14ac:dyDescent="0.25">
      <c r="E2448" s="189"/>
    </row>
    <row r="2449" spans="5:5" x14ac:dyDescent="0.25">
      <c r="E2449" s="189"/>
    </row>
    <row r="2450" spans="5:5" x14ac:dyDescent="0.25">
      <c r="E2450" s="189"/>
    </row>
    <row r="2451" spans="5:5" x14ac:dyDescent="0.25">
      <c r="E2451" s="189"/>
    </row>
    <row r="2452" spans="5:5" x14ac:dyDescent="0.25">
      <c r="E2452" s="189"/>
    </row>
    <row r="2453" spans="5:5" x14ac:dyDescent="0.25">
      <c r="E2453" s="189"/>
    </row>
    <row r="2454" spans="5:5" x14ac:dyDescent="0.25">
      <c r="E2454" s="189"/>
    </row>
    <row r="2455" spans="5:5" x14ac:dyDescent="0.25">
      <c r="E2455" s="189"/>
    </row>
    <row r="2456" spans="5:5" x14ac:dyDescent="0.25">
      <c r="E2456" s="189"/>
    </row>
    <row r="2457" spans="5:5" x14ac:dyDescent="0.25">
      <c r="E2457" s="189"/>
    </row>
    <row r="2458" spans="5:5" x14ac:dyDescent="0.25">
      <c r="E2458" s="189"/>
    </row>
    <row r="2459" spans="5:5" x14ac:dyDescent="0.25">
      <c r="E2459" s="189"/>
    </row>
    <row r="2460" spans="5:5" x14ac:dyDescent="0.25">
      <c r="E2460" s="189"/>
    </row>
    <row r="2461" spans="5:5" x14ac:dyDescent="0.25">
      <c r="E2461" s="189"/>
    </row>
    <row r="2462" spans="5:5" x14ac:dyDescent="0.25">
      <c r="E2462" s="189"/>
    </row>
    <row r="2463" spans="5:5" x14ac:dyDescent="0.25">
      <c r="E2463" s="189"/>
    </row>
    <row r="2464" spans="5:5" x14ac:dyDescent="0.25">
      <c r="E2464" s="189"/>
    </row>
    <row r="2465" spans="5:5" x14ac:dyDescent="0.25">
      <c r="E2465" s="189"/>
    </row>
    <row r="2466" spans="5:5" x14ac:dyDescent="0.25">
      <c r="E2466" s="189"/>
    </row>
    <row r="2467" spans="5:5" x14ac:dyDescent="0.25">
      <c r="E2467" s="189"/>
    </row>
    <row r="2468" spans="5:5" x14ac:dyDescent="0.25">
      <c r="E2468" s="189"/>
    </row>
    <row r="2469" spans="5:5" x14ac:dyDescent="0.25">
      <c r="E2469" s="189"/>
    </row>
    <row r="2470" spans="5:5" x14ac:dyDescent="0.25">
      <c r="E2470" s="189"/>
    </row>
    <row r="2471" spans="5:5" x14ac:dyDescent="0.25">
      <c r="E2471" s="189"/>
    </row>
    <row r="2472" spans="5:5" x14ac:dyDescent="0.25">
      <c r="E2472" s="189"/>
    </row>
    <row r="2473" spans="5:5" x14ac:dyDescent="0.25">
      <c r="E2473" s="189"/>
    </row>
    <row r="2474" spans="5:5" x14ac:dyDescent="0.25">
      <c r="E2474" s="189"/>
    </row>
    <row r="2475" spans="5:5" x14ac:dyDescent="0.25">
      <c r="E2475" s="189"/>
    </row>
    <row r="2476" spans="5:5" x14ac:dyDescent="0.25">
      <c r="E2476" s="189"/>
    </row>
    <row r="2477" spans="5:5" x14ac:dyDescent="0.25">
      <c r="E2477" s="189"/>
    </row>
    <row r="2478" spans="5:5" x14ac:dyDescent="0.25">
      <c r="E2478" s="189"/>
    </row>
    <row r="2479" spans="5:5" x14ac:dyDescent="0.25">
      <c r="E2479" s="189"/>
    </row>
    <row r="2480" spans="5:5" x14ac:dyDescent="0.25">
      <c r="E2480" s="189"/>
    </row>
    <row r="2481" spans="5:5" x14ac:dyDescent="0.25">
      <c r="E2481" s="189"/>
    </row>
    <row r="2482" spans="5:5" x14ac:dyDescent="0.25">
      <c r="E2482" s="189"/>
    </row>
    <row r="2483" spans="5:5" x14ac:dyDescent="0.25">
      <c r="E2483" s="189"/>
    </row>
    <row r="2484" spans="5:5" x14ac:dyDescent="0.25">
      <c r="E2484" s="189"/>
    </row>
    <row r="2485" spans="5:5" x14ac:dyDescent="0.25">
      <c r="E2485" s="189"/>
    </row>
    <row r="2486" spans="5:5" x14ac:dyDescent="0.25">
      <c r="E2486" s="189"/>
    </row>
    <row r="2487" spans="5:5" x14ac:dyDescent="0.25">
      <c r="E2487" s="189"/>
    </row>
    <row r="2488" spans="5:5" x14ac:dyDescent="0.25">
      <c r="E2488" s="189"/>
    </row>
    <row r="2489" spans="5:5" x14ac:dyDescent="0.25">
      <c r="E2489" s="189"/>
    </row>
    <row r="2490" spans="5:5" x14ac:dyDescent="0.25">
      <c r="E2490" s="189"/>
    </row>
    <row r="2491" spans="5:5" x14ac:dyDescent="0.25">
      <c r="E2491" s="189"/>
    </row>
    <row r="2492" spans="5:5" x14ac:dyDescent="0.25">
      <c r="E2492" s="189"/>
    </row>
    <row r="2493" spans="5:5" x14ac:dyDescent="0.25">
      <c r="E2493" s="189"/>
    </row>
    <row r="2494" spans="5:5" x14ac:dyDescent="0.25">
      <c r="E2494" s="189"/>
    </row>
    <row r="2495" spans="5:5" x14ac:dyDescent="0.25">
      <c r="E2495" s="189"/>
    </row>
    <row r="2496" spans="5:5" x14ac:dyDescent="0.25">
      <c r="E2496" s="189"/>
    </row>
    <row r="2497" spans="5:5" x14ac:dyDescent="0.25">
      <c r="E2497" s="189"/>
    </row>
    <row r="2498" spans="5:5" x14ac:dyDescent="0.25">
      <c r="E2498" s="189"/>
    </row>
    <row r="2499" spans="5:5" x14ac:dyDescent="0.25">
      <c r="E2499" s="189"/>
    </row>
    <row r="2500" spans="5:5" x14ac:dyDescent="0.25">
      <c r="E2500" s="189"/>
    </row>
    <row r="2501" spans="5:5" x14ac:dyDescent="0.25">
      <c r="E2501" s="189"/>
    </row>
    <row r="2502" spans="5:5" x14ac:dyDescent="0.25">
      <c r="E2502" s="189"/>
    </row>
    <row r="2503" spans="5:5" x14ac:dyDescent="0.25">
      <c r="E2503" s="189"/>
    </row>
    <row r="2504" spans="5:5" x14ac:dyDescent="0.25">
      <c r="E2504" s="189"/>
    </row>
    <row r="2505" spans="5:5" x14ac:dyDescent="0.25">
      <c r="E2505" s="189"/>
    </row>
    <row r="2506" spans="5:5" x14ac:dyDescent="0.25">
      <c r="E2506" s="189"/>
    </row>
    <row r="2507" spans="5:5" x14ac:dyDescent="0.25">
      <c r="E2507" s="189"/>
    </row>
    <row r="2508" spans="5:5" x14ac:dyDescent="0.25">
      <c r="E2508" s="189"/>
    </row>
    <row r="2509" spans="5:5" x14ac:dyDescent="0.25">
      <c r="E2509" s="189"/>
    </row>
    <row r="2510" spans="5:5" x14ac:dyDescent="0.25">
      <c r="E2510" s="189"/>
    </row>
    <row r="2511" spans="5:5" x14ac:dyDescent="0.25">
      <c r="E2511" s="189"/>
    </row>
    <row r="2512" spans="5:5" x14ac:dyDescent="0.25">
      <c r="E2512" s="189"/>
    </row>
    <row r="2513" spans="5:5" x14ac:dyDescent="0.25">
      <c r="E2513" s="189"/>
    </row>
    <row r="2514" spans="5:5" x14ac:dyDescent="0.25">
      <c r="E2514" s="189"/>
    </row>
    <row r="2515" spans="5:5" x14ac:dyDescent="0.25">
      <c r="E2515" s="189"/>
    </row>
    <row r="2516" spans="5:5" x14ac:dyDescent="0.25">
      <c r="E2516" s="189"/>
    </row>
    <row r="2517" spans="5:5" x14ac:dyDescent="0.25">
      <c r="E2517" s="189"/>
    </row>
    <row r="2518" spans="5:5" x14ac:dyDescent="0.25">
      <c r="E2518" s="189"/>
    </row>
    <row r="2519" spans="5:5" x14ac:dyDescent="0.25">
      <c r="E2519" s="189"/>
    </row>
    <row r="2520" spans="5:5" x14ac:dyDescent="0.25">
      <c r="E2520" s="189"/>
    </row>
    <row r="2521" spans="5:5" x14ac:dyDescent="0.25">
      <c r="E2521" s="189"/>
    </row>
    <row r="2522" spans="5:5" x14ac:dyDescent="0.25">
      <c r="E2522" s="189"/>
    </row>
    <row r="2523" spans="5:5" x14ac:dyDescent="0.25">
      <c r="E2523" s="189"/>
    </row>
    <row r="2524" spans="5:5" x14ac:dyDescent="0.25">
      <c r="E2524" s="189"/>
    </row>
    <row r="2525" spans="5:5" x14ac:dyDescent="0.25">
      <c r="E2525" s="189"/>
    </row>
    <row r="2526" spans="5:5" x14ac:dyDescent="0.25">
      <c r="E2526" s="189"/>
    </row>
    <row r="2527" spans="5:5" x14ac:dyDescent="0.25">
      <c r="E2527" s="189"/>
    </row>
    <row r="2528" spans="5:5" x14ac:dyDescent="0.25">
      <c r="E2528" s="189"/>
    </row>
    <row r="2529" spans="5:5" x14ac:dyDescent="0.25">
      <c r="E2529" s="189"/>
    </row>
    <row r="2530" spans="5:5" x14ac:dyDescent="0.25">
      <c r="E2530" s="189"/>
    </row>
    <row r="2531" spans="5:5" x14ac:dyDescent="0.25">
      <c r="E2531" s="189"/>
    </row>
    <row r="2532" spans="5:5" x14ac:dyDescent="0.25">
      <c r="E2532" s="189"/>
    </row>
    <row r="2533" spans="5:5" x14ac:dyDescent="0.25">
      <c r="E2533" s="189"/>
    </row>
    <row r="2534" spans="5:5" x14ac:dyDescent="0.25">
      <c r="E2534" s="189"/>
    </row>
    <row r="2535" spans="5:5" x14ac:dyDescent="0.25">
      <c r="E2535" s="189"/>
    </row>
    <row r="2536" spans="5:5" x14ac:dyDescent="0.25">
      <c r="E2536" s="189"/>
    </row>
    <row r="2537" spans="5:5" x14ac:dyDescent="0.25">
      <c r="E2537" s="189"/>
    </row>
    <row r="2538" spans="5:5" x14ac:dyDescent="0.25">
      <c r="E2538" s="189"/>
    </row>
    <row r="2539" spans="5:5" x14ac:dyDescent="0.25">
      <c r="E2539" s="189"/>
    </row>
    <row r="2540" spans="5:5" x14ac:dyDescent="0.25">
      <c r="E2540" s="189"/>
    </row>
    <row r="2541" spans="5:5" x14ac:dyDescent="0.25">
      <c r="E2541" s="189"/>
    </row>
    <row r="2542" spans="5:5" x14ac:dyDescent="0.25">
      <c r="E2542" s="189"/>
    </row>
    <row r="2543" spans="5:5" x14ac:dyDescent="0.25">
      <c r="E2543" s="189"/>
    </row>
    <row r="2544" spans="5:5" x14ac:dyDescent="0.25">
      <c r="E2544" s="189"/>
    </row>
    <row r="2545" spans="5:5" x14ac:dyDescent="0.25">
      <c r="E2545" s="189"/>
    </row>
    <row r="2546" spans="5:5" x14ac:dyDescent="0.25">
      <c r="E2546" s="189"/>
    </row>
    <row r="2547" spans="5:5" x14ac:dyDescent="0.25">
      <c r="E2547" s="189"/>
    </row>
    <row r="2548" spans="5:5" x14ac:dyDescent="0.25">
      <c r="E2548" s="189"/>
    </row>
    <row r="2549" spans="5:5" x14ac:dyDescent="0.25">
      <c r="E2549" s="189"/>
    </row>
    <row r="2550" spans="5:5" x14ac:dyDescent="0.25">
      <c r="E2550" s="189"/>
    </row>
    <row r="2551" spans="5:5" x14ac:dyDescent="0.25">
      <c r="E2551" s="189"/>
    </row>
    <row r="2552" spans="5:5" x14ac:dyDescent="0.25">
      <c r="E2552" s="189"/>
    </row>
    <row r="2553" spans="5:5" x14ac:dyDescent="0.25">
      <c r="E2553" s="189"/>
    </row>
    <row r="2554" spans="5:5" x14ac:dyDescent="0.25">
      <c r="E2554" s="189"/>
    </row>
    <row r="2555" spans="5:5" x14ac:dyDescent="0.25">
      <c r="E2555" s="189"/>
    </row>
    <row r="2556" spans="5:5" x14ac:dyDescent="0.25">
      <c r="E2556" s="189"/>
    </row>
    <row r="2557" spans="5:5" x14ac:dyDescent="0.25">
      <c r="E2557" s="189"/>
    </row>
    <row r="2558" spans="5:5" x14ac:dyDescent="0.25">
      <c r="E2558" s="189"/>
    </row>
    <row r="2559" spans="5:5" x14ac:dyDescent="0.25">
      <c r="E2559" s="189"/>
    </row>
    <row r="2560" spans="5:5" x14ac:dyDescent="0.25">
      <c r="E2560" s="189"/>
    </row>
    <row r="2561" spans="5:5" x14ac:dyDescent="0.25">
      <c r="E2561" s="189"/>
    </row>
    <row r="2562" spans="5:5" x14ac:dyDescent="0.25">
      <c r="E2562" s="189"/>
    </row>
    <row r="2563" spans="5:5" x14ac:dyDescent="0.25">
      <c r="E2563" s="189"/>
    </row>
    <row r="2564" spans="5:5" x14ac:dyDescent="0.25">
      <c r="E2564" s="189"/>
    </row>
    <row r="2565" spans="5:5" x14ac:dyDescent="0.25">
      <c r="E2565" s="189"/>
    </row>
    <row r="2566" spans="5:5" x14ac:dyDescent="0.25">
      <c r="E2566" s="189"/>
    </row>
    <row r="2567" spans="5:5" x14ac:dyDescent="0.25">
      <c r="E2567" s="189"/>
    </row>
    <row r="2568" spans="5:5" x14ac:dyDescent="0.25">
      <c r="E2568" s="189"/>
    </row>
    <row r="2569" spans="5:5" x14ac:dyDescent="0.25">
      <c r="E2569" s="189"/>
    </row>
    <row r="2570" spans="5:5" x14ac:dyDescent="0.25">
      <c r="E2570" s="189"/>
    </row>
    <row r="2571" spans="5:5" x14ac:dyDescent="0.25">
      <c r="E2571" s="189"/>
    </row>
    <row r="2572" spans="5:5" x14ac:dyDescent="0.25">
      <c r="E2572" s="189"/>
    </row>
    <row r="2573" spans="5:5" x14ac:dyDescent="0.25">
      <c r="E2573" s="189"/>
    </row>
    <row r="2574" spans="5:5" x14ac:dyDescent="0.25">
      <c r="E2574" s="189"/>
    </row>
    <row r="2575" spans="5:5" x14ac:dyDescent="0.25">
      <c r="E2575" s="189"/>
    </row>
    <row r="2576" spans="5:5" x14ac:dyDescent="0.25">
      <c r="E2576" s="189"/>
    </row>
    <row r="2577" spans="5:5" x14ac:dyDescent="0.25">
      <c r="E2577" s="189"/>
    </row>
    <row r="2578" spans="5:5" x14ac:dyDescent="0.25">
      <c r="E2578" s="189"/>
    </row>
    <row r="2579" spans="5:5" x14ac:dyDescent="0.25">
      <c r="E2579" s="189"/>
    </row>
    <row r="2580" spans="5:5" x14ac:dyDescent="0.25">
      <c r="E2580" s="189"/>
    </row>
    <row r="2581" spans="5:5" x14ac:dyDescent="0.25">
      <c r="E2581" s="189"/>
    </row>
    <row r="2582" spans="5:5" x14ac:dyDescent="0.25">
      <c r="E2582" s="189"/>
    </row>
    <row r="2583" spans="5:5" x14ac:dyDescent="0.25">
      <c r="E2583" s="189"/>
    </row>
    <row r="2584" spans="5:5" x14ac:dyDescent="0.25">
      <c r="E2584" s="189"/>
    </row>
    <row r="2585" spans="5:5" x14ac:dyDescent="0.25">
      <c r="E2585" s="189"/>
    </row>
    <row r="2586" spans="5:5" x14ac:dyDescent="0.25">
      <c r="E2586" s="189"/>
    </row>
    <row r="2587" spans="5:5" x14ac:dyDescent="0.25">
      <c r="E2587" s="189"/>
    </row>
    <row r="2588" spans="5:5" x14ac:dyDescent="0.25">
      <c r="E2588" s="189"/>
    </row>
    <row r="2589" spans="5:5" x14ac:dyDescent="0.25">
      <c r="E2589" s="189"/>
    </row>
    <row r="2590" spans="5:5" x14ac:dyDescent="0.25">
      <c r="E2590" s="189"/>
    </row>
    <row r="2591" spans="5:5" x14ac:dyDescent="0.25">
      <c r="E2591" s="189"/>
    </row>
    <row r="2592" spans="5:5" x14ac:dyDescent="0.25">
      <c r="E2592" s="189"/>
    </row>
    <row r="2593" spans="5:5" x14ac:dyDescent="0.25">
      <c r="E2593" s="189"/>
    </row>
    <row r="2594" spans="5:5" x14ac:dyDescent="0.25">
      <c r="E2594" s="189"/>
    </row>
    <row r="2595" spans="5:5" x14ac:dyDescent="0.25">
      <c r="E2595" s="189"/>
    </row>
    <row r="2596" spans="5:5" x14ac:dyDescent="0.25">
      <c r="E2596" s="189"/>
    </row>
    <row r="2597" spans="5:5" x14ac:dyDescent="0.25">
      <c r="E2597" s="189"/>
    </row>
    <row r="2598" spans="5:5" x14ac:dyDescent="0.25">
      <c r="E2598" s="189"/>
    </row>
    <row r="2599" spans="5:5" x14ac:dyDescent="0.25">
      <c r="E2599" s="189"/>
    </row>
    <row r="2600" spans="5:5" x14ac:dyDescent="0.25">
      <c r="E2600" s="189"/>
    </row>
    <row r="2601" spans="5:5" x14ac:dyDescent="0.25">
      <c r="E2601" s="189"/>
    </row>
    <row r="2602" spans="5:5" x14ac:dyDescent="0.25">
      <c r="E2602" s="189"/>
    </row>
    <row r="2603" spans="5:5" x14ac:dyDescent="0.25">
      <c r="E2603" s="189"/>
    </row>
    <row r="2604" spans="5:5" x14ac:dyDescent="0.25">
      <c r="E2604" s="189"/>
    </row>
    <row r="2605" spans="5:5" x14ac:dyDescent="0.25">
      <c r="E2605" s="189"/>
    </row>
    <row r="2606" spans="5:5" x14ac:dyDescent="0.25">
      <c r="E2606" s="189"/>
    </row>
    <row r="2607" spans="5:5" x14ac:dyDescent="0.25">
      <c r="E2607" s="189"/>
    </row>
    <row r="2608" spans="5:5" x14ac:dyDescent="0.25">
      <c r="E2608" s="189"/>
    </row>
    <row r="2609" spans="5:5" x14ac:dyDescent="0.25">
      <c r="E2609" s="189"/>
    </row>
    <row r="2610" spans="5:5" x14ac:dyDescent="0.25">
      <c r="E2610" s="189"/>
    </row>
    <row r="2611" spans="5:5" x14ac:dyDescent="0.25">
      <c r="E2611" s="189"/>
    </row>
    <row r="2612" spans="5:5" x14ac:dyDescent="0.25">
      <c r="E2612" s="189"/>
    </row>
    <row r="2613" spans="5:5" x14ac:dyDescent="0.25">
      <c r="E2613" s="189"/>
    </row>
    <row r="2614" spans="5:5" x14ac:dyDescent="0.25">
      <c r="E2614" s="189"/>
    </row>
    <row r="2615" spans="5:5" x14ac:dyDescent="0.25">
      <c r="E2615" s="189"/>
    </row>
    <row r="2616" spans="5:5" x14ac:dyDescent="0.25">
      <c r="E2616" s="189"/>
    </row>
    <row r="2617" spans="5:5" x14ac:dyDescent="0.25">
      <c r="E2617" s="189"/>
    </row>
    <row r="2618" spans="5:5" x14ac:dyDescent="0.25">
      <c r="E2618" s="189"/>
    </row>
    <row r="2619" spans="5:5" x14ac:dyDescent="0.25">
      <c r="E2619" s="189"/>
    </row>
    <row r="2620" spans="5:5" x14ac:dyDescent="0.25">
      <c r="E2620" s="189"/>
    </row>
    <row r="2621" spans="5:5" x14ac:dyDescent="0.25">
      <c r="E2621" s="189"/>
    </row>
    <row r="2622" spans="5:5" x14ac:dyDescent="0.25">
      <c r="E2622" s="189"/>
    </row>
    <row r="2623" spans="5:5" x14ac:dyDescent="0.25">
      <c r="E2623" s="189"/>
    </row>
    <row r="2624" spans="5:5" x14ac:dyDescent="0.25">
      <c r="E2624" s="189"/>
    </row>
    <row r="2625" spans="5:5" x14ac:dyDescent="0.25">
      <c r="E2625" s="189"/>
    </row>
    <row r="2626" spans="5:5" x14ac:dyDescent="0.25">
      <c r="E2626" s="189"/>
    </row>
    <row r="2627" spans="5:5" x14ac:dyDescent="0.25">
      <c r="E2627" s="189"/>
    </row>
    <row r="2628" spans="5:5" x14ac:dyDescent="0.25">
      <c r="E2628" s="189"/>
    </row>
    <row r="2629" spans="5:5" x14ac:dyDescent="0.25">
      <c r="E2629" s="189"/>
    </row>
    <row r="2630" spans="5:5" x14ac:dyDescent="0.25">
      <c r="E2630" s="189"/>
    </row>
    <row r="2631" spans="5:5" x14ac:dyDescent="0.25">
      <c r="E2631" s="189"/>
    </row>
    <row r="2632" spans="5:5" x14ac:dyDescent="0.25">
      <c r="E2632" s="189"/>
    </row>
    <row r="2633" spans="5:5" x14ac:dyDescent="0.25">
      <c r="E2633" s="189"/>
    </row>
    <row r="2634" spans="5:5" x14ac:dyDescent="0.25">
      <c r="E2634" s="189"/>
    </row>
    <row r="2635" spans="5:5" x14ac:dyDescent="0.25">
      <c r="E2635" s="189"/>
    </row>
    <row r="2636" spans="5:5" x14ac:dyDescent="0.25">
      <c r="E2636" s="189"/>
    </row>
    <row r="2637" spans="5:5" x14ac:dyDescent="0.25">
      <c r="E2637" s="189"/>
    </row>
    <row r="2638" spans="5:5" x14ac:dyDescent="0.25">
      <c r="E2638" s="189"/>
    </row>
    <row r="2639" spans="5:5" x14ac:dyDescent="0.25">
      <c r="E2639" s="189"/>
    </row>
    <row r="2640" spans="5:5" x14ac:dyDescent="0.25">
      <c r="E2640" s="189"/>
    </row>
    <row r="2641" spans="5:5" x14ac:dyDescent="0.25">
      <c r="E2641" s="189"/>
    </row>
    <row r="2642" spans="5:5" x14ac:dyDescent="0.25">
      <c r="E2642" s="189"/>
    </row>
    <row r="2643" spans="5:5" x14ac:dyDescent="0.25">
      <c r="E2643" s="189"/>
    </row>
    <row r="2644" spans="5:5" x14ac:dyDescent="0.25">
      <c r="E2644" s="189"/>
    </row>
    <row r="2645" spans="5:5" x14ac:dyDescent="0.25">
      <c r="E2645" s="189"/>
    </row>
    <row r="2646" spans="5:5" x14ac:dyDescent="0.25">
      <c r="E2646" s="189"/>
    </row>
    <row r="2647" spans="5:5" x14ac:dyDescent="0.25">
      <c r="E2647" s="189"/>
    </row>
    <row r="2648" spans="5:5" x14ac:dyDescent="0.25">
      <c r="E2648" s="189"/>
    </row>
    <row r="2649" spans="5:5" x14ac:dyDescent="0.25">
      <c r="E2649" s="189"/>
    </row>
    <row r="2650" spans="5:5" x14ac:dyDescent="0.25">
      <c r="E2650" s="189"/>
    </row>
    <row r="2651" spans="5:5" x14ac:dyDescent="0.25">
      <c r="E2651" s="189"/>
    </row>
    <row r="2652" spans="5:5" x14ac:dyDescent="0.25">
      <c r="E2652" s="189"/>
    </row>
    <row r="2653" spans="5:5" x14ac:dyDescent="0.25">
      <c r="E2653" s="189"/>
    </row>
    <row r="2654" spans="5:5" x14ac:dyDescent="0.25">
      <c r="E2654" s="189"/>
    </row>
    <row r="2655" spans="5:5" x14ac:dyDescent="0.25">
      <c r="E2655" s="189"/>
    </row>
    <row r="2656" spans="5:5" x14ac:dyDescent="0.25">
      <c r="E2656" s="189"/>
    </row>
    <row r="2657" spans="5:5" x14ac:dyDescent="0.25">
      <c r="E2657" s="189"/>
    </row>
    <row r="2658" spans="5:5" x14ac:dyDescent="0.25">
      <c r="E2658" s="189"/>
    </row>
    <row r="2659" spans="5:5" x14ac:dyDescent="0.25">
      <c r="E2659" s="189"/>
    </row>
    <row r="2660" spans="5:5" x14ac:dyDescent="0.25">
      <c r="E2660" s="189"/>
    </row>
    <row r="2661" spans="5:5" x14ac:dyDescent="0.25">
      <c r="E2661" s="189"/>
    </row>
    <row r="2662" spans="5:5" x14ac:dyDescent="0.25">
      <c r="E2662" s="189"/>
    </row>
    <row r="2663" spans="5:5" x14ac:dyDescent="0.25">
      <c r="E2663" s="189"/>
    </row>
    <row r="2664" spans="5:5" x14ac:dyDescent="0.25">
      <c r="E2664" s="189"/>
    </row>
    <row r="2665" spans="5:5" x14ac:dyDescent="0.25">
      <c r="E2665" s="189"/>
    </row>
    <row r="2666" spans="5:5" x14ac:dyDescent="0.25">
      <c r="E2666" s="189"/>
    </row>
    <row r="2667" spans="5:5" x14ac:dyDescent="0.25">
      <c r="E2667" s="189"/>
    </row>
    <row r="2668" spans="5:5" x14ac:dyDescent="0.25">
      <c r="E2668" s="189"/>
    </row>
    <row r="2669" spans="5:5" x14ac:dyDescent="0.25">
      <c r="E2669" s="189"/>
    </row>
    <row r="2670" spans="5:5" x14ac:dyDescent="0.25">
      <c r="E2670" s="189"/>
    </row>
    <row r="2671" spans="5:5" x14ac:dyDescent="0.25">
      <c r="E2671" s="189"/>
    </row>
    <row r="2672" spans="5:5" x14ac:dyDescent="0.25">
      <c r="E2672" s="189"/>
    </row>
    <row r="2673" spans="5:5" x14ac:dyDescent="0.25">
      <c r="E2673" s="189"/>
    </row>
    <row r="2674" spans="5:5" x14ac:dyDescent="0.25">
      <c r="E2674" s="189"/>
    </row>
    <row r="2675" spans="5:5" x14ac:dyDescent="0.25">
      <c r="E2675" s="189"/>
    </row>
    <row r="2676" spans="5:5" x14ac:dyDescent="0.25">
      <c r="E2676" s="189"/>
    </row>
    <row r="2677" spans="5:5" x14ac:dyDescent="0.25">
      <c r="E2677" s="189"/>
    </row>
    <row r="2678" spans="5:5" x14ac:dyDescent="0.25">
      <c r="E2678" s="189"/>
    </row>
    <row r="2679" spans="5:5" x14ac:dyDescent="0.25">
      <c r="E2679" s="189"/>
    </row>
    <row r="2680" spans="5:5" x14ac:dyDescent="0.25">
      <c r="E2680" s="189"/>
    </row>
    <row r="2681" spans="5:5" x14ac:dyDescent="0.25">
      <c r="E2681" s="189"/>
    </row>
    <row r="2682" spans="5:5" x14ac:dyDescent="0.25">
      <c r="E2682" s="189"/>
    </row>
    <row r="2683" spans="5:5" x14ac:dyDescent="0.25">
      <c r="E2683" s="189"/>
    </row>
    <row r="2684" spans="5:5" x14ac:dyDescent="0.25">
      <c r="E2684" s="189"/>
    </row>
    <row r="2685" spans="5:5" x14ac:dyDescent="0.25">
      <c r="E2685" s="189"/>
    </row>
    <row r="2686" spans="5:5" x14ac:dyDescent="0.25">
      <c r="E2686" s="189"/>
    </row>
    <row r="2687" spans="5:5" x14ac:dyDescent="0.25">
      <c r="E2687" s="189"/>
    </row>
    <row r="2688" spans="5:5" x14ac:dyDescent="0.25">
      <c r="E2688" s="189"/>
    </row>
    <row r="2689" spans="5:5" x14ac:dyDescent="0.25">
      <c r="E2689" s="189"/>
    </row>
    <row r="2690" spans="5:5" x14ac:dyDescent="0.25">
      <c r="E2690" s="189"/>
    </row>
    <row r="2691" spans="5:5" x14ac:dyDescent="0.25">
      <c r="E2691" s="189"/>
    </row>
    <row r="2692" spans="5:5" x14ac:dyDescent="0.25">
      <c r="E2692" s="189"/>
    </row>
    <row r="2693" spans="5:5" x14ac:dyDescent="0.25">
      <c r="E2693" s="189"/>
    </row>
    <row r="2694" spans="5:5" x14ac:dyDescent="0.25">
      <c r="E2694" s="189"/>
    </row>
    <row r="2695" spans="5:5" x14ac:dyDescent="0.25">
      <c r="E2695" s="189"/>
    </row>
    <row r="2696" spans="5:5" x14ac:dyDescent="0.25">
      <c r="E2696" s="189"/>
    </row>
    <row r="2697" spans="5:5" x14ac:dyDescent="0.25">
      <c r="E2697" s="189"/>
    </row>
    <row r="2698" spans="5:5" x14ac:dyDescent="0.25">
      <c r="E2698" s="189"/>
    </row>
    <row r="2699" spans="5:5" x14ac:dyDescent="0.25">
      <c r="E2699" s="189"/>
    </row>
    <row r="2700" spans="5:5" x14ac:dyDescent="0.25">
      <c r="E2700" s="189"/>
    </row>
    <row r="2701" spans="5:5" x14ac:dyDescent="0.25">
      <c r="E2701" s="189"/>
    </row>
    <row r="2702" spans="5:5" x14ac:dyDescent="0.25">
      <c r="E2702" s="189"/>
    </row>
    <row r="2703" spans="5:5" x14ac:dyDescent="0.25">
      <c r="E2703" s="189"/>
    </row>
    <row r="2704" spans="5:5" x14ac:dyDescent="0.25">
      <c r="E2704" s="189"/>
    </row>
    <row r="2705" spans="5:5" x14ac:dyDescent="0.25">
      <c r="E2705" s="189"/>
    </row>
    <row r="2706" spans="5:5" x14ac:dyDescent="0.25">
      <c r="E2706" s="189"/>
    </row>
    <row r="2707" spans="5:5" x14ac:dyDescent="0.25">
      <c r="E2707" s="189"/>
    </row>
    <row r="2708" spans="5:5" x14ac:dyDescent="0.25">
      <c r="E2708" s="189"/>
    </row>
    <row r="2709" spans="5:5" x14ac:dyDescent="0.25">
      <c r="E2709" s="189"/>
    </row>
    <row r="2710" spans="5:5" x14ac:dyDescent="0.25">
      <c r="E2710" s="189"/>
    </row>
    <row r="2711" spans="5:5" x14ac:dyDescent="0.25">
      <c r="E2711" s="189"/>
    </row>
    <row r="2712" spans="5:5" x14ac:dyDescent="0.25">
      <c r="E2712" s="189"/>
    </row>
    <row r="2713" spans="5:5" x14ac:dyDescent="0.25">
      <c r="E2713" s="189"/>
    </row>
    <row r="2714" spans="5:5" x14ac:dyDescent="0.25">
      <c r="E2714" s="189"/>
    </row>
    <row r="2715" spans="5:5" x14ac:dyDescent="0.25">
      <c r="E2715" s="189"/>
    </row>
    <row r="2716" spans="5:5" x14ac:dyDescent="0.25">
      <c r="E2716" s="189"/>
    </row>
    <row r="2717" spans="5:5" x14ac:dyDescent="0.25">
      <c r="E2717" s="189"/>
    </row>
    <row r="2718" spans="5:5" x14ac:dyDescent="0.25">
      <c r="E2718" s="189"/>
    </row>
    <row r="2719" spans="5:5" x14ac:dyDescent="0.25">
      <c r="E2719" s="189"/>
    </row>
    <row r="2720" spans="5:5" x14ac:dyDescent="0.25">
      <c r="E2720" s="189"/>
    </row>
    <row r="2721" spans="5:5" x14ac:dyDescent="0.25">
      <c r="E2721" s="189"/>
    </row>
    <row r="2722" spans="5:5" x14ac:dyDescent="0.25">
      <c r="E2722" s="189"/>
    </row>
    <row r="2723" spans="5:5" x14ac:dyDescent="0.25">
      <c r="E2723" s="189"/>
    </row>
    <row r="2724" spans="5:5" x14ac:dyDescent="0.25">
      <c r="E2724" s="189"/>
    </row>
    <row r="2725" spans="5:5" x14ac:dyDescent="0.25">
      <c r="E2725" s="189"/>
    </row>
    <row r="2726" spans="5:5" x14ac:dyDescent="0.25">
      <c r="E2726" s="189"/>
    </row>
    <row r="2727" spans="5:5" x14ac:dyDescent="0.25">
      <c r="E2727" s="189"/>
    </row>
    <row r="2728" spans="5:5" x14ac:dyDescent="0.25">
      <c r="E2728" s="189"/>
    </row>
    <row r="2729" spans="5:5" x14ac:dyDescent="0.25">
      <c r="E2729" s="189"/>
    </row>
    <row r="2730" spans="5:5" x14ac:dyDescent="0.25">
      <c r="E2730" s="189"/>
    </row>
    <row r="2731" spans="5:5" x14ac:dyDescent="0.25">
      <c r="E2731" s="189"/>
    </row>
    <row r="2732" spans="5:5" x14ac:dyDescent="0.25">
      <c r="E2732" s="189"/>
    </row>
    <row r="2733" spans="5:5" x14ac:dyDescent="0.25">
      <c r="E2733" s="189"/>
    </row>
    <row r="2734" spans="5:5" x14ac:dyDescent="0.25">
      <c r="E2734" s="189"/>
    </row>
    <row r="2735" spans="5:5" x14ac:dyDescent="0.25">
      <c r="E2735" s="189"/>
    </row>
    <row r="2736" spans="5:5" x14ac:dyDescent="0.25">
      <c r="E2736" s="189"/>
    </row>
    <row r="2737" spans="5:5" x14ac:dyDescent="0.25">
      <c r="E2737" s="189"/>
    </row>
    <row r="2738" spans="5:5" x14ac:dyDescent="0.25">
      <c r="E2738" s="189"/>
    </row>
    <row r="2739" spans="5:5" x14ac:dyDescent="0.25">
      <c r="E2739" s="189"/>
    </row>
    <row r="2740" spans="5:5" x14ac:dyDescent="0.25">
      <c r="E2740" s="189"/>
    </row>
    <row r="2741" spans="5:5" x14ac:dyDescent="0.25">
      <c r="E2741" s="189"/>
    </row>
    <row r="2742" spans="5:5" x14ac:dyDescent="0.25">
      <c r="E2742" s="189"/>
    </row>
    <row r="2743" spans="5:5" x14ac:dyDescent="0.25">
      <c r="E2743" s="189"/>
    </row>
    <row r="2744" spans="5:5" x14ac:dyDescent="0.25">
      <c r="E2744" s="189"/>
    </row>
    <row r="2745" spans="5:5" x14ac:dyDescent="0.25">
      <c r="E2745" s="189"/>
    </row>
    <row r="2746" spans="5:5" x14ac:dyDescent="0.25">
      <c r="E2746" s="189"/>
    </row>
    <row r="2747" spans="5:5" x14ac:dyDescent="0.25">
      <c r="E2747" s="189"/>
    </row>
    <row r="2748" spans="5:5" x14ac:dyDescent="0.25">
      <c r="E2748" s="189"/>
    </row>
    <row r="2749" spans="5:5" x14ac:dyDescent="0.25">
      <c r="E2749" s="189"/>
    </row>
    <row r="2750" spans="5:5" x14ac:dyDescent="0.25">
      <c r="E2750" s="189"/>
    </row>
    <row r="2751" spans="5:5" x14ac:dyDescent="0.25">
      <c r="E2751" s="189"/>
    </row>
    <row r="2752" spans="5:5" x14ac:dyDescent="0.25">
      <c r="E2752" s="189"/>
    </row>
    <row r="2753" spans="5:5" x14ac:dyDescent="0.25">
      <c r="E2753" s="189"/>
    </row>
    <row r="2754" spans="5:5" x14ac:dyDescent="0.25">
      <c r="E2754" s="189"/>
    </row>
    <row r="2755" spans="5:5" x14ac:dyDescent="0.25">
      <c r="E2755" s="189"/>
    </row>
    <row r="2756" spans="5:5" x14ac:dyDescent="0.25">
      <c r="E2756" s="189"/>
    </row>
    <row r="2757" spans="5:5" x14ac:dyDescent="0.25">
      <c r="E2757" s="189"/>
    </row>
    <row r="2758" spans="5:5" x14ac:dyDescent="0.25">
      <c r="E2758" s="189"/>
    </row>
    <row r="2759" spans="5:5" x14ac:dyDescent="0.25">
      <c r="E2759" s="189"/>
    </row>
    <row r="2760" spans="5:5" x14ac:dyDescent="0.25">
      <c r="E2760" s="189"/>
    </row>
    <row r="2761" spans="5:5" x14ac:dyDescent="0.25">
      <c r="E2761" s="189"/>
    </row>
    <row r="2762" spans="5:5" x14ac:dyDescent="0.25">
      <c r="E2762" s="189"/>
    </row>
    <row r="2763" spans="5:5" x14ac:dyDescent="0.25">
      <c r="E2763" s="189"/>
    </row>
    <row r="2764" spans="5:5" x14ac:dyDescent="0.25">
      <c r="E2764" s="189"/>
    </row>
    <row r="2765" spans="5:5" x14ac:dyDescent="0.25">
      <c r="E2765" s="189"/>
    </row>
    <row r="2766" spans="5:5" x14ac:dyDescent="0.25">
      <c r="E2766" s="189"/>
    </row>
    <row r="2767" spans="5:5" x14ac:dyDescent="0.25">
      <c r="E2767" s="189"/>
    </row>
    <row r="2768" spans="5:5" x14ac:dyDescent="0.25">
      <c r="E2768" s="189"/>
    </row>
    <row r="2769" spans="5:5" x14ac:dyDescent="0.25">
      <c r="E2769" s="189"/>
    </row>
    <row r="2770" spans="5:5" x14ac:dyDescent="0.25">
      <c r="E2770" s="189"/>
    </row>
    <row r="2771" spans="5:5" x14ac:dyDescent="0.25">
      <c r="E2771" s="189"/>
    </row>
    <row r="2772" spans="5:5" x14ac:dyDescent="0.25">
      <c r="E2772" s="189"/>
    </row>
    <row r="2773" spans="5:5" x14ac:dyDescent="0.25">
      <c r="E2773" s="189"/>
    </row>
    <row r="2774" spans="5:5" x14ac:dyDescent="0.25">
      <c r="E2774" s="189"/>
    </row>
    <row r="2775" spans="5:5" x14ac:dyDescent="0.25">
      <c r="E2775" s="189"/>
    </row>
    <row r="2776" spans="5:5" x14ac:dyDescent="0.25">
      <c r="E2776" s="189"/>
    </row>
    <row r="2777" spans="5:5" x14ac:dyDescent="0.25">
      <c r="E2777" s="189"/>
    </row>
    <row r="2778" spans="5:5" x14ac:dyDescent="0.25">
      <c r="E2778" s="189"/>
    </row>
    <row r="2779" spans="5:5" x14ac:dyDescent="0.25">
      <c r="E2779" s="189"/>
    </row>
    <row r="2780" spans="5:5" x14ac:dyDescent="0.25">
      <c r="E2780" s="189"/>
    </row>
    <row r="2781" spans="5:5" x14ac:dyDescent="0.25">
      <c r="E2781" s="189"/>
    </row>
    <row r="2782" spans="5:5" x14ac:dyDescent="0.25">
      <c r="E2782" s="189"/>
    </row>
    <row r="2783" spans="5:5" x14ac:dyDescent="0.25">
      <c r="E2783" s="189"/>
    </row>
    <row r="2784" spans="5:5" x14ac:dyDescent="0.25">
      <c r="E2784" s="189"/>
    </row>
    <row r="2785" spans="5:5" x14ac:dyDescent="0.25">
      <c r="E2785" s="189"/>
    </row>
    <row r="2786" spans="5:5" x14ac:dyDescent="0.25">
      <c r="E2786" s="189"/>
    </row>
    <row r="2787" spans="5:5" x14ac:dyDescent="0.25">
      <c r="E2787" s="189"/>
    </row>
    <row r="2788" spans="5:5" x14ac:dyDescent="0.25">
      <c r="E2788" s="189"/>
    </row>
    <row r="2789" spans="5:5" x14ac:dyDescent="0.25">
      <c r="E2789" s="189"/>
    </row>
    <row r="2790" spans="5:5" x14ac:dyDescent="0.25">
      <c r="E2790" s="189"/>
    </row>
    <row r="2791" spans="5:5" x14ac:dyDescent="0.25">
      <c r="E2791" s="189"/>
    </row>
    <row r="2792" spans="5:5" x14ac:dyDescent="0.25">
      <c r="E2792" s="189"/>
    </row>
    <row r="2793" spans="5:5" x14ac:dyDescent="0.25">
      <c r="E2793" s="189"/>
    </row>
    <row r="2794" spans="5:5" x14ac:dyDescent="0.25">
      <c r="E2794" s="189"/>
    </row>
    <row r="2795" spans="5:5" x14ac:dyDescent="0.25">
      <c r="E2795" s="189"/>
    </row>
    <row r="2796" spans="5:5" x14ac:dyDescent="0.25">
      <c r="E2796" s="189"/>
    </row>
    <row r="2797" spans="5:5" x14ac:dyDescent="0.25">
      <c r="E2797" s="189"/>
    </row>
    <row r="2798" spans="5:5" x14ac:dyDescent="0.25">
      <c r="E2798" s="189"/>
    </row>
    <row r="2799" spans="5:5" x14ac:dyDescent="0.25">
      <c r="E2799" s="189"/>
    </row>
    <row r="2800" spans="5:5" x14ac:dyDescent="0.25">
      <c r="E2800" s="189"/>
    </row>
    <row r="2801" spans="5:5" x14ac:dyDescent="0.25">
      <c r="E2801" s="189"/>
    </row>
    <row r="2802" spans="5:5" x14ac:dyDescent="0.25">
      <c r="E2802" s="189"/>
    </row>
    <row r="2803" spans="5:5" x14ac:dyDescent="0.25">
      <c r="E2803" s="189"/>
    </row>
    <row r="2804" spans="5:5" x14ac:dyDescent="0.25">
      <c r="E2804" s="189"/>
    </row>
    <row r="2805" spans="5:5" x14ac:dyDescent="0.25">
      <c r="E2805" s="189"/>
    </row>
    <row r="2806" spans="5:5" x14ac:dyDescent="0.25">
      <c r="E2806" s="189"/>
    </row>
    <row r="2807" spans="5:5" x14ac:dyDescent="0.25">
      <c r="E2807" s="189"/>
    </row>
    <row r="2808" spans="5:5" x14ac:dyDescent="0.25">
      <c r="E2808" s="189"/>
    </row>
    <row r="2809" spans="5:5" x14ac:dyDescent="0.25">
      <c r="E2809" s="189"/>
    </row>
    <row r="2810" spans="5:5" x14ac:dyDescent="0.25">
      <c r="E2810" s="189"/>
    </row>
    <row r="2811" spans="5:5" x14ac:dyDescent="0.25">
      <c r="E2811" s="189"/>
    </row>
    <row r="2812" spans="5:5" x14ac:dyDescent="0.25">
      <c r="E2812" s="189"/>
    </row>
    <row r="2813" spans="5:5" x14ac:dyDescent="0.25">
      <c r="E2813" s="189"/>
    </row>
    <row r="2814" spans="5:5" x14ac:dyDescent="0.25">
      <c r="E2814" s="189"/>
    </row>
    <row r="2815" spans="5:5" x14ac:dyDescent="0.25">
      <c r="E2815" s="189"/>
    </row>
    <row r="2816" spans="5:5" x14ac:dyDescent="0.25">
      <c r="E2816" s="189"/>
    </row>
    <row r="2817" spans="5:5" x14ac:dyDescent="0.25">
      <c r="E2817" s="189"/>
    </row>
    <row r="2818" spans="5:5" x14ac:dyDescent="0.25">
      <c r="E2818" s="189"/>
    </row>
    <row r="2819" spans="5:5" x14ac:dyDescent="0.25">
      <c r="E2819" s="189"/>
    </row>
    <row r="2820" spans="5:5" x14ac:dyDescent="0.25">
      <c r="E2820" s="189"/>
    </row>
    <row r="2821" spans="5:5" x14ac:dyDescent="0.25">
      <c r="E2821" s="189"/>
    </row>
    <row r="2822" spans="5:5" x14ac:dyDescent="0.25">
      <c r="E2822" s="189"/>
    </row>
    <row r="2823" spans="5:5" x14ac:dyDescent="0.25">
      <c r="E2823" s="189"/>
    </row>
    <row r="2824" spans="5:5" x14ac:dyDescent="0.25">
      <c r="E2824" s="189"/>
    </row>
    <row r="2825" spans="5:5" x14ac:dyDescent="0.25">
      <c r="E2825" s="189"/>
    </row>
    <row r="2826" spans="5:5" x14ac:dyDescent="0.25">
      <c r="E2826" s="189"/>
    </row>
    <row r="2827" spans="5:5" x14ac:dyDescent="0.25">
      <c r="E2827" s="189"/>
    </row>
    <row r="2828" spans="5:5" x14ac:dyDescent="0.25">
      <c r="E2828" s="189"/>
    </row>
    <row r="2829" spans="5:5" x14ac:dyDescent="0.25">
      <c r="E2829" s="189"/>
    </row>
    <row r="2830" spans="5:5" x14ac:dyDescent="0.25">
      <c r="E2830" s="189"/>
    </row>
    <row r="2831" spans="5:5" x14ac:dyDescent="0.25">
      <c r="E2831" s="189"/>
    </row>
    <row r="2832" spans="5:5" x14ac:dyDescent="0.25">
      <c r="E2832" s="189"/>
    </row>
    <row r="2833" spans="5:5" x14ac:dyDescent="0.25">
      <c r="E2833" s="189"/>
    </row>
    <row r="2834" spans="5:5" x14ac:dyDescent="0.25">
      <c r="E2834" s="189"/>
    </row>
    <row r="2835" spans="5:5" x14ac:dyDescent="0.25">
      <c r="E2835" s="189"/>
    </row>
    <row r="2836" spans="5:5" x14ac:dyDescent="0.25">
      <c r="E2836" s="189"/>
    </row>
    <row r="2837" spans="5:5" x14ac:dyDescent="0.25">
      <c r="E2837" s="189"/>
    </row>
    <row r="2838" spans="5:5" x14ac:dyDescent="0.25">
      <c r="E2838" s="189"/>
    </row>
    <row r="2839" spans="5:5" x14ac:dyDescent="0.25">
      <c r="E2839" s="189"/>
    </row>
    <row r="2840" spans="5:5" x14ac:dyDescent="0.25">
      <c r="E2840" s="189"/>
    </row>
    <row r="2841" spans="5:5" x14ac:dyDescent="0.25">
      <c r="E2841" s="189"/>
    </row>
    <row r="2842" spans="5:5" x14ac:dyDescent="0.25">
      <c r="E2842" s="189"/>
    </row>
    <row r="2843" spans="5:5" x14ac:dyDescent="0.25">
      <c r="E2843" s="189"/>
    </row>
    <row r="2844" spans="5:5" x14ac:dyDescent="0.25">
      <c r="E2844" s="189"/>
    </row>
    <row r="2845" spans="5:5" x14ac:dyDescent="0.25">
      <c r="E2845" s="189"/>
    </row>
    <row r="2846" spans="5:5" x14ac:dyDescent="0.25">
      <c r="E2846" s="189"/>
    </row>
    <row r="2847" spans="5:5" x14ac:dyDescent="0.25">
      <c r="E2847" s="189"/>
    </row>
    <row r="2848" spans="5:5" x14ac:dyDescent="0.25">
      <c r="E2848" s="189"/>
    </row>
    <row r="2849" spans="5:5" x14ac:dyDescent="0.25">
      <c r="E2849" s="189"/>
    </row>
    <row r="2850" spans="5:5" x14ac:dyDescent="0.25">
      <c r="E2850" s="189"/>
    </row>
    <row r="2851" spans="5:5" x14ac:dyDescent="0.25">
      <c r="E2851" s="189"/>
    </row>
    <row r="2852" spans="5:5" x14ac:dyDescent="0.25">
      <c r="E2852" s="189"/>
    </row>
    <row r="2853" spans="5:5" x14ac:dyDescent="0.25">
      <c r="E2853" s="189"/>
    </row>
    <row r="2854" spans="5:5" x14ac:dyDescent="0.25">
      <c r="E2854" s="189"/>
    </row>
    <row r="2855" spans="5:5" x14ac:dyDescent="0.25">
      <c r="E2855" s="189"/>
    </row>
    <row r="2856" spans="5:5" x14ac:dyDescent="0.25">
      <c r="E2856" s="189"/>
    </row>
    <row r="2857" spans="5:5" x14ac:dyDescent="0.25">
      <c r="E2857" s="189"/>
    </row>
    <row r="2858" spans="5:5" x14ac:dyDescent="0.25">
      <c r="E2858" s="189"/>
    </row>
    <row r="2859" spans="5:5" x14ac:dyDescent="0.25">
      <c r="E2859" s="189"/>
    </row>
    <row r="2860" spans="5:5" x14ac:dyDescent="0.25">
      <c r="E2860" s="189"/>
    </row>
    <row r="2861" spans="5:5" x14ac:dyDescent="0.25">
      <c r="E2861" s="189"/>
    </row>
    <row r="2862" spans="5:5" x14ac:dyDescent="0.25">
      <c r="E2862" s="189"/>
    </row>
    <row r="2863" spans="5:5" x14ac:dyDescent="0.25">
      <c r="E2863" s="189"/>
    </row>
    <row r="2864" spans="5:5" x14ac:dyDescent="0.25">
      <c r="E2864" s="189"/>
    </row>
    <row r="2865" spans="5:5" x14ac:dyDescent="0.25">
      <c r="E2865" s="189"/>
    </row>
    <row r="2866" spans="5:5" x14ac:dyDescent="0.25">
      <c r="E2866" s="189"/>
    </row>
    <row r="2867" spans="5:5" x14ac:dyDescent="0.25">
      <c r="E2867" s="189"/>
    </row>
    <row r="2868" spans="5:5" x14ac:dyDescent="0.25">
      <c r="E2868" s="189"/>
    </row>
    <row r="2869" spans="5:5" x14ac:dyDescent="0.25">
      <c r="E2869" s="189"/>
    </row>
    <row r="2870" spans="5:5" x14ac:dyDescent="0.25">
      <c r="E2870" s="189"/>
    </row>
    <row r="2871" spans="5:5" x14ac:dyDescent="0.25">
      <c r="E2871" s="189"/>
    </row>
    <row r="2872" spans="5:5" x14ac:dyDescent="0.25">
      <c r="E2872" s="189"/>
    </row>
    <row r="2873" spans="5:5" x14ac:dyDescent="0.25">
      <c r="E2873" s="189"/>
    </row>
    <row r="2874" spans="5:5" x14ac:dyDescent="0.25">
      <c r="E2874" s="189"/>
    </row>
    <row r="2875" spans="5:5" x14ac:dyDescent="0.25">
      <c r="E2875" s="189"/>
    </row>
    <row r="2876" spans="5:5" x14ac:dyDescent="0.25">
      <c r="E2876" s="189"/>
    </row>
    <row r="2877" spans="5:5" x14ac:dyDescent="0.25">
      <c r="E2877" s="189"/>
    </row>
    <row r="2878" spans="5:5" x14ac:dyDescent="0.25">
      <c r="E2878" s="189"/>
    </row>
    <row r="2879" spans="5:5" x14ac:dyDescent="0.25">
      <c r="E2879" s="189"/>
    </row>
    <row r="2880" spans="5:5" x14ac:dyDescent="0.25">
      <c r="E2880" s="189"/>
    </row>
    <row r="2881" spans="5:5" x14ac:dyDescent="0.25">
      <c r="E2881" s="189"/>
    </row>
    <row r="2882" spans="5:5" x14ac:dyDescent="0.25">
      <c r="E2882" s="189"/>
    </row>
    <row r="2883" spans="5:5" x14ac:dyDescent="0.25">
      <c r="E2883" s="189"/>
    </row>
    <row r="2884" spans="5:5" x14ac:dyDescent="0.25">
      <c r="E2884" s="189"/>
    </row>
    <row r="2885" spans="5:5" x14ac:dyDescent="0.25">
      <c r="E2885" s="189"/>
    </row>
    <row r="2886" spans="5:5" x14ac:dyDescent="0.25">
      <c r="E2886" s="189"/>
    </row>
    <row r="2887" spans="5:5" x14ac:dyDescent="0.25">
      <c r="E2887" s="189"/>
    </row>
    <row r="2888" spans="5:5" x14ac:dyDescent="0.25">
      <c r="E2888" s="189"/>
    </row>
    <row r="2889" spans="5:5" x14ac:dyDescent="0.25">
      <c r="E2889" s="189"/>
    </row>
    <row r="2890" spans="5:5" x14ac:dyDescent="0.25">
      <c r="E2890" s="189"/>
    </row>
    <row r="2891" spans="5:5" x14ac:dyDescent="0.25">
      <c r="E2891" s="189"/>
    </row>
    <row r="2892" spans="5:5" x14ac:dyDescent="0.25">
      <c r="E2892" s="189"/>
    </row>
    <row r="2893" spans="5:5" x14ac:dyDescent="0.25">
      <c r="E2893" s="189"/>
    </row>
    <row r="2894" spans="5:5" x14ac:dyDescent="0.25">
      <c r="E2894" s="189"/>
    </row>
    <row r="2895" spans="5:5" x14ac:dyDescent="0.25">
      <c r="E2895" s="189"/>
    </row>
    <row r="2896" spans="5:5" x14ac:dyDescent="0.25">
      <c r="E2896" s="189"/>
    </row>
    <row r="2897" spans="5:5" x14ac:dyDescent="0.25">
      <c r="E2897" s="189"/>
    </row>
    <row r="2898" spans="5:5" x14ac:dyDescent="0.25">
      <c r="E2898" s="189"/>
    </row>
    <row r="2899" spans="5:5" x14ac:dyDescent="0.25">
      <c r="E2899" s="189"/>
    </row>
    <row r="2900" spans="5:5" x14ac:dyDescent="0.25">
      <c r="E2900" s="189"/>
    </row>
    <row r="2901" spans="5:5" x14ac:dyDescent="0.25">
      <c r="E2901" s="189"/>
    </row>
    <row r="2902" spans="5:5" x14ac:dyDescent="0.25">
      <c r="E2902" s="189"/>
    </row>
    <row r="2903" spans="5:5" x14ac:dyDescent="0.25">
      <c r="E2903" s="189"/>
    </row>
    <row r="2904" spans="5:5" x14ac:dyDescent="0.25">
      <c r="E2904" s="189"/>
    </row>
    <row r="2905" spans="5:5" x14ac:dyDescent="0.25">
      <c r="E2905" s="189"/>
    </row>
    <row r="2906" spans="5:5" x14ac:dyDescent="0.25">
      <c r="E2906" s="189"/>
    </row>
    <row r="2907" spans="5:5" x14ac:dyDescent="0.25">
      <c r="E2907" s="189"/>
    </row>
    <row r="2908" spans="5:5" x14ac:dyDescent="0.25">
      <c r="E2908" s="189"/>
    </row>
    <row r="2909" spans="5:5" x14ac:dyDescent="0.25">
      <c r="E2909" s="189"/>
    </row>
    <row r="2910" spans="5:5" x14ac:dyDescent="0.25">
      <c r="E2910" s="189"/>
    </row>
    <row r="2911" spans="5:5" x14ac:dyDescent="0.25">
      <c r="E2911" s="189"/>
    </row>
    <row r="2912" spans="5:5" x14ac:dyDescent="0.25">
      <c r="E2912" s="189"/>
    </row>
    <row r="2913" spans="5:5" x14ac:dyDescent="0.25">
      <c r="E2913" s="189"/>
    </row>
    <row r="2914" spans="5:5" x14ac:dyDescent="0.25">
      <c r="E2914" s="189"/>
    </row>
    <row r="2915" spans="5:5" x14ac:dyDescent="0.25">
      <c r="E2915" s="189"/>
    </row>
    <row r="2916" spans="5:5" x14ac:dyDescent="0.25">
      <c r="E2916" s="189"/>
    </row>
    <row r="2917" spans="5:5" x14ac:dyDescent="0.25">
      <c r="E2917" s="189"/>
    </row>
    <row r="2918" spans="5:5" x14ac:dyDescent="0.25">
      <c r="E2918" s="189"/>
    </row>
    <row r="2919" spans="5:5" x14ac:dyDescent="0.25">
      <c r="E2919" s="189"/>
    </row>
    <row r="2920" spans="5:5" x14ac:dyDescent="0.25">
      <c r="E2920" s="189"/>
    </row>
    <row r="2921" spans="5:5" x14ac:dyDescent="0.25">
      <c r="E2921" s="189"/>
    </row>
    <row r="2922" spans="5:5" x14ac:dyDescent="0.25">
      <c r="E2922" s="189"/>
    </row>
    <row r="2923" spans="5:5" x14ac:dyDescent="0.25">
      <c r="E2923" s="189"/>
    </row>
    <row r="2924" spans="5:5" x14ac:dyDescent="0.25">
      <c r="E2924" s="189"/>
    </row>
    <row r="2925" spans="5:5" x14ac:dyDescent="0.25">
      <c r="E2925" s="189"/>
    </row>
    <row r="2926" spans="5:5" x14ac:dyDescent="0.25">
      <c r="E2926" s="189"/>
    </row>
    <row r="2927" spans="5:5" x14ac:dyDescent="0.25">
      <c r="E2927" s="189"/>
    </row>
    <row r="2928" spans="5:5" x14ac:dyDescent="0.25">
      <c r="E2928" s="189"/>
    </row>
    <row r="2929" spans="5:5" x14ac:dyDescent="0.25">
      <c r="E2929" s="189"/>
    </row>
    <row r="2930" spans="5:5" x14ac:dyDescent="0.25">
      <c r="E2930" s="189"/>
    </row>
    <row r="2931" spans="5:5" x14ac:dyDescent="0.25">
      <c r="E2931" s="189"/>
    </row>
    <row r="2932" spans="5:5" x14ac:dyDescent="0.25">
      <c r="E2932" s="189"/>
    </row>
    <row r="2933" spans="5:5" x14ac:dyDescent="0.25">
      <c r="E2933" s="189"/>
    </row>
    <row r="2934" spans="5:5" x14ac:dyDescent="0.25">
      <c r="E2934" s="189"/>
    </row>
    <row r="2935" spans="5:5" x14ac:dyDescent="0.25">
      <c r="E2935" s="189"/>
    </row>
    <row r="2936" spans="5:5" x14ac:dyDescent="0.25">
      <c r="E2936" s="189"/>
    </row>
    <row r="2937" spans="5:5" x14ac:dyDescent="0.25">
      <c r="E2937" s="189"/>
    </row>
    <row r="2938" spans="5:5" x14ac:dyDescent="0.25">
      <c r="E2938" s="189"/>
    </row>
    <row r="2939" spans="5:5" x14ac:dyDescent="0.25">
      <c r="E2939" s="189"/>
    </row>
    <row r="2940" spans="5:5" x14ac:dyDescent="0.25">
      <c r="E2940" s="189"/>
    </row>
    <row r="2941" spans="5:5" x14ac:dyDescent="0.25">
      <c r="E2941" s="189"/>
    </row>
    <row r="2942" spans="5:5" x14ac:dyDescent="0.25">
      <c r="E2942" s="189"/>
    </row>
    <row r="2943" spans="5:5" x14ac:dyDescent="0.25">
      <c r="E2943" s="189"/>
    </row>
    <row r="2944" spans="5:5" x14ac:dyDescent="0.25">
      <c r="E2944" s="189"/>
    </row>
    <row r="2945" spans="5:5" x14ac:dyDescent="0.25">
      <c r="E2945" s="189"/>
    </row>
    <row r="2946" spans="5:5" x14ac:dyDescent="0.25">
      <c r="E2946" s="189"/>
    </row>
    <row r="2947" spans="5:5" x14ac:dyDescent="0.25">
      <c r="E2947" s="189"/>
    </row>
    <row r="2948" spans="5:5" x14ac:dyDescent="0.25">
      <c r="E2948" s="189"/>
    </row>
    <row r="2949" spans="5:5" x14ac:dyDescent="0.25">
      <c r="E2949" s="189"/>
    </row>
    <row r="2950" spans="5:5" x14ac:dyDescent="0.25">
      <c r="E2950" s="189"/>
    </row>
    <row r="2951" spans="5:5" x14ac:dyDescent="0.25">
      <c r="E2951" s="189"/>
    </row>
    <row r="2952" spans="5:5" x14ac:dyDescent="0.25">
      <c r="E2952" s="189"/>
    </row>
    <row r="2953" spans="5:5" x14ac:dyDescent="0.25">
      <c r="E2953" s="189"/>
    </row>
    <row r="2954" spans="5:5" x14ac:dyDescent="0.25">
      <c r="E2954" s="189"/>
    </row>
    <row r="2955" spans="5:5" x14ac:dyDescent="0.25">
      <c r="E2955" s="189"/>
    </row>
    <row r="2956" spans="5:5" x14ac:dyDescent="0.25">
      <c r="E2956" s="189"/>
    </row>
    <row r="2957" spans="5:5" x14ac:dyDescent="0.25">
      <c r="E2957" s="189"/>
    </row>
    <row r="2958" spans="5:5" x14ac:dyDescent="0.25">
      <c r="E2958" s="189"/>
    </row>
    <row r="2959" spans="5:5" x14ac:dyDescent="0.25">
      <c r="E2959" s="189"/>
    </row>
    <row r="2960" spans="5:5" x14ac:dyDescent="0.25">
      <c r="E2960" s="189"/>
    </row>
    <row r="2961" spans="5:5" x14ac:dyDescent="0.25">
      <c r="E2961" s="189"/>
    </row>
    <row r="2962" spans="5:5" x14ac:dyDescent="0.25">
      <c r="E2962" s="189"/>
    </row>
    <row r="2963" spans="5:5" x14ac:dyDescent="0.25">
      <c r="E2963" s="189"/>
    </row>
    <row r="2964" spans="5:5" x14ac:dyDescent="0.25">
      <c r="E2964" s="189"/>
    </row>
    <row r="2965" spans="5:5" x14ac:dyDescent="0.25">
      <c r="E2965" s="189"/>
    </row>
    <row r="2966" spans="5:5" x14ac:dyDescent="0.25">
      <c r="E2966" s="189"/>
    </row>
    <row r="2967" spans="5:5" x14ac:dyDescent="0.25">
      <c r="E2967" s="189"/>
    </row>
    <row r="2968" spans="5:5" x14ac:dyDescent="0.25">
      <c r="E2968" s="189"/>
    </row>
    <row r="2969" spans="5:5" x14ac:dyDescent="0.25">
      <c r="E2969" s="189"/>
    </row>
    <row r="2970" spans="5:5" x14ac:dyDescent="0.25">
      <c r="E2970" s="189"/>
    </row>
    <row r="2971" spans="5:5" x14ac:dyDescent="0.25">
      <c r="E2971" s="189"/>
    </row>
    <row r="2972" spans="5:5" x14ac:dyDescent="0.25">
      <c r="E2972" s="189"/>
    </row>
    <row r="2973" spans="5:5" x14ac:dyDescent="0.25">
      <c r="E2973" s="189"/>
    </row>
    <row r="2974" spans="5:5" x14ac:dyDescent="0.25">
      <c r="E2974" s="189"/>
    </row>
    <row r="2975" spans="5:5" x14ac:dyDescent="0.25">
      <c r="E2975" s="189"/>
    </row>
    <row r="2976" spans="5:5" x14ac:dyDescent="0.25">
      <c r="E2976" s="189"/>
    </row>
    <row r="2977" spans="5:5" x14ac:dyDescent="0.25">
      <c r="E2977" s="189"/>
    </row>
    <row r="2978" spans="5:5" x14ac:dyDescent="0.25">
      <c r="E2978" s="189"/>
    </row>
    <row r="2979" spans="5:5" x14ac:dyDescent="0.25">
      <c r="E2979" s="189"/>
    </row>
    <row r="2980" spans="5:5" x14ac:dyDescent="0.25">
      <c r="E2980" s="189"/>
    </row>
    <row r="2981" spans="5:5" x14ac:dyDescent="0.25">
      <c r="E2981" s="189"/>
    </row>
    <row r="2982" spans="5:5" x14ac:dyDescent="0.25">
      <c r="E2982" s="189"/>
    </row>
    <row r="2983" spans="5:5" x14ac:dyDescent="0.25">
      <c r="E2983" s="189"/>
    </row>
    <row r="2984" spans="5:5" x14ac:dyDescent="0.25">
      <c r="E2984" s="189"/>
    </row>
    <row r="2985" spans="5:5" x14ac:dyDescent="0.25">
      <c r="E2985" s="189"/>
    </row>
    <row r="2986" spans="5:5" x14ac:dyDescent="0.25">
      <c r="E2986" s="189"/>
    </row>
    <row r="2987" spans="5:5" x14ac:dyDescent="0.25">
      <c r="E2987" s="189"/>
    </row>
    <row r="2988" spans="5:5" x14ac:dyDescent="0.25">
      <c r="E2988" s="189"/>
    </row>
    <row r="2989" spans="5:5" x14ac:dyDescent="0.25">
      <c r="E2989" s="189"/>
    </row>
    <row r="2990" spans="5:5" x14ac:dyDescent="0.25">
      <c r="E2990" s="189"/>
    </row>
    <row r="2991" spans="5:5" x14ac:dyDescent="0.25">
      <c r="E2991" s="189"/>
    </row>
    <row r="2992" spans="5:5" x14ac:dyDescent="0.25">
      <c r="E2992" s="189"/>
    </row>
    <row r="2993" spans="5:5" x14ac:dyDescent="0.25">
      <c r="E2993" s="189"/>
    </row>
    <row r="2994" spans="5:5" x14ac:dyDescent="0.25">
      <c r="E2994" s="189"/>
    </row>
    <row r="2995" spans="5:5" x14ac:dyDescent="0.25">
      <c r="E2995" s="189"/>
    </row>
    <row r="2996" spans="5:5" x14ac:dyDescent="0.25">
      <c r="E2996" s="189"/>
    </row>
    <row r="2997" spans="5:5" x14ac:dyDescent="0.25">
      <c r="E2997" s="189"/>
    </row>
    <row r="2998" spans="5:5" x14ac:dyDescent="0.25">
      <c r="E2998" s="189"/>
    </row>
    <row r="2999" spans="5:5" x14ac:dyDescent="0.25">
      <c r="E2999" s="189"/>
    </row>
    <row r="3000" spans="5:5" x14ac:dyDescent="0.25">
      <c r="E3000" s="189"/>
    </row>
    <row r="3001" spans="5:5" x14ac:dyDescent="0.25">
      <c r="E3001" s="189"/>
    </row>
    <row r="3002" spans="5:5" x14ac:dyDescent="0.25">
      <c r="E3002" s="189"/>
    </row>
    <row r="3003" spans="5:5" x14ac:dyDescent="0.25">
      <c r="E3003" s="189"/>
    </row>
    <row r="3004" spans="5:5" x14ac:dyDescent="0.25">
      <c r="E3004" s="189"/>
    </row>
    <row r="3005" spans="5:5" x14ac:dyDescent="0.25">
      <c r="E3005" s="189"/>
    </row>
    <row r="3006" spans="5:5" x14ac:dyDescent="0.25">
      <c r="E3006" s="189"/>
    </row>
    <row r="3007" spans="5:5" x14ac:dyDescent="0.25">
      <c r="E3007" s="189"/>
    </row>
    <row r="3008" spans="5:5" x14ac:dyDescent="0.25">
      <c r="E3008" s="189"/>
    </row>
    <row r="3009" spans="5:5" x14ac:dyDescent="0.25">
      <c r="E3009" s="189"/>
    </row>
    <row r="3010" spans="5:5" x14ac:dyDescent="0.25">
      <c r="E3010" s="189"/>
    </row>
    <row r="3011" spans="5:5" x14ac:dyDescent="0.25">
      <c r="E3011" s="189"/>
    </row>
    <row r="3012" spans="5:5" x14ac:dyDescent="0.25">
      <c r="E3012" s="189"/>
    </row>
    <row r="3013" spans="5:5" x14ac:dyDescent="0.25">
      <c r="E3013" s="189"/>
    </row>
    <row r="3014" spans="5:5" x14ac:dyDescent="0.25">
      <c r="E3014" s="189"/>
    </row>
    <row r="3015" spans="5:5" x14ac:dyDescent="0.25">
      <c r="E3015" s="189"/>
    </row>
    <row r="3016" spans="5:5" x14ac:dyDescent="0.25">
      <c r="E3016" s="189"/>
    </row>
    <row r="3017" spans="5:5" x14ac:dyDescent="0.25">
      <c r="E3017" s="189"/>
    </row>
    <row r="3018" spans="5:5" x14ac:dyDescent="0.25">
      <c r="E3018" s="189"/>
    </row>
    <row r="3019" spans="5:5" x14ac:dyDescent="0.25">
      <c r="E3019" s="189"/>
    </row>
    <row r="3020" spans="5:5" x14ac:dyDescent="0.25">
      <c r="E3020" s="189"/>
    </row>
    <row r="3021" spans="5:5" x14ac:dyDescent="0.25">
      <c r="E3021" s="189"/>
    </row>
    <row r="3022" spans="5:5" x14ac:dyDescent="0.25">
      <c r="E3022" s="189"/>
    </row>
    <row r="3023" spans="5:5" x14ac:dyDescent="0.25">
      <c r="E3023" s="189"/>
    </row>
    <row r="3024" spans="5:5" x14ac:dyDescent="0.25">
      <c r="E3024" s="189"/>
    </row>
    <row r="3025" spans="5:5" x14ac:dyDescent="0.25">
      <c r="E3025" s="189"/>
    </row>
    <row r="3026" spans="5:5" x14ac:dyDescent="0.25">
      <c r="E3026" s="189"/>
    </row>
    <row r="3027" spans="5:5" x14ac:dyDescent="0.25">
      <c r="E3027" s="189"/>
    </row>
    <row r="3028" spans="5:5" x14ac:dyDescent="0.25">
      <c r="E3028" s="189"/>
    </row>
    <row r="3029" spans="5:5" x14ac:dyDescent="0.25">
      <c r="E3029" s="189"/>
    </row>
    <row r="3030" spans="5:5" x14ac:dyDescent="0.25">
      <c r="E3030" s="189"/>
    </row>
    <row r="3031" spans="5:5" x14ac:dyDescent="0.25">
      <c r="E3031" s="189"/>
    </row>
    <row r="3032" spans="5:5" x14ac:dyDescent="0.25">
      <c r="E3032" s="189"/>
    </row>
    <row r="3033" spans="5:5" x14ac:dyDescent="0.25">
      <c r="E3033" s="189"/>
    </row>
    <row r="3034" spans="5:5" x14ac:dyDescent="0.25">
      <c r="E3034" s="189"/>
    </row>
    <row r="3035" spans="5:5" x14ac:dyDescent="0.25">
      <c r="E3035" s="189"/>
    </row>
    <row r="3036" spans="5:5" x14ac:dyDescent="0.25">
      <c r="E3036" s="189"/>
    </row>
    <row r="3037" spans="5:5" x14ac:dyDescent="0.25">
      <c r="E3037" s="189"/>
    </row>
    <row r="3038" spans="5:5" x14ac:dyDescent="0.25">
      <c r="E3038" s="189"/>
    </row>
    <row r="3039" spans="5:5" x14ac:dyDescent="0.25">
      <c r="E3039" s="189"/>
    </row>
    <row r="3040" spans="5:5" x14ac:dyDescent="0.25">
      <c r="E3040" s="189"/>
    </row>
    <row r="3041" spans="5:5" x14ac:dyDescent="0.25">
      <c r="E3041" s="189"/>
    </row>
    <row r="3042" spans="5:5" x14ac:dyDescent="0.25">
      <c r="E3042" s="189"/>
    </row>
    <row r="3043" spans="5:5" x14ac:dyDescent="0.25">
      <c r="E3043" s="189"/>
    </row>
    <row r="3044" spans="5:5" x14ac:dyDescent="0.25">
      <c r="E3044" s="189"/>
    </row>
    <row r="3045" spans="5:5" x14ac:dyDescent="0.25">
      <c r="E3045" s="189"/>
    </row>
    <row r="3046" spans="5:5" x14ac:dyDescent="0.25">
      <c r="E3046" s="189"/>
    </row>
    <row r="3047" spans="5:5" x14ac:dyDescent="0.25">
      <c r="E3047" s="189"/>
    </row>
    <row r="3048" spans="5:5" x14ac:dyDescent="0.25">
      <c r="E3048" s="189"/>
    </row>
    <row r="3049" spans="5:5" x14ac:dyDescent="0.25">
      <c r="E3049" s="189"/>
    </row>
    <row r="3050" spans="5:5" x14ac:dyDescent="0.25">
      <c r="E3050" s="189"/>
    </row>
    <row r="3051" spans="5:5" x14ac:dyDescent="0.25">
      <c r="E3051" s="189"/>
    </row>
    <row r="3052" spans="5:5" x14ac:dyDescent="0.25">
      <c r="E3052" s="189"/>
    </row>
    <row r="3053" spans="5:5" x14ac:dyDescent="0.25">
      <c r="E3053" s="189"/>
    </row>
    <row r="3054" spans="5:5" x14ac:dyDescent="0.25">
      <c r="E3054" s="189"/>
    </row>
    <row r="3055" spans="5:5" x14ac:dyDescent="0.25">
      <c r="E3055" s="189"/>
    </row>
    <row r="3056" spans="5:5" x14ac:dyDescent="0.25">
      <c r="E3056" s="189"/>
    </row>
    <row r="3057" spans="5:5" x14ac:dyDescent="0.25">
      <c r="E3057" s="189"/>
    </row>
    <row r="3058" spans="5:5" x14ac:dyDescent="0.25">
      <c r="E3058" s="189"/>
    </row>
    <row r="3059" spans="5:5" x14ac:dyDescent="0.25">
      <c r="E3059" s="189"/>
    </row>
    <row r="3060" spans="5:5" x14ac:dyDescent="0.25">
      <c r="E3060" s="189"/>
    </row>
    <row r="3061" spans="5:5" x14ac:dyDescent="0.25">
      <c r="E3061" s="189"/>
    </row>
    <row r="3062" spans="5:5" x14ac:dyDescent="0.25">
      <c r="E3062" s="189"/>
    </row>
    <row r="3063" spans="5:5" x14ac:dyDescent="0.25">
      <c r="E3063" s="189"/>
    </row>
    <row r="3064" spans="5:5" x14ac:dyDescent="0.25">
      <c r="E3064" s="189"/>
    </row>
    <row r="3065" spans="5:5" x14ac:dyDescent="0.25">
      <c r="E3065" s="189"/>
    </row>
    <row r="3066" spans="5:5" x14ac:dyDescent="0.25">
      <c r="E3066" s="189"/>
    </row>
    <row r="3067" spans="5:5" x14ac:dyDescent="0.25">
      <c r="E3067" s="189"/>
    </row>
    <row r="3068" spans="5:5" x14ac:dyDescent="0.25">
      <c r="E3068" s="189"/>
    </row>
    <row r="3069" spans="5:5" x14ac:dyDescent="0.25">
      <c r="E3069" s="189"/>
    </row>
    <row r="3070" spans="5:5" x14ac:dyDescent="0.25">
      <c r="E3070" s="189"/>
    </row>
    <row r="3071" spans="5:5" x14ac:dyDescent="0.25">
      <c r="E3071" s="189"/>
    </row>
    <row r="3072" spans="5:5" x14ac:dyDescent="0.25">
      <c r="E3072" s="189"/>
    </row>
    <row r="3073" spans="5:5" x14ac:dyDescent="0.25">
      <c r="E3073" s="189"/>
    </row>
    <row r="3074" spans="5:5" x14ac:dyDescent="0.25">
      <c r="E3074" s="189"/>
    </row>
    <row r="3075" spans="5:5" x14ac:dyDescent="0.25">
      <c r="E3075" s="189"/>
    </row>
    <row r="3076" spans="5:5" x14ac:dyDescent="0.25">
      <c r="E3076" s="189"/>
    </row>
    <row r="3077" spans="5:5" x14ac:dyDescent="0.25">
      <c r="E3077" s="189"/>
    </row>
    <row r="3078" spans="5:5" x14ac:dyDescent="0.25">
      <c r="E3078" s="189"/>
    </row>
    <row r="3079" spans="5:5" x14ac:dyDescent="0.25">
      <c r="E3079" s="189"/>
    </row>
    <row r="3080" spans="5:5" x14ac:dyDescent="0.25">
      <c r="E3080" s="189"/>
    </row>
    <row r="3081" spans="5:5" x14ac:dyDescent="0.25">
      <c r="E3081" s="189"/>
    </row>
    <row r="3082" spans="5:5" x14ac:dyDescent="0.25">
      <c r="E3082" s="189"/>
    </row>
    <row r="3083" spans="5:5" x14ac:dyDescent="0.25">
      <c r="E3083" s="189"/>
    </row>
    <row r="3084" spans="5:5" x14ac:dyDescent="0.25">
      <c r="E3084" s="189"/>
    </row>
    <row r="3085" spans="5:5" x14ac:dyDescent="0.25">
      <c r="E3085" s="189"/>
    </row>
    <row r="3086" spans="5:5" x14ac:dyDescent="0.25">
      <c r="E3086" s="189"/>
    </row>
    <row r="3087" spans="5:5" x14ac:dyDescent="0.25">
      <c r="E3087" s="189"/>
    </row>
    <row r="3088" spans="5:5" x14ac:dyDescent="0.25">
      <c r="E3088" s="189"/>
    </row>
    <row r="3089" spans="5:5" x14ac:dyDescent="0.25">
      <c r="E3089" s="189"/>
    </row>
    <row r="3090" spans="5:5" x14ac:dyDescent="0.25">
      <c r="E3090" s="189"/>
    </row>
    <row r="3091" spans="5:5" x14ac:dyDescent="0.25">
      <c r="E3091" s="189"/>
    </row>
    <row r="3092" spans="5:5" x14ac:dyDescent="0.25">
      <c r="E3092" s="189"/>
    </row>
    <row r="3093" spans="5:5" x14ac:dyDescent="0.25">
      <c r="E3093" s="189"/>
    </row>
    <row r="3094" spans="5:5" x14ac:dyDescent="0.25">
      <c r="E3094" s="189"/>
    </row>
    <row r="3095" spans="5:5" x14ac:dyDescent="0.25">
      <c r="E3095" s="189"/>
    </row>
    <row r="3096" spans="5:5" x14ac:dyDescent="0.25">
      <c r="E3096" s="189"/>
    </row>
    <row r="3097" spans="5:5" x14ac:dyDescent="0.25">
      <c r="E3097" s="189"/>
    </row>
    <row r="3098" spans="5:5" x14ac:dyDescent="0.25">
      <c r="E3098" s="189"/>
    </row>
    <row r="3099" spans="5:5" x14ac:dyDescent="0.25">
      <c r="E3099" s="189"/>
    </row>
    <row r="3100" spans="5:5" x14ac:dyDescent="0.25">
      <c r="E3100" s="189"/>
    </row>
    <row r="3101" spans="5:5" x14ac:dyDescent="0.25">
      <c r="E3101" s="189"/>
    </row>
    <row r="3102" spans="5:5" x14ac:dyDescent="0.25">
      <c r="E3102" s="189"/>
    </row>
    <row r="3103" spans="5:5" x14ac:dyDescent="0.25">
      <c r="E3103" s="189"/>
    </row>
    <row r="3104" spans="5:5" x14ac:dyDescent="0.25">
      <c r="E3104" s="189"/>
    </row>
    <row r="3105" spans="5:5" x14ac:dyDescent="0.25">
      <c r="E3105" s="189"/>
    </row>
    <row r="3106" spans="5:5" x14ac:dyDescent="0.25">
      <c r="E3106" s="189"/>
    </row>
    <row r="3107" spans="5:5" x14ac:dyDescent="0.25">
      <c r="E3107" s="189"/>
    </row>
    <row r="3108" spans="5:5" x14ac:dyDescent="0.25">
      <c r="E3108" s="189"/>
    </row>
    <row r="3109" spans="5:5" x14ac:dyDescent="0.25">
      <c r="E3109" s="189"/>
    </row>
    <row r="3110" spans="5:5" x14ac:dyDescent="0.25">
      <c r="E3110" s="189"/>
    </row>
    <row r="3111" spans="5:5" x14ac:dyDescent="0.25">
      <c r="E3111" s="189"/>
    </row>
    <row r="3112" spans="5:5" x14ac:dyDescent="0.25">
      <c r="E3112" s="189"/>
    </row>
    <row r="3113" spans="5:5" x14ac:dyDescent="0.25">
      <c r="E3113" s="189"/>
    </row>
    <row r="3114" spans="5:5" x14ac:dyDescent="0.25">
      <c r="E3114" s="189"/>
    </row>
    <row r="3115" spans="5:5" x14ac:dyDescent="0.25">
      <c r="E3115" s="189"/>
    </row>
    <row r="3116" spans="5:5" x14ac:dyDescent="0.25">
      <c r="E3116" s="189"/>
    </row>
    <row r="3117" spans="5:5" x14ac:dyDescent="0.25">
      <c r="E3117" s="189"/>
    </row>
    <row r="3118" spans="5:5" x14ac:dyDescent="0.25">
      <c r="E3118" s="189"/>
    </row>
    <row r="3119" spans="5:5" x14ac:dyDescent="0.25">
      <c r="E3119" s="189"/>
    </row>
    <row r="3120" spans="5:5" x14ac:dyDescent="0.25">
      <c r="E3120" s="189"/>
    </row>
    <row r="3121" spans="5:5" x14ac:dyDescent="0.25">
      <c r="E3121" s="189"/>
    </row>
    <row r="3122" spans="5:5" x14ac:dyDescent="0.25">
      <c r="E3122" s="189"/>
    </row>
    <row r="3123" spans="5:5" x14ac:dyDescent="0.25">
      <c r="E3123" s="189"/>
    </row>
    <row r="3124" spans="5:5" x14ac:dyDescent="0.25">
      <c r="E3124" s="189"/>
    </row>
    <row r="3125" spans="5:5" x14ac:dyDescent="0.25">
      <c r="E3125" s="189"/>
    </row>
    <row r="3126" spans="5:5" x14ac:dyDescent="0.25">
      <c r="E3126" s="189"/>
    </row>
    <row r="3127" spans="5:5" x14ac:dyDescent="0.25">
      <c r="E3127" s="189"/>
    </row>
    <row r="3128" spans="5:5" x14ac:dyDescent="0.25">
      <c r="E3128" s="189"/>
    </row>
    <row r="3129" spans="5:5" x14ac:dyDescent="0.25">
      <c r="E3129" s="189"/>
    </row>
    <row r="3130" spans="5:5" x14ac:dyDescent="0.25">
      <c r="E3130" s="189"/>
    </row>
    <row r="3131" spans="5:5" x14ac:dyDescent="0.25">
      <c r="E3131" s="189"/>
    </row>
    <row r="3132" spans="5:5" x14ac:dyDescent="0.25">
      <c r="E3132" s="189"/>
    </row>
    <row r="3133" spans="5:5" x14ac:dyDescent="0.25">
      <c r="E3133" s="189"/>
    </row>
    <row r="3134" spans="5:5" x14ac:dyDescent="0.25">
      <c r="E3134" s="189"/>
    </row>
    <row r="3135" spans="5:5" x14ac:dyDescent="0.25">
      <c r="E3135" s="189"/>
    </row>
    <row r="3136" spans="5:5" x14ac:dyDescent="0.25">
      <c r="E3136" s="189"/>
    </row>
    <row r="3137" spans="5:5" x14ac:dyDescent="0.25">
      <c r="E3137" s="189"/>
    </row>
    <row r="3138" spans="5:5" x14ac:dyDescent="0.25">
      <c r="E3138" s="189"/>
    </row>
    <row r="3139" spans="5:5" x14ac:dyDescent="0.25">
      <c r="E3139" s="189"/>
    </row>
    <row r="3140" spans="5:5" x14ac:dyDescent="0.25">
      <c r="E3140" s="189"/>
    </row>
    <row r="3141" spans="5:5" x14ac:dyDescent="0.25">
      <c r="E3141" s="189"/>
    </row>
    <row r="3142" spans="5:5" x14ac:dyDescent="0.25">
      <c r="E3142" s="189"/>
    </row>
    <row r="3143" spans="5:5" x14ac:dyDescent="0.25">
      <c r="E3143" s="189"/>
    </row>
    <row r="3144" spans="5:5" x14ac:dyDescent="0.25">
      <c r="E3144" s="189"/>
    </row>
    <row r="3145" spans="5:5" x14ac:dyDescent="0.25">
      <c r="E3145" s="189"/>
    </row>
    <row r="3146" spans="5:5" x14ac:dyDescent="0.25">
      <c r="E3146" s="189"/>
    </row>
    <row r="3147" spans="5:5" x14ac:dyDescent="0.25">
      <c r="E3147" s="189"/>
    </row>
    <row r="3148" spans="5:5" x14ac:dyDescent="0.25">
      <c r="E3148" s="189"/>
    </row>
    <row r="3149" spans="5:5" x14ac:dyDescent="0.25">
      <c r="E3149" s="189"/>
    </row>
    <row r="3150" spans="5:5" x14ac:dyDescent="0.25">
      <c r="E3150" s="189"/>
    </row>
    <row r="3151" spans="5:5" x14ac:dyDescent="0.25">
      <c r="E3151" s="189"/>
    </row>
    <row r="3152" spans="5:5" x14ac:dyDescent="0.25">
      <c r="E3152" s="189"/>
    </row>
    <row r="3153" spans="5:5" x14ac:dyDescent="0.25">
      <c r="E3153" s="189"/>
    </row>
    <row r="3154" spans="5:5" x14ac:dyDescent="0.25">
      <c r="E3154" s="189"/>
    </row>
    <row r="3155" spans="5:5" x14ac:dyDescent="0.25">
      <c r="E3155" s="189"/>
    </row>
    <row r="3156" spans="5:5" x14ac:dyDescent="0.25">
      <c r="E3156" s="189"/>
    </row>
    <row r="3157" spans="5:5" x14ac:dyDescent="0.25">
      <c r="E3157" s="189"/>
    </row>
    <row r="3158" spans="5:5" x14ac:dyDescent="0.25">
      <c r="E3158" s="189"/>
    </row>
    <row r="3159" spans="5:5" x14ac:dyDescent="0.25">
      <c r="E3159" s="189"/>
    </row>
    <row r="3160" spans="5:5" x14ac:dyDescent="0.25">
      <c r="E3160" s="189"/>
    </row>
    <row r="3161" spans="5:5" x14ac:dyDescent="0.25">
      <c r="E3161" s="189"/>
    </row>
    <row r="3162" spans="5:5" x14ac:dyDescent="0.25">
      <c r="E3162" s="189"/>
    </row>
    <row r="3163" spans="5:5" x14ac:dyDescent="0.25">
      <c r="E3163" s="189"/>
    </row>
    <row r="3164" spans="5:5" x14ac:dyDescent="0.25">
      <c r="E3164" s="189"/>
    </row>
    <row r="3165" spans="5:5" x14ac:dyDescent="0.25">
      <c r="E3165" s="189"/>
    </row>
    <row r="3166" spans="5:5" x14ac:dyDescent="0.25">
      <c r="E3166" s="189"/>
    </row>
    <row r="3167" spans="5:5" x14ac:dyDescent="0.25">
      <c r="E3167" s="189"/>
    </row>
    <row r="3168" spans="5:5" x14ac:dyDescent="0.25">
      <c r="E3168" s="189"/>
    </row>
    <row r="3169" spans="5:5" x14ac:dyDescent="0.25">
      <c r="E3169" s="189"/>
    </row>
    <row r="3170" spans="5:5" x14ac:dyDescent="0.25">
      <c r="E3170" s="189"/>
    </row>
  </sheetData>
  <mergeCells count="9">
    <mergeCell ref="C5:D5"/>
    <mergeCell ref="F6:H6"/>
    <mergeCell ref="J5:L5"/>
    <mergeCell ref="J6:L6"/>
    <mergeCell ref="R5:T5"/>
    <mergeCell ref="R6:T6"/>
    <mergeCell ref="F5:H5"/>
    <mergeCell ref="N5:P5"/>
    <mergeCell ref="N6:P6"/>
  </mergeCells>
  <phoneticPr fontId="39" type="noConversion"/>
  <pageMargins left="0.75" right="0.75" top="1" bottom="1" header="0.5" footer="0.5"/>
  <pageSetup scale="10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W9658"/>
  <sheetViews>
    <sheetView topLeftCell="G1" zoomScaleNormal="100" workbookViewId="0">
      <pane ySplit="7" topLeftCell="A369" activePane="bottomLeft" state="frozen"/>
      <selection pane="bottomLeft" activeCell="X384" sqref="X384"/>
    </sheetView>
  </sheetViews>
  <sheetFormatPr defaultColWidth="8" defaultRowHeight="12.75" x14ac:dyDescent="0.2"/>
  <cols>
    <col min="1" max="1" width="11" style="212" bestFit="1" customWidth="1"/>
    <col min="2" max="2" width="6.25" style="196" customWidth="1"/>
    <col min="3" max="3" width="6.75" style="196" bestFit="1" customWidth="1"/>
    <col min="4" max="4" width="6.625" style="196" bestFit="1" customWidth="1"/>
    <col min="5" max="10" width="6.75" style="196" bestFit="1" customWidth="1"/>
    <col min="11" max="11" width="4.25" style="196" customWidth="1"/>
    <col min="12" max="18" width="6.5" style="196" bestFit="1" customWidth="1"/>
    <col min="19" max="20" width="6.375" style="196" bestFit="1" customWidth="1"/>
    <col min="21" max="23" width="6.5" style="196" customWidth="1"/>
    <col min="24" max="16384" width="8" style="196"/>
  </cols>
  <sheetData>
    <row r="1" spans="1:23" ht="15.75" x14ac:dyDescent="0.25">
      <c r="A1" s="292" t="s">
        <v>179</v>
      </c>
      <c r="B1" s="292"/>
      <c r="C1" s="292"/>
      <c r="D1" s="292"/>
      <c r="E1" s="292"/>
      <c r="F1" s="292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</row>
    <row r="2" spans="1:23" x14ac:dyDescent="0.2">
      <c r="A2" s="2">
        <v>1</v>
      </c>
      <c r="B2" s="3">
        <f>1+A2</f>
        <v>2</v>
      </c>
      <c r="C2" s="3">
        <f t="shared" ref="C2:W2" si="0">1+B2</f>
        <v>3</v>
      </c>
      <c r="D2" s="3">
        <f t="shared" si="0"/>
        <v>4</v>
      </c>
      <c r="E2" s="3">
        <f t="shared" si="0"/>
        <v>5</v>
      </c>
      <c r="F2" s="3">
        <f t="shared" si="0"/>
        <v>6</v>
      </c>
      <c r="G2" s="3">
        <f t="shared" si="0"/>
        <v>7</v>
      </c>
      <c r="H2" s="3">
        <f t="shared" si="0"/>
        <v>8</v>
      </c>
      <c r="I2" s="3">
        <f t="shared" si="0"/>
        <v>9</v>
      </c>
      <c r="J2" s="3">
        <f t="shared" si="0"/>
        <v>10</v>
      </c>
      <c r="K2" s="3">
        <f t="shared" si="0"/>
        <v>11</v>
      </c>
      <c r="L2" s="3">
        <f t="shared" si="0"/>
        <v>12</v>
      </c>
      <c r="M2" s="3">
        <f t="shared" si="0"/>
        <v>13</v>
      </c>
      <c r="N2" s="3">
        <f t="shared" si="0"/>
        <v>14</v>
      </c>
      <c r="O2" s="3">
        <f t="shared" si="0"/>
        <v>15</v>
      </c>
      <c r="P2" s="3">
        <f t="shared" si="0"/>
        <v>16</v>
      </c>
      <c r="Q2" s="3">
        <f t="shared" si="0"/>
        <v>17</v>
      </c>
      <c r="R2" s="3">
        <f t="shared" si="0"/>
        <v>18</v>
      </c>
      <c r="S2" s="3">
        <f t="shared" si="0"/>
        <v>19</v>
      </c>
      <c r="T2" s="3">
        <f t="shared" si="0"/>
        <v>20</v>
      </c>
      <c r="U2" s="3">
        <f t="shared" si="0"/>
        <v>21</v>
      </c>
      <c r="V2" s="3">
        <f t="shared" si="0"/>
        <v>22</v>
      </c>
      <c r="W2" s="3">
        <f t="shared" si="0"/>
        <v>23</v>
      </c>
    </row>
    <row r="3" spans="1:23" x14ac:dyDescent="0.2">
      <c r="A3" s="211"/>
      <c r="B3" s="291" t="s">
        <v>108</v>
      </c>
      <c r="C3" s="291"/>
      <c r="D3" s="291"/>
      <c r="E3" s="291"/>
      <c r="F3" s="291"/>
      <c r="G3" s="291"/>
      <c r="H3" s="291"/>
      <c r="I3" s="291"/>
      <c r="J3" s="291"/>
      <c r="K3" s="194"/>
      <c r="L3" s="291" t="s">
        <v>107</v>
      </c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</row>
    <row r="4" spans="1:23" x14ac:dyDescent="0.2">
      <c r="A4" s="211"/>
      <c r="B4" s="293" t="s">
        <v>34</v>
      </c>
      <c r="C4" s="293"/>
      <c r="D4" s="293"/>
      <c r="E4" s="293" t="s">
        <v>35</v>
      </c>
      <c r="F4" s="293"/>
      <c r="G4" s="293"/>
      <c r="H4" s="293" t="s">
        <v>181</v>
      </c>
      <c r="I4" s="293"/>
      <c r="J4" s="293"/>
      <c r="K4" s="194"/>
      <c r="L4" s="293" t="s">
        <v>158</v>
      </c>
      <c r="M4" s="293"/>
      <c r="N4" s="293"/>
      <c r="O4" s="293" t="s">
        <v>35</v>
      </c>
      <c r="P4" s="293"/>
      <c r="Q4" s="293"/>
      <c r="R4" s="293" t="s">
        <v>160</v>
      </c>
      <c r="S4" s="293"/>
      <c r="T4" s="293"/>
      <c r="U4" s="293" t="s">
        <v>159</v>
      </c>
      <c r="V4" s="293"/>
      <c r="W4" s="293"/>
    </row>
    <row r="5" spans="1:23" x14ac:dyDescent="0.2">
      <c r="A5" s="211"/>
      <c r="B5" s="293" t="s">
        <v>183</v>
      </c>
      <c r="C5" s="293"/>
      <c r="D5" s="293"/>
      <c r="E5" s="293" t="s">
        <v>183</v>
      </c>
      <c r="F5" s="293"/>
      <c r="G5" s="293"/>
      <c r="H5" s="293" t="s">
        <v>183</v>
      </c>
      <c r="I5" s="293"/>
      <c r="J5" s="293"/>
      <c r="K5" s="194"/>
      <c r="L5" s="293" t="s">
        <v>183</v>
      </c>
      <c r="M5" s="293"/>
      <c r="N5" s="293"/>
      <c r="O5" s="293" t="s">
        <v>183</v>
      </c>
      <c r="P5" s="293"/>
      <c r="Q5" s="293"/>
      <c r="R5" s="293" t="s">
        <v>183</v>
      </c>
      <c r="S5" s="293"/>
      <c r="T5" s="293"/>
      <c r="U5" s="293" t="s">
        <v>105</v>
      </c>
      <c r="V5" s="293"/>
      <c r="W5" s="293"/>
    </row>
    <row r="6" spans="1:23" x14ac:dyDescent="0.2">
      <c r="A6" s="211"/>
      <c r="B6" s="192"/>
      <c r="C6" s="192"/>
      <c r="D6" s="197"/>
      <c r="E6" s="192"/>
      <c r="F6" s="192"/>
      <c r="G6" s="192"/>
      <c r="H6" s="192"/>
      <c r="I6" s="192"/>
      <c r="J6" s="192"/>
      <c r="K6" s="194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</row>
    <row r="7" spans="1:23" x14ac:dyDescent="0.2">
      <c r="A7" s="211" t="s">
        <v>185</v>
      </c>
      <c r="B7" s="198" t="s">
        <v>186</v>
      </c>
      <c r="C7" s="199" t="s">
        <v>187</v>
      </c>
      <c r="D7" s="199" t="s">
        <v>188</v>
      </c>
      <c r="E7" s="198" t="s">
        <v>186</v>
      </c>
      <c r="F7" s="199" t="s">
        <v>187</v>
      </c>
      <c r="G7" s="199" t="s">
        <v>188</v>
      </c>
      <c r="H7" s="198" t="s">
        <v>186</v>
      </c>
      <c r="I7" s="199" t="s">
        <v>187</v>
      </c>
      <c r="J7" s="200" t="s">
        <v>188</v>
      </c>
      <c r="K7" s="194"/>
      <c r="L7" s="198" t="s">
        <v>186</v>
      </c>
      <c r="M7" s="199" t="s">
        <v>187</v>
      </c>
      <c r="N7" s="200" t="s">
        <v>188</v>
      </c>
      <c r="O7" s="198" t="s">
        <v>186</v>
      </c>
      <c r="P7" s="199" t="s">
        <v>187</v>
      </c>
      <c r="Q7" s="200" t="s">
        <v>188</v>
      </c>
      <c r="R7" s="198" t="s">
        <v>186</v>
      </c>
      <c r="S7" s="199" t="s">
        <v>187</v>
      </c>
      <c r="T7" s="200" t="s">
        <v>188</v>
      </c>
      <c r="U7" s="198" t="s">
        <v>186</v>
      </c>
      <c r="V7" s="199" t="s">
        <v>187</v>
      </c>
      <c r="W7" s="200" t="s">
        <v>188</v>
      </c>
    </row>
    <row r="8" spans="1:23" ht="15.75" x14ac:dyDescent="0.25">
      <c r="A8" s="31">
        <f>'M&amp;R Stations'!A2</f>
        <v>38961</v>
      </c>
      <c r="B8" s="240" t="s">
        <v>220</v>
      </c>
      <c r="C8" s="241" t="s">
        <v>220</v>
      </c>
      <c r="D8" s="201" t="s">
        <v>220</v>
      </c>
      <c r="E8" s="240">
        <v>0.38</v>
      </c>
      <c r="F8" s="241">
        <v>0.34</v>
      </c>
      <c r="G8" s="201">
        <f t="shared" ref="G8:G37" si="1">IF(AND(E8="",F8=""),"",IF(E8="off",F8,IF(F8="off",E8,AVERAGE(E8:F8))))</f>
        <v>0.36</v>
      </c>
      <c r="H8" s="240">
        <v>0.38</v>
      </c>
      <c r="I8" s="241">
        <v>0.34</v>
      </c>
      <c r="J8" s="202">
        <f t="shared" ref="J8:J37" si="2">IF(AND(H8="",I8=""),"",IF(H8="off",I8,IF(I8="off",H8,AVERAGE(H8:I8))))</f>
        <v>0.36</v>
      </c>
      <c r="K8" s="194"/>
      <c r="L8" s="240">
        <v>0.55100000000000005</v>
      </c>
      <c r="M8" s="241">
        <v>0.40100000000000002</v>
      </c>
      <c r="N8" s="202">
        <f t="shared" ref="N8:N37" si="3">IF(AND(L8="",M8=""),"",IF(L8="off",M8,IF(M8="off",L8,AVERAGE(L8:M8))))</f>
        <v>0.47600000000000003</v>
      </c>
      <c r="O8" s="240">
        <v>0.41199999999999998</v>
      </c>
      <c r="P8" s="241">
        <v>0.35299999999999998</v>
      </c>
      <c r="Q8" s="202">
        <f t="shared" ref="Q8:Q37" si="4">IF(AND(O8="",P8=""),"",IF(O8="off",P8,IF(P8="off",O8,AVERAGE(O8:P8))))</f>
        <v>0.38249999999999995</v>
      </c>
      <c r="R8" s="240">
        <v>0.40600000000000003</v>
      </c>
      <c r="S8" s="241">
        <v>0.377</v>
      </c>
      <c r="T8" s="202">
        <f t="shared" ref="T8:T37" si="5">IF(AND(R8="",S8=""),"",IF(R8="off",S8,IF(S8="off",R8,AVERAGE(R8:S8))))</f>
        <v>0.39150000000000001</v>
      </c>
      <c r="U8" s="240" t="s">
        <v>216</v>
      </c>
      <c r="V8" s="241" t="s">
        <v>216</v>
      </c>
      <c r="W8" s="202" t="str">
        <f t="shared" ref="W8:W37" si="6">IF(AND(U8="",V8=""),"",IF(U8="off",V8,IF(V8="off",U8,AVERAGE(U8:V8))))</f>
        <v>OFF</v>
      </c>
    </row>
    <row r="9" spans="1:23" ht="15.75" x14ac:dyDescent="0.25">
      <c r="A9" s="31">
        <f>'M&amp;R Stations'!A3</f>
        <v>38962</v>
      </c>
      <c r="B9" s="240" t="s">
        <v>220</v>
      </c>
      <c r="C9" s="241" t="s">
        <v>220</v>
      </c>
      <c r="D9" s="201" t="s">
        <v>220</v>
      </c>
      <c r="E9" s="240">
        <v>0.34</v>
      </c>
      <c r="F9" s="241">
        <v>0.32</v>
      </c>
      <c r="G9" s="201">
        <f t="shared" si="1"/>
        <v>0.33</v>
      </c>
      <c r="H9" s="240">
        <v>0.34</v>
      </c>
      <c r="I9" s="241">
        <v>0.31</v>
      </c>
      <c r="J9" s="202">
        <f t="shared" si="2"/>
        <v>0.32500000000000001</v>
      </c>
      <c r="K9" s="194"/>
      <c r="L9" s="240">
        <v>0.55100000000000005</v>
      </c>
      <c r="M9" s="241">
        <v>0.45100000000000001</v>
      </c>
      <c r="N9" s="202">
        <f t="shared" si="3"/>
        <v>0.501</v>
      </c>
      <c r="O9" s="240">
        <v>0.43099999999999999</v>
      </c>
      <c r="P9" s="241">
        <v>0.39200000000000002</v>
      </c>
      <c r="Q9" s="202">
        <f t="shared" si="4"/>
        <v>0.41149999999999998</v>
      </c>
      <c r="R9" s="240">
        <v>0.42099999999999999</v>
      </c>
      <c r="S9" s="241">
        <v>0.33300000000000002</v>
      </c>
      <c r="T9" s="202">
        <f t="shared" si="5"/>
        <v>0.377</v>
      </c>
      <c r="U9" s="240" t="s">
        <v>216</v>
      </c>
      <c r="V9" s="241" t="s">
        <v>216</v>
      </c>
      <c r="W9" s="202" t="str">
        <f t="shared" si="6"/>
        <v>OFF</v>
      </c>
    </row>
    <row r="10" spans="1:23" ht="15.75" x14ac:dyDescent="0.25">
      <c r="A10" s="31">
        <f>'M&amp;R Stations'!A4</f>
        <v>38963</v>
      </c>
      <c r="B10" s="240" t="s">
        <v>220</v>
      </c>
      <c r="C10" s="241" t="s">
        <v>220</v>
      </c>
      <c r="D10" s="201" t="s">
        <v>220</v>
      </c>
      <c r="E10" s="240">
        <v>0.36</v>
      </c>
      <c r="F10" s="241">
        <v>0.32</v>
      </c>
      <c r="G10" s="201">
        <f t="shared" si="1"/>
        <v>0.33999999999999997</v>
      </c>
      <c r="H10" s="240">
        <v>0.36</v>
      </c>
      <c r="I10" s="241">
        <v>0.28999999999999998</v>
      </c>
      <c r="J10" s="202">
        <f t="shared" si="2"/>
        <v>0.32499999999999996</v>
      </c>
      <c r="K10" s="194"/>
      <c r="L10" s="240">
        <v>0.53400000000000003</v>
      </c>
      <c r="M10" s="241">
        <v>0.45100000000000001</v>
      </c>
      <c r="N10" s="202">
        <f t="shared" si="3"/>
        <v>0.49250000000000005</v>
      </c>
      <c r="O10" s="240">
        <v>0.47</v>
      </c>
      <c r="P10" s="241">
        <v>0.39200000000000002</v>
      </c>
      <c r="Q10" s="202">
        <f t="shared" si="4"/>
        <v>0.43099999999999999</v>
      </c>
      <c r="R10" s="240">
        <v>0.45</v>
      </c>
      <c r="S10" s="241">
        <v>0.34799999999999998</v>
      </c>
      <c r="T10" s="202">
        <f t="shared" si="5"/>
        <v>0.39900000000000002</v>
      </c>
      <c r="U10" s="240" t="s">
        <v>216</v>
      </c>
      <c r="V10" s="241" t="s">
        <v>216</v>
      </c>
      <c r="W10" s="202" t="str">
        <f t="shared" si="6"/>
        <v>OFF</v>
      </c>
    </row>
    <row r="11" spans="1:23" ht="15.75" x14ac:dyDescent="0.25">
      <c r="A11" s="31">
        <f>'M&amp;R Stations'!A5</f>
        <v>38964</v>
      </c>
      <c r="B11" s="240" t="s">
        <v>220</v>
      </c>
      <c r="C11" s="241" t="s">
        <v>220</v>
      </c>
      <c r="D11" s="201" t="s">
        <v>220</v>
      </c>
      <c r="E11" s="240">
        <v>0.34</v>
      </c>
      <c r="F11" s="241">
        <v>0.32</v>
      </c>
      <c r="G11" s="201">
        <f t="shared" si="1"/>
        <v>0.33</v>
      </c>
      <c r="H11" s="240">
        <v>0.31</v>
      </c>
      <c r="I11" s="241">
        <v>0.28999999999999998</v>
      </c>
      <c r="J11" s="202">
        <f t="shared" si="2"/>
        <v>0.3</v>
      </c>
      <c r="K11" s="194"/>
      <c r="L11" s="240">
        <v>0.51700000000000002</v>
      </c>
      <c r="M11" s="241">
        <v>0.41799999999999998</v>
      </c>
      <c r="N11" s="202">
        <f t="shared" si="3"/>
        <v>0.46750000000000003</v>
      </c>
      <c r="O11" s="240">
        <v>0.58799999999999997</v>
      </c>
      <c r="P11" s="241">
        <v>0.372</v>
      </c>
      <c r="Q11" s="202">
        <f t="shared" si="4"/>
        <v>0.48</v>
      </c>
      <c r="R11" s="240">
        <v>0.435</v>
      </c>
      <c r="S11" s="241">
        <v>0.34799999999999998</v>
      </c>
      <c r="T11" s="202">
        <f t="shared" si="5"/>
        <v>0.39149999999999996</v>
      </c>
      <c r="U11" s="240" t="s">
        <v>216</v>
      </c>
      <c r="V11" s="241" t="s">
        <v>216</v>
      </c>
      <c r="W11" s="202" t="str">
        <f t="shared" si="6"/>
        <v>OFF</v>
      </c>
    </row>
    <row r="12" spans="1:23" ht="15.75" x14ac:dyDescent="0.25">
      <c r="A12" s="31">
        <f>'M&amp;R Stations'!A6</f>
        <v>38965</v>
      </c>
      <c r="B12" s="240" t="s">
        <v>220</v>
      </c>
      <c r="C12" s="241" t="s">
        <v>220</v>
      </c>
      <c r="D12" s="201" t="s">
        <v>220</v>
      </c>
      <c r="E12" s="240">
        <v>0.32</v>
      </c>
      <c r="F12" s="241">
        <v>0.28999999999999998</v>
      </c>
      <c r="G12" s="201">
        <f t="shared" si="1"/>
        <v>0.30499999999999999</v>
      </c>
      <c r="H12" s="240">
        <v>0.28999999999999998</v>
      </c>
      <c r="I12" s="241">
        <v>0.27</v>
      </c>
      <c r="J12" s="202">
        <f t="shared" si="2"/>
        <v>0.28000000000000003</v>
      </c>
      <c r="K12" s="194"/>
      <c r="L12" s="240">
        <v>0.55100000000000005</v>
      </c>
      <c r="M12" s="241">
        <v>0.434</v>
      </c>
      <c r="N12" s="202">
        <f t="shared" si="3"/>
        <v>0.49250000000000005</v>
      </c>
      <c r="O12" s="240">
        <v>0.56799999999999995</v>
      </c>
      <c r="P12" s="241">
        <v>0.41099999999999998</v>
      </c>
      <c r="Q12" s="202">
        <f t="shared" si="4"/>
        <v>0.48949999999999994</v>
      </c>
      <c r="R12" s="240">
        <v>0.46400000000000002</v>
      </c>
      <c r="S12" s="241">
        <v>0.34799999999999998</v>
      </c>
      <c r="T12" s="202">
        <f t="shared" si="5"/>
        <v>0.40600000000000003</v>
      </c>
      <c r="U12" s="240" t="s">
        <v>216</v>
      </c>
      <c r="V12" s="241" t="s">
        <v>216</v>
      </c>
      <c r="W12" s="202" t="str">
        <f t="shared" si="6"/>
        <v>OFF</v>
      </c>
    </row>
    <row r="13" spans="1:23" ht="15.75" x14ac:dyDescent="0.25">
      <c r="A13" s="31">
        <f>'M&amp;R Stations'!A7</f>
        <v>38966</v>
      </c>
      <c r="B13" s="240" t="s">
        <v>220</v>
      </c>
      <c r="C13" s="241" t="s">
        <v>220</v>
      </c>
      <c r="D13" s="201" t="s">
        <v>220</v>
      </c>
      <c r="E13" s="240">
        <v>0.32</v>
      </c>
      <c r="F13" s="241">
        <v>0.28999999999999998</v>
      </c>
      <c r="G13" s="201">
        <f t="shared" si="1"/>
        <v>0.30499999999999999</v>
      </c>
      <c r="H13" s="240">
        <v>0.31</v>
      </c>
      <c r="I13" s="241">
        <v>0.28999999999999998</v>
      </c>
      <c r="J13" s="202">
        <f t="shared" si="2"/>
        <v>0.3</v>
      </c>
      <c r="K13" s="194"/>
      <c r="L13" s="240">
        <v>0.46800000000000003</v>
      </c>
      <c r="M13" s="241">
        <v>0.36699999999999999</v>
      </c>
      <c r="N13" s="202">
        <f t="shared" si="3"/>
        <v>0.41749999999999998</v>
      </c>
      <c r="O13" s="240">
        <v>0.41099999999999998</v>
      </c>
      <c r="P13" s="241">
        <v>0.33300000000000002</v>
      </c>
      <c r="Q13" s="202">
        <f t="shared" si="4"/>
        <v>0.372</v>
      </c>
      <c r="R13" s="240">
        <v>0.34799999999999998</v>
      </c>
      <c r="S13" s="241">
        <v>0.31900000000000001</v>
      </c>
      <c r="T13" s="202">
        <f t="shared" si="5"/>
        <v>0.33350000000000002</v>
      </c>
      <c r="U13" s="240" t="s">
        <v>216</v>
      </c>
      <c r="V13" s="241" t="s">
        <v>216</v>
      </c>
      <c r="W13" s="202" t="str">
        <f t="shared" si="6"/>
        <v>OFF</v>
      </c>
    </row>
    <row r="14" spans="1:23" ht="15.75" x14ac:dyDescent="0.25">
      <c r="A14" s="31">
        <f>'M&amp;R Stations'!A8</f>
        <v>38967</v>
      </c>
      <c r="B14" s="240" t="s">
        <v>220</v>
      </c>
      <c r="C14" s="241" t="s">
        <v>220</v>
      </c>
      <c r="D14" s="201" t="s">
        <v>220</v>
      </c>
      <c r="E14" s="240">
        <v>0.4</v>
      </c>
      <c r="F14" s="241">
        <v>0.32</v>
      </c>
      <c r="G14" s="201">
        <f t="shared" si="1"/>
        <v>0.36</v>
      </c>
      <c r="H14" s="240">
        <v>0.4</v>
      </c>
      <c r="I14" s="241">
        <v>0.22</v>
      </c>
      <c r="J14" s="202">
        <f t="shared" si="2"/>
        <v>0.31</v>
      </c>
      <c r="K14" s="194"/>
      <c r="L14" s="240">
        <v>0.47199999999999998</v>
      </c>
      <c r="M14" s="241">
        <v>0.33400000000000002</v>
      </c>
      <c r="N14" s="202">
        <f t="shared" si="3"/>
        <v>0.40300000000000002</v>
      </c>
      <c r="O14" s="240">
        <v>0.621</v>
      </c>
      <c r="P14" s="241">
        <v>0.35199999999999998</v>
      </c>
      <c r="Q14" s="202">
        <f t="shared" si="4"/>
        <v>0.48649999999999999</v>
      </c>
      <c r="R14" s="240">
        <v>0.52800000000000002</v>
      </c>
      <c r="S14" s="241">
        <v>0.377</v>
      </c>
      <c r="T14" s="202">
        <f t="shared" si="5"/>
        <v>0.45250000000000001</v>
      </c>
      <c r="U14" s="240" t="s">
        <v>216</v>
      </c>
      <c r="V14" s="241" t="s">
        <v>216</v>
      </c>
      <c r="W14" s="202" t="str">
        <f t="shared" si="6"/>
        <v>OFF</v>
      </c>
    </row>
    <row r="15" spans="1:23" ht="15.75" x14ac:dyDescent="0.25">
      <c r="A15" s="31">
        <f>'M&amp;R Stations'!A9</f>
        <v>38968</v>
      </c>
      <c r="B15" s="240" t="s">
        <v>220</v>
      </c>
      <c r="C15" s="241" t="s">
        <v>220</v>
      </c>
      <c r="D15" s="201" t="s">
        <v>220</v>
      </c>
      <c r="E15" s="240">
        <v>0.4</v>
      </c>
      <c r="F15" s="241">
        <v>0.3</v>
      </c>
      <c r="G15" s="201">
        <f t="shared" si="1"/>
        <v>0.35</v>
      </c>
      <c r="H15" s="240">
        <v>0.4</v>
      </c>
      <c r="I15" s="241">
        <v>0.3</v>
      </c>
      <c r="J15" s="202">
        <f t="shared" si="2"/>
        <v>0.35</v>
      </c>
      <c r="K15" s="194"/>
      <c r="L15" s="240">
        <v>0.51300000000000001</v>
      </c>
      <c r="M15" s="241">
        <v>0.43099999999999999</v>
      </c>
      <c r="N15" s="202">
        <f t="shared" si="3"/>
        <v>0.47199999999999998</v>
      </c>
      <c r="O15" s="240">
        <v>0.56200000000000006</v>
      </c>
      <c r="P15" s="241">
        <v>0.44400000000000001</v>
      </c>
      <c r="Q15" s="202">
        <f t="shared" si="4"/>
        <v>0.503</v>
      </c>
      <c r="R15" s="240">
        <v>0.50800000000000001</v>
      </c>
      <c r="S15" s="241">
        <v>0.44600000000000001</v>
      </c>
      <c r="T15" s="202">
        <f t="shared" si="5"/>
        <v>0.47699999999999998</v>
      </c>
      <c r="U15" s="240" t="s">
        <v>216</v>
      </c>
      <c r="V15" s="241" t="s">
        <v>216</v>
      </c>
      <c r="W15" s="202" t="str">
        <f t="shared" si="6"/>
        <v>OFF</v>
      </c>
    </row>
    <row r="16" spans="1:23" ht="15.75" x14ac:dyDescent="0.25">
      <c r="A16" s="31">
        <f>'M&amp;R Stations'!A10</f>
        <v>38969</v>
      </c>
      <c r="B16" s="240" t="s">
        <v>220</v>
      </c>
      <c r="C16" s="241" t="s">
        <v>220</v>
      </c>
      <c r="D16" s="201" t="s">
        <v>220</v>
      </c>
      <c r="E16" s="240">
        <v>0.3</v>
      </c>
      <c r="F16" s="241">
        <v>0.3</v>
      </c>
      <c r="G16" s="201">
        <f t="shared" si="1"/>
        <v>0.3</v>
      </c>
      <c r="H16" s="240">
        <v>0.3</v>
      </c>
      <c r="I16" s="241">
        <v>0.3</v>
      </c>
      <c r="J16" s="202">
        <f t="shared" si="2"/>
        <v>0.3</v>
      </c>
      <c r="K16" s="194"/>
      <c r="L16" s="240">
        <v>0.57399999999999995</v>
      </c>
      <c r="M16" s="241">
        <v>0.45100000000000001</v>
      </c>
      <c r="N16" s="202">
        <f t="shared" si="3"/>
        <v>0.51249999999999996</v>
      </c>
      <c r="O16" s="240">
        <v>0.53300000000000003</v>
      </c>
      <c r="P16" s="241">
        <v>0.47399999999999998</v>
      </c>
      <c r="Q16" s="202">
        <f t="shared" si="4"/>
        <v>0.50350000000000006</v>
      </c>
      <c r="R16" s="240">
        <v>0.52800000000000002</v>
      </c>
      <c r="S16" s="241">
        <v>0.44700000000000001</v>
      </c>
      <c r="T16" s="202">
        <f t="shared" si="5"/>
        <v>0.48750000000000004</v>
      </c>
      <c r="U16" s="240" t="s">
        <v>216</v>
      </c>
      <c r="V16" s="241" t="s">
        <v>216</v>
      </c>
      <c r="W16" s="202" t="str">
        <f t="shared" si="6"/>
        <v>OFF</v>
      </c>
    </row>
    <row r="17" spans="1:23" ht="15.75" x14ac:dyDescent="0.25">
      <c r="A17" s="31">
        <f>'M&amp;R Stations'!A11</f>
        <v>38970</v>
      </c>
      <c r="B17" s="240" t="s">
        <v>220</v>
      </c>
      <c r="C17" s="241" t="s">
        <v>220</v>
      </c>
      <c r="D17" s="201" t="s">
        <v>220</v>
      </c>
      <c r="E17" s="240">
        <v>0.35</v>
      </c>
      <c r="F17" s="241">
        <v>0.27</v>
      </c>
      <c r="G17" s="201">
        <f t="shared" si="1"/>
        <v>0.31</v>
      </c>
      <c r="H17" s="240">
        <v>0.35</v>
      </c>
      <c r="I17" s="241">
        <v>0.27</v>
      </c>
      <c r="J17" s="202">
        <f t="shared" si="2"/>
        <v>0.31</v>
      </c>
      <c r="K17" s="194"/>
      <c r="L17" s="240">
        <v>0.57399999999999995</v>
      </c>
      <c r="M17" s="241">
        <v>0.41</v>
      </c>
      <c r="N17" s="202">
        <f t="shared" si="3"/>
        <v>0.49199999999999999</v>
      </c>
      <c r="O17" s="240">
        <v>0.53300000000000003</v>
      </c>
      <c r="P17" s="241">
        <v>0.41399999999999998</v>
      </c>
      <c r="Q17" s="202">
        <f t="shared" si="4"/>
        <v>0.47350000000000003</v>
      </c>
      <c r="R17" s="240">
        <v>0.48699999999999999</v>
      </c>
      <c r="S17" s="241">
        <v>0.40600000000000003</v>
      </c>
      <c r="T17" s="202">
        <f t="shared" si="5"/>
        <v>0.44650000000000001</v>
      </c>
      <c r="U17" s="240" t="s">
        <v>216</v>
      </c>
      <c r="V17" s="241" t="s">
        <v>216</v>
      </c>
      <c r="W17" s="202" t="str">
        <f t="shared" si="6"/>
        <v>OFF</v>
      </c>
    </row>
    <row r="18" spans="1:23" ht="15.75" x14ac:dyDescent="0.25">
      <c r="A18" s="31">
        <f>'M&amp;R Stations'!A12</f>
        <v>38971</v>
      </c>
      <c r="B18" s="240" t="s">
        <v>220</v>
      </c>
      <c r="C18" s="241" t="s">
        <v>220</v>
      </c>
      <c r="D18" s="201" t="s">
        <v>220</v>
      </c>
      <c r="E18" s="240">
        <v>0.32</v>
      </c>
      <c r="F18" s="241">
        <v>0.25</v>
      </c>
      <c r="G18" s="201">
        <f t="shared" si="1"/>
        <v>0.28500000000000003</v>
      </c>
      <c r="H18" s="240">
        <v>0.27</v>
      </c>
      <c r="I18" s="241">
        <v>0.25</v>
      </c>
      <c r="J18" s="202">
        <f t="shared" si="2"/>
        <v>0.26</v>
      </c>
      <c r="K18" s="194"/>
      <c r="L18" s="240">
        <v>0.57399999999999995</v>
      </c>
      <c r="M18" s="241">
        <v>0.41</v>
      </c>
      <c r="N18" s="202">
        <f t="shared" si="3"/>
        <v>0.49199999999999999</v>
      </c>
      <c r="O18" s="240">
        <v>0.622</v>
      </c>
      <c r="P18" s="241">
        <v>0.44400000000000001</v>
      </c>
      <c r="Q18" s="202">
        <f t="shared" si="4"/>
        <v>0.53300000000000003</v>
      </c>
      <c r="R18" s="240">
        <v>0.46700000000000003</v>
      </c>
      <c r="S18" s="241">
        <v>0.40600000000000003</v>
      </c>
      <c r="T18" s="202">
        <f t="shared" si="5"/>
        <v>0.4365</v>
      </c>
      <c r="U18" s="240" t="s">
        <v>216</v>
      </c>
      <c r="V18" s="241" t="s">
        <v>216</v>
      </c>
      <c r="W18" s="202" t="str">
        <f t="shared" si="6"/>
        <v>OFF</v>
      </c>
    </row>
    <row r="19" spans="1:23" ht="15.75" x14ac:dyDescent="0.25">
      <c r="A19" s="31">
        <f>'M&amp;R Stations'!A13</f>
        <v>38972</v>
      </c>
      <c r="B19" s="240" t="s">
        <v>220</v>
      </c>
      <c r="C19" s="241" t="s">
        <v>220</v>
      </c>
      <c r="D19" s="201" t="s">
        <v>220</v>
      </c>
      <c r="E19" s="240">
        <v>0.3</v>
      </c>
      <c r="F19" s="241">
        <v>0.25</v>
      </c>
      <c r="G19" s="201">
        <f t="shared" si="1"/>
        <v>0.27500000000000002</v>
      </c>
      <c r="H19" s="240">
        <v>0.3</v>
      </c>
      <c r="I19" s="241">
        <v>0.22</v>
      </c>
      <c r="J19" s="202">
        <f t="shared" si="2"/>
        <v>0.26</v>
      </c>
      <c r="K19" s="194"/>
      <c r="L19" s="240">
        <v>0.53300000000000003</v>
      </c>
      <c r="M19" s="241">
        <v>0.41</v>
      </c>
      <c r="N19" s="202">
        <f t="shared" si="3"/>
        <v>0.47150000000000003</v>
      </c>
      <c r="O19" s="240">
        <v>0.56200000000000006</v>
      </c>
      <c r="P19" s="241">
        <v>0.44400000000000001</v>
      </c>
      <c r="Q19" s="202">
        <f t="shared" si="4"/>
        <v>0.503</v>
      </c>
      <c r="R19" s="240">
        <v>0.48699999999999999</v>
      </c>
      <c r="S19" s="241">
        <v>0.42599999999999999</v>
      </c>
      <c r="T19" s="202">
        <f t="shared" si="5"/>
        <v>0.45650000000000002</v>
      </c>
      <c r="U19" s="240" t="s">
        <v>216</v>
      </c>
      <c r="V19" s="241" t="s">
        <v>216</v>
      </c>
      <c r="W19" s="202" t="str">
        <f t="shared" si="6"/>
        <v>OFF</v>
      </c>
    </row>
    <row r="20" spans="1:23" ht="15.75" x14ac:dyDescent="0.25">
      <c r="A20" s="31">
        <f>'M&amp;R Stations'!A14</f>
        <v>38973</v>
      </c>
      <c r="B20" s="240" t="s">
        <v>220</v>
      </c>
      <c r="C20" s="241" t="s">
        <v>220</v>
      </c>
      <c r="D20" s="201" t="s">
        <v>220</v>
      </c>
      <c r="E20" s="240">
        <v>0.48</v>
      </c>
      <c r="F20" s="241">
        <v>0.25</v>
      </c>
      <c r="G20" s="201">
        <f t="shared" si="1"/>
        <v>0.36499999999999999</v>
      </c>
      <c r="H20" s="240">
        <v>0.43</v>
      </c>
      <c r="I20" s="241">
        <v>0.25</v>
      </c>
      <c r="J20" s="202">
        <f t="shared" si="2"/>
        <v>0.33999999999999997</v>
      </c>
      <c r="K20" s="194"/>
      <c r="L20" s="240">
        <v>0.53300000000000003</v>
      </c>
      <c r="M20" s="241">
        <v>0.41</v>
      </c>
      <c r="N20" s="202">
        <f t="shared" si="3"/>
        <v>0.47150000000000003</v>
      </c>
      <c r="O20" s="240">
        <v>0.59199999999999997</v>
      </c>
      <c r="P20" s="241">
        <v>0.47399999999999998</v>
      </c>
      <c r="Q20" s="202">
        <f t="shared" si="4"/>
        <v>0.53299999999999992</v>
      </c>
      <c r="R20" s="240">
        <v>0.46700000000000003</v>
      </c>
      <c r="S20" s="241">
        <v>0.40600000000000003</v>
      </c>
      <c r="T20" s="202">
        <f t="shared" si="5"/>
        <v>0.4365</v>
      </c>
      <c r="U20" s="240" t="s">
        <v>216</v>
      </c>
      <c r="V20" s="241" t="s">
        <v>216</v>
      </c>
      <c r="W20" s="202" t="str">
        <f t="shared" si="6"/>
        <v>OFF</v>
      </c>
    </row>
    <row r="21" spans="1:23" ht="15.75" x14ac:dyDescent="0.25">
      <c r="A21" s="31">
        <f>'M&amp;R Stations'!A15</f>
        <v>38974</v>
      </c>
      <c r="B21" s="240" t="s">
        <v>220</v>
      </c>
      <c r="C21" s="241" t="s">
        <v>220</v>
      </c>
      <c r="D21" s="201" t="s">
        <v>220</v>
      </c>
      <c r="E21" s="240">
        <v>0.41</v>
      </c>
      <c r="F21" s="241">
        <v>0.41</v>
      </c>
      <c r="G21" s="201">
        <f t="shared" si="1"/>
        <v>0.41</v>
      </c>
      <c r="H21" s="240">
        <v>0.36</v>
      </c>
      <c r="I21" s="241">
        <v>0.36</v>
      </c>
      <c r="J21" s="202">
        <f t="shared" si="2"/>
        <v>0.36</v>
      </c>
      <c r="K21" s="194"/>
      <c r="L21" s="240">
        <v>0.56399999999999995</v>
      </c>
      <c r="M21" s="241">
        <v>0.46</v>
      </c>
      <c r="N21" s="202">
        <f t="shared" si="3"/>
        <v>0.51200000000000001</v>
      </c>
      <c r="O21" s="240">
        <v>0.58099999999999996</v>
      </c>
      <c r="P21" s="241">
        <v>0.503</v>
      </c>
      <c r="Q21" s="202">
        <f t="shared" si="4"/>
        <v>0.54200000000000004</v>
      </c>
      <c r="R21" s="240">
        <v>0.46700000000000003</v>
      </c>
      <c r="S21" s="241">
        <v>0.41599999999999998</v>
      </c>
      <c r="T21" s="202">
        <f t="shared" si="5"/>
        <v>0.4415</v>
      </c>
      <c r="U21" s="240" t="s">
        <v>216</v>
      </c>
      <c r="V21" s="241" t="s">
        <v>216</v>
      </c>
      <c r="W21" s="202" t="str">
        <f t="shared" si="6"/>
        <v>OFF</v>
      </c>
    </row>
    <row r="22" spans="1:23" ht="15.75" x14ac:dyDescent="0.25">
      <c r="A22" s="31">
        <f>'M&amp;R Stations'!A16</f>
        <v>38975</v>
      </c>
      <c r="B22" s="240" t="s">
        <v>220</v>
      </c>
      <c r="C22" s="241" t="s">
        <v>220</v>
      </c>
      <c r="D22" s="201" t="s">
        <v>220</v>
      </c>
      <c r="E22" s="240">
        <v>0.41</v>
      </c>
      <c r="F22" s="241">
        <v>0.37</v>
      </c>
      <c r="G22" s="201">
        <f t="shared" si="1"/>
        <v>0.39</v>
      </c>
      <c r="H22" s="240">
        <v>0.36</v>
      </c>
      <c r="I22" s="241">
        <v>0.36</v>
      </c>
      <c r="J22" s="202">
        <f t="shared" si="2"/>
        <v>0.36</v>
      </c>
      <c r="K22" s="194"/>
      <c r="L22" s="240">
        <v>0.54300000000000004</v>
      </c>
      <c r="M22" s="241">
        <v>0.41799999999999998</v>
      </c>
      <c r="N22" s="202">
        <f t="shared" si="3"/>
        <v>0.48050000000000004</v>
      </c>
      <c r="O22" s="240">
        <v>0.58099999999999996</v>
      </c>
      <c r="P22" s="241">
        <v>0.51700000000000002</v>
      </c>
      <c r="Q22" s="202">
        <f t="shared" si="4"/>
        <v>0.54899999999999993</v>
      </c>
      <c r="R22" s="240">
        <v>0.435</v>
      </c>
      <c r="S22" s="241">
        <v>0.41599999999999998</v>
      </c>
      <c r="T22" s="202">
        <f t="shared" si="5"/>
        <v>0.42549999999999999</v>
      </c>
      <c r="U22" s="240" t="s">
        <v>216</v>
      </c>
      <c r="V22" s="241" t="s">
        <v>216</v>
      </c>
      <c r="W22" s="202" t="str">
        <f t="shared" si="6"/>
        <v>OFF</v>
      </c>
    </row>
    <row r="23" spans="1:23" ht="15.75" x14ac:dyDescent="0.25">
      <c r="A23" s="31">
        <f>'M&amp;R Stations'!A17</f>
        <v>38976</v>
      </c>
      <c r="B23" s="240" t="s">
        <v>220</v>
      </c>
      <c r="C23" s="241" t="s">
        <v>220</v>
      </c>
      <c r="D23" s="201" t="s">
        <v>220</v>
      </c>
      <c r="E23" s="240">
        <v>0.37</v>
      </c>
      <c r="F23" s="241">
        <v>0.33</v>
      </c>
      <c r="G23" s="201">
        <f t="shared" si="1"/>
        <v>0.35</v>
      </c>
      <c r="H23" s="240">
        <v>0.36</v>
      </c>
      <c r="I23" s="241">
        <v>0.32</v>
      </c>
      <c r="J23" s="202">
        <f t="shared" si="2"/>
        <v>0.33999999999999997</v>
      </c>
      <c r="K23" s="194"/>
      <c r="L23" s="240">
        <v>0.58499999999999996</v>
      </c>
      <c r="M23" s="241">
        <v>0.41799999999999998</v>
      </c>
      <c r="N23" s="202">
        <f t="shared" si="3"/>
        <v>0.50149999999999995</v>
      </c>
      <c r="O23" s="240">
        <v>0.58099999999999996</v>
      </c>
      <c r="P23" s="241">
        <v>0.51700000000000002</v>
      </c>
      <c r="Q23" s="202">
        <f t="shared" si="4"/>
        <v>0.54899999999999993</v>
      </c>
      <c r="R23" s="240">
        <v>0.45400000000000001</v>
      </c>
      <c r="S23" s="241">
        <v>0.378</v>
      </c>
      <c r="T23" s="202">
        <f t="shared" si="5"/>
        <v>0.41600000000000004</v>
      </c>
      <c r="U23" s="240" t="s">
        <v>216</v>
      </c>
      <c r="V23" s="241" t="s">
        <v>216</v>
      </c>
      <c r="W23" s="202" t="str">
        <f t="shared" si="6"/>
        <v>OFF</v>
      </c>
    </row>
    <row r="24" spans="1:23" ht="15.75" x14ac:dyDescent="0.25">
      <c r="A24" s="31">
        <f>'M&amp;R Stations'!A18</f>
        <v>38977</v>
      </c>
      <c r="B24" s="240" t="s">
        <v>220</v>
      </c>
      <c r="C24" s="241" t="s">
        <v>220</v>
      </c>
      <c r="D24" s="201" t="s">
        <v>220</v>
      </c>
      <c r="E24" s="240">
        <v>0.37</v>
      </c>
      <c r="F24" s="241">
        <v>0.33</v>
      </c>
      <c r="G24" s="201">
        <f t="shared" si="1"/>
        <v>0.35</v>
      </c>
      <c r="H24" s="240">
        <v>0.36</v>
      </c>
      <c r="I24" s="241">
        <v>0.32</v>
      </c>
      <c r="J24" s="202">
        <f t="shared" si="2"/>
        <v>0.33999999999999997</v>
      </c>
      <c r="K24" s="194"/>
      <c r="L24" s="240">
        <v>0.58499999999999996</v>
      </c>
      <c r="M24" s="241">
        <v>0.46</v>
      </c>
      <c r="N24" s="202">
        <f t="shared" si="3"/>
        <v>0.52249999999999996</v>
      </c>
      <c r="O24" s="240">
        <v>0.58099999999999996</v>
      </c>
      <c r="P24" s="241">
        <v>0.51700000000000002</v>
      </c>
      <c r="Q24" s="202">
        <f t="shared" si="4"/>
        <v>0.54899999999999993</v>
      </c>
      <c r="R24" s="240">
        <v>0.47299999999999998</v>
      </c>
      <c r="S24" s="241">
        <v>0.435</v>
      </c>
      <c r="T24" s="202">
        <f t="shared" si="5"/>
        <v>0.45399999999999996</v>
      </c>
      <c r="U24" s="240" t="s">
        <v>216</v>
      </c>
      <c r="V24" s="241" t="s">
        <v>216</v>
      </c>
      <c r="W24" s="202" t="str">
        <f t="shared" si="6"/>
        <v>OFF</v>
      </c>
    </row>
    <row r="25" spans="1:23" ht="15.75" x14ac:dyDescent="0.25">
      <c r="A25" s="31">
        <f>'M&amp;R Stations'!A19</f>
        <v>38978</v>
      </c>
      <c r="B25" s="240" t="s">
        <v>220</v>
      </c>
      <c r="C25" s="241" t="s">
        <v>220</v>
      </c>
      <c r="D25" s="201" t="s">
        <v>220</v>
      </c>
      <c r="E25" s="240">
        <v>0.37</v>
      </c>
      <c r="F25" s="241">
        <v>0.33</v>
      </c>
      <c r="G25" s="201">
        <f t="shared" si="1"/>
        <v>0.35</v>
      </c>
      <c r="H25" s="240">
        <v>0.36</v>
      </c>
      <c r="I25" s="241">
        <v>0.32</v>
      </c>
      <c r="J25" s="202">
        <f t="shared" si="2"/>
        <v>0.33999999999999997</v>
      </c>
      <c r="K25" s="194"/>
      <c r="L25" s="240">
        <v>0.58499999999999996</v>
      </c>
      <c r="M25" s="241">
        <v>0.41799999999999998</v>
      </c>
      <c r="N25" s="202">
        <f t="shared" si="3"/>
        <v>0.50149999999999995</v>
      </c>
      <c r="O25" s="240">
        <v>0.64600000000000002</v>
      </c>
      <c r="P25" s="241">
        <v>0.48499999999999999</v>
      </c>
      <c r="Q25" s="202">
        <f t="shared" si="4"/>
        <v>0.5655</v>
      </c>
      <c r="R25" s="240">
        <v>0.47299999999999998</v>
      </c>
      <c r="S25" s="241">
        <v>0.435</v>
      </c>
      <c r="T25" s="202">
        <f t="shared" si="5"/>
        <v>0.45399999999999996</v>
      </c>
      <c r="U25" s="240" t="s">
        <v>216</v>
      </c>
      <c r="V25" s="241" t="s">
        <v>216</v>
      </c>
      <c r="W25" s="202" t="str">
        <f t="shared" si="6"/>
        <v>OFF</v>
      </c>
    </row>
    <row r="26" spans="1:23" ht="15.75" x14ac:dyDescent="0.25">
      <c r="A26" s="31">
        <f>'M&amp;R Stations'!A20</f>
        <v>38979</v>
      </c>
      <c r="B26" s="240" t="s">
        <v>220</v>
      </c>
      <c r="C26" s="241" t="s">
        <v>220</v>
      </c>
      <c r="D26" s="201" t="s">
        <v>220</v>
      </c>
      <c r="E26" s="240">
        <v>0.41</v>
      </c>
      <c r="F26" s="241">
        <v>0.33</v>
      </c>
      <c r="G26" s="201">
        <f t="shared" si="1"/>
        <v>0.37</v>
      </c>
      <c r="H26" s="240">
        <v>0.32</v>
      </c>
      <c r="I26" s="241">
        <v>0.32</v>
      </c>
      <c r="J26" s="202">
        <f t="shared" si="2"/>
        <v>0.32</v>
      </c>
      <c r="K26" s="194"/>
      <c r="L26" s="240">
        <v>0.627</v>
      </c>
      <c r="M26" s="241">
        <v>0.41799999999999998</v>
      </c>
      <c r="N26" s="202">
        <f t="shared" si="3"/>
        <v>0.52249999999999996</v>
      </c>
      <c r="O26" s="240">
        <v>0.58099999999999996</v>
      </c>
      <c r="P26" s="241">
        <v>0.48499999999999999</v>
      </c>
      <c r="Q26" s="202">
        <f t="shared" si="4"/>
        <v>0.53299999999999992</v>
      </c>
      <c r="R26" s="240">
        <v>0.45400000000000001</v>
      </c>
      <c r="S26" s="241">
        <v>0.435</v>
      </c>
      <c r="T26" s="202">
        <f t="shared" si="5"/>
        <v>0.44450000000000001</v>
      </c>
      <c r="U26" s="240" t="s">
        <v>216</v>
      </c>
      <c r="V26" s="241" t="s">
        <v>216</v>
      </c>
      <c r="W26" s="202" t="str">
        <f t="shared" si="6"/>
        <v>OFF</v>
      </c>
    </row>
    <row r="27" spans="1:23" ht="15.75" x14ac:dyDescent="0.25">
      <c r="A27" s="31">
        <f>'M&amp;R Stations'!A21</f>
        <v>38980</v>
      </c>
      <c r="B27" s="240" t="s">
        <v>220</v>
      </c>
      <c r="C27" s="241" t="s">
        <v>220</v>
      </c>
      <c r="D27" s="201" t="s">
        <v>220</v>
      </c>
      <c r="E27" s="240">
        <v>0.33</v>
      </c>
      <c r="F27" s="241">
        <v>0.28999999999999998</v>
      </c>
      <c r="G27" s="201">
        <f t="shared" si="1"/>
        <v>0.31</v>
      </c>
      <c r="H27" s="240">
        <v>0.34</v>
      </c>
      <c r="I27" s="241">
        <v>0.3</v>
      </c>
      <c r="J27" s="202">
        <f t="shared" si="2"/>
        <v>0.32</v>
      </c>
      <c r="K27" s="194"/>
      <c r="L27" s="240">
        <v>0.627</v>
      </c>
      <c r="M27" s="241">
        <v>0.54300000000000004</v>
      </c>
      <c r="N27" s="202">
        <f t="shared" si="3"/>
        <v>0.58499999999999996</v>
      </c>
      <c r="O27" s="240">
        <v>0.58099999999999996</v>
      </c>
      <c r="P27" s="241">
        <v>0.48499999999999999</v>
      </c>
      <c r="Q27" s="202">
        <f t="shared" si="4"/>
        <v>0.53299999999999992</v>
      </c>
      <c r="R27" s="240">
        <v>0.54800000000000004</v>
      </c>
      <c r="S27" s="241">
        <v>0.45300000000000001</v>
      </c>
      <c r="T27" s="202">
        <f t="shared" si="5"/>
        <v>0.50050000000000006</v>
      </c>
      <c r="U27" s="240" t="s">
        <v>216</v>
      </c>
      <c r="V27" s="241" t="s">
        <v>216</v>
      </c>
      <c r="W27" s="202" t="str">
        <f t="shared" si="6"/>
        <v>OFF</v>
      </c>
    </row>
    <row r="28" spans="1:23" ht="15.75" x14ac:dyDescent="0.25">
      <c r="A28" s="31">
        <f>'M&amp;R Stations'!A22</f>
        <v>38981</v>
      </c>
      <c r="B28" s="240" t="s">
        <v>220</v>
      </c>
      <c r="C28" s="241" t="s">
        <v>220</v>
      </c>
      <c r="D28" s="201" t="s">
        <v>220</v>
      </c>
      <c r="E28" s="240">
        <v>0.33</v>
      </c>
      <c r="F28" s="241">
        <v>0.28999999999999998</v>
      </c>
      <c r="G28" s="201">
        <f t="shared" si="1"/>
        <v>0.31</v>
      </c>
      <c r="H28" s="240">
        <v>0.3</v>
      </c>
      <c r="I28" s="241">
        <v>0.3</v>
      </c>
      <c r="J28" s="202">
        <f t="shared" si="2"/>
        <v>0.3</v>
      </c>
      <c r="K28" s="194"/>
      <c r="L28" s="240">
        <v>0.77400000000000002</v>
      </c>
      <c r="M28" s="241">
        <v>0.54300000000000004</v>
      </c>
      <c r="N28" s="202">
        <f t="shared" si="3"/>
        <v>0.65850000000000009</v>
      </c>
      <c r="O28" s="240">
        <v>0.70699999999999996</v>
      </c>
      <c r="P28" s="241">
        <v>0.51700000000000002</v>
      </c>
      <c r="Q28" s="202">
        <f t="shared" si="4"/>
        <v>0.61199999999999999</v>
      </c>
      <c r="R28" s="240">
        <v>0.54800000000000004</v>
      </c>
      <c r="S28" s="241">
        <v>0.49099999999999999</v>
      </c>
      <c r="T28" s="202">
        <f t="shared" si="5"/>
        <v>0.51950000000000007</v>
      </c>
      <c r="U28" s="240" t="s">
        <v>216</v>
      </c>
      <c r="V28" s="241" t="s">
        <v>216</v>
      </c>
      <c r="W28" s="202" t="str">
        <f t="shared" si="6"/>
        <v>OFF</v>
      </c>
    </row>
    <row r="29" spans="1:23" ht="15.75" x14ac:dyDescent="0.25">
      <c r="A29" s="31">
        <f>'M&amp;R Stations'!A23</f>
        <v>38982</v>
      </c>
      <c r="B29" s="240" t="s">
        <v>220</v>
      </c>
      <c r="C29" s="241" t="s">
        <v>220</v>
      </c>
      <c r="D29" s="201" t="s">
        <v>220</v>
      </c>
      <c r="E29" s="240">
        <v>0.28999999999999998</v>
      </c>
      <c r="F29" s="241">
        <v>0.26</v>
      </c>
      <c r="G29" s="201">
        <f t="shared" si="1"/>
        <v>0.27500000000000002</v>
      </c>
      <c r="H29" s="240">
        <v>0.3</v>
      </c>
      <c r="I29" s="241">
        <v>0.22</v>
      </c>
      <c r="J29" s="202">
        <f t="shared" si="2"/>
        <v>0.26</v>
      </c>
      <c r="K29" s="194"/>
      <c r="L29" s="240">
        <v>0.77400000000000002</v>
      </c>
      <c r="M29" s="241">
        <v>0.69699999999999995</v>
      </c>
      <c r="N29" s="202">
        <f t="shared" si="3"/>
        <v>0.73550000000000004</v>
      </c>
      <c r="O29" s="240">
        <v>0.78600000000000003</v>
      </c>
      <c r="P29" s="241">
        <v>0.70699999999999996</v>
      </c>
      <c r="Q29" s="202">
        <f t="shared" si="4"/>
        <v>0.74649999999999994</v>
      </c>
      <c r="R29" s="240">
        <v>0.56699999999999995</v>
      </c>
      <c r="S29" s="241">
        <v>0.51</v>
      </c>
      <c r="T29" s="202">
        <f t="shared" si="5"/>
        <v>0.53849999999999998</v>
      </c>
      <c r="U29" s="240" t="s">
        <v>216</v>
      </c>
      <c r="V29" s="241" t="s">
        <v>216</v>
      </c>
      <c r="W29" s="202" t="str">
        <f t="shared" si="6"/>
        <v>OFF</v>
      </c>
    </row>
    <row r="30" spans="1:23" ht="15.75" x14ac:dyDescent="0.25">
      <c r="A30" s="31">
        <f>'M&amp;R Stations'!A24</f>
        <v>38983</v>
      </c>
      <c r="B30" s="240" t="s">
        <v>220</v>
      </c>
      <c r="C30" s="241" t="s">
        <v>220</v>
      </c>
      <c r="D30" s="201" t="s">
        <v>220</v>
      </c>
      <c r="E30" s="240">
        <v>0.26</v>
      </c>
      <c r="F30" s="241">
        <v>0.22</v>
      </c>
      <c r="G30" s="201">
        <f t="shared" si="1"/>
        <v>0.24</v>
      </c>
      <c r="H30" s="240">
        <v>0.26</v>
      </c>
      <c r="I30" s="241">
        <v>0.22</v>
      </c>
      <c r="J30" s="202">
        <f t="shared" si="2"/>
        <v>0.24</v>
      </c>
      <c r="K30" s="194"/>
      <c r="L30" s="240">
        <v>0.77400000000000002</v>
      </c>
      <c r="M30" s="241">
        <v>0.51600000000000001</v>
      </c>
      <c r="N30" s="202">
        <f t="shared" si="3"/>
        <v>0.64500000000000002</v>
      </c>
      <c r="O30" s="240">
        <v>0.70699999999999996</v>
      </c>
      <c r="P30" s="241">
        <v>0.629</v>
      </c>
      <c r="Q30" s="202">
        <f t="shared" si="4"/>
        <v>0.66799999999999993</v>
      </c>
      <c r="R30" s="240">
        <v>0.52900000000000003</v>
      </c>
      <c r="S30" s="241">
        <v>0.45400000000000001</v>
      </c>
      <c r="T30" s="202">
        <f t="shared" si="5"/>
        <v>0.49150000000000005</v>
      </c>
      <c r="U30" s="240" t="s">
        <v>216</v>
      </c>
      <c r="V30" s="241" t="s">
        <v>216</v>
      </c>
      <c r="W30" s="202" t="str">
        <f t="shared" si="6"/>
        <v>OFF</v>
      </c>
    </row>
    <row r="31" spans="1:23" ht="15.75" x14ac:dyDescent="0.25">
      <c r="A31" s="31">
        <f>'M&amp;R Stations'!A25</f>
        <v>38984</v>
      </c>
      <c r="B31" s="240" t="s">
        <v>220</v>
      </c>
      <c r="C31" s="241" t="s">
        <v>220</v>
      </c>
      <c r="D31" s="201" t="s">
        <v>220</v>
      </c>
      <c r="E31" s="240">
        <v>0.26</v>
      </c>
      <c r="F31" s="241">
        <v>0.22</v>
      </c>
      <c r="G31" s="201">
        <f t="shared" si="1"/>
        <v>0.24</v>
      </c>
      <c r="H31" s="240">
        <v>0.22</v>
      </c>
      <c r="I31" s="241">
        <v>0.22</v>
      </c>
      <c r="J31" s="202">
        <f t="shared" si="2"/>
        <v>0.22</v>
      </c>
      <c r="K31" s="194"/>
      <c r="L31" s="240">
        <v>0.72199999999999998</v>
      </c>
      <c r="M31" s="241">
        <v>0.51600000000000001</v>
      </c>
      <c r="N31" s="202">
        <f t="shared" si="3"/>
        <v>0.61899999999999999</v>
      </c>
      <c r="O31" s="240">
        <v>0.747</v>
      </c>
      <c r="P31" s="241">
        <v>0.55000000000000004</v>
      </c>
      <c r="Q31" s="202">
        <f t="shared" si="4"/>
        <v>0.64850000000000008</v>
      </c>
      <c r="R31" s="240">
        <v>0.54800000000000004</v>
      </c>
      <c r="S31" s="241">
        <v>0.45400000000000001</v>
      </c>
      <c r="T31" s="202">
        <f t="shared" si="5"/>
        <v>0.501</v>
      </c>
      <c r="U31" s="240" t="s">
        <v>216</v>
      </c>
      <c r="V31" s="241" t="s">
        <v>216</v>
      </c>
      <c r="W31" s="202" t="str">
        <f t="shared" si="6"/>
        <v>OFF</v>
      </c>
    </row>
    <row r="32" spans="1:23" ht="15.75" x14ac:dyDescent="0.25">
      <c r="A32" s="31">
        <f>'M&amp;R Stations'!A26</f>
        <v>38985</v>
      </c>
      <c r="B32" s="240" t="s">
        <v>220</v>
      </c>
      <c r="C32" s="241" t="s">
        <v>220</v>
      </c>
      <c r="D32" s="201" t="s">
        <v>220</v>
      </c>
      <c r="E32" s="240">
        <v>0.59</v>
      </c>
      <c r="F32" s="241">
        <v>0.56000000000000005</v>
      </c>
      <c r="G32" s="201">
        <f t="shared" si="1"/>
        <v>0.57499999999999996</v>
      </c>
      <c r="H32" s="240">
        <v>0.6</v>
      </c>
      <c r="I32" s="241">
        <v>0.56000000000000005</v>
      </c>
      <c r="J32" s="202">
        <f t="shared" si="2"/>
        <v>0.58000000000000007</v>
      </c>
      <c r="K32" s="194"/>
      <c r="L32" s="240">
        <v>0.72199999999999998</v>
      </c>
      <c r="M32" s="241">
        <v>0.56799999999999995</v>
      </c>
      <c r="N32" s="202">
        <f t="shared" si="3"/>
        <v>0.64500000000000002</v>
      </c>
      <c r="O32" s="240">
        <v>0.629</v>
      </c>
      <c r="P32" s="241">
        <v>0.55000000000000004</v>
      </c>
      <c r="Q32" s="202">
        <f t="shared" si="4"/>
        <v>0.58950000000000002</v>
      </c>
      <c r="R32" s="240">
        <v>0.51</v>
      </c>
      <c r="S32" s="241">
        <v>0.41599999999999998</v>
      </c>
      <c r="T32" s="202">
        <f t="shared" si="5"/>
        <v>0.46299999999999997</v>
      </c>
      <c r="U32" s="240" t="s">
        <v>216</v>
      </c>
      <c r="V32" s="241" t="s">
        <v>216</v>
      </c>
      <c r="W32" s="202" t="str">
        <f t="shared" si="6"/>
        <v>OFF</v>
      </c>
    </row>
    <row r="33" spans="1:23" ht="15.75" x14ac:dyDescent="0.25">
      <c r="A33" s="31">
        <f>'M&amp;R Stations'!A27</f>
        <v>38986</v>
      </c>
      <c r="B33" s="240" t="s">
        <v>220</v>
      </c>
      <c r="C33" s="241" t="s">
        <v>220</v>
      </c>
      <c r="D33" s="201" t="s">
        <v>220</v>
      </c>
      <c r="E33" s="240">
        <v>0.67</v>
      </c>
      <c r="F33" s="241">
        <v>0.59</v>
      </c>
      <c r="G33" s="201">
        <f t="shared" si="1"/>
        <v>0.63</v>
      </c>
      <c r="H33" s="240">
        <v>0.64</v>
      </c>
      <c r="I33" s="241">
        <v>0.6</v>
      </c>
      <c r="J33" s="202">
        <f t="shared" si="2"/>
        <v>0.62</v>
      </c>
      <c r="K33" s="194"/>
      <c r="L33" s="240">
        <v>0.77400000000000002</v>
      </c>
      <c r="M33" s="241">
        <v>0.64500000000000002</v>
      </c>
      <c r="N33" s="202">
        <f t="shared" si="3"/>
        <v>0.70950000000000002</v>
      </c>
      <c r="O33" s="240">
        <v>0.70699999999999996</v>
      </c>
      <c r="P33" s="241">
        <v>0.55000000000000004</v>
      </c>
      <c r="Q33" s="202">
        <f t="shared" si="4"/>
        <v>0.62850000000000006</v>
      </c>
      <c r="R33" s="240">
        <v>0.51</v>
      </c>
      <c r="S33" s="241">
        <v>0.47299999999999998</v>
      </c>
      <c r="T33" s="202">
        <f t="shared" si="5"/>
        <v>0.49149999999999999</v>
      </c>
      <c r="U33" s="240" t="s">
        <v>216</v>
      </c>
      <c r="V33" s="241" t="s">
        <v>216</v>
      </c>
      <c r="W33" s="202" t="str">
        <f t="shared" si="6"/>
        <v>OFF</v>
      </c>
    </row>
    <row r="34" spans="1:23" ht="15.75" x14ac:dyDescent="0.25">
      <c r="A34" s="31">
        <f>'M&amp;R Stations'!A28</f>
        <v>38987</v>
      </c>
      <c r="B34" s="240" t="s">
        <v>220</v>
      </c>
      <c r="C34" s="241" t="s">
        <v>220</v>
      </c>
      <c r="D34" s="201" t="s">
        <v>220</v>
      </c>
      <c r="E34" s="240">
        <v>0.63</v>
      </c>
      <c r="F34" s="241">
        <v>0.52</v>
      </c>
      <c r="G34" s="201">
        <f t="shared" si="1"/>
        <v>0.57499999999999996</v>
      </c>
      <c r="H34" s="240">
        <v>0.64</v>
      </c>
      <c r="I34" s="241">
        <v>0.52</v>
      </c>
      <c r="J34" s="202">
        <f t="shared" si="2"/>
        <v>0.58000000000000007</v>
      </c>
      <c r="K34" s="194"/>
      <c r="L34" s="240">
        <v>0.64500000000000002</v>
      </c>
      <c r="M34" s="241">
        <v>0.54200000000000004</v>
      </c>
      <c r="N34" s="202">
        <f t="shared" si="3"/>
        <v>0.59350000000000003</v>
      </c>
      <c r="O34" s="240">
        <v>0.629</v>
      </c>
      <c r="P34" s="241">
        <v>0.55000000000000004</v>
      </c>
      <c r="Q34" s="202">
        <f t="shared" si="4"/>
        <v>0.58950000000000002</v>
      </c>
      <c r="R34" s="240">
        <v>0.45400000000000001</v>
      </c>
      <c r="S34" s="241">
        <v>0.41599999999999998</v>
      </c>
      <c r="T34" s="202">
        <f t="shared" si="5"/>
        <v>0.435</v>
      </c>
      <c r="U34" s="240" t="s">
        <v>216</v>
      </c>
      <c r="V34" s="241" t="s">
        <v>216</v>
      </c>
      <c r="W34" s="202" t="str">
        <f t="shared" si="6"/>
        <v>OFF</v>
      </c>
    </row>
    <row r="35" spans="1:23" ht="15.75" x14ac:dyDescent="0.25">
      <c r="A35" s="31">
        <f>'M&amp;R Stations'!A29</f>
        <v>38988</v>
      </c>
      <c r="B35" s="240" t="s">
        <v>220</v>
      </c>
      <c r="C35" s="241" t="s">
        <v>220</v>
      </c>
      <c r="D35" s="201" t="s">
        <v>220</v>
      </c>
      <c r="E35" s="240">
        <v>0.38</v>
      </c>
      <c r="F35" s="241">
        <v>0.36</v>
      </c>
      <c r="G35" s="201">
        <f t="shared" si="1"/>
        <v>0.37</v>
      </c>
      <c r="H35" s="240">
        <v>0.41</v>
      </c>
      <c r="I35" s="241">
        <v>0.39</v>
      </c>
      <c r="J35" s="202">
        <f t="shared" si="2"/>
        <v>0.4</v>
      </c>
      <c r="K35" s="194"/>
      <c r="L35" s="240">
        <v>0.67100000000000004</v>
      </c>
      <c r="M35" s="241">
        <v>0.54200000000000004</v>
      </c>
      <c r="N35" s="202">
        <f t="shared" si="3"/>
        <v>0.60650000000000004</v>
      </c>
      <c r="O35" s="240">
        <v>0.59</v>
      </c>
      <c r="P35" s="241">
        <v>0.51100000000000001</v>
      </c>
      <c r="Q35" s="202">
        <f t="shared" si="4"/>
        <v>0.55049999999999999</v>
      </c>
      <c r="R35" s="240">
        <v>0.45400000000000001</v>
      </c>
      <c r="S35" s="241">
        <v>0.41599999999999998</v>
      </c>
      <c r="T35" s="202">
        <f t="shared" si="5"/>
        <v>0.435</v>
      </c>
      <c r="U35" s="240" t="s">
        <v>216</v>
      </c>
      <c r="V35" s="241" t="s">
        <v>216</v>
      </c>
      <c r="W35" s="202" t="str">
        <f t="shared" si="6"/>
        <v>OFF</v>
      </c>
    </row>
    <row r="36" spans="1:23" ht="15.75" x14ac:dyDescent="0.25">
      <c r="A36" s="31">
        <f>'M&amp;R Stations'!A30</f>
        <v>38989</v>
      </c>
      <c r="B36" s="240" t="s">
        <v>220</v>
      </c>
      <c r="C36" s="241" t="s">
        <v>220</v>
      </c>
      <c r="D36" s="201" t="s">
        <v>220</v>
      </c>
      <c r="E36" s="240">
        <v>0.38</v>
      </c>
      <c r="F36" s="241">
        <v>0.36</v>
      </c>
      <c r="G36" s="201">
        <f t="shared" si="1"/>
        <v>0.37</v>
      </c>
      <c r="H36" s="240">
        <v>0.41</v>
      </c>
      <c r="I36" s="241">
        <v>0.39</v>
      </c>
      <c r="J36" s="202">
        <f t="shared" si="2"/>
        <v>0.4</v>
      </c>
      <c r="K36" s="194"/>
      <c r="L36" s="240">
        <v>0.91600000000000004</v>
      </c>
      <c r="M36" s="241">
        <v>0.49</v>
      </c>
      <c r="N36" s="202">
        <f t="shared" si="3"/>
        <v>0.70300000000000007</v>
      </c>
      <c r="O36" s="240">
        <v>0.629</v>
      </c>
      <c r="P36" s="241">
        <v>0.51100000000000001</v>
      </c>
      <c r="Q36" s="202">
        <f t="shared" si="4"/>
        <v>0.57000000000000006</v>
      </c>
      <c r="R36" s="240">
        <v>0.45900000000000002</v>
      </c>
      <c r="S36" s="241">
        <v>0.40100000000000002</v>
      </c>
      <c r="T36" s="202">
        <f t="shared" si="5"/>
        <v>0.43000000000000005</v>
      </c>
      <c r="U36" s="240" t="s">
        <v>216</v>
      </c>
      <c r="V36" s="241" t="s">
        <v>216</v>
      </c>
      <c r="W36" s="202" t="str">
        <f t="shared" si="6"/>
        <v>OFF</v>
      </c>
    </row>
    <row r="37" spans="1:23" ht="15.75" x14ac:dyDescent="0.25">
      <c r="A37" s="31">
        <f>'M&amp;R Stations'!A31</f>
        <v>38990</v>
      </c>
      <c r="B37" s="240" t="s">
        <v>220</v>
      </c>
      <c r="C37" s="241" t="s">
        <v>220</v>
      </c>
      <c r="D37" s="201" t="s">
        <v>220</v>
      </c>
      <c r="E37" s="240">
        <v>0.36</v>
      </c>
      <c r="F37" s="241">
        <v>0.36</v>
      </c>
      <c r="G37" s="201">
        <f t="shared" si="1"/>
        <v>0.36</v>
      </c>
      <c r="H37" s="240">
        <v>0.41</v>
      </c>
      <c r="I37" s="241">
        <v>0.39</v>
      </c>
      <c r="J37" s="202">
        <f t="shared" si="2"/>
        <v>0.4</v>
      </c>
      <c r="K37" s="194"/>
      <c r="L37" s="240">
        <v>0.91600000000000004</v>
      </c>
      <c r="M37" s="241">
        <v>0.68700000000000006</v>
      </c>
      <c r="N37" s="202">
        <f t="shared" si="3"/>
        <v>0.8015000000000001</v>
      </c>
      <c r="O37" s="240">
        <v>0.64100000000000001</v>
      </c>
      <c r="P37" s="241">
        <v>0.47199999999999998</v>
      </c>
      <c r="Q37" s="202">
        <f t="shared" si="4"/>
        <v>0.55649999999999999</v>
      </c>
      <c r="R37" s="240">
        <v>0.45800000000000002</v>
      </c>
      <c r="S37" s="241">
        <v>0.439</v>
      </c>
      <c r="T37" s="202">
        <f t="shared" si="5"/>
        <v>0.44850000000000001</v>
      </c>
      <c r="U37" s="240" t="s">
        <v>216</v>
      </c>
      <c r="V37" s="241" t="s">
        <v>216</v>
      </c>
      <c r="W37" s="202" t="str">
        <f t="shared" si="6"/>
        <v>OFF</v>
      </c>
    </row>
    <row r="38" spans="1:23" ht="15.75" x14ac:dyDescent="0.25">
      <c r="A38" s="96"/>
      <c r="B38" s="203"/>
      <c r="C38" s="204"/>
      <c r="D38" s="205"/>
      <c r="E38" s="203"/>
      <c r="F38" s="204"/>
      <c r="G38" s="205"/>
      <c r="H38" s="203"/>
      <c r="I38" s="204"/>
      <c r="J38" s="206"/>
      <c r="K38" s="207"/>
      <c r="L38" s="203"/>
      <c r="M38" s="204"/>
      <c r="N38" s="206"/>
      <c r="O38" s="203"/>
      <c r="P38" s="204"/>
      <c r="Q38" s="206"/>
      <c r="R38" s="203"/>
      <c r="S38" s="204"/>
      <c r="T38" s="206"/>
      <c r="U38" s="203"/>
      <c r="V38" s="204"/>
      <c r="W38" s="206"/>
    </row>
    <row r="39" spans="1:23" ht="15.75" x14ac:dyDescent="0.25">
      <c r="A39" s="31">
        <f>'M&amp;R Stations'!A32</f>
        <v>38991</v>
      </c>
      <c r="B39" s="240" t="s">
        <v>220</v>
      </c>
      <c r="C39" s="241" t="s">
        <v>220</v>
      </c>
      <c r="D39" s="201" t="s">
        <v>220</v>
      </c>
      <c r="E39" s="240">
        <v>0.36</v>
      </c>
      <c r="F39" s="241">
        <v>0.32</v>
      </c>
      <c r="G39" s="201">
        <f>IF(AND(E39="",F39=""),"",IF(E39="off",F39,IF(F39="off",E39,AVERAGE(E39:F39))))</f>
        <v>0.33999999999999997</v>
      </c>
      <c r="H39" s="240">
        <v>0.39</v>
      </c>
      <c r="I39" s="241">
        <v>0.32</v>
      </c>
      <c r="J39" s="201">
        <f>IF(AND(H39="",I39=""),"",IF(H39="off",I39,IF(I39="off",H39,AVERAGE(H39:I39))))</f>
        <v>0.35499999999999998</v>
      </c>
      <c r="K39" s="260"/>
      <c r="L39" s="240">
        <v>0.91600000000000004</v>
      </c>
      <c r="M39" s="241">
        <v>0.64100000000000001</v>
      </c>
      <c r="N39" s="201">
        <f>IF(AND(L39="",M39=""),"",IF(L39="off",M39,IF(M39="off",L39,AVERAGE(L39:M39))))</f>
        <v>0.77849999999999997</v>
      </c>
      <c r="O39" s="240">
        <v>0.66800000000000004</v>
      </c>
      <c r="P39" s="241">
        <v>0.47099999999999997</v>
      </c>
      <c r="Q39" s="201">
        <f>IF(AND(O39="",P39=""),"",IF(O39="off",P39,IF(P39="off",O39,AVERAGE(O39:P39))))</f>
        <v>0.56950000000000001</v>
      </c>
      <c r="R39" s="240">
        <v>0.45800000000000002</v>
      </c>
      <c r="S39" s="241">
        <v>0.42</v>
      </c>
      <c r="T39" s="201">
        <f>IF(AND(R39="",S39=""),"",IF(R39="off",S39,IF(S39="off",R39,AVERAGE(R39:S39))))</f>
        <v>0.439</v>
      </c>
      <c r="U39" s="240" t="s">
        <v>216</v>
      </c>
      <c r="V39" s="241" t="s">
        <v>216</v>
      </c>
      <c r="W39" s="202" t="str">
        <f t="shared" ref="W39:W46" si="7">IF(AND(U39="",V39=""),"",IF(U39="off",V39,IF(V39="off",U39,AVERAGE(U39:V39))))</f>
        <v>OFF</v>
      </c>
    </row>
    <row r="40" spans="1:23" ht="15.75" x14ac:dyDescent="0.25">
      <c r="A40" s="31">
        <f>'M&amp;R Stations'!A33</f>
        <v>38992</v>
      </c>
      <c r="B40" s="240" t="s">
        <v>220</v>
      </c>
      <c r="C40" s="241" t="s">
        <v>220</v>
      </c>
      <c r="D40" s="201" t="s">
        <v>220</v>
      </c>
      <c r="E40" s="240">
        <v>0.36</v>
      </c>
      <c r="F40" s="241">
        <v>0.32</v>
      </c>
      <c r="G40" s="201">
        <f>IF(AND(E40="",F40=""),"",IF(E40="off",F40,IF(F40="off",E40,AVERAGE(E40:F40))))</f>
        <v>0.33999999999999997</v>
      </c>
      <c r="H40" s="240">
        <v>0.39</v>
      </c>
      <c r="I40" s="241">
        <v>0.34</v>
      </c>
      <c r="J40" s="202">
        <f>IF(AND(H40="",I40=""),"",IF(H40="off",I40,IF(I40="off",H40,AVERAGE(H40:I40))))</f>
        <v>0.36499999999999999</v>
      </c>
      <c r="K40" s="194"/>
      <c r="L40" s="240">
        <v>0.91600000000000004</v>
      </c>
      <c r="M40" s="241">
        <v>0.68700000000000006</v>
      </c>
      <c r="N40" s="202">
        <f>IF(AND(L40="",M40=""),"",IF(L40="off",M40,IF(M40="off",L40,AVERAGE(L40:M40))))</f>
        <v>0.8015000000000001</v>
      </c>
      <c r="O40" s="240">
        <v>0.747</v>
      </c>
      <c r="P40" s="241">
        <v>0.55000000000000004</v>
      </c>
      <c r="Q40" s="202">
        <f>IF(AND(O40="",P40=""),"",IF(O40="off",P40,IF(P40="off",O40,AVERAGE(O40:P40))))</f>
        <v>0.64850000000000008</v>
      </c>
      <c r="R40" s="240">
        <v>0.45800000000000002</v>
      </c>
      <c r="S40" s="241">
        <v>0.42</v>
      </c>
      <c r="T40" s="202">
        <f>IF(AND(R40="",S40=""),"",IF(R40="off",S40,IF(S40="off",R40,AVERAGE(R40:S40))))</f>
        <v>0.439</v>
      </c>
      <c r="U40" s="240" t="s">
        <v>216</v>
      </c>
      <c r="V40" s="241" t="s">
        <v>216</v>
      </c>
      <c r="W40" s="202" t="str">
        <f t="shared" si="7"/>
        <v>OFF</v>
      </c>
    </row>
    <row r="41" spans="1:23" ht="15.75" x14ac:dyDescent="0.25">
      <c r="A41" s="31">
        <f>'M&amp;R Stations'!A34</f>
        <v>38993</v>
      </c>
      <c r="B41" s="240" t="s">
        <v>220</v>
      </c>
      <c r="C41" s="241" t="s">
        <v>220</v>
      </c>
      <c r="D41" s="201" t="s">
        <v>220</v>
      </c>
      <c r="E41" s="240">
        <v>0.34</v>
      </c>
      <c r="F41" s="241">
        <v>0.34</v>
      </c>
      <c r="G41" s="201">
        <f t="shared" ref="G41:G100" si="8">IF(AND(E41="",F41=""),"",IF(E41="off",F41,IF(F41="off",E41,AVERAGE(E41:F41))))</f>
        <v>0.34</v>
      </c>
      <c r="H41" s="240">
        <v>0.36</v>
      </c>
      <c r="I41" s="241">
        <v>0.36</v>
      </c>
      <c r="J41" s="202">
        <f t="shared" ref="J41:J100" si="9">IF(AND(H41="",I41=""),"",IF(H41="off",I41,IF(I41="off",H41,AVERAGE(H41:I41))))</f>
        <v>0.36</v>
      </c>
      <c r="K41" s="194"/>
      <c r="L41" s="240">
        <v>0.91600000000000004</v>
      </c>
      <c r="M41" s="241">
        <v>0.77900000000000003</v>
      </c>
      <c r="N41" s="202">
        <f t="shared" ref="N41:N100" si="10">IF(AND(L41="",M41=""),"",IF(L41="off",M41,IF(M41="off",L41,AVERAGE(L41:M41))))</f>
        <v>0.84750000000000003</v>
      </c>
      <c r="O41" s="240">
        <v>0.78600000000000003</v>
      </c>
      <c r="P41" s="241">
        <v>0.629</v>
      </c>
      <c r="Q41" s="202">
        <f t="shared" ref="Q41:Q100" si="11">IF(AND(O41="",P41=""),"",IF(O41="off",P41,IF(P41="off",O41,AVERAGE(O41:P41))))</f>
        <v>0.70750000000000002</v>
      </c>
      <c r="R41" s="240">
        <v>0.42</v>
      </c>
      <c r="S41" s="241">
        <v>0.38200000000000001</v>
      </c>
      <c r="T41" s="202">
        <f t="shared" ref="T41:T100" si="12">IF(AND(R41="",S41=""),"",IF(R41="off",S41,IF(S41="off",R41,AVERAGE(R41:S41))))</f>
        <v>0.40100000000000002</v>
      </c>
      <c r="U41" s="240" t="s">
        <v>216</v>
      </c>
      <c r="V41" s="241" t="s">
        <v>216</v>
      </c>
      <c r="W41" s="202" t="str">
        <f t="shared" si="7"/>
        <v>OFF</v>
      </c>
    </row>
    <row r="42" spans="1:23" ht="15.75" x14ac:dyDescent="0.25">
      <c r="A42" s="31">
        <f>'M&amp;R Stations'!A35</f>
        <v>38994</v>
      </c>
      <c r="B42" s="240" t="s">
        <v>220</v>
      </c>
      <c r="C42" s="241" t="s">
        <v>220</v>
      </c>
      <c r="D42" s="201" t="s">
        <v>220</v>
      </c>
      <c r="E42" s="240">
        <v>0.36</v>
      </c>
      <c r="F42" s="241">
        <v>0.34</v>
      </c>
      <c r="G42" s="201">
        <f t="shared" si="8"/>
        <v>0.35</v>
      </c>
      <c r="H42" s="240">
        <v>0.39</v>
      </c>
      <c r="I42" s="241">
        <v>0.36</v>
      </c>
      <c r="J42" s="202">
        <f t="shared" si="9"/>
        <v>0.375</v>
      </c>
      <c r="K42" s="194"/>
      <c r="L42" s="240">
        <v>0.96199999999999997</v>
      </c>
      <c r="M42" s="241">
        <v>0.68700000000000006</v>
      </c>
      <c r="N42" s="202">
        <f>IF(AND(L42="",M42=""),"",IF(L42="off",M42,IF(M42="off",L42,AVERAGE(L42:M42))))</f>
        <v>0.82450000000000001</v>
      </c>
      <c r="O42" s="240">
        <v>0.70699999999999996</v>
      </c>
      <c r="P42" s="241">
        <v>0.59</v>
      </c>
      <c r="Q42" s="202">
        <f t="shared" si="11"/>
        <v>0.64849999999999997</v>
      </c>
      <c r="R42" s="240">
        <v>0.47799999999999998</v>
      </c>
      <c r="S42" s="241">
        <v>0.42</v>
      </c>
      <c r="T42" s="202">
        <f t="shared" si="12"/>
        <v>0.44899999999999995</v>
      </c>
      <c r="U42" s="240" t="s">
        <v>216</v>
      </c>
      <c r="V42" s="241" t="s">
        <v>216</v>
      </c>
      <c r="W42" s="202" t="str">
        <f t="shared" si="7"/>
        <v>OFF</v>
      </c>
    </row>
    <row r="43" spans="1:23" ht="15.75" x14ac:dyDescent="0.25">
      <c r="A43" s="31">
        <f>'M&amp;R Stations'!A36</f>
        <v>38995</v>
      </c>
      <c r="B43" s="240" t="s">
        <v>220</v>
      </c>
      <c r="C43" s="241" t="s">
        <v>220</v>
      </c>
      <c r="D43" s="201" t="s">
        <v>220</v>
      </c>
      <c r="E43" s="240">
        <v>0.38</v>
      </c>
      <c r="F43" s="241">
        <v>0.31</v>
      </c>
      <c r="G43" s="201">
        <f t="shared" si="8"/>
        <v>0.34499999999999997</v>
      </c>
      <c r="H43" s="240">
        <v>0.39</v>
      </c>
      <c r="I43" s="241">
        <v>0.34</v>
      </c>
      <c r="J43" s="202">
        <f t="shared" si="9"/>
        <v>0.36499999999999999</v>
      </c>
      <c r="K43" s="194"/>
      <c r="L43" s="240">
        <v>0.47799999999999998</v>
      </c>
      <c r="M43" s="241">
        <v>0.36799999999999999</v>
      </c>
      <c r="N43" s="202">
        <f t="shared" si="10"/>
        <v>0.42299999999999999</v>
      </c>
      <c r="O43" s="240">
        <v>0.501</v>
      </c>
      <c r="P43" s="241">
        <v>0.438</v>
      </c>
      <c r="Q43" s="202">
        <f t="shared" si="11"/>
        <v>0.46950000000000003</v>
      </c>
      <c r="R43" s="240">
        <v>0.47299999999999998</v>
      </c>
      <c r="S43" s="241">
        <v>0.39400000000000002</v>
      </c>
      <c r="T43" s="202">
        <f t="shared" si="12"/>
        <v>0.4335</v>
      </c>
      <c r="U43" s="240" t="s">
        <v>216</v>
      </c>
      <c r="V43" s="241" t="s">
        <v>216</v>
      </c>
      <c r="W43" s="202" t="str">
        <f t="shared" si="7"/>
        <v>OFF</v>
      </c>
    </row>
    <row r="44" spans="1:23" ht="15.75" x14ac:dyDescent="0.25">
      <c r="A44" s="31">
        <f>'M&amp;R Stations'!A37</f>
        <v>38996</v>
      </c>
      <c r="B44" s="240" t="s">
        <v>220</v>
      </c>
      <c r="C44" s="241" t="s">
        <v>220</v>
      </c>
      <c r="D44" s="201" t="s">
        <v>220</v>
      </c>
      <c r="E44" s="240">
        <v>0.38</v>
      </c>
      <c r="F44" s="241">
        <v>0.36</v>
      </c>
      <c r="G44" s="201">
        <f t="shared" si="8"/>
        <v>0.37</v>
      </c>
      <c r="H44" s="240">
        <v>0.39</v>
      </c>
      <c r="I44" s="241">
        <v>0.39</v>
      </c>
      <c r="J44" s="202">
        <f t="shared" si="9"/>
        <v>0.39</v>
      </c>
      <c r="K44" s="194"/>
      <c r="L44" s="240">
        <v>0.47799999999999998</v>
      </c>
      <c r="M44" s="241">
        <v>0.36799999999999999</v>
      </c>
      <c r="N44" s="202">
        <f t="shared" si="10"/>
        <v>0.42299999999999999</v>
      </c>
      <c r="O44" s="240">
        <v>0.59499999999999997</v>
      </c>
      <c r="P44" s="241">
        <v>0.438</v>
      </c>
      <c r="Q44" s="202">
        <f t="shared" si="11"/>
        <v>0.51649999999999996</v>
      </c>
      <c r="R44" s="240">
        <v>0.53200000000000003</v>
      </c>
      <c r="S44" s="241">
        <v>0.39400000000000002</v>
      </c>
      <c r="T44" s="202">
        <f t="shared" si="12"/>
        <v>0.46300000000000002</v>
      </c>
      <c r="U44" s="240" t="s">
        <v>216</v>
      </c>
      <c r="V44" s="241" t="s">
        <v>216</v>
      </c>
      <c r="W44" s="202" t="str">
        <f t="shared" si="7"/>
        <v>OFF</v>
      </c>
    </row>
    <row r="45" spans="1:23" ht="15.75" x14ac:dyDescent="0.25">
      <c r="A45" s="31">
        <f>'M&amp;R Stations'!A38</f>
        <v>38997</v>
      </c>
      <c r="B45" s="240" t="s">
        <v>220</v>
      </c>
      <c r="C45" s="241" t="s">
        <v>220</v>
      </c>
      <c r="D45" s="201" t="s">
        <v>220</v>
      </c>
      <c r="E45" s="240">
        <v>0.41</v>
      </c>
      <c r="F45" s="241">
        <v>0.38</v>
      </c>
      <c r="G45" s="201">
        <f t="shared" si="8"/>
        <v>0.39500000000000002</v>
      </c>
      <c r="H45" s="240">
        <v>0.42</v>
      </c>
      <c r="I45" s="241">
        <v>0.39</v>
      </c>
      <c r="J45" s="202">
        <f t="shared" si="9"/>
        <v>0.40500000000000003</v>
      </c>
      <c r="K45" s="194"/>
      <c r="L45" s="240">
        <v>0.47799999999999998</v>
      </c>
      <c r="M45" s="241">
        <v>0.38600000000000001</v>
      </c>
      <c r="N45" s="202">
        <f t="shared" si="10"/>
        <v>0.432</v>
      </c>
      <c r="O45" s="240">
        <v>0.59499999999999997</v>
      </c>
      <c r="P45" s="241">
        <v>0.53200000000000003</v>
      </c>
      <c r="Q45" s="202">
        <f t="shared" si="11"/>
        <v>0.5635</v>
      </c>
      <c r="R45" s="240">
        <v>0.55200000000000005</v>
      </c>
      <c r="S45" s="241">
        <v>0.51200000000000001</v>
      </c>
      <c r="T45" s="202">
        <f t="shared" si="12"/>
        <v>0.53200000000000003</v>
      </c>
      <c r="U45" s="240" t="s">
        <v>216</v>
      </c>
      <c r="V45" s="241" t="s">
        <v>216</v>
      </c>
      <c r="W45" s="202" t="str">
        <f t="shared" si="7"/>
        <v>OFF</v>
      </c>
    </row>
    <row r="46" spans="1:23" ht="15.75" x14ac:dyDescent="0.25">
      <c r="A46" s="31">
        <f>'M&amp;R Stations'!A39</f>
        <v>38998</v>
      </c>
      <c r="B46" s="240" t="s">
        <v>220</v>
      </c>
      <c r="C46" s="241" t="s">
        <v>220</v>
      </c>
      <c r="D46" s="201" t="s">
        <v>220</v>
      </c>
      <c r="E46" s="240">
        <v>0.41</v>
      </c>
      <c r="F46" s="241">
        <v>0.36</v>
      </c>
      <c r="G46" s="201">
        <f t="shared" si="8"/>
        <v>0.38500000000000001</v>
      </c>
      <c r="H46" s="240">
        <v>0.44</v>
      </c>
      <c r="I46" s="241">
        <v>0.39</v>
      </c>
      <c r="J46" s="202">
        <f t="shared" si="9"/>
        <v>0.41500000000000004</v>
      </c>
      <c r="K46" s="194"/>
      <c r="L46" s="240">
        <v>0.441</v>
      </c>
      <c r="M46" s="241">
        <v>0.38600000000000001</v>
      </c>
      <c r="N46" s="202">
        <f t="shared" si="10"/>
        <v>0.41349999999999998</v>
      </c>
      <c r="O46" s="240">
        <v>0.56299999999999994</v>
      </c>
      <c r="P46" s="241">
        <v>0.438</v>
      </c>
      <c r="Q46" s="202">
        <f t="shared" si="11"/>
        <v>0.50049999999999994</v>
      </c>
      <c r="R46" s="240">
        <v>0.51200000000000001</v>
      </c>
      <c r="S46" s="241">
        <v>0.41299999999999998</v>
      </c>
      <c r="T46" s="202">
        <f t="shared" si="12"/>
        <v>0.46250000000000002</v>
      </c>
      <c r="U46" s="240" t="s">
        <v>216</v>
      </c>
      <c r="V46" s="241" t="s">
        <v>216</v>
      </c>
      <c r="W46" s="202" t="str">
        <f t="shared" si="7"/>
        <v>OFF</v>
      </c>
    </row>
    <row r="47" spans="1:23" ht="15.75" x14ac:dyDescent="0.25">
      <c r="A47" s="31">
        <f>'M&amp;R Stations'!A40</f>
        <v>38999</v>
      </c>
      <c r="B47" s="240" t="s">
        <v>220</v>
      </c>
      <c r="C47" s="241" t="s">
        <v>220</v>
      </c>
      <c r="D47" s="201" t="s">
        <v>220</v>
      </c>
      <c r="E47" s="240">
        <v>0.36</v>
      </c>
      <c r="F47" s="241">
        <v>0.34</v>
      </c>
      <c r="G47" s="201">
        <f t="shared" si="8"/>
        <v>0.35</v>
      </c>
      <c r="H47" s="240">
        <v>0.39</v>
      </c>
      <c r="I47" s="241">
        <v>0.34</v>
      </c>
      <c r="J47" s="202">
        <f t="shared" si="9"/>
        <v>0.36499999999999999</v>
      </c>
      <c r="K47" s="194"/>
      <c r="L47" s="240">
        <v>0.47799999999999998</v>
      </c>
      <c r="M47" s="241">
        <v>0.34899999999999998</v>
      </c>
      <c r="N47" s="202">
        <f t="shared" si="10"/>
        <v>0.41349999999999998</v>
      </c>
      <c r="O47" s="240">
        <v>0.59499999999999997</v>
      </c>
      <c r="P47" s="241">
        <v>0.46899999999999997</v>
      </c>
      <c r="Q47" s="202">
        <f t="shared" si="11"/>
        <v>0.53200000000000003</v>
      </c>
      <c r="R47" s="240">
        <v>0.47299999999999998</v>
      </c>
      <c r="S47" s="241">
        <v>0.39400000000000002</v>
      </c>
      <c r="T47" s="202">
        <f t="shared" si="12"/>
        <v>0.4335</v>
      </c>
      <c r="U47" s="240" t="s">
        <v>216</v>
      </c>
      <c r="V47" s="241" t="s">
        <v>216</v>
      </c>
      <c r="W47" s="202" t="str">
        <f t="shared" ref="W47:W100" si="13">IF(AND(U47="",V47=""),"",IF(U47="off",V47,IF(V47="off",U47,AVERAGE(U47:V47))))</f>
        <v>OFF</v>
      </c>
    </row>
    <row r="48" spans="1:23" ht="15.75" x14ac:dyDescent="0.25">
      <c r="A48" s="31">
        <f>'M&amp;R Stations'!A41</f>
        <v>39000</v>
      </c>
      <c r="B48" s="240" t="s">
        <v>220</v>
      </c>
      <c r="C48" s="241" t="s">
        <v>220</v>
      </c>
      <c r="D48" s="201" t="s">
        <v>220</v>
      </c>
      <c r="E48" s="240">
        <v>0.38</v>
      </c>
      <c r="F48" s="241">
        <v>0.38</v>
      </c>
      <c r="G48" s="201">
        <f t="shared" si="8"/>
        <v>0.38</v>
      </c>
      <c r="H48" s="240">
        <v>0.39</v>
      </c>
      <c r="I48" s="241">
        <v>0.39</v>
      </c>
      <c r="J48" s="202">
        <f t="shared" si="9"/>
        <v>0.39</v>
      </c>
      <c r="K48" s="194"/>
      <c r="L48" s="240">
        <v>0.47799999999999998</v>
      </c>
      <c r="M48" s="241">
        <v>0.40400000000000003</v>
      </c>
      <c r="N48" s="202">
        <f t="shared" si="10"/>
        <v>0.441</v>
      </c>
      <c r="O48" s="240">
        <v>0.53200000000000003</v>
      </c>
      <c r="P48" s="241">
        <v>0.40699999999999997</v>
      </c>
      <c r="Q48" s="202">
        <f t="shared" si="11"/>
        <v>0.46950000000000003</v>
      </c>
      <c r="R48" s="240">
        <v>0.53200000000000003</v>
      </c>
      <c r="S48" s="241">
        <v>0.41299999999999998</v>
      </c>
      <c r="T48" s="202">
        <f t="shared" si="12"/>
        <v>0.47250000000000003</v>
      </c>
      <c r="U48" s="240" t="s">
        <v>216</v>
      </c>
      <c r="V48" s="241" t="s">
        <v>216</v>
      </c>
      <c r="W48" s="202" t="str">
        <f t="shared" si="13"/>
        <v>OFF</v>
      </c>
    </row>
    <row r="49" spans="1:23" ht="15.75" x14ac:dyDescent="0.25">
      <c r="A49" s="31">
        <f>'M&amp;R Stations'!A42</f>
        <v>39001</v>
      </c>
      <c r="B49" s="240" t="s">
        <v>220</v>
      </c>
      <c r="C49" s="241" t="s">
        <v>220</v>
      </c>
      <c r="D49" s="201" t="s">
        <v>220</v>
      </c>
      <c r="E49" s="240">
        <v>0.37</v>
      </c>
      <c r="F49" s="241">
        <v>0.37</v>
      </c>
      <c r="G49" s="201">
        <f t="shared" si="8"/>
        <v>0.37</v>
      </c>
      <c r="H49" s="240">
        <v>0.38</v>
      </c>
      <c r="I49" s="241">
        <v>0.33</v>
      </c>
      <c r="J49" s="202">
        <f t="shared" si="9"/>
        <v>0.35499999999999998</v>
      </c>
      <c r="K49" s="194"/>
      <c r="L49" s="240">
        <v>0.497</v>
      </c>
      <c r="M49" s="241">
        <v>0.40500000000000003</v>
      </c>
      <c r="N49" s="202">
        <f t="shared" si="10"/>
        <v>0.45100000000000001</v>
      </c>
      <c r="O49" s="240">
        <v>0.626</v>
      </c>
      <c r="P49" s="241">
        <v>0.501</v>
      </c>
      <c r="Q49" s="202">
        <f t="shared" si="11"/>
        <v>0.5635</v>
      </c>
      <c r="R49" s="240">
        <v>0.55200000000000005</v>
      </c>
      <c r="S49" s="241">
        <v>0.47299999999999998</v>
      </c>
      <c r="T49" s="202">
        <f t="shared" si="12"/>
        <v>0.51249999999999996</v>
      </c>
      <c r="U49" s="240" t="s">
        <v>216</v>
      </c>
      <c r="V49" s="241" t="s">
        <v>216</v>
      </c>
      <c r="W49" s="202" t="str">
        <f t="shared" si="13"/>
        <v>OFF</v>
      </c>
    </row>
    <row r="50" spans="1:23" ht="15.75" x14ac:dyDescent="0.25">
      <c r="A50" s="31">
        <f>'M&amp;R Stations'!A43</f>
        <v>39002</v>
      </c>
      <c r="B50" s="240" t="s">
        <v>220</v>
      </c>
      <c r="C50" s="241" t="s">
        <v>220</v>
      </c>
      <c r="D50" s="201" t="s">
        <v>220</v>
      </c>
      <c r="E50" s="240">
        <v>0.37</v>
      </c>
      <c r="F50" s="241">
        <v>0.35</v>
      </c>
      <c r="G50" s="201">
        <f t="shared" si="8"/>
        <v>0.36</v>
      </c>
      <c r="H50" s="240">
        <v>0.38</v>
      </c>
      <c r="I50" s="241">
        <v>0.38</v>
      </c>
      <c r="J50" s="202">
        <f t="shared" si="9"/>
        <v>0.38</v>
      </c>
      <c r="K50" s="194"/>
      <c r="L50" s="240">
        <v>0.63500000000000001</v>
      </c>
      <c r="M50" s="241">
        <v>0.442</v>
      </c>
      <c r="N50" s="202">
        <f t="shared" si="10"/>
        <v>0.53849999999999998</v>
      </c>
      <c r="O50" s="240">
        <v>0.68899999999999995</v>
      </c>
      <c r="P50" s="241">
        <v>0.501</v>
      </c>
      <c r="Q50" s="202">
        <f t="shared" si="11"/>
        <v>0.59499999999999997</v>
      </c>
      <c r="R50" s="240">
        <v>0.51200000000000001</v>
      </c>
      <c r="S50" s="241">
        <v>0.39200000000000002</v>
      </c>
      <c r="T50" s="202">
        <f t="shared" si="12"/>
        <v>0.45200000000000001</v>
      </c>
      <c r="U50" s="240" t="s">
        <v>216</v>
      </c>
      <c r="V50" s="241" t="s">
        <v>216</v>
      </c>
      <c r="W50" s="202" t="str">
        <f t="shared" si="13"/>
        <v>OFF</v>
      </c>
    </row>
    <row r="51" spans="1:23" ht="15.75" x14ac:dyDescent="0.25">
      <c r="A51" s="31">
        <f>'M&amp;R Stations'!A44</f>
        <v>39003</v>
      </c>
      <c r="B51" s="240" t="s">
        <v>220</v>
      </c>
      <c r="C51" s="241" t="s">
        <v>220</v>
      </c>
      <c r="D51" s="201" t="s">
        <v>220</v>
      </c>
      <c r="E51" s="240">
        <v>0.4</v>
      </c>
      <c r="F51" s="241">
        <v>0.33</v>
      </c>
      <c r="G51" s="201">
        <f t="shared" si="8"/>
        <v>0.36499999999999999</v>
      </c>
      <c r="H51" s="240">
        <v>0.41</v>
      </c>
      <c r="I51" s="241">
        <v>0.38</v>
      </c>
      <c r="J51" s="202">
        <f t="shared" si="9"/>
        <v>0.39500000000000002</v>
      </c>
      <c r="K51" s="194"/>
      <c r="L51" s="240">
        <v>0.56000000000000005</v>
      </c>
      <c r="M51" s="241">
        <v>0.51</v>
      </c>
      <c r="N51" s="202">
        <f t="shared" si="10"/>
        <v>0.53500000000000003</v>
      </c>
      <c r="O51" s="240">
        <v>0.69</v>
      </c>
      <c r="P51" s="241">
        <v>0.61</v>
      </c>
      <c r="Q51" s="202">
        <f t="shared" si="11"/>
        <v>0.64999999999999991</v>
      </c>
      <c r="R51" s="240">
        <v>0.41</v>
      </c>
      <c r="S51" s="241">
        <v>0.39</v>
      </c>
      <c r="T51" s="202">
        <f t="shared" si="12"/>
        <v>0.4</v>
      </c>
      <c r="U51" s="240" t="s">
        <v>216</v>
      </c>
      <c r="V51" s="241" t="s">
        <v>216</v>
      </c>
      <c r="W51" s="202" t="str">
        <f t="shared" si="13"/>
        <v>OFF</v>
      </c>
    </row>
    <row r="52" spans="1:23" ht="15.75" x14ac:dyDescent="0.25">
      <c r="A52" s="31">
        <f>'M&amp;R Stations'!A45</f>
        <v>39004</v>
      </c>
      <c r="B52" s="240" t="s">
        <v>220</v>
      </c>
      <c r="C52" s="241" t="s">
        <v>220</v>
      </c>
      <c r="D52" s="201" t="s">
        <v>220</v>
      </c>
      <c r="E52" s="240">
        <v>0.4</v>
      </c>
      <c r="F52" s="241">
        <v>0.33</v>
      </c>
      <c r="G52" s="201">
        <f t="shared" si="8"/>
        <v>0.36499999999999999</v>
      </c>
      <c r="H52" s="240">
        <v>0.43</v>
      </c>
      <c r="I52" s="241">
        <v>0.33</v>
      </c>
      <c r="J52" s="202">
        <f t="shared" si="9"/>
        <v>0.38</v>
      </c>
      <c r="K52" s="194"/>
      <c r="L52" s="240">
        <v>0.6</v>
      </c>
      <c r="M52" s="241">
        <v>0.51</v>
      </c>
      <c r="N52" s="202">
        <f t="shared" si="10"/>
        <v>0.55499999999999994</v>
      </c>
      <c r="O52" s="240">
        <v>0.73</v>
      </c>
      <c r="P52" s="241">
        <v>0.56999999999999995</v>
      </c>
      <c r="Q52" s="202">
        <f t="shared" si="11"/>
        <v>0.64999999999999991</v>
      </c>
      <c r="R52" s="240">
        <v>0.47</v>
      </c>
      <c r="S52" s="241">
        <v>0.41</v>
      </c>
      <c r="T52" s="202">
        <f t="shared" si="12"/>
        <v>0.43999999999999995</v>
      </c>
      <c r="U52" s="240" t="s">
        <v>216</v>
      </c>
      <c r="V52" s="241" t="s">
        <v>216</v>
      </c>
      <c r="W52" s="202" t="str">
        <f t="shared" si="13"/>
        <v>OFF</v>
      </c>
    </row>
    <row r="53" spans="1:23" ht="15.75" x14ac:dyDescent="0.25">
      <c r="A53" s="31">
        <f>'M&amp;R Stations'!A46</f>
        <v>39005</v>
      </c>
      <c r="B53" s="240" t="s">
        <v>220</v>
      </c>
      <c r="C53" s="241" t="s">
        <v>220</v>
      </c>
      <c r="D53" s="201" t="s">
        <v>220</v>
      </c>
      <c r="E53" s="240">
        <v>0.35</v>
      </c>
      <c r="F53" s="241">
        <v>0.33</v>
      </c>
      <c r="G53" s="201">
        <f t="shared" si="8"/>
        <v>0.33999999999999997</v>
      </c>
      <c r="H53" s="240">
        <v>0.36</v>
      </c>
      <c r="I53" s="241">
        <v>0.33</v>
      </c>
      <c r="J53" s="202">
        <f t="shared" si="9"/>
        <v>0.34499999999999997</v>
      </c>
      <c r="K53" s="194"/>
      <c r="L53" s="240">
        <v>0.56000000000000005</v>
      </c>
      <c r="M53" s="241">
        <v>0.51</v>
      </c>
      <c r="N53" s="202">
        <f t="shared" si="10"/>
        <v>0.53500000000000003</v>
      </c>
      <c r="O53" s="240">
        <v>0.69</v>
      </c>
      <c r="P53" s="241">
        <v>0.54</v>
      </c>
      <c r="Q53" s="202">
        <f t="shared" si="11"/>
        <v>0.61499999999999999</v>
      </c>
      <c r="R53" s="240">
        <v>0.43</v>
      </c>
      <c r="S53" s="241">
        <v>0.41</v>
      </c>
      <c r="T53" s="202">
        <f t="shared" si="12"/>
        <v>0.42</v>
      </c>
      <c r="U53" s="240" t="s">
        <v>216</v>
      </c>
      <c r="V53" s="241" t="s">
        <v>216</v>
      </c>
      <c r="W53" s="202" t="str">
        <f t="shared" si="13"/>
        <v>OFF</v>
      </c>
    </row>
    <row r="54" spans="1:23" ht="15.75" x14ac:dyDescent="0.25">
      <c r="A54" s="31">
        <f>'M&amp;R Stations'!A47</f>
        <v>39006</v>
      </c>
      <c r="B54" s="240" t="s">
        <v>220</v>
      </c>
      <c r="C54" s="241" t="s">
        <v>220</v>
      </c>
      <c r="D54" s="201" t="s">
        <v>220</v>
      </c>
      <c r="E54" s="240">
        <v>0.35</v>
      </c>
      <c r="F54" s="241">
        <v>0.33</v>
      </c>
      <c r="G54" s="201">
        <f t="shared" si="8"/>
        <v>0.33999999999999997</v>
      </c>
      <c r="H54" s="240">
        <v>0.36</v>
      </c>
      <c r="I54" s="241">
        <v>0.33</v>
      </c>
      <c r="J54" s="202">
        <f t="shared" si="9"/>
        <v>0.34499999999999997</v>
      </c>
      <c r="K54" s="194"/>
      <c r="L54" s="240">
        <v>0.71099999999999997</v>
      </c>
      <c r="M54" s="241">
        <v>0.50800000000000001</v>
      </c>
      <c r="N54" s="202">
        <f t="shared" si="10"/>
        <v>0.60949999999999993</v>
      </c>
      <c r="O54" s="240">
        <v>0.76600000000000001</v>
      </c>
      <c r="P54" s="241">
        <v>0.61199999999999999</v>
      </c>
      <c r="Q54" s="202">
        <f t="shared" si="11"/>
        <v>0.68900000000000006</v>
      </c>
      <c r="R54" s="240">
        <v>0.46800000000000003</v>
      </c>
      <c r="S54" s="241">
        <v>0.41099999999999998</v>
      </c>
      <c r="T54" s="202">
        <f t="shared" si="12"/>
        <v>0.4395</v>
      </c>
      <c r="U54" s="240" t="s">
        <v>216</v>
      </c>
      <c r="V54" s="241" t="s">
        <v>216</v>
      </c>
      <c r="W54" s="202" t="str">
        <f t="shared" si="13"/>
        <v>OFF</v>
      </c>
    </row>
    <row r="55" spans="1:23" ht="15.75" x14ac:dyDescent="0.25">
      <c r="A55" s="31">
        <f>'M&amp;R Stations'!A48</f>
        <v>39007</v>
      </c>
      <c r="B55" s="240" t="s">
        <v>220</v>
      </c>
      <c r="C55" s="241" t="s">
        <v>220</v>
      </c>
      <c r="D55" s="201" t="s">
        <v>220</v>
      </c>
      <c r="E55" s="240">
        <v>0.35</v>
      </c>
      <c r="F55" s="241">
        <v>0.28000000000000003</v>
      </c>
      <c r="G55" s="201">
        <f t="shared" si="8"/>
        <v>0.315</v>
      </c>
      <c r="H55" s="240">
        <v>0.36</v>
      </c>
      <c r="I55" s="241">
        <v>0.26</v>
      </c>
      <c r="J55" s="202">
        <f t="shared" si="9"/>
        <v>0.31</v>
      </c>
      <c r="K55" s="194"/>
      <c r="L55" s="240">
        <v>0.66</v>
      </c>
      <c r="M55" s="241">
        <v>0.50800000000000001</v>
      </c>
      <c r="N55" s="202">
        <f t="shared" si="10"/>
        <v>0.58400000000000007</v>
      </c>
      <c r="O55" s="240">
        <v>0.68899999999999995</v>
      </c>
      <c r="P55" s="241">
        <v>0.57499999999999996</v>
      </c>
      <c r="Q55" s="202">
        <f t="shared" si="11"/>
        <v>0.6319999999999999</v>
      </c>
      <c r="R55" s="240">
        <v>0.46800000000000003</v>
      </c>
      <c r="S55" s="241">
        <v>0.41099999999999998</v>
      </c>
      <c r="T55" s="202">
        <f t="shared" si="12"/>
        <v>0.4395</v>
      </c>
      <c r="U55" s="240" t="s">
        <v>216</v>
      </c>
      <c r="V55" s="241" t="s">
        <v>216</v>
      </c>
      <c r="W55" s="202" t="str">
        <f t="shared" ref="W55:W65" si="14">IF(AND(U55="",V55=""),"",IF(U55="off",V55,IF(V55="off",U55,AVERAGE(U55:V55))))</f>
        <v>OFF</v>
      </c>
    </row>
    <row r="56" spans="1:23" ht="15.75" x14ac:dyDescent="0.25">
      <c r="A56" s="31">
        <f>'M&amp;R Stations'!A49</f>
        <v>39008</v>
      </c>
      <c r="B56" s="240" t="s">
        <v>220</v>
      </c>
      <c r="C56" s="241" t="s">
        <v>220</v>
      </c>
      <c r="D56" s="201" t="s">
        <v>220</v>
      </c>
      <c r="E56" s="240">
        <v>0.4</v>
      </c>
      <c r="F56" s="241">
        <v>0.37</v>
      </c>
      <c r="G56" s="201">
        <f t="shared" si="8"/>
        <v>0.38500000000000001</v>
      </c>
      <c r="H56" s="240">
        <v>0.42</v>
      </c>
      <c r="I56" s="241">
        <v>0.33</v>
      </c>
      <c r="J56" s="202">
        <f t="shared" si="9"/>
        <v>0.375</v>
      </c>
      <c r="K56" s="194"/>
      <c r="L56" s="240">
        <v>0.66</v>
      </c>
      <c r="M56" s="241">
        <v>0.40600000000000003</v>
      </c>
      <c r="N56" s="202">
        <f t="shared" si="10"/>
        <v>0.53300000000000003</v>
      </c>
      <c r="O56" s="240">
        <v>0.76600000000000001</v>
      </c>
      <c r="P56" s="241">
        <v>0.61299999999999999</v>
      </c>
      <c r="Q56" s="202">
        <f t="shared" si="11"/>
        <v>0.6895</v>
      </c>
      <c r="R56" s="240">
        <v>0.46800000000000003</v>
      </c>
      <c r="S56" s="241">
        <v>0.41099999999999998</v>
      </c>
      <c r="T56" s="202">
        <f t="shared" si="12"/>
        <v>0.4395</v>
      </c>
      <c r="U56" s="240" t="s">
        <v>216</v>
      </c>
      <c r="V56" s="241" t="s">
        <v>216</v>
      </c>
      <c r="W56" s="202" t="str">
        <f t="shared" si="14"/>
        <v>OFF</v>
      </c>
    </row>
    <row r="57" spans="1:23" ht="15.75" x14ac:dyDescent="0.25">
      <c r="A57" s="31">
        <f>'M&amp;R Stations'!A50</f>
        <v>39009</v>
      </c>
      <c r="B57" s="240" t="s">
        <v>220</v>
      </c>
      <c r="C57" s="241" t="s">
        <v>220</v>
      </c>
      <c r="D57" s="201" t="s">
        <v>220</v>
      </c>
      <c r="E57" s="240">
        <v>0.4</v>
      </c>
      <c r="F57" s="241">
        <v>0.35</v>
      </c>
      <c r="G57" s="201">
        <f t="shared" si="8"/>
        <v>0.375</v>
      </c>
      <c r="H57" s="240">
        <v>0.42</v>
      </c>
      <c r="I57" s="241">
        <v>0.34</v>
      </c>
      <c r="J57" s="202">
        <f t="shared" si="9"/>
        <v>0.38</v>
      </c>
      <c r="K57" s="194"/>
      <c r="L57" s="240">
        <v>0.63800000000000001</v>
      </c>
      <c r="M57" s="241">
        <v>0.42499999999999999</v>
      </c>
      <c r="N57" s="202">
        <f t="shared" si="10"/>
        <v>0.53149999999999997</v>
      </c>
      <c r="O57" s="240">
        <v>0.745</v>
      </c>
      <c r="P57" s="241">
        <v>0.50900000000000001</v>
      </c>
      <c r="Q57" s="202">
        <f t="shared" si="11"/>
        <v>0.627</v>
      </c>
      <c r="R57" s="240">
        <v>0.43</v>
      </c>
      <c r="S57" s="241">
        <v>0.309</v>
      </c>
      <c r="T57" s="202">
        <f t="shared" si="12"/>
        <v>0.3695</v>
      </c>
      <c r="U57" s="240" t="s">
        <v>216</v>
      </c>
      <c r="V57" s="241" t="s">
        <v>216</v>
      </c>
      <c r="W57" s="202" t="str">
        <f t="shared" si="14"/>
        <v>OFF</v>
      </c>
    </row>
    <row r="58" spans="1:23" ht="15.75" x14ac:dyDescent="0.25">
      <c r="A58" s="31">
        <f>'M&amp;R Stations'!A51</f>
        <v>39010</v>
      </c>
      <c r="B58" s="240" t="s">
        <v>220</v>
      </c>
      <c r="C58" s="241" t="s">
        <v>220</v>
      </c>
      <c r="D58" s="201" t="s">
        <v>220</v>
      </c>
      <c r="E58" s="240">
        <v>0.43</v>
      </c>
      <c r="F58" s="241">
        <v>0.35</v>
      </c>
      <c r="G58" s="201">
        <f t="shared" si="8"/>
        <v>0.39</v>
      </c>
      <c r="H58" s="240">
        <v>0.45</v>
      </c>
      <c r="I58" s="241">
        <v>0.37</v>
      </c>
      <c r="J58" s="202">
        <f t="shared" si="9"/>
        <v>0.41000000000000003</v>
      </c>
      <c r="K58" s="194"/>
      <c r="L58" s="240">
        <v>0.61199999999999999</v>
      </c>
      <c r="M58" s="241">
        <v>0.505</v>
      </c>
      <c r="N58" s="202">
        <f t="shared" si="10"/>
        <v>0.5585</v>
      </c>
      <c r="O58" s="240">
        <v>0.78400000000000003</v>
      </c>
      <c r="P58" s="241">
        <v>0.627</v>
      </c>
      <c r="Q58" s="202">
        <f t="shared" si="11"/>
        <v>0.70550000000000002</v>
      </c>
      <c r="R58" s="240">
        <v>0.46500000000000002</v>
      </c>
      <c r="S58" s="241">
        <v>0.40899999999999997</v>
      </c>
      <c r="T58" s="202">
        <f t="shared" si="12"/>
        <v>0.437</v>
      </c>
      <c r="U58" s="240" t="s">
        <v>216</v>
      </c>
      <c r="V58" s="241" t="s">
        <v>216</v>
      </c>
      <c r="W58" s="202" t="str">
        <f t="shared" si="14"/>
        <v>OFF</v>
      </c>
    </row>
    <row r="59" spans="1:23" ht="15.75" x14ac:dyDescent="0.25">
      <c r="A59" s="31">
        <f>'M&amp;R Stations'!A52</f>
        <v>39011</v>
      </c>
      <c r="B59" s="240" t="s">
        <v>220</v>
      </c>
      <c r="C59" s="241" t="s">
        <v>220</v>
      </c>
      <c r="D59" s="201" t="s">
        <v>220</v>
      </c>
      <c r="E59" s="240">
        <v>0.4</v>
      </c>
      <c r="F59" s="241">
        <v>0.37</v>
      </c>
      <c r="G59" s="201">
        <f t="shared" si="8"/>
        <v>0.38500000000000001</v>
      </c>
      <c r="H59" s="240">
        <v>0.45</v>
      </c>
      <c r="I59" s="241">
        <v>0.4</v>
      </c>
      <c r="J59" s="202">
        <f t="shared" si="9"/>
        <v>0.42500000000000004</v>
      </c>
      <c r="K59" s="194"/>
      <c r="L59" s="240">
        <v>0.61199999999999999</v>
      </c>
      <c r="M59" s="241">
        <v>0.505</v>
      </c>
      <c r="N59" s="202">
        <f t="shared" si="10"/>
        <v>0.5585</v>
      </c>
      <c r="O59" s="240">
        <v>0.745</v>
      </c>
      <c r="P59" s="241">
        <v>0.627</v>
      </c>
      <c r="Q59" s="202">
        <f t="shared" si="11"/>
        <v>0.68599999999999994</v>
      </c>
      <c r="R59" s="240">
        <v>0.502</v>
      </c>
      <c r="S59" s="241">
        <v>0.42799999999999999</v>
      </c>
      <c r="T59" s="202">
        <f t="shared" si="12"/>
        <v>0.46499999999999997</v>
      </c>
      <c r="U59" s="240" t="s">
        <v>216</v>
      </c>
      <c r="V59" s="241" t="s">
        <v>216</v>
      </c>
      <c r="W59" s="202" t="str">
        <f t="shared" si="14"/>
        <v>OFF</v>
      </c>
    </row>
    <row r="60" spans="1:23" ht="15.75" x14ac:dyDescent="0.25">
      <c r="A60" s="31">
        <f>'M&amp;R Stations'!A53</f>
        <v>39012</v>
      </c>
      <c r="B60" s="240" t="s">
        <v>220</v>
      </c>
      <c r="C60" s="241" t="s">
        <v>220</v>
      </c>
      <c r="D60" s="201" t="s">
        <v>220</v>
      </c>
      <c r="E60" s="240">
        <v>0.4</v>
      </c>
      <c r="F60" s="241">
        <v>0.37</v>
      </c>
      <c r="G60" s="201">
        <f t="shared" si="8"/>
        <v>0.38500000000000001</v>
      </c>
      <c r="H60" s="240">
        <v>0.45</v>
      </c>
      <c r="I60" s="241">
        <v>0.37</v>
      </c>
      <c r="J60" s="202">
        <f t="shared" si="9"/>
        <v>0.41000000000000003</v>
      </c>
      <c r="K60" s="194"/>
      <c r="L60" s="240">
        <v>0.745</v>
      </c>
      <c r="M60" s="241">
        <v>0.53200000000000003</v>
      </c>
      <c r="N60" s="202">
        <f t="shared" si="10"/>
        <v>0.63850000000000007</v>
      </c>
      <c r="O60" s="240">
        <v>0.78400000000000003</v>
      </c>
      <c r="P60" s="241">
        <v>0.627</v>
      </c>
      <c r="Q60" s="202">
        <f t="shared" si="11"/>
        <v>0.70550000000000002</v>
      </c>
      <c r="R60" s="240">
        <v>0.48399999999999999</v>
      </c>
      <c r="S60" s="241">
        <v>0.42699999999999999</v>
      </c>
      <c r="T60" s="202">
        <f t="shared" si="12"/>
        <v>0.45550000000000002</v>
      </c>
      <c r="U60" s="240" t="s">
        <v>216</v>
      </c>
      <c r="V60" s="241" t="s">
        <v>216</v>
      </c>
      <c r="W60" s="202" t="str">
        <f t="shared" si="14"/>
        <v>OFF</v>
      </c>
    </row>
    <row r="61" spans="1:23" ht="15.75" x14ac:dyDescent="0.25">
      <c r="A61" s="31">
        <f>'M&amp;R Stations'!A54</f>
        <v>39013</v>
      </c>
      <c r="B61" s="240" t="s">
        <v>220</v>
      </c>
      <c r="C61" s="241" t="s">
        <v>220</v>
      </c>
      <c r="D61" s="201" t="s">
        <v>220</v>
      </c>
      <c r="E61" s="240">
        <v>0.43</v>
      </c>
      <c r="F61" s="241">
        <v>0.32</v>
      </c>
      <c r="G61" s="201">
        <f t="shared" si="8"/>
        <v>0.375</v>
      </c>
      <c r="H61" s="240">
        <v>0.45</v>
      </c>
      <c r="I61" s="241">
        <v>0.42</v>
      </c>
      <c r="J61" s="202">
        <f t="shared" si="9"/>
        <v>0.435</v>
      </c>
      <c r="K61" s="194"/>
      <c r="L61" s="240">
        <v>0.63800000000000001</v>
      </c>
      <c r="M61" s="241">
        <v>0.55900000000000005</v>
      </c>
      <c r="N61" s="202">
        <f t="shared" si="10"/>
        <v>0.59850000000000003</v>
      </c>
      <c r="O61" s="240">
        <v>0.78400000000000003</v>
      </c>
      <c r="P61" s="241">
        <v>0.627</v>
      </c>
      <c r="Q61" s="202">
        <f t="shared" si="11"/>
        <v>0.70550000000000002</v>
      </c>
      <c r="R61" s="240">
        <v>0.502</v>
      </c>
      <c r="S61" s="241">
        <v>0.46500000000000002</v>
      </c>
      <c r="T61" s="202">
        <f t="shared" si="12"/>
        <v>0.48350000000000004</v>
      </c>
      <c r="U61" s="240" t="s">
        <v>216</v>
      </c>
      <c r="V61" s="241" t="s">
        <v>216</v>
      </c>
      <c r="W61" s="202" t="str">
        <f t="shared" si="14"/>
        <v>OFF</v>
      </c>
    </row>
    <row r="62" spans="1:23" ht="15.75" x14ac:dyDescent="0.25">
      <c r="A62" s="31">
        <f>'M&amp;R Stations'!A55</f>
        <v>39014</v>
      </c>
      <c r="B62" s="240">
        <v>0.53</v>
      </c>
      <c r="C62" s="241">
        <v>0.44</v>
      </c>
      <c r="D62" s="201">
        <f t="shared" ref="D62:D68" si="15">IF(AND(B62="",C62=""),"",IF(B62="off",C62,IF(C62="off",B62,AVERAGE(B62:C62))))</f>
        <v>0.48499999999999999</v>
      </c>
      <c r="E62" s="240">
        <v>0.43</v>
      </c>
      <c r="F62" s="241">
        <v>0.37</v>
      </c>
      <c r="G62" s="201">
        <f t="shared" si="8"/>
        <v>0.4</v>
      </c>
      <c r="H62" s="240">
        <v>0.45</v>
      </c>
      <c r="I62" s="241">
        <v>0.42</v>
      </c>
      <c r="J62" s="202">
        <f t="shared" si="9"/>
        <v>0.435</v>
      </c>
      <c r="K62" s="194"/>
      <c r="L62" s="240">
        <v>0.58499999999999996</v>
      </c>
      <c r="M62" s="241">
        <v>0.505</v>
      </c>
      <c r="N62" s="202">
        <f t="shared" si="10"/>
        <v>0.54499999999999993</v>
      </c>
      <c r="O62" s="240">
        <v>0.66600000000000004</v>
      </c>
      <c r="P62" s="241">
        <v>0.54900000000000004</v>
      </c>
      <c r="Q62" s="202">
        <f t="shared" si="11"/>
        <v>0.60750000000000004</v>
      </c>
      <c r="R62" s="240">
        <v>0.48399999999999999</v>
      </c>
      <c r="S62" s="241">
        <v>0.42699999999999999</v>
      </c>
      <c r="T62" s="202">
        <f t="shared" si="12"/>
        <v>0.45550000000000002</v>
      </c>
      <c r="U62" s="240" t="s">
        <v>216</v>
      </c>
      <c r="V62" s="241" t="s">
        <v>216</v>
      </c>
      <c r="W62" s="202" t="str">
        <f t="shared" si="14"/>
        <v>OFF</v>
      </c>
    </row>
    <row r="63" spans="1:23" ht="15.75" x14ac:dyDescent="0.25">
      <c r="A63" s="31">
        <f>'M&amp;R Stations'!A56</f>
        <v>39015</v>
      </c>
      <c r="B63" s="240">
        <v>0.45</v>
      </c>
      <c r="C63" s="241">
        <v>0.37</v>
      </c>
      <c r="D63" s="201">
        <f t="shared" si="15"/>
        <v>0.41000000000000003</v>
      </c>
      <c r="E63" s="240">
        <v>0.37</v>
      </c>
      <c r="F63" s="241">
        <v>0.35</v>
      </c>
      <c r="G63" s="201">
        <f t="shared" si="8"/>
        <v>0.36</v>
      </c>
      <c r="H63" s="240">
        <v>0.37</v>
      </c>
      <c r="I63" s="241">
        <v>0.33</v>
      </c>
      <c r="J63" s="202">
        <f t="shared" si="9"/>
        <v>0.35</v>
      </c>
      <c r="K63" s="194"/>
      <c r="L63" s="240">
        <v>0.745</v>
      </c>
      <c r="M63" s="241">
        <v>0.505</v>
      </c>
      <c r="N63" s="202">
        <f t="shared" si="10"/>
        <v>0.625</v>
      </c>
      <c r="O63" s="240">
        <v>0.78400000000000003</v>
      </c>
      <c r="P63" s="241">
        <v>0.40899999999999997</v>
      </c>
      <c r="Q63" s="202">
        <f t="shared" si="11"/>
        <v>0.59650000000000003</v>
      </c>
      <c r="R63" s="240">
        <v>0.55800000000000005</v>
      </c>
      <c r="S63" s="241">
        <v>0.44600000000000001</v>
      </c>
      <c r="T63" s="202">
        <f t="shared" si="12"/>
        <v>0.502</v>
      </c>
      <c r="U63" s="240" t="s">
        <v>216</v>
      </c>
      <c r="V63" s="241" t="s">
        <v>216</v>
      </c>
      <c r="W63" s="202" t="str">
        <f t="shared" si="14"/>
        <v>OFF</v>
      </c>
    </row>
    <row r="64" spans="1:23" ht="15.75" x14ac:dyDescent="0.25">
      <c r="A64" s="31">
        <f>'M&amp;R Stations'!A57</f>
        <v>39016</v>
      </c>
      <c r="B64" s="240">
        <v>0.42</v>
      </c>
      <c r="C64" s="241">
        <v>0.4</v>
      </c>
      <c r="D64" s="201">
        <f t="shared" si="15"/>
        <v>0.41000000000000003</v>
      </c>
      <c r="E64" s="240">
        <v>0.37</v>
      </c>
      <c r="F64" s="241">
        <v>0.35</v>
      </c>
      <c r="G64" s="201">
        <f t="shared" si="8"/>
        <v>0.36</v>
      </c>
      <c r="H64" s="240">
        <v>0.37</v>
      </c>
      <c r="I64" s="241">
        <v>0.35</v>
      </c>
      <c r="J64" s="202">
        <f t="shared" si="9"/>
        <v>0.36</v>
      </c>
      <c r="K64" s="194"/>
      <c r="L64" s="240">
        <v>0.63800000000000001</v>
      </c>
      <c r="M64" s="241">
        <v>0.50600000000000001</v>
      </c>
      <c r="N64" s="202">
        <f t="shared" si="10"/>
        <v>0.57200000000000006</v>
      </c>
      <c r="O64" s="240">
        <v>0.745</v>
      </c>
      <c r="P64" s="241">
        <v>0.40799999999999997</v>
      </c>
      <c r="Q64" s="202">
        <f t="shared" si="11"/>
        <v>0.57650000000000001</v>
      </c>
      <c r="R64" s="240">
        <v>0.61199999999999999</v>
      </c>
      <c r="S64" s="241">
        <v>0.42399999999999999</v>
      </c>
      <c r="T64" s="202">
        <f t="shared" si="12"/>
        <v>0.51800000000000002</v>
      </c>
      <c r="U64" s="240" t="s">
        <v>216</v>
      </c>
      <c r="V64" s="241" t="s">
        <v>216</v>
      </c>
      <c r="W64" s="202" t="str">
        <f t="shared" si="14"/>
        <v>OFF</v>
      </c>
    </row>
    <row r="65" spans="1:23" ht="15.75" x14ac:dyDescent="0.25">
      <c r="A65" s="31">
        <f>'M&amp;R Stations'!A58</f>
        <v>39017</v>
      </c>
      <c r="B65" s="240">
        <v>0.5</v>
      </c>
      <c r="C65" s="241">
        <v>0.35</v>
      </c>
      <c r="D65" s="201">
        <f t="shared" si="15"/>
        <v>0.42499999999999999</v>
      </c>
      <c r="E65" s="240">
        <v>0.35</v>
      </c>
      <c r="F65" s="241">
        <v>0.25</v>
      </c>
      <c r="G65" s="201">
        <f t="shared" si="8"/>
        <v>0.3</v>
      </c>
      <c r="H65" s="240">
        <v>0.35</v>
      </c>
      <c r="I65" s="241">
        <v>0.3</v>
      </c>
      <c r="J65" s="202">
        <f t="shared" si="9"/>
        <v>0.32499999999999996</v>
      </c>
      <c r="K65" s="194"/>
      <c r="L65" s="240">
        <v>0.621</v>
      </c>
      <c r="M65" s="241">
        <v>0.48299999999999998</v>
      </c>
      <c r="N65" s="202">
        <f t="shared" si="10"/>
        <v>0.55200000000000005</v>
      </c>
      <c r="O65" s="240">
        <v>0.43099999999999999</v>
      </c>
      <c r="P65" s="241">
        <v>0.36299999999999999</v>
      </c>
      <c r="Q65" s="202">
        <f t="shared" si="11"/>
        <v>0.39700000000000002</v>
      </c>
      <c r="R65" s="240">
        <v>0.61199999999999999</v>
      </c>
      <c r="S65" s="241">
        <v>0.53</v>
      </c>
      <c r="T65" s="202">
        <f t="shared" si="12"/>
        <v>0.57099999999999995</v>
      </c>
      <c r="U65" s="240" t="s">
        <v>216</v>
      </c>
      <c r="V65" s="241" t="s">
        <v>216</v>
      </c>
      <c r="W65" s="202" t="str">
        <f t="shared" si="14"/>
        <v>OFF</v>
      </c>
    </row>
    <row r="66" spans="1:23" ht="15.75" x14ac:dyDescent="0.25">
      <c r="A66" s="31">
        <f>'M&amp;R Stations'!A59</f>
        <v>39018</v>
      </c>
      <c r="B66" s="240">
        <v>0.4</v>
      </c>
      <c r="C66" s="241">
        <v>0.35</v>
      </c>
      <c r="D66" s="201">
        <f t="shared" si="15"/>
        <v>0.375</v>
      </c>
      <c r="E66" s="240">
        <v>0.35</v>
      </c>
      <c r="F66" s="241">
        <v>0.3</v>
      </c>
      <c r="G66" s="201">
        <f t="shared" si="8"/>
        <v>0.32499999999999996</v>
      </c>
      <c r="H66" s="240">
        <v>0.35</v>
      </c>
      <c r="I66" s="241">
        <v>0.28000000000000003</v>
      </c>
      <c r="J66" s="202">
        <f t="shared" si="9"/>
        <v>0.315</v>
      </c>
      <c r="K66" s="194"/>
      <c r="L66" s="240">
        <v>0.59799999999999998</v>
      </c>
      <c r="M66" s="241">
        <v>0.437</v>
      </c>
      <c r="N66" s="202">
        <f t="shared" si="10"/>
        <v>0.51749999999999996</v>
      </c>
      <c r="O66" s="240">
        <v>0.38600000000000001</v>
      </c>
      <c r="P66" s="241">
        <v>0.34</v>
      </c>
      <c r="Q66" s="202">
        <f t="shared" si="11"/>
        <v>0.36299999999999999</v>
      </c>
      <c r="R66" s="240">
        <v>0.57099999999999995</v>
      </c>
      <c r="S66" s="241">
        <v>0.42799999999999999</v>
      </c>
      <c r="T66" s="202">
        <f t="shared" si="12"/>
        <v>0.49949999999999994</v>
      </c>
      <c r="U66" s="240" t="s">
        <v>216</v>
      </c>
      <c r="V66" s="241" t="s">
        <v>216</v>
      </c>
      <c r="W66" s="202" t="str">
        <f>IF(AND(U66="",V66=""),"",IF(U66="off",V66,IF(V66="off",U66,AVERAGE(U66:V66))))</f>
        <v>OFF</v>
      </c>
    </row>
    <row r="67" spans="1:23" ht="15.75" x14ac:dyDescent="0.25">
      <c r="A67" s="31">
        <f>'M&amp;R Stations'!A60</f>
        <v>39019</v>
      </c>
      <c r="B67" s="240">
        <v>0.45</v>
      </c>
      <c r="C67" s="241">
        <v>0.35</v>
      </c>
      <c r="D67" s="201">
        <f t="shared" si="15"/>
        <v>0.4</v>
      </c>
      <c r="E67" s="240">
        <v>0.35</v>
      </c>
      <c r="F67" s="241">
        <v>0.3</v>
      </c>
      <c r="G67" s="201">
        <f t="shared" si="8"/>
        <v>0.32499999999999996</v>
      </c>
      <c r="H67" s="240">
        <v>0.35</v>
      </c>
      <c r="I67" s="241">
        <v>0.3</v>
      </c>
      <c r="J67" s="202">
        <f t="shared" si="9"/>
        <v>0.32499999999999996</v>
      </c>
      <c r="K67" s="194"/>
      <c r="L67" s="240">
        <v>0.621</v>
      </c>
      <c r="M67" s="241">
        <v>0.437</v>
      </c>
      <c r="N67" s="202">
        <f t="shared" si="10"/>
        <v>0.52900000000000003</v>
      </c>
      <c r="O67" s="240">
        <v>0.38600000000000001</v>
      </c>
      <c r="P67" s="241">
        <v>0.318</v>
      </c>
      <c r="Q67" s="202">
        <f t="shared" si="11"/>
        <v>0.35199999999999998</v>
      </c>
      <c r="R67" s="240">
        <v>0.61199999999999999</v>
      </c>
      <c r="S67" s="241">
        <v>0.46899999999999997</v>
      </c>
      <c r="T67" s="202">
        <f t="shared" si="12"/>
        <v>0.54049999999999998</v>
      </c>
      <c r="U67" s="240" t="s">
        <v>216</v>
      </c>
      <c r="V67" s="241" t="s">
        <v>216</v>
      </c>
      <c r="W67" s="202" t="str">
        <f>IF(AND(U67="",V67=""),"",IF(U67="off",V67,IF(V67="off",U67,AVERAGE(U67:V67))))</f>
        <v>OFF</v>
      </c>
    </row>
    <row r="68" spans="1:23" ht="15.75" x14ac:dyDescent="0.25">
      <c r="A68" s="31">
        <f>'M&amp;R Stations'!A61</f>
        <v>39020</v>
      </c>
      <c r="B68" s="240">
        <v>0.44</v>
      </c>
      <c r="C68" s="241">
        <v>0.44</v>
      </c>
      <c r="D68" s="201">
        <f t="shared" si="15"/>
        <v>0.44</v>
      </c>
      <c r="E68" s="240">
        <v>0.37</v>
      </c>
      <c r="F68" s="241">
        <v>0.3</v>
      </c>
      <c r="G68" s="201">
        <f t="shared" si="8"/>
        <v>0.33499999999999996</v>
      </c>
      <c r="H68" s="240">
        <v>0.35</v>
      </c>
      <c r="I68" s="241">
        <v>0.3</v>
      </c>
      <c r="J68" s="202">
        <f t="shared" si="9"/>
        <v>0.32499999999999996</v>
      </c>
      <c r="K68" s="194"/>
      <c r="L68" s="240">
        <v>0.64</v>
      </c>
      <c r="M68" s="241">
        <v>0.48</v>
      </c>
      <c r="N68" s="202">
        <f t="shared" si="10"/>
        <v>0.56000000000000005</v>
      </c>
      <c r="O68" s="240">
        <v>0.41</v>
      </c>
      <c r="P68" s="241">
        <v>0.34</v>
      </c>
      <c r="Q68" s="202">
        <f t="shared" si="11"/>
        <v>0.375</v>
      </c>
      <c r="R68" s="240">
        <v>0.63</v>
      </c>
      <c r="S68" s="241">
        <v>0.43</v>
      </c>
      <c r="T68" s="202">
        <f t="shared" si="12"/>
        <v>0.53</v>
      </c>
      <c r="U68" s="240" t="s">
        <v>216</v>
      </c>
      <c r="V68" s="241" t="s">
        <v>216</v>
      </c>
      <c r="W68" s="202" t="str">
        <f>IF(AND(U68="",V68=""),"",IF(U68="off",V68,IF(V68="off",U68,AVERAGE(U68:V68))))</f>
        <v>OFF</v>
      </c>
    </row>
    <row r="69" spans="1:23" ht="15.75" x14ac:dyDescent="0.25">
      <c r="A69" s="31">
        <f>'M&amp;R Stations'!A62</f>
        <v>39021</v>
      </c>
      <c r="B69" s="240" t="s">
        <v>220</v>
      </c>
      <c r="C69" s="241" t="s">
        <v>220</v>
      </c>
      <c r="D69" s="201" t="s">
        <v>220</v>
      </c>
      <c r="E69" s="240">
        <v>0.4</v>
      </c>
      <c r="F69" s="241">
        <v>0.35</v>
      </c>
      <c r="G69" s="201">
        <f t="shared" si="8"/>
        <v>0.375</v>
      </c>
      <c r="H69" s="240">
        <v>0.4</v>
      </c>
      <c r="I69" s="241">
        <v>0.35</v>
      </c>
      <c r="J69" s="202">
        <f t="shared" si="9"/>
        <v>0.375</v>
      </c>
      <c r="K69" s="194"/>
      <c r="L69" s="240">
        <v>0.6</v>
      </c>
      <c r="M69" s="241">
        <v>0.41</v>
      </c>
      <c r="N69" s="202">
        <f t="shared" si="10"/>
        <v>0.505</v>
      </c>
      <c r="O69" s="240">
        <v>0.39</v>
      </c>
      <c r="P69" s="241">
        <v>0.34</v>
      </c>
      <c r="Q69" s="202">
        <f t="shared" si="11"/>
        <v>0.36499999999999999</v>
      </c>
      <c r="R69" s="240">
        <v>0.53</v>
      </c>
      <c r="S69" s="241">
        <v>0.43</v>
      </c>
      <c r="T69" s="202">
        <f t="shared" si="12"/>
        <v>0.48</v>
      </c>
      <c r="U69" s="240" t="s">
        <v>216</v>
      </c>
      <c r="V69" s="241" t="s">
        <v>216</v>
      </c>
      <c r="W69" s="202" t="str">
        <f>IF(AND(U69="",V69=""),"",IF(U69="off",V69,IF(V69="off",U69,AVERAGE(U69:V69))))</f>
        <v>OFF</v>
      </c>
    </row>
    <row r="70" spans="1:23" ht="15.75" x14ac:dyDescent="0.25">
      <c r="A70" s="96"/>
      <c r="B70" s="203"/>
      <c r="C70" s="204"/>
      <c r="D70" s="205" t="str">
        <f t="shared" ref="D70:D100" si="16">IF(AND(B70="",C70=""),"",IF(B70="off",C70,IF(C70="off",B70,AVERAGE(B70:C70))))</f>
        <v/>
      </c>
      <c r="E70" s="203"/>
      <c r="F70" s="204"/>
      <c r="G70" s="205" t="str">
        <f t="shared" si="8"/>
        <v/>
      </c>
      <c r="H70" s="203"/>
      <c r="I70" s="204"/>
      <c r="J70" s="206" t="str">
        <f t="shared" si="9"/>
        <v/>
      </c>
      <c r="K70" s="207"/>
      <c r="L70" s="203"/>
      <c r="M70" s="204"/>
      <c r="N70" s="206" t="str">
        <f t="shared" si="10"/>
        <v/>
      </c>
      <c r="O70" s="203"/>
      <c r="P70" s="204"/>
      <c r="Q70" s="206" t="str">
        <f t="shared" si="11"/>
        <v/>
      </c>
      <c r="R70" s="203"/>
      <c r="S70" s="204"/>
      <c r="T70" s="206" t="str">
        <f t="shared" si="12"/>
        <v/>
      </c>
      <c r="U70" s="203"/>
      <c r="V70" s="204"/>
      <c r="W70" s="206" t="str">
        <f t="shared" si="13"/>
        <v/>
      </c>
    </row>
    <row r="71" spans="1:23" ht="15.75" x14ac:dyDescent="0.25">
      <c r="A71" s="31">
        <f>'M&amp;R Stations'!A63</f>
        <v>39022</v>
      </c>
      <c r="B71" s="240" t="s">
        <v>220</v>
      </c>
      <c r="C71" s="241" t="s">
        <v>220</v>
      </c>
      <c r="D71" s="201" t="s">
        <v>220</v>
      </c>
      <c r="E71" s="240">
        <v>0.4</v>
      </c>
      <c r="F71" s="241">
        <v>0.37</v>
      </c>
      <c r="G71" s="201">
        <f t="shared" si="8"/>
        <v>0.38500000000000001</v>
      </c>
      <c r="H71" s="240">
        <v>0.4</v>
      </c>
      <c r="I71" s="241">
        <v>0.38</v>
      </c>
      <c r="J71" s="201">
        <f t="shared" si="9"/>
        <v>0.39</v>
      </c>
      <c r="K71" s="194"/>
      <c r="L71" s="240">
        <v>0.59799999999999998</v>
      </c>
      <c r="M71" s="241">
        <v>0.437</v>
      </c>
      <c r="N71" s="201">
        <f t="shared" si="10"/>
        <v>0.51749999999999996</v>
      </c>
      <c r="O71" s="240">
        <v>0.38500000000000001</v>
      </c>
      <c r="P71" s="241">
        <v>0.34100000000000003</v>
      </c>
      <c r="Q71" s="201">
        <f t="shared" si="11"/>
        <v>0.36299999999999999</v>
      </c>
      <c r="R71" s="240">
        <v>0.53</v>
      </c>
      <c r="S71" s="241">
        <v>0.40799999999999997</v>
      </c>
      <c r="T71" s="201">
        <f t="shared" si="12"/>
        <v>0.46899999999999997</v>
      </c>
      <c r="U71" s="240" t="s">
        <v>216</v>
      </c>
      <c r="V71" s="241" t="s">
        <v>216</v>
      </c>
      <c r="W71" s="201" t="str">
        <f t="shared" si="13"/>
        <v>OFF</v>
      </c>
    </row>
    <row r="72" spans="1:23" ht="15.75" x14ac:dyDescent="0.25">
      <c r="A72" s="31">
        <f>'M&amp;R Stations'!A64</f>
        <v>39023</v>
      </c>
      <c r="B72" s="240" t="s">
        <v>220</v>
      </c>
      <c r="C72" s="241" t="s">
        <v>220</v>
      </c>
      <c r="D72" s="201" t="s">
        <v>220</v>
      </c>
      <c r="E72" s="240">
        <v>0.4</v>
      </c>
      <c r="F72" s="241">
        <v>0.37</v>
      </c>
      <c r="G72" s="201">
        <f t="shared" si="8"/>
        <v>0.38500000000000001</v>
      </c>
      <c r="H72" s="240">
        <v>0.4</v>
      </c>
      <c r="I72" s="241">
        <v>0.38</v>
      </c>
      <c r="J72" s="201">
        <f t="shared" si="9"/>
        <v>0.39</v>
      </c>
      <c r="K72" s="194"/>
      <c r="L72" s="240">
        <v>0.57499999999999996</v>
      </c>
      <c r="M72" s="241">
        <v>0.46</v>
      </c>
      <c r="N72" s="201">
        <f t="shared" si="10"/>
        <v>0.51749999999999996</v>
      </c>
      <c r="O72" s="240">
        <v>0.52200000000000002</v>
      </c>
      <c r="P72" s="241">
        <v>0.36299999999999999</v>
      </c>
      <c r="Q72" s="201">
        <f t="shared" si="11"/>
        <v>0.4425</v>
      </c>
      <c r="R72" s="240">
        <v>0.57099999999999995</v>
      </c>
      <c r="S72" s="241">
        <v>0.49</v>
      </c>
      <c r="T72" s="201">
        <f t="shared" si="12"/>
        <v>0.53049999999999997</v>
      </c>
      <c r="U72" s="240" t="s">
        <v>216</v>
      </c>
      <c r="V72" s="241" t="s">
        <v>216</v>
      </c>
      <c r="W72" s="201" t="str">
        <f t="shared" si="13"/>
        <v>OFF</v>
      </c>
    </row>
    <row r="73" spans="1:23" ht="15.75" x14ac:dyDescent="0.25">
      <c r="A73" s="31">
        <f>'M&amp;R Stations'!A65</f>
        <v>39024</v>
      </c>
      <c r="B73" s="240">
        <v>0.5</v>
      </c>
      <c r="C73" s="241">
        <v>0.4</v>
      </c>
      <c r="D73" s="201">
        <f t="shared" si="16"/>
        <v>0.45</v>
      </c>
      <c r="E73" s="240">
        <v>0.4</v>
      </c>
      <c r="F73" s="241">
        <v>0.35</v>
      </c>
      <c r="G73" s="201">
        <f t="shared" si="8"/>
        <v>0.375</v>
      </c>
      <c r="H73" s="240">
        <v>0.35</v>
      </c>
      <c r="I73" s="241">
        <v>0.3</v>
      </c>
      <c r="J73" s="201">
        <f t="shared" si="9"/>
        <v>0.32499999999999996</v>
      </c>
      <c r="K73" s="194"/>
      <c r="L73" s="240">
        <v>0.52900000000000003</v>
      </c>
      <c r="M73" s="241">
        <v>0.40899999999999997</v>
      </c>
      <c r="N73" s="201">
        <f t="shared" si="10"/>
        <v>0.46899999999999997</v>
      </c>
      <c r="O73" s="240">
        <v>0.40899999999999997</v>
      </c>
      <c r="P73" s="241">
        <v>0.29299999999999998</v>
      </c>
      <c r="Q73" s="201">
        <f t="shared" si="11"/>
        <v>0.35099999999999998</v>
      </c>
      <c r="R73" s="240">
        <v>0.57999999999999996</v>
      </c>
      <c r="S73" s="241">
        <v>0.46700000000000003</v>
      </c>
      <c r="T73" s="201">
        <f t="shared" si="12"/>
        <v>0.52349999999999997</v>
      </c>
      <c r="U73" s="240" t="s">
        <v>216</v>
      </c>
      <c r="V73" s="241" t="s">
        <v>216</v>
      </c>
      <c r="W73" s="201" t="str">
        <f t="shared" si="13"/>
        <v>OFF</v>
      </c>
    </row>
    <row r="74" spans="1:23" ht="15.75" x14ac:dyDescent="0.25">
      <c r="A74" s="31">
        <f>'M&amp;R Stations'!A66</f>
        <v>39025</v>
      </c>
      <c r="B74" s="240">
        <v>0.45</v>
      </c>
      <c r="C74" s="241">
        <v>0.37</v>
      </c>
      <c r="D74" s="201">
        <f t="shared" si="16"/>
        <v>0.41000000000000003</v>
      </c>
      <c r="E74" s="240">
        <v>0.37</v>
      </c>
      <c r="F74" s="241">
        <v>0.35</v>
      </c>
      <c r="G74" s="201">
        <f t="shared" si="8"/>
        <v>0.36</v>
      </c>
      <c r="H74" s="240">
        <v>0.35</v>
      </c>
      <c r="I74" s="241">
        <v>0.33</v>
      </c>
      <c r="J74" s="201">
        <f t="shared" si="9"/>
        <v>0.33999999999999997</v>
      </c>
      <c r="K74" s="194"/>
      <c r="L74" s="240">
        <v>0.48399999999999999</v>
      </c>
      <c r="M74" s="241">
        <v>0.42799999999999999</v>
      </c>
      <c r="N74" s="201">
        <f t="shared" si="10"/>
        <v>0.45599999999999996</v>
      </c>
      <c r="O74" s="240">
        <v>0.32300000000000001</v>
      </c>
      <c r="P74" s="241">
        <v>0.29299999999999998</v>
      </c>
      <c r="Q74" s="201">
        <f t="shared" si="11"/>
        <v>0.308</v>
      </c>
      <c r="R74" s="240">
        <v>0.59799999999999998</v>
      </c>
      <c r="S74" s="241">
        <v>0.48599999999999999</v>
      </c>
      <c r="T74" s="201">
        <f t="shared" si="12"/>
        <v>0.54200000000000004</v>
      </c>
      <c r="U74" s="240" t="s">
        <v>216</v>
      </c>
      <c r="V74" s="241" t="s">
        <v>216</v>
      </c>
      <c r="W74" s="201" t="str">
        <f t="shared" si="13"/>
        <v>OFF</v>
      </c>
    </row>
    <row r="75" spans="1:23" ht="15.75" x14ac:dyDescent="0.25">
      <c r="A75" s="31">
        <f>'M&amp;R Stations'!A67</f>
        <v>39026</v>
      </c>
      <c r="B75" s="240">
        <v>0.43</v>
      </c>
      <c r="C75" s="241">
        <v>0.37</v>
      </c>
      <c r="D75" s="201">
        <f t="shared" si="16"/>
        <v>0.4</v>
      </c>
      <c r="E75" s="240">
        <v>0.37</v>
      </c>
      <c r="F75" s="241">
        <v>0.35</v>
      </c>
      <c r="G75" s="201">
        <f t="shared" si="8"/>
        <v>0.36</v>
      </c>
      <c r="H75" s="240">
        <v>0.38</v>
      </c>
      <c r="I75" s="241">
        <v>0.33</v>
      </c>
      <c r="J75" s="201">
        <f t="shared" si="9"/>
        <v>0.35499999999999998</v>
      </c>
      <c r="K75" s="194"/>
      <c r="L75" s="240">
        <v>0.48399999999999999</v>
      </c>
      <c r="M75" s="241">
        <v>0.40899999999999997</v>
      </c>
      <c r="N75" s="201">
        <f t="shared" si="10"/>
        <v>0.44650000000000001</v>
      </c>
      <c r="O75" s="240">
        <v>0.308</v>
      </c>
      <c r="P75" s="241">
        <v>0.23100000000000001</v>
      </c>
      <c r="Q75" s="201">
        <f t="shared" si="11"/>
        <v>0.26950000000000002</v>
      </c>
      <c r="R75" s="240">
        <v>0.56100000000000005</v>
      </c>
      <c r="S75" s="241">
        <v>0.41099999999999998</v>
      </c>
      <c r="T75" s="201">
        <f t="shared" si="12"/>
        <v>0.48599999999999999</v>
      </c>
      <c r="U75" s="240" t="s">
        <v>216</v>
      </c>
      <c r="V75" s="241" t="s">
        <v>216</v>
      </c>
      <c r="W75" s="201" t="str">
        <f t="shared" si="13"/>
        <v>OFF</v>
      </c>
    </row>
    <row r="76" spans="1:23" ht="15.75" x14ac:dyDescent="0.25">
      <c r="A76" s="31">
        <f>'M&amp;R Stations'!A68</f>
        <v>39027</v>
      </c>
      <c r="B76" s="240">
        <v>0.45</v>
      </c>
      <c r="C76" s="241">
        <v>0.38</v>
      </c>
      <c r="D76" s="201">
        <f t="shared" si="16"/>
        <v>0.41500000000000004</v>
      </c>
      <c r="E76" s="240">
        <v>0.37</v>
      </c>
      <c r="F76" s="241">
        <v>0.35</v>
      </c>
      <c r="G76" s="201">
        <f t="shared" si="8"/>
        <v>0.36</v>
      </c>
      <c r="H76" s="240">
        <v>0.38</v>
      </c>
      <c r="I76" s="241">
        <v>0.3</v>
      </c>
      <c r="J76" s="201">
        <f t="shared" si="9"/>
        <v>0.33999999999999997</v>
      </c>
      <c r="K76" s="194"/>
      <c r="L76" s="240">
        <v>0.46500000000000002</v>
      </c>
      <c r="M76" s="241">
        <v>0.372</v>
      </c>
      <c r="N76" s="201">
        <f t="shared" si="10"/>
        <v>0.41849999999999998</v>
      </c>
      <c r="O76" s="240">
        <v>0.27700000000000002</v>
      </c>
      <c r="P76" s="241">
        <v>0.24099999999999999</v>
      </c>
      <c r="Q76" s="201">
        <f t="shared" si="11"/>
        <v>0.25900000000000001</v>
      </c>
      <c r="R76" s="240">
        <v>0.56100000000000005</v>
      </c>
      <c r="S76" s="241">
        <v>0.46800000000000003</v>
      </c>
      <c r="T76" s="201">
        <f t="shared" si="12"/>
        <v>0.51450000000000007</v>
      </c>
      <c r="U76" s="240" t="s">
        <v>216</v>
      </c>
      <c r="V76" s="241" t="s">
        <v>216</v>
      </c>
      <c r="W76" s="201" t="str">
        <f t="shared" si="13"/>
        <v>OFF</v>
      </c>
    </row>
    <row r="77" spans="1:23" ht="15.75" x14ac:dyDescent="0.25">
      <c r="A77" s="31">
        <f>'M&amp;R Stations'!A69</f>
        <v>39028</v>
      </c>
      <c r="B77" s="240">
        <v>0.45</v>
      </c>
      <c r="C77" s="241">
        <v>0.33</v>
      </c>
      <c r="D77" s="201">
        <f t="shared" si="16"/>
        <v>0.39</v>
      </c>
      <c r="E77" s="240">
        <v>0.37</v>
      </c>
      <c r="F77" s="241">
        <v>0.35</v>
      </c>
      <c r="G77" s="201">
        <f t="shared" si="8"/>
        <v>0.36</v>
      </c>
      <c r="H77" s="240">
        <v>0.35</v>
      </c>
      <c r="I77" s="241">
        <v>0.33</v>
      </c>
      <c r="J77" s="201">
        <f t="shared" si="9"/>
        <v>0.33999999999999997</v>
      </c>
      <c r="K77" s="194"/>
      <c r="L77" s="240">
        <v>0.55800000000000005</v>
      </c>
      <c r="M77" s="241">
        <v>0.40899999999999997</v>
      </c>
      <c r="N77" s="201">
        <f t="shared" si="10"/>
        <v>0.48350000000000004</v>
      </c>
      <c r="O77" s="240">
        <v>0.29299999999999998</v>
      </c>
      <c r="P77" s="241">
        <v>0.246</v>
      </c>
      <c r="Q77" s="201">
        <f t="shared" si="11"/>
        <v>0.26949999999999996</v>
      </c>
      <c r="R77" s="240">
        <v>0.505</v>
      </c>
      <c r="S77" s="241">
        <v>0.43</v>
      </c>
      <c r="T77" s="201">
        <f t="shared" si="12"/>
        <v>0.46750000000000003</v>
      </c>
      <c r="U77" s="240" t="s">
        <v>216</v>
      </c>
      <c r="V77" s="241" t="s">
        <v>216</v>
      </c>
      <c r="W77" s="201" t="str">
        <f t="shared" si="13"/>
        <v>OFF</v>
      </c>
    </row>
    <row r="78" spans="1:23" ht="15.75" x14ac:dyDescent="0.25">
      <c r="A78" s="31">
        <f>'M&amp;R Stations'!A70</f>
        <v>39029</v>
      </c>
      <c r="B78" s="240">
        <v>0.41</v>
      </c>
      <c r="C78" s="241">
        <v>0.38</v>
      </c>
      <c r="D78" s="201">
        <f t="shared" si="16"/>
        <v>0.39500000000000002</v>
      </c>
      <c r="E78" s="240">
        <v>0.36</v>
      </c>
      <c r="F78" s="241">
        <v>0.34</v>
      </c>
      <c r="G78" s="201">
        <f t="shared" si="8"/>
        <v>0.35</v>
      </c>
      <c r="H78" s="240">
        <v>0.37</v>
      </c>
      <c r="I78" s="241">
        <v>0.35</v>
      </c>
      <c r="J78" s="201">
        <f t="shared" si="9"/>
        <v>0.36</v>
      </c>
      <c r="K78" s="194"/>
      <c r="L78" s="240">
        <v>0.502</v>
      </c>
      <c r="M78" s="241">
        <v>0.40899999999999997</v>
      </c>
      <c r="N78" s="201">
        <f t="shared" si="10"/>
        <v>0.45550000000000002</v>
      </c>
      <c r="O78" s="240">
        <v>0.32800000000000001</v>
      </c>
      <c r="P78" s="241">
        <v>0.27700000000000002</v>
      </c>
      <c r="Q78" s="201">
        <f t="shared" si="11"/>
        <v>0.30249999999999999</v>
      </c>
      <c r="R78" s="240">
        <v>0.44800000000000001</v>
      </c>
      <c r="S78" s="241">
        <v>0.374</v>
      </c>
      <c r="T78" s="201">
        <f t="shared" si="12"/>
        <v>0.41100000000000003</v>
      </c>
      <c r="U78" s="240" t="s">
        <v>216</v>
      </c>
      <c r="V78" s="241" t="s">
        <v>216</v>
      </c>
      <c r="W78" s="201" t="str">
        <f t="shared" si="13"/>
        <v>OFF</v>
      </c>
    </row>
    <row r="79" spans="1:23" ht="15.75" x14ac:dyDescent="0.25">
      <c r="A79" s="31">
        <f>'M&amp;R Stations'!A71</f>
        <v>39030</v>
      </c>
      <c r="B79" s="240">
        <v>0.38</v>
      </c>
      <c r="C79" s="241">
        <v>0.36</v>
      </c>
      <c r="D79" s="201">
        <f t="shared" si="16"/>
        <v>0.37</v>
      </c>
      <c r="E79" s="240">
        <v>0.37</v>
      </c>
      <c r="F79" s="241">
        <v>0.34</v>
      </c>
      <c r="G79" s="201">
        <f t="shared" si="8"/>
        <v>0.35499999999999998</v>
      </c>
      <c r="H79" s="240">
        <v>0.37</v>
      </c>
      <c r="I79" s="241">
        <v>0.34</v>
      </c>
      <c r="J79" s="201">
        <f t="shared" si="9"/>
        <v>0.35499999999999998</v>
      </c>
      <c r="K79" s="194"/>
      <c r="L79" s="240">
        <v>0.67300000000000004</v>
      </c>
      <c r="M79" s="241">
        <v>0.42799999999999999</v>
      </c>
      <c r="N79" s="201">
        <f t="shared" si="10"/>
        <v>0.55049999999999999</v>
      </c>
      <c r="O79" s="240">
        <v>0.57599999999999996</v>
      </c>
      <c r="P79" s="241">
        <v>0.308</v>
      </c>
      <c r="Q79" s="201">
        <f t="shared" si="11"/>
        <v>0.44199999999999995</v>
      </c>
      <c r="R79" s="240">
        <v>0.41099999999999998</v>
      </c>
      <c r="S79" s="241">
        <v>0.36</v>
      </c>
      <c r="T79" s="201">
        <f t="shared" si="12"/>
        <v>0.38549999999999995</v>
      </c>
      <c r="U79" s="240" t="s">
        <v>216</v>
      </c>
      <c r="V79" s="241" t="s">
        <v>216</v>
      </c>
      <c r="W79" s="201" t="str">
        <f t="shared" si="13"/>
        <v>OFF</v>
      </c>
    </row>
    <row r="80" spans="1:23" ht="15.75" x14ac:dyDescent="0.25">
      <c r="A80" s="31">
        <f>'M&amp;R Stations'!A72</f>
        <v>39031</v>
      </c>
      <c r="B80" s="240">
        <v>0.38</v>
      </c>
      <c r="C80" s="241">
        <v>0.36</v>
      </c>
      <c r="D80" s="201">
        <f t="shared" si="16"/>
        <v>0.37</v>
      </c>
      <c r="E80" s="240">
        <v>0.34</v>
      </c>
      <c r="F80" s="241">
        <v>0.31</v>
      </c>
      <c r="G80" s="201">
        <f t="shared" si="8"/>
        <v>0.32500000000000001</v>
      </c>
      <c r="H80" s="240">
        <v>0.34</v>
      </c>
      <c r="I80" s="241">
        <v>0.31</v>
      </c>
      <c r="J80" s="201">
        <f t="shared" si="9"/>
        <v>0.32500000000000001</v>
      </c>
      <c r="K80" s="194"/>
      <c r="L80" s="240">
        <v>0.64800000000000002</v>
      </c>
      <c r="M80" s="241">
        <v>0.54400000000000004</v>
      </c>
      <c r="N80" s="201">
        <f t="shared" si="10"/>
        <v>0.59600000000000009</v>
      </c>
      <c r="O80" s="240">
        <v>0.54500000000000004</v>
      </c>
      <c r="P80" s="241">
        <v>0.45500000000000002</v>
      </c>
      <c r="Q80" s="201">
        <f t="shared" si="11"/>
        <v>0.5</v>
      </c>
      <c r="R80" s="240">
        <v>0.39600000000000002</v>
      </c>
      <c r="S80" s="241">
        <v>0.378</v>
      </c>
      <c r="T80" s="201">
        <f t="shared" si="12"/>
        <v>0.38700000000000001</v>
      </c>
      <c r="U80" s="240" t="s">
        <v>216</v>
      </c>
      <c r="V80" s="241" t="s">
        <v>216</v>
      </c>
      <c r="W80" s="201" t="str">
        <f t="shared" si="13"/>
        <v>OFF</v>
      </c>
    </row>
    <row r="81" spans="1:23" ht="15.75" x14ac:dyDescent="0.25">
      <c r="A81" s="31">
        <f>'M&amp;R Stations'!A73</f>
        <v>39032</v>
      </c>
      <c r="B81" s="240">
        <v>0.38</v>
      </c>
      <c r="C81" s="241">
        <v>0.34</v>
      </c>
      <c r="D81" s="201">
        <f t="shared" si="16"/>
        <v>0.36</v>
      </c>
      <c r="E81" s="240">
        <v>0.36</v>
      </c>
      <c r="F81" s="241">
        <v>0.31</v>
      </c>
      <c r="G81" s="201">
        <f t="shared" si="8"/>
        <v>0.33499999999999996</v>
      </c>
      <c r="H81" s="240">
        <v>0.34</v>
      </c>
      <c r="I81" s="241">
        <v>0.31</v>
      </c>
      <c r="J81" s="201">
        <f t="shared" si="9"/>
        <v>0.32500000000000001</v>
      </c>
      <c r="K81" s="194"/>
      <c r="L81" s="240">
        <v>0.64800000000000002</v>
      </c>
      <c r="M81" s="241">
        <v>0.51800000000000002</v>
      </c>
      <c r="N81" s="201">
        <f t="shared" si="10"/>
        <v>0.58299999999999996</v>
      </c>
      <c r="O81" s="240">
        <v>0.72699999999999998</v>
      </c>
      <c r="P81" s="241">
        <v>0.45500000000000002</v>
      </c>
      <c r="Q81" s="201">
        <f t="shared" si="11"/>
        <v>0.59099999999999997</v>
      </c>
      <c r="R81" s="240">
        <v>0.41399999999999998</v>
      </c>
      <c r="S81" s="241">
        <v>0.378</v>
      </c>
      <c r="T81" s="201">
        <f t="shared" si="12"/>
        <v>0.39600000000000002</v>
      </c>
      <c r="U81" s="240" t="s">
        <v>216</v>
      </c>
      <c r="V81" s="241" t="s">
        <v>216</v>
      </c>
      <c r="W81" s="201" t="str">
        <f t="shared" si="13"/>
        <v>OFF</v>
      </c>
    </row>
    <row r="82" spans="1:23" ht="15.75" x14ac:dyDescent="0.25">
      <c r="A82" s="31">
        <f>'M&amp;R Stations'!A74</f>
        <v>39033</v>
      </c>
      <c r="B82" s="240">
        <v>0.38</v>
      </c>
      <c r="C82" s="241">
        <v>0.38</v>
      </c>
      <c r="D82" s="201">
        <f t="shared" si="16"/>
        <v>0.38</v>
      </c>
      <c r="E82" s="240">
        <v>0.34</v>
      </c>
      <c r="F82" s="241">
        <v>0.28000000000000003</v>
      </c>
      <c r="G82" s="201">
        <f t="shared" si="8"/>
        <v>0.31000000000000005</v>
      </c>
      <c r="H82" s="240">
        <v>0.34</v>
      </c>
      <c r="I82" s="241">
        <v>0.31</v>
      </c>
      <c r="J82" s="201">
        <f t="shared" si="9"/>
        <v>0.32500000000000001</v>
      </c>
      <c r="K82" s="194"/>
      <c r="L82" s="240">
        <v>0.64800000000000002</v>
      </c>
      <c r="M82" s="241">
        <v>0.51800000000000002</v>
      </c>
      <c r="N82" s="201">
        <f t="shared" si="10"/>
        <v>0.58299999999999996</v>
      </c>
      <c r="O82" s="240">
        <v>0.60599999999999998</v>
      </c>
      <c r="P82" s="241">
        <v>0.51500000000000001</v>
      </c>
      <c r="Q82" s="201">
        <f t="shared" si="11"/>
        <v>0.5605</v>
      </c>
      <c r="R82" s="240">
        <v>0.432</v>
      </c>
      <c r="S82" s="241">
        <v>0.36</v>
      </c>
      <c r="T82" s="201">
        <f t="shared" si="12"/>
        <v>0.39600000000000002</v>
      </c>
      <c r="U82" s="240" t="s">
        <v>216</v>
      </c>
      <c r="V82" s="241" t="s">
        <v>216</v>
      </c>
      <c r="W82" s="201" t="str">
        <f t="shared" si="13"/>
        <v>OFF</v>
      </c>
    </row>
    <row r="83" spans="1:23" ht="15.75" x14ac:dyDescent="0.25">
      <c r="A83" s="31">
        <f>'M&amp;R Stations'!A75</f>
        <v>39034</v>
      </c>
      <c r="B83" s="240">
        <v>0.41</v>
      </c>
      <c r="C83" s="241">
        <v>0.41</v>
      </c>
      <c r="D83" s="201">
        <f t="shared" si="16"/>
        <v>0.41</v>
      </c>
      <c r="E83" s="240">
        <v>0.34</v>
      </c>
      <c r="F83" s="241">
        <v>0.31</v>
      </c>
      <c r="G83" s="201">
        <f t="shared" si="8"/>
        <v>0.32500000000000001</v>
      </c>
      <c r="H83" s="240">
        <v>0.37</v>
      </c>
      <c r="I83" s="241">
        <v>0.34</v>
      </c>
      <c r="J83" s="201">
        <f t="shared" si="9"/>
        <v>0.35499999999999998</v>
      </c>
      <c r="K83" s="194"/>
      <c r="L83" s="240">
        <v>0.622</v>
      </c>
      <c r="M83" s="241">
        <v>0.54400000000000004</v>
      </c>
      <c r="N83" s="201">
        <f t="shared" si="10"/>
        <v>0.58299999999999996</v>
      </c>
      <c r="O83" s="240">
        <v>0.57599999999999996</v>
      </c>
      <c r="P83" s="241">
        <v>0.48499999999999999</v>
      </c>
      <c r="Q83" s="201">
        <f t="shared" si="11"/>
        <v>0.53049999999999997</v>
      </c>
      <c r="R83" s="240">
        <v>0.41399999999999998</v>
      </c>
      <c r="S83" s="241">
        <v>0.378</v>
      </c>
      <c r="T83" s="201">
        <f t="shared" si="12"/>
        <v>0.39600000000000002</v>
      </c>
      <c r="U83" s="240" t="s">
        <v>216</v>
      </c>
      <c r="V83" s="241" t="s">
        <v>216</v>
      </c>
      <c r="W83" s="201" t="str">
        <f t="shared" si="13"/>
        <v>OFF</v>
      </c>
    </row>
    <row r="84" spans="1:23" ht="15.75" x14ac:dyDescent="0.25">
      <c r="A84" s="31">
        <f>'M&amp;R Stations'!A76</f>
        <v>39035</v>
      </c>
      <c r="B84" s="240">
        <v>0.41</v>
      </c>
      <c r="C84" s="241">
        <v>0.31</v>
      </c>
      <c r="D84" s="201">
        <f t="shared" si="16"/>
        <v>0.36</v>
      </c>
      <c r="E84" s="240">
        <v>0.34</v>
      </c>
      <c r="F84" s="241">
        <v>0.28000000000000003</v>
      </c>
      <c r="G84" s="201">
        <f t="shared" si="8"/>
        <v>0.31000000000000005</v>
      </c>
      <c r="H84" s="240">
        <v>0.37</v>
      </c>
      <c r="I84" s="241">
        <v>0.31</v>
      </c>
      <c r="J84" s="201">
        <f t="shared" si="9"/>
        <v>0.33999999999999997</v>
      </c>
      <c r="K84" s="194"/>
      <c r="L84" s="240">
        <v>0.622</v>
      </c>
      <c r="M84" s="241">
        <v>0.46600000000000003</v>
      </c>
      <c r="N84" s="201">
        <f t="shared" si="10"/>
        <v>0.54400000000000004</v>
      </c>
      <c r="O84" s="240">
        <v>0.66700000000000004</v>
      </c>
      <c r="P84" s="241">
        <v>0.48499999999999999</v>
      </c>
      <c r="Q84" s="201">
        <f t="shared" si="11"/>
        <v>0.57600000000000007</v>
      </c>
      <c r="R84" s="240">
        <v>0.432</v>
      </c>
      <c r="S84" s="241">
        <v>0.378</v>
      </c>
      <c r="T84" s="201">
        <f t="shared" si="12"/>
        <v>0.40500000000000003</v>
      </c>
      <c r="U84" s="240" t="s">
        <v>216</v>
      </c>
      <c r="V84" s="241" t="s">
        <v>216</v>
      </c>
      <c r="W84" s="201" t="str">
        <f t="shared" si="13"/>
        <v>OFF</v>
      </c>
    </row>
    <row r="85" spans="1:23" ht="15.75" x14ac:dyDescent="0.25">
      <c r="A85" s="31">
        <f>'M&amp;R Stations'!A77</f>
        <v>39036</v>
      </c>
      <c r="B85" s="240">
        <v>0.43</v>
      </c>
      <c r="C85" s="241">
        <v>0.41</v>
      </c>
      <c r="D85" s="201">
        <f t="shared" si="16"/>
        <v>0.42</v>
      </c>
      <c r="E85" s="240">
        <v>0.34</v>
      </c>
      <c r="F85" s="241">
        <v>0.28000000000000003</v>
      </c>
      <c r="G85" s="201">
        <f t="shared" si="8"/>
        <v>0.31000000000000005</v>
      </c>
      <c r="H85" s="240">
        <v>0.37</v>
      </c>
      <c r="I85" s="241">
        <v>0.34</v>
      </c>
      <c r="J85" s="201">
        <f t="shared" si="9"/>
        <v>0.35499999999999998</v>
      </c>
      <c r="K85" s="194"/>
      <c r="L85" s="240">
        <v>0.64800000000000002</v>
      </c>
      <c r="M85" s="241">
        <v>0.56999999999999995</v>
      </c>
      <c r="N85" s="201">
        <f t="shared" si="10"/>
        <v>0.60899999999999999</v>
      </c>
      <c r="O85" s="240">
        <v>0.60599999999999998</v>
      </c>
      <c r="P85" s="241">
        <v>0.42399999999999999</v>
      </c>
      <c r="Q85" s="201">
        <f t="shared" si="11"/>
        <v>0.51500000000000001</v>
      </c>
      <c r="R85" s="240">
        <v>0.504</v>
      </c>
      <c r="S85" s="241">
        <v>0.39600000000000002</v>
      </c>
      <c r="T85" s="201">
        <f t="shared" si="12"/>
        <v>0.45</v>
      </c>
      <c r="U85" s="240" t="s">
        <v>216</v>
      </c>
      <c r="V85" s="241" t="s">
        <v>216</v>
      </c>
      <c r="W85" s="201" t="str">
        <f t="shared" si="13"/>
        <v>OFF</v>
      </c>
    </row>
    <row r="86" spans="1:23" ht="15.75" x14ac:dyDescent="0.25">
      <c r="A86" s="31">
        <f>'M&amp;R Stations'!A78</f>
        <v>39037</v>
      </c>
      <c r="B86" s="240">
        <v>0.36</v>
      </c>
      <c r="C86" s="241">
        <v>0.32</v>
      </c>
      <c r="D86" s="201">
        <f t="shared" si="16"/>
        <v>0.33999999999999997</v>
      </c>
      <c r="E86" s="240">
        <v>0.34</v>
      </c>
      <c r="F86" s="241">
        <v>0.3</v>
      </c>
      <c r="G86" s="201">
        <f t="shared" si="8"/>
        <v>0.32</v>
      </c>
      <c r="H86" s="240">
        <v>0.46</v>
      </c>
      <c r="I86" s="241">
        <v>0.34</v>
      </c>
      <c r="J86" s="201">
        <f t="shared" si="9"/>
        <v>0.4</v>
      </c>
      <c r="K86" s="194"/>
      <c r="L86" s="240">
        <v>0.622</v>
      </c>
      <c r="M86" s="241">
        <v>0.45500000000000002</v>
      </c>
      <c r="N86" s="201">
        <f t="shared" si="10"/>
        <v>0.53849999999999998</v>
      </c>
      <c r="O86" s="240">
        <v>0.48499999999999999</v>
      </c>
      <c r="P86" s="241">
        <v>0.373</v>
      </c>
      <c r="Q86" s="201">
        <f t="shared" si="11"/>
        <v>0.42899999999999999</v>
      </c>
      <c r="R86" s="240">
        <v>0.39600000000000002</v>
      </c>
      <c r="S86" s="241">
        <v>0.34300000000000003</v>
      </c>
      <c r="T86" s="201">
        <f t="shared" si="12"/>
        <v>0.36950000000000005</v>
      </c>
      <c r="U86" s="240" t="s">
        <v>216</v>
      </c>
      <c r="V86" s="241" t="s">
        <v>216</v>
      </c>
      <c r="W86" s="201" t="str">
        <f t="shared" si="13"/>
        <v>OFF</v>
      </c>
    </row>
    <row r="87" spans="1:23" ht="15.75" x14ac:dyDescent="0.25">
      <c r="A87" s="31">
        <f>'M&amp;R Stations'!A79</f>
        <v>39038</v>
      </c>
      <c r="B87" s="240">
        <v>0.41</v>
      </c>
      <c r="C87" s="241">
        <v>0.34</v>
      </c>
      <c r="D87" s="201">
        <f t="shared" si="16"/>
        <v>0.375</v>
      </c>
      <c r="E87" s="240">
        <v>0.36</v>
      </c>
      <c r="F87" s="241">
        <v>0.36</v>
      </c>
      <c r="G87" s="201">
        <f t="shared" si="8"/>
        <v>0.36</v>
      </c>
      <c r="H87" s="240">
        <v>0.4</v>
      </c>
      <c r="I87" s="241">
        <v>0.37</v>
      </c>
      <c r="J87" s="201">
        <f t="shared" si="9"/>
        <v>0.38500000000000001</v>
      </c>
      <c r="K87" s="194"/>
      <c r="L87" s="240">
        <v>0.49099999999999999</v>
      </c>
      <c r="M87" s="241">
        <v>0.437</v>
      </c>
      <c r="N87" s="201">
        <f t="shared" si="10"/>
        <v>0.46399999999999997</v>
      </c>
      <c r="O87" s="240">
        <v>0.41899999999999998</v>
      </c>
      <c r="P87" s="241">
        <v>0.373</v>
      </c>
      <c r="Q87" s="201">
        <f t="shared" si="11"/>
        <v>0.39600000000000002</v>
      </c>
      <c r="R87" s="240">
        <v>0.4</v>
      </c>
      <c r="S87" s="241">
        <v>0.315</v>
      </c>
      <c r="T87" s="201">
        <f t="shared" si="12"/>
        <v>0.35750000000000004</v>
      </c>
      <c r="U87" s="240" t="s">
        <v>216</v>
      </c>
      <c r="V87" s="241" t="s">
        <v>216</v>
      </c>
      <c r="W87" s="201" t="str">
        <f t="shared" si="13"/>
        <v>OFF</v>
      </c>
    </row>
    <row r="88" spans="1:23" ht="15.75" x14ac:dyDescent="0.25">
      <c r="A88" s="31">
        <f>'M&amp;R Stations'!A80</f>
        <v>39039</v>
      </c>
      <c r="B88" s="240">
        <v>0.41</v>
      </c>
      <c r="C88" s="241">
        <v>0.36</v>
      </c>
      <c r="D88" s="201">
        <f t="shared" si="16"/>
        <v>0.38500000000000001</v>
      </c>
      <c r="E88" s="240">
        <v>0.38</v>
      </c>
      <c r="F88" s="241">
        <v>0.33</v>
      </c>
      <c r="G88" s="201">
        <f t="shared" si="8"/>
        <v>0.35499999999999998</v>
      </c>
      <c r="H88" s="240">
        <v>0.4</v>
      </c>
      <c r="I88" s="241">
        <v>0.37</v>
      </c>
      <c r="J88" s="201">
        <f t="shared" si="9"/>
        <v>0.38500000000000001</v>
      </c>
      <c r="K88" s="194"/>
      <c r="L88" s="240">
        <v>0.54600000000000004</v>
      </c>
      <c r="M88" s="241">
        <v>0.437</v>
      </c>
      <c r="N88" s="201">
        <f t="shared" si="10"/>
        <v>0.49150000000000005</v>
      </c>
      <c r="O88" s="240">
        <v>0.46600000000000003</v>
      </c>
      <c r="P88" s="241">
        <v>0.41899999999999998</v>
      </c>
      <c r="Q88" s="201">
        <f t="shared" si="11"/>
        <v>0.4425</v>
      </c>
      <c r="R88" s="240">
        <v>0.41499999999999998</v>
      </c>
      <c r="S88" s="241">
        <v>0.371</v>
      </c>
      <c r="T88" s="201">
        <f t="shared" si="12"/>
        <v>0.39300000000000002</v>
      </c>
      <c r="U88" s="240" t="s">
        <v>216</v>
      </c>
      <c r="V88" s="241" t="s">
        <v>216</v>
      </c>
      <c r="W88" s="201" t="str">
        <f t="shared" si="13"/>
        <v>OFF</v>
      </c>
    </row>
    <row r="89" spans="1:23" ht="15.75" x14ac:dyDescent="0.25">
      <c r="A89" s="31">
        <f>'M&amp;R Stations'!A81</f>
        <v>39040</v>
      </c>
      <c r="B89" s="240">
        <v>0.39</v>
      </c>
      <c r="C89" s="241">
        <v>0.32</v>
      </c>
      <c r="D89" s="201">
        <f t="shared" si="16"/>
        <v>0.35499999999999998</v>
      </c>
      <c r="E89" s="240">
        <v>0.36</v>
      </c>
      <c r="F89" s="241">
        <v>0.33</v>
      </c>
      <c r="G89" s="201">
        <f t="shared" si="8"/>
        <v>0.34499999999999997</v>
      </c>
      <c r="H89" s="240">
        <v>0.4</v>
      </c>
      <c r="I89" s="241">
        <v>0.37</v>
      </c>
      <c r="J89" s="201">
        <f t="shared" si="9"/>
        <v>0.38500000000000001</v>
      </c>
      <c r="K89" s="194"/>
      <c r="L89" s="240">
        <v>0.51</v>
      </c>
      <c r="M89" s="241">
        <v>0.437</v>
      </c>
      <c r="N89" s="201">
        <f t="shared" si="10"/>
        <v>0.47350000000000003</v>
      </c>
      <c r="O89" s="240">
        <v>0.41899999999999998</v>
      </c>
      <c r="P89" s="241">
        <v>0.39600000000000002</v>
      </c>
      <c r="Q89" s="201">
        <f t="shared" si="11"/>
        <v>0.40749999999999997</v>
      </c>
      <c r="R89" s="240">
        <v>0.41499999999999998</v>
      </c>
      <c r="S89" s="241">
        <v>0.371</v>
      </c>
      <c r="T89" s="201">
        <f t="shared" si="12"/>
        <v>0.39300000000000002</v>
      </c>
      <c r="U89" s="240" t="s">
        <v>216</v>
      </c>
      <c r="V89" s="241" t="s">
        <v>216</v>
      </c>
      <c r="W89" s="201" t="str">
        <f t="shared" si="13"/>
        <v>OFF</v>
      </c>
    </row>
    <row r="90" spans="1:23" ht="15.75" x14ac:dyDescent="0.25">
      <c r="A90" s="31">
        <f>'M&amp;R Stations'!A82</f>
        <v>39041</v>
      </c>
      <c r="B90" s="240">
        <v>0.41</v>
      </c>
      <c r="C90" s="241">
        <v>0.32</v>
      </c>
      <c r="D90" s="201">
        <f t="shared" si="16"/>
        <v>0.36499999999999999</v>
      </c>
      <c r="E90" s="240">
        <v>0.36</v>
      </c>
      <c r="F90" s="241">
        <v>0.28000000000000003</v>
      </c>
      <c r="G90" s="201">
        <f t="shared" si="8"/>
        <v>0.32</v>
      </c>
      <c r="H90" s="240">
        <v>0.37</v>
      </c>
      <c r="I90" s="241">
        <v>0.3</v>
      </c>
      <c r="J90" s="201">
        <f t="shared" si="9"/>
        <v>0.33499999999999996</v>
      </c>
      <c r="K90" s="194"/>
      <c r="L90" s="240">
        <v>0.54600000000000004</v>
      </c>
      <c r="M90" s="241">
        <v>0.437</v>
      </c>
      <c r="N90" s="201">
        <f t="shared" si="10"/>
        <v>0.49150000000000005</v>
      </c>
      <c r="O90" s="240">
        <v>0.51300000000000001</v>
      </c>
      <c r="P90" s="241">
        <v>0.39600000000000002</v>
      </c>
      <c r="Q90" s="201">
        <f t="shared" si="11"/>
        <v>0.45450000000000002</v>
      </c>
      <c r="R90" s="240">
        <v>0.45800000000000002</v>
      </c>
      <c r="S90" s="241">
        <v>0.372</v>
      </c>
      <c r="T90" s="201">
        <f t="shared" si="12"/>
        <v>0.41500000000000004</v>
      </c>
      <c r="U90" s="240" t="s">
        <v>216</v>
      </c>
      <c r="V90" s="241" t="s">
        <v>216</v>
      </c>
      <c r="W90" s="201" t="str">
        <f t="shared" si="13"/>
        <v>OFF</v>
      </c>
    </row>
    <row r="91" spans="1:23" ht="15.75" x14ac:dyDescent="0.25">
      <c r="A91" s="31">
        <f>'M&amp;R Stations'!A83</f>
        <v>39042</v>
      </c>
      <c r="B91" s="240">
        <v>0.41</v>
      </c>
      <c r="C91" s="241">
        <v>0.34</v>
      </c>
      <c r="D91" s="201">
        <f t="shared" si="16"/>
        <v>0.375</v>
      </c>
      <c r="E91" s="240">
        <v>0.36</v>
      </c>
      <c r="F91" s="241">
        <v>0.3</v>
      </c>
      <c r="G91" s="201">
        <f t="shared" si="8"/>
        <v>0.32999999999999996</v>
      </c>
      <c r="H91" s="240">
        <v>0.4</v>
      </c>
      <c r="I91" s="241">
        <v>0.3</v>
      </c>
      <c r="J91" s="201">
        <f t="shared" si="9"/>
        <v>0.35</v>
      </c>
      <c r="K91" s="194"/>
      <c r="L91" s="240">
        <v>0.54600000000000004</v>
      </c>
      <c r="M91" s="241">
        <v>0.4</v>
      </c>
      <c r="N91" s="201">
        <f t="shared" si="10"/>
        <v>0.47300000000000003</v>
      </c>
      <c r="O91" s="240">
        <v>0.51300000000000001</v>
      </c>
      <c r="P91" s="241">
        <v>0.41899999999999998</v>
      </c>
      <c r="Q91" s="201">
        <f t="shared" si="11"/>
        <v>0.46599999999999997</v>
      </c>
      <c r="R91" s="240">
        <v>0.38600000000000001</v>
      </c>
      <c r="S91" s="241">
        <v>0.32900000000000001</v>
      </c>
      <c r="T91" s="201">
        <f t="shared" si="12"/>
        <v>0.35750000000000004</v>
      </c>
      <c r="U91" s="240" t="s">
        <v>216</v>
      </c>
      <c r="V91" s="241" t="s">
        <v>216</v>
      </c>
      <c r="W91" s="201" t="str">
        <f t="shared" si="13"/>
        <v>OFF</v>
      </c>
    </row>
    <row r="92" spans="1:23" ht="15.75" x14ac:dyDescent="0.25">
      <c r="A92" s="31">
        <f>'M&amp;R Stations'!A84</f>
        <v>39043</v>
      </c>
      <c r="B92" s="240">
        <v>0.37</v>
      </c>
      <c r="C92" s="241">
        <v>0.37</v>
      </c>
      <c r="D92" s="201">
        <f t="shared" si="16"/>
        <v>0.37</v>
      </c>
      <c r="E92" s="240">
        <v>0.36</v>
      </c>
      <c r="F92" s="241">
        <v>0.3</v>
      </c>
      <c r="G92" s="201">
        <f t="shared" si="8"/>
        <v>0.32999999999999996</v>
      </c>
      <c r="H92" s="240">
        <v>0.32</v>
      </c>
      <c r="I92" s="241">
        <v>0.28999999999999998</v>
      </c>
      <c r="J92" s="201">
        <f t="shared" si="9"/>
        <v>0.30499999999999999</v>
      </c>
      <c r="K92" s="194"/>
      <c r="L92" s="240">
        <v>0.55700000000000005</v>
      </c>
      <c r="M92" s="241">
        <v>0.47299999999999998</v>
      </c>
      <c r="N92" s="201">
        <f t="shared" si="10"/>
        <v>0.51500000000000001</v>
      </c>
      <c r="O92" s="240">
        <v>0.68400000000000005</v>
      </c>
      <c r="P92" s="241">
        <v>0.48899999999999999</v>
      </c>
      <c r="Q92" s="201">
        <f t="shared" si="11"/>
        <v>0.58650000000000002</v>
      </c>
      <c r="R92" s="240">
        <v>0.56699999999999995</v>
      </c>
      <c r="S92" s="241">
        <v>0.34300000000000003</v>
      </c>
      <c r="T92" s="201">
        <f t="shared" si="12"/>
        <v>0.45499999999999996</v>
      </c>
      <c r="U92" s="240" t="s">
        <v>216</v>
      </c>
      <c r="V92" s="241" t="s">
        <v>216</v>
      </c>
      <c r="W92" s="201" t="str">
        <f t="shared" si="13"/>
        <v>OFF</v>
      </c>
    </row>
    <row r="93" spans="1:23" ht="15.75" x14ac:dyDescent="0.25">
      <c r="A93" s="31">
        <f>'M&amp;R Stations'!A85</f>
        <v>39044</v>
      </c>
      <c r="B93" s="240">
        <v>0.37</v>
      </c>
      <c r="C93" s="241">
        <v>0.35</v>
      </c>
      <c r="D93" s="201">
        <f t="shared" si="16"/>
        <v>0.36</v>
      </c>
      <c r="E93" s="240">
        <v>0.36</v>
      </c>
      <c r="F93" s="241">
        <v>0.3</v>
      </c>
      <c r="G93" s="201">
        <f t="shared" si="8"/>
        <v>0.32999999999999996</v>
      </c>
      <c r="H93" s="240">
        <v>0.32</v>
      </c>
      <c r="I93" s="241">
        <v>0.28999999999999998</v>
      </c>
      <c r="J93" s="201">
        <f t="shared" si="9"/>
        <v>0.30499999999999999</v>
      </c>
      <c r="K93" s="194"/>
      <c r="L93" s="240">
        <v>0.57699999999999996</v>
      </c>
      <c r="M93" s="241">
        <v>0.438</v>
      </c>
      <c r="N93" s="201">
        <f t="shared" si="10"/>
        <v>0.50749999999999995</v>
      </c>
      <c r="O93" s="240">
        <v>0.56000000000000005</v>
      </c>
      <c r="P93" s="241">
        <v>0.498</v>
      </c>
      <c r="Q93" s="201">
        <f t="shared" si="11"/>
        <v>0.52900000000000003</v>
      </c>
      <c r="R93" s="240">
        <v>0.52300000000000002</v>
      </c>
      <c r="S93" s="241">
        <v>0.436</v>
      </c>
      <c r="T93" s="201">
        <f t="shared" si="12"/>
        <v>0.47950000000000004</v>
      </c>
      <c r="U93" s="240" t="s">
        <v>216</v>
      </c>
      <c r="V93" s="241" t="s">
        <v>216</v>
      </c>
      <c r="W93" s="201" t="str">
        <f t="shared" si="13"/>
        <v>OFF</v>
      </c>
    </row>
    <row r="94" spans="1:23" ht="15.75" x14ac:dyDescent="0.25">
      <c r="A94" s="31">
        <f>'M&amp;R Stations'!A86</f>
        <v>39045</v>
      </c>
      <c r="B94" s="240">
        <v>0.37</v>
      </c>
      <c r="C94" s="241">
        <v>0.33</v>
      </c>
      <c r="D94" s="201">
        <f t="shared" si="16"/>
        <v>0.35</v>
      </c>
      <c r="E94" s="240">
        <v>0.35</v>
      </c>
      <c r="F94" s="241">
        <v>0.3</v>
      </c>
      <c r="G94" s="201">
        <f t="shared" si="8"/>
        <v>0.32499999999999996</v>
      </c>
      <c r="H94" s="240">
        <v>0.28999999999999998</v>
      </c>
      <c r="I94" s="241">
        <v>0.27</v>
      </c>
      <c r="J94" s="201">
        <f t="shared" si="9"/>
        <v>0.28000000000000003</v>
      </c>
      <c r="K94" s="194"/>
      <c r="L94" s="240">
        <v>0.57699999999999996</v>
      </c>
      <c r="M94" s="241">
        <v>0.47799999999999998</v>
      </c>
      <c r="N94" s="201">
        <f t="shared" si="10"/>
        <v>0.52749999999999997</v>
      </c>
      <c r="O94" s="240">
        <v>0.622</v>
      </c>
      <c r="P94" s="241">
        <v>0.46700000000000003</v>
      </c>
      <c r="Q94" s="201">
        <f t="shared" si="11"/>
        <v>0.54449999999999998</v>
      </c>
      <c r="R94" s="240">
        <v>0.52300000000000002</v>
      </c>
      <c r="S94" s="241">
        <v>0.41399999999999998</v>
      </c>
      <c r="T94" s="201">
        <f t="shared" si="12"/>
        <v>0.46850000000000003</v>
      </c>
      <c r="U94" s="240" t="s">
        <v>216</v>
      </c>
      <c r="V94" s="241" t="s">
        <v>216</v>
      </c>
      <c r="W94" s="201" t="str">
        <f t="shared" si="13"/>
        <v>OFF</v>
      </c>
    </row>
    <row r="95" spans="1:23" ht="15.75" x14ac:dyDescent="0.25">
      <c r="A95" s="31">
        <f>'M&amp;R Stations'!A87</f>
        <v>39046</v>
      </c>
      <c r="B95" s="240">
        <v>0.37</v>
      </c>
      <c r="C95" s="241">
        <v>0.35</v>
      </c>
      <c r="D95" s="201">
        <f t="shared" si="16"/>
        <v>0.36</v>
      </c>
      <c r="E95" s="240">
        <v>0.36</v>
      </c>
      <c r="F95" s="241">
        <v>0.33</v>
      </c>
      <c r="G95" s="201">
        <f t="shared" si="8"/>
        <v>0.34499999999999997</v>
      </c>
      <c r="H95" s="240">
        <v>0.32</v>
      </c>
      <c r="I95" s="241">
        <v>0.28999999999999998</v>
      </c>
      <c r="J95" s="201">
        <f t="shared" si="9"/>
        <v>0.30499999999999999</v>
      </c>
      <c r="K95" s="194"/>
      <c r="L95" s="240">
        <v>0.53700000000000003</v>
      </c>
      <c r="M95" s="241">
        <v>0.47799999999999998</v>
      </c>
      <c r="N95" s="201">
        <f t="shared" si="10"/>
        <v>0.50750000000000006</v>
      </c>
      <c r="O95" s="240">
        <v>0.56000000000000005</v>
      </c>
      <c r="P95" s="241">
        <v>0.498</v>
      </c>
      <c r="Q95" s="201">
        <f t="shared" si="11"/>
        <v>0.52900000000000003</v>
      </c>
      <c r="R95" s="240">
        <v>0.65400000000000003</v>
      </c>
      <c r="S95" s="241">
        <v>0.41399999999999998</v>
      </c>
      <c r="T95" s="201">
        <f t="shared" si="12"/>
        <v>0.53400000000000003</v>
      </c>
      <c r="U95" s="240" t="s">
        <v>216</v>
      </c>
      <c r="V95" s="241" t="s">
        <v>216</v>
      </c>
      <c r="W95" s="201" t="str">
        <f t="shared" si="13"/>
        <v>OFF</v>
      </c>
    </row>
    <row r="96" spans="1:23" ht="15.75" x14ac:dyDescent="0.25">
      <c r="A96" s="31">
        <f>'M&amp;R Stations'!A88</f>
        <v>39047</v>
      </c>
      <c r="B96" s="240">
        <v>0.4</v>
      </c>
      <c r="C96" s="241">
        <v>0.35</v>
      </c>
      <c r="D96" s="201">
        <f t="shared" si="16"/>
        <v>0.375</v>
      </c>
      <c r="E96" s="240">
        <v>0.33</v>
      </c>
      <c r="F96" s="241">
        <v>0.3</v>
      </c>
      <c r="G96" s="201">
        <f t="shared" si="8"/>
        <v>0.315</v>
      </c>
      <c r="H96" s="240">
        <v>0.28999999999999998</v>
      </c>
      <c r="I96" s="241">
        <v>0.27</v>
      </c>
      <c r="J96" s="201">
        <f t="shared" si="9"/>
        <v>0.28000000000000003</v>
      </c>
      <c r="K96" s="194"/>
      <c r="L96" s="240">
        <v>0.59699999999999998</v>
      </c>
      <c r="M96" s="241">
        <v>0.498</v>
      </c>
      <c r="N96" s="201">
        <f t="shared" si="10"/>
        <v>0.54749999999999999</v>
      </c>
      <c r="O96" s="240">
        <v>0.622</v>
      </c>
      <c r="P96" s="241">
        <v>0.46700000000000003</v>
      </c>
      <c r="Q96" s="201">
        <f t="shared" si="11"/>
        <v>0.54449999999999998</v>
      </c>
      <c r="R96" s="240">
        <v>0.52300000000000002</v>
      </c>
      <c r="S96" s="241">
        <v>0.436</v>
      </c>
      <c r="T96" s="201">
        <f t="shared" si="12"/>
        <v>0.47950000000000004</v>
      </c>
      <c r="U96" s="240" t="s">
        <v>216</v>
      </c>
      <c r="V96" s="241" t="s">
        <v>216</v>
      </c>
      <c r="W96" s="201" t="str">
        <f t="shared" si="13"/>
        <v>OFF</v>
      </c>
    </row>
    <row r="97" spans="1:23" ht="15.75" x14ac:dyDescent="0.25">
      <c r="A97" s="31">
        <f>'M&amp;R Stations'!A89</f>
        <v>39048</v>
      </c>
      <c r="B97" s="240">
        <v>0.4</v>
      </c>
      <c r="C97" s="241">
        <v>0.37</v>
      </c>
      <c r="D97" s="201">
        <f t="shared" si="16"/>
        <v>0.38500000000000001</v>
      </c>
      <c r="E97" s="240">
        <v>0.36</v>
      </c>
      <c r="F97" s="241">
        <v>0.33</v>
      </c>
      <c r="G97" s="201">
        <f t="shared" si="8"/>
        <v>0.34499999999999997</v>
      </c>
      <c r="H97" s="240">
        <v>0.32</v>
      </c>
      <c r="I97" s="241">
        <v>0.28999999999999998</v>
      </c>
      <c r="J97" s="201">
        <f t="shared" si="9"/>
        <v>0.30499999999999999</v>
      </c>
      <c r="K97" s="194"/>
      <c r="L97" s="240">
        <v>0.71599999999999997</v>
      </c>
      <c r="M97" s="241">
        <v>0.41799999999999998</v>
      </c>
      <c r="N97" s="201">
        <f t="shared" si="10"/>
        <v>0.56699999999999995</v>
      </c>
      <c r="O97" s="240">
        <v>0.56000000000000005</v>
      </c>
      <c r="P97" s="241">
        <v>0.435</v>
      </c>
      <c r="Q97" s="201">
        <f t="shared" si="11"/>
        <v>0.49750000000000005</v>
      </c>
      <c r="R97" s="240">
        <v>0.52300000000000002</v>
      </c>
      <c r="S97" s="241">
        <v>0.436</v>
      </c>
      <c r="T97" s="201">
        <f t="shared" si="12"/>
        <v>0.47950000000000004</v>
      </c>
      <c r="U97" s="240" t="s">
        <v>216</v>
      </c>
      <c r="V97" s="241" t="s">
        <v>216</v>
      </c>
      <c r="W97" s="201" t="str">
        <f t="shared" si="13"/>
        <v>OFF</v>
      </c>
    </row>
    <row r="98" spans="1:23" ht="15.75" x14ac:dyDescent="0.25">
      <c r="A98" s="31">
        <f>'M&amp;R Stations'!A90</f>
        <v>39049</v>
      </c>
      <c r="B98" s="240">
        <v>0.37</v>
      </c>
      <c r="C98" s="241">
        <v>0.37</v>
      </c>
      <c r="D98" s="201">
        <f t="shared" si="16"/>
        <v>0.37</v>
      </c>
      <c r="E98" s="240">
        <v>0.33</v>
      </c>
      <c r="F98" s="241">
        <v>0.3</v>
      </c>
      <c r="G98" s="201">
        <f t="shared" si="8"/>
        <v>0.315</v>
      </c>
      <c r="H98" s="240">
        <v>0.32</v>
      </c>
      <c r="I98" s="241">
        <v>0.28999999999999998</v>
      </c>
      <c r="J98" s="201">
        <f t="shared" si="9"/>
        <v>0.30499999999999999</v>
      </c>
      <c r="K98" s="194"/>
      <c r="L98" s="240">
        <v>0.47799999999999998</v>
      </c>
      <c r="M98" s="241">
        <v>0.41799999999999998</v>
      </c>
      <c r="N98" s="201">
        <f t="shared" si="10"/>
        <v>0.44799999999999995</v>
      </c>
      <c r="O98" s="240">
        <v>0.56000000000000005</v>
      </c>
      <c r="P98" s="241">
        <v>0.435</v>
      </c>
      <c r="Q98" s="201">
        <f t="shared" si="11"/>
        <v>0.49750000000000005</v>
      </c>
      <c r="R98" s="240">
        <v>0.54500000000000004</v>
      </c>
      <c r="S98" s="241">
        <v>0.48</v>
      </c>
      <c r="T98" s="201">
        <f t="shared" si="12"/>
        <v>0.51249999999999996</v>
      </c>
      <c r="U98" s="240" t="s">
        <v>216</v>
      </c>
      <c r="V98" s="241" t="s">
        <v>216</v>
      </c>
      <c r="W98" s="201" t="str">
        <f t="shared" si="13"/>
        <v>OFF</v>
      </c>
    </row>
    <row r="99" spans="1:23" ht="15.75" x14ac:dyDescent="0.25">
      <c r="A99" s="31">
        <f>'M&amp;R Stations'!A91</f>
        <v>39050</v>
      </c>
      <c r="B99" s="240">
        <v>0.37</v>
      </c>
      <c r="C99" s="241">
        <v>0.35</v>
      </c>
      <c r="D99" s="201">
        <f t="shared" si="16"/>
        <v>0.36</v>
      </c>
      <c r="E99" s="240">
        <v>0.36</v>
      </c>
      <c r="F99" s="241">
        <v>0.3</v>
      </c>
      <c r="G99" s="201">
        <f t="shared" si="8"/>
        <v>0.32999999999999996</v>
      </c>
      <c r="H99" s="240">
        <v>0.32</v>
      </c>
      <c r="I99" s="241">
        <v>0.27</v>
      </c>
      <c r="J99" s="201">
        <f t="shared" si="9"/>
        <v>0.29500000000000004</v>
      </c>
      <c r="K99" s="194"/>
      <c r="L99" s="240">
        <v>0.51700000000000002</v>
      </c>
      <c r="M99" s="241">
        <v>0.41799999999999998</v>
      </c>
      <c r="N99" s="201">
        <f t="shared" si="10"/>
        <v>0.46750000000000003</v>
      </c>
      <c r="O99" s="240">
        <v>0.56000000000000005</v>
      </c>
      <c r="P99" s="241">
        <v>0.435</v>
      </c>
      <c r="Q99" s="201">
        <f t="shared" si="11"/>
        <v>0.49750000000000005</v>
      </c>
      <c r="R99" s="240">
        <v>0.61</v>
      </c>
      <c r="S99" s="241">
        <v>0.41399999999999998</v>
      </c>
      <c r="T99" s="201">
        <f t="shared" si="12"/>
        <v>0.51200000000000001</v>
      </c>
      <c r="U99" s="240" t="s">
        <v>216</v>
      </c>
      <c r="V99" s="241" t="s">
        <v>216</v>
      </c>
      <c r="W99" s="201" t="str">
        <f t="shared" si="13"/>
        <v>OFF</v>
      </c>
    </row>
    <row r="100" spans="1:23" ht="15.75" x14ac:dyDescent="0.25">
      <c r="A100" s="31">
        <f>'M&amp;R Stations'!A92</f>
        <v>39051</v>
      </c>
      <c r="B100" s="240">
        <v>0.4</v>
      </c>
      <c r="C100" s="241">
        <v>0.35</v>
      </c>
      <c r="D100" s="201">
        <f t="shared" si="16"/>
        <v>0.375</v>
      </c>
      <c r="E100" s="240">
        <v>0.39</v>
      </c>
      <c r="F100" s="241">
        <v>0.33</v>
      </c>
      <c r="G100" s="201">
        <f t="shared" si="8"/>
        <v>0.36</v>
      </c>
      <c r="H100" s="240">
        <v>0.34</v>
      </c>
      <c r="I100" s="241">
        <v>0.32</v>
      </c>
      <c r="J100" s="201">
        <f t="shared" si="9"/>
        <v>0.33</v>
      </c>
      <c r="K100" s="194"/>
      <c r="L100" s="240">
        <v>0.51700000000000002</v>
      </c>
      <c r="M100" s="241">
        <v>0.41799999999999998</v>
      </c>
      <c r="N100" s="201">
        <f t="shared" si="10"/>
        <v>0.46750000000000003</v>
      </c>
      <c r="O100" s="240">
        <v>0.56000000000000005</v>
      </c>
      <c r="P100" s="241">
        <v>0.46700000000000003</v>
      </c>
      <c r="Q100" s="201">
        <f t="shared" si="11"/>
        <v>0.51350000000000007</v>
      </c>
      <c r="R100" s="240">
        <v>0.54500000000000004</v>
      </c>
      <c r="S100" s="241">
        <v>0.436</v>
      </c>
      <c r="T100" s="201">
        <f t="shared" si="12"/>
        <v>0.49050000000000005</v>
      </c>
      <c r="U100" s="240" t="s">
        <v>216</v>
      </c>
      <c r="V100" s="241" t="s">
        <v>216</v>
      </c>
      <c r="W100" s="201" t="str">
        <f t="shared" si="13"/>
        <v>OFF</v>
      </c>
    </row>
    <row r="101" spans="1:23" ht="15.75" x14ac:dyDescent="0.25">
      <c r="A101" s="96"/>
      <c r="B101" s="203"/>
      <c r="C101" s="204"/>
      <c r="D101" s="205"/>
      <c r="E101" s="203"/>
      <c r="F101" s="204"/>
      <c r="G101" s="205"/>
      <c r="H101" s="203"/>
      <c r="I101" s="204"/>
      <c r="J101" s="206"/>
      <c r="K101" s="207"/>
      <c r="L101" s="203"/>
      <c r="M101" s="204"/>
      <c r="N101" s="206"/>
      <c r="O101" s="203"/>
      <c r="P101" s="204"/>
      <c r="Q101" s="206"/>
      <c r="R101" s="203"/>
      <c r="S101" s="204"/>
      <c r="T101" s="206"/>
      <c r="U101" s="203"/>
      <c r="V101" s="204"/>
      <c r="W101" s="206"/>
    </row>
    <row r="102" spans="1:23" ht="15.75" x14ac:dyDescent="0.25">
      <c r="A102" s="31">
        <f>'M&amp;R Stations'!A93</f>
        <v>39052</v>
      </c>
      <c r="B102" s="240">
        <v>0.4</v>
      </c>
      <c r="C102" s="241">
        <v>0.37</v>
      </c>
      <c r="D102" s="201">
        <f t="shared" ref="D102:D166" si="17">IF(AND(B102="",C102=""),"",IF(B102="off",C102,IF(C102="off",B102,AVERAGE(B102:C102))))</f>
        <v>0.38500000000000001</v>
      </c>
      <c r="E102" s="240">
        <v>0.39</v>
      </c>
      <c r="F102" s="241">
        <v>0.33</v>
      </c>
      <c r="G102" s="201">
        <f t="shared" ref="G102:G132" si="18">IF(AND(E102="",F102=""),"",IF(E102="off",F102,IF(F102="off",E102,AVERAGE(E102:F102))))</f>
        <v>0.36</v>
      </c>
      <c r="H102" s="240">
        <v>0.34</v>
      </c>
      <c r="I102" s="241">
        <v>0.34</v>
      </c>
      <c r="J102" s="202">
        <f t="shared" ref="J102:J132" si="19">IF(AND(H102="",I102=""),"",IF(H102="off",I102,IF(I102="off",H102,AVERAGE(H102:I102))))</f>
        <v>0.34</v>
      </c>
      <c r="K102" s="194"/>
      <c r="L102" s="240">
        <v>0.53700000000000003</v>
      </c>
      <c r="M102" s="241">
        <v>0.41799999999999998</v>
      </c>
      <c r="N102" s="201">
        <f t="shared" ref="N102:N132" si="20">IF(AND(L102="",M102=""),"",IF(L102="off",M102,IF(M102="off",L102,AVERAGE(L102:M102))))</f>
        <v>0.47750000000000004</v>
      </c>
      <c r="O102" s="240">
        <v>0.56000000000000005</v>
      </c>
      <c r="P102" s="241">
        <v>0.46700000000000003</v>
      </c>
      <c r="Q102" s="201">
        <f t="shared" ref="Q102:Q132" si="21">IF(AND(O102="",P102=""),"",IF(O102="off",P102,IF(P102="off",O102,AVERAGE(O102:P102))))</f>
        <v>0.51350000000000007</v>
      </c>
      <c r="R102" s="240">
        <v>0.61</v>
      </c>
      <c r="S102" s="241">
        <v>0.41399999999999998</v>
      </c>
      <c r="T102" s="201">
        <f t="shared" ref="T102:T132" si="22">IF(AND(R102="",S102=""),"",IF(R102="off",S102,IF(S102="off",R102,AVERAGE(R102:S102))))</f>
        <v>0.51200000000000001</v>
      </c>
      <c r="U102" s="240" t="s">
        <v>216</v>
      </c>
      <c r="V102" s="241" t="s">
        <v>216</v>
      </c>
      <c r="W102" s="201" t="str">
        <f t="shared" ref="W102:W132" si="23">IF(AND(U102="",V102=""),"",IF(U102="off",V102,IF(V102="off",U102,AVERAGE(U102:V102))))</f>
        <v>OFF</v>
      </c>
    </row>
    <row r="103" spans="1:23" ht="15.75" x14ac:dyDescent="0.25">
      <c r="A103" s="31">
        <f>'M&amp;R Stations'!A94</f>
        <v>39053</v>
      </c>
      <c r="B103" s="240">
        <v>0.42</v>
      </c>
      <c r="C103" s="241">
        <v>0.4</v>
      </c>
      <c r="D103" s="201">
        <f t="shared" si="17"/>
        <v>0.41000000000000003</v>
      </c>
      <c r="E103" s="240">
        <v>0.42</v>
      </c>
      <c r="F103" s="241">
        <v>0.39</v>
      </c>
      <c r="G103" s="201">
        <f t="shared" si="18"/>
        <v>0.40500000000000003</v>
      </c>
      <c r="H103" s="240">
        <v>0.37</v>
      </c>
      <c r="I103" s="241">
        <v>0.34</v>
      </c>
      <c r="J103" s="202">
        <f t="shared" si="19"/>
        <v>0.35499999999999998</v>
      </c>
      <c r="K103" s="194"/>
      <c r="L103" s="240">
        <v>0.41799999999999998</v>
      </c>
      <c r="M103" s="241">
        <v>0.35799999999999998</v>
      </c>
      <c r="N103" s="201">
        <f t="shared" si="20"/>
        <v>0.38800000000000001</v>
      </c>
      <c r="O103" s="240">
        <v>0.56000000000000005</v>
      </c>
      <c r="P103" s="241">
        <v>0.498</v>
      </c>
      <c r="Q103" s="201">
        <f t="shared" si="21"/>
        <v>0.52900000000000003</v>
      </c>
      <c r="R103" s="240">
        <v>0.65400000000000003</v>
      </c>
      <c r="S103" s="241">
        <v>0.61</v>
      </c>
      <c r="T103" s="201">
        <f t="shared" si="22"/>
        <v>0.63200000000000001</v>
      </c>
      <c r="U103" s="240" t="s">
        <v>216</v>
      </c>
      <c r="V103" s="241" t="s">
        <v>216</v>
      </c>
      <c r="W103" s="201" t="str">
        <f t="shared" si="23"/>
        <v>OFF</v>
      </c>
    </row>
    <row r="104" spans="1:23" ht="15.75" x14ac:dyDescent="0.25">
      <c r="A104" s="31">
        <f>'M&amp;R Stations'!A95</f>
        <v>39054</v>
      </c>
      <c r="B104" s="240">
        <v>0.42</v>
      </c>
      <c r="C104" s="241">
        <v>0.37</v>
      </c>
      <c r="D104" s="201">
        <f t="shared" si="17"/>
        <v>0.39500000000000002</v>
      </c>
      <c r="E104" s="240">
        <v>0.39</v>
      </c>
      <c r="F104" s="241">
        <v>0.36</v>
      </c>
      <c r="G104" s="201">
        <f t="shared" si="18"/>
        <v>0.375</v>
      </c>
      <c r="H104" s="240">
        <v>0.37</v>
      </c>
      <c r="I104" s="241">
        <v>0.34</v>
      </c>
      <c r="J104" s="202">
        <f t="shared" si="19"/>
        <v>0.35499999999999998</v>
      </c>
      <c r="K104" s="194"/>
      <c r="L104" s="240">
        <v>0.47799999999999998</v>
      </c>
      <c r="M104" s="241">
        <v>0.39800000000000002</v>
      </c>
      <c r="N104" s="201">
        <f t="shared" si="20"/>
        <v>0.438</v>
      </c>
      <c r="O104" s="240">
        <v>0.59099999999999997</v>
      </c>
      <c r="P104" s="241">
        <v>0.435</v>
      </c>
      <c r="Q104" s="201">
        <f t="shared" si="21"/>
        <v>0.51300000000000001</v>
      </c>
      <c r="R104" s="240">
        <v>0.71899999999999997</v>
      </c>
      <c r="S104" s="241">
        <v>0.61</v>
      </c>
      <c r="T104" s="201">
        <f t="shared" si="22"/>
        <v>0.66449999999999998</v>
      </c>
      <c r="U104" s="240" t="s">
        <v>216</v>
      </c>
      <c r="V104" s="241" t="s">
        <v>216</v>
      </c>
      <c r="W104" s="201" t="str">
        <f t="shared" si="23"/>
        <v>OFF</v>
      </c>
    </row>
    <row r="105" spans="1:23" ht="15.75" x14ac:dyDescent="0.25">
      <c r="A105" s="31">
        <f>'M&amp;R Stations'!A96</f>
        <v>39055</v>
      </c>
      <c r="B105" s="240">
        <v>0.42</v>
      </c>
      <c r="C105" s="241">
        <v>0.4</v>
      </c>
      <c r="D105" s="201">
        <f t="shared" si="17"/>
        <v>0.41000000000000003</v>
      </c>
      <c r="E105" s="240">
        <v>0.39</v>
      </c>
      <c r="F105" s="241">
        <v>0.36</v>
      </c>
      <c r="G105" s="201">
        <f t="shared" si="18"/>
        <v>0.375</v>
      </c>
      <c r="H105" s="240">
        <v>0.34</v>
      </c>
      <c r="I105" s="241">
        <v>0.32</v>
      </c>
      <c r="J105" s="202">
        <f t="shared" si="19"/>
        <v>0.33</v>
      </c>
      <c r="K105" s="194"/>
      <c r="L105" s="240">
        <v>0.59699999999999998</v>
      </c>
      <c r="M105" s="241">
        <v>0.41699999999999998</v>
      </c>
      <c r="N105" s="201">
        <f t="shared" si="20"/>
        <v>0.50700000000000001</v>
      </c>
      <c r="O105" s="240">
        <v>0.622</v>
      </c>
      <c r="P105" s="241">
        <v>0.435</v>
      </c>
      <c r="Q105" s="201">
        <f t="shared" si="21"/>
        <v>0.52849999999999997</v>
      </c>
      <c r="R105" s="240">
        <v>0.995</v>
      </c>
      <c r="S105" s="241">
        <v>0.58799999999999997</v>
      </c>
      <c r="T105" s="201">
        <f t="shared" si="22"/>
        <v>0.79149999999999998</v>
      </c>
      <c r="U105" s="240" t="s">
        <v>216</v>
      </c>
      <c r="V105" s="241" t="s">
        <v>216</v>
      </c>
      <c r="W105" s="201" t="str">
        <f t="shared" si="23"/>
        <v>OFF</v>
      </c>
    </row>
    <row r="106" spans="1:23" ht="15.75" x14ac:dyDescent="0.25">
      <c r="A106" s="31">
        <f>'M&amp;R Stations'!A97</f>
        <v>39056</v>
      </c>
      <c r="B106" s="240">
        <v>0.4</v>
      </c>
      <c r="C106" s="241">
        <v>0.37</v>
      </c>
      <c r="D106" s="201">
        <f t="shared" si="17"/>
        <v>0.38500000000000001</v>
      </c>
      <c r="E106" s="240">
        <v>0.36</v>
      </c>
      <c r="F106" s="241">
        <v>0.28000000000000003</v>
      </c>
      <c r="G106" s="201">
        <f t="shared" si="18"/>
        <v>0.32</v>
      </c>
      <c r="H106" s="240">
        <v>0.34</v>
      </c>
      <c r="I106" s="241">
        <v>0.32</v>
      </c>
      <c r="J106" s="202">
        <f t="shared" si="19"/>
        <v>0.33</v>
      </c>
      <c r="K106" s="194"/>
      <c r="L106" s="240">
        <v>0.55700000000000005</v>
      </c>
      <c r="M106" s="241">
        <v>0.39800000000000002</v>
      </c>
      <c r="N106" s="201">
        <f t="shared" si="20"/>
        <v>0.47750000000000004</v>
      </c>
      <c r="O106" s="240">
        <v>0.68400000000000005</v>
      </c>
      <c r="P106" s="241">
        <v>0.46600000000000003</v>
      </c>
      <c r="Q106" s="201">
        <f t="shared" si="21"/>
        <v>0.57500000000000007</v>
      </c>
      <c r="R106" s="240">
        <v>0.69699999999999995</v>
      </c>
      <c r="S106" s="241">
        <v>0.56699999999999995</v>
      </c>
      <c r="T106" s="201">
        <f t="shared" si="22"/>
        <v>0.6319999999999999</v>
      </c>
      <c r="U106" s="240" t="s">
        <v>216</v>
      </c>
      <c r="V106" s="241" t="s">
        <v>216</v>
      </c>
      <c r="W106" s="201" t="str">
        <f t="shared" si="23"/>
        <v>OFF</v>
      </c>
    </row>
    <row r="107" spans="1:23" ht="15.75" x14ac:dyDescent="0.25">
      <c r="A107" s="31">
        <f>'M&amp;R Stations'!A98</f>
        <v>39057</v>
      </c>
      <c r="B107" s="240">
        <v>0.44</v>
      </c>
      <c r="C107" s="241">
        <v>0.36</v>
      </c>
      <c r="D107" s="201">
        <f t="shared" si="17"/>
        <v>0.4</v>
      </c>
      <c r="E107" s="240">
        <v>0.5</v>
      </c>
      <c r="F107" s="241">
        <v>0.46</v>
      </c>
      <c r="G107" s="201">
        <f t="shared" si="18"/>
        <v>0.48</v>
      </c>
      <c r="H107" s="240">
        <v>0.42</v>
      </c>
      <c r="I107" s="241">
        <v>0.38</v>
      </c>
      <c r="J107" s="202">
        <f t="shared" si="19"/>
        <v>0.4</v>
      </c>
      <c r="K107" s="194"/>
      <c r="L107" s="240">
        <v>0.56000000000000005</v>
      </c>
      <c r="M107" s="241">
        <v>0.36</v>
      </c>
      <c r="N107" s="201">
        <f t="shared" si="20"/>
        <v>0.46</v>
      </c>
      <c r="O107" s="240">
        <v>0.56000000000000005</v>
      </c>
      <c r="P107" s="241">
        <v>0.4</v>
      </c>
      <c r="Q107" s="201">
        <f t="shared" si="21"/>
        <v>0.48000000000000004</v>
      </c>
      <c r="R107" s="240">
        <v>0.61</v>
      </c>
      <c r="S107" s="241">
        <v>0.48</v>
      </c>
      <c r="T107" s="201">
        <f t="shared" si="22"/>
        <v>0.54499999999999993</v>
      </c>
      <c r="U107" s="240" t="s">
        <v>216</v>
      </c>
      <c r="V107" s="241" t="s">
        <v>216</v>
      </c>
      <c r="W107" s="201" t="str">
        <f t="shared" si="23"/>
        <v>OFF</v>
      </c>
    </row>
    <row r="108" spans="1:23" ht="15.75" x14ac:dyDescent="0.25">
      <c r="A108" s="31">
        <f>'M&amp;R Stations'!A99</f>
        <v>39058</v>
      </c>
      <c r="B108" s="240">
        <v>0.5</v>
      </c>
      <c r="C108" s="241">
        <v>0.41</v>
      </c>
      <c r="D108" s="201">
        <f t="shared" si="17"/>
        <v>0.45499999999999996</v>
      </c>
      <c r="E108" s="240">
        <v>0.46</v>
      </c>
      <c r="F108" s="241">
        <v>0.42</v>
      </c>
      <c r="G108" s="201">
        <f t="shared" si="18"/>
        <v>0.44</v>
      </c>
      <c r="H108" s="240">
        <v>0.45</v>
      </c>
      <c r="I108" s="241">
        <v>0.42</v>
      </c>
      <c r="J108" s="202">
        <f t="shared" si="19"/>
        <v>0.435</v>
      </c>
      <c r="K108" s="194"/>
      <c r="L108" s="240">
        <v>0.378</v>
      </c>
      <c r="M108" s="241">
        <v>0.23599999999999999</v>
      </c>
      <c r="N108" s="201">
        <f t="shared" si="20"/>
        <v>0.307</v>
      </c>
      <c r="O108" s="240">
        <v>0.499</v>
      </c>
      <c r="P108" s="241">
        <v>0.435</v>
      </c>
      <c r="Q108" s="201">
        <f t="shared" si="21"/>
        <v>0.46699999999999997</v>
      </c>
      <c r="R108" s="240">
        <v>0.58899999999999997</v>
      </c>
      <c r="S108" s="241">
        <v>0.44500000000000001</v>
      </c>
      <c r="T108" s="201">
        <f t="shared" si="22"/>
        <v>0.51700000000000002</v>
      </c>
      <c r="U108" s="240" t="s">
        <v>216</v>
      </c>
      <c r="V108" s="241" t="s">
        <v>216</v>
      </c>
      <c r="W108" s="201" t="str">
        <f t="shared" si="23"/>
        <v>OFF</v>
      </c>
    </row>
    <row r="109" spans="1:23" ht="15.75" x14ac:dyDescent="0.25">
      <c r="A109" s="31">
        <f>'M&amp;R Stations'!A100</f>
        <v>39059</v>
      </c>
      <c r="B109" s="240">
        <v>0.47</v>
      </c>
      <c r="C109" s="241">
        <v>0.41</v>
      </c>
      <c r="D109" s="201">
        <f t="shared" si="17"/>
        <v>0.43999999999999995</v>
      </c>
      <c r="E109" s="240">
        <v>0.46</v>
      </c>
      <c r="F109" s="241">
        <v>0.39</v>
      </c>
      <c r="G109" s="201">
        <f t="shared" si="18"/>
        <v>0.42500000000000004</v>
      </c>
      <c r="H109" s="240">
        <v>0.42</v>
      </c>
      <c r="I109" s="241">
        <v>0.35</v>
      </c>
      <c r="J109" s="202">
        <f t="shared" si="19"/>
        <v>0.38500000000000001</v>
      </c>
      <c r="K109" s="194"/>
      <c r="L109" s="240">
        <v>0.26</v>
      </c>
      <c r="M109" s="241">
        <v>0.21199999999999999</v>
      </c>
      <c r="N109" s="201">
        <f t="shared" si="20"/>
        <v>0.23599999999999999</v>
      </c>
      <c r="O109" s="240">
        <v>0.56200000000000006</v>
      </c>
      <c r="P109" s="241">
        <v>0.436</v>
      </c>
      <c r="Q109" s="201">
        <f t="shared" si="21"/>
        <v>0.499</v>
      </c>
      <c r="R109" s="240">
        <v>0.63600000000000001</v>
      </c>
      <c r="S109" s="241">
        <v>0.57199999999999995</v>
      </c>
      <c r="T109" s="201">
        <f t="shared" si="22"/>
        <v>0.60399999999999998</v>
      </c>
      <c r="U109" s="240">
        <v>0.27100000000000002</v>
      </c>
      <c r="V109" s="241">
        <v>0.27100000000000002</v>
      </c>
      <c r="W109" s="201">
        <f t="shared" si="23"/>
        <v>0.27100000000000002</v>
      </c>
    </row>
    <row r="110" spans="1:23" ht="15.75" x14ac:dyDescent="0.25">
      <c r="A110" s="31">
        <f>'M&amp;R Stations'!A101</f>
        <v>39060</v>
      </c>
      <c r="B110" s="240">
        <v>0.41</v>
      </c>
      <c r="C110" s="241">
        <v>0.41</v>
      </c>
      <c r="D110" s="201">
        <f t="shared" si="17"/>
        <v>0.41</v>
      </c>
      <c r="E110" s="240">
        <v>0.42</v>
      </c>
      <c r="F110" s="241">
        <v>0.39</v>
      </c>
      <c r="G110" s="201">
        <f t="shared" si="18"/>
        <v>0.40500000000000003</v>
      </c>
      <c r="H110" s="240">
        <v>0.42</v>
      </c>
      <c r="I110" s="241">
        <v>0.38</v>
      </c>
      <c r="J110" s="202">
        <f t="shared" si="19"/>
        <v>0.4</v>
      </c>
      <c r="K110" s="194"/>
      <c r="L110" s="240">
        <v>0.31900000000000001</v>
      </c>
      <c r="M110" s="241">
        <v>0.21199999999999999</v>
      </c>
      <c r="N110" s="201">
        <f t="shared" si="20"/>
        <v>0.26550000000000001</v>
      </c>
      <c r="O110" s="240">
        <v>0.53</v>
      </c>
      <c r="P110" s="241">
        <v>0.40600000000000003</v>
      </c>
      <c r="Q110" s="201">
        <f t="shared" si="21"/>
        <v>0.46800000000000003</v>
      </c>
      <c r="R110" s="240">
        <v>0.59399999999999997</v>
      </c>
      <c r="S110" s="241">
        <v>0.42399999999999999</v>
      </c>
      <c r="T110" s="201">
        <f t="shared" si="22"/>
        <v>0.50900000000000001</v>
      </c>
      <c r="U110" s="240" t="s">
        <v>216</v>
      </c>
      <c r="V110" s="241" t="s">
        <v>216</v>
      </c>
      <c r="W110" s="201" t="str">
        <f t="shared" si="23"/>
        <v>OFF</v>
      </c>
    </row>
    <row r="111" spans="1:23" ht="15.75" x14ac:dyDescent="0.25">
      <c r="A111" s="31">
        <f>'M&amp;R Stations'!A102</f>
        <v>39061</v>
      </c>
      <c r="B111" s="240">
        <v>0.41</v>
      </c>
      <c r="C111" s="241">
        <v>0.41</v>
      </c>
      <c r="D111" s="201">
        <f t="shared" si="17"/>
        <v>0.41</v>
      </c>
      <c r="E111" s="240">
        <v>0.42</v>
      </c>
      <c r="F111" s="241">
        <v>0.39</v>
      </c>
      <c r="G111" s="201">
        <f t="shared" si="18"/>
        <v>0.40500000000000003</v>
      </c>
      <c r="H111" s="240">
        <v>0.42</v>
      </c>
      <c r="I111" s="241">
        <v>0.38</v>
      </c>
      <c r="J111" s="202">
        <f t="shared" si="19"/>
        <v>0.4</v>
      </c>
      <c r="K111" s="194"/>
      <c r="L111" s="240">
        <v>0.29499999999999998</v>
      </c>
      <c r="M111" s="241">
        <v>0.224</v>
      </c>
      <c r="N111" s="201">
        <f t="shared" si="20"/>
        <v>0.25950000000000001</v>
      </c>
      <c r="O111" s="240">
        <v>0.437</v>
      </c>
      <c r="P111" s="241">
        <v>0.40600000000000003</v>
      </c>
      <c r="Q111" s="201">
        <f t="shared" si="21"/>
        <v>0.42149999999999999</v>
      </c>
      <c r="R111" s="240">
        <v>0.59399999999999997</v>
      </c>
      <c r="S111" s="241">
        <v>0.50800000000000001</v>
      </c>
      <c r="T111" s="201">
        <f t="shared" si="22"/>
        <v>0.55099999999999993</v>
      </c>
      <c r="U111" s="240" t="s">
        <v>216</v>
      </c>
      <c r="V111" s="241" t="s">
        <v>216</v>
      </c>
      <c r="W111" s="201" t="str">
        <f t="shared" si="23"/>
        <v>OFF</v>
      </c>
    </row>
    <row r="112" spans="1:23" ht="15.75" x14ac:dyDescent="0.25">
      <c r="A112" s="31">
        <f>'M&amp;R Stations'!A103</f>
        <v>39062</v>
      </c>
      <c r="B112" s="240">
        <v>0.55000000000000004</v>
      </c>
      <c r="C112" s="241">
        <v>0.44</v>
      </c>
      <c r="D112" s="201">
        <f t="shared" si="17"/>
        <v>0.495</v>
      </c>
      <c r="E112" s="240">
        <v>0.54</v>
      </c>
      <c r="F112" s="241">
        <v>0.42</v>
      </c>
      <c r="G112" s="201">
        <f t="shared" si="18"/>
        <v>0.48</v>
      </c>
      <c r="H112" s="240">
        <v>0.52</v>
      </c>
      <c r="I112" s="241">
        <v>0.38</v>
      </c>
      <c r="J112" s="202">
        <f t="shared" si="19"/>
        <v>0.45</v>
      </c>
      <c r="K112" s="194"/>
      <c r="L112" s="240">
        <v>0.27100000000000002</v>
      </c>
      <c r="M112" s="241">
        <v>0.23599999999999999</v>
      </c>
      <c r="N112" s="201">
        <f t="shared" si="20"/>
        <v>0.2535</v>
      </c>
      <c r="O112" s="240">
        <v>0.437</v>
      </c>
      <c r="P112" s="241">
        <v>0.40600000000000003</v>
      </c>
      <c r="Q112" s="201">
        <f t="shared" si="21"/>
        <v>0.42149999999999999</v>
      </c>
      <c r="R112" s="240">
        <v>0.59399999999999997</v>
      </c>
      <c r="S112" s="241">
        <v>0.40200000000000002</v>
      </c>
      <c r="T112" s="201">
        <f t="shared" si="22"/>
        <v>0.498</v>
      </c>
      <c r="U112" s="240" t="s">
        <v>216</v>
      </c>
      <c r="V112" s="241" t="s">
        <v>216</v>
      </c>
      <c r="W112" s="201" t="str">
        <f t="shared" si="23"/>
        <v>OFF</v>
      </c>
    </row>
    <row r="113" spans="1:23" ht="15.75" x14ac:dyDescent="0.25">
      <c r="A113" s="31">
        <f>'M&amp;R Stations'!A104</f>
        <v>39063</v>
      </c>
      <c r="B113" s="240">
        <v>0.55000000000000004</v>
      </c>
      <c r="C113" s="241">
        <v>0.52</v>
      </c>
      <c r="D113" s="201">
        <f t="shared" si="17"/>
        <v>0.53500000000000003</v>
      </c>
      <c r="E113" s="240">
        <v>0.57999999999999996</v>
      </c>
      <c r="F113" s="241">
        <v>0.54</v>
      </c>
      <c r="G113" s="201">
        <f t="shared" si="18"/>
        <v>0.56000000000000005</v>
      </c>
      <c r="H113" s="240">
        <v>0.55000000000000004</v>
      </c>
      <c r="I113" s="241">
        <v>0.48</v>
      </c>
      <c r="J113" s="202">
        <f t="shared" si="19"/>
        <v>0.51500000000000001</v>
      </c>
      <c r="K113" s="194"/>
      <c r="L113" s="240">
        <v>0.27100000000000002</v>
      </c>
      <c r="M113" s="241">
        <v>0.23599999999999999</v>
      </c>
      <c r="N113" s="201">
        <f t="shared" si="20"/>
        <v>0.2535</v>
      </c>
      <c r="O113" s="240">
        <v>0.437</v>
      </c>
      <c r="P113" s="241">
        <v>0.374</v>
      </c>
      <c r="Q113" s="201">
        <f t="shared" si="21"/>
        <v>0.40549999999999997</v>
      </c>
      <c r="R113" s="240">
        <v>0.53</v>
      </c>
      <c r="S113" s="241">
        <v>0.42399999999999999</v>
      </c>
      <c r="T113" s="201">
        <f t="shared" si="22"/>
        <v>0.47699999999999998</v>
      </c>
      <c r="U113" s="240" t="s">
        <v>216</v>
      </c>
      <c r="V113" s="241" t="s">
        <v>216</v>
      </c>
      <c r="W113" s="201" t="str">
        <f t="shared" si="23"/>
        <v>OFF</v>
      </c>
    </row>
    <row r="114" spans="1:23" ht="15.75" x14ac:dyDescent="0.25">
      <c r="A114" s="31">
        <f>'M&amp;R Stations'!A105</f>
        <v>39064</v>
      </c>
      <c r="B114" s="240">
        <v>0.55000000000000004</v>
      </c>
      <c r="C114" s="241">
        <v>0.52</v>
      </c>
      <c r="D114" s="201">
        <f t="shared" si="17"/>
        <v>0.53500000000000003</v>
      </c>
      <c r="E114" s="240">
        <v>0.54</v>
      </c>
      <c r="F114" s="241">
        <v>0.39</v>
      </c>
      <c r="G114" s="201">
        <f t="shared" si="18"/>
        <v>0.46500000000000002</v>
      </c>
      <c r="H114" s="240">
        <v>0.52</v>
      </c>
      <c r="I114" s="241">
        <v>0.48</v>
      </c>
      <c r="J114" s="202">
        <f t="shared" si="19"/>
        <v>0.5</v>
      </c>
      <c r="K114" s="194"/>
      <c r="L114" s="240">
        <v>0.26</v>
      </c>
      <c r="M114" s="241">
        <v>0.21199999999999999</v>
      </c>
      <c r="N114" s="201">
        <f t="shared" si="20"/>
        <v>0.23599999999999999</v>
      </c>
      <c r="O114" s="240">
        <v>0.499</v>
      </c>
      <c r="P114" s="241">
        <v>0.40500000000000003</v>
      </c>
      <c r="Q114" s="201">
        <f t="shared" si="21"/>
        <v>0.45200000000000001</v>
      </c>
      <c r="R114" s="240">
        <v>0.63600000000000001</v>
      </c>
      <c r="S114" s="241">
        <v>0.40200000000000002</v>
      </c>
      <c r="T114" s="201">
        <f t="shared" si="22"/>
        <v>0.51900000000000002</v>
      </c>
      <c r="U114" s="240" t="s">
        <v>216</v>
      </c>
      <c r="V114" s="241" t="s">
        <v>216</v>
      </c>
      <c r="W114" s="201" t="str">
        <f t="shared" si="23"/>
        <v>OFF</v>
      </c>
    </row>
    <row r="115" spans="1:23" ht="15.75" x14ac:dyDescent="0.25">
      <c r="A115" s="31">
        <f>'M&amp;R Stations'!A106</f>
        <v>39065</v>
      </c>
      <c r="B115" s="240">
        <v>0.52</v>
      </c>
      <c r="C115" s="241">
        <v>0.34</v>
      </c>
      <c r="D115" s="201">
        <f t="shared" si="17"/>
        <v>0.43000000000000005</v>
      </c>
      <c r="E115" s="240">
        <v>0.54</v>
      </c>
      <c r="F115" s="241">
        <v>0.42</v>
      </c>
      <c r="G115" s="201">
        <f t="shared" si="18"/>
        <v>0.48</v>
      </c>
      <c r="H115" s="240">
        <v>0.52</v>
      </c>
      <c r="I115" s="241">
        <v>0.37</v>
      </c>
      <c r="J115" s="202">
        <f t="shared" si="19"/>
        <v>0.44500000000000001</v>
      </c>
      <c r="K115" s="194"/>
      <c r="L115" s="240">
        <v>0.55400000000000005</v>
      </c>
      <c r="M115" s="241">
        <v>0.2</v>
      </c>
      <c r="N115" s="201">
        <f t="shared" si="20"/>
        <v>0.377</v>
      </c>
      <c r="O115" s="240">
        <v>0.69699999999999995</v>
      </c>
      <c r="P115" s="241">
        <v>0.40500000000000003</v>
      </c>
      <c r="Q115" s="201">
        <f t="shared" si="21"/>
        <v>0.55099999999999993</v>
      </c>
      <c r="R115" s="240">
        <v>0.51100000000000001</v>
      </c>
      <c r="S115" s="241">
        <v>0.42399999999999999</v>
      </c>
      <c r="T115" s="201">
        <f t="shared" si="22"/>
        <v>0.46750000000000003</v>
      </c>
      <c r="U115" s="240" t="s">
        <v>216</v>
      </c>
      <c r="V115" s="241" t="s">
        <v>216</v>
      </c>
      <c r="W115" s="201" t="str">
        <f t="shared" si="23"/>
        <v>OFF</v>
      </c>
    </row>
    <row r="116" spans="1:23" ht="15.75" x14ac:dyDescent="0.25">
      <c r="A116" s="31">
        <f>'M&amp;R Stations'!A107</f>
        <v>39066</v>
      </c>
      <c r="B116" s="240">
        <v>0.39</v>
      </c>
      <c r="C116" s="241">
        <v>0.32</v>
      </c>
      <c r="D116" s="201">
        <f t="shared" si="17"/>
        <v>0.35499999999999998</v>
      </c>
      <c r="E116" s="240">
        <v>0.42</v>
      </c>
      <c r="F116" s="241">
        <v>0.34</v>
      </c>
      <c r="G116" s="201">
        <f t="shared" si="18"/>
        <v>0.38</v>
      </c>
      <c r="H116" s="240">
        <v>0.43</v>
      </c>
      <c r="I116" s="241">
        <v>0.37</v>
      </c>
      <c r="J116" s="202">
        <f t="shared" si="19"/>
        <v>0.4</v>
      </c>
      <c r="K116" s="194"/>
      <c r="L116" s="240">
        <v>0.52800000000000002</v>
      </c>
      <c r="M116" s="241">
        <v>0.44800000000000001</v>
      </c>
      <c r="N116" s="201">
        <f t="shared" si="20"/>
        <v>0.48799999999999999</v>
      </c>
      <c r="O116" s="240">
        <v>0.84699999999999998</v>
      </c>
      <c r="P116" s="241">
        <v>0.498</v>
      </c>
      <c r="Q116" s="201">
        <f t="shared" si="21"/>
        <v>0.67249999999999999</v>
      </c>
      <c r="R116" s="240">
        <v>0.51100000000000001</v>
      </c>
      <c r="S116" s="241">
        <v>0.38300000000000001</v>
      </c>
      <c r="T116" s="201">
        <f t="shared" si="22"/>
        <v>0.44700000000000001</v>
      </c>
      <c r="U116" s="240" t="s">
        <v>216</v>
      </c>
      <c r="V116" s="241" t="s">
        <v>216</v>
      </c>
      <c r="W116" s="201" t="str">
        <f t="shared" si="23"/>
        <v>OFF</v>
      </c>
    </row>
    <row r="117" spans="1:23" ht="15.75" x14ac:dyDescent="0.25">
      <c r="A117" s="31">
        <f>'M&amp;R Stations'!A108</f>
        <v>39067</v>
      </c>
      <c r="B117" s="240" t="s">
        <v>220</v>
      </c>
      <c r="C117" s="241" t="s">
        <v>220</v>
      </c>
      <c r="D117" s="201" t="s">
        <v>220</v>
      </c>
      <c r="E117" s="240">
        <v>0.39</v>
      </c>
      <c r="F117" s="241">
        <v>0.36</v>
      </c>
      <c r="G117" s="201">
        <f t="shared" si="18"/>
        <v>0.375</v>
      </c>
      <c r="H117" s="240">
        <v>0.43</v>
      </c>
      <c r="I117" s="241">
        <v>0.37</v>
      </c>
      <c r="J117" s="202">
        <f t="shared" si="19"/>
        <v>0.4</v>
      </c>
      <c r="K117" s="194"/>
      <c r="L117" s="240">
        <v>0.55400000000000005</v>
      </c>
      <c r="M117" s="241">
        <v>0.502</v>
      </c>
      <c r="N117" s="201">
        <f t="shared" si="20"/>
        <v>0.52800000000000002</v>
      </c>
      <c r="O117" s="240">
        <v>0.84699999999999998</v>
      </c>
      <c r="P117" s="241">
        <v>0.54800000000000004</v>
      </c>
      <c r="Q117" s="201">
        <f t="shared" si="21"/>
        <v>0.69750000000000001</v>
      </c>
      <c r="R117" s="240">
        <v>0.59599999999999997</v>
      </c>
      <c r="S117" s="241">
        <v>0.42599999999999999</v>
      </c>
      <c r="T117" s="201">
        <f t="shared" si="22"/>
        <v>0.51100000000000001</v>
      </c>
      <c r="U117" s="240" t="s">
        <v>216</v>
      </c>
      <c r="V117" s="241" t="s">
        <v>216</v>
      </c>
      <c r="W117" s="201" t="str">
        <f t="shared" si="23"/>
        <v>OFF</v>
      </c>
    </row>
    <row r="118" spans="1:23" ht="15.75" x14ac:dyDescent="0.25">
      <c r="A118" s="31">
        <f>'M&amp;R Stations'!A109</f>
        <v>39068</v>
      </c>
      <c r="B118" s="240" t="s">
        <v>220</v>
      </c>
      <c r="C118" s="241" t="s">
        <v>220</v>
      </c>
      <c r="D118" s="201" t="s">
        <v>220</v>
      </c>
      <c r="E118" s="240">
        <v>0.39</v>
      </c>
      <c r="F118" s="241">
        <v>0.36</v>
      </c>
      <c r="G118" s="201">
        <f t="shared" si="18"/>
        <v>0.375</v>
      </c>
      <c r="H118" s="240">
        <v>0.4</v>
      </c>
      <c r="I118" s="241">
        <v>0.37</v>
      </c>
      <c r="J118" s="202">
        <f t="shared" si="19"/>
        <v>0.38500000000000001</v>
      </c>
      <c r="K118" s="194"/>
      <c r="L118" s="240">
        <v>0.58099999999999996</v>
      </c>
      <c r="M118" s="241">
        <v>0.47499999999999998</v>
      </c>
      <c r="N118" s="201">
        <f t="shared" si="20"/>
        <v>0.52800000000000002</v>
      </c>
      <c r="O118" s="240">
        <v>0.79700000000000004</v>
      </c>
      <c r="P118" s="241">
        <v>0.59799999999999998</v>
      </c>
      <c r="Q118" s="201">
        <f t="shared" si="21"/>
        <v>0.69750000000000001</v>
      </c>
      <c r="R118" s="240">
        <v>0.61799999999999999</v>
      </c>
      <c r="S118" s="241">
        <v>0.42599999999999999</v>
      </c>
      <c r="T118" s="201">
        <f t="shared" si="22"/>
        <v>0.52200000000000002</v>
      </c>
      <c r="U118" s="240" t="s">
        <v>216</v>
      </c>
      <c r="V118" s="241" t="s">
        <v>216</v>
      </c>
      <c r="W118" s="201" t="str">
        <f t="shared" si="23"/>
        <v>OFF</v>
      </c>
    </row>
    <row r="119" spans="1:23" ht="15.75" x14ac:dyDescent="0.25">
      <c r="A119" s="31">
        <f>'M&amp;R Stations'!A110</f>
        <v>39069</v>
      </c>
      <c r="B119" s="240">
        <v>0.41</v>
      </c>
      <c r="C119" s="241">
        <v>0.39</v>
      </c>
      <c r="D119" s="201">
        <f t="shared" si="17"/>
        <v>0.4</v>
      </c>
      <c r="E119" s="240">
        <v>0.36</v>
      </c>
      <c r="F119" s="241">
        <v>0.36</v>
      </c>
      <c r="G119" s="201">
        <f t="shared" si="18"/>
        <v>0.36</v>
      </c>
      <c r="H119" s="240">
        <v>0.4</v>
      </c>
      <c r="I119" s="241">
        <v>0.4</v>
      </c>
      <c r="J119" s="202">
        <f t="shared" si="19"/>
        <v>0.4</v>
      </c>
      <c r="K119" s="194"/>
      <c r="L119" s="240">
        <v>0.63400000000000001</v>
      </c>
      <c r="M119" s="241">
        <v>0.47499999999999998</v>
      </c>
      <c r="N119" s="201">
        <f t="shared" si="20"/>
        <v>0.55449999999999999</v>
      </c>
      <c r="O119" s="240">
        <v>0.79700000000000004</v>
      </c>
      <c r="P119" s="241">
        <v>0.59799999999999998</v>
      </c>
      <c r="Q119" s="201">
        <f t="shared" si="21"/>
        <v>0.69750000000000001</v>
      </c>
      <c r="R119" s="240">
        <v>0.59599999999999997</v>
      </c>
      <c r="S119" s="241">
        <v>0.40500000000000003</v>
      </c>
      <c r="T119" s="201">
        <f t="shared" si="22"/>
        <v>0.50049999999999994</v>
      </c>
      <c r="U119" s="240" t="s">
        <v>216</v>
      </c>
      <c r="V119" s="241" t="s">
        <v>216</v>
      </c>
      <c r="W119" s="201" t="str">
        <f t="shared" si="23"/>
        <v>OFF</v>
      </c>
    </row>
    <row r="120" spans="1:23" ht="15.75" x14ac:dyDescent="0.25">
      <c r="A120" s="31">
        <f>'M&amp;R Stations'!A111</f>
        <v>39070</v>
      </c>
      <c r="B120" s="240">
        <v>0.45</v>
      </c>
      <c r="C120" s="241">
        <v>0.39</v>
      </c>
      <c r="D120" s="201">
        <f t="shared" si="17"/>
        <v>0.42000000000000004</v>
      </c>
      <c r="E120" s="240">
        <v>0.39</v>
      </c>
      <c r="F120" s="241">
        <v>0.34</v>
      </c>
      <c r="G120" s="201">
        <f t="shared" si="18"/>
        <v>0.36499999999999999</v>
      </c>
      <c r="H120" s="240">
        <v>0.4</v>
      </c>
      <c r="I120" s="241">
        <v>0.37</v>
      </c>
      <c r="J120" s="202">
        <f t="shared" si="19"/>
        <v>0.38500000000000001</v>
      </c>
      <c r="K120" s="194"/>
      <c r="L120" s="240">
        <v>0.68600000000000005</v>
      </c>
      <c r="M120" s="241">
        <v>0.52800000000000002</v>
      </c>
      <c r="N120" s="201">
        <f t="shared" si="20"/>
        <v>0.60699999999999998</v>
      </c>
      <c r="O120" s="240">
        <v>0.89600000000000002</v>
      </c>
      <c r="P120" s="241">
        <v>0.59799999999999998</v>
      </c>
      <c r="Q120" s="201">
        <f t="shared" si="21"/>
        <v>0.747</v>
      </c>
      <c r="R120" s="240">
        <v>0.63600000000000001</v>
      </c>
      <c r="S120" s="241">
        <v>0.42599999999999999</v>
      </c>
      <c r="T120" s="201">
        <f t="shared" si="22"/>
        <v>0.53100000000000003</v>
      </c>
      <c r="U120" s="240" t="s">
        <v>216</v>
      </c>
      <c r="V120" s="241" t="s">
        <v>216</v>
      </c>
      <c r="W120" s="201" t="str">
        <f t="shared" si="23"/>
        <v>OFF</v>
      </c>
    </row>
    <row r="121" spans="1:23" ht="15.75" x14ac:dyDescent="0.25">
      <c r="A121" s="31">
        <f>'M&amp;R Stations'!A112</f>
        <v>39071</v>
      </c>
      <c r="B121" s="240">
        <v>0.46</v>
      </c>
      <c r="C121" s="241">
        <v>0.43</v>
      </c>
      <c r="D121" s="201">
        <f t="shared" si="17"/>
        <v>0.44500000000000001</v>
      </c>
      <c r="E121" s="240">
        <v>0.4</v>
      </c>
      <c r="F121" s="241">
        <v>0.34</v>
      </c>
      <c r="G121" s="201">
        <f t="shared" si="18"/>
        <v>0.37</v>
      </c>
      <c r="H121" s="240">
        <v>0.46</v>
      </c>
      <c r="I121" s="241">
        <v>0.37</v>
      </c>
      <c r="J121" s="202">
        <f t="shared" si="19"/>
        <v>0.41500000000000004</v>
      </c>
      <c r="K121" s="194"/>
      <c r="L121" s="240">
        <v>0.68600000000000005</v>
      </c>
      <c r="M121" s="241">
        <v>0.58099999999999996</v>
      </c>
      <c r="N121" s="201">
        <f t="shared" si="20"/>
        <v>0.63349999999999995</v>
      </c>
      <c r="O121" s="240">
        <v>0.84699999999999998</v>
      </c>
      <c r="P121" s="241">
        <v>0.69699999999999995</v>
      </c>
      <c r="Q121" s="201">
        <f t="shared" si="21"/>
        <v>0.77200000000000002</v>
      </c>
      <c r="R121" s="240">
        <v>0.63900000000000001</v>
      </c>
      <c r="S121" s="241">
        <v>0.59599999999999997</v>
      </c>
      <c r="T121" s="201">
        <f t="shared" si="22"/>
        <v>0.61749999999999994</v>
      </c>
      <c r="U121" s="240" t="s">
        <v>216</v>
      </c>
      <c r="V121" s="241" t="s">
        <v>216</v>
      </c>
      <c r="W121" s="201" t="str">
        <f t="shared" si="23"/>
        <v>OFF</v>
      </c>
    </row>
    <row r="122" spans="1:23" ht="15.75" x14ac:dyDescent="0.25">
      <c r="A122" s="31">
        <f>'M&amp;R Stations'!A113</f>
        <v>39072</v>
      </c>
      <c r="B122" s="240">
        <v>0.45</v>
      </c>
      <c r="C122" s="241">
        <v>0.43</v>
      </c>
      <c r="D122" s="201">
        <f t="shared" si="17"/>
        <v>0.44</v>
      </c>
      <c r="E122" s="240">
        <v>0.44</v>
      </c>
      <c r="F122" s="241">
        <v>0.37</v>
      </c>
      <c r="G122" s="201">
        <f t="shared" si="18"/>
        <v>0.40500000000000003</v>
      </c>
      <c r="H122" s="240">
        <v>0.43</v>
      </c>
      <c r="I122" s="241">
        <v>0.36</v>
      </c>
      <c r="J122" s="202">
        <f t="shared" si="19"/>
        <v>0.39500000000000002</v>
      </c>
      <c r="K122" s="194"/>
      <c r="L122" s="240">
        <v>0.73199999999999998</v>
      </c>
      <c r="M122" s="241">
        <v>0.57999999999999996</v>
      </c>
      <c r="N122" s="201">
        <f t="shared" si="20"/>
        <v>0.65599999999999992</v>
      </c>
      <c r="O122" s="240">
        <v>0.79700000000000004</v>
      </c>
      <c r="P122" s="241">
        <v>0.623</v>
      </c>
      <c r="Q122" s="201">
        <f t="shared" si="21"/>
        <v>0.71</v>
      </c>
      <c r="R122" s="240">
        <v>0.63900000000000001</v>
      </c>
      <c r="S122" s="241">
        <v>0.48099999999999998</v>
      </c>
      <c r="T122" s="201">
        <f t="shared" si="22"/>
        <v>0.56000000000000005</v>
      </c>
      <c r="U122" s="240" t="s">
        <v>216</v>
      </c>
      <c r="V122" s="241" t="s">
        <v>216</v>
      </c>
      <c r="W122" s="201" t="str">
        <f t="shared" si="23"/>
        <v>OFF</v>
      </c>
    </row>
    <row r="123" spans="1:23" ht="15.75" x14ac:dyDescent="0.25">
      <c r="A123" s="31">
        <f>'M&amp;R Stations'!A114</f>
        <v>39073</v>
      </c>
      <c r="B123" s="240">
        <v>0.43</v>
      </c>
      <c r="C123" s="241">
        <v>0.43</v>
      </c>
      <c r="D123" s="201">
        <f t="shared" si="17"/>
        <v>0.43</v>
      </c>
      <c r="E123" s="240">
        <v>0.44</v>
      </c>
      <c r="F123" s="241">
        <v>0.39</v>
      </c>
      <c r="G123" s="201">
        <f t="shared" si="18"/>
        <v>0.41500000000000004</v>
      </c>
      <c r="H123" s="240">
        <v>0.43</v>
      </c>
      <c r="I123" s="241">
        <v>0.36</v>
      </c>
      <c r="J123" s="202">
        <f t="shared" si="19"/>
        <v>0.39500000000000002</v>
      </c>
      <c r="K123" s="194"/>
      <c r="L123" s="240">
        <v>0.79300000000000004</v>
      </c>
      <c r="M123" s="241">
        <v>0.64100000000000001</v>
      </c>
      <c r="N123" s="201">
        <f t="shared" si="20"/>
        <v>0.71700000000000008</v>
      </c>
      <c r="O123" s="240">
        <v>0.83</v>
      </c>
      <c r="P123" s="241">
        <v>0.67500000000000004</v>
      </c>
      <c r="Q123" s="201">
        <f t="shared" si="21"/>
        <v>0.75249999999999995</v>
      </c>
      <c r="R123" s="240">
        <v>0.48099999999999998</v>
      </c>
      <c r="S123" s="241">
        <v>0.41499999999999998</v>
      </c>
      <c r="T123" s="201">
        <f t="shared" si="22"/>
        <v>0.44799999999999995</v>
      </c>
      <c r="U123" s="240" t="s">
        <v>216</v>
      </c>
      <c r="V123" s="241" t="s">
        <v>216</v>
      </c>
      <c r="W123" s="201" t="str">
        <f t="shared" si="23"/>
        <v>OFF</v>
      </c>
    </row>
    <row r="124" spans="1:23" ht="15.75" x14ac:dyDescent="0.25">
      <c r="A124" s="31">
        <f>'M&amp;R Stations'!A115</f>
        <v>39074</v>
      </c>
      <c r="B124" s="240">
        <v>0.43</v>
      </c>
      <c r="C124" s="241">
        <v>0.43</v>
      </c>
      <c r="D124" s="201">
        <f t="shared" si="17"/>
        <v>0.43</v>
      </c>
      <c r="E124" s="240">
        <v>0.44</v>
      </c>
      <c r="F124" s="241">
        <v>0.39</v>
      </c>
      <c r="G124" s="201">
        <f t="shared" si="18"/>
        <v>0.41500000000000004</v>
      </c>
      <c r="H124" s="240">
        <v>0.46</v>
      </c>
      <c r="I124" s="241">
        <v>0.39</v>
      </c>
      <c r="J124" s="202">
        <f t="shared" si="19"/>
        <v>0.42500000000000004</v>
      </c>
      <c r="K124" s="194"/>
      <c r="L124" s="240">
        <v>0.76300000000000001</v>
      </c>
      <c r="M124" s="241">
        <v>0.64</v>
      </c>
      <c r="N124" s="201">
        <f t="shared" si="20"/>
        <v>0.70150000000000001</v>
      </c>
      <c r="O124" s="240">
        <v>0.83</v>
      </c>
      <c r="P124" s="241">
        <v>0.72699999999999998</v>
      </c>
      <c r="Q124" s="201">
        <f t="shared" si="21"/>
        <v>0.77849999999999997</v>
      </c>
      <c r="R124" s="240">
        <v>0.46500000000000002</v>
      </c>
      <c r="S124" s="241">
        <v>0.36499999999999999</v>
      </c>
      <c r="T124" s="201">
        <f t="shared" si="22"/>
        <v>0.41500000000000004</v>
      </c>
      <c r="U124" s="240" t="s">
        <v>216</v>
      </c>
      <c r="V124" s="241" t="s">
        <v>216</v>
      </c>
      <c r="W124" s="201" t="str">
        <f t="shared" si="23"/>
        <v>OFF</v>
      </c>
    </row>
    <row r="125" spans="1:23" ht="15.75" x14ac:dyDescent="0.25">
      <c r="A125" s="31">
        <f>'M&amp;R Stations'!A116</f>
        <v>39075</v>
      </c>
      <c r="B125" s="240">
        <v>0.43</v>
      </c>
      <c r="C125" s="241">
        <v>0.38</v>
      </c>
      <c r="D125" s="201">
        <f t="shared" si="17"/>
        <v>0.40500000000000003</v>
      </c>
      <c r="E125" s="240">
        <v>0.44</v>
      </c>
      <c r="F125" s="241">
        <v>0.37</v>
      </c>
      <c r="G125" s="201">
        <f t="shared" si="18"/>
        <v>0.40500000000000003</v>
      </c>
      <c r="H125" s="240">
        <v>0.46</v>
      </c>
      <c r="I125" s="241">
        <v>0.39</v>
      </c>
      <c r="J125" s="202">
        <f t="shared" si="19"/>
        <v>0.42500000000000004</v>
      </c>
      <c r="K125" s="194"/>
      <c r="L125" s="240">
        <v>0.79300000000000004</v>
      </c>
      <c r="M125" s="241">
        <v>0.61</v>
      </c>
      <c r="N125" s="201">
        <f t="shared" si="20"/>
        <v>0.70150000000000001</v>
      </c>
      <c r="O125" s="240">
        <v>0.93400000000000005</v>
      </c>
      <c r="P125" s="241">
        <v>0.72699999999999998</v>
      </c>
      <c r="Q125" s="201">
        <f t="shared" si="21"/>
        <v>0.83050000000000002</v>
      </c>
      <c r="R125" s="240">
        <v>0.48099999999999998</v>
      </c>
      <c r="S125" s="241">
        <v>0.39800000000000002</v>
      </c>
      <c r="T125" s="201">
        <f t="shared" si="22"/>
        <v>0.4395</v>
      </c>
      <c r="U125" s="240" t="s">
        <v>216</v>
      </c>
      <c r="V125" s="241" t="s">
        <v>216</v>
      </c>
      <c r="W125" s="201" t="str">
        <f t="shared" si="23"/>
        <v>OFF</v>
      </c>
    </row>
    <row r="126" spans="1:23" ht="15.75" x14ac:dyDescent="0.25">
      <c r="A126" s="31">
        <f>'M&amp;R Stations'!A117</f>
        <v>39076</v>
      </c>
      <c r="B126" s="240">
        <v>0.43</v>
      </c>
      <c r="C126" s="241">
        <v>0.41</v>
      </c>
      <c r="D126" s="201">
        <f t="shared" si="17"/>
        <v>0.42</v>
      </c>
      <c r="E126" s="240">
        <v>0.44</v>
      </c>
      <c r="F126" s="241">
        <v>0.4</v>
      </c>
      <c r="G126" s="201">
        <f t="shared" si="18"/>
        <v>0.42000000000000004</v>
      </c>
      <c r="H126" s="240">
        <v>0.43</v>
      </c>
      <c r="I126" s="241">
        <v>0.36</v>
      </c>
      <c r="J126" s="202">
        <f t="shared" si="19"/>
        <v>0.39500000000000002</v>
      </c>
      <c r="K126" s="194"/>
      <c r="L126" s="240">
        <v>0.73199999999999998</v>
      </c>
      <c r="M126" s="241">
        <v>0.61</v>
      </c>
      <c r="N126" s="201">
        <f t="shared" si="20"/>
        <v>0.67100000000000004</v>
      </c>
      <c r="O126" s="240">
        <v>0.93400000000000005</v>
      </c>
      <c r="P126" s="241">
        <v>0.77900000000000003</v>
      </c>
      <c r="Q126" s="201">
        <f t="shared" si="21"/>
        <v>0.85650000000000004</v>
      </c>
      <c r="R126" s="240">
        <v>0.498</v>
      </c>
      <c r="S126" s="241">
        <v>0.432</v>
      </c>
      <c r="T126" s="201">
        <f t="shared" si="22"/>
        <v>0.46499999999999997</v>
      </c>
      <c r="U126" s="240" t="s">
        <v>216</v>
      </c>
      <c r="V126" s="241" t="s">
        <v>216</v>
      </c>
      <c r="W126" s="201" t="str">
        <f t="shared" si="23"/>
        <v>OFF</v>
      </c>
    </row>
    <row r="127" spans="1:23" ht="15.75" x14ac:dyDescent="0.25">
      <c r="A127" s="31">
        <f>'M&amp;R Stations'!A118</f>
        <v>39077</v>
      </c>
      <c r="B127" s="240">
        <v>0.41</v>
      </c>
      <c r="C127" s="241">
        <v>0.38</v>
      </c>
      <c r="D127" s="201">
        <f t="shared" si="17"/>
        <v>0.39500000000000002</v>
      </c>
      <c r="E127" s="240">
        <v>0.4</v>
      </c>
      <c r="F127" s="241">
        <v>0.37</v>
      </c>
      <c r="G127" s="201">
        <f t="shared" si="18"/>
        <v>0.38500000000000001</v>
      </c>
      <c r="H127" s="240">
        <v>0.43</v>
      </c>
      <c r="I127" s="241">
        <v>0.39</v>
      </c>
      <c r="J127" s="202">
        <f t="shared" si="19"/>
        <v>0.41000000000000003</v>
      </c>
      <c r="K127" s="194"/>
      <c r="L127" s="240">
        <v>0.79300000000000004</v>
      </c>
      <c r="M127" s="241">
        <v>0.67100000000000004</v>
      </c>
      <c r="N127" s="201">
        <f t="shared" si="20"/>
        <v>0.73199999999999998</v>
      </c>
      <c r="O127" s="240">
        <v>0.93400000000000005</v>
      </c>
      <c r="P127" s="241">
        <v>0.83</v>
      </c>
      <c r="Q127" s="201">
        <f t="shared" si="21"/>
        <v>0.88200000000000001</v>
      </c>
      <c r="R127" s="240">
        <v>0.46500000000000002</v>
      </c>
      <c r="S127" s="241">
        <v>0.39800000000000002</v>
      </c>
      <c r="T127" s="201">
        <f t="shared" si="22"/>
        <v>0.43149999999999999</v>
      </c>
      <c r="U127" s="240" t="s">
        <v>216</v>
      </c>
      <c r="V127" s="241" t="s">
        <v>216</v>
      </c>
      <c r="W127" s="201" t="str">
        <f t="shared" si="23"/>
        <v>OFF</v>
      </c>
    </row>
    <row r="128" spans="1:23" ht="15.75" x14ac:dyDescent="0.25">
      <c r="A128" s="31">
        <f>'M&amp;R Stations'!A119</f>
        <v>39078</v>
      </c>
      <c r="B128" s="240">
        <v>0.49</v>
      </c>
      <c r="C128" s="241">
        <v>0.41</v>
      </c>
      <c r="D128" s="201">
        <f t="shared" si="17"/>
        <v>0.44999999999999996</v>
      </c>
      <c r="E128" s="240">
        <v>0.41</v>
      </c>
      <c r="F128" s="241">
        <v>0.37</v>
      </c>
      <c r="G128" s="201">
        <f t="shared" si="18"/>
        <v>0.39</v>
      </c>
      <c r="H128" s="240">
        <v>0.55000000000000004</v>
      </c>
      <c r="I128" s="241">
        <v>0.42</v>
      </c>
      <c r="J128" s="202">
        <f t="shared" si="19"/>
        <v>0.48499999999999999</v>
      </c>
      <c r="K128" s="194"/>
      <c r="L128" s="240">
        <v>0.79300000000000004</v>
      </c>
      <c r="M128" s="241">
        <v>0.67100000000000004</v>
      </c>
      <c r="N128" s="201">
        <f t="shared" si="20"/>
        <v>0.73199999999999998</v>
      </c>
      <c r="O128" s="240">
        <v>0.98599999999999999</v>
      </c>
      <c r="P128" s="241">
        <v>0.83</v>
      </c>
      <c r="Q128" s="201">
        <f t="shared" si="21"/>
        <v>0.90799999999999992</v>
      </c>
      <c r="R128" s="240">
        <v>0.498</v>
      </c>
      <c r="S128" s="241">
        <v>0.44800000000000001</v>
      </c>
      <c r="T128" s="201">
        <f t="shared" si="22"/>
        <v>0.47299999999999998</v>
      </c>
      <c r="U128" s="240" t="s">
        <v>216</v>
      </c>
      <c r="V128" s="241" t="s">
        <v>216</v>
      </c>
      <c r="W128" s="201" t="str">
        <f t="shared" si="23"/>
        <v>OFF</v>
      </c>
    </row>
    <row r="129" spans="1:23" ht="15.75" x14ac:dyDescent="0.25">
      <c r="A129" s="31">
        <f>'M&amp;R Stations'!A120</f>
        <v>39079</v>
      </c>
      <c r="B129" s="240">
        <v>0.49</v>
      </c>
      <c r="C129" s="241">
        <v>0.46</v>
      </c>
      <c r="D129" s="201">
        <f t="shared" si="17"/>
        <v>0.47499999999999998</v>
      </c>
      <c r="E129" s="240">
        <v>0.41</v>
      </c>
      <c r="F129" s="241">
        <v>0.38</v>
      </c>
      <c r="G129" s="201">
        <f t="shared" si="18"/>
        <v>0.39500000000000002</v>
      </c>
      <c r="H129" s="240">
        <v>0.49</v>
      </c>
      <c r="I129" s="241">
        <v>0.42</v>
      </c>
      <c r="J129" s="202">
        <f t="shared" si="19"/>
        <v>0.45499999999999996</v>
      </c>
      <c r="K129" s="194"/>
      <c r="L129" s="240">
        <v>0.79300000000000004</v>
      </c>
      <c r="M129" s="241">
        <v>0.67100000000000004</v>
      </c>
      <c r="N129" s="201">
        <f t="shared" si="20"/>
        <v>0.73199999999999998</v>
      </c>
      <c r="O129" s="240">
        <v>0.98599999999999999</v>
      </c>
      <c r="P129" s="241">
        <v>0.432</v>
      </c>
      <c r="Q129" s="201">
        <f t="shared" si="21"/>
        <v>0.70899999999999996</v>
      </c>
      <c r="R129" s="240">
        <v>0.51500000000000001</v>
      </c>
      <c r="S129" s="241">
        <v>0.46500000000000002</v>
      </c>
      <c r="T129" s="201">
        <f t="shared" si="22"/>
        <v>0.49</v>
      </c>
      <c r="U129" s="240" t="s">
        <v>216</v>
      </c>
      <c r="V129" s="241" t="s">
        <v>216</v>
      </c>
      <c r="W129" s="201" t="str">
        <f t="shared" si="23"/>
        <v>OFF</v>
      </c>
    </row>
    <row r="130" spans="1:23" ht="15.75" x14ac:dyDescent="0.25">
      <c r="A130" s="31">
        <f>'M&amp;R Stations'!A121</f>
        <v>39080</v>
      </c>
      <c r="B130" s="240">
        <v>0.49</v>
      </c>
      <c r="C130" s="241">
        <v>0.49</v>
      </c>
      <c r="D130" s="201">
        <f t="shared" si="17"/>
        <v>0.49</v>
      </c>
      <c r="E130" s="240">
        <v>0.38</v>
      </c>
      <c r="F130" s="241">
        <v>0.34</v>
      </c>
      <c r="G130" s="201">
        <f t="shared" si="18"/>
        <v>0.36</v>
      </c>
      <c r="H130" s="240">
        <v>0.42</v>
      </c>
      <c r="I130" s="241">
        <v>0.36</v>
      </c>
      <c r="J130" s="202">
        <f t="shared" si="19"/>
        <v>0.39</v>
      </c>
      <c r="K130" s="194"/>
      <c r="L130" s="240">
        <v>0.79300000000000004</v>
      </c>
      <c r="M130" s="241">
        <v>0.61</v>
      </c>
      <c r="N130" s="201">
        <f t="shared" si="20"/>
        <v>0.70150000000000001</v>
      </c>
      <c r="O130" s="240">
        <v>0.93400000000000005</v>
      </c>
      <c r="P130" s="241">
        <v>0.88200000000000001</v>
      </c>
      <c r="Q130" s="201">
        <f t="shared" si="21"/>
        <v>0.90800000000000003</v>
      </c>
      <c r="R130" s="240">
        <v>0.498</v>
      </c>
      <c r="S130" s="241">
        <v>0.44800000000000001</v>
      </c>
      <c r="T130" s="201">
        <f t="shared" si="22"/>
        <v>0.47299999999999998</v>
      </c>
      <c r="U130" s="240" t="s">
        <v>216</v>
      </c>
      <c r="V130" s="241" t="s">
        <v>216</v>
      </c>
      <c r="W130" s="201" t="str">
        <f t="shared" si="23"/>
        <v>OFF</v>
      </c>
    </row>
    <row r="131" spans="1:23" ht="15.75" x14ac:dyDescent="0.25">
      <c r="A131" s="31">
        <f>'M&amp;R Stations'!A122</f>
        <v>39081</v>
      </c>
      <c r="B131" s="240">
        <v>0.49</v>
      </c>
      <c r="C131" s="241">
        <v>0.49</v>
      </c>
      <c r="D131" s="201">
        <f t="shared" si="17"/>
        <v>0.49</v>
      </c>
      <c r="E131" s="240">
        <v>0.38</v>
      </c>
      <c r="F131" s="241">
        <v>0.31</v>
      </c>
      <c r="G131" s="201">
        <f t="shared" si="18"/>
        <v>0.34499999999999997</v>
      </c>
      <c r="H131" s="240">
        <v>0.38</v>
      </c>
      <c r="I131" s="241">
        <v>0.36</v>
      </c>
      <c r="J131" s="202">
        <f t="shared" si="19"/>
        <v>0.37</v>
      </c>
      <c r="K131" s="194"/>
      <c r="L131" s="240">
        <v>0.76300000000000001</v>
      </c>
      <c r="M131" s="241">
        <v>0.67100000000000004</v>
      </c>
      <c r="N131" s="201">
        <f t="shared" si="20"/>
        <v>0.71700000000000008</v>
      </c>
      <c r="O131" s="240">
        <v>0.93400000000000005</v>
      </c>
      <c r="P131" s="241">
        <v>0.83</v>
      </c>
      <c r="Q131" s="201">
        <f t="shared" si="21"/>
        <v>0.88200000000000001</v>
      </c>
      <c r="R131" s="240">
        <v>0.498</v>
      </c>
      <c r="S131" s="241">
        <v>0.38200000000000001</v>
      </c>
      <c r="T131" s="201">
        <f t="shared" si="22"/>
        <v>0.44</v>
      </c>
      <c r="U131" s="240" t="s">
        <v>216</v>
      </c>
      <c r="V131" s="241" t="s">
        <v>216</v>
      </c>
      <c r="W131" s="201" t="str">
        <f t="shared" si="23"/>
        <v>OFF</v>
      </c>
    </row>
    <row r="132" spans="1:23" ht="15.75" x14ac:dyDescent="0.25">
      <c r="A132" s="31">
        <f>'M&amp;R Stations'!A123</f>
        <v>39082</v>
      </c>
      <c r="B132" s="240">
        <v>0.52</v>
      </c>
      <c r="C132" s="241">
        <v>0.49</v>
      </c>
      <c r="D132" s="201">
        <f t="shared" si="17"/>
        <v>0.505</v>
      </c>
      <c r="E132" s="240">
        <v>0.34</v>
      </c>
      <c r="F132" s="241">
        <v>0.31</v>
      </c>
      <c r="G132" s="201">
        <f t="shared" si="18"/>
        <v>0.32500000000000001</v>
      </c>
      <c r="H132" s="240">
        <v>0.36</v>
      </c>
      <c r="I132" s="241">
        <v>0.36</v>
      </c>
      <c r="J132" s="202">
        <f t="shared" si="19"/>
        <v>0.36</v>
      </c>
      <c r="K132" s="194"/>
      <c r="L132" s="240">
        <v>0.79300000000000004</v>
      </c>
      <c r="M132" s="241">
        <v>0.61</v>
      </c>
      <c r="N132" s="201">
        <f t="shared" si="20"/>
        <v>0.70150000000000001</v>
      </c>
      <c r="O132" s="240" t="s">
        <v>216</v>
      </c>
      <c r="P132" s="241" t="s">
        <v>216</v>
      </c>
      <c r="Q132" s="201" t="str">
        <f t="shared" si="21"/>
        <v>OFF</v>
      </c>
      <c r="R132" s="240">
        <v>0.498</v>
      </c>
      <c r="S132" s="241">
        <v>0.41499999999999998</v>
      </c>
      <c r="T132" s="201">
        <f t="shared" si="22"/>
        <v>0.45650000000000002</v>
      </c>
      <c r="U132" s="240" t="s">
        <v>216</v>
      </c>
      <c r="V132" s="241" t="s">
        <v>216</v>
      </c>
      <c r="W132" s="201" t="str">
        <f t="shared" si="23"/>
        <v>OFF</v>
      </c>
    </row>
    <row r="133" spans="1:23" ht="15.75" x14ac:dyDescent="0.25">
      <c r="A133" s="96"/>
      <c r="B133" s="203"/>
      <c r="C133" s="204"/>
      <c r="D133" s="205"/>
      <c r="E133" s="203"/>
      <c r="F133" s="204"/>
      <c r="G133" s="205"/>
      <c r="H133" s="203"/>
      <c r="I133" s="204"/>
      <c r="J133" s="206"/>
      <c r="K133" s="207"/>
      <c r="L133" s="203"/>
      <c r="M133" s="204"/>
      <c r="N133" s="206"/>
      <c r="O133" s="203"/>
      <c r="P133" s="204"/>
      <c r="Q133" s="206"/>
      <c r="R133" s="203"/>
      <c r="S133" s="204"/>
      <c r="T133" s="206"/>
      <c r="U133" s="203"/>
      <c r="V133" s="204"/>
      <c r="W133" s="206"/>
    </row>
    <row r="134" spans="1:23" ht="15.75" x14ac:dyDescent="0.25">
      <c r="A134" s="31">
        <f>'M&amp;R Stations'!A124</f>
        <v>39083</v>
      </c>
      <c r="B134" s="240">
        <v>0.49</v>
      </c>
      <c r="C134" s="241">
        <v>0.46</v>
      </c>
      <c r="D134" s="201">
        <f t="shared" si="17"/>
        <v>0.47499999999999998</v>
      </c>
      <c r="E134" s="240">
        <v>0.34</v>
      </c>
      <c r="F134" s="241">
        <v>0.34</v>
      </c>
      <c r="G134" s="201">
        <f t="shared" ref="G134:G164" si="24">IF(AND(E134="",F134=""),"",IF(E134="off",F134,IF(F134="off",E134,AVERAGE(E134:F134))))</f>
        <v>0.34</v>
      </c>
      <c r="H134" s="240">
        <v>0.38</v>
      </c>
      <c r="I134" s="241">
        <v>0.36</v>
      </c>
      <c r="J134" s="202">
        <f t="shared" ref="J134:J164" si="25">IF(AND(H134="",I134=""),"",IF(H134="off",I134,IF(I134="off",H134,AVERAGE(H134:I134))))</f>
        <v>0.37</v>
      </c>
      <c r="K134" s="194"/>
      <c r="L134" s="240">
        <v>0.76300000000000001</v>
      </c>
      <c r="M134" s="241">
        <v>0.61</v>
      </c>
      <c r="N134" s="201">
        <f t="shared" ref="N134:N164" si="26">IF(AND(L134="",M134=""),"",IF(L134="off",M134,IF(M134="off",L134,AVERAGE(L134:M134))))</f>
        <v>0.6865</v>
      </c>
      <c r="O134" s="240" t="s">
        <v>216</v>
      </c>
      <c r="P134" s="241" t="s">
        <v>216</v>
      </c>
      <c r="Q134" s="201" t="str">
        <f>IF(AND(O134="",P134=""),"",IF(O134="off",P134,IF(P134="off",O134,AVERAGE(O134:P134))))</f>
        <v>OFF</v>
      </c>
      <c r="R134" s="240">
        <v>0.46500000000000002</v>
      </c>
      <c r="S134" s="241">
        <v>0.36499999999999999</v>
      </c>
      <c r="T134" s="201">
        <f t="shared" ref="T134:T164" si="27">IF(AND(R134="",S134=""),"",IF(R134="off",S134,IF(S134="off",R134,AVERAGE(R134:S134))))</f>
        <v>0.41500000000000004</v>
      </c>
      <c r="U134" s="240" t="s">
        <v>216</v>
      </c>
      <c r="V134" s="241" t="s">
        <v>216</v>
      </c>
      <c r="W134" s="201" t="str">
        <f>IF(AND(U134="",V134=""),"",IF(U134="off",V134,IF(V134="off",U134,AVERAGE(U134:V134))))</f>
        <v>OFF</v>
      </c>
    </row>
    <row r="135" spans="1:23" ht="15.75" x14ac:dyDescent="0.25">
      <c r="A135" s="31">
        <f>'M&amp;R Stations'!A125</f>
        <v>39084</v>
      </c>
      <c r="B135" s="240">
        <v>0.49</v>
      </c>
      <c r="C135" s="241">
        <v>0.44</v>
      </c>
      <c r="D135" s="201">
        <f t="shared" si="17"/>
        <v>0.46499999999999997</v>
      </c>
      <c r="E135" s="240">
        <v>0.39</v>
      </c>
      <c r="F135" s="241">
        <v>0.34</v>
      </c>
      <c r="G135" s="201">
        <f t="shared" si="24"/>
        <v>0.36499999999999999</v>
      </c>
      <c r="H135" s="240">
        <v>0.36</v>
      </c>
      <c r="I135" s="241">
        <v>0.36</v>
      </c>
      <c r="J135" s="202">
        <f t="shared" si="25"/>
        <v>0.36</v>
      </c>
      <c r="K135" s="194"/>
      <c r="L135" s="240">
        <v>0.79</v>
      </c>
      <c r="M135" s="241">
        <v>0.55000000000000004</v>
      </c>
      <c r="N135" s="201">
        <f t="shared" si="26"/>
        <v>0.67</v>
      </c>
      <c r="O135" s="240">
        <v>0.62</v>
      </c>
      <c r="P135" s="241">
        <v>0.52</v>
      </c>
      <c r="Q135" s="201">
        <f t="shared" ref="Q135:Q164" si="28">IF(AND(O135="",P135=""),"",IF(O135="off",P135,IF(P135="off",O135,AVERAGE(O135:P135))))</f>
        <v>0.57000000000000006</v>
      </c>
      <c r="R135" s="240">
        <v>0.5</v>
      </c>
      <c r="S135" s="241">
        <v>0.38</v>
      </c>
      <c r="T135" s="201">
        <f t="shared" si="27"/>
        <v>0.44</v>
      </c>
      <c r="U135" s="240" t="s">
        <v>216</v>
      </c>
      <c r="V135" s="241" t="s">
        <v>216</v>
      </c>
      <c r="W135" s="201" t="str">
        <f t="shared" ref="W135:W164" si="29">IF(AND(U135="",V135=""),"",IF(U135="off",V135,IF(V135="off",U135,AVERAGE(U135:V135))))</f>
        <v>OFF</v>
      </c>
    </row>
    <row r="136" spans="1:23" ht="15.75" x14ac:dyDescent="0.25">
      <c r="A136" s="31">
        <f>'M&amp;R Stations'!A126</f>
        <v>39085</v>
      </c>
      <c r="B136" s="240">
        <v>0.56000000000000005</v>
      </c>
      <c r="C136" s="241">
        <v>0.49</v>
      </c>
      <c r="D136" s="201">
        <f t="shared" si="17"/>
        <v>0.52500000000000002</v>
      </c>
      <c r="E136" s="240">
        <v>0.38</v>
      </c>
      <c r="F136" s="241">
        <v>0.34</v>
      </c>
      <c r="G136" s="201">
        <f t="shared" si="24"/>
        <v>0.36</v>
      </c>
      <c r="H136" s="240">
        <v>0.52</v>
      </c>
      <c r="I136" s="241">
        <v>0.36</v>
      </c>
      <c r="J136" s="202">
        <f t="shared" si="25"/>
        <v>0.44</v>
      </c>
      <c r="K136" s="194"/>
      <c r="L136" s="240">
        <v>0.76</v>
      </c>
      <c r="M136" s="241">
        <v>0.67</v>
      </c>
      <c r="N136" s="201">
        <f t="shared" si="26"/>
        <v>0.71500000000000008</v>
      </c>
      <c r="O136" s="240">
        <v>0.99</v>
      </c>
      <c r="P136" s="241">
        <v>0.68</v>
      </c>
      <c r="Q136" s="201">
        <f t="shared" si="28"/>
        <v>0.83499999999999996</v>
      </c>
      <c r="R136" s="240">
        <v>0.56000000000000005</v>
      </c>
      <c r="S136" s="241">
        <v>0.42</v>
      </c>
      <c r="T136" s="201">
        <f t="shared" si="27"/>
        <v>0.49</v>
      </c>
      <c r="U136" s="240" t="s">
        <v>216</v>
      </c>
      <c r="V136" s="241" t="s">
        <v>216</v>
      </c>
      <c r="W136" s="201" t="str">
        <f t="shared" si="29"/>
        <v>OFF</v>
      </c>
    </row>
    <row r="137" spans="1:23" ht="15.75" x14ac:dyDescent="0.25">
      <c r="A137" s="31">
        <f>'M&amp;R Stations'!A127</f>
        <v>39086</v>
      </c>
      <c r="B137" s="240">
        <v>0.49</v>
      </c>
      <c r="C137" s="241">
        <v>0.43</v>
      </c>
      <c r="D137" s="201">
        <f t="shared" si="17"/>
        <v>0.45999999999999996</v>
      </c>
      <c r="E137" s="240">
        <v>0.35</v>
      </c>
      <c r="F137" s="241">
        <v>0.3</v>
      </c>
      <c r="G137" s="201">
        <f t="shared" si="24"/>
        <v>0.32499999999999996</v>
      </c>
      <c r="H137" s="240">
        <v>0.48</v>
      </c>
      <c r="I137" s="241">
        <v>0.48</v>
      </c>
      <c r="J137" s="202">
        <f t="shared" si="25"/>
        <v>0.48</v>
      </c>
      <c r="K137" s="194"/>
      <c r="L137" s="240">
        <v>0.70199999999999996</v>
      </c>
      <c r="M137" s="241">
        <v>0.54900000000000004</v>
      </c>
      <c r="N137" s="201">
        <f t="shared" si="26"/>
        <v>0.62549999999999994</v>
      </c>
      <c r="O137" s="240">
        <v>0.88200000000000001</v>
      </c>
      <c r="P137" s="241">
        <v>0.622</v>
      </c>
      <c r="Q137" s="201">
        <f t="shared" si="28"/>
        <v>0.752</v>
      </c>
      <c r="R137" s="240">
        <v>0.51500000000000001</v>
      </c>
      <c r="S137" s="241">
        <v>0.315</v>
      </c>
      <c r="T137" s="201">
        <f t="shared" si="27"/>
        <v>0.41500000000000004</v>
      </c>
      <c r="U137" s="240" t="s">
        <v>216</v>
      </c>
      <c r="V137" s="241" t="s">
        <v>216</v>
      </c>
      <c r="W137" s="201" t="str">
        <f t="shared" si="29"/>
        <v>OFF</v>
      </c>
    </row>
    <row r="138" spans="1:23" ht="15.75" x14ac:dyDescent="0.25">
      <c r="A138" s="31">
        <f>'M&amp;R Stations'!A128</f>
        <v>39087</v>
      </c>
      <c r="B138" s="240">
        <v>0.53</v>
      </c>
      <c r="C138" s="241">
        <v>0.49</v>
      </c>
      <c r="D138" s="201">
        <f t="shared" si="17"/>
        <v>0.51</v>
      </c>
      <c r="E138" s="240">
        <v>0.38</v>
      </c>
      <c r="F138" s="241">
        <v>0.3</v>
      </c>
      <c r="G138" s="201">
        <f t="shared" si="24"/>
        <v>0.33999999999999997</v>
      </c>
      <c r="H138" s="240">
        <v>0.56999999999999995</v>
      </c>
      <c r="I138" s="241">
        <v>0.48</v>
      </c>
      <c r="J138" s="202">
        <f t="shared" si="25"/>
        <v>0.52499999999999991</v>
      </c>
      <c r="K138" s="194"/>
      <c r="L138" s="240">
        <v>0.64100000000000001</v>
      </c>
      <c r="M138" s="241">
        <v>0.30599999999999999</v>
      </c>
      <c r="N138" s="201">
        <f t="shared" si="26"/>
        <v>0.47350000000000003</v>
      </c>
      <c r="O138" s="240">
        <v>0.88200000000000001</v>
      </c>
      <c r="P138" s="241">
        <v>0.53700000000000003</v>
      </c>
      <c r="Q138" s="201">
        <f t="shared" si="28"/>
        <v>0.70950000000000002</v>
      </c>
      <c r="R138" s="240">
        <v>0.53500000000000003</v>
      </c>
      <c r="S138" s="241">
        <v>0.40799999999999997</v>
      </c>
      <c r="T138" s="201">
        <f t="shared" si="27"/>
        <v>0.47150000000000003</v>
      </c>
      <c r="U138" s="240" t="s">
        <v>216</v>
      </c>
      <c r="V138" s="241" t="s">
        <v>216</v>
      </c>
      <c r="W138" s="201" t="str">
        <f t="shared" si="29"/>
        <v>OFF</v>
      </c>
    </row>
    <row r="139" spans="1:23" ht="15.75" x14ac:dyDescent="0.25">
      <c r="A139" s="31">
        <f>'M&amp;R Stations'!A129</f>
        <v>39088</v>
      </c>
      <c r="B139" s="240">
        <v>0.56000000000000005</v>
      </c>
      <c r="C139" s="241">
        <v>0.53</v>
      </c>
      <c r="D139" s="201">
        <f t="shared" si="17"/>
        <v>0.54500000000000004</v>
      </c>
      <c r="E139" s="240">
        <v>0.44</v>
      </c>
      <c r="F139" s="241">
        <v>0.32</v>
      </c>
      <c r="G139" s="201">
        <f t="shared" si="24"/>
        <v>0.38</v>
      </c>
      <c r="H139" s="240">
        <v>0.62</v>
      </c>
      <c r="I139" s="241">
        <v>0.56999999999999995</v>
      </c>
      <c r="J139" s="202">
        <f t="shared" si="25"/>
        <v>0.59499999999999997</v>
      </c>
      <c r="K139" s="194"/>
      <c r="L139" s="240">
        <v>0.45800000000000002</v>
      </c>
      <c r="M139" s="241">
        <v>0.32500000000000001</v>
      </c>
      <c r="N139" s="201">
        <f t="shared" si="26"/>
        <v>0.39150000000000001</v>
      </c>
      <c r="O139" s="240">
        <v>0.64400000000000002</v>
      </c>
      <c r="P139" s="241">
        <v>0.46500000000000002</v>
      </c>
      <c r="Q139" s="201">
        <f t="shared" si="28"/>
        <v>0.55449999999999999</v>
      </c>
      <c r="R139" s="240">
        <v>0.59899999999999998</v>
      </c>
      <c r="S139" s="241">
        <v>0.47</v>
      </c>
      <c r="T139" s="201">
        <f t="shared" si="27"/>
        <v>0.53449999999999998</v>
      </c>
      <c r="U139" s="240" t="s">
        <v>216</v>
      </c>
      <c r="V139" s="241" t="s">
        <v>216</v>
      </c>
      <c r="W139" s="201" t="str">
        <f t="shared" si="29"/>
        <v>OFF</v>
      </c>
    </row>
    <row r="140" spans="1:23" ht="15.75" x14ac:dyDescent="0.25">
      <c r="A140" s="31">
        <f>'M&amp;R Stations'!A130</f>
        <v>39089</v>
      </c>
      <c r="B140" s="240">
        <v>0.63</v>
      </c>
      <c r="C140" s="241">
        <v>0.53</v>
      </c>
      <c r="D140" s="201">
        <f t="shared" si="17"/>
        <v>0.58000000000000007</v>
      </c>
      <c r="E140" s="240">
        <v>0.44</v>
      </c>
      <c r="F140" s="241">
        <v>0.3</v>
      </c>
      <c r="G140" s="201">
        <f t="shared" si="24"/>
        <v>0.37</v>
      </c>
      <c r="H140" s="240">
        <v>0.56999999999999995</v>
      </c>
      <c r="I140" s="241">
        <v>0.48</v>
      </c>
      <c r="J140" s="202">
        <f t="shared" si="25"/>
        <v>0.52499999999999991</v>
      </c>
      <c r="K140" s="194"/>
      <c r="L140" s="240">
        <v>0.42</v>
      </c>
      <c r="M140" s="241">
        <v>0.34300000000000003</v>
      </c>
      <c r="N140" s="201">
        <f t="shared" si="26"/>
        <v>0.38150000000000001</v>
      </c>
      <c r="O140" s="240">
        <v>0.57299999999999995</v>
      </c>
      <c r="P140" s="241">
        <v>0.46500000000000002</v>
      </c>
      <c r="Q140" s="201">
        <f t="shared" si="28"/>
        <v>0.51900000000000002</v>
      </c>
      <c r="R140" s="240">
        <v>0.72799999999999998</v>
      </c>
      <c r="S140" s="241">
        <v>0.42799999999999999</v>
      </c>
      <c r="T140" s="201">
        <f t="shared" si="27"/>
        <v>0.57799999999999996</v>
      </c>
      <c r="U140" s="240" t="s">
        <v>216</v>
      </c>
      <c r="V140" s="241" t="s">
        <v>216</v>
      </c>
      <c r="W140" s="201" t="str">
        <f t="shared" si="29"/>
        <v>OFF</v>
      </c>
    </row>
    <row r="141" spans="1:23" ht="15.75" x14ac:dyDescent="0.25">
      <c r="A141" s="31">
        <f>'M&amp;R Stations'!A131</f>
        <v>39090</v>
      </c>
      <c r="B141" s="240">
        <v>0.63</v>
      </c>
      <c r="C141" s="241">
        <v>0.53</v>
      </c>
      <c r="D141" s="201">
        <f t="shared" si="17"/>
        <v>0.58000000000000007</v>
      </c>
      <c r="E141" s="240">
        <v>0.3</v>
      </c>
      <c r="F141" s="241">
        <v>0.3</v>
      </c>
      <c r="G141" s="201">
        <f t="shared" si="24"/>
        <v>0.3</v>
      </c>
      <c r="H141" s="240">
        <v>0.48</v>
      </c>
      <c r="I141" s="241">
        <v>0.48</v>
      </c>
      <c r="J141" s="202">
        <f t="shared" si="25"/>
        <v>0.48</v>
      </c>
      <c r="K141" s="194"/>
      <c r="L141" s="240">
        <v>0.40100000000000002</v>
      </c>
      <c r="M141" s="241">
        <v>0.32400000000000001</v>
      </c>
      <c r="N141" s="201">
        <f t="shared" si="26"/>
        <v>0.36250000000000004</v>
      </c>
      <c r="O141" s="240">
        <v>0.64400000000000002</v>
      </c>
      <c r="P141" s="241">
        <v>0.42899999999999999</v>
      </c>
      <c r="Q141" s="201">
        <f t="shared" si="28"/>
        <v>0.53649999999999998</v>
      </c>
      <c r="R141" s="240">
        <v>0.85599999999999998</v>
      </c>
      <c r="S141" s="241">
        <v>0.55600000000000005</v>
      </c>
      <c r="T141" s="201">
        <f t="shared" si="27"/>
        <v>0.70599999999999996</v>
      </c>
      <c r="U141" s="240" t="s">
        <v>216</v>
      </c>
      <c r="V141" s="241" t="s">
        <v>216</v>
      </c>
      <c r="W141" s="201" t="str">
        <f t="shared" si="29"/>
        <v>OFF</v>
      </c>
    </row>
    <row r="142" spans="1:23" ht="15.75" x14ac:dyDescent="0.25">
      <c r="A142" s="31">
        <f>'M&amp;R Stations'!A132</f>
        <v>39091</v>
      </c>
      <c r="B142" s="240">
        <v>0.56000000000000005</v>
      </c>
      <c r="C142" s="241">
        <v>0.41</v>
      </c>
      <c r="D142" s="201">
        <f t="shared" si="17"/>
        <v>0.48499999999999999</v>
      </c>
      <c r="E142" s="240">
        <v>0.3</v>
      </c>
      <c r="F142" s="241">
        <v>0.27</v>
      </c>
      <c r="G142" s="201">
        <f t="shared" si="24"/>
        <v>0.28500000000000003</v>
      </c>
      <c r="H142" s="240">
        <v>0.48</v>
      </c>
      <c r="I142" s="241">
        <v>0.34</v>
      </c>
      <c r="J142" s="202">
        <f t="shared" si="25"/>
        <v>0.41000000000000003</v>
      </c>
      <c r="K142" s="194"/>
      <c r="L142" s="240">
        <v>0.42</v>
      </c>
      <c r="M142" s="241">
        <v>0.38200000000000001</v>
      </c>
      <c r="N142" s="201">
        <f t="shared" si="26"/>
        <v>0.40100000000000002</v>
      </c>
      <c r="O142" s="240">
        <v>0.64400000000000002</v>
      </c>
      <c r="P142" s="241">
        <v>0.53700000000000003</v>
      </c>
      <c r="Q142" s="201">
        <f t="shared" si="28"/>
        <v>0.59050000000000002</v>
      </c>
      <c r="R142" s="240">
        <v>0.85599999999999998</v>
      </c>
      <c r="S142" s="241">
        <v>0.59899999999999998</v>
      </c>
      <c r="T142" s="201">
        <f t="shared" si="27"/>
        <v>0.72750000000000004</v>
      </c>
      <c r="U142" s="240" t="s">
        <v>216</v>
      </c>
      <c r="V142" s="241" t="s">
        <v>216</v>
      </c>
      <c r="W142" s="201" t="str">
        <f t="shared" si="29"/>
        <v>OFF</v>
      </c>
    </row>
    <row r="143" spans="1:23" ht="15.75" x14ac:dyDescent="0.25">
      <c r="A143" s="31">
        <f>'M&amp;R Stations'!A133</f>
        <v>39092</v>
      </c>
      <c r="B143" s="240">
        <v>0.56999999999999995</v>
      </c>
      <c r="C143" s="241">
        <v>0.36</v>
      </c>
      <c r="D143" s="201">
        <f t="shared" si="17"/>
        <v>0.46499999999999997</v>
      </c>
      <c r="E143" s="240">
        <v>0.38</v>
      </c>
      <c r="F143" s="241">
        <v>0.21</v>
      </c>
      <c r="G143" s="201">
        <f t="shared" si="24"/>
        <v>0.29499999999999998</v>
      </c>
      <c r="H143" s="240">
        <v>0.32</v>
      </c>
      <c r="I143" s="241">
        <v>0.25</v>
      </c>
      <c r="J143" s="202">
        <f t="shared" si="25"/>
        <v>0.28500000000000003</v>
      </c>
      <c r="K143" s="194"/>
      <c r="L143" s="240">
        <v>0.45800000000000002</v>
      </c>
      <c r="M143" s="241">
        <v>0.40100000000000002</v>
      </c>
      <c r="N143" s="201">
        <f t="shared" si="26"/>
        <v>0.42949999999999999</v>
      </c>
      <c r="O143" s="240">
        <v>0.71599999999999997</v>
      </c>
      <c r="P143" s="241">
        <v>0.57299999999999995</v>
      </c>
      <c r="Q143" s="201">
        <f t="shared" si="28"/>
        <v>0.64449999999999996</v>
      </c>
      <c r="R143" s="240">
        <v>0.72799999999999998</v>
      </c>
      <c r="S143" s="241">
        <v>0.59899999999999998</v>
      </c>
      <c r="T143" s="201">
        <f t="shared" si="27"/>
        <v>0.66349999999999998</v>
      </c>
      <c r="U143" s="240" t="s">
        <v>216</v>
      </c>
      <c r="V143" s="241" t="s">
        <v>216</v>
      </c>
      <c r="W143" s="201" t="str">
        <f t="shared" si="29"/>
        <v>OFF</v>
      </c>
    </row>
    <row r="144" spans="1:23" ht="15.75" x14ac:dyDescent="0.25">
      <c r="A144" s="31">
        <f>'M&amp;R Stations'!A134</f>
        <v>39093</v>
      </c>
      <c r="B144" s="240">
        <v>0.58799999999999997</v>
      </c>
      <c r="C144" s="241">
        <v>0.40600000000000003</v>
      </c>
      <c r="D144" s="201">
        <f t="shared" si="17"/>
        <v>0.497</v>
      </c>
      <c r="E144" s="240">
        <v>0.73699999999999999</v>
      </c>
      <c r="F144" s="241">
        <v>0.58199999999999996</v>
      </c>
      <c r="G144" s="201">
        <f t="shared" si="24"/>
        <v>0.65949999999999998</v>
      </c>
      <c r="H144" s="240">
        <v>0.747</v>
      </c>
      <c r="I144" s="241">
        <v>0.64700000000000002</v>
      </c>
      <c r="J144" s="202">
        <f t="shared" si="25"/>
        <v>0.69700000000000006</v>
      </c>
      <c r="K144" s="194"/>
      <c r="L144" s="240">
        <v>0.46</v>
      </c>
      <c r="M144" s="241">
        <v>0.43</v>
      </c>
      <c r="N144" s="201">
        <f t="shared" si="26"/>
        <v>0.44500000000000001</v>
      </c>
      <c r="O144" s="240">
        <v>0.34</v>
      </c>
      <c r="P144" s="241">
        <v>0.21</v>
      </c>
      <c r="Q144" s="201">
        <f t="shared" si="28"/>
        <v>0.27500000000000002</v>
      </c>
      <c r="R144" s="240">
        <v>0.35</v>
      </c>
      <c r="S144" s="241">
        <v>0.28000000000000003</v>
      </c>
      <c r="T144" s="201">
        <f t="shared" si="27"/>
        <v>0.315</v>
      </c>
      <c r="U144" s="240" t="s">
        <v>216</v>
      </c>
      <c r="V144" s="241" t="s">
        <v>216</v>
      </c>
      <c r="W144" s="201" t="str">
        <f t="shared" si="29"/>
        <v>OFF</v>
      </c>
    </row>
    <row r="145" spans="1:23" ht="15.75" x14ac:dyDescent="0.25">
      <c r="A145" s="31">
        <f>'M&amp;R Stations'!A135</f>
        <v>39094</v>
      </c>
      <c r="B145" s="240">
        <v>0.53</v>
      </c>
      <c r="C145" s="241">
        <v>0.39</v>
      </c>
      <c r="D145" s="201">
        <f t="shared" si="17"/>
        <v>0.46</v>
      </c>
      <c r="E145" s="240">
        <v>0.68</v>
      </c>
      <c r="F145" s="241">
        <v>0.27</v>
      </c>
      <c r="G145" s="201">
        <f t="shared" si="24"/>
        <v>0.47500000000000003</v>
      </c>
      <c r="H145" s="240">
        <v>0.28000000000000003</v>
      </c>
      <c r="I145" s="241">
        <v>0.22</v>
      </c>
      <c r="J145" s="202">
        <f t="shared" si="25"/>
        <v>0.25</v>
      </c>
      <c r="K145" s="194"/>
      <c r="L145" s="240">
        <v>0.48699999999999999</v>
      </c>
      <c r="M145" s="241">
        <v>0.40600000000000003</v>
      </c>
      <c r="N145" s="201">
        <f t="shared" si="26"/>
        <v>0.44650000000000001</v>
      </c>
      <c r="O145" s="240">
        <v>0.77600000000000002</v>
      </c>
      <c r="P145" s="241">
        <v>0.66</v>
      </c>
      <c r="Q145" s="201">
        <f t="shared" si="28"/>
        <v>0.71799999999999997</v>
      </c>
      <c r="R145" s="240">
        <v>0.77200000000000002</v>
      </c>
      <c r="S145" s="241">
        <v>0.623</v>
      </c>
      <c r="T145" s="201">
        <f t="shared" si="27"/>
        <v>0.69750000000000001</v>
      </c>
      <c r="U145" s="240" t="s">
        <v>216</v>
      </c>
      <c r="V145" s="241" t="s">
        <v>216</v>
      </c>
      <c r="W145" s="201" t="str">
        <f t="shared" si="29"/>
        <v>OFF</v>
      </c>
    </row>
    <row r="146" spans="1:23" ht="15.75" x14ac:dyDescent="0.25">
      <c r="A146" s="31">
        <f>'M&amp;R Stations'!A136</f>
        <v>39095</v>
      </c>
      <c r="B146" s="240">
        <v>0.5</v>
      </c>
      <c r="C146" s="241">
        <v>0.46</v>
      </c>
      <c r="D146" s="201">
        <f t="shared" si="17"/>
        <v>0.48</v>
      </c>
      <c r="E146" s="240">
        <v>0.34</v>
      </c>
      <c r="F146" s="241">
        <v>0.27</v>
      </c>
      <c r="G146" s="201">
        <f t="shared" si="24"/>
        <v>0.30500000000000005</v>
      </c>
      <c r="H146" s="240">
        <v>0.32</v>
      </c>
      <c r="I146" s="241">
        <v>0.28000000000000003</v>
      </c>
      <c r="J146" s="202">
        <f t="shared" si="25"/>
        <v>0.30000000000000004</v>
      </c>
      <c r="K146" s="194"/>
      <c r="L146" s="240">
        <v>0.40600000000000003</v>
      </c>
      <c r="M146" s="241">
        <v>0.26400000000000001</v>
      </c>
      <c r="N146" s="201">
        <f t="shared" si="26"/>
        <v>0.33500000000000002</v>
      </c>
      <c r="O146" s="240">
        <v>0.73699999999999999</v>
      </c>
      <c r="P146" s="241">
        <v>0.46600000000000003</v>
      </c>
      <c r="Q146" s="201">
        <f t="shared" si="28"/>
        <v>0.60150000000000003</v>
      </c>
      <c r="R146" s="240">
        <v>0.79700000000000004</v>
      </c>
      <c r="S146" s="241">
        <v>0.59799999999999998</v>
      </c>
      <c r="T146" s="201">
        <f t="shared" si="27"/>
        <v>0.69750000000000001</v>
      </c>
      <c r="U146" s="240" t="s">
        <v>216</v>
      </c>
      <c r="V146" s="241" t="s">
        <v>216</v>
      </c>
      <c r="W146" s="201" t="str">
        <f t="shared" si="29"/>
        <v>OFF</v>
      </c>
    </row>
    <row r="147" spans="1:23" ht="15.75" x14ac:dyDescent="0.25">
      <c r="A147" s="31">
        <f>'M&amp;R Stations'!A137</f>
        <v>39096</v>
      </c>
      <c r="B147" s="240">
        <v>0.53</v>
      </c>
      <c r="C147" s="241">
        <v>0.5</v>
      </c>
      <c r="D147" s="201">
        <f t="shared" si="17"/>
        <v>0.51500000000000001</v>
      </c>
      <c r="E147" s="240">
        <v>0.38</v>
      </c>
      <c r="F147" s="241">
        <v>0.31</v>
      </c>
      <c r="G147" s="201">
        <f t="shared" si="24"/>
        <v>0.34499999999999997</v>
      </c>
      <c r="H147" s="240">
        <v>0.32</v>
      </c>
      <c r="I147" s="241">
        <v>0.25</v>
      </c>
      <c r="J147" s="202">
        <f t="shared" si="25"/>
        <v>0.28500000000000003</v>
      </c>
      <c r="K147" s="194"/>
      <c r="L147" s="240">
        <v>0.48699999999999999</v>
      </c>
      <c r="M147" s="241">
        <v>0.38600000000000001</v>
      </c>
      <c r="N147" s="201">
        <f t="shared" si="26"/>
        <v>0.4365</v>
      </c>
      <c r="O147" s="240">
        <v>0.77600000000000002</v>
      </c>
      <c r="P147" s="241">
        <v>0.621</v>
      </c>
      <c r="Q147" s="201">
        <f t="shared" si="28"/>
        <v>0.69850000000000001</v>
      </c>
      <c r="R147" s="240">
        <v>0.82199999999999995</v>
      </c>
      <c r="S147" s="241">
        <v>0.64700000000000002</v>
      </c>
      <c r="T147" s="201">
        <f t="shared" si="27"/>
        <v>0.73449999999999993</v>
      </c>
      <c r="U147" s="240" t="s">
        <v>216</v>
      </c>
      <c r="V147" s="241" t="s">
        <v>216</v>
      </c>
      <c r="W147" s="201" t="str">
        <f t="shared" si="29"/>
        <v>OFF</v>
      </c>
    </row>
    <row r="148" spans="1:23" ht="15.75" x14ac:dyDescent="0.25">
      <c r="A148" s="31">
        <f>'M&amp;R Stations'!A138</f>
        <v>39097</v>
      </c>
      <c r="B148" s="240">
        <v>0.5</v>
      </c>
      <c r="C148" s="241">
        <v>0.46</v>
      </c>
      <c r="D148" s="201">
        <f t="shared" si="17"/>
        <v>0.48</v>
      </c>
      <c r="E148" s="240">
        <v>0.31</v>
      </c>
      <c r="F148" s="241">
        <v>0.27</v>
      </c>
      <c r="G148" s="201">
        <f t="shared" si="24"/>
        <v>0.29000000000000004</v>
      </c>
      <c r="H148" s="240">
        <v>0.28000000000000003</v>
      </c>
      <c r="I148" s="241">
        <v>0.25</v>
      </c>
      <c r="J148" s="202">
        <f t="shared" si="25"/>
        <v>0.26500000000000001</v>
      </c>
      <c r="K148" s="194"/>
      <c r="L148" s="240">
        <v>0.48699999999999999</v>
      </c>
      <c r="M148" s="241">
        <v>0.40600000000000003</v>
      </c>
      <c r="N148" s="201">
        <f t="shared" si="26"/>
        <v>0.44650000000000001</v>
      </c>
      <c r="O148" s="240">
        <v>0.77600000000000002</v>
      </c>
      <c r="P148" s="241">
        <v>0.54300000000000004</v>
      </c>
      <c r="Q148" s="201">
        <f t="shared" si="28"/>
        <v>0.65949999999999998</v>
      </c>
      <c r="R148" s="240">
        <v>0.996</v>
      </c>
      <c r="S148" s="241">
        <v>0.59799999999999998</v>
      </c>
      <c r="T148" s="201">
        <f t="shared" si="27"/>
        <v>0.79699999999999993</v>
      </c>
      <c r="U148" s="240" t="s">
        <v>216</v>
      </c>
      <c r="V148" s="241" t="s">
        <v>216</v>
      </c>
      <c r="W148" s="201" t="str">
        <f t="shared" si="29"/>
        <v>OFF</v>
      </c>
    </row>
    <row r="149" spans="1:23" ht="15.75" x14ac:dyDescent="0.25">
      <c r="A149" s="31">
        <f>'M&amp;R Stations'!A139</f>
        <v>39098</v>
      </c>
      <c r="B149" s="240">
        <v>0.6</v>
      </c>
      <c r="C149" s="241">
        <v>0.53</v>
      </c>
      <c r="D149" s="201">
        <f t="shared" si="17"/>
        <v>0.56499999999999995</v>
      </c>
      <c r="E149" s="240">
        <v>0.32</v>
      </c>
      <c r="F149" s="241">
        <v>0.27</v>
      </c>
      <c r="G149" s="201">
        <f t="shared" si="24"/>
        <v>0.29500000000000004</v>
      </c>
      <c r="H149" s="240">
        <v>0.32</v>
      </c>
      <c r="I149" s="241">
        <v>0.28000000000000003</v>
      </c>
      <c r="J149" s="202">
        <f t="shared" si="25"/>
        <v>0.30000000000000004</v>
      </c>
      <c r="K149" s="194"/>
      <c r="L149" s="240">
        <v>0.52800000000000002</v>
      </c>
      <c r="M149" s="241">
        <v>0.42599999999999999</v>
      </c>
      <c r="N149" s="201">
        <f t="shared" si="26"/>
        <v>0.47699999999999998</v>
      </c>
      <c r="O149" s="240">
        <v>0.77600000000000002</v>
      </c>
      <c r="P149" s="241">
        <v>0.621</v>
      </c>
      <c r="Q149" s="201">
        <f t="shared" si="28"/>
        <v>0.69850000000000001</v>
      </c>
      <c r="R149" s="240">
        <v>1.02</v>
      </c>
      <c r="S149" s="241">
        <v>0.54700000000000004</v>
      </c>
      <c r="T149" s="201">
        <f t="shared" si="27"/>
        <v>0.78350000000000009</v>
      </c>
      <c r="U149" s="240" t="s">
        <v>216</v>
      </c>
      <c r="V149" s="241" t="s">
        <v>216</v>
      </c>
      <c r="W149" s="201" t="str">
        <f t="shared" si="29"/>
        <v>OFF</v>
      </c>
    </row>
    <row r="150" spans="1:23" ht="15.75" x14ac:dyDescent="0.25">
      <c r="A150" s="31">
        <f>'M&amp;R Stations'!A140</f>
        <v>39099</v>
      </c>
      <c r="B150" s="240">
        <v>0.46</v>
      </c>
      <c r="C150" s="241">
        <v>0.37</v>
      </c>
      <c r="D150" s="201">
        <f t="shared" si="17"/>
        <v>0.41500000000000004</v>
      </c>
      <c r="E150" s="240">
        <v>0.43</v>
      </c>
      <c r="F150" s="241">
        <v>0.2</v>
      </c>
      <c r="G150" s="201">
        <f t="shared" si="24"/>
        <v>0.315</v>
      </c>
      <c r="H150" s="240">
        <v>0.28999999999999998</v>
      </c>
      <c r="I150" s="241">
        <v>0.15</v>
      </c>
      <c r="J150" s="202">
        <f t="shared" si="25"/>
        <v>0.21999999999999997</v>
      </c>
      <c r="K150" s="194"/>
      <c r="L150" s="240">
        <v>0.65</v>
      </c>
      <c r="M150" s="241">
        <v>0.44700000000000001</v>
      </c>
      <c r="N150" s="201">
        <f t="shared" si="26"/>
        <v>0.54849999999999999</v>
      </c>
      <c r="O150" s="240">
        <v>0.85399999999999998</v>
      </c>
      <c r="P150" s="241">
        <v>0.621</v>
      </c>
      <c r="Q150" s="201">
        <f t="shared" si="28"/>
        <v>0.73750000000000004</v>
      </c>
      <c r="R150" s="240">
        <v>1.0900000000000001</v>
      </c>
      <c r="S150" s="241">
        <v>0.79700000000000004</v>
      </c>
      <c r="T150" s="201">
        <f t="shared" si="27"/>
        <v>0.94350000000000001</v>
      </c>
      <c r="U150" s="240" t="s">
        <v>216</v>
      </c>
      <c r="V150" s="241" t="s">
        <v>216</v>
      </c>
      <c r="W150" s="201" t="str">
        <f t="shared" si="29"/>
        <v>OFF</v>
      </c>
    </row>
    <row r="151" spans="1:23" ht="15.75" x14ac:dyDescent="0.25">
      <c r="A151" s="31">
        <f>'M&amp;R Stations'!A141</f>
        <v>39100</v>
      </c>
      <c r="B151" s="240">
        <v>0.46</v>
      </c>
      <c r="C151" s="241">
        <v>0.32</v>
      </c>
      <c r="D151" s="201">
        <f t="shared" si="17"/>
        <v>0.39</v>
      </c>
      <c r="E151" s="240">
        <v>0.43</v>
      </c>
      <c r="F151" s="241">
        <v>0.17</v>
      </c>
      <c r="G151" s="201">
        <f t="shared" si="24"/>
        <v>0.3</v>
      </c>
      <c r="H151" s="240">
        <v>0.35</v>
      </c>
      <c r="I151" s="241">
        <v>0.28999999999999998</v>
      </c>
      <c r="J151" s="202">
        <f t="shared" si="25"/>
        <v>0.31999999999999995</v>
      </c>
      <c r="K151" s="194"/>
      <c r="L151" s="240">
        <v>0.53</v>
      </c>
      <c r="M151" s="241">
        <v>0.36699999999999999</v>
      </c>
      <c r="N151" s="201">
        <f t="shared" si="26"/>
        <v>0.44850000000000001</v>
      </c>
      <c r="O151" s="240">
        <v>0.621</v>
      </c>
      <c r="P151" s="241">
        <v>0.35699999999999998</v>
      </c>
      <c r="Q151" s="201">
        <f t="shared" si="28"/>
        <v>0.48899999999999999</v>
      </c>
      <c r="R151" s="240">
        <v>0.92100000000000004</v>
      </c>
      <c r="S151" s="241">
        <v>0.54</v>
      </c>
      <c r="T151" s="201">
        <f t="shared" si="27"/>
        <v>0.73050000000000004</v>
      </c>
      <c r="U151" s="240" t="s">
        <v>216</v>
      </c>
      <c r="V151" s="241" t="s">
        <v>216</v>
      </c>
      <c r="W151" s="201" t="str">
        <f t="shared" si="29"/>
        <v>OFF</v>
      </c>
    </row>
    <row r="152" spans="1:23" ht="15.75" x14ac:dyDescent="0.25">
      <c r="A152" s="31">
        <f>'M&amp;R Stations'!A142</f>
        <v>39101</v>
      </c>
      <c r="B152" s="240">
        <v>0.32</v>
      </c>
      <c r="C152" s="241">
        <v>0.28000000000000003</v>
      </c>
      <c r="D152" s="201">
        <f t="shared" si="17"/>
        <v>0.30000000000000004</v>
      </c>
      <c r="E152" s="240">
        <v>0.34</v>
      </c>
      <c r="F152" s="241">
        <v>0.2</v>
      </c>
      <c r="G152" s="201">
        <f t="shared" si="24"/>
        <v>0.27</v>
      </c>
      <c r="H152" s="240">
        <v>0.25</v>
      </c>
      <c r="I152" s="241">
        <v>0.12</v>
      </c>
      <c r="J152" s="202">
        <f t="shared" si="25"/>
        <v>0.185</v>
      </c>
      <c r="K152" s="194"/>
      <c r="L152" s="240">
        <v>0.53</v>
      </c>
      <c r="M152" s="241">
        <v>0.42799999999999999</v>
      </c>
      <c r="N152" s="201">
        <f t="shared" si="26"/>
        <v>0.47899999999999998</v>
      </c>
      <c r="O152" s="240">
        <v>0.434</v>
      </c>
      <c r="P152" s="241">
        <v>0.35699999999999998</v>
      </c>
      <c r="Q152" s="201">
        <f t="shared" si="28"/>
        <v>0.39549999999999996</v>
      </c>
      <c r="R152" s="240">
        <v>0.67600000000000005</v>
      </c>
      <c r="S152" s="241">
        <v>0.50700000000000001</v>
      </c>
      <c r="T152" s="201">
        <f t="shared" si="27"/>
        <v>0.59150000000000003</v>
      </c>
      <c r="U152" s="240" t="s">
        <v>216</v>
      </c>
      <c r="V152" s="241" t="s">
        <v>216</v>
      </c>
      <c r="W152" s="201" t="str">
        <f t="shared" si="29"/>
        <v>OFF</v>
      </c>
    </row>
    <row r="153" spans="1:23" ht="15.75" x14ac:dyDescent="0.25">
      <c r="A153" s="31">
        <f>'M&amp;R Stations'!A143</f>
        <v>39102</v>
      </c>
      <c r="B153" s="240">
        <v>0.4</v>
      </c>
      <c r="C153" s="241">
        <v>0.19</v>
      </c>
      <c r="D153" s="201">
        <f t="shared" si="17"/>
        <v>0.29500000000000004</v>
      </c>
      <c r="E153" s="240">
        <v>0.34</v>
      </c>
      <c r="F153" s="241">
        <v>0.17</v>
      </c>
      <c r="G153" s="201">
        <f t="shared" si="24"/>
        <v>0.255</v>
      </c>
      <c r="H153" s="240">
        <v>0.2</v>
      </c>
      <c r="I153" s="241">
        <v>0.15</v>
      </c>
      <c r="J153" s="202">
        <f t="shared" si="25"/>
        <v>0.17499999999999999</v>
      </c>
      <c r="K153" s="194"/>
      <c r="L153" s="240">
        <v>0.57099999999999995</v>
      </c>
      <c r="M153" s="241">
        <v>0.42799999999999999</v>
      </c>
      <c r="N153" s="201">
        <f t="shared" si="26"/>
        <v>0.49949999999999994</v>
      </c>
      <c r="O153" s="240">
        <v>0.40799999999999997</v>
      </c>
      <c r="P153" s="241">
        <v>0.35699999999999998</v>
      </c>
      <c r="Q153" s="201">
        <f t="shared" si="28"/>
        <v>0.38249999999999995</v>
      </c>
      <c r="R153" s="240">
        <v>0.81100000000000005</v>
      </c>
      <c r="S153" s="241">
        <v>0.59199999999999997</v>
      </c>
      <c r="T153" s="201">
        <f t="shared" si="27"/>
        <v>0.70150000000000001</v>
      </c>
      <c r="U153" s="240">
        <v>0.44900000000000001</v>
      </c>
      <c r="V153" s="241">
        <v>0.44900000000000001</v>
      </c>
      <c r="W153" s="201">
        <f t="shared" si="29"/>
        <v>0.44900000000000001</v>
      </c>
    </row>
    <row r="154" spans="1:23" ht="15.75" x14ac:dyDescent="0.25">
      <c r="A154" s="31">
        <f>'M&amp;R Stations'!A144</f>
        <v>39103</v>
      </c>
      <c r="B154" s="240">
        <v>0.37</v>
      </c>
      <c r="C154" s="241">
        <v>0.28000000000000003</v>
      </c>
      <c r="D154" s="201">
        <f t="shared" si="17"/>
        <v>0.32500000000000001</v>
      </c>
      <c r="E154" s="240">
        <v>0.28999999999999998</v>
      </c>
      <c r="F154" s="241">
        <v>0.15</v>
      </c>
      <c r="G154" s="201">
        <f t="shared" si="24"/>
        <v>0.21999999999999997</v>
      </c>
      <c r="H154" s="240">
        <v>0.2</v>
      </c>
      <c r="I154" s="241">
        <v>0.12</v>
      </c>
      <c r="J154" s="202">
        <f t="shared" si="25"/>
        <v>0.16</v>
      </c>
      <c r="K154" s="194"/>
      <c r="L154" s="240">
        <v>0.53</v>
      </c>
      <c r="M154" s="241">
        <v>0.44900000000000001</v>
      </c>
      <c r="N154" s="201">
        <f t="shared" si="26"/>
        <v>0.48950000000000005</v>
      </c>
      <c r="O154" s="240">
        <v>0.40799999999999997</v>
      </c>
      <c r="P154" s="241">
        <v>0.33200000000000002</v>
      </c>
      <c r="Q154" s="201">
        <f t="shared" si="28"/>
        <v>0.37</v>
      </c>
      <c r="R154" s="240">
        <v>0.77700000000000002</v>
      </c>
      <c r="S154" s="241">
        <v>0.50700000000000001</v>
      </c>
      <c r="T154" s="201">
        <f t="shared" si="27"/>
        <v>0.64200000000000002</v>
      </c>
      <c r="U154" s="240">
        <v>0.60399999999999998</v>
      </c>
      <c r="V154" s="241">
        <v>0.44900000000000001</v>
      </c>
      <c r="W154" s="201">
        <f t="shared" si="29"/>
        <v>0.52649999999999997</v>
      </c>
    </row>
    <row r="155" spans="1:23" ht="15.75" x14ac:dyDescent="0.25">
      <c r="A155" s="31">
        <f>'M&amp;R Stations'!A145</f>
        <v>39104</v>
      </c>
      <c r="B155" s="240">
        <v>0.3</v>
      </c>
      <c r="C155" s="241">
        <v>0.25</v>
      </c>
      <c r="D155" s="201">
        <f t="shared" si="17"/>
        <v>0.27500000000000002</v>
      </c>
      <c r="E155" s="240">
        <v>0.15</v>
      </c>
      <c r="F155" s="241">
        <v>0.1</v>
      </c>
      <c r="G155" s="201">
        <f t="shared" si="24"/>
        <v>0.125</v>
      </c>
      <c r="H155" s="240">
        <v>0.12</v>
      </c>
      <c r="I155" s="241">
        <v>0.1</v>
      </c>
      <c r="J155" s="202">
        <f t="shared" si="25"/>
        <v>0.11</v>
      </c>
      <c r="K155" s="194"/>
      <c r="L155" s="240">
        <v>0.53</v>
      </c>
      <c r="M155" s="241">
        <v>0.42799999999999999</v>
      </c>
      <c r="N155" s="201">
        <f t="shared" si="26"/>
        <v>0.47899999999999998</v>
      </c>
      <c r="O155" s="240">
        <v>0.48499999999999999</v>
      </c>
      <c r="P155" s="241">
        <v>0.38300000000000001</v>
      </c>
      <c r="Q155" s="201">
        <f t="shared" si="28"/>
        <v>0.434</v>
      </c>
      <c r="R155" s="240">
        <v>0.81100000000000005</v>
      </c>
      <c r="S155" s="241">
        <v>0.50700000000000001</v>
      </c>
      <c r="T155" s="201">
        <f t="shared" si="27"/>
        <v>0.65900000000000003</v>
      </c>
      <c r="U155" s="240" t="s">
        <v>216</v>
      </c>
      <c r="V155" s="241" t="s">
        <v>216</v>
      </c>
      <c r="W155" s="201" t="str">
        <f t="shared" si="29"/>
        <v>OFF</v>
      </c>
    </row>
    <row r="156" spans="1:23" ht="15.75" x14ac:dyDescent="0.25">
      <c r="A156" s="31">
        <f>'M&amp;R Stations'!A146</f>
        <v>39105</v>
      </c>
      <c r="B156" s="240">
        <v>0.44</v>
      </c>
      <c r="C156" s="241">
        <v>0.37</v>
      </c>
      <c r="D156" s="201">
        <f t="shared" si="17"/>
        <v>0.40500000000000003</v>
      </c>
      <c r="E156" s="240">
        <v>0.4</v>
      </c>
      <c r="F156" s="241">
        <v>0.37</v>
      </c>
      <c r="G156" s="201">
        <f t="shared" si="24"/>
        <v>0.38500000000000001</v>
      </c>
      <c r="H156" s="240">
        <v>0.37</v>
      </c>
      <c r="I156" s="241">
        <v>0.32</v>
      </c>
      <c r="J156" s="202">
        <f t="shared" si="25"/>
        <v>0.34499999999999997</v>
      </c>
      <c r="K156" s="194"/>
      <c r="L156" s="240">
        <v>0.46899999999999997</v>
      </c>
      <c r="M156" s="241">
        <v>0.36699999999999999</v>
      </c>
      <c r="N156" s="201">
        <f t="shared" si="26"/>
        <v>0.41799999999999998</v>
      </c>
      <c r="O156" s="240">
        <v>0.48499999999999999</v>
      </c>
      <c r="P156" s="241">
        <v>0.35699999999999998</v>
      </c>
      <c r="Q156" s="201">
        <f t="shared" si="28"/>
        <v>0.42099999999999999</v>
      </c>
      <c r="R156" s="240">
        <v>0.69299999999999995</v>
      </c>
      <c r="S156" s="241">
        <v>0.50700000000000001</v>
      </c>
      <c r="T156" s="201">
        <f t="shared" si="27"/>
        <v>0.6</v>
      </c>
      <c r="U156" s="240" t="s">
        <v>216</v>
      </c>
      <c r="V156" s="241" t="s">
        <v>216</v>
      </c>
      <c r="W156" s="201" t="str">
        <f t="shared" si="29"/>
        <v>OFF</v>
      </c>
    </row>
    <row r="157" spans="1:23" ht="15.75" x14ac:dyDescent="0.25">
      <c r="A157" s="31">
        <f>'M&amp;R Stations'!A147</f>
        <v>39106</v>
      </c>
      <c r="B157" s="240">
        <v>0.37</v>
      </c>
      <c r="C157" s="241">
        <v>0.34</v>
      </c>
      <c r="D157" s="201">
        <f t="shared" si="17"/>
        <v>0.35499999999999998</v>
      </c>
      <c r="E157" s="240">
        <v>0.34</v>
      </c>
      <c r="F157" s="241">
        <v>0.3</v>
      </c>
      <c r="G157" s="201">
        <f t="shared" si="24"/>
        <v>0.32</v>
      </c>
      <c r="H157" s="240">
        <v>0.34</v>
      </c>
      <c r="I157" s="241">
        <v>0.28999999999999998</v>
      </c>
      <c r="J157" s="202">
        <f t="shared" si="25"/>
        <v>0.315</v>
      </c>
      <c r="K157" s="194"/>
      <c r="L157" s="240">
        <v>0.49</v>
      </c>
      <c r="M157" s="241">
        <v>0.42899999999999999</v>
      </c>
      <c r="N157" s="201">
        <f t="shared" si="26"/>
        <v>0.45950000000000002</v>
      </c>
      <c r="O157" s="240">
        <v>0.48499999999999999</v>
      </c>
      <c r="P157" s="241">
        <v>0.35699999999999998</v>
      </c>
      <c r="Q157" s="201">
        <f t="shared" si="28"/>
        <v>0.42099999999999999</v>
      </c>
      <c r="R157" s="240">
        <v>0.49</v>
      </c>
      <c r="S157" s="241">
        <v>0.38900000000000001</v>
      </c>
      <c r="T157" s="201">
        <f t="shared" si="27"/>
        <v>0.4395</v>
      </c>
      <c r="U157" s="240" t="s">
        <v>216</v>
      </c>
      <c r="V157" s="241" t="s">
        <v>216</v>
      </c>
      <c r="W157" s="201" t="str">
        <f t="shared" si="29"/>
        <v>OFF</v>
      </c>
    </row>
    <row r="158" spans="1:23" ht="15.75" x14ac:dyDescent="0.25">
      <c r="A158" s="31">
        <f>'M&amp;R Stations'!A148</f>
        <v>39107</v>
      </c>
      <c r="B158" s="240">
        <v>0.4</v>
      </c>
      <c r="C158" s="241">
        <v>0.34</v>
      </c>
      <c r="D158" s="201">
        <f t="shared" si="17"/>
        <v>0.37</v>
      </c>
      <c r="E158" s="240">
        <v>0.32</v>
      </c>
      <c r="F158" s="241">
        <v>0.23</v>
      </c>
      <c r="G158" s="201">
        <f t="shared" si="24"/>
        <v>0.27500000000000002</v>
      </c>
      <c r="H158" s="240">
        <v>0.34</v>
      </c>
      <c r="I158" s="241">
        <v>0.27</v>
      </c>
      <c r="J158" s="202">
        <f t="shared" si="25"/>
        <v>0.30500000000000005</v>
      </c>
      <c r="K158" s="194"/>
      <c r="L158" s="240">
        <v>0.49</v>
      </c>
      <c r="M158" s="241">
        <v>0.28999999999999998</v>
      </c>
      <c r="N158" s="201">
        <f t="shared" si="26"/>
        <v>0.39</v>
      </c>
      <c r="O158" s="240">
        <v>0.51300000000000001</v>
      </c>
      <c r="P158" s="241">
        <v>0.34899999999999998</v>
      </c>
      <c r="Q158" s="201">
        <f t="shared" si="28"/>
        <v>0.43099999999999999</v>
      </c>
      <c r="R158" s="240">
        <v>0.49</v>
      </c>
      <c r="S158" s="241">
        <v>0.27500000000000002</v>
      </c>
      <c r="T158" s="201">
        <f t="shared" si="27"/>
        <v>0.38250000000000001</v>
      </c>
      <c r="U158" s="240" t="s">
        <v>216</v>
      </c>
      <c r="V158" s="241" t="s">
        <v>216</v>
      </c>
      <c r="W158" s="201" t="str">
        <f t="shared" si="29"/>
        <v>OFF</v>
      </c>
    </row>
    <row r="159" spans="1:23" ht="15.75" x14ac:dyDescent="0.25">
      <c r="A159" s="31">
        <f>'M&amp;R Stations'!A149</f>
        <v>39108</v>
      </c>
      <c r="B159" s="240">
        <v>0.4</v>
      </c>
      <c r="C159" s="241">
        <v>0.36</v>
      </c>
      <c r="D159" s="201">
        <f t="shared" si="17"/>
        <v>0.38</v>
      </c>
      <c r="E159" s="240">
        <v>0.34</v>
      </c>
      <c r="F159" s="241">
        <v>0.28000000000000003</v>
      </c>
      <c r="G159" s="201">
        <f t="shared" si="24"/>
        <v>0.31000000000000005</v>
      </c>
      <c r="H159" s="240">
        <v>0.32</v>
      </c>
      <c r="I159" s="241">
        <v>0.23</v>
      </c>
      <c r="J159" s="202">
        <f t="shared" si="25"/>
        <v>0.27500000000000002</v>
      </c>
      <c r="K159" s="194"/>
      <c r="L159" s="240">
        <v>0.37</v>
      </c>
      <c r="M159" s="241">
        <v>0.32</v>
      </c>
      <c r="N159" s="201">
        <f t="shared" si="26"/>
        <v>0.34499999999999997</v>
      </c>
      <c r="O159" s="240">
        <v>0.49</v>
      </c>
      <c r="P159" s="241">
        <v>0.42</v>
      </c>
      <c r="Q159" s="201">
        <f t="shared" si="28"/>
        <v>0.45499999999999996</v>
      </c>
      <c r="R159" s="240">
        <v>0.4</v>
      </c>
      <c r="S159" s="241">
        <v>0.24</v>
      </c>
      <c r="T159" s="201">
        <f t="shared" si="27"/>
        <v>0.32</v>
      </c>
      <c r="U159" s="240" t="s">
        <v>216</v>
      </c>
      <c r="V159" s="241" t="s">
        <v>216</v>
      </c>
      <c r="W159" s="201" t="str">
        <f t="shared" si="29"/>
        <v>OFF</v>
      </c>
    </row>
    <row r="160" spans="1:23" ht="15.75" x14ac:dyDescent="0.25">
      <c r="A160" s="31">
        <f>'M&amp;R Stations'!A150</f>
        <v>39109</v>
      </c>
      <c r="B160" s="240">
        <v>0.4</v>
      </c>
      <c r="C160" s="241">
        <v>0.38</v>
      </c>
      <c r="D160" s="201">
        <f t="shared" si="17"/>
        <v>0.39</v>
      </c>
      <c r="E160" s="240">
        <v>0.32</v>
      </c>
      <c r="F160" s="241">
        <v>0.3</v>
      </c>
      <c r="G160" s="201">
        <f t="shared" si="24"/>
        <v>0.31</v>
      </c>
      <c r="H160" s="240">
        <v>0.32</v>
      </c>
      <c r="I160" s="241">
        <v>0.32</v>
      </c>
      <c r="J160" s="202">
        <f t="shared" si="25"/>
        <v>0.32</v>
      </c>
      <c r="K160" s="194"/>
      <c r="L160" s="240">
        <v>0.36</v>
      </c>
      <c r="M160" s="241">
        <v>0.3</v>
      </c>
      <c r="N160" s="201">
        <f t="shared" si="26"/>
        <v>0.32999999999999996</v>
      </c>
      <c r="O160" s="240">
        <v>0.42</v>
      </c>
      <c r="P160" s="241">
        <v>0.3</v>
      </c>
      <c r="Q160" s="201">
        <f t="shared" si="28"/>
        <v>0.36</v>
      </c>
      <c r="R160" s="240">
        <v>0.44</v>
      </c>
      <c r="S160" s="241">
        <v>0.39</v>
      </c>
      <c r="T160" s="201">
        <f t="shared" si="27"/>
        <v>0.41500000000000004</v>
      </c>
      <c r="U160" s="240" t="s">
        <v>216</v>
      </c>
      <c r="V160" s="241" t="s">
        <v>216</v>
      </c>
      <c r="W160" s="201" t="str">
        <f t="shared" si="29"/>
        <v>OFF</v>
      </c>
    </row>
    <row r="161" spans="1:23" ht="15.75" x14ac:dyDescent="0.25">
      <c r="A161" s="31">
        <f>'M&amp;R Stations'!A151</f>
        <v>39110</v>
      </c>
      <c r="B161" s="240">
        <v>0.4</v>
      </c>
      <c r="C161" s="241">
        <v>0.36</v>
      </c>
      <c r="D161" s="201">
        <f t="shared" si="17"/>
        <v>0.38</v>
      </c>
      <c r="E161" s="240">
        <v>0.32</v>
      </c>
      <c r="F161" s="241">
        <v>0.25</v>
      </c>
      <c r="G161" s="201">
        <f t="shared" si="24"/>
        <v>0.28500000000000003</v>
      </c>
      <c r="H161" s="240">
        <v>0.32</v>
      </c>
      <c r="I161" s="241">
        <v>0.28999999999999998</v>
      </c>
      <c r="J161" s="202">
        <f t="shared" si="25"/>
        <v>0.30499999999999999</v>
      </c>
      <c r="K161" s="194"/>
      <c r="L161" s="240">
        <v>0.35599999999999998</v>
      </c>
      <c r="M161" s="241">
        <v>0.30399999999999999</v>
      </c>
      <c r="N161" s="201">
        <f t="shared" si="26"/>
        <v>0.32999999999999996</v>
      </c>
      <c r="O161" s="240">
        <v>0.443</v>
      </c>
      <c r="P161" s="241">
        <v>0.35</v>
      </c>
      <c r="Q161" s="201">
        <f t="shared" si="28"/>
        <v>0.39649999999999996</v>
      </c>
      <c r="R161" s="240">
        <v>0.45600000000000002</v>
      </c>
      <c r="S161" s="241">
        <v>0.34799999999999998</v>
      </c>
      <c r="T161" s="201">
        <f t="shared" si="27"/>
        <v>0.40200000000000002</v>
      </c>
      <c r="U161" s="240" t="s">
        <v>216</v>
      </c>
      <c r="V161" s="241" t="s">
        <v>216</v>
      </c>
      <c r="W161" s="201" t="str">
        <f t="shared" si="29"/>
        <v>OFF</v>
      </c>
    </row>
    <row r="162" spans="1:23" ht="15.75" x14ac:dyDescent="0.25">
      <c r="A162" s="31">
        <f>'M&amp;R Stations'!A152</f>
        <v>39111</v>
      </c>
      <c r="B162" s="240">
        <v>0.46</v>
      </c>
      <c r="C162" s="241">
        <v>0.36</v>
      </c>
      <c r="D162" s="201">
        <f t="shared" si="17"/>
        <v>0.41000000000000003</v>
      </c>
      <c r="E162" s="240">
        <v>0.34</v>
      </c>
      <c r="F162" s="241">
        <v>0.3</v>
      </c>
      <c r="G162" s="201">
        <f t="shared" si="24"/>
        <v>0.32</v>
      </c>
      <c r="H162" s="240">
        <v>0.34</v>
      </c>
      <c r="I162" s="241">
        <v>0.32</v>
      </c>
      <c r="J162" s="202">
        <f t="shared" si="25"/>
        <v>0.33</v>
      </c>
      <c r="K162" s="194"/>
      <c r="L162" s="240">
        <v>0.37</v>
      </c>
      <c r="M162" s="241">
        <v>0.30299999999999999</v>
      </c>
      <c r="N162" s="201">
        <f t="shared" si="26"/>
        <v>0.33650000000000002</v>
      </c>
      <c r="O162" s="240">
        <v>0.55900000000000005</v>
      </c>
      <c r="P162" s="241">
        <v>0.34899999999999998</v>
      </c>
      <c r="Q162" s="201">
        <f t="shared" si="28"/>
        <v>0.45400000000000001</v>
      </c>
      <c r="R162" s="240">
        <v>0.48199999999999998</v>
      </c>
      <c r="S162" s="241">
        <v>0.40200000000000002</v>
      </c>
      <c r="T162" s="201">
        <f t="shared" si="27"/>
        <v>0.442</v>
      </c>
      <c r="U162" s="240" t="s">
        <v>216</v>
      </c>
      <c r="V162" s="241" t="s">
        <v>216</v>
      </c>
      <c r="W162" s="201" t="str">
        <f t="shared" si="29"/>
        <v>OFF</v>
      </c>
    </row>
    <row r="163" spans="1:23" ht="15.75" x14ac:dyDescent="0.25">
      <c r="A163" s="31">
        <f>'M&amp;R Stations'!A153</f>
        <v>39112</v>
      </c>
      <c r="B163" s="240">
        <v>0.38</v>
      </c>
      <c r="C163" s="241">
        <v>0.36</v>
      </c>
      <c r="D163" s="201">
        <f t="shared" si="17"/>
        <v>0.37</v>
      </c>
      <c r="E163" s="240">
        <v>0.32</v>
      </c>
      <c r="F163" s="241">
        <v>0.3</v>
      </c>
      <c r="G163" s="201">
        <f t="shared" si="24"/>
        <v>0.31</v>
      </c>
      <c r="H163" s="240">
        <v>0.38</v>
      </c>
      <c r="I163" s="241">
        <v>0.28999999999999998</v>
      </c>
      <c r="J163" s="202">
        <f t="shared" si="25"/>
        <v>0.33499999999999996</v>
      </c>
      <c r="K163" s="194"/>
      <c r="L163" s="240">
        <v>0.34300000000000003</v>
      </c>
      <c r="M163" s="241">
        <v>0.30299999999999999</v>
      </c>
      <c r="N163" s="201">
        <f t="shared" si="26"/>
        <v>0.32300000000000001</v>
      </c>
      <c r="O163" s="240">
        <v>0.55900000000000005</v>
      </c>
      <c r="P163" s="241">
        <v>0.34899999999999998</v>
      </c>
      <c r="Q163" s="201">
        <f t="shared" si="28"/>
        <v>0.45400000000000001</v>
      </c>
      <c r="R163" s="240">
        <v>0.48199999999999998</v>
      </c>
      <c r="S163" s="241">
        <v>0.38800000000000001</v>
      </c>
      <c r="T163" s="201">
        <f t="shared" si="27"/>
        <v>0.435</v>
      </c>
      <c r="U163" s="240" t="s">
        <v>216</v>
      </c>
      <c r="V163" s="241" t="s">
        <v>216</v>
      </c>
      <c r="W163" s="201" t="str">
        <f t="shared" si="29"/>
        <v>OFF</v>
      </c>
    </row>
    <row r="164" spans="1:23" ht="15.75" x14ac:dyDescent="0.25">
      <c r="A164" s="31">
        <f>'M&amp;R Stations'!A154</f>
        <v>39113</v>
      </c>
      <c r="B164" s="240">
        <v>0.42</v>
      </c>
      <c r="C164" s="241">
        <v>0.34</v>
      </c>
      <c r="D164" s="201">
        <f t="shared" si="17"/>
        <v>0.38</v>
      </c>
      <c r="E164" s="240">
        <v>0.35</v>
      </c>
      <c r="F164" s="241">
        <v>0.28000000000000003</v>
      </c>
      <c r="G164" s="201">
        <f t="shared" si="24"/>
        <v>0.315</v>
      </c>
      <c r="H164" s="240">
        <v>0.4</v>
      </c>
      <c r="I164" s="241">
        <v>0.34</v>
      </c>
      <c r="J164" s="202">
        <f t="shared" si="25"/>
        <v>0.37</v>
      </c>
      <c r="K164" s="194"/>
      <c r="L164" s="240">
        <v>0.48199999999999998</v>
      </c>
      <c r="M164" s="241">
        <v>0.30299999999999999</v>
      </c>
      <c r="N164" s="201">
        <f t="shared" si="26"/>
        <v>0.39249999999999996</v>
      </c>
      <c r="O164" s="240">
        <v>0.372</v>
      </c>
      <c r="P164" s="241">
        <v>0.30199999999999999</v>
      </c>
      <c r="Q164" s="201">
        <f t="shared" si="28"/>
        <v>0.33699999999999997</v>
      </c>
      <c r="R164" s="240">
        <v>0.50900000000000001</v>
      </c>
      <c r="S164" s="241">
        <v>0.40200000000000002</v>
      </c>
      <c r="T164" s="201">
        <f t="shared" si="27"/>
        <v>0.45550000000000002</v>
      </c>
      <c r="U164" s="240" t="s">
        <v>216</v>
      </c>
      <c r="V164" s="241" t="s">
        <v>216</v>
      </c>
      <c r="W164" s="201" t="str">
        <f t="shared" si="29"/>
        <v>OFF</v>
      </c>
    </row>
    <row r="165" spans="1:23" ht="15.75" x14ac:dyDescent="0.25">
      <c r="A165" s="96"/>
      <c r="B165" s="203"/>
      <c r="C165" s="204"/>
      <c r="D165" s="205"/>
      <c r="E165" s="203"/>
      <c r="F165" s="204"/>
      <c r="G165" s="205"/>
      <c r="H165" s="203"/>
      <c r="I165" s="204"/>
      <c r="J165" s="206"/>
      <c r="K165" s="207"/>
      <c r="L165" s="203"/>
      <c r="M165" s="204"/>
      <c r="N165" s="206"/>
      <c r="O165" s="203"/>
      <c r="P165" s="204"/>
      <c r="Q165" s="206"/>
      <c r="R165" s="203"/>
      <c r="S165" s="204"/>
      <c r="T165" s="206"/>
      <c r="U165" s="203"/>
      <c r="V165" s="204"/>
      <c r="W165" s="206"/>
    </row>
    <row r="166" spans="1:23" ht="15.75" x14ac:dyDescent="0.25">
      <c r="A166" s="31">
        <f>'M&amp;R Stations'!A155</f>
        <v>39114</v>
      </c>
      <c r="B166" s="240">
        <v>0.42</v>
      </c>
      <c r="C166" s="241">
        <v>0.4</v>
      </c>
      <c r="D166" s="201">
        <f t="shared" si="17"/>
        <v>0.41000000000000003</v>
      </c>
      <c r="E166" s="240">
        <v>0.35</v>
      </c>
      <c r="F166" s="241">
        <v>0.27</v>
      </c>
      <c r="G166" s="201">
        <f t="shared" ref="G166:G193" si="30">IF(AND(E166="",F166=""),"",IF(E166="off",F166,IF(F166="off",E166,AVERAGE(E166:F166))))</f>
        <v>0.31</v>
      </c>
      <c r="H166" s="240">
        <v>0.34</v>
      </c>
      <c r="I166" s="241">
        <v>0.34</v>
      </c>
      <c r="J166" s="202">
        <f t="shared" ref="J166:J193" si="31">IF(AND(H166="",I166=""),"",IF(H166="off",I166,IF(I166="off",H166,AVERAGE(H166:I166))))</f>
        <v>0.34</v>
      </c>
      <c r="K166" s="194"/>
      <c r="L166" s="240">
        <v>0.46500000000000002</v>
      </c>
      <c r="M166" s="241">
        <v>0.37</v>
      </c>
      <c r="N166" s="201">
        <f t="shared" ref="N166:N193" si="32">IF(AND(L166="",M166=""),"",IF(L166="off",M166,IF(M166="off",L166,AVERAGE(L166:M166))))</f>
        <v>0.41749999999999998</v>
      </c>
      <c r="O166" s="240">
        <v>0.45500000000000002</v>
      </c>
      <c r="P166" s="241">
        <v>0.30299999999999999</v>
      </c>
      <c r="Q166" s="201">
        <f t="shared" ref="Q166:Q193" si="33">IF(AND(O166="",P166=""),"",IF(O166="off",P166,IF(P166="off",O166,AVERAGE(O166:P166))))</f>
        <v>0.379</v>
      </c>
      <c r="R166" s="240">
        <v>0.53</v>
      </c>
      <c r="S166" s="241">
        <v>0.46800000000000003</v>
      </c>
      <c r="T166" s="201">
        <f t="shared" ref="T166:T193" si="34">IF(AND(R166="",S166=""),"",IF(R166="off",S166,IF(S166="off",R166,AVERAGE(R166:S166))))</f>
        <v>0.499</v>
      </c>
      <c r="U166" s="240" t="s">
        <v>216</v>
      </c>
      <c r="V166" s="241" t="s">
        <v>216</v>
      </c>
      <c r="W166" s="201" t="str">
        <f t="shared" ref="W166:W193" si="35">IF(AND(U166="",V166=""),"",IF(U166="off",V166,IF(V166="off",U166,AVERAGE(U166:V166))))</f>
        <v>OFF</v>
      </c>
    </row>
    <row r="167" spans="1:23" ht="15.75" x14ac:dyDescent="0.25">
      <c r="A167" s="31">
        <f>'M&amp;R Stations'!A156</f>
        <v>39115</v>
      </c>
      <c r="B167" s="240">
        <v>0.4</v>
      </c>
      <c r="C167" s="241">
        <v>0.36</v>
      </c>
      <c r="D167" s="201">
        <f t="shared" ref="D167:D193" si="36">IF(AND(B167="",C167=""),"",IF(B167="off",C167,IF(C167="off",B167,AVERAGE(B167:C167))))</f>
        <v>0.38</v>
      </c>
      <c r="E167" s="240">
        <v>0.32</v>
      </c>
      <c r="F167" s="241">
        <v>0.3</v>
      </c>
      <c r="G167" s="201">
        <f t="shared" si="30"/>
        <v>0.31</v>
      </c>
      <c r="H167" s="240">
        <v>0.37</v>
      </c>
      <c r="I167" s="241">
        <v>0.34</v>
      </c>
      <c r="J167" s="202">
        <f t="shared" si="31"/>
        <v>0.35499999999999998</v>
      </c>
      <c r="K167" s="194"/>
      <c r="L167" s="240">
        <v>0.44800000000000001</v>
      </c>
      <c r="M167" s="241">
        <v>0.39800000000000002</v>
      </c>
      <c r="N167" s="201">
        <f t="shared" si="32"/>
        <v>0.42300000000000004</v>
      </c>
      <c r="O167" s="240">
        <v>0.42299999999999999</v>
      </c>
      <c r="P167" s="241">
        <v>0.35799999999999998</v>
      </c>
      <c r="Q167" s="201">
        <f t="shared" si="33"/>
        <v>0.39049999999999996</v>
      </c>
      <c r="R167" s="240">
        <v>0.53</v>
      </c>
      <c r="S167" s="241">
        <v>0.45200000000000001</v>
      </c>
      <c r="T167" s="201">
        <f t="shared" si="34"/>
        <v>0.49099999999999999</v>
      </c>
      <c r="U167" s="240" t="s">
        <v>216</v>
      </c>
      <c r="V167" s="241" t="s">
        <v>216</v>
      </c>
      <c r="W167" s="201" t="str">
        <f t="shared" si="35"/>
        <v>OFF</v>
      </c>
    </row>
    <row r="168" spans="1:23" ht="15.75" x14ac:dyDescent="0.25">
      <c r="A168" s="31">
        <f>'M&amp;R Stations'!A157</f>
        <v>39116</v>
      </c>
      <c r="B168" s="240">
        <v>0.4</v>
      </c>
      <c r="C168" s="241">
        <v>0.38</v>
      </c>
      <c r="D168" s="201">
        <f t="shared" si="36"/>
        <v>0.39</v>
      </c>
      <c r="E168" s="240">
        <v>0.3</v>
      </c>
      <c r="F168" s="241">
        <v>0.3</v>
      </c>
      <c r="G168" s="201">
        <f t="shared" si="30"/>
        <v>0.3</v>
      </c>
      <c r="H168" s="240">
        <v>0.34</v>
      </c>
      <c r="I168" s="241">
        <v>0.34</v>
      </c>
      <c r="J168" s="202">
        <f t="shared" si="31"/>
        <v>0.34</v>
      </c>
      <c r="K168" s="194"/>
      <c r="L168" s="240">
        <v>0.44800000000000001</v>
      </c>
      <c r="M168" s="241">
        <v>0.39800000000000002</v>
      </c>
      <c r="N168" s="201">
        <f t="shared" si="32"/>
        <v>0.42300000000000004</v>
      </c>
      <c r="O168" s="240">
        <v>0.42299999999999999</v>
      </c>
      <c r="P168" s="241">
        <v>0.35699999999999998</v>
      </c>
      <c r="Q168" s="201">
        <f t="shared" si="33"/>
        <v>0.39</v>
      </c>
      <c r="R168" s="240">
        <v>0.56200000000000006</v>
      </c>
      <c r="S168" s="241">
        <v>0.46800000000000003</v>
      </c>
      <c r="T168" s="201">
        <f t="shared" si="34"/>
        <v>0.51500000000000001</v>
      </c>
      <c r="U168" s="240" t="s">
        <v>216</v>
      </c>
      <c r="V168" s="241" t="s">
        <v>216</v>
      </c>
      <c r="W168" s="201" t="str">
        <f t="shared" si="35"/>
        <v>OFF</v>
      </c>
    </row>
    <row r="169" spans="1:23" ht="15.75" x14ac:dyDescent="0.25">
      <c r="A169" s="31">
        <f>'M&amp;R Stations'!A158</f>
        <v>39117</v>
      </c>
      <c r="B169" s="240">
        <v>0.38</v>
      </c>
      <c r="C169" s="241">
        <v>0.38</v>
      </c>
      <c r="D169" s="201">
        <f t="shared" si="36"/>
        <v>0.38</v>
      </c>
      <c r="E169" s="240">
        <v>0.3</v>
      </c>
      <c r="F169" s="241">
        <v>0.27</v>
      </c>
      <c r="G169" s="201">
        <f t="shared" si="30"/>
        <v>0.28500000000000003</v>
      </c>
      <c r="H169" s="240">
        <v>0.34</v>
      </c>
      <c r="I169" s="241">
        <v>0.34</v>
      </c>
      <c r="J169" s="202">
        <f t="shared" si="31"/>
        <v>0.34</v>
      </c>
      <c r="K169" s="194"/>
      <c r="L169" s="240">
        <v>0.46500000000000002</v>
      </c>
      <c r="M169" s="241">
        <v>0.34899999999999998</v>
      </c>
      <c r="N169" s="201">
        <f t="shared" si="32"/>
        <v>0.40700000000000003</v>
      </c>
      <c r="O169" s="240">
        <v>0.45500000000000002</v>
      </c>
      <c r="P169" s="241">
        <v>0.35699999999999998</v>
      </c>
      <c r="Q169" s="201">
        <f t="shared" si="33"/>
        <v>0.40600000000000003</v>
      </c>
      <c r="R169" s="240">
        <v>0.54600000000000004</v>
      </c>
      <c r="S169" s="241">
        <v>0.312</v>
      </c>
      <c r="T169" s="201">
        <f t="shared" si="34"/>
        <v>0.42900000000000005</v>
      </c>
      <c r="U169" s="240">
        <v>0.46800000000000003</v>
      </c>
      <c r="V169" s="241">
        <v>0.39300000000000002</v>
      </c>
      <c r="W169" s="201">
        <f t="shared" si="35"/>
        <v>0.43049999999999999</v>
      </c>
    </row>
    <row r="170" spans="1:23" ht="15.75" x14ac:dyDescent="0.25">
      <c r="A170" s="31">
        <f>'M&amp;R Stations'!A159</f>
        <v>39118</v>
      </c>
      <c r="B170" s="240">
        <v>0.34</v>
      </c>
      <c r="C170" s="241">
        <v>0.34</v>
      </c>
      <c r="D170" s="201">
        <f t="shared" si="36"/>
        <v>0.34</v>
      </c>
      <c r="E170" s="240">
        <v>0.44</v>
      </c>
      <c r="F170" s="241">
        <v>0.3</v>
      </c>
      <c r="G170" s="201">
        <f t="shared" si="30"/>
        <v>0.37</v>
      </c>
      <c r="H170" s="240">
        <v>0.48</v>
      </c>
      <c r="I170" s="241">
        <v>0.37</v>
      </c>
      <c r="J170" s="202">
        <f t="shared" si="31"/>
        <v>0.42499999999999999</v>
      </c>
      <c r="K170" s="194"/>
      <c r="L170" s="240">
        <v>0.53100000000000003</v>
      </c>
      <c r="M170" s="241">
        <v>0.39800000000000002</v>
      </c>
      <c r="N170" s="201">
        <f t="shared" si="32"/>
        <v>0.46450000000000002</v>
      </c>
      <c r="O170" s="240">
        <v>0.65</v>
      </c>
      <c r="P170" s="241">
        <v>0.52</v>
      </c>
      <c r="Q170" s="201">
        <f t="shared" si="33"/>
        <v>0.58499999999999996</v>
      </c>
      <c r="R170" s="240">
        <v>0.624</v>
      </c>
      <c r="S170" s="241">
        <v>0.312</v>
      </c>
      <c r="T170" s="201">
        <f t="shared" si="34"/>
        <v>0.46799999999999997</v>
      </c>
      <c r="U170" s="240">
        <v>0.57399999999999995</v>
      </c>
      <c r="V170" s="241">
        <v>0.42299999999999999</v>
      </c>
      <c r="W170" s="201">
        <f t="shared" si="35"/>
        <v>0.49849999999999994</v>
      </c>
    </row>
    <row r="171" spans="1:23" ht="15.75" x14ac:dyDescent="0.25">
      <c r="A171" s="31">
        <f>'M&amp;R Stations'!A160</f>
        <v>39119</v>
      </c>
      <c r="B171" s="240">
        <v>0.36</v>
      </c>
      <c r="C171" s="241">
        <v>0.34</v>
      </c>
      <c r="D171" s="201">
        <f t="shared" si="36"/>
        <v>0.35</v>
      </c>
      <c r="E171" s="240">
        <v>0.44</v>
      </c>
      <c r="F171" s="241">
        <v>0.3</v>
      </c>
      <c r="G171" s="201">
        <f t="shared" si="30"/>
        <v>0.37</v>
      </c>
      <c r="H171" s="240">
        <v>0.48</v>
      </c>
      <c r="I171" s="241">
        <v>0.34</v>
      </c>
      <c r="J171" s="202">
        <f t="shared" si="31"/>
        <v>0.41000000000000003</v>
      </c>
      <c r="K171" s="194"/>
      <c r="L171" s="240">
        <v>0.53100000000000003</v>
      </c>
      <c r="M171" s="241">
        <v>0.34799999999999998</v>
      </c>
      <c r="N171" s="201">
        <f t="shared" si="32"/>
        <v>0.4395</v>
      </c>
      <c r="O171" s="240">
        <v>0.58499999999999996</v>
      </c>
      <c r="P171" s="241">
        <v>0.39</v>
      </c>
      <c r="Q171" s="201">
        <f t="shared" si="33"/>
        <v>0.48749999999999999</v>
      </c>
      <c r="R171" s="240">
        <v>0.54600000000000004</v>
      </c>
      <c r="S171" s="241">
        <v>0.312</v>
      </c>
      <c r="T171" s="201">
        <f t="shared" si="34"/>
        <v>0.42900000000000005</v>
      </c>
      <c r="U171" s="240">
        <v>0.54400000000000004</v>
      </c>
      <c r="V171" s="241">
        <v>0.378</v>
      </c>
      <c r="W171" s="201">
        <f t="shared" si="35"/>
        <v>0.46100000000000002</v>
      </c>
    </row>
    <row r="172" spans="1:23" ht="15.75" x14ac:dyDescent="0.25">
      <c r="A172" s="31">
        <f>'M&amp;R Stations'!A161</f>
        <v>39120</v>
      </c>
      <c r="B172" s="240">
        <v>0.46</v>
      </c>
      <c r="C172" s="241">
        <v>0.36</v>
      </c>
      <c r="D172" s="201">
        <f t="shared" si="36"/>
        <v>0.41000000000000003</v>
      </c>
      <c r="E172" s="240">
        <v>0.34</v>
      </c>
      <c r="F172" s="241">
        <v>0.28999999999999998</v>
      </c>
      <c r="G172" s="201">
        <f t="shared" si="30"/>
        <v>0.315</v>
      </c>
      <c r="H172" s="240">
        <v>0.41</v>
      </c>
      <c r="I172" s="241">
        <v>0.34</v>
      </c>
      <c r="J172" s="202">
        <f t="shared" si="31"/>
        <v>0.375</v>
      </c>
      <c r="K172" s="194"/>
      <c r="L172" s="240">
        <v>0.46500000000000002</v>
      </c>
      <c r="M172" s="241">
        <v>0.249</v>
      </c>
      <c r="N172" s="201">
        <f t="shared" si="32"/>
        <v>0.35699999999999998</v>
      </c>
      <c r="O172" s="240">
        <v>0.55300000000000005</v>
      </c>
      <c r="P172" s="241">
        <v>0.42299999999999999</v>
      </c>
      <c r="Q172" s="201">
        <f t="shared" si="33"/>
        <v>0.48799999999999999</v>
      </c>
      <c r="R172" s="240">
        <v>0.499</v>
      </c>
      <c r="S172" s="241">
        <v>0.312</v>
      </c>
      <c r="T172" s="201">
        <f t="shared" si="34"/>
        <v>0.40549999999999997</v>
      </c>
      <c r="U172" s="240">
        <v>0.498</v>
      </c>
      <c r="V172" s="241">
        <v>0.42299999999999999</v>
      </c>
      <c r="W172" s="201">
        <f t="shared" si="35"/>
        <v>0.46050000000000002</v>
      </c>
    </row>
    <row r="173" spans="1:23" ht="15.75" x14ac:dyDescent="0.25">
      <c r="A173" s="31">
        <f>'M&amp;R Stations'!A162</f>
        <v>39121</v>
      </c>
      <c r="B173" s="240">
        <v>0.43</v>
      </c>
      <c r="C173" s="241">
        <v>0.38</v>
      </c>
      <c r="D173" s="201">
        <f t="shared" si="36"/>
        <v>0.40500000000000003</v>
      </c>
      <c r="E173" s="240">
        <v>0.34</v>
      </c>
      <c r="F173" s="241">
        <v>0.28999999999999998</v>
      </c>
      <c r="G173" s="201">
        <f t="shared" si="30"/>
        <v>0.315</v>
      </c>
      <c r="H173" s="240">
        <v>0.41</v>
      </c>
      <c r="I173" s="241">
        <v>0.37</v>
      </c>
      <c r="J173" s="202">
        <f t="shared" si="31"/>
        <v>0.39</v>
      </c>
      <c r="K173" s="194"/>
      <c r="L173" s="240">
        <v>0.63800000000000001</v>
      </c>
      <c r="M173" s="241">
        <v>0.41499999999999998</v>
      </c>
      <c r="N173" s="201">
        <f t="shared" si="32"/>
        <v>0.52649999999999997</v>
      </c>
      <c r="O173" s="240">
        <v>0.45500000000000002</v>
      </c>
      <c r="P173" s="241">
        <v>0.38</v>
      </c>
      <c r="Q173" s="201">
        <f t="shared" si="33"/>
        <v>0.41749999999999998</v>
      </c>
      <c r="R173" s="240">
        <v>0.83699999999999997</v>
      </c>
      <c r="S173" s="241">
        <v>0.35899999999999999</v>
      </c>
      <c r="T173" s="201">
        <f t="shared" si="34"/>
        <v>0.59799999999999998</v>
      </c>
      <c r="U173" s="240">
        <v>0.46800000000000003</v>
      </c>
      <c r="V173" s="241">
        <v>0.39200000000000002</v>
      </c>
      <c r="W173" s="201">
        <f t="shared" si="35"/>
        <v>0.43000000000000005</v>
      </c>
    </row>
    <row r="174" spans="1:23" ht="15.75" x14ac:dyDescent="0.25">
      <c r="A174" s="31">
        <f>'M&amp;R Stations'!A163</f>
        <v>39122</v>
      </c>
      <c r="B174" s="240">
        <v>0.43</v>
      </c>
      <c r="C174" s="241">
        <v>0.41</v>
      </c>
      <c r="D174" s="201">
        <f t="shared" si="36"/>
        <v>0.42</v>
      </c>
      <c r="E174" s="240">
        <v>0.31</v>
      </c>
      <c r="F174" s="241">
        <v>0.31</v>
      </c>
      <c r="G174" s="201">
        <f t="shared" si="30"/>
        <v>0.31</v>
      </c>
      <c r="H174" s="240">
        <v>0.44</v>
      </c>
      <c r="I174" s="241">
        <v>0.41</v>
      </c>
      <c r="J174" s="202">
        <f t="shared" si="31"/>
        <v>0.42499999999999999</v>
      </c>
      <c r="K174" s="194"/>
      <c r="L174" s="240">
        <v>0.61599999999999999</v>
      </c>
      <c r="M174" s="241">
        <v>0.52400000000000002</v>
      </c>
      <c r="N174" s="201">
        <f t="shared" si="32"/>
        <v>0.57000000000000006</v>
      </c>
      <c r="O174" s="240">
        <v>0.44400000000000001</v>
      </c>
      <c r="P174" s="241">
        <v>0.41199999999999998</v>
      </c>
      <c r="Q174" s="201">
        <f t="shared" si="33"/>
        <v>0.42799999999999999</v>
      </c>
      <c r="R174" s="240">
        <v>0.91800000000000004</v>
      </c>
      <c r="S174" s="241">
        <v>0.81</v>
      </c>
      <c r="T174" s="201">
        <f t="shared" si="34"/>
        <v>0.8640000000000001</v>
      </c>
      <c r="U174" s="240">
        <v>0.45300000000000001</v>
      </c>
      <c r="V174" s="241">
        <v>0.42299999999999999</v>
      </c>
      <c r="W174" s="201">
        <f t="shared" si="35"/>
        <v>0.438</v>
      </c>
    </row>
    <row r="175" spans="1:23" ht="15.75" x14ac:dyDescent="0.25">
      <c r="A175" s="31">
        <f>'M&amp;R Stations'!A164</f>
        <v>39123</v>
      </c>
      <c r="B175" s="240">
        <v>0.43</v>
      </c>
      <c r="C175" s="241">
        <v>0.38</v>
      </c>
      <c r="D175" s="201">
        <f t="shared" si="36"/>
        <v>0.40500000000000003</v>
      </c>
      <c r="E175" s="240">
        <v>0.34</v>
      </c>
      <c r="F175" s="241">
        <v>0.26</v>
      </c>
      <c r="G175" s="201">
        <f t="shared" si="30"/>
        <v>0.30000000000000004</v>
      </c>
      <c r="H175" s="240">
        <v>0.44</v>
      </c>
      <c r="I175" s="241">
        <v>0.37</v>
      </c>
      <c r="J175" s="202">
        <f t="shared" si="31"/>
        <v>0.40500000000000003</v>
      </c>
      <c r="K175" s="194"/>
      <c r="L175" s="240">
        <v>0.63800000000000001</v>
      </c>
      <c r="M175" s="241">
        <v>0.56999999999999995</v>
      </c>
      <c r="N175" s="201">
        <f t="shared" si="32"/>
        <v>0.60399999999999998</v>
      </c>
      <c r="O175" s="240">
        <v>0.44400000000000001</v>
      </c>
      <c r="P175" s="241">
        <v>0.41199999999999998</v>
      </c>
      <c r="Q175" s="201">
        <f t="shared" si="33"/>
        <v>0.42799999999999999</v>
      </c>
      <c r="R175" s="240">
        <v>0.89100000000000001</v>
      </c>
      <c r="S175" s="241">
        <v>0.78300000000000003</v>
      </c>
      <c r="T175" s="201">
        <f t="shared" si="34"/>
        <v>0.83699999999999997</v>
      </c>
      <c r="U175" s="240">
        <v>0.46800000000000003</v>
      </c>
      <c r="V175" s="241">
        <v>0.42299999999999999</v>
      </c>
      <c r="W175" s="201">
        <f t="shared" si="35"/>
        <v>0.44550000000000001</v>
      </c>
    </row>
    <row r="176" spans="1:23" ht="15.75" x14ac:dyDescent="0.25">
      <c r="A176" s="31">
        <f>'M&amp;R Stations'!A165</f>
        <v>39124</v>
      </c>
      <c r="B176" s="240">
        <v>0.43</v>
      </c>
      <c r="C176" s="241">
        <v>0.38</v>
      </c>
      <c r="D176" s="201">
        <f t="shared" si="36"/>
        <v>0.40500000000000003</v>
      </c>
      <c r="E176" s="240">
        <v>0.31</v>
      </c>
      <c r="F176" s="241">
        <v>0.28999999999999998</v>
      </c>
      <c r="G176" s="201">
        <f t="shared" si="30"/>
        <v>0.3</v>
      </c>
      <c r="H176" s="240">
        <v>0.41</v>
      </c>
      <c r="I176" s="241">
        <v>0.37</v>
      </c>
      <c r="J176" s="202">
        <f t="shared" si="31"/>
        <v>0.39</v>
      </c>
      <c r="K176" s="194"/>
      <c r="L176" s="240">
        <v>0.63800000000000001</v>
      </c>
      <c r="M176" s="241">
        <v>0.502</v>
      </c>
      <c r="N176" s="201">
        <f t="shared" si="32"/>
        <v>0.57000000000000006</v>
      </c>
      <c r="O176" s="240">
        <v>0.44400000000000001</v>
      </c>
      <c r="P176" s="241">
        <v>0.41199999999999998</v>
      </c>
      <c r="Q176" s="201">
        <f t="shared" si="33"/>
        <v>0.42799999999999999</v>
      </c>
      <c r="R176" s="240">
        <v>0.89100000000000001</v>
      </c>
      <c r="S176" s="241">
        <v>0.78300000000000003</v>
      </c>
      <c r="T176" s="201">
        <f t="shared" si="34"/>
        <v>0.83699999999999997</v>
      </c>
      <c r="U176" s="240">
        <v>0.438</v>
      </c>
      <c r="V176" s="241">
        <v>0.438</v>
      </c>
      <c r="W176" s="201">
        <f t="shared" si="35"/>
        <v>0.438</v>
      </c>
    </row>
    <row r="177" spans="1:23" ht="15.75" x14ac:dyDescent="0.25">
      <c r="A177" s="31">
        <f>'M&amp;R Stations'!A166</f>
        <v>39125</v>
      </c>
      <c r="B177" s="240">
        <v>0.49</v>
      </c>
      <c r="C177" s="241">
        <v>0.38</v>
      </c>
      <c r="D177" s="201">
        <f t="shared" si="36"/>
        <v>0.435</v>
      </c>
      <c r="E177" s="240">
        <v>0.31</v>
      </c>
      <c r="F177" s="241">
        <v>0.28999999999999998</v>
      </c>
      <c r="G177" s="201">
        <f t="shared" si="30"/>
        <v>0.3</v>
      </c>
      <c r="H177" s="240">
        <v>0.41</v>
      </c>
      <c r="I177" s="241">
        <v>0.31</v>
      </c>
      <c r="J177" s="202">
        <f t="shared" si="31"/>
        <v>0.36</v>
      </c>
      <c r="K177" s="194"/>
      <c r="L177" s="240">
        <v>0.59299999999999997</v>
      </c>
      <c r="M177" s="241">
        <v>0.502</v>
      </c>
      <c r="N177" s="201">
        <f t="shared" si="32"/>
        <v>0.54749999999999999</v>
      </c>
      <c r="O177" s="240">
        <v>0.47599999999999998</v>
      </c>
      <c r="P177" s="241">
        <v>0.317</v>
      </c>
      <c r="Q177" s="201">
        <f t="shared" si="33"/>
        <v>0.39649999999999996</v>
      </c>
      <c r="R177" s="240">
        <v>0.83699999999999997</v>
      </c>
      <c r="S177" s="241">
        <v>0.78300000000000003</v>
      </c>
      <c r="T177" s="201">
        <f t="shared" si="34"/>
        <v>0.81</v>
      </c>
      <c r="U177" s="240" t="s">
        <v>216</v>
      </c>
      <c r="V177" s="241" t="s">
        <v>216</v>
      </c>
      <c r="W177" s="201" t="str">
        <f t="shared" si="35"/>
        <v>OFF</v>
      </c>
    </row>
    <row r="178" spans="1:23" ht="15.75" x14ac:dyDescent="0.25">
      <c r="A178" s="31">
        <f>'M&amp;R Stations'!A167</f>
        <v>39126</v>
      </c>
      <c r="B178" s="240">
        <v>0.54</v>
      </c>
      <c r="C178" s="241">
        <v>0.46</v>
      </c>
      <c r="D178" s="201">
        <f t="shared" si="36"/>
        <v>0.5</v>
      </c>
      <c r="E178" s="240">
        <v>0.33</v>
      </c>
      <c r="F178" s="241">
        <v>0.28999999999999998</v>
      </c>
      <c r="G178" s="201">
        <f t="shared" si="30"/>
        <v>0.31</v>
      </c>
      <c r="H178" s="240">
        <v>0.44</v>
      </c>
      <c r="I178" s="241">
        <v>0.41</v>
      </c>
      <c r="J178" s="202">
        <f t="shared" si="31"/>
        <v>0.42499999999999999</v>
      </c>
      <c r="K178" s="194"/>
      <c r="L178" s="240">
        <v>0.61599999999999999</v>
      </c>
      <c r="M178" s="241">
        <v>0.54700000000000004</v>
      </c>
      <c r="N178" s="201">
        <f t="shared" si="32"/>
        <v>0.58150000000000002</v>
      </c>
      <c r="O178" s="240">
        <v>0.44400000000000001</v>
      </c>
      <c r="P178" s="241">
        <v>0.317</v>
      </c>
      <c r="Q178" s="201">
        <f t="shared" si="33"/>
        <v>0.3805</v>
      </c>
      <c r="R178" s="240">
        <v>0.83699999999999997</v>
      </c>
      <c r="S178" s="241">
        <v>0.75600000000000001</v>
      </c>
      <c r="T178" s="201">
        <f t="shared" si="34"/>
        <v>0.79649999999999999</v>
      </c>
      <c r="U178" s="240" t="s">
        <v>216</v>
      </c>
      <c r="V178" s="241" t="s">
        <v>216</v>
      </c>
      <c r="W178" s="201" t="str">
        <f t="shared" si="35"/>
        <v>OFF</v>
      </c>
    </row>
    <row r="179" spans="1:23" ht="15.75" x14ac:dyDescent="0.25">
      <c r="A179" s="31">
        <f>'M&amp;R Stations'!A168</f>
        <v>39127</v>
      </c>
      <c r="B179" s="240">
        <v>0.49</v>
      </c>
      <c r="C179" s="241">
        <v>0.36</v>
      </c>
      <c r="D179" s="201">
        <f t="shared" si="36"/>
        <v>0.42499999999999999</v>
      </c>
      <c r="E179" s="240">
        <v>0.42</v>
      </c>
      <c r="F179" s="241">
        <v>0.28999999999999998</v>
      </c>
      <c r="G179" s="201">
        <f t="shared" si="30"/>
        <v>0.35499999999999998</v>
      </c>
      <c r="H179" s="240">
        <v>0.45</v>
      </c>
      <c r="I179" s="241">
        <v>0.32</v>
      </c>
      <c r="J179" s="202">
        <f t="shared" si="31"/>
        <v>0.38500000000000001</v>
      </c>
      <c r="K179" s="194"/>
      <c r="L179" s="240">
        <v>0.52400000000000002</v>
      </c>
      <c r="M179" s="241">
        <v>0.45600000000000002</v>
      </c>
      <c r="N179" s="201">
        <f t="shared" si="32"/>
        <v>0.49</v>
      </c>
      <c r="O179" s="240">
        <v>0.53900000000000003</v>
      </c>
      <c r="P179" s="241">
        <v>0.317</v>
      </c>
      <c r="Q179" s="201">
        <f t="shared" si="33"/>
        <v>0.42800000000000005</v>
      </c>
      <c r="R179" s="240">
        <v>0.78300000000000003</v>
      </c>
      <c r="S179" s="241">
        <v>0.378</v>
      </c>
      <c r="T179" s="201">
        <f t="shared" si="34"/>
        <v>0.58050000000000002</v>
      </c>
      <c r="U179" s="240">
        <v>0.48299999999999998</v>
      </c>
      <c r="V179" s="241">
        <v>0.27200000000000002</v>
      </c>
      <c r="W179" s="201">
        <f t="shared" si="35"/>
        <v>0.3775</v>
      </c>
    </row>
    <row r="180" spans="1:23" ht="15.75" x14ac:dyDescent="0.25">
      <c r="A180" s="31">
        <f>'M&amp;R Stations'!A169</f>
        <v>39128</v>
      </c>
      <c r="B180" s="240">
        <v>0.4</v>
      </c>
      <c r="C180" s="241">
        <v>0.36</v>
      </c>
      <c r="D180" s="201">
        <f t="shared" si="36"/>
        <v>0.38</v>
      </c>
      <c r="E180" s="240">
        <v>0.45</v>
      </c>
      <c r="F180" s="241">
        <v>0.33</v>
      </c>
      <c r="G180" s="201">
        <f t="shared" si="30"/>
        <v>0.39</v>
      </c>
      <c r="H180" s="240">
        <v>0.51</v>
      </c>
      <c r="I180" s="241">
        <v>0.38</v>
      </c>
      <c r="J180" s="202">
        <f t="shared" si="31"/>
        <v>0.44500000000000001</v>
      </c>
      <c r="K180" s="194"/>
      <c r="L180" s="240">
        <v>0.56999999999999995</v>
      </c>
      <c r="M180" s="241">
        <v>0.40600000000000003</v>
      </c>
      <c r="N180" s="201">
        <f t="shared" si="32"/>
        <v>0.48799999999999999</v>
      </c>
      <c r="O180" s="240">
        <v>0.66</v>
      </c>
      <c r="P180" s="241">
        <v>0.42</v>
      </c>
      <c r="Q180" s="201">
        <f t="shared" si="33"/>
        <v>0.54</v>
      </c>
      <c r="R180" s="240">
        <v>0.83699999999999997</v>
      </c>
      <c r="S180" s="241">
        <v>0.40500000000000003</v>
      </c>
      <c r="T180" s="201">
        <f t="shared" si="34"/>
        <v>0.621</v>
      </c>
      <c r="U180" s="240">
        <v>0.36199999999999999</v>
      </c>
      <c r="V180" s="241">
        <v>0.25700000000000001</v>
      </c>
      <c r="W180" s="201">
        <f t="shared" si="35"/>
        <v>0.3095</v>
      </c>
    </row>
    <row r="181" spans="1:23" ht="15.75" x14ac:dyDescent="0.25">
      <c r="A181" s="31">
        <f>'M&amp;R Stations'!A170</f>
        <v>39129</v>
      </c>
      <c r="B181" s="240">
        <v>0.38</v>
      </c>
      <c r="C181" s="241">
        <v>0.34</v>
      </c>
      <c r="D181" s="201">
        <f t="shared" si="36"/>
        <v>0.36</v>
      </c>
      <c r="E181" s="240">
        <v>0.51</v>
      </c>
      <c r="F181" s="241">
        <v>0.33</v>
      </c>
      <c r="G181" s="201">
        <f t="shared" si="30"/>
        <v>0.42000000000000004</v>
      </c>
      <c r="H181" s="240">
        <v>0.56999999999999995</v>
      </c>
      <c r="I181" s="241">
        <v>0.38</v>
      </c>
      <c r="J181" s="202">
        <f t="shared" si="31"/>
        <v>0.47499999999999998</v>
      </c>
      <c r="K181" s="194"/>
      <c r="L181" s="240">
        <v>0.54800000000000004</v>
      </c>
      <c r="M181" s="241">
        <v>0.42599999999999999</v>
      </c>
      <c r="N181" s="201">
        <f t="shared" si="32"/>
        <v>0.48699999999999999</v>
      </c>
      <c r="O181" s="240">
        <v>0.66</v>
      </c>
      <c r="P181" s="241">
        <v>0.42</v>
      </c>
      <c r="Q181" s="201">
        <f t="shared" si="33"/>
        <v>0.54</v>
      </c>
      <c r="R181" s="240">
        <v>0.51</v>
      </c>
      <c r="S181" s="241">
        <v>0.375</v>
      </c>
      <c r="T181" s="201">
        <f t="shared" si="34"/>
        <v>0.4425</v>
      </c>
      <c r="U181" s="240">
        <v>0.40799999999999997</v>
      </c>
      <c r="V181" s="241">
        <v>0.25700000000000001</v>
      </c>
      <c r="W181" s="201">
        <f t="shared" si="35"/>
        <v>0.33250000000000002</v>
      </c>
    </row>
    <row r="182" spans="1:23" ht="15.75" x14ac:dyDescent="0.25">
      <c r="A182" s="31">
        <f>'M&amp;R Stations'!A171</f>
        <v>39130</v>
      </c>
      <c r="B182" s="240">
        <v>0.36</v>
      </c>
      <c r="C182" s="241">
        <v>0.31</v>
      </c>
      <c r="D182" s="201">
        <f t="shared" si="36"/>
        <v>0.33499999999999996</v>
      </c>
      <c r="E182" s="240">
        <v>0.36</v>
      </c>
      <c r="F182" s="241">
        <v>0.33</v>
      </c>
      <c r="G182" s="201">
        <f t="shared" si="30"/>
        <v>0.34499999999999997</v>
      </c>
      <c r="H182" s="240">
        <v>0.42</v>
      </c>
      <c r="I182" s="241">
        <v>0.35</v>
      </c>
      <c r="J182" s="202">
        <f t="shared" si="31"/>
        <v>0.38500000000000001</v>
      </c>
      <c r="K182" s="194"/>
      <c r="L182" s="240">
        <v>0.48699999999999999</v>
      </c>
      <c r="M182" s="241">
        <v>0.40600000000000003</v>
      </c>
      <c r="N182" s="201">
        <f t="shared" si="32"/>
        <v>0.44650000000000001</v>
      </c>
      <c r="O182" s="240">
        <v>0.45</v>
      </c>
      <c r="P182" s="241">
        <v>0.39</v>
      </c>
      <c r="Q182" s="201">
        <f t="shared" si="33"/>
        <v>0.42000000000000004</v>
      </c>
      <c r="R182" s="240">
        <v>0.495</v>
      </c>
      <c r="S182" s="241">
        <v>0.40500000000000003</v>
      </c>
      <c r="T182" s="201">
        <f t="shared" si="34"/>
        <v>0.45</v>
      </c>
      <c r="U182" s="240">
        <v>0</v>
      </c>
      <c r="V182" s="241">
        <v>0</v>
      </c>
      <c r="W182" s="201">
        <f t="shared" si="35"/>
        <v>0</v>
      </c>
    </row>
    <row r="183" spans="1:23" ht="15.75" x14ac:dyDescent="0.25">
      <c r="A183" s="31">
        <f>'M&amp;R Stations'!A172</f>
        <v>39131</v>
      </c>
      <c r="B183" s="240">
        <v>0.42</v>
      </c>
      <c r="C183" s="241">
        <v>0.28999999999999998</v>
      </c>
      <c r="D183" s="201">
        <f t="shared" si="36"/>
        <v>0.35499999999999998</v>
      </c>
      <c r="E183" s="240">
        <v>0.42</v>
      </c>
      <c r="F183" s="241">
        <v>0.36</v>
      </c>
      <c r="G183" s="201">
        <f t="shared" si="30"/>
        <v>0.39</v>
      </c>
      <c r="H183" s="240">
        <v>0.45</v>
      </c>
      <c r="I183" s="241">
        <v>0.38</v>
      </c>
      <c r="J183" s="202">
        <f t="shared" si="31"/>
        <v>0.41500000000000004</v>
      </c>
      <c r="K183" s="194"/>
      <c r="L183" s="240">
        <v>0.48699999999999999</v>
      </c>
      <c r="M183" s="241">
        <v>0.40600000000000003</v>
      </c>
      <c r="N183" s="201">
        <f t="shared" si="32"/>
        <v>0.44650000000000001</v>
      </c>
      <c r="O183" s="240">
        <v>0.48</v>
      </c>
      <c r="P183" s="241">
        <v>0.36</v>
      </c>
      <c r="Q183" s="201">
        <f t="shared" si="33"/>
        <v>0.42</v>
      </c>
      <c r="R183" s="240">
        <v>0.52500000000000002</v>
      </c>
      <c r="S183" s="241">
        <v>0.45</v>
      </c>
      <c r="T183" s="201">
        <f t="shared" si="34"/>
        <v>0.48750000000000004</v>
      </c>
      <c r="U183" s="240">
        <v>0.378</v>
      </c>
      <c r="V183" s="241">
        <v>0.32200000000000001</v>
      </c>
      <c r="W183" s="201">
        <f t="shared" si="35"/>
        <v>0.35</v>
      </c>
    </row>
    <row r="184" spans="1:23" ht="15.75" x14ac:dyDescent="0.25">
      <c r="A184" s="31">
        <f>'M&amp;R Stations'!A173</f>
        <v>39132</v>
      </c>
      <c r="B184" s="240">
        <v>0.42</v>
      </c>
      <c r="C184" s="241">
        <v>0.36</v>
      </c>
      <c r="D184" s="201">
        <f t="shared" si="36"/>
        <v>0.39</v>
      </c>
      <c r="E184" s="240">
        <v>0.42</v>
      </c>
      <c r="F184" s="241">
        <v>0.33</v>
      </c>
      <c r="G184" s="201">
        <f t="shared" si="30"/>
        <v>0.375</v>
      </c>
      <c r="H184" s="240">
        <v>0.45</v>
      </c>
      <c r="I184" s="241">
        <v>0.38</v>
      </c>
      <c r="J184" s="202">
        <f t="shared" si="31"/>
        <v>0.41500000000000004</v>
      </c>
      <c r="K184" s="194"/>
      <c r="L184" s="240">
        <v>0.56799999999999995</v>
      </c>
      <c r="M184" s="241">
        <v>0.46700000000000003</v>
      </c>
      <c r="N184" s="201">
        <f t="shared" si="32"/>
        <v>0.51749999999999996</v>
      </c>
      <c r="O184" s="240">
        <v>0.51</v>
      </c>
      <c r="P184" s="241">
        <v>0.42</v>
      </c>
      <c r="Q184" s="201">
        <f t="shared" si="33"/>
        <v>0.46499999999999997</v>
      </c>
      <c r="R184" s="240">
        <v>0.56999999999999995</v>
      </c>
      <c r="S184" s="241">
        <v>0.45</v>
      </c>
      <c r="T184" s="201">
        <f t="shared" si="34"/>
        <v>0.51</v>
      </c>
      <c r="U184" s="240">
        <v>0.378</v>
      </c>
      <c r="V184" s="241">
        <v>0.30199999999999999</v>
      </c>
      <c r="W184" s="201">
        <f t="shared" si="35"/>
        <v>0.33999999999999997</v>
      </c>
    </row>
    <row r="185" spans="1:23" ht="15.75" x14ac:dyDescent="0.25">
      <c r="A185" s="31">
        <f>'M&amp;R Stations'!A174</f>
        <v>39133</v>
      </c>
      <c r="B185" s="240">
        <v>0.36</v>
      </c>
      <c r="C185" s="241">
        <v>0.34</v>
      </c>
      <c r="D185" s="201">
        <f t="shared" si="36"/>
        <v>0.35</v>
      </c>
      <c r="E185" s="240">
        <v>0.39</v>
      </c>
      <c r="F185" s="241">
        <v>0.33</v>
      </c>
      <c r="G185" s="201">
        <f t="shared" si="30"/>
        <v>0.36</v>
      </c>
      <c r="H185" s="240">
        <v>0.42</v>
      </c>
      <c r="I185" s="241">
        <v>0.38</v>
      </c>
      <c r="J185" s="202">
        <f t="shared" si="31"/>
        <v>0.4</v>
      </c>
      <c r="K185" s="194"/>
      <c r="L185" s="240">
        <v>0.48699999999999999</v>
      </c>
      <c r="M185" s="241">
        <v>0.40600000000000003</v>
      </c>
      <c r="N185" s="201">
        <f t="shared" si="32"/>
        <v>0.44650000000000001</v>
      </c>
      <c r="O185" s="240">
        <v>0.45</v>
      </c>
      <c r="P185" s="241">
        <v>0.39</v>
      </c>
      <c r="Q185" s="201">
        <f t="shared" si="33"/>
        <v>0.42000000000000004</v>
      </c>
      <c r="R185" s="240">
        <v>0.46500000000000002</v>
      </c>
      <c r="S185" s="241">
        <v>0.40500000000000003</v>
      </c>
      <c r="T185" s="201">
        <f t="shared" si="34"/>
        <v>0.43500000000000005</v>
      </c>
      <c r="U185" s="240">
        <v>0</v>
      </c>
      <c r="V185" s="241">
        <v>0</v>
      </c>
      <c r="W185" s="201">
        <f t="shared" si="35"/>
        <v>0</v>
      </c>
    </row>
    <row r="186" spans="1:23" ht="15.75" x14ac:dyDescent="0.25">
      <c r="A186" s="31">
        <f>'M&amp;R Stations'!A175</f>
        <v>39134</v>
      </c>
      <c r="B186" s="240">
        <v>0.93</v>
      </c>
      <c r="C186" s="241">
        <v>0.36</v>
      </c>
      <c r="D186" s="201">
        <f t="shared" si="36"/>
        <v>0.64500000000000002</v>
      </c>
      <c r="E186" s="240">
        <v>0.53</v>
      </c>
      <c r="F186" s="241">
        <v>0.39</v>
      </c>
      <c r="G186" s="201">
        <f t="shared" si="30"/>
        <v>0.46</v>
      </c>
      <c r="H186" s="240">
        <v>0.68</v>
      </c>
      <c r="I186" s="241">
        <v>0.42</v>
      </c>
      <c r="J186" s="202">
        <f t="shared" si="31"/>
        <v>0.55000000000000004</v>
      </c>
      <c r="K186" s="194"/>
      <c r="L186" s="240">
        <v>0.48699999999999999</v>
      </c>
      <c r="M186" s="241">
        <v>0.40600000000000003</v>
      </c>
      <c r="N186" s="201">
        <f t="shared" si="32"/>
        <v>0.44650000000000001</v>
      </c>
      <c r="O186" s="240">
        <v>0.45</v>
      </c>
      <c r="P186" s="241">
        <v>0.39</v>
      </c>
      <c r="Q186" s="201">
        <f t="shared" si="33"/>
        <v>0.42000000000000004</v>
      </c>
      <c r="R186" s="240">
        <v>0.46500000000000002</v>
      </c>
      <c r="S186" s="241">
        <v>0.39</v>
      </c>
      <c r="T186" s="201">
        <f t="shared" si="34"/>
        <v>0.42749999999999999</v>
      </c>
      <c r="U186" s="240">
        <v>0</v>
      </c>
      <c r="V186" s="241">
        <v>0</v>
      </c>
      <c r="W186" s="201">
        <f t="shared" si="35"/>
        <v>0</v>
      </c>
    </row>
    <row r="187" spans="1:23" ht="15.75" x14ac:dyDescent="0.25">
      <c r="A187" s="31">
        <f>'M&amp;R Stations'!A176</f>
        <v>39135</v>
      </c>
      <c r="B187" s="240">
        <v>0.93</v>
      </c>
      <c r="C187" s="241">
        <v>0.74</v>
      </c>
      <c r="D187" s="201">
        <f t="shared" si="36"/>
        <v>0.83499999999999996</v>
      </c>
      <c r="E187" s="240">
        <v>0.48</v>
      </c>
      <c r="F187" s="241">
        <v>0.48</v>
      </c>
      <c r="G187" s="201">
        <f t="shared" si="30"/>
        <v>0.48</v>
      </c>
      <c r="H187" s="240">
        <v>0.57999999999999996</v>
      </c>
      <c r="I187" s="241">
        <v>0.57999999999999996</v>
      </c>
      <c r="J187" s="202">
        <f t="shared" si="31"/>
        <v>0.57999999999999996</v>
      </c>
      <c r="K187" s="194"/>
      <c r="L187" s="240">
        <v>0.44900000000000001</v>
      </c>
      <c r="M187" s="241">
        <v>0.38600000000000001</v>
      </c>
      <c r="N187" s="201">
        <f t="shared" si="32"/>
        <v>0.41749999999999998</v>
      </c>
      <c r="O187" s="240">
        <v>0.47699999999999998</v>
      </c>
      <c r="P187" s="241">
        <v>0.39</v>
      </c>
      <c r="Q187" s="201">
        <f t="shared" si="33"/>
        <v>0.4335</v>
      </c>
      <c r="R187" s="240">
        <v>0.44900000000000001</v>
      </c>
      <c r="S187" s="241">
        <v>0.37</v>
      </c>
      <c r="T187" s="201">
        <f t="shared" si="34"/>
        <v>0.40949999999999998</v>
      </c>
      <c r="U187" s="240">
        <v>0</v>
      </c>
      <c r="V187" s="241">
        <v>0</v>
      </c>
      <c r="W187" s="201">
        <f t="shared" si="35"/>
        <v>0</v>
      </c>
    </row>
    <row r="188" spans="1:23" ht="15.75" x14ac:dyDescent="0.25">
      <c r="A188" s="31">
        <f>'M&amp;R Stations'!A177</f>
        <v>39136</v>
      </c>
      <c r="B188" s="240">
        <v>0.79</v>
      </c>
      <c r="C188" s="241">
        <v>0.7</v>
      </c>
      <c r="D188" s="201">
        <f t="shared" si="36"/>
        <v>0.745</v>
      </c>
      <c r="E188" s="240">
        <v>0.53</v>
      </c>
      <c r="F188" s="241">
        <v>0.48</v>
      </c>
      <c r="G188" s="201">
        <f t="shared" si="30"/>
        <v>0.505</v>
      </c>
      <c r="H188" s="240">
        <v>0.63</v>
      </c>
      <c r="I188" s="241">
        <v>0.57999999999999996</v>
      </c>
      <c r="J188" s="202">
        <f t="shared" si="31"/>
        <v>0.60499999999999998</v>
      </c>
      <c r="K188" s="194"/>
      <c r="L188" s="240">
        <v>0.53500000000000003</v>
      </c>
      <c r="M188" s="241">
        <v>0.40699999999999997</v>
      </c>
      <c r="N188" s="201">
        <f t="shared" si="32"/>
        <v>0.47099999999999997</v>
      </c>
      <c r="O188" s="240">
        <v>0.51400000000000001</v>
      </c>
      <c r="P188" s="241">
        <v>0.44</v>
      </c>
      <c r="Q188" s="201">
        <f t="shared" si="33"/>
        <v>0.47699999999999998</v>
      </c>
      <c r="R188" s="240">
        <v>0.40899999999999997</v>
      </c>
      <c r="S188" s="241">
        <v>0.35599999999999998</v>
      </c>
      <c r="T188" s="201">
        <f t="shared" si="34"/>
        <v>0.38249999999999995</v>
      </c>
      <c r="U188" s="240">
        <v>0.39300000000000002</v>
      </c>
      <c r="V188" s="241">
        <v>0.378</v>
      </c>
      <c r="W188" s="201">
        <f t="shared" si="35"/>
        <v>0.38550000000000001</v>
      </c>
    </row>
    <row r="189" spans="1:23" ht="15.75" x14ac:dyDescent="0.25">
      <c r="A189" s="31">
        <f>'M&amp;R Stations'!A178</f>
        <v>39137</v>
      </c>
      <c r="B189" s="240">
        <v>0.74</v>
      </c>
      <c r="C189" s="241">
        <v>0.7</v>
      </c>
      <c r="D189" s="201">
        <f t="shared" si="36"/>
        <v>0.72</v>
      </c>
      <c r="E189" s="240">
        <v>0.53</v>
      </c>
      <c r="F189" s="241">
        <v>0.44</v>
      </c>
      <c r="G189" s="201">
        <f t="shared" si="30"/>
        <v>0.48499999999999999</v>
      </c>
      <c r="H189" s="240">
        <v>0.63</v>
      </c>
      <c r="I189" s="241">
        <v>0.57999999999999996</v>
      </c>
      <c r="J189" s="202">
        <f t="shared" si="31"/>
        <v>0.60499999999999998</v>
      </c>
      <c r="K189" s="194"/>
      <c r="L189" s="240">
        <v>0.55600000000000005</v>
      </c>
      <c r="M189" s="241">
        <v>0.40699999999999997</v>
      </c>
      <c r="N189" s="201">
        <f t="shared" si="32"/>
        <v>0.48150000000000004</v>
      </c>
      <c r="O189" s="240">
        <v>0.55100000000000005</v>
      </c>
      <c r="P189" s="241">
        <v>0.51400000000000001</v>
      </c>
      <c r="Q189" s="201">
        <f t="shared" si="33"/>
        <v>0.53249999999999997</v>
      </c>
      <c r="R189" s="240">
        <v>0.42199999999999999</v>
      </c>
      <c r="S189" s="241">
        <v>0.39600000000000002</v>
      </c>
      <c r="T189" s="201">
        <f t="shared" si="34"/>
        <v>0.40900000000000003</v>
      </c>
      <c r="U189" s="240">
        <v>0.36199999999999999</v>
      </c>
      <c r="V189" s="241">
        <v>0.34699999999999998</v>
      </c>
      <c r="W189" s="201">
        <f t="shared" si="35"/>
        <v>0.35449999999999998</v>
      </c>
    </row>
    <row r="190" spans="1:23" ht="15.75" x14ac:dyDescent="0.25">
      <c r="A190" s="31">
        <f>'M&amp;R Stations'!A179</f>
        <v>39138</v>
      </c>
      <c r="B190" s="240">
        <v>0.74</v>
      </c>
      <c r="C190" s="241">
        <v>0.65</v>
      </c>
      <c r="D190" s="201">
        <f t="shared" si="36"/>
        <v>0.69500000000000006</v>
      </c>
      <c r="E190" s="240">
        <v>0.48</v>
      </c>
      <c r="F190" s="241">
        <v>0.44</v>
      </c>
      <c r="G190" s="201">
        <f t="shared" si="30"/>
        <v>0.45999999999999996</v>
      </c>
      <c r="H190" s="240">
        <v>0.57999999999999996</v>
      </c>
      <c r="I190" s="241">
        <v>0.52</v>
      </c>
      <c r="J190" s="202">
        <f t="shared" si="31"/>
        <v>0.55000000000000004</v>
      </c>
      <c r="K190" s="194"/>
      <c r="L190" s="240">
        <v>0.42799999999999999</v>
      </c>
      <c r="M190" s="241">
        <v>0.40699999999999997</v>
      </c>
      <c r="N190" s="201">
        <f t="shared" si="32"/>
        <v>0.41749999999999998</v>
      </c>
      <c r="O190" s="240">
        <v>0.51400000000000001</v>
      </c>
      <c r="P190" s="241">
        <v>0.47699999999999998</v>
      </c>
      <c r="Q190" s="201">
        <f t="shared" si="33"/>
        <v>0.4955</v>
      </c>
      <c r="R190" s="240">
        <v>0.42199999999999999</v>
      </c>
      <c r="S190" s="241">
        <v>0.39600000000000002</v>
      </c>
      <c r="T190" s="201">
        <f t="shared" si="34"/>
        <v>0.40900000000000003</v>
      </c>
      <c r="U190" s="240">
        <v>0</v>
      </c>
      <c r="V190" s="241">
        <v>0</v>
      </c>
      <c r="W190" s="201">
        <f t="shared" si="35"/>
        <v>0</v>
      </c>
    </row>
    <row r="191" spans="1:23" ht="15.75" x14ac:dyDescent="0.25">
      <c r="A191" s="31">
        <f>'M&amp;R Stations'!A180</f>
        <v>39139</v>
      </c>
      <c r="B191" s="240">
        <v>0.74</v>
      </c>
      <c r="C191" s="241">
        <v>0.65</v>
      </c>
      <c r="D191" s="201">
        <f t="shared" si="36"/>
        <v>0.69500000000000006</v>
      </c>
      <c r="E191" s="240">
        <v>0.48</v>
      </c>
      <c r="F191" s="241">
        <v>0.44</v>
      </c>
      <c r="G191" s="201">
        <f t="shared" si="30"/>
        <v>0.45999999999999996</v>
      </c>
      <c r="H191" s="240">
        <v>0.57999999999999996</v>
      </c>
      <c r="I191" s="241">
        <v>0.52</v>
      </c>
      <c r="J191" s="202">
        <f t="shared" si="31"/>
        <v>0.55000000000000004</v>
      </c>
      <c r="K191" s="194"/>
      <c r="L191" s="240">
        <v>0.44900000000000001</v>
      </c>
      <c r="M191" s="241">
        <v>0.32100000000000001</v>
      </c>
      <c r="N191" s="201">
        <f t="shared" si="32"/>
        <v>0.38500000000000001</v>
      </c>
      <c r="O191" s="240">
        <v>0.55100000000000005</v>
      </c>
      <c r="P191" s="241">
        <v>0.36699999999999999</v>
      </c>
      <c r="Q191" s="201">
        <f t="shared" si="33"/>
        <v>0.45900000000000002</v>
      </c>
      <c r="R191" s="240">
        <v>0.436</v>
      </c>
      <c r="S191" s="241">
        <v>0.39600000000000002</v>
      </c>
      <c r="T191" s="201">
        <f t="shared" si="34"/>
        <v>0.41600000000000004</v>
      </c>
      <c r="U191" s="240">
        <v>0</v>
      </c>
      <c r="V191" s="241">
        <v>0</v>
      </c>
      <c r="W191" s="201">
        <f t="shared" si="35"/>
        <v>0</v>
      </c>
    </row>
    <row r="192" spans="1:23" ht="15.75" x14ac:dyDescent="0.25">
      <c r="A192" s="31">
        <f>'M&amp;R Stations'!A181</f>
        <v>39140</v>
      </c>
      <c r="B192" s="240">
        <v>0.83</v>
      </c>
      <c r="C192" s="241">
        <v>0.7</v>
      </c>
      <c r="D192" s="201">
        <f t="shared" si="36"/>
        <v>0.7649999999999999</v>
      </c>
      <c r="E192" s="240">
        <v>0.53</v>
      </c>
      <c r="F192" s="241">
        <v>0.48</v>
      </c>
      <c r="G192" s="201">
        <f t="shared" si="30"/>
        <v>0.505</v>
      </c>
      <c r="H192" s="240">
        <v>0.63</v>
      </c>
      <c r="I192" s="241">
        <v>0.63</v>
      </c>
      <c r="J192" s="202">
        <f t="shared" si="31"/>
        <v>0.63</v>
      </c>
      <c r="K192" s="194"/>
      <c r="L192" s="240">
        <v>0.40699999999999997</v>
      </c>
      <c r="M192" s="241">
        <v>0.34200000000000003</v>
      </c>
      <c r="N192" s="201">
        <f t="shared" si="32"/>
        <v>0.3745</v>
      </c>
      <c r="O192" s="240">
        <v>0.47699999999999998</v>
      </c>
      <c r="P192" s="241">
        <v>0.40300000000000002</v>
      </c>
      <c r="Q192" s="201">
        <f t="shared" si="33"/>
        <v>0.44</v>
      </c>
      <c r="R192" s="240">
        <v>0.436</v>
      </c>
      <c r="S192" s="241">
        <v>0.38200000000000001</v>
      </c>
      <c r="T192" s="201">
        <f t="shared" si="34"/>
        <v>0.40900000000000003</v>
      </c>
      <c r="U192" s="240">
        <v>0</v>
      </c>
      <c r="V192" s="241">
        <v>0</v>
      </c>
      <c r="W192" s="201">
        <f t="shared" si="35"/>
        <v>0</v>
      </c>
    </row>
    <row r="193" spans="1:23" ht="15.75" x14ac:dyDescent="0.25">
      <c r="A193" s="31">
        <f>'M&amp;R Stations'!A182</f>
        <v>39141</v>
      </c>
      <c r="B193" s="240">
        <v>0.43</v>
      </c>
      <c r="C193" s="241">
        <v>0.41</v>
      </c>
      <c r="D193" s="201">
        <f t="shared" si="36"/>
        <v>0.42</v>
      </c>
      <c r="E193" s="240">
        <v>0.53</v>
      </c>
      <c r="F193" s="241">
        <v>0.28999999999999998</v>
      </c>
      <c r="G193" s="201">
        <f t="shared" si="30"/>
        <v>0.41000000000000003</v>
      </c>
      <c r="H193" s="240">
        <v>0.63</v>
      </c>
      <c r="I193" s="241">
        <v>0.38</v>
      </c>
      <c r="J193" s="202">
        <f t="shared" si="31"/>
        <v>0.505</v>
      </c>
      <c r="K193" s="194"/>
      <c r="L193" s="240">
        <v>0.51400000000000001</v>
      </c>
      <c r="M193" s="241">
        <v>0.34200000000000003</v>
      </c>
      <c r="N193" s="201">
        <f t="shared" si="32"/>
        <v>0.42800000000000005</v>
      </c>
      <c r="O193" s="240">
        <v>0.51400000000000001</v>
      </c>
      <c r="P193" s="241">
        <v>0.32100000000000001</v>
      </c>
      <c r="Q193" s="201">
        <f t="shared" si="33"/>
        <v>0.41749999999999998</v>
      </c>
      <c r="R193" s="240">
        <v>0.436</v>
      </c>
      <c r="S193" s="241">
        <v>0.38200000000000001</v>
      </c>
      <c r="T193" s="201">
        <f t="shared" si="34"/>
        <v>0.40900000000000003</v>
      </c>
      <c r="U193" s="240">
        <v>0</v>
      </c>
      <c r="V193" s="241">
        <v>0</v>
      </c>
      <c r="W193" s="201">
        <f t="shared" si="35"/>
        <v>0</v>
      </c>
    </row>
    <row r="194" spans="1:23" ht="15.75" x14ac:dyDescent="0.25">
      <c r="A194" s="210"/>
      <c r="B194" s="240"/>
      <c r="C194" s="241"/>
      <c r="D194" s="201"/>
      <c r="E194" s="240"/>
      <c r="F194" s="241"/>
      <c r="G194" s="201"/>
      <c r="H194" s="240"/>
      <c r="I194" s="241"/>
      <c r="J194" s="202"/>
      <c r="K194" s="194"/>
      <c r="L194" s="240"/>
      <c r="M194" s="241"/>
      <c r="N194" s="202"/>
      <c r="O194" s="240"/>
      <c r="P194" s="241"/>
      <c r="Q194" s="202"/>
      <c r="R194" s="240"/>
      <c r="S194" s="241"/>
      <c r="T194" s="202"/>
      <c r="U194" s="240"/>
      <c r="V194" s="241"/>
      <c r="W194" s="202"/>
    </row>
    <row r="195" spans="1:23" ht="15.75" x14ac:dyDescent="0.25">
      <c r="A195" s="179"/>
      <c r="B195" s="203"/>
      <c r="C195" s="204"/>
      <c r="D195" s="205"/>
      <c r="E195" s="203"/>
      <c r="F195" s="204"/>
      <c r="G195" s="205"/>
      <c r="H195" s="203"/>
      <c r="I195" s="204"/>
      <c r="J195" s="206"/>
      <c r="K195" s="207"/>
      <c r="L195" s="203"/>
      <c r="M195" s="204"/>
      <c r="N195" s="206"/>
      <c r="O195" s="203"/>
      <c r="P195" s="204"/>
      <c r="Q195" s="206"/>
      <c r="R195" s="203"/>
      <c r="S195" s="204"/>
      <c r="T195" s="206"/>
      <c r="U195" s="203"/>
      <c r="V195" s="204"/>
      <c r="W195" s="206"/>
    </row>
    <row r="196" spans="1:23" ht="15.75" x14ac:dyDescent="0.25">
      <c r="A196" s="31">
        <f>'M&amp;R Stations'!A183</f>
        <v>39142</v>
      </c>
      <c r="B196" s="240">
        <v>0.43</v>
      </c>
      <c r="C196" s="241">
        <v>0.41</v>
      </c>
      <c r="D196" s="201">
        <f t="shared" ref="D196:D249" si="37">IF(AND(B196="",C196=""),"",IF(B196="off",C196,IF(C196="off",B196,AVERAGE(B196:C196))))</f>
        <v>0.42</v>
      </c>
      <c r="E196" s="240">
        <v>0.28999999999999998</v>
      </c>
      <c r="F196" s="241">
        <v>0.27</v>
      </c>
      <c r="G196" s="201">
        <f t="shared" ref="G196:G226" si="38">IF(AND(E196="",F196=""),"",IF(E196="off",F196,IF(F196="off",E196,AVERAGE(E196:F196))))</f>
        <v>0.28000000000000003</v>
      </c>
      <c r="H196" s="240">
        <v>0.38</v>
      </c>
      <c r="I196" s="241">
        <v>0.35</v>
      </c>
      <c r="J196" s="202">
        <f t="shared" ref="J196:J226" si="39">IF(AND(H196="",I196=""),"",IF(H196="off",I196,IF(I196="off",H196,AVERAGE(H196:I196))))</f>
        <v>0.36499999999999999</v>
      </c>
      <c r="K196" s="194"/>
      <c r="L196" s="240">
        <v>0.46800000000000003</v>
      </c>
      <c r="M196" s="241">
        <v>0.39800000000000002</v>
      </c>
      <c r="N196" s="201">
        <f t="shared" ref="N196:N226" si="40">IF(AND(L196="",M196=""),"",IF(L196="off",M196,IF(M196="off",L196,AVERAGE(L196:M196))))</f>
        <v>0.43300000000000005</v>
      </c>
      <c r="O196" s="240">
        <v>0.51500000000000001</v>
      </c>
      <c r="P196" s="241">
        <v>0.45100000000000001</v>
      </c>
      <c r="Q196" s="201">
        <f t="shared" ref="Q196:Q226" si="41">IF(AND(O196="",P196=""),"",IF(O196="off",P196,IF(P196="off",O196,AVERAGE(O196:P196))))</f>
        <v>0.48299999999999998</v>
      </c>
      <c r="R196" s="240">
        <v>0.52500000000000002</v>
      </c>
      <c r="S196" s="241">
        <v>0.41</v>
      </c>
      <c r="T196" s="201">
        <f t="shared" ref="T196:T226" si="42">IF(AND(R196="",S196=""),"",IF(R196="off",S196,IF(S196="off",R196,AVERAGE(R196:S196))))</f>
        <v>0.46750000000000003</v>
      </c>
      <c r="U196" s="240">
        <v>0</v>
      </c>
      <c r="V196" s="241">
        <v>0</v>
      </c>
      <c r="W196" s="201">
        <f t="shared" ref="W196:W226" si="43">IF(AND(U196="",V196=""),"",IF(U196="off",V196,IF(V196="off",U196,AVERAGE(U196:V196))))</f>
        <v>0</v>
      </c>
    </row>
    <row r="197" spans="1:23" ht="15.75" x14ac:dyDescent="0.25">
      <c r="A197" s="31">
        <f>'M&amp;R Stations'!A184</f>
        <v>39143</v>
      </c>
      <c r="B197" s="240">
        <v>0.41</v>
      </c>
      <c r="C197" s="241">
        <v>0.36</v>
      </c>
      <c r="D197" s="201">
        <f t="shared" si="37"/>
        <v>0.38500000000000001</v>
      </c>
      <c r="E197" s="240">
        <v>0.28999999999999998</v>
      </c>
      <c r="F197" s="241">
        <v>0.27</v>
      </c>
      <c r="G197" s="201">
        <f t="shared" si="38"/>
        <v>0.28000000000000003</v>
      </c>
      <c r="H197" s="240">
        <v>0.35</v>
      </c>
      <c r="I197" s="241">
        <v>0.32</v>
      </c>
      <c r="J197" s="202">
        <f t="shared" si="39"/>
        <v>0.33499999999999996</v>
      </c>
      <c r="K197" s="194"/>
      <c r="L197" s="240">
        <v>0.46800000000000003</v>
      </c>
      <c r="M197" s="241">
        <v>0.42099999999999999</v>
      </c>
      <c r="N197" s="201">
        <f t="shared" si="40"/>
        <v>0.44450000000000001</v>
      </c>
      <c r="O197" s="240">
        <v>0.45100000000000001</v>
      </c>
      <c r="P197" s="241">
        <v>0.41899999999999998</v>
      </c>
      <c r="Q197" s="201">
        <f t="shared" si="41"/>
        <v>0.435</v>
      </c>
      <c r="R197" s="240">
        <v>0.52500000000000002</v>
      </c>
      <c r="S197" s="241">
        <v>0.41</v>
      </c>
      <c r="T197" s="201">
        <f t="shared" si="42"/>
        <v>0.46750000000000003</v>
      </c>
      <c r="U197" s="240">
        <v>0</v>
      </c>
      <c r="V197" s="241">
        <v>0</v>
      </c>
      <c r="W197" s="201">
        <f t="shared" si="43"/>
        <v>0</v>
      </c>
    </row>
    <row r="198" spans="1:23" ht="15.75" x14ac:dyDescent="0.25">
      <c r="A198" s="31">
        <f>'M&amp;R Stations'!A185</f>
        <v>39144</v>
      </c>
      <c r="B198" s="240">
        <v>0.38</v>
      </c>
      <c r="C198" s="241">
        <v>0.34</v>
      </c>
      <c r="D198" s="201">
        <f t="shared" si="37"/>
        <v>0.36</v>
      </c>
      <c r="E198" s="240">
        <v>0.32</v>
      </c>
      <c r="F198" s="241">
        <v>0.27</v>
      </c>
      <c r="G198" s="201">
        <f t="shared" si="38"/>
        <v>0.29500000000000004</v>
      </c>
      <c r="H198" s="240">
        <v>0.35</v>
      </c>
      <c r="I198" s="241">
        <v>0.32</v>
      </c>
      <c r="J198" s="202">
        <f t="shared" si="39"/>
        <v>0.33499999999999996</v>
      </c>
      <c r="K198" s="194"/>
      <c r="L198" s="240">
        <v>0.49099999999999999</v>
      </c>
      <c r="M198" s="241">
        <v>0.42099999999999999</v>
      </c>
      <c r="N198" s="201">
        <f t="shared" si="40"/>
        <v>0.45599999999999996</v>
      </c>
      <c r="O198" s="240">
        <v>0.45100000000000001</v>
      </c>
      <c r="P198" s="241">
        <v>0.35399999999999998</v>
      </c>
      <c r="Q198" s="201">
        <f t="shared" si="41"/>
        <v>0.40249999999999997</v>
      </c>
      <c r="R198" s="240">
        <v>0.52500000000000002</v>
      </c>
      <c r="S198" s="241">
        <v>0.47499999999999998</v>
      </c>
      <c r="T198" s="201">
        <f t="shared" si="42"/>
        <v>0.5</v>
      </c>
      <c r="U198" s="240">
        <v>0</v>
      </c>
      <c r="V198" s="241">
        <v>0</v>
      </c>
      <c r="W198" s="201">
        <f t="shared" si="43"/>
        <v>0</v>
      </c>
    </row>
    <row r="199" spans="1:23" ht="15.75" x14ac:dyDescent="0.25">
      <c r="A199" s="31">
        <f>'M&amp;R Stations'!A186</f>
        <v>39145</v>
      </c>
      <c r="B199" s="240">
        <v>0.38</v>
      </c>
      <c r="C199" s="241">
        <v>0.26</v>
      </c>
      <c r="D199" s="201">
        <f t="shared" si="37"/>
        <v>0.32</v>
      </c>
      <c r="E199" s="240">
        <v>0.27</v>
      </c>
      <c r="F199" s="241">
        <v>0.24</v>
      </c>
      <c r="G199" s="201">
        <f t="shared" si="38"/>
        <v>0.255</v>
      </c>
      <c r="H199" s="240">
        <v>0.35</v>
      </c>
      <c r="I199" s="241">
        <v>0.32</v>
      </c>
      <c r="J199" s="202">
        <f t="shared" si="39"/>
        <v>0.33499999999999996</v>
      </c>
      <c r="K199" s="194"/>
      <c r="L199" s="240">
        <v>0.42099999999999999</v>
      </c>
      <c r="M199" s="241">
        <v>0.374</v>
      </c>
      <c r="N199" s="201">
        <f t="shared" si="40"/>
        <v>0.39749999999999996</v>
      </c>
      <c r="O199" s="240">
        <v>0.45100000000000001</v>
      </c>
      <c r="P199" s="241">
        <v>0.35399999999999998</v>
      </c>
      <c r="Q199" s="201">
        <f t="shared" si="41"/>
        <v>0.40249999999999997</v>
      </c>
      <c r="R199" s="240">
        <v>0.49199999999999999</v>
      </c>
      <c r="S199" s="241">
        <v>0.443</v>
      </c>
      <c r="T199" s="201">
        <f t="shared" si="42"/>
        <v>0.46750000000000003</v>
      </c>
      <c r="U199" s="240">
        <v>0</v>
      </c>
      <c r="V199" s="241">
        <v>0</v>
      </c>
      <c r="W199" s="201">
        <f t="shared" si="43"/>
        <v>0</v>
      </c>
    </row>
    <row r="200" spans="1:23" ht="15.75" x14ac:dyDescent="0.25">
      <c r="A200" s="31">
        <f>'M&amp;R Stations'!A187</f>
        <v>39146</v>
      </c>
      <c r="B200" s="240">
        <v>0.45</v>
      </c>
      <c r="C200" s="241">
        <v>0.31</v>
      </c>
      <c r="D200" s="201">
        <f t="shared" si="37"/>
        <v>0.38</v>
      </c>
      <c r="E200" s="240">
        <v>0.28999999999999998</v>
      </c>
      <c r="F200" s="241">
        <v>0.24</v>
      </c>
      <c r="G200" s="201">
        <f t="shared" si="38"/>
        <v>0.26500000000000001</v>
      </c>
      <c r="H200" s="240">
        <v>0.35</v>
      </c>
      <c r="I200" s="241">
        <v>0.32</v>
      </c>
      <c r="J200" s="202">
        <f t="shared" si="39"/>
        <v>0.33499999999999996</v>
      </c>
      <c r="K200" s="194"/>
      <c r="L200" s="240">
        <v>0.59</v>
      </c>
      <c r="M200" s="241">
        <v>0.4</v>
      </c>
      <c r="N200" s="201">
        <f t="shared" si="40"/>
        <v>0.495</v>
      </c>
      <c r="O200" s="240">
        <v>0.52</v>
      </c>
      <c r="P200" s="241">
        <v>0.42</v>
      </c>
      <c r="Q200" s="201">
        <f t="shared" si="41"/>
        <v>0.47</v>
      </c>
      <c r="R200" s="240">
        <v>0.48</v>
      </c>
      <c r="S200" s="241">
        <v>0.43</v>
      </c>
      <c r="T200" s="201">
        <f t="shared" si="42"/>
        <v>0.45499999999999996</v>
      </c>
      <c r="U200" s="240">
        <v>0.38</v>
      </c>
      <c r="V200" s="241">
        <v>0.38</v>
      </c>
      <c r="W200" s="201">
        <f t="shared" si="43"/>
        <v>0.38</v>
      </c>
    </row>
    <row r="201" spans="1:23" ht="15.75" x14ac:dyDescent="0.25">
      <c r="A201" s="31">
        <f>'M&amp;R Stations'!A188</f>
        <v>39147</v>
      </c>
      <c r="B201" s="240">
        <v>0.43</v>
      </c>
      <c r="C201" s="241">
        <v>0.38</v>
      </c>
      <c r="D201" s="201">
        <f t="shared" si="37"/>
        <v>0.40500000000000003</v>
      </c>
      <c r="E201" s="240">
        <v>0.28999999999999998</v>
      </c>
      <c r="F201" s="241">
        <v>0.27</v>
      </c>
      <c r="G201" s="201">
        <f t="shared" si="38"/>
        <v>0.28000000000000003</v>
      </c>
      <c r="H201" s="240">
        <v>0.35</v>
      </c>
      <c r="I201" s="241">
        <v>0.32</v>
      </c>
      <c r="J201" s="202">
        <f t="shared" si="39"/>
        <v>0.33499999999999996</v>
      </c>
      <c r="K201" s="194"/>
      <c r="L201" s="240">
        <v>0.65500000000000003</v>
      </c>
      <c r="M201" s="241">
        <v>0.39700000000000002</v>
      </c>
      <c r="N201" s="201">
        <f t="shared" si="40"/>
        <v>0.52600000000000002</v>
      </c>
      <c r="O201" s="240">
        <v>0.70799999999999996</v>
      </c>
      <c r="P201" s="241">
        <v>0.41799999999999998</v>
      </c>
      <c r="Q201" s="201">
        <f t="shared" si="41"/>
        <v>0.56299999999999994</v>
      </c>
      <c r="R201" s="240">
        <v>0.49199999999999999</v>
      </c>
      <c r="S201" s="241">
        <v>0.36099999999999999</v>
      </c>
      <c r="T201" s="201">
        <f t="shared" si="42"/>
        <v>0.42649999999999999</v>
      </c>
      <c r="U201" s="240">
        <v>0.30199999999999999</v>
      </c>
      <c r="V201" s="241">
        <v>0.25700000000000001</v>
      </c>
      <c r="W201" s="201">
        <f t="shared" si="43"/>
        <v>0.27949999999999997</v>
      </c>
    </row>
    <row r="202" spans="1:23" ht="15.75" x14ac:dyDescent="0.25">
      <c r="A202" s="31">
        <f>'M&amp;R Stations'!A189</f>
        <v>39148</v>
      </c>
      <c r="B202" s="240">
        <v>0.43</v>
      </c>
      <c r="C202" s="241">
        <v>0.34</v>
      </c>
      <c r="D202" s="201">
        <f t="shared" si="37"/>
        <v>0.38500000000000001</v>
      </c>
      <c r="E202" s="240">
        <v>0.35</v>
      </c>
      <c r="F202" s="241">
        <v>0.27</v>
      </c>
      <c r="G202" s="201">
        <f t="shared" si="38"/>
        <v>0.31</v>
      </c>
      <c r="H202" s="240">
        <v>0.38</v>
      </c>
      <c r="I202" s="241">
        <v>0.35</v>
      </c>
      <c r="J202" s="202">
        <f t="shared" si="39"/>
        <v>0.36499999999999999</v>
      </c>
      <c r="K202" s="194"/>
      <c r="L202" s="240">
        <v>0.60799999999999998</v>
      </c>
      <c r="M202" s="241">
        <v>0.49099999999999999</v>
      </c>
      <c r="N202" s="201">
        <f t="shared" si="40"/>
        <v>0.54949999999999999</v>
      </c>
      <c r="O202" s="240">
        <v>0.70799999999999996</v>
      </c>
      <c r="P202" s="241">
        <v>0.57899999999999996</v>
      </c>
      <c r="Q202" s="201">
        <f t="shared" si="41"/>
        <v>0.64349999999999996</v>
      </c>
      <c r="R202" s="240">
        <v>0.54100000000000004</v>
      </c>
      <c r="S202" s="241">
        <v>0.49199999999999999</v>
      </c>
      <c r="T202" s="201">
        <f t="shared" si="42"/>
        <v>0.51649999999999996</v>
      </c>
      <c r="U202" s="240">
        <v>0.39300000000000002</v>
      </c>
      <c r="V202" s="241">
        <v>0.27200000000000002</v>
      </c>
      <c r="W202" s="201">
        <f t="shared" si="43"/>
        <v>0.33250000000000002</v>
      </c>
    </row>
    <row r="203" spans="1:23" ht="15.75" x14ac:dyDescent="0.25">
      <c r="A203" s="31">
        <f>'M&amp;R Stations'!A190</f>
        <v>39149</v>
      </c>
      <c r="B203" s="240">
        <v>0.34</v>
      </c>
      <c r="C203" s="241">
        <v>0.34</v>
      </c>
      <c r="D203" s="201">
        <f t="shared" si="37"/>
        <v>0.34</v>
      </c>
      <c r="E203" s="240">
        <v>0.35</v>
      </c>
      <c r="F203" s="241">
        <v>0.32</v>
      </c>
      <c r="G203" s="201">
        <f t="shared" si="38"/>
        <v>0.33499999999999996</v>
      </c>
      <c r="H203" s="240">
        <v>0.38</v>
      </c>
      <c r="I203" s="241">
        <v>0.35</v>
      </c>
      <c r="J203" s="202">
        <f t="shared" si="39"/>
        <v>0.36499999999999999</v>
      </c>
      <c r="K203" s="194"/>
      <c r="L203" s="240">
        <v>0.52100000000000002</v>
      </c>
      <c r="M203" s="241">
        <v>0.434</v>
      </c>
      <c r="N203" s="201">
        <f t="shared" si="40"/>
        <v>0.47750000000000004</v>
      </c>
      <c r="O203" s="240">
        <v>0.54700000000000004</v>
      </c>
      <c r="P203" s="241">
        <v>0.4</v>
      </c>
      <c r="Q203" s="201">
        <f t="shared" si="41"/>
        <v>0.47350000000000003</v>
      </c>
      <c r="R203" s="240">
        <v>0.69</v>
      </c>
      <c r="S203" s="241">
        <v>0.55800000000000005</v>
      </c>
      <c r="T203" s="201">
        <f t="shared" si="42"/>
        <v>0.624</v>
      </c>
      <c r="U203" s="240">
        <v>0.33200000000000002</v>
      </c>
      <c r="V203" s="241">
        <v>0.25700000000000001</v>
      </c>
      <c r="W203" s="201">
        <f t="shared" si="43"/>
        <v>0.29449999999999998</v>
      </c>
    </row>
    <row r="204" spans="1:23" ht="15.75" x14ac:dyDescent="0.25">
      <c r="A204" s="31">
        <f>'M&amp;R Stations'!A191</f>
        <v>39150</v>
      </c>
      <c r="B204" s="240">
        <v>0.34</v>
      </c>
      <c r="C204" s="241">
        <v>0.32</v>
      </c>
      <c r="D204" s="201">
        <f t="shared" si="37"/>
        <v>0.33</v>
      </c>
      <c r="E204" s="240">
        <v>0.35</v>
      </c>
      <c r="F204" s="241">
        <v>0.32</v>
      </c>
      <c r="G204" s="201">
        <f t="shared" si="38"/>
        <v>0.33499999999999996</v>
      </c>
      <c r="H204" s="240">
        <v>0.38</v>
      </c>
      <c r="I204" s="241">
        <v>0.32</v>
      </c>
      <c r="J204" s="202">
        <f t="shared" si="39"/>
        <v>0.35</v>
      </c>
      <c r="K204" s="194"/>
      <c r="L204" s="240">
        <v>0.58599999999999997</v>
      </c>
      <c r="M204" s="241">
        <v>0.39</v>
      </c>
      <c r="N204" s="201">
        <f t="shared" si="40"/>
        <v>0.48799999999999999</v>
      </c>
      <c r="O204" s="240">
        <v>0.45</v>
      </c>
      <c r="P204" s="241">
        <v>0.35</v>
      </c>
      <c r="Q204" s="201">
        <f t="shared" si="41"/>
        <v>0.4</v>
      </c>
      <c r="R204" s="240">
        <v>0.752</v>
      </c>
      <c r="S204" s="241">
        <v>0.502</v>
      </c>
      <c r="T204" s="201">
        <f t="shared" si="42"/>
        <v>0.627</v>
      </c>
      <c r="U204" s="240">
        <v>0</v>
      </c>
      <c r="V204" s="241">
        <v>0</v>
      </c>
      <c r="W204" s="201">
        <f t="shared" si="43"/>
        <v>0</v>
      </c>
    </row>
    <row r="205" spans="1:23" ht="15.75" x14ac:dyDescent="0.25">
      <c r="A205" s="31">
        <f>'M&amp;R Stations'!A192</f>
        <v>39151</v>
      </c>
      <c r="B205" s="240">
        <v>0.36</v>
      </c>
      <c r="C205" s="241">
        <v>0.32</v>
      </c>
      <c r="D205" s="201">
        <f t="shared" si="37"/>
        <v>0.33999999999999997</v>
      </c>
      <c r="E205" s="240">
        <v>0.35</v>
      </c>
      <c r="F205" s="241">
        <v>0.32</v>
      </c>
      <c r="G205" s="201">
        <f t="shared" si="38"/>
        <v>0.33499999999999996</v>
      </c>
      <c r="H205" s="240">
        <v>0.38</v>
      </c>
      <c r="I205" s="241">
        <v>0.38</v>
      </c>
      <c r="J205" s="202">
        <f t="shared" si="39"/>
        <v>0.38</v>
      </c>
      <c r="K205" s="194"/>
      <c r="L205" s="240">
        <v>0.54200000000000004</v>
      </c>
      <c r="M205" s="241">
        <v>0.47699999999999998</v>
      </c>
      <c r="N205" s="201">
        <f t="shared" si="40"/>
        <v>0.50950000000000006</v>
      </c>
      <c r="O205" s="240">
        <v>0.4</v>
      </c>
      <c r="P205" s="241">
        <v>0.3</v>
      </c>
      <c r="Q205" s="201">
        <f t="shared" si="41"/>
        <v>0.35</v>
      </c>
      <c r="R205" s="240">
        <v>0.69</v>
      </c>
      <c r="S205" s="241">
        <v>0.60599999999999998</v>
      </c>
      <c r="T205" s="201">
        <f t="shared" si="42"/>
        <v>0.64799999999999991</v>
      </c>
      <c r="U205" s="240">
        <v>0</v>
      </c>
      <c r="V205" s="241">
        <v>0</v>
      </c>
      <c r="W205" s="201">
        <f t="shared" si="43"/>
        <v>0</v>
      </c>
    </row>
    <row r="206" spans="1:23" ht="15.75" x14ac:dyDescent="0.25">
      <c r="A206" s="31">
        <f>'M&amp;R Stations'!A193</f>
        <v>39152</v>
      </c>
      <c r="B206" s="240">
        <v>0.34</v>
      </c>
      <c r="C206" s="241">
        <v>0.28000000000000003</v>
      </c>
      <c r="D206" s="201">
        <f t="shared" si="37"/>
        <v>0.31000000000000005</v>
      </c>
      <c r="E206" s="240">
        <v>0.35</v>
      </c>
      <c r="F206" s="241">
        <v>0.32</v>
      </c>
      <c r="G206" s="201">
        <f t="shared" si="38"/>
        <v>0.33499999999999996</v>
      </c>
      <c r="H206" s="240">
        <v>0.42</v>
      </c>
      <c r="I206" s="241">
        <v>0.35</v>
      </c>
      <c r="J206" s="202">
        <f t="shared" si="39"/>
        <v>0.38500000000000001</v>
      </c>
      <c r="K206" s="194"/>
      <c r="L206" s="240">
        <v>0.56399999999999995</v>
      </c>
      <c r="M206" s="241">
        <v>0.434</v>
      </c>
      <c r="N206" s="201">
        <f t="shared" si="40"/>
        <v>0.499</v>
      </c>
      <c r="O206" s="240">
        <v>0.4</v>
      </c>
      <c r="P206" s="241">
        <v>0.3</v>
      </c>
      <c r="Q206" s="201">
        <f t="shared" si="41"/>
        <v>0.35</v>
      </c>
      <c r="R206" s="240">
        <v>0.66900000000000004</v>
      </c>
      <c r="S206" s="241">
        <v>0.52300000000000002</v>
      </c>
      <c r="T206" s="201">
        <f t="shared" si="42"/>
        <v>0.59600000000000009</v>
      </c>
      <c r="U206" s="240">
        <v>0</v>
      </c>
      <c r="V206" s="241">
        <v>0</v>
      </c>
      <c r="W206" s="201">
        <f t="shared" si="43"/>
        <v>0</v>
      </c>
    </row>
    <row r="207" spans="1:23" ht="15.75" x14ac:dyDescent="0.25">
      <c r="A207" s="31">
        <f>'M&amp;R Stations'!A194</f>
        <v>39153</v>
      </c>
      <c r="B207" s="240">
        <v>0.36</v>
      </c>
      <c r="C207" s="241">
        <v>0.34</v>
      </c>
      <c r="D207" s="201">
        <f t="shared" si="37"/>
        <v>0.35</v>
      </c>
      <c r="E207" s="240">
        <v>0.38</v>
      </c>
      <c r="F207" s="241">
        <v>0.32</v>
      </c>
      <c r="G207" s="201">
        <f t="shared" si="38"/>
        <v>0.35</v>
      </c>
      <c r="H207" s="240">
        <v>0.45</v>
      </c>
      <c r="I207" s="241">
        <v>0.38</v>
      </c>
      <c r="J207" s="202">
        <f t="shared" si="39"/>
        <v>0.41500000000000004</v>
      </c>
      <c r="K207" s="194"/>
      <c r="L207" s="240">
        <v>0.47699999999999998</v>
      </c>
      <c r="M207" s="241">
        <v>0.41199999999999998</v>
      </c>
      <c r="N207" s="201">
        <f t="shared" si="40"/>
        <v>0.44450000000000001</v>
      </c>
      <c r="O207" s="240">
        <v>0.375</v>
      </c>
      <c r="P207" s="241">
        <v>0.3</v>
      </c>
      <c r="Q207" s="201">
        <f t="shared" si="41"/>
        <v>0.33750000000000002</v>
      </c>
      <c r="R207" s="240">
        <v>0.60599999999999998</v>
      </c>
      <c r="S207" s="241">
        <v>0.52300000000000002</v>
      </c>
      <c r="T207" s="201">
        <f t="shared" si="42"/>
        <v>0.5645</v>
      </c>
      <c r="U207" s="240">
        <v>0</v>
      </c>
      <c r="V207" s="241">
        <v>0</v>
      </c>
      <c r="W207" s="201">
        <f t="shared" si="43"/>
        <v>0</v>
      </c>
    </row>
    <row r="208" spans="1:23" ht="15.75" x14ac:dyDescent="0.25">
      <c r="A208" s="31">
        <f>'M&amp;R Stations'!A195</f>
        <v>39154</v>
      </c>
      <c r="B208" s="240">
        <v>0.36</v>
      </c>
      <c r="C208" s="241">
        <v>0.32</v>
      </c>
      <c r="D208" s="201">
        <f t="shared" si="37"/>
        <v>0.33999999999999997</v>
      </c>
      <c r="E208" s="240">
        <v>0.48</v>
      </c>
      <c r="F208" s="241">
        <v>0.38</v>
      </c>
      <c r="G208" s="201">
        <f t="shared" si="38"/>
        <v>0.43</v>
      </c>
      <c r="H208" s="240">
        <v>0.55000000000000004</v>
      </c>
      <c r="I208" s="241">
        <v>0.35</v>
      </c>
      <c r="J208" s="202">
        <f t="shared" si="39"/>
        <v>0.45</v>
      </c>
      <c r="K208" s="194"/>
      <c r="L208" s="240">
        <v>0.48</v>
      </c>
      <c r="M208" s="241">
        <v>0.41</v>
      </c>
      <c r="N208" s="201">
        <f t="shared" si="40"/>
        <v>0.44499999999999995</v>
      </c>
      <c r="O208" s="240">
        <v>0.4</v>
      </c>
      <c r="P208" s="241">
        <v>0.3</v>
      </c>
      <c r="Q208" s="201">
        <f t="shared" si="41"/>
        <v>0.35</v>
      </c>
      <c r="R208" s="240">
        <v>0.63</v>
      </c>
      <c r="S208" s="241">
        <v>0.56000000000000005</v>
      </c>
      <c r="T208" s="201">
        <f t="shared" si="42"/>
        <v>0.59499999999999997</v>
      </c>
      <c r="U208" s="240">
        <v>0</v>
      </c>
      <c r="V208" s="241">
        <v>0</v>
      </c>
      <c r="W208" s="201">
        <f t="shared" si="43"/>
        <v>0</v>
      </c>
    </row>
    <row r="209" spans="1:23" ht="15.75" x14ac:dyDescent="0.25">
      <c r="A209" s="31">
        <f>'M&amp;R Stations'!A196</f>
        <v>39155</v>
      </c>
      <c r="B209" s="240">
        <v>0.38</v>
      </c>
      <c r="C209" s="241">
        <v>0.32</v>
      </c>
      <c r="D209" s="201">
        <f t="shared" si="37"/>
        <v>0.35</v>
      </c>
      <c r="E209" s="240">
        <v>0</v>
      </c>
      <c r="F209" s="241">
        <v>0</v>
      </c>
      <c r="G209" s="201">
        <f t="shared" si="38"/>
        <v>0</v>
      </c>
      <c r="H209" s="240">
        <v>0.55000000000000004</v>
      </c>
      <c r="I209" s="241">
        <v>0.38</v>
      </c>
      <c r="J209" s="202">
        <f t="shared" si="39"/>
        <v>0.46500000000000002</v>
      </c>
      <c r="K209" s="194"/>
      <c r="L209" s="240">
        <v>0.46</v>
      </c>
      <c r="M209" s="241">
        <v>0.37</v>
      </c>
      <c r="N209" s="201">
        <f t="shared" si="40"/>
        <v>0.41500000000000004</v>
      </c>
      <c r="O209" s="240">
        <v>0.43</v>
      </c>
      <c r="P209" s="241">
        <v>0.3</v>
      </c>
      <c r="Q209" s="201">
        <f t="shared" si="41"/>
        <v>0.36499999999999999</v>
      </c>
      <c r="R209" s="240">
        <v>0.63</v>
      </c>
      <c r="S209" s="241">
        <v>0.42</v>
      </c>
      <c r="T209" s="201">
        <f t="shared" si="42"/>
        <v>0.52500000000000002</v>
      </c>
      <c r="U209" s="240">
        <v>0</v>
      </c>
      <c r="V209" s="241">
        <v>0</v>
      </c>
      <c r="W209" s="201">
        <f t="shared" si="43"/>
        <v>0</v>
      </c>
    </row>
    <row r="210" spans="1:23" ht="15.75" x14ac:dyDescent="0.25">
      <c r="A210" s="31">
        <f>'M&amp;R Stations'!A197</f>
        <v>39156</v>
      </c>
      <c r="B210" s="240">
        <v>0.4</v>
      </c>
      <c r="C210" s="241">
        <v>0.38</v>
      </c>
      <c r="D210" s="201">
        <f t="shared" si="37"/>
        <v>0.39</v>
      </c>
      <c r="E210" s="240">
        <v>0.43</v>
      </c>
      <c r="F210" s="241">
        <v>0.38</v>
      </c>
      <c r="G210" s="201">
        <f t="shared" si="38"/>
        <v>0.40500000000000003</v>
      </c>
      <c r="H210" s="240">
        <v>0.4</v>
      </c>
      <c r="I210" s="241">
        <v>0.38</v>
      </c>
      <c r="J210" s="202">
        <f t="shared" si="39"/>
        <v>0.39</v>
      </c>
      <c r="K210" s="194"/>
      <c r="L210" s="240">
        <v>0.48</v>
      </c>
      <c r="M210" s="241">
        <v>0.41</v>
      </c>
      <c r="N210" s="201">
        <f t="shared" si="40"/>
        <v>0.44499999999999995</v>
      </c>
      <c r="O210" s="240">
        <v>0.53</v>
      </c>
      <c r="P210" s="241">
        <v>0.35</v>
      </c>
      <c r="Q210" s="201">
        <f t="shared" si="41"/>
        <v>0.44</v>
      </c>
      <c r="R210" s="240">
        <v>0.68</v>
      </c>
      <c r="S210" s="241">
        <v>0.46</v>
      </c>
      <c r="T210" s="201">
        <f t="shared" si="42"/>
        <v>0.57000000000000006</v>
      </c>
      <c r="U210" s="240">
        <v>0</v>
      </c>
      <c r="V210" s="241">
        <v>0</v>
      </c>
      <c r="W210" s="201">
        <f t="shared" si="43"/>
        <v>0</v>
      </c>
    </row>
    <row r="211" spans="1:23" ht="15.75" x14ac:dyDescent="0.25">
      <c r="A211" s="31">
        <f>'M&amp;R Stations'!A198</f>
        <v>39157</v>
      </c>
      <c r="B211" s="240">
        <v>0.44</v>
      </c>
      <c r="C211" s="241">
        <v>0.4</v>
      </c>
      <c r="D211" s="201">
        <f t="shared" si="37"/>
        <v>0.42000000000000004</v>
      </c>
      <c r="E211" s="240">
        <v>0.4</v>
      </c>
      <c r="F211" s="241">
        <v>0.24</v>
      </c>
      <c r="G211" s="201">
        <f t="shared" si="38"/>
        <v>0.32</v>
      </c>
      <c r="H211" s="240">
        <v>0.43</v>
      </c>
      <c r="I211" s="241">
        <v>0.26</v>
      </c>
      <c r="J211" s="202">
        <f t="shared" si="39"/>
        <v>0.34499999999999997</v>
      </c>
      <c r="K211" s="194"/>
      <c r="L211" s="240">
        <v>0.46</v>
      </c>
      <c r="M211" s="241">
        <v>0.43</v>
      </c>
      <c r="N211" s="201">
        <f t="shared" si="40"/>
        <v>0.44500000000000001</v>
      </c>
      <c r="O211" s="240">
        <v>0.53</v>
      </c>
      <c r="P211" s="241">
        <v>0.49</v>
      </c>
      <c r="Q211" s="201">
        <f t="shared" si="41"/>
        <v>0.51</v>
      </c>
      <c r="R211" s="240">
        <v>0.68</v>
      </c>
      <c r="S211" s="241">
        <v>0.66</v>
      </c>
      <c r="T211" s="201">
        <f t="shared" si="42"/>
        <v>0.67</v>
      </c>
      <c r="U211" s="240">
        <v>0</v>
      </c>
      <c r="V211" s="241">
        <v>0</v>
      </c>
      <c r="W211" s="201">
        <f t="shared" si="43"/>
        <v>0</v>
      </c>
    </row>
    <row r="212" spans="1:23" ht="15.75" x14ac:dyDescent="0.25">
      <c r="A212" s="31">
        <f>'M&amp;R Stations'!A199</f>
        <v>39158</v>
      </c>
      <c r="B212" s="240">
        <v>0.4</v>
      </c>
      <c r="C212" s="241">
        <v>0.38</v>
      </c>
      <c r="D212" s="201">
        <f t="shared" si="37"/>
        <v>0.39</v>
      </c>
      <c r="E212" s="240">
        <v>0.26</v>
      </c>
      <c r="F212" s="241">
        <v>0.24</v>
      </c>
      <c r="G212" s="201">
        <f t="shared" si="38"/>
        <v>0.25</v>
      </c>
      <c r="H212" s="240">
        <v>0.26</v>
      </c>
      <c r="I212" s="241">
        <v>0.24</v>
      </c>
      <c r="J212" s="202">
        <f t="shared" si="39"/>
        <v>0.25</v>
      </c>
      <c r="K212" s="194"/>
      <c r="L212" s="240">
        <v>0.46</v>
      </c>
      <c r="M212" s="241">
        <v>0.41</v>
      </c>
      <c r="N212" s="201">
        <f t="shared" si="40"/>
        <v>0.435</v>
      </c>
      <c r="O212" s="240">
        <v>0.56999999999999995</v>
      </c>
      <c r="P212" s="241">
        <v>0.49</v>
      </c>
      <c r="Q212" s="201">
        <f t="shared" si="41"/>
        <v>0.53</v>
      </c>
      <c r="R212" s="240">
        <v>0.71</v>
      </c>
      <c r="S212" s="241">
        <v>0.64</v>
      </c>
      <c r="T212" s="201">
        <f t="shared" si="42"/>
        <v>0.67500000000000004</v>
      </c>
      <c r="U212" s="240">
        <v>0</v>
      </c>
      <c r="V212" s="241">
        <v>0</v>
      </c>
      <c r="W212" s="201">
        <f t="shared" si="43"/>
        <v>0</v>
      </c>
    </row>
    <row r="213" spans="1:23" ht="15.75" x14ac:dyDescent="0.25">
      <c r="A213" s="31">
        <f>'M&amp;R Stations'!A200</f>
        <v>39159</v>
      </c>
      <c r="B213" s="240">
        <v>0.42</v>
      </c>
      <c r="C213" s="241">
        <v>0.38</v>
      </c>
      <c r="D213" s="201">
        <f t="shared" si="37"/>
        <v>0.4</v>
      </c>
      <c r="E213" s="240">
        <v>0.24</v>
      </c>
      <c r="F213" s="241">
        <v>0.24</v>
      </c>
      <c r="G213" s="201">
        <f t="shared" si="38"/>
        <v>0.24</v>
      </c>
      <c r="H213" s="240">
        <v>0.28000000000000003</v>
      </c>
      <c r="I213" s="241">
        <v>0.24</v>
      </c>
      <c r="J213" s="202">
        <f t="shared" si="39"/>
        <v>0.26</v>
      </c>
      <c r="K213" s="194"/>
      <c r="L213" s="240">
        <v>0.46</v>
      </c>
      <c r="M213" s="241">
        <v>0.41</v>
      </c>
      <c r="N213" s="201">
        <f t="shared" si="40"/>
        <v>0.435</v>
      </c>
      <c r="O213" s="240">
        <v>0.56999999999999995</v>
      </c>
      <c r="P213" s="241">
        <v>0.45</v>
      </c>
      <c r="Q213" s="201">
        <f t="shared" si="41"/>
        <v>0.51</v>
      </c>
      <c r="R213" s="240">
        <v>0.71</v>
      </c>
      <c r="S213" s="241">
        <v>0.64</v>
      </c>
      <c r="T213" s="201">
        <f t="shared" si="42"/>
        <v>0.67500000000000004</v>
      </c>
      <c r="U213" s="240">
        <v>0</v>
      </c>
      <c r="V213" s="241">
        <v>0</v>
      </c>
      <c r="W213" s="201">
        <f t="shared" si="43"/>
        <v>0</v>
      </c>
    </row>
    <row r="214" spans="1:23" ht="15.75" x14ac:dyDescent="0.25">
      <c r="A214" s="31">
        <f>'M&amp;R Stations'!A201</f>
        <v>39160</v>
      </c>
      <c r="B214" s="240">
        <v>0.38</v>
      </c>
      <c r="C214" s="241">
        <v>0.35</v>
      </c>
      <c r="D214" s="201">
        <f t="shared" si="37"/>
        <v>0.36499999999999999</v>
      </c>
      <c r="E214" s="240">
        <v>0.24</v>
      </c>
      <c r="F214" s="241">
        <v>0.24</v>
      </c>
      <c r="G214" s="201">
        <f t="shared" si="38"/>
        <v>0.24</v>
      </c>
      <c r="H214" s="240">
        <v>0.26</v>
      </c>
      <c r="I214" s="241">
        <v>0.24</v>
      </c>
      <c r="J214" s="202">
        <f t="shared" si="39"/>
        <v>0.25</v>
      </c>
      <c r="K214" s="194"/>
      <c r="L214" s="240">
        <v>0.53</v>
      </c>
      <c r="M214" s="241">
        <v>0.41</v>
      </c>
      <c r="N214" s="201">
        <f t="shared" si="40"/>
        <v>0.47</v>
      </c>
      <c r="O214" s="240">
        <v>0.56999999999999995</v>
      </c>
      <c r="P214" s="241">
        <v>0.41</v>
      </c>
      <c r="Q214" s="201">
        <f t="shared" si="41"/>
        <v>0.49</v>
      </c>
      <c r="R214" s="240">
        <v>0.68</v>
      </c>
      <c r="S214" s="241">
        <v>0.59</v>
      </c>
      <c r="T214" s="201">
        <f t="shared" si="42"/>
        <v>0.63500000000000001</v>
      </c>
      <c r="U214" s="240">
        <v>0</v>
      </c>
      <c r="V214" s="241">
        <v>0</v>
      </c>
      <c r="W214" s="201">
        <f t="shared" si="43"/>
        <v>0</v>
      </c>
    </row>
    <row r="215" spans="1:23" ht="15.75" x14ac:dyDescent="0.25">
      <c r="A215" s="31">
        <f>'M&amp;R Stations'!A202</f>
        <v>39161</v>
      </c>
      <c r="B215" s="240">
        <v>0.38</v>
      </c>
      <c r="C215" s="241">
        <v>0.33</v>
      </c>
      <c r="D215" s="201">
        <f t="shared" si="37"/>
        <v>0.35499999999999998</v>
      </c>
      <c r="E215" s="240">
        <v>0.24</v>
      </c>
      <c r="F215" s="241">
        <v>0.24</v>
      </c>
      <c r="G215" s="201">
        <f t="shared" si="38"/>
        <v>0.24</v>
      </c>
      <c r="H215" s="240">
        <v>0.24</v>
      </c>
      <c r="I215" s="241">
        <v>0.24</v>
      </c>
      <c r="J215" s="202">
        <f t="shared" si="39"/>
        <v>0.24</v>
      </c>
      <c r="K215" s="194"/>
      <c r="L215" s="240">
        <v>0.5</v>
      </c>
      <c r="M215" s="241">
        <v>0.41</v>
      </c>
      <c r="N215" s="201">
        <f t="shared" si="40"/>
        <v>0.45499999999999996</v>
      </c>
      <c r="O215" s="240">
        <v>0.65</v>
      </c>
      <c r="P215" s="241">
        <v>0.41</v>
      </c>
      <c r="Q215" s="201">
        <f t="shared" si="41"/>
        <v>0.53</v>
      </c>
      <c r="R215" s="240">
        <v>0.71</v>
      </c>
      <c r="S215" s="241">
        <v>0.56999999999999995</v>
      </c>
      <c r="T215" s="201">
        <f t="shared" si="42"/>
        <v>0.6399999999999999</v>
      </c>
      <c r="U215" s="240">
        <v>0</v>
      </c>
      <c r="V215" s="241">
        <v>0</v>
      </c>
      <c r="W215" s="201">
        <f t="shared" si="43"/>
        <v>0</v>
      </c>
    </row>
    <row r="216" spans="1:23" ht="15.75" x14ac:dyDescent="0.25">
      <c r="A216" s="31">
        <f>'M&amp;R Stations'!A203</f>
        <v>39162</v>
      </c>
      <c r="B216" s="240">
        <v>0.39</v>
      </c>
      <c r="C216" s="241">
        <v>0.38</v>
      </c>
      <c r="D216" s="201">
        <f t="shared" si="37"/>
        <v>0.38500000000000001</v>
      </c>
      <c r="E216" s="240">
        <v>0.36</v>
      </c>
      <c r="F216" s="241">
        <v>0.24</v>
      </c>
      <c r="G216" s="201">
        <f t="shared" si="38"/>
        <v>0.3</v>
      </c>
      <c r="H216" s="240">
        <v>0.34</v>
      </c>
      <c r="I216" s="241">
        <v>0.24</v>
      </c>
      <c r="J216" s="202">
        <f t="shared" si="39"/>
        <v>0.29000000000000004</v>
      </c>
      <c r="K216" s="194"/>
      <c r="L216" s="240">
        <v>0.5</v>
      </c>
      <c r="M216" s="241">
        <v>0.41</v>
      </c>
      <c r="N216" s="201">
        <f t="shared" si="40"/>
        <v>0.45499999999999996</v>
      </c>
      <c r="O216" s="240">
        <v>0.61</v>
      </c>
      <c r="P216" s="241">
        <v>0.56999999999999995</v>
      </c>
      <c r="Q216" s="201">
        <f t="shared" si="41"/>
        <v>0.59</v>
      </c>
      <c r="R216" s="240">
        <v>0.61</v>
      </c>
      <c r="S216" s="241">
        <v>0.54</v>
      </c>
      <c r="T216" s="201">
        <f t="shared" si="42"/>
        <v>0.57499999999999996</v>
      </c>
      <c r="U216" s="240">
        <v>0</v>
      </c>
      <c r="V216" s="241">
        <v>0</v>
      </c>
      <c r="W216" s="201">
        <f t="shared" si="43"/>
        <v>0</v>
      </c>
    </row>
    <row r="217" spans="1:23" ht="15.75" x14ac:dyDescent="0.25">
      <c r="A217" s="31">
        <f>'M&amp;R Stations'!A204</f>
        <v>39163</v>
      </c>
      <c r="B217" s="240">
        <v>0.39</v>
      </c>
      <c r="C217" s="241">
        <v>0.37</v>
      </c>
      <c r="D217" s="201">
        <f t="shared" si="37"/>
        <v>0.38</v>
      </c>
      <c r="E217" s="240">
        <v>0.36</v>
      </c>
      <c r="F217" s="241">
        <v>0.33</v>
      </c>
      <c r="G217" s="201">
        <f t="shared" si="38"/>
        <v>0.34499999999999997</v>
      </c>
      <c r="H217" s="240">
        <v>0.4</v>
      </c>
      <c r="I217" s="241">
        <v>0.34</v>
      </c>
      <c r="J217" s="202">
        <f t="shared" si="39"/>
        <v>0.37</v>
      </c>
      <c r="K217" s="194"/>
      <c r="L217" s="240">
        <v>0.48</v>
      </c>
      <c r="M217" s="241">
        <v>0.39700000000000002</v>
      </c>
      <c r="N217" s="201">
        <f t="shared" si="40"/>
        <v>0.4385</v>
      </c>
      <c r="O217" s="240">
        <v>0.57099999999999995</v>
      </c>
      <c r="P217" s="241">
        <v>0.436</v>
      </c>
      <c r="Q217" s="201">
        <f t="shared" si="41"/>
        <v>0.50349999999999995</v>
      </c>
      <c r="R217" s="240">
        <v>0.59</v>
      </c>
      <c r="S217" s="241">
        <v>0.39800000000000002</v>
      </c>
      <c r="T217" s="201">
        <f t="shared" si="42"/>
        <v>0.49399999999999999</v>
      </c>
      <c r="U217" s="240">
        <v>0</v>
      </c>
      <c r="V217" s="241">
        <v>0</v>
      </c>
      <c r="W217" s="201">
        <f t="shared" si="43"/>
        <v>0</v>
      </c>
    </row>
    <row r="218" spans="1:23" ht="15.75" x14ac:dyDescent="0.25">
      <c r="A218" s="31">
        <f>'M&amp;R Stations'!A205</f>
        <v>39164</v>
      </c>
      <c r="B218" s="240">
        <v>0.39</v>
      </c>
      <c r="C218" s="241">
        <v>0.39</v>
      </c>
      <c r="D218" s="201">
        <f t="shared" si="37"/>
        <v>0.39</v>
      </c>
      <c r="E218" s="240">
        <v>0.36</v>
      </c>
      <c r="F218" s="241">
        <v>0.33</v>
      </c>
      <c r="G218" s="201">
        <f t="shared" si="38"/>
        <v>0.34499999999999997</v>
      </c>
      <c r="H218" s="240">
        <v>0.4</v>
      </c>
      <c r="I218" s="241">
        <v>0.34</v>
      </c>
      <c r="J218" s="202">
        <f t="shared" si="39"/>
        <v>0.37</v>
      </c>
      <c r="K218" s="194"/>
      <c r="L218" s="240">
        <v>0.48099999999999998</v>
      </c>
      <c r="M218" s="241">
        <v>0.41799999999999998</v>
      </c>
      <c r="N218" s="201">
        <f t="shared" si="40"/>
        <v>0.44950000000000001</v>
      </c>
      <c r="O218" s="240">
        <v>0.46899999999999997</v>
      </c>
      <c r="P218" s="241">
        <v>0.40200000000000002</v>
      </c>
      <c r="Q218" s="201">
        <f t="shared" si="41"/>
        <v>0.4355</v>
      </c>
      <c r="R218" s="240">
        <v>0.433</v>
      </c>
      <c r="S218" s="241">
        <v>0.41499999999999998</v>
      </c>
      <c r="T218" s="201">
        <f t="shared" si="42"/>
        <v>0.42399999999999999</v>
      </c>
      <c r="U218" s="240">
        <v>0</v>
      </c>
      <c r="V218" s="241">
        <v>0</v>
      </c>
      <c r="W218" s="201">
        <f t="shared" si="43"/>
        <v>0</v>
      </c>
    </row>
    <row r="219" spans="1:23" ht="15.75" x14ac:dyDescent="0.25">
      <c r="A219" s="31">
        <f>'M&amp;R Stations'!A206</f>
        <v>39165</v>
      </c>
      <c r="B219" s="240">
        <v>0.39</v>
      </c>
      <c r="C219" s="241">
        <v>0.37</v>
      </c>
      <c r="D219" s="201">
        <f t="shared" si="37"/>
        <v>0.38</v>
      </c>
      <c r="E219" s="240">
        <v>0.36</v>
      </c>
      <c r="F219" s="241">
        <v>0.33</v>
      </c>
      <c r="G219" s="201">
        <f t="shared" si="38"/>
        <v>0.34499999999999997</v>
      </c>
      <c r="H219" s="240">
        <v>0.4</v>
      </c>
      <c r="I219" s="241">
        <v>0.37</v>
      </c>
      <c r="J219" s="202">
        <f t="shared" si="39"/>
        <v>0.38500000000000001</v>
      </c>
      <c r="K219" s="194"/>
      <c r="L219" s="240">
        <v>0.439</v>
      </c>
      <c r="M219" s="241">
        <v>0.41799999999999998</v>
      </c>
      <c r="N219" s="201">
        <f t="shared" si="40"/>
        <v>0.42849999999999999</v>
      </c>
      <c r="O219" s="240">
        <v>0.46899999999999997</v>
      </c>
      <c r="P219" s="241">
        <v>0.40200000000000002</v>
      </c>
      <c r="Q219" s="201">
        <f t="shared" si="41"/>
        <v>0.4355</v>
      </c>
      <c r="R219" s="240">
        <v>0.433</v>
      </c>
      <c r="S219" s="241">
        <v>0.38100000000000001</v>
      </c>
      <c r="T219" s="201">
        <f t="shared" si="42"/>
        <v>0.40700000000000003</v>
      </c>
      <c r="U219" s="240">
        <v>0</v>
      </c>
      <c r="V219" s="241">
        <v>0</v>
      </c>
      <c r="W219" s="201">
        <f t="shared" si="43"/>
        <v>0</v>
      </c>
    </row>
    <row r="220" spans="1:23" ht="15.75" x14ac:dyDescent="0.25">
      <c r="A220" s="31">
        <f>'M&amp;R Stations'!A207</f>
        <v>39166</v>
      </c>
      <c r="B220" s="240">
        <v>0.41</v>
      </c>
      <c r="C220" s="241">
        <v>0.34</v>
      </c>
      <c r="D220" s="201">
        <f t="shared" si="37"/>
        <v>0.375</v>
      </c>
      <c r="E220" s="240">
        <v>0.4</v>
      </c>
      <c r="F220" s="241">
        <v>0.36</v>
      </c>
      <c r="G220" s="201">
        <f t="shared" si="38"/>
        <v>0.38</v>
      </c>
      <c r="H220" s="240">
        <v>0.4</v>
      </c>
      <c r="I220" s="241">
        <v>0.37</v>
      </c>
      <c r="J220" s="202">
        <f t="shared" si="39"/>
        <v>0.38500000000000001</v>
      </c>
      <c r="K220" s="194"/>
      <c r="L220" s="240">
        <v>0.439</v>
      </c>
      <c r="M220" s="241">
        <v>0.41799999999999998</v>
      </c>
      <c r="N220" s="201">
        <f t="shared" si="40"/>
        <v>0.42849999999999999</v>
      </c>
      <c r="O220" s="240">
        <v>0.436</v>
      </c>
      <c r="P220" s="241">
        <v>0.40200000000000002</v>
      </c>
      <c r="Q220" s="201">
        <f t="shared" si="41"/>
        <v>0.41900000000000004</v>
      </c>
      <c r="R220" s="240">
        <v>0.45</v>
      </c>
      <c r="S220" s="241">
        <v>0.39800000000000002</v>
      </c>
      <c r="T220" s="201">
        <f t="shared" si="42"/>
        <v>0.42400000000000004</v>
      </c>
      <c r="U220" s="240">
        <v>0</v>
      </c>
      <c r="V220" s="241">
        <v>0</v>
      </c>
      <c r="W220" s="201">
        <f t="shared" si="43"/>
        <v>0</v>
      </c>
    </row>
    <row r="221" spans="1:23" ht="15.75" x14ac:dyDescent="0.25">
      <c r="A221" s="31">
        <f>'M&amp;R Stations'!A208</f>
        <v>39167</v>
      </c>
      <c r="B221" s="240">
        <v>0.39</v>
      </c>
      <c r="C221" s="241">
        <v>0.34</v>
      </c>
      <c r="D221" s="201">
        <f t="shared" si="37"/>
        <v>0.36499999999999999</v>
      </c>
      <c r="E221" s="240">
        <v>0.39</v>
      </c>
      <c r="F221" s="241">
        <v>0.33</v>
      </c>
      <c r="G221" s="201">
        <f t="shared" si="38"/>
        <v>0.36</v>
      </c>
      <c r="H221" s="240">
        <v>0.44</v>
      </c>
      <c r="I221" s="241">
        <v>0.24</v>
      </c>
      <c r="J221" s="202">
        <f t="shared" si="39"/>
        <v>0.33999999999999997</v>
      </c>
      <c r="K221" s="194"/>
      <c r="L221" s="240">
        <v>0.46</v>
      </c>
      <c r="M221" s="241">
        <v>0.376</v>
      </c>
      <c r="N221" s="201">
        <f t="shared" si="40"/>
        <v>0.41800000000000004</v>
      </c>
      <c r="O221" s="240">
        <v>0.53600000000000003</v>
      </c>
      <c r="P221" s="241">
        <v>0.40200000000000002</v>
      </c>
      <c r="Q221" s="201">
        <f t="shared" si="41"/>
        <v>0.46900000000000003</v>
      </c>
      <c r="R221" s="240">
        <v>0.433</v>
      </c>
      <c r="S221" s="241">
        <v>0.39700000000000002</v>
      </c>
      <c r="T221" s="201">
        <f t="shared" si="42"/>
        <v>0.41500000000000004</v>
      </c>
      <c r="U221" s="240">
        <v>0</v>
      </c>
      <c r="V221" s="241">
        <v>0</v>
      </c>
      <c r="W221" s="201">
        <f t="shared" si="43"/>
        <v>0</v>
      </c>
    </row>
    <row r="222" spans="1:23" ht="15.75" x14ac:dyDescent="0.25">
      <c r="A222" s="31">
        <f>'M&amp;R Stations'!A209</f>
        <v>39168</v>
      </c>
      <c r="B222" s="240">
        <v>0.39</v>
      </c>
      <c r="C222" s="241">
        <v>0.32</v>
      </c>
      <c r="D222" s="201">
        <f t="shared" si="37"/>
        <v>0.35499999999999998</v>
      </c>
      <c r="E222" s="240">
        <v>0.36</v>
      </c>
      <c r="F222" s="241">
        <v>0.33</v>
      </c>
      <c r="G222" s="201">
        <f t="shared" si="38"/>
        <v>0.34499999999999997</v>
      </c>
      <c r="H222" s="240">
        <v>0.5</v>
      </c>
      <c r="I222" s="241">
        <v>0.34</v>
      </c>
      <c r="J222" s="202">
        <f t="shared" si="39"/>
        <v>0.42000000000000004</v>
      </c>
      <c r="K222" s="194"/>
      <c r="L222" s="240">
        <v>0.439</v>
      </c>
      <c r="M222" s="241">
        <v>0.35499999999999998</v>
      </c>
      <c r="N222" s="201">
        <f t="shared" si="40"/>
        <v>0.39700000000000002</v>
      </c>
      <c r="O222" s="240">
        <v>0.436</v>
      </c>
      <c r="P222" s="241">
        <v>0.40200000000000002</v>
      </c>
      <c r="Q222" s="201">
        <f t="shared" si="41"/>
        <v>0.41900000000000004</v>
      </c>
      <c r="R222" s="240">
        <v>0.433</v>
      </c>
      <c r="S222" s="241">
        <v>0.34599999999999997</v>
      </c>
      <c r="T222" s="201">
        <f t="shared" si="42"/>
        <v>0.38949999999999996</v>
      </c>
      <c r="U222" s="240">
        <v>0</v>
      </c>
      <c r="V222" s="241">
        <v>0</v>
      </c>
      <c r="W222" s="201">
        <f t="shared" si="43"/>
        <v>0</v>
      </c>
    </row>
    <row r="223" spans="1:23" ht="15.75" x14ac:dyDescent="0.25">
      <c r="A223" s="31">
        <f>'M&amp;R Stations'!A210</f>
        <v>39169</v>
      </c>
      <c r="B223" s="240">
        <v>0.34</v>
      </c>
      <c r="C223" s="241">
        <v>0.3</v>
      </c>
      <c r="D223" s="201">
        <f t="shared" si="37"/>
        <v>0.32</v>
      </c>
      <c r="E223" s="240">
        <v>0.38</v>
      </c>
      <c r="F223" s="241">
        <v>0.35</v>
      </c>
      <c r="G223" s="201">
        <f t="shared" si="38"/>
        <v>0.36499999999999999</v>
      </c>
      <c r="H223" s="240">
        <v>0.5</v>
      </c>
      <c r="I223" s="241">
        <v>0.32</v>
      </c>
      <c r="J223" s="202">
        <f t="shared" si="39"/>
        <v>0.41000000000000003</v>
      </c>
      <c r="K223" s="194"/>
      <c r="L223" s="240">
        <v>0.46</v>
      </c>
      <c r="M223" s="241">
        <v>0.376</v>
      </c>
      <c r="N223" s="201">
        <f t="shared" si="40"/>
        <v>0.41800000000000004</v>
      </c>
      <c r="O223" s="240">
        <v>0.46899999999999997</v>
      </c>
      <c r="P223" s="241">
        <v>0.33500000000000002</v>
      </c>
      <c r="Q223" s="201">
        <f t="shared" si="41"/>
        <v>0.40200000000000002</v>
      </c>
      <c r="R223" s="240">
        <v>0.48399999999999999</v>
      </c>
      <c r="S223" s="241">
        <v>0.41499999999999998</v>
      </c>
      <c r="T223" s="201">
        <f t="shared" si="42"/>
        <v>0.44950000000000001</v>
      </c>
      <c r="U223" s="240">
        <v>0</v>
      </c>
      <c r="V223" s="241">
        <v>0</v>
      </c>
      <c r="W223" s="201">
        <f t="shared" si="43"/>
        <v>0</v>
      </c>
    </row>
    <row r="224" spans="1:23" ht="15.75" x14ac:dyDescent="0.25">
      <c r="A224" s="31">
        <f>'M&amp;R Stations'!A211</f>
        <v>39170</v>
      </c>
      <c r="B224" s="240">
        <v>0.34</v>
      </c>
      <c r="C224" s="241">
        <v>0.28000000000000003</v>
      </c>
      <c r="D224" s="201">
        <f t="shared" si="37"/>
        <v>0.31000000000000005</v>
      </c>
      <c r="E224" s="240">
        <v>0.45</v>
      </c>
      <c r="F224" s="241">
        <v>0.3</v>
      </c>
      <c r="G224" s="201">
        <f t="shared" si="38"/>
        <v>0.375</v>
      </c>
      <c r="H224" s="240">
        <v>0.5</v>
      </c>
      <c r="I224" s="241">
        <v>0.39</v>
      </c>
      <c r="J224" s="202">
        <f t="shared" si="39"/>
        <v>0.44500000000000001</v>
      </c>
      <c r="K224" s="194"/>
      <c r="L224" s="240">
        <v>0.46400000000000002</v>
      </c>
      <c r="M224" s="241">
        <v>0.42199999999999999</v>
      </c>
      <c r="N224" s="201">
        <f t="shared" si="40"/>
        <v>0.443</v>
      </c>
      <c r="O224" s="240">
        <v>0.57099999999999995</v>
      </c>
      <c r="P224" s="241">
        <v>0.36899999999999999</v>
      </c>
      <c r="Q224" s="201">
        <f t="shared" si="41"/>
        <v>0.47</v>
      </c>
      <c r="R224" s="240">
        <v>0.47099999999999997</v>
      </c>
      <c r="S224" s="241">
        <v>0.40799999999999997</v>
      </c>
      <c r="T224" s="201">
        <f t="shared" si="42"/>
        <v>0.4395</v>
      </c>
      <c r="U224" s="240">
        <v>0</v>
      </c>
      <c r="V224" s="241">
        <v>0</v>
      </c>
      <c r="W224" s="201">
        <f t="shared" si="43"/>
        <v>0</v>
      </c>
    </row>
    <row r="225" spans="1:23" ht="15.75" x14ac:dyDescent="0.25">
      <c r="A225" s="31">
        <f>'M&amp;R Stations'!A212</f>
        <v>39171</v>
      </c>
      <c r="B225" s="240">
        <v>0.36</v>
      </c>
      <c r="C225" s="241">
        <v>0.34</v>
      </c>
      <c r="D225" s="201">
        <f t="shared" si="37"/>
        <v>0.35</v>
      </c>
      <c r="E225" s="240">
        <v>0.45</v>
      </c>
      <c r="F225" s="241">
        <v>0.38</v>
      </c>
      <c r="G225" s="201">
        <f t="shared" si="38"/>
        <v>0.41500000000000004</v>
      </c>
      <c r="H225" s="240">
        <v>0.46</v>
      </c>
      <c r="I225" s="241">
        <v>0.43</v>
      </c>
      <c r="J225" s="202">
        <f t="shared" si="39"/>
        <v>0.44500000000000001</v>
      </c>
      <c r="K225" s="194"/>
      <c r="L225" s="240">
        <v>0.46400000000000002</v>
      </c>
      <c r="M225" s="241">
        <v>0.40100000000000002</v>
      </c>
      <c r="N225" s="201">
        <f t="shared" si="40"/>
        <v>0.4325</v>
      </c>
      <c r="O225" s="240">
        <v>0.52400000000000002</v>
      </c>
      <c r="P225" s="241">
        <v>0.42799999999999999</v>
      </c>
      <c r="Q225" s="201">
        <f t="shared" si="41"/>
        <v>0.47599999999999998</v>
      </c>
      <c r="R225" s="240">
        <v>0.47099999999999997</v>
      </c>
      <c r="S225" s="241">
        <v>0.44</v>
      </c>
      <c r="T225" s="201">
        <f t="shared" si="42"/>
        <v>0.45550000000000002</v>
      </c>
      <c r="U225" s="240">
        <v>0</v>
      </c>
      <c r="V225" s="241">
        <v>0</v>
      </c>
      <c r="W225" s="201">
        <f t="shared" si="43"/>
        <v>0</v>
      </c>
    </row>
    <row r="226" spans="1:23" ht="15.75" x14ac:dyDescent="0.25">
      <c r="A226" s="31">
        <f>'M&amp;R Stations'!A213</f>
        <v>39172</v>
      </c>
      <c r="B226" s="240">
        <v>0.4</v>
      </c>
      <c r="C226" s="241">
        <v>0.32</v>
      </c>
      <c r="D226" s="201">
        <f t="shared" si="37"/>
        <v>0.36</v>
      </c>
      <c r="E226" s="240">
        <v>0.42</v>
      </c>
      <c r="F226" s="241">
        <v>0.42</v>
      </c>
      <c r="G226" s="201">
        <f t="shared" si="38"/>
        <v>0.42</v>
      </c>
      <c r="H226" s="240">
        <v>0.46</v>
      </c>
      <c r="I226" s="241">
        <v>0.43</v>
      </c>
      <c r="J226" s="202">
        <f t="shared" si="39"/>
        <v>0.44500000000000001</v>
      </c>
      <c r="K226" s="194"/>
      <c r="L226" s="240">
        <v>0.46400000000000002</v>
      </c>
      <c r="M226" s="241">
        <v>0.4</v>
      </c>
      <c r="N226" s="201">
        <f t="shared" si="40"/>
        <v>0.43200000000000005</v>
      </c>
      <c r="O226" s="240">
        <v>0.52400000000000002</v>
      </c>
      <c r="P226" s="241">
        <v>0.42799999999999999</v>
      </c>
      <c r="Q226" s="201">
        <f t="shared" si="41"/>
        <v>0.47599999999999998</v>
      </c>
      <c r="R226" s="240">
        <v>0.48699999999999999</v>
      </c>
      <c r="S226" s="241">
        <v>0.41499999999999998</v>
      </c>
      <c r="T226" s="201">
        <f t="shared" si="42"/>
        <v>0.45099999999999996</v>
      </c>
      <c r="U226" s="240">
        <v>0</v>
      </c>
      <c r="V226" s="241">
        <v>0</v>
      </c>
      <c r="W226" s="201">
        <f t="shared" si="43"/>
        <v>0</v>
      </c>
    </row>
    <row r="227" spans="1:23" ht="15.75" x14ac:dyDescent="0.25">
      <c r="A227" s="179"/>
      <c r="B227" s="203"/>
      <c r="C227" s="204"/>
      <c r="D227" s="205"/>
      <c r="E227" s="203"/>
      <c r="F227" s="204"/>
      <c r="G227" s="205"/>
      <c r="H227" s="203"/>
      <c r="I227" s="204"/>
      <c r="J227" s="206"/>
      <c r="K227" s="207"/>
      <c r="L227" s="203"/>
      <c r="M227" s="204"/>
      <c r="N227" s="206"/>
      <c r="O227" s="203"/>
      <c r="P227" s="204"/>
      <c r="Q227" s="206"/>
      <c r="R227" s="203"/>
      <c r="S227" s="204"/>
      <c r="T227" s="206"/>
      <c r="U227" s="203"/>
      <c r="V227" s="204"/>
      <c r="W227" s="206"/>
    </row>
    <row r="228" spans="1:23" ht="15.75" x14ac:dyDescent="0.25">
      <c r="A228" s="31">
        <f>'M&amp;R Stations'!A214</f>
        <v>39173</v>
      </c>
      <c r="B228" s="240">
        <v>0.4</v>
      </c>
      <c r="C228" s="241">
        <v>0.34</v>
      </c>
      <c r="D228" s="201">
        <f t="shared" si="37"/>
        <v>0.37</v>
      </c>
      <c r="E228" s="240">
        <v>0.42</v>
      </c>
      <c r="F228" s="241">
        <v>0.42</v>
      </c>
      <c r="G228" s="201">
        <f t="shared" ref="G228:G291" si="44">IF(AND(E228="",F228=""),"",IF(E228="off",F228,IF(F228="off",E228,AVERAGE(E228:F228))))</f>
        <v>0.42</v>
      </c>
      <c r="H228" s="240">
        <v>0.46</v>
      </c>
      <c r="I228" s="241">
        <v>0.43</v>
      </c>
      <c r="J228" s="201">
        <f t="shared" ref="J228:J257" si="45">IF(AND(H228="",I228=""),"",IF(H228="off",I228,IF(I228="off",H228,AVERAGE(H228:I228))))</f>
        <v>0.44500000000000001</v>
      </c>
      <c r="K228" s="260"/>
      <c r="L228" s="240">
        <v>0.42199999999999999</v>
      </c>
      <c r="M228" s="241">
        <v>0.4</v>
      </c>
      <c r="N228" s="201">
        <f t="shared" ref="N228:N257" si="46">IF(AND(L228="",M228=""),"",IF(L228="off",M228,IF(M228="off",L228,AVERAGE(L228:M228))))</f>
        <v>0.41100000000000003</v>
      </c>
      <c r="O228" s="240">
        <v>0.47599999999999998</v>
      </c>
      <c r="P228" s="241">
        <v>0.42799999999999999</v>
      </c>
      <c r="Q228" s="201">
        <f t="shared" ref="Q228:Q257" si="47">IF(AND(O228="",P228=""),"",IF(O228="off",P228,IF(P228="off",O228,AVERAGE(O228:P228))))</f>
        <v>0.45199999999999996</v>
      </c>
      <c r="R228" s="240">
        <v>0.48699999999999999</v>
      </c>
      <c r="S228" s="241">
        <v>0.45500000000000002</v>
      </c>
      <c r="T228" s="201">
        <f t="shared" ref="T228:T257" si="48">IF(AND(R228="",S228=""),"",IF(R228="off",S228,IF(S228="off",R228,AVERAGE(R228:S228))))</f>
        <v>0.47099999999999997</v>
      </c>
      <c r="U228" s="240">
        <v>0</v>
      </c>
      <c r="V228" s="241">
        <v>0</v>
      </c>
      <c r="W228" s="201">
        <f t="shared" ref="W228:W257" si="49">IF(AND(U228="",V228=""),"",IF(U228="off",V228,IF(V228="off",U228,AVERAGE(U228:V228))))</f>
        <v>0</v>
      </c>
    </row>
    <row r="229" spans="1:23" ht="15.75" x14ac:dyDescent="0.25">
      <c r="A229" s="31">
        <f>'M&amp;R Stations'!A215</f>
        <v>39174</v>
      </c>
      <c r="B229" s="240">
        <v>0.34</v>
      </c>
      <c r="C229" s="241">
        <v>0.3</v>
      </c>
      <c r="D229" s="201">
        <f t="shared" si="37"/>
        <v>0.32</v>
      </c>
      <c r="E229" s="240">
        <v>0.45</v>
      </c>
      <c r="F229" s="241">
        <v>0.42</v>
      </c>
      <c r="G229" s="201">
        <f t="shared" si="44"/>
        <v>0.435</v>
      </c>
      <c r="H229" s="240">
        <v>0.43</v>
      </c>
      <c r="I229" s="241">
        <v>0.43</v>
      </c>
      <c r="J229" s="201">
        <f t="shared" si="45"/>
        <v>0.43</v>
      </c>
      <c r="K229" s="260"/>
      <c r="L229" s="240">
        <v>0.42199999999999999</v>
      </c>
      <c r="M229" s="241">
        <v>0.379</v>
      </c>
      <c r="N229" s="201">
        <f t="shared" si="46"/>
        <v>0.40049999999999997</v>
      </c>
      <c r="O229" s="240">
        <v>0.47599999999999998</v>
      </c>
      <c r="P229" s="241">
        <v>0.42799999999999999</v>
      </c>
      <c r="Q229" s="201">
        <f t="shared" si="47"/>
        <v>0.45199999999999996</v>
      </c>
      <c r="R229" s="240">
        <v>0.47099999999999997</v>
      </c>
      <c r="S229" s="241">
        <v>0.44</v>
      </c>
      <c r="T229" s="201">
        <f t="shared" si="48"/>
        <v>0.45550000000000002</v>
      </c>
      <c r="U229" s="240">
        <v>0</v>
      </c>
      <c r="V229" s="241">
        <v>0</v>
      </c>
      <c r="W229" s="201">
        <f t="shared" si="49"/>
        <v>0</v>
      </c>
    </row>
    <row r="230" spans="1:23" ht="15.75" x14ac:dyDescent="0.25">
      <c r="A230" s="31">
        <f>'M&amp;R Stations'!A216</f>
        <v>39175</v>
      </c>
      <c r="B230" s="240">
        <v>0.32</v>
      </c>
      <c r="C230" s="241">
        <v>0.26</v>
      </c>
      <c r="D230" s="201">
        <f t="shared" si="37"/>
        <v>0.29000000000000004</v>
      </c>
      <c r="E230" s="240">
        <v>0.49</v>
      </c>
      <c r="F230" s="241">
        <v>0.38</v>
      </c>
      <c r="G230" s="201">
        <f t="shared" si="44"/>
        <v>0.435</v>
      </c>
      <c r="H230" s="240">
        <v>0.43</v>
      </c>
      <c r="I230" s="241">
        <v>0.36</v>
      </c>
      <c r="J230" s="201">
        <f t="shared" si="45"/>
        <v>0.39500000000000002</v>
      </c>
      <c r="K230" s="260"/>
      <c r="L230" s="240">
        <v>0.48499999999999999</v>
      </c>
      <c r="M230" s="241">
        <v>0.379</v>
      </c>
      <c r="N230" s="201">
        <f t="shared" si="46"/>
        <v>0.432</v>
      </c>
      <c r="O230" s="240">
        <v>0.47599999999999998</v>
      </c>
      <c r="P230" s="241">
        <v>0.42799999999999999</v>
      </c>
      <c r="Q230" s="201">
        <f t="shared" si="47"/>
        <v>0.45199999999999996</v>
      </c>
      <c r="R230" s="240">
        <v>0.47099999999999997</v>
      </c>
      <c r="S230" s="241">
        <v>0.40799999999999997</v>
      </c>
      <c r="T230" s="201">
        <f t="shared" si="48"/>
        <v>0.4395</v>
      </c>
      <c r="U230" s="240">
        <v>0</v>
      </c>
      <c r="V230" s="241">
        <v>0</v>
      </c>
      <c r="W230" s="201">
        <f t="shared" si="49"/>
        <v>0</v>
      </c>
    </row>
    <row r="231" spans="1:23" ht="15.75" x14ac:dyDescent="0.25">
      <c r="A231" s="31">
        <f>'M&amp;R Stations'!A217</f>
        <v>39176</v>
      </c>
      <c r="B231" s="240">
        <v>0.34</v>
      </c>
      <c r="C231" s="241">
        <v>0.3</v>
      </c>
      <c r="D231" s="201">
        <f t="shared" si="37"/>
        <v>0.32</v>
      </c>
      <c r="E231" s="240">
        <v>0.45</v>
      </c>
      <c r="F231" s="241">
        <v>0.38</v>
      </c>
      <c r="G231" s="201">
        <f t="shared" si="44"/>
        <v>0.41500000000000004</v>
      </c>
      <c r="H231" s="240">
        <v>0.5</v>
      </c>
      <c r="I231" s="241">
        <v>0.36</v>
      </c>
      <c r="J231" s="201">
        <f t="shared" si="45"/>
        <v>0.43</v>
      </c>
      <c r="K231" s="260"/>
      <c r="L231" s="240">
        <v>0.50600000000000001</v>
      </c>
      <c r="M231" s="241">
        <v>0.4</v>
      </c>
      <c r="N231" s="201">
        <f t="shared" si="46"/>
        <v>0.45300000000000001</v>
      </c>
      <c r="O231" s="240">
        <v>0.57099999999999995</v>
      </c>
      <c r="P231" s="241">
        <v>0.47599999999999998</v>
      </c>
      <c r="Q231" s="201">
        <f t="shared" si="47"/>
        <v>0.52349999999999997</v>
      </c>
      <c r="R231" s="240">
        <v>0.47099999999999997</v>
      </c>
      <c r="S231" s="241">
        <v>0.40799999999999997</v>
      </c>
      <c r="T231" s="201">
        <f t="shared" si="48"/>
        <v>0.4395</v>
      </c>
      <c r="U231" s="240">
        <v>0</v>
      </c>
      <c r="V231" s="241">
        <v>0</v>
      </c>
      <c r="W231" s="201">
        <f t="shared" si="49"/>
        <v>0</v>
      </c>
    </row>
    <row r="232" spans="1:23" ht="15.75" x14ac:dyDescent="0.25">
      <c r="A232" s="31">
        <f>'M&amp;R Stations'!A218</f>
        <v>39177</v>
      </c>
      <c r="B232" s="240">
        <v>0.52</v>
      </c>
      <c r="C232" s="241">
        <v>0.32</v>
      </c>
      <c r="D232" s="201">
        <f t="shared" si="37"/>
        <v>0.42000000000000004</v>
      </c>
      <c r="E232" s="240">
        <v>0.42</v>
      </c>
      <c r="F232" s="241">
        <v>0.22</v>
      </c>
      <c r="G232" s="201">
        <f t="shared" si="44"/>
        <v>0.32</v>
      </c>
      <c r="H232" s="240">
        <v>0.46</v>
      </c>
      <c r="I232" s="241">
        <v>0.23</v>
      </c>
      <c r="J232" s="201">
        <f t="shared" si="45"/>
        <v>0.34500000000000003</v>
      </c>
      <c r="K232" s="260"/>
      <c r="L232" s="240">
        <v>0.47199999999999998</v>
      </c>
      <c r="M232" s="241">
        <v>0.42199999999999999</v>
      </c>
      <c r="N232" s="201">
        <f t="shared" si="46"/>
        <v>0.44699999999999995</v>
      </c>
      <c r="O232" s="240">
        <v>0.52</v>
      </c>
      <c r="P232" s="241">
        <v>0.41599999999999998</v>
      </c>
      <c r="Q232" s="201">
        <f t="shared" si="47"/>
        <v>0.46799999999999997</v>
      </c>
      <c r="R232" s="240">
        <v>0.47599999999999998</v>
      </c>
      <c r="S232" s="241">
        <v>0.42399999999999999</v>
      </c>
      <c r="T232" s="201">
        <f t="shared" si="48"/>
        <v>0.44999999999999996</v>
      </c>
      <c r="U232" s="240">
        <v>0</v>
      </c>
      <c r="V232" s="241">
        <v>0</v>
      </c>
      <c r="W232" s="201">
        <f t="shared" si="49"/>
        <v>0</v>
      </c>
    </row>
    <row r="233" spans="1:23" ht="15.75" x14ac:dyDescent="0.25">
      <c r="A233" s="31">
        <f>'M&amp;R Stations'!A219</f>
        <v>39178</v>
      </c>
      <c r="B233" s="240">
        <v>0.52</v>
      </c>
      <c r="C233" s="241">
        <v>0.49</v>
      </c>
      <c r="D233" s="201">
        <f t="shared" si="37"/>
        <v>0.505</v>
      </c>
      <c r="E233" s="240">
        <v>0.28999999999999998</v>
      </c>
      <c r="F233" s="241">
        <v>0.24</v>
      </c>
      <c r="G233" s="201">
        <f t="shared" si="44"/>
        <v>0.26500000000000001</v>
      </c>
      <c r="H233" s="240">
        <v>0.3</v>
      </c>
      <c r="I233" s="241">
        <v>0.25</v>
      </c>
      <c r="J233" s="201">
        <f t="shared" si="45"/>
        <v>0.27500000000000002</v>
      </c>
      <c r="K233" s="260"/>
      <c r="L233" s="240">
        <v>0.47199999999999998</v>
      </c>
      <c r="M233" s="241">
        <v>0.41</v>
      </c>
      <c r="N233" s="201">
        <f t="shared" si="46"/>
        <v>0.44099999999999995</v>
      </c>
      <c r="O233" s="240">
        <v>0.46800000000000003</v>
      </c>
      <c r="P233" s="241">
        <v>0.41599999999999998</v>
      </c>
      <c r="Q233" s="201">
        <f t="shared" si="47"/>
        <v>0.442</v>
      </c>
      <c r="R233" s="240">
        <v>0.47599999999999998</v>
      </c>
      <c r="S233" s="241">
        <v>0.45900000000000002</v>
      </c>
      <c r="T233" s="201">
        <f t="shared" si="48"/>
        <v>0.46750000000000003</v>
      </c>
      <c r="U233" s="240">
        <v>0</v>
      </c>
      <c r="V233" s="241">
        <v>0</v>
      </c>
      <c r="W233" s="201">
        <f t="shared" si="49"/>
        <v>0</v>
      </c>
    </row>
    <row r="234" spans="1:23" ht="15.75" x14ac:dyDescent="0.25">
      <c r="A234" s="31">
        <f>'M&amp;R Stations'!A220</f>
        <v>39179</v>
      </c>
      <c r="B234" s="240">
        <v>0.52</v>
      </c>
      <c r="C234" s="241">
        <v>0.49</v>
      </c>
      <c r="D234" s="201">
        <f t="shared" si="37"/>
        <v>0.505</v>
      </c>
      <c r="E234" s="240">
        <v>0.28999999999999998</v>
      </c>
      <c r="F234" s="241">
        <v>0.24</v>
      </c>
      <c r="G234" s="201">
        <f t="shared" si="44"/>
        <v>0.26500000000000001</v>
      </c>
      <c r="H234" s="240">
        <v>0.25</v>
      </c>
      <c r="I234" s="241">
        <v>0.23</v>
      </c>
      <c r="J234" s="201">
        <f t="shared" si="45"/>
        <v>0.24</v>
      </c>
      <c r="K234" s="260"/>
      <c r="L234" s="240">
        <v>0.45100000000000001</v>
      </c>
      <c r="M234" s="241">
        <v>0.41</v>
      </c>
      <c r="N234" s="201">
        <f t="shared" si="46"/>
        <v>0.43049999999999999</v>
      </c>
      <c r="O234" s="240">
        <v>0.46800000000000003</v>
      </c>
      <c r="P234" s="241">
        <v>0.41599999999999998</v>
      </c>
      <c r="Q234" s="201">
        <f t="shared" si="47"/>
        <v>0.442</v>
      </c>
      <c r="R234" s="240">
        <v>0.45900000000000002</v>
      </c>
      <c r="S234" s="241">
        <v>0.42499999999999999</v>
      </c>
      <c r="T234" s="201">
        <f t="shared" si="48"/>
        <v>0.442</v>
      </c>
      <c r="U234" s="240">
        <v>0</v>
      </c>
      <c r="V234" s="241">
        <v>0</v>
      </c>
      <c r="W234" s="201">
        <f t="shared" si="49"/>
        <v>0</v>
      </c>
    </row>
    <row r="235" spans="1:23" ht="15.75" x14ac:dyDescent="0.25">
      <c r="A235" s="31">
        <f>'M&amp;R Stations'!A221</f>
        <v>39180</v>
      </c>
      <c r="B235" s="240">
        <v>0.56000000000000005</v>
      </c>
      <c r="C235" s="241">
        <v>0.49</v>
      </c>
      <c r="D235" s="201">
        <f t="shared" si="37"/>
        <v>0.52500000000000002</v>
      </c>
      <c r="E235" s="240">
        <v>0.28999999999999998</v>
      </c>
      <c r="F235" s="241">
        <v>0.28999999999999998</v>
      </c>
      <c r="G235" s="201">
        <f t="shared" si="44"/>
        <v>0.28999999999999998</v>
      </c>
      <c r="H235" s="240">
        <v>0.27</v>
      </c>
      <c r="I235" s="241">
        <v>0.25</v>
      </c>
      <c r="J235" s="201">
        <f t="shared" si="45"/>
        <v>0.26</v>
      </c>
      <c r="K235" s="260"/>
      <c r="L235" s="240">
        <v>0.43099999999999999</v>
      </c>
      <c r="M235" s="241">
        <v>0.36899999999999999</v>
      </c>
      <c r="N235" s="201">
        <f t="shared" si="46"/>
        <v>0.4</v>
      </c>
      <c r="O235" s="240">
        <v>0.41599999999999998</v>
      </c>
      <c r="P235" s="241">
        <v>0.36399999999999999</v>
      </c>
      <c r="Q235" s="201">
        <f t="shared" si="47"/>
        <v>0.39</v>
      </c>
      <c r="R235" s="240">
        <v>0.51</v>
      </c>
      <c r="S235" s="241">
        <v>0.42499999999999999</v>
      </c>
      <c r="T235" s="201">
        <f t="shared" si="48"/>
        <v>0.46750000000000003</v>
      </c>
      <c r="U235" s="240">
        <v>0</v>
      </c>
      <c r="V235" s="241">
        <v>0</v>
      </c>
      <c r="W235" s="201">
        <f t="shared" si="49"/>
        <v>0</v>
      </c>
    </row>
    <row r="236" spans="1:23" ht="15.75" x14ac:dyDescent="0.25">
      <c r="A236" s="31">
        <f>'M&amp;R Stations'!A222</f>
        <v>39181</v>
      </c>
      <c r="B236" s="240">
        <v>0.59</v>
      </c>
      <c r="C236" s="241">
        <v>0.52</v>
      </c>
      <c r="D236" s="201">
        <f t="shared" si="37"/>
        <v>0.55499999999999994</v>
      </c>
      <c r="E236" s="240">
        <v>0.31</v>
      </c>
      <c r="F236" s="241">
        <v>0.31</v>
      </c>
      <c r="G236" s="201">
        <v>0.31</v>
      </c>
      <c r="H236" s="240">
        <v>0.3</v>
      </c>
      <c r="I236" s="241">
        <v>0.3</v>
      </c>
      <c r="J236" s="201">
        <f t="shared" si="45"/>
        <v>0.3</v>
      </c>
      <c r="K236" s="260"/>
      <c r="L236" s="240">
        <v>0.43</v>
      </c>
      <c r="M236" s="241">
        <v>0.39</v>
      </c>
      <c r="N236" s="201">
        <f t="shared" si="46"/>
        <v>0.41000000000000003</v>
      </c>
      <c r="O236" s="240">
        <v>0.52</v>
      </c>
      <c r="P236" s="241">
        <v>0.42</v>
      </c>
      <c r="Q236" s="201">
        <f t="shared" si="47"/>
        <v>0.47</v>
      </c>
      <c r="R236" s="240">
        <v>0.51</v>
      </c>
      <c r="S236" s="241">
        <v>0.46</v>
      </c>
      <c r="T236" s="201">
        <f t="shared" si="48"/>
        <v>0.48499999999999999</v>
      </c>
      <c r="U236" s="240">
        <v>0</v>
      </c>
      <c r="V236" s="241">
        <v>0</v>
      </c>
      <c r="W236" s="201">
        <f t="shared" si="49"/>
        <v>0</v>
      </c>
    </row>
    <row r="237" spans="1:23" ht="15.75" x14ac:dyDescent="0.25">
      <c r="A237" s="31">
        <f>'M&amp;R Stations'!A223</f>
        <v>39182</v>
      </c>
      <c r="B237" s="240">
        <v>0.56000000000000005</v>
      </c>
      <c r="C237" s="241">
        <v>0.52</v>
      </c>
      <c r="D237" s="201">
        <f t="shared" si="37"/>
        <v>0.54</v>
      </c>
      <c r="E237" s="240">
        <v>0.28999999999999998</v>
      </c>
      <c r="F237" s="241">
        <v>0.24</v>
      </c>
      <c r="G237" s="201">
        <f t="shared" si="44"/>
        <v>0.26500000000000001</v>
      </c>
      <c r="H237" s="240">
        <v>0.27</v>
      </c>
      <c r="I237" s="241">
        <v>0.25</v>
      </c>
      <c r="J237" s="201">
        <f t="shared" si="45"/>
        <v>0.26</v>
      </c>
      <c r="K237" s="260"/>
      <c r="L237" s="240">
        <v>0.49</v>
      </c>
      <c r="M237" s="241">
        <v>0.39</v>
      </c>
      <c r="N237" s="201">
        <f t="shared" si="46"/>
        <v>0.44</v>
      </c>
      <c r="O237" s="240">
        <v>0.47</v>
      </c>
      <c r="P237" s="241">
        <v>0.42</v>
      </c>
      <c r="Q237" s="201">
        <f t="shared" si="47"/>
        <v>0.44499999999999995</v>
      </c>
      <c r="R237" s="240">
        <v>0.53</v>
      </c>
      <c r="S237" s="241">
        <v>0.46</v>
      </c>
      <c r="T237" s="201">
        <f t="shared" si="48"/>
        <v>0.495</v>
      </c>
      <c r="U237" s="240">
        <v>0</v>
      </c>
      <c r="V237" s="241">
        <v>0</v>
      </c>
      <c r="W237" s="201">
        <f t="shared" si="49"/>
        <v>0</v>
      </c>
    </row>
    <row r="238" spans="1:23" ht="15.75" x14ac:dyDescent="0.25">
      <c r="A238" s="31">
        <f>'M&amp;R Stations'!A224</f>
        <v>39183</v>
      </c>
      <c r="B238" s="240">
        <v>0.43</v>
      </c>
      <c r="C238" s="241">
        <v>0.37</v>
      </c>
      <c r="D238" s="201">
        <f t="shared" si="37"/>
        <v>0.4</v>
      </c>
      <c r="E238" s="240">
        <v>0.35</v>
      </c>
      <c r="F238" s="241">
        <v>0.3</v>
      </c>
      <c r="G238" s="201">
        <f t="shared" si="44"/>
        <v>0.32499999999999996</v>
      </c>
      <c r="H238" s="240">
        <v>0.38</v>
      </c>
      <c r="I238" s="241">
        <v>0.3</v>
      </c>
      <c r="J238" s="201">
        <f t="shared" si="45"/>
        <v>0.33999999999999997</v>
      </c>
      <c r="K238" s="260"/>
      <c r="L238" s="240">
        <v>0.47</v>
      </c>
      <c r="M238" s="241">
        <v>0.39</v>
      </c>
      <c r="N238" s="201">
        <f t="shared" si="46"/>
        <v>0.43</v>
      </c>
      <c r="O238" s="240">
        <v>0.42</v>
      </c>
      <c r="P238" s="241">
        <v>0.39</v>
      </c>
      <c r="Q238" s="201">
        <f t="shared" si="47"/>
        <v>0.40500000000000003</v>
      </c>
      <c r="R238" s="240">
        <v>0.48</v>
      </c>
      <c r="S238" s="241">
        <v>0.39</v>
      </c>
      <c r="T238" s="201">
        <f t="shared" si="48"/>
        <v>0.435</v>
      </c>
      <c r="U238" s="240">
        <v>0</v>
      </c>
      <c r="V238" s="241">
        <v>0</v>
      </c>
      <c r="W238" s="201">
        <f t="shared" si="49"/>
        <v>0</v>
      </c>
    </row>
    <row r="239" spans="1:23" ht="15.75" x14ac:dyDescent="0.25">
      <c r="A239" s="31">
        <f>'M&amp;R Stations'!A225</f>
        <v>39184</v>
      </c>
      <c r="B239" s="240">
        <v>0.48</v>
      </c>
      <c r="C239" s="241">
        <v>0.43</v>
      </c>
      <c r="D239" s="201">
        <f t="shared" si="37"/>
        <v>0.45499999999999996</v>
      </c>
      <c r="E239" s="240">
        <v>0.35</v>
      </c>
      <c r="F239" s="241">
        <v>0.33</v>
      </c>
      <c r="G239" s="201">
        <f t="shared" si="44"/>
        <v>0.33999999999999997</v>
      </c>
      <c r="H239" s="240">
        <v>0.38</v>
      </c>
      <c r="I239" s="241">
        <v>0.3</v>
      </c>
      <c r="J239" s="201">
        <f t="shared" si="45"/>
        <v>0.33999999999999997</v>
      </c>
      <c r="K239" s="260"/>
      <c r="L239" s="240">
        <v>0.47</v>
      </c>
      <c r="M239" s="241">
        <v>0.38</v>
      </c>
      <c r="N239" s="201">
        <f t="shared" si="46"/>
        <v>0.42499999999999999</v>
      </c>
      <c r="O239" s="240">
        <v>0.77</v>
      </c>
      <c r="P239" s="241">
        <v>0.31</v>
      </c>
      <c r="Q239" s="201">
        <f t="shared" si="47"/>
        <v>0.54</v>
      </c>
      <c r="R239" s="240">
        <v>0.51</v>
      </c>
      <c r="S239" s="241">
        <v>0.41</v>
      </c>
      <c r="T239" s="201">
        <f t="shared" si="48"/>
        <v>0.45999999999999996</v>
      </c>
      <c r="U239" s="240">
        <v>0</v>
      </c>
      <c r="V239" s="241">
        <v>0</v>
      </c>
      <c r="W239" s="201">
        <f t="shared" si="49"/>
        <v>0</v>
      </c>
    </row>
    <row r="240" spans="1:23" ht="15.75" x14ac:dyDescent="0.25">
      <c r="A240" s="31">
        <f>'M&amp;R Stations'!A226</f>
        <v>39185</v>
      </c>
      <c r="B240" s="240">
        <v>0.46</v>
      </c>
      <c r="C240" s="241">
        <v>0.4</v>
      </c>
      <c r="D240" s="201">
        <f t="shared" si="37"/>
        <v>0.43000000000000005</v>
      </c>
      <c r="E240" s="240">
        <v>0.35</v>
      </c>
      <c r="F240" s="241">
        <v>0.35</v>
      </c>
      <c r="G240" s="201">
        <f t="shared" si="44"/>
        <v>0.35</v>
      </c>
      <c r="H240" s="240">
        <v>0.35</v>
      </c>
      <c r="I240" s="241">
        <v>0.35</v>
      </c>
      <c r="J240" s="201">
        <f t="shared" si="45"/>
        <v>0.35</v>
      </c>
      <c r="K240" s="260"/>
      <c r="L240" s="240">
        <v>0.51100000000000001</v>
      </c>
      <c r="M240" s="241">
        <v>0.36199999999999999</v>
      </c>
      <c r="N240" s="201">
        <f t="shared" si="46"/>
        <v>0.4365</v>
      </c>
      <c r="O240" s="240">
        <v>0.68600000000000005</v>
      </c>
      <c r="P240" s="241">
        <v>0.51400000000000001</v>
      </c>
      <c r="Q240" s="201">
        <f t="shared" si="47"/>
        <v>0.60000000000000009</v>
      </c>
      <c r="R240" s="240">
        <v>0.47899999999999998</v>
      </c>
      <c r="S240" s="241">
        <v>0.41299999999999998</v>
      </c>
      <c r="T240" s="201">
        <f t="shared" si="48"/>
        <v>0.44599999999999995</v>
      </c>
      <c r="U240" s="240">
        <v>0</v>
      </c>
      <c r="V240" s="241">
        <v>0</v>
      </c>
      <c r="W240" s="201">
        <f t="shared" si="49"/>
        <v>0</v>
      </c>
    </row>
    <row r="241" spans="1:23" ht="15.75" x14ac:dyDescent="0.25">
      <c r="A241" s="31">
        <f>'M&amp;R Stations'!A227</f>
        <v>39186</v>
      </c>
      <c r="B241" s="240">
        <v>0.46</v>
      </c>
      <c r="C241" s="241">
        <v>0.43</v>
      </c>
      <c r="D241" s="201">
        <f t="shared" si="37"/>
        <v>0.44500000000000001</v>
      </c>
      <c r="E241" s="240">
        <v>0.35</v>
      </c>
      <c r="F241" s="241">
        <v>0.35</v>
      </c>
      <c r="G241" s="201">
        <f t="shared" si="44"/>
        <v>0.35</v>
      </c>
      <c r="H241" s="240">
        <v>0.38</v>
      </c>
      <c r="I241" s="241">
        <v>0.35</v>
      </c>
      <c r="J241" s="201">
        <f t="shared" si="45"/>
        <v>0.36499999999999999</v>
      </c>
      <c r="K241" s="260"/>
      <c r="L241" s="240">
        <v>0.49</v>
      </c>
      <c r="M241" s="241">
        <v>0.40500000000000003</v>
      </c>
      <c r="N241" s="201">
        <f t="shared" si="46"/>
        <v>0.44750000000000001</v>
      </c>
      <c r="O241" s="240">
        <v>0.6</v>
      </c>
      <c r="P241" s="241">
        <v>0.42799999999999999</v>
      </c>
      <c r="Q241" s="201">
        <f t="shared" si="47"/>
        <v>0.51400000000000001</v>
      </c>
      <c r="R241" s="240">
        <v>0.47899999999999998</v>
      </c>
      <c r="S241" s="241">
        <v>0.42899999999999999</v>
      </c>
      <c r="T241" s="201">
        <f t="shared" si="48"/>
        <v>0.45399999999999996</v>
      </c>
      <c r="U241" s="240">
        <v>0</v>
      </c>
      <c r="V241" s="241">
        <v>0</v>
      </c>
      <c r="W241" s="201">
        <f t="shared" si="49"/>
        <v>0</v>
      </c>
    </row>
    <row r="242" spans="1:23" ht="15.75" x14ac:dyDescent="0.25">
      <c r="A242" s="31">
        <f>'M&amp;R Stations'!A228</f>
        <v>39187</v>
      </c>
      <c r="B242" s="240">
        <v>0.46</v>
      </c>
      <c r="C242" s="241">
        <v>0.4</v>
      </c>
      <c r="D242" s="201">
        <f t="shared" si="37"/>
        <v>0.43000000000000005</v>
      </c>
      <c r="E242" s="240">
        <v>0.38</v>
      </c>
      <c r="F242" s="241">
        <v>0.35</v>
      </c>
      <c r="G242" s="201">
        <f t="shared" si="44"/>
        <v>0.36499999999999999</v>
      </c>
      <c r="H242" s="240">
        <v>0.38</v>
      </c>
      <c r="I242" s="241">
        <v>0.33</v>
      </c>
      <c r="J242" s="201">
        <f t="shared" si="45"/>
        <v>0.35499999999999998</v>
      </c>
      <c r="K242" s="260"/>
      <c r="L242" s="240">
        <v>0.51100000000000001</v>
      </c>
      <c r="M242" s="241">
        <v>0.40500000000000003</v>
      </c>
      <c r="N242" s="201">
        <f t="shared" si="46"/>
        <v>0.45800000000000002</v>
      </c>
      <c r="O242" s="240">
        <v>0.68600000000000005</v>
      </c>
      <c r="P242" s="241">
        <v>0.51400000000000001</v>
      </c>
      <c r="Q242" s="201">
        <f t="shared" si="47"/>
        <v>0.60000000000000009</v>
      </c>
      <c r="R242" s="240">
        <v>0.495</v>
      </c>
      <c r="S242" s="241">
        <v>0.42599999999999999</v>
      </c>
      <c r="T242" s="201">
        <f t="shared" si="48"/>
        <v>0.46050000000000002</v>
      </c>
      <c r="U242" s="240">
        <v>0</v>
      </c>
      <c r="V242" s="241">
        <v>0</v>
      </c>
      <c r="W242" s="201">
        <f t="shared" si="49"/>
        <v>0</v>
      </c>
    </row>
    <row r="243" spans="1:23" ht="15.75" x14ac:dyDescent="0.25">
      <c r="A243" s="31">
        <f>'M&amp;R Stations'!A229</f>
        <v>39188</v>
      </c>
      <c r="B243" s="240">
        <v>0.43</v>
      </c>
      <c r="C243" s="241">
        <v>0.34</v>
      </c>
      <c r="D243" s="201">
        <f t="shared" si="37"/>
        <v>0.38500000000000001</v>
      </c>
      <c r="E243" s="240">
        <v>0.33</v>
      </c>
      <c r="F243" s="241">
        <v>0.24</v>
      </c>
      <c r="G243" s="201">
        <f t="shared" si="44"/>
        <v>0.28500000000000003</v>
      </c>
      <c r="H243" s="240">
        <v>0.41</v>
      </c>
      <c r="I243" s="241">
        <v>0.33</v>
      </c>
      <c r="J243" s="201">
        <f t="shared" si="45"/>
        <v>0.37</v>
      </c>
      <c r="K243" s="260"/>
      <c r="L243" s="240">
        <v>0.46899999999999997</v>
      </c>
      <c r="M243" s="241">
        <v>0.36199999999999999</v>
      </c>
      <c r="N243" s="201">
        <f t="shared" si="46"/>
        <v>0.41549999999999998</v>
      </c>
      <c r="O243" s="240">
        <v>0.68600000000000005</v>
      </c>
      <c r="P243" s="241">
        <v>0.51400000000000001</v>
      </c>
      <c r="Q243" s="201">
        <f t="shared" si="47"/>
        <v>0.60000000000000009</v>
      </c>
      <c r="R243" s="240">
        <v>0.51200000000000001</v>
      </c>
      <c r="S243" s="241">
        <v>0.47799999999999998</v>
      </c>
      <c r="T243" s="201">
        <f t="shared" si="48"/>
        <v>0.495</v>
      </c>
      <c r="U243" s="240">
        <v>0</v>
      </c>
      <c r="V243" s="241">
        <v>0</v>
      </c>
      <c r="W243" s="201">
        <f t="shared" si="49"/>
        <v>0</v>
      </c>
    </row>
    <row r="244" spans="1:23" ht="15.75" x14ac:dyDescent="0.25">
      <c r="A244" s="31">
        <f>'M&amp;R Stations'!A230</f>
        <v>39189</v>
      </c>
      <c r="B244" s="240">
        <v>0.46</v>
      </c>
      <c r="C244" s="241">
        <v>0.37</v>
      </c>
      <c r="D244" s="201">
        <f t="shared" si="37"/>
        <v>0.41500000000000004</v>
      </c>
      <c r="E244" s="240">
        <v>0.3</v>
      </c>
      <c r="F244" s="241">
        <v>0.3</v>
      </c>
      <c r="G244" s="201">
        <f t="shared" si="44"/>
        <v>0.3</v>
      </c>
      <c r="H244" s="240">
        <v>0.38</v>
      </c>
      <c r="I244" s="241">
        <v>0.3</v>
      </c>
      <c r="J244" s="201">
        <f t="shared" si="45"/>
        <v>0.33999999999999997</v>
      </c>
      <c r="K244" s="260"/>
      <c r="L244" s="240">
        <v>0.51100000000000001</v>
      </c>
      <c r="M244" s="241">
        <v>0.38300000000000001</v>
      </c>
      <c r="N244" s="201">
        <f t="shared" si="46"/>
        <v>0.44700000000000001</v>
      </c>
      <c r="O244" s="240">
        <v>0.68899999999999995</v>
      </c>
      <c r="P244" s="241">
        <v>0.59899999999999998</v>
      </c>
      <c r="Q244" s="201">
        <f t="shared" si="47"/>
        <v>0.64399999999999991</v>
      </c>
      <c r="R244" s="240">
        <v>0.51200000000000001</v>
      </c>
      <c r="S244" s="241">
        <v>0.42899999999999999</v>
      </c>
      <c r="T244" s="201">
        <f t="shared" si="48"/>
        <v>0.47050000000000003</v>
      </c>
      <c r="U244" s="240">
        <v>0</v>
      </c>
      <c r="V244" s="241">
        <v>0</v>
      </c>
      <c r="W244" s="201">
        <f t="shared" si="49"/>
        <v>0</v>
      </c>
    </row>
    <row r="245" spans="1:23" ht="15.75" x14ac:dyDescent="0.25">
      <c r="A245" s="31">
        <f>'M&amp;R Stations'!A231</f>
        <v>39190</v>
      </c>
      <c r="B245" s="240">
        <v>0.42</v>
      </c>
      <c r="C245" s="241">
        <v>0.36</v>
      </c>
      <c r="D245" s="201">
        <f t="shared" si="37"/>
        <v>0.39</v>
      </c>
      <c r="E245" s="240">
        <v>0.5</v>
      </c>
      <c r="F245" s="241">
        <v>0.34</v>
      </c>
      <c r="G245" s="201">
        <f t="shared" si="44"/>
        <v>0.42000000000000004</v>
      </c>
      <c r="H245" s="240">
        <v>0.39</v>
      </c>
      <c r="I245" s="241">
        <v>0.33</v>
      </c>
      <c r="J245" s="201">
        <f t="shared" si="45"/>
        <v>0.36</v>
      </c>
      <c r="K245" s="260"/>
      <c r="L245" s="240">
        <v>0.46899999999999997</v>
      </c>
      <c r="M245" s="241">
        <v>0.38300000000000001</v>
      </c>
      <c r="N245" s="201">
        <f t="shared" si="46"/>
        <v>0.42599999999999999</v>
      </c>
      <c r="O245" s="240">
        <v>0.68600000000000005</v>
      </c>
      <c r="P245" s="241">
        <v>0.51400000000000001</v>
      </c>
      <c r="Q245" s="201">
        <f t="shared" si="47"/>
        <v>0.60000000000000009</v>
      </c>
      <c r="R245" s="240">
        <v>0.41299999999999998</v>
      </c>
      <c r="S245" s="241">
        <v>0.34699999999999998</v>
      </c>
      <c r="T245" s="201">
        <f t="shared" si="48"/>
        <v>0.38</v>
      </c>
      <c r="U245" s="240">
        <v>0</v>
      </c>
      <c r="V245" s="241">
        <v>0</v>
      </c>
      <c r="W245" s="201">
        <f t="shared" si="49"/>
        <v>0</v>
      </c>
    </row>
    <row r="246" spans="1:23" ht="15.75" x14ac:dyDescent="0.25">
      <c r="A246" s="31">
        <f>'M&amp;R Stations'!A232</f>
        <v>39191</v>
      </c>
      <c r="B246" s="240">
        <v>0.52</v>
      </c>
      <c r="C246" s="241">
        <v>0.33</v>
      </c>
      <c r="D246" s="201">
        <f t="shared" si="37"/>
        <v>0.42500000000000004</v>
      </c>
      <c r="E246" s="240">
        <v>0.41</v>
      </c>
      <c r="F246" s="241">
        <v>0.28999999999999998</v>
      </c>
      <c r="G246" s="201">
        <f t="shared" si="44"/>
        <v>0.35</v>
      </c>
      <c r="H246" s="240">
        <v>0.39</v>
      </c>
      <c r="I246" s="241">
        <v>0.28999999999999998</v>
      </c>
      <c r="J246" s="201">
        <f t="shared" si="45"/>
        <v>0.33999999999999997</v>
      </c>
      <c r="K246" s="260"/>
      <c r="L246" s="240">
        <v>0.46899999999999997</v>
      </c>
      <c r="M246" s="241">
        <v>0.36299999999999999</v>
      </c>
      <c r="N246" s="201">
        <f t="shared" si="46"/>
        <v>0.41599999999999998</v>
      </c>
      <c r="O246" s="240">
        <v>0.68600000000000005</v>
      </c>
      <c r="P246" s="241">
        <v>0.41299999999999998</v>
      </c>
      <c r="Q246" s="201">
        <f t="shared" si="47"/>
        <v>0.54949999999999999</v>
      </c>
      <c r="R246" s="240">
        <v>0.48399999999999999</v>
      </c>
      <c r="S246" s="241">
        <v>0.34699999999999998</v>
      </c>
      <c r="T246" s="201">
        <f t="shared" si="48"/>
        <v>0.41549999999999998</v>
      </c>
      <c r="U246" s="240">
        <v>0</v>
      </c>
      <c r="V246" s="241">
        <v>0</v>
      </c>
      <c r="W246" s="201">
        <f t="shared" si="49"/>
        <v>0</v>
      </c>
    </row>
    <row r="247" spans="1:23" ht="15.75" x14ac:dyDescent="0.25">
      <c r="A247" s="31">
        <f>'M&amp;R Stations'!A233</f>
        <v>39192</v>
      </c>
      <c r="B247" s="240">
        <v>0.52</v>
      </c>
      <c r="C247" s="241">
        <v>0.39</v>
      </c>
      <c r="D247" s="201">
        <f t="shared" si="37"/>
        <v>0.45500000000000002</v>
      </c>
      <c r="E247" s="240">
        <v>0.41</v>
      </c>
      <c r="F247" s="241">
        <v>0.41</v>
      </c>
      <c r="G247" s="201">
        <f t="shared" si="44"/>
        <v>0.41</v>
      </c>
      <c r="H247" s="240">
        <v>0.39</v>
      </c>
      <c r="I247" s="241">
        <v>0.33</v>
      </c>
      <c r="J247" s="201">
        <f t="shared" si="45"/>
        <v>0.36</v>
      </c>
      <c r="K247" s="260"/>
      <c r="L247" s="240">
        <v>0.439</v>
      </c>
      <c r="M247" s="241">
        <v>0.38200000000000001</v>
      </c>
      <c r="N247" s="201">
        <f t="shared" si="46"/>
        <v>0.41049999999999998</v>
      </c>
      <c r="O247" s="240">
        <v>0.46400000000000002</v>
      </c>
      <c r="P247" s="241">
        <v>0.41199999999999998</v>
      </c>
      <c r="Q247" s="201">
        <f t="shared" si="47"/>
        <v>0.438</v>
      </c>
      <c r="R247" s="240">
        <v>0.41499999999999998</v>
      </c>
      <c r="S247" s="241">
        <v>0.38</v>
      </c>
      <c r="T247" s="201">
        <f t="shared" si="48"/>
        <v>0.39749999999999996</v>
      </c>
      <c r="U247" s="240">
        <v>0</v>
      </c>
      <c r="V247" s="241">
        <v>0</v>
      </c>
      <c r="W247" s="201">
        <f t="shared" si="49"/>
        <v>0</v>
      </c>
    </row>
    <row r="248" spans="1:23" ht="15.75" x14ac:dyDescent="0.25">
      <c r="A248" s="31">
        <f>'M&amp;R Stations'!A234</f>
        <v>39193</v>
      </c>
      <c r="B248" s="240">
        <v>0.39</v>
      </c>
      <c r="C248" s="241">
        <v>0.39</v>
      </c>
      <c r="D248" s="201">
        <f t="shared" si="37"/>
        <v>0.39</v>
      </c>
      <c r="E248" s="240">
        <v>0.39</v>
      </c>
      <c r="F248" s="241">
        <v>0.37</v>
      </c>
      <c r="G248" s="201">
        <f t="shared" si="44"/>
        <v>0.38</v>
      </c>
      <c r="H248" s="240">
        <v>0.39</v>
      </c>
      <c r="I248" s="241">
        <v>0.26</v>
      </c>
      <c r="J248" s="201">
        <f t="shared" si="45"/>
        <v>0.32500000000000001</v>
      </c>
      <c r="K248" s="260"/>
      <c r="L248" s="240">
        <v>0.46300000000000002</v>
      </c>
      <c r="M248" s="241">
        <v>0.38200000000000001</v>
      </c>
      <c r="N248" s="201">
        <f t="shared" si="46"/>
        <v>0.42249999999999999</v>
      </c>
      <c r="O248" s="240">
        <v>0.46400000000000002</v>
      </c>
      <c r="P248" s="241">
        <v>0.41299999999999998</v>
      </c>
      <c r="Q248" s="201">
        <f t="shared" si="47"/>
        <v>0.4385</v>
      </c>
      <c r="R248" s="240">
        <v>0.41499999999999998</v>
      </c>
      <c r="S248" s="241">
        <v>0.38100000000000001</v>
      </c>
      <c r="T248" s="201">
        <f t="shared" si="48"/>
        <v>0.39800000000000002</v>
      </c>
      <c r="U248" s="240">
        <v>0</v>
      </c>
      <c r="V248" s="241">
        <v>0</v>
      </c>
      <c r="W248" s="201">
        <f t="shared" si="49"/>
        <v>0</v>
      </c>
    </row>
    <row r="249" spans="1:23" ht="15.75" x14ac:dyDescent="0.25">
      <c r="A249" s="31">
        <f>'M&amp;R Stations'!A235</f>
        <v>39194</v>
      </c>
      <c r="B249" s="240">
        <v>0.39</v>
      </c>
      <c r="C249" s="241">
        <v>0.39</v>
      </c>
      <c r="D249" s="201">
        <f t="shared" si="37"/>
        <v>0.39</v>
      </c>
      <c r="E249" s="240">
        <v>0.39</v>
      </c>
      <c r="F249" s="241">
        <v>0.37</v>
      </c>
      <c r="G249" s="201">
        <f t="shared" si="44"/>
        <v>0.38</v>
      </c>
      <c r="H249" s="240">
        <v>0.39</v>
      </c>
      <c r="I249" s="241">
        <v>0.26</v>
      </c>
      <c r="J249" s="201">
        <f t="shared" si="45"/>
        <v>0.32500000000000001</v>
      </c>
      <c r="K249" s="260"/>
      <c r="L249" s="240">
        <v>0.439</v>
      </c>
      <c r="M249" s="241">
        <v>0.38200000000000001</v>
      </c>
      <c r="N249" s="201">
        <f t="shared" si="46"/>
        <v>0.41049999999999998</v>
      </c>
      <c r="O249" s="240">
        <v>0.46400000000000002</v>
      </c>
      <c r="P249" s="241">
        <v>0.41199999999999998</v>
      </c>
      <c r="Q249" s="201">
        <f t="shared" si="47"/>
        <v>0.438</v>
      </c>
      <c r="R249" s="240">
        <v>0.41499999999999998</v>
      </c>
      <c r="S249" s="241">
        <v>0.38</v>
      </c>
      <c r="T249" s="201">
        <f t="shared" si="48"/>
        <v>0.39749999999999996</v>
      </c>
      <c r="U249" s="240">
        <v>0</v>
      </c>
      <c r="V249" s="241">
        <v>0</v>
      </c>
      <c r="W249" s="201">
        <f t="shared" si="49"/>
        <v>0</v>
      </c>
    </row>
    <row r="250" spans="1:23" ht="15.75" x14ac:dyDescent="0.25">
      <c r="A250" s="31">
        <f>'M&amp;R Stations'!A236</f>
        <v>39195</v>
      </c>
      <c r="B250" s="240" t="s">
        <v>220</v>
      </c>
      <c r="C250" s="241" t="s">
        <v>220</v>
      </c>
      <c r="D250" s="201" t="s">
        <v>220</v>
      </c>
      <c r="E250" s="240">
        <v>0.37</v>
      </c>
      <c r="F250" s="241">
        <v>0.34</v>
      </c>
      <c r="G250" s="201">
        <f t="shared" si="44"/>
        <v>0.35499999999999998</v>
      </c>
      <c r="H250" s="240">
        <v>0.28999999999999998</v>
      </c>
      <c r="I250" s="241">
        <v>0.26</v>
      </c>
      <c r="J250" s="201">
        <f t="shared" si="45"/>
        <v>0.27500000000000002</v>
      </c>
      <c r="K250" s="260"/>
      <c r="L250" s="240">
        <v>0.42</v>
      </c>
      <c r="M250" s="241">
        <v>0.38200000000000001</v>
      </c>
      <c r="N250" s="201">
        <f t="shared" si="46"/>
        <v>0.40100000000000002</v>
      </c>
      <c r="O250" s="240">
        <v>0.46400000000000002</v>
      </c>
      <c r="P250" s="241">
        <v>0.41199999999999998</v>
      </c>
      <c r="Q250" s="201">
        <f t="shared" si="47"/>
        <v>0.438</v>
      </c>
      <c r="R250" s="240">
        <v>0.433</v>
      </c>
      <c r="S250" s="241">
        <v>0.38100000000000001</v>
      </c>
      <c r="T250" s="201">
        <f t="shared" si="48"/>
        <v>0.40700000000000003</v>
      </c>
      <c r="U250" s="240">
        <v>0</v>
      </c>
      <c r="V250" s="241">
        <v>0</v>
      </c>
      <c r="W250" s="201">
        <f t="shared" si="49"/>
        <v>0</v>
      </c>
    </row>
    <row r="251" spans="1:23" ht="15.75" x14ac:dyDescent="0.25">
      <c r="A251" s="31">
        <f>'M&amp;R Stations'!A237</f>
        <v>39196</v>
      </c>
      <c r="B251" s="240" t="s">
        <v>220</v>
      </c>
      <c r="C251" s="241" t="s">
        <v>220</v>
      </c>
      <c r="D251" s="201" t="s">
        <v>220</v>
      </c>
      <c r="E251" s="240">
        <v>0.37</v>
      </c>
      <c r="F251" s="241">
        <v>0.3</v>
      </c>
      <c r="G251" s="201">
        <f t="shared" si="44"/>
        <v>0.33499999999999996</v>
      </c>
      <c r="H251" s="240">
        <v>0.28999999999999998</v>
      </c>
      <c r="I251" s="241">
        <v>0.28999999999999998</v>
      </c>
      <c r="J251" s="201">
        <f t="shared" si="45"/>
        <v>0.28999999999999998</v>
      </c>
      <c r="K251" s="260"/>
      <c r="L251" s="240">
        <v>0.439</v>
      </c>
      <c r="M251" s="241">
        <v>0.38200000000000001</v>
      </c>
      <c r="N251" s="201">
        <f t="shared" si="46"/>
        <v>0.41049999999999998</v>
      </c>
      <c r="O251" s="240">
        <v>0.46400000000000002</v>
      </c>
      <c r="P251" s="241">
        <v>0.41199999999999998</v>
      </c>
      <c r="Q251" s="201">
        <f t="shared" si="47"/>
        <v>0.438</v>
      </c>
      <c r="R251" s="240">
        <v>0.41499999999999998</v>
      </c>
      <c r="S251" s="241">
        <v>0.36299999999999999</v>
      </c>
      <c r="T251" s="201">
        <f t="shared" si="48"/>
        <v>0.38900000000000001</v>
      </c>
      <c r="U251" s="240">
        <v>0</v>
      </c>
      <c r="V251" s="241">
        <v>0</v>
      </c>
      <c r="W251" s="201">
        <f t="shared" si="49"/>
        <v>0</v>
      </c>
    </row>
    <row r="252" spans="1:23" ht="15.75" x14ac:dyDescent="0.25">
      <c r="A252" s="31">
        <f>'M&amp;R Stations'!A238</f>
        <v>39197</v>
      </c>
      <c r="B252" s="240" t="s">
        <v>220</v>
      </c>
      <c r="C252" s="241" t="s">
        <v>220</v>
      </c>
      <c r="D252" s="201" t="s">
        <v>220</v>
      </c>
      <c r="E252" s="240">
        <v>0.48</v>
      </c>
      <c r="F252" s="241">
        <v>0.35</v>
      </c>
      <c r="G252" s="201">
        <f t="shared" si="44"/>
        <v>0.41499999999999998</v>
      </c>
      <c r="H252" s="240">
        <v>0.38</v>
      </c>
      <c r="I252" s="241">
        <v>0.34</v>
      </c>
      <c r="J252" s="201">
        <f t="shared" si="45"/>
        <v>0.36</v>
      </c>
      <c r="K252" s="260"/>
      <c r="L252" s="240">
        <v>0.42</v>
      </c>
      <c r="M252" s="241">
        <v>0.34</v>
      </c>
      <c r="N252" s="201">
        <f t="shared" si="46"/>
        <v>0.38</v>
      </c>
      <c r="O252" s="240">
        <v>0.46</v>
      </c>
      <c r="P252" s="241">
        <v>0.36</v>
      </c>
      <c r="Q252" s="201">
        <f t="shared" si="47"/>
        <v>0.41000000000000003</v>
      </c>
      <c r="R252" s="240">
        <v>0.4</v>
      </c>
      <c r="S252" s="241">
        <v>0.36</v>
      </c>
      <c r="T252" s="201">
        <f t="shared" si="48"/>
        <v>0.38</v>
      </c>
      <c r="U252" s="240">
        <v>0</v>
      </c>
      <c r="V252" s="241">
        <v>0</v>
      </c>
      <c r="W252" s="201">
        <f t="shared" si="49"/>
        <v>0</v>
      </c>
    </row>
    <row r="253" spans="1:23" ht="15.75" x14ac:dyDescent="0.25">
      <c r="A253" s="31">
        <f>'M&amp;R Stations'!A239</f>
        <v>39198</v>
      </c>
      <c r="B253" s="240" t="s">
        <v>220</v>
      </c>
      <c r="C253" s="241" t="s">
        <v>220</v>
      </c>
      <c r="D253" s="201" t="s">
        <v>220</v>
      </c>
      <c r="E253" s="240">
        <v>0.39</v>
      </c>
      <c r="F253" s="241">
        <v>0.34</v>
      </c>
      <c r="G253" s="201">
        <f t="shared" si="44"/>
        <v>0.36499999999999999</v>
      </c>
      <c r="H253" s="240">
        <v>0.38</v>
      </c>
      <c r="I253" s="241">
        <v>0.34</v>
      </c>
      <c r="J253" s="201">
        <f t="shared" si="45"/>
        <v>0.36</v>
      </c>
      <c r="K253" s="260"/>
      <c r="L253" s="240">
        <v>0.41</v>
      </c>
      <c r="M253" s="241">
        <v>0.33</v>
      </c>
      <c r="N253" s="201">
        <f t="shared" si="46"/>
        <v>0.37</v>
      </c>
      <c r="O253" s="240">
        <v>0.56999999999999995</v>
      </c>
      <c r="P253" s="241">
        <v>0.41</v>
      </c>
      <c r="Q253" s="201">
        <f t="shared" si="47"/>
        <v>0.49</v>
      </c>
      <c r="R253" s="240">
        <v>0.44</v>
      </c>
      <c r="S253" s="241">
        <v>0.38</v>
      </c>
      <c r="T253" s="201">
        <f t="shared" si="48"/>
        <v>0.41000000000000003</v>
      </c>
      <c r="U253" s="240">
        <v>0</v>
      </c>
      <c r="V253" s="241">
        <v>0</v>
      </c>
      <c r="W253" s="201">
        <f t="shared" si="49"/>
        <v>0</v>
      </c>
    </row>
    <row r="254" spans="1:23" ht="15.75" x14ac:dyDescent="0.25">
      <c r="A254" s="31">
        <f>'M&amp;R Stations'!A240</f>
        <v>39199</v>
      </c>
      <c r="B254" s="240" t="s">
        <v>220</v>
      </c>
      <c r="C254" s="241" t="s">
        <v>220</v>
      </c>
      <c r="D254" s="201" t="s">
        <v>220</v>
      </c>
      <c r="E254" s="240">
        <v>0.35</v>
      </c>
      <c r="F254" s="241">
        <v>0.31</v>
      </c>
      <c r="G254" s="201">
        <f t="shared" si="44"/>
        <v>0.32999999999999996</v>
      </c>
      <c r="H254" s="240">
        <v>0.38</v>
      </c>
      <c r="I254" s="241">
        <v>0.31</v>
      </c>
      <c r="J254" s="201">
        <f t="shared" si="45"/>
        <v>0.34499999999999997</v>
      </c>
      <c r="K254" s="260"/>
      <c r="L254" s="240">
        <v>0.47</v>
      </c>
      <c r="M254" s="241">
        <v>0.35</v>
      </c>
      <c r="N254" s="201">
        <f t="shared" si="46"/>
        <v>0.41</v>
      </c>
      <c r="O254" s="240">
        <v>0.5</v>
      </c>
      <c r="P254" s="241">
        <v>0.43</v>
      </c>
      <c r="Q254" s="201">
        <f t="shared" si="47"/>
        <v>0.46499999999999997</v>
      </c>
      <c r="R254" s="240">
        <v>0.52</v>
      </c>
      <c r="S254" s="241">
        <v>0.42</v>
      </c>
      <c r="T254" s="201">
        <f t="shared" si="48"/>
        <v>0.47</v>
      </c>
      <c r="U254" s="240">
        <v>0</v>
      </c>
      <c r="V254" s="241">
        <v>0</v>
      </c>
      <c r="W254" s="201">
        <f t="shared" si="49"/>
        <v>0</v>
      </c>
    </row>
    <row r="255" spans="1:23" ht="15.75" x14ac:dyDescent="0.25">
      <c r="A255" s="31">
        <f>'M&amp;R Stations'!A241</f>
        <v>39200</v>
      </c>
      <c r="B255" s="240" t="s">
        <v>220</v>
      </c>
      <c r="C255" s="241" t="s">
        <v>220</v>
      </c>
      <c r="D255" s="201" t="s">
        <v>220</v>
      </c>
      <c r="E255" s="240">
        <v>0.39</v>
      </c>
      <c r="F255" s="241">
        <v>0.34</v>
      </c>
      <c r="G255" s="201">
        <f t="shared" si="44"/>
        <v>0.36499999999999999</v>
      </c>
      <c r="H255" s="240">
        <v>0.38</v>
      </c>
      <c r="I255" s="241">
        <v>0.34</v>
      </c>
      <c r="J255" s="201">
        <f t="shared" si="45"/>
        <v>0.36</v>
      </c>
      <c r="K255" s="260"/>
      <c r="L255" s="240">
        <v>0.45</v>
      </c>
      <c r="M255" s="241">
        <v>0.39</v>
      </c>
      <c r="N255" s="201">
        <f t="shared" si="46"/>
        <v>0.42000000000000004</v>
      </c>
      <c r="O255" s="240">
        <v>0.5</v>
      </c>
      <c r="P255" s="241">
        <v>0.43</v>
      </c>
      <c r="Q255" s="201">
        <f t="shared" si="47"/>
        <v>0.46499999999999997</v>
      </c>
      <c r="R255" s="240">
        <v>0.5</v>
      </c>
      <c r="S255" s="241">
        <v>0.44</v>
      </c>
      <c r="T255" s="201">
        <f t="shared" si="48"/>
        <v>0.47</v>
      </c>
      <c r="U255" s="240">
        <v>0</v>
      </c>
      <c r="V255" s="241">
        <v>0</v>
      </c>
      <c r="W255" s="201">
        <f t="shared" si="49"/>
        <v>0</v>
      </c>
    </row>
    <row r="256" spans="1:23" ht="15.75" x14ac:dyDescent="0.25">
      <c r="A256" s="31">
        <f>'M&amp;R Stations'!A242</f>
        <v>39201</v>
      </c>
      <c r="B256" s="240" t="s">
        <v>220</v>
      </c>
      <c r="C256" s="241" t="s">
        <v>220</v>
      </c>
      <c r="D256" s="201" t="s">
        <v>220</v>
      </c>
      <c r="E256" s="240">
        <v>0.39</v>
      </c>
      <c r="F256" s="241">
        <v>0.34</v>
      </c>
      <c r="G256" s="201">
        <f t="shared" si="44"/>
        <v>0.36499999999999999</v>
      </c>
      <c r="H256" s="240">
        <v>0.38</v>
      </c>
      <c r="I256" s="241">
        <v>0.34</v>
      </c>
      <c r="J256" s="201">
        <f t="shared" si="45"/>
        <v>0.36</v>
      </c>
      <c r="K256" s="260"/>
      <c r="L256" s="240">
        <v>0.45</v>
      </c>
      <c r="M256" s="241">
        <v>0.37</v>
      </c>
      <c r="N256" s="201">
        <f t="shared" si="46"/>
        <v>0.41000000000000003</v>
      </c>
      <c r="O256" s="240">
        <v>0.5</v>
      </c>
      <c r="P256" s="241">
        <v>0.43</v>
      </c>
      <c r="Q256" s="201">
        <f t="shared" si="47"/>
        <v>0.46499999999999997</v>
      </c>
      <c r="R256" s="240">
        <v>0.5</v>
      </c>
      <c r="S256" s="241">
        <v>0.46</v>
      </c>
      <c r="T256" s="201">
        <f t="shared" si="48"/>
        <v>0.48</v>
      </c>
      <c r="U256" s="240">
        <v>0</v>
      </c>
      <c r="V256" s="241">
        <v>0</v>
      </c>
      <c r="W256" s="201">
        <f t="shared" si="49"/>
        <v>0</v>
      </c>
    </row>
    <row r="257" spans="1:23" ht="15.75" x14ac:dyDescent="0.25">
      <c r="A257" s="31">
        <f>'M&amp;R Stations'!A243</f>
        <v>39202</v>
      </c>
      <c r="B257" s="240" t="s">
        <v>220</v>
      </c>
      <c r="C257" s="241" t="s">
        <v>220</v>
      </c>
      <c r="D257" s="201" t="s">
        <v>220</v>
      </c>
      <c r="E257" s="240">
        <v>0.46</v>
      </c>
      <c r="F257" s="241">
        <v>0.31</v>
      </c>
      <c r="G257" s="201">
        <f t="shared" si="44"/>
        <v>0.38500000000000001</v>
      </c>
      <c r="H257" s="240">
        <v>0.42</v>
      </c>
      <c r="I257" s="241">
        <v>0.31</v>
      </c>
      <c r="J257" s="201">
        <f t="shared" si="45"/>
        <v>0.36499999999999999</v>
      </c>
      <c r="K257" s="260"/>
      <c r="L257" s="240">
        <v>0.45</v>
      </c>
      <c r="M257" s="241">
        <v>0.41</v>
      </c>
      <c r="N257" s="201">
        <f t="shared" si="46"/>
        <v>0.43</v>
      </c>
      <c r="O257" s="240">
        <v>0.5</v>
      </c>
      <c r="P257" s="241">
        <v>0.42</v>
      </c>
      <c r="Q257" s="201">
        <f t="shared" si="47"/>
        <v>0.45999999999999996</v>
      </c>
      <c r="R257" s="240">
        <v>0.52</v>
      </c>
      <c r="S257" s="241">
        <v>0.44</v>
      </c>
      <c r="T257" s="201">
        <f t="shared" si="48"/>
        <v>0.48</v>
      </c>
      <c r="U257" s="240">
        <v>0</v>
      </c>
      <c r="V257" s="241">
        <v>0</v>
      </c>
      <c r="W257" s="201">
        <f t="shared" si="49"/>
        <v>0</v>
      </c>
    </row>
    <row r="258" spans="1:23" ht="15.75" x14ac:dyDescent="0.25">
      <c r="A258" s="179"/>
      <c r="B258" s="203"/>
      <c r="C258" s="204"/>
      <c r="D258" s="205"/>
      <c r="E258" s="203"/>
      <c r="F258" s="204"/>
      <c r="G258" s="205"/>
      <c r="H258" s="203"/>
      <c r="I258" s="204"/>
      <c r="J258" s="205"/>
      <c r="K258" s="272"/>
      <c r="L258" s="203"/>
      <c r="M258" s="204"/>
      <c r="N258" s="206"/>
      <c r="O258" s="203"/>
      <c r="P258" s="204"/>
      <c r="Q258" s="206"/>
      <c r="R258" s="203"/>
      <c r="S258" s="204"/>
      <c r="T258" s="206"/>
      <c r="U258" s="203"/>
      <c r="V258" s="204"/>
      <c r="W258" s="206"/>
    </row>
    <row r="259" spans="1:23" ht="15.75" x14ac:dyDescent="0.25">
      <c r="A259" s="31">
        <f>'M&amp;R Stations'!A244</f>
        <v>39203</v>
      </c>
      <c r="B259" s="240" t="s">
        <v>220</v>
      </c>
      <c r="C259" s="241" t="s">
        <v>220</v>
      </c>
      <c r="D259" s="201" t="s">
        <v>220</v>
      </c>
      <c r="E259" s="240">
        <v>0.39</v>
      </c>
      <c r="F259" s="241">
        <v>0.35</v>
      </c>
      <c r="G259" s="201">
        <f t="shared" si="44"/>
        <v>0.37</v>
      </c>
      <c r="H259" s="240">
        <v>0.38</v>
      </c>
      <c r="I259" s="241">
        <v>0.34</v>
      </c>
      <c r="J259" s="201">
        <f t="shared" ref="J259:J289" si="50">IF(AND(H259="",I259=""),"",IF(H259="off",I259,IF(I259="off",H259,AVERAGE(H259:I259))))</f>
        <v>0.36</v>
      </c>
      <c r="K259" s="260"/>
      <c r="L259" s="240">
        <v>0.47799999999999998</v>
      </c>
      <c r="M259" s="241">
        <v>0.371</v>
      </c>
      <c r="N259" s="201">
        <f t="shared" ref="N259:N289" si="51">IF(AND(L259="",M259=""),"",IF(L259="off",M259,IF(M259="off",L259,AVERAGE(L259:M259))))</f>
        <v>0.42449999999999999</v>
      </c>
      <c r="O259" s="240">
        <v>0.42499999999999999</v>
      </c>
      <c r="P259" s="241">
        <v>0.35399999999999998</v>
      </c>
      <c r="Q259" s="201">
        <f t="shared" ref="Q259:Q289" si="52">IF(AND(O259="",P259=""),"",IF(O259="off",P259,IF(P259="off",O259,AVERAGE(O259:P259))))</f>
        <v>0.38949999999999996</v>
      </c>
      <c r="R259" s="240">
        <v>0.505</v>
      </c>
      <c r="S259" s="241">
        <v>0.438</v>
      </c>
      <c r="T259" s="201">
        <f t="shared" ref="T259:T289" si="53">IF(AND(R259="",S259=""),"",IF(R259="off",S259,IF(S259="off",R259,AVERAGE(R259:S259))))</f>
        <v>0.47150000000000003</v>
      </c>
      <c r="U259" s="240">
        <v>0</v>
      </c>
      <c r="V259" s="241">
        <v>0</v>
      </c>
      <c r="W259" s="201">
        <f t="shared" ref="W259:W289" si="54">IF(AND(U259="",V259=""),"",IF(U259="off",V259,IF(V259="off",U259,AVERAGE(U259:V259))))</f>
        <v>0</v>
      </c>
    </row>
    <row r="260" spans="1:23" ht="15.75" x14ac:dyDescent="0.25">
      <c r="A260" s="31">
        <f>'M&amp;R Stations'!A245</f>
        <v>39204</v>
      </c>
      <c r="B260" s="240" t="s">
        <v>220</v>
      </c>
      <c r="C260" s="241" t="s">
        <v>220</v>
      </c>
      <c r="D260" s="201" t="s">
        <v>220</v>
      </c>
      <c r="E260" s="240">
        <v>0.35</v>
      </c>
      <c r="F260" s="241">
        <v>0.35</v>
      </c>
      <c r="G260" s="201">
        <f t="shared" si="44"/>
        <v>0.35</v>
      </c>
      <c r="H260" s="240">
        <v>0.38</v>
      </c>
      <c r="I260" s="241">
        <v>0.34</v>
      </c>
      <c r="J260" s="201">
        <f t="shared" si="50"/>
        <v>0.36</v>
      </c>
      <c r="K260" s="260"/>
      <c r="L260" s="240">
        <v>0.433</v>
      </c>
      <c r="M260" s="241">
        <v>0.371</v>
      </c>
      <c r="N260" s="201">
        <f t="shared" si="51"/>
        <v>0.40200000000000002</v>
      </c>
      <c r="O260" s="240">
        <v>0.56599999999999995</v>
      </c>
      <c r="P260" s="241">
        <v>0.42499999999999999</v>
      </c>
      <c r="Q260" s="201">
        <f t="shared" si="52"/>
        <v>0.49549999999999994</v>
      </c>
      <c r="R260" s="240">
        <v>0.52300000000000002</v>
      </c>
      <c r="S260" s="241">
        <v>0.48</v>
      </c>
      <c r="T260" s="201">
        <f t="shared" si="53"/>
        <v>0.50150000000000006</v>
      </c>
      <c r="U260" s="240">
        <v>0</v>
      </c>
      <c r="V260" s="241">
        <v>0</v>
      </c>
      <c r="W260" s="201">
        <f t="shared" si="54"/>
        <v>0</v>
      </c>
    </row>
    <row r="261" spans="1:23" ht="15.75" x14ac:dyDescent="0.25">
      <c r="A261" s="31">
        <f>'M&amp;R Stations'!A246</f>
        <v>39205</v>
      </c>
      <c r="B261" s="240" t="s">
        <v>220</v>
      </c>
      <c r="C261" s="241" t="s">
        <v>220</v>
      </c>
      <c r="D261" s="201" t="s">
        <v>220</v>
      </c>
      <c r="E261" s="240">
        <v>0.57999999999999996</v>
      </c>
      <c r="F261" s="241">
        <v>0.35</v>
      </c>
      <c r="G261" s="201">
        <f t="shared" si="44"/>
        <v>0.46499999999999997</v>
      </c>
      <c r="H261" s="240">
        <v>0.53</v>
      </c>
      <c r="I261" s="241">
        <v>0.34</v>
      </c>
      <c r="J261" s="201">
        <f t="shared" si="50"/>
        <v>0.43500000000000005</v>
      </c>
      <c r="K261" s="260"/>
      <c r="L261" s="240">
        <v>0.67800000000000005</v>
      </c>
      <c r="M261" s="241">
        <v>0.33</v>
      </c>
      <c r="N261" s="201">
        <f t="shared" si="51"/>
        <v>0.504</v>
      </c>
      <c r="O261" s="240">
        <v>0.61299999999999999</v>
      </c>
      <c r="P261" s="241">
        <v>0.46</v>
      </c>
      <c r="Q261" s="201">
        <f t="shared" si="52"/>
        <v>0.53649999999999998</v>
      </c>
      <c r="R261" s="240">
        <v>0.625</v>
      </c>
      <c r="S261" s="241">
        <v>0.5</v>
      </c>
      <c r="T261" s="201">
        <f t="shared" si="53"/>
        <v>0.5625</v>
      </c>
      <c r="U261" s="240">
        <v>0</v>
      </c>
      <c r="V261" s="241">
        <v>0</v>
      </c>
      <c r="W261" s="201">
        <f t="shared" si="54"/>
        <v>0</v>
      </c>
    </row>
    <row r="262" spans="1:23" ht="15.75" x14ac:dyDescent="0.25">
      <c r="A262" s="31">
        <f>'M&amp;R Stations'!A247</f>
        <v>39206</v>
      </c>
      <c r="B262" s="240" t="s">
        <v>220</v>
      </c>
      <c r="C262" s="241" t="s">
        <v>220</v>
      </c>
      <c r="D262" s="201" t="s">
        <v>220</v>
      </c>
      <c r="E262" s="240">
        <v>0.57999999999999996</v>
      </c>
      <c r="F262" s="241">
        <v>0.54</v>
      </c>
      <c r="G262" s="201">
        <f t="shared" si="44"/>
        <v>0.56000000000000005</v>
      </c>
      <c r="H262" s="240">
        <v>0.53</v>
      </c>
      <c r="I262" s="241">
        <v>0.49</v>
      </c>
      <c r="J262" s="201">
        <f t="shared" si="50"/>
        <v>0.51</v>
      </c>
      <c r="K262" s="260"/>
      <c r="L262" s="240">
        <v>0.64300000000000002</v>
      </c>
      <c r="M262" s="241">
        <v>0.46400000000000002</v>
      </c>
      <c r="N262" s="201">
        <f t="shared" si="51"/>
        <v>0.55349999999999999</v>
      </c>
      <c r="O262" s="240">
        <v>0.61199999999999999</v>
      </c>
      <c r="P262" s="241">
        <v>0.46</v>
      </c>
      <c r="Q262" s="201">
        <f t="shared" si="52"/>
        <v>0.53600000000000003</v>
      </c>
      <c r="R262" s="240">
        <v>0.67800000000000005</v>
      </c>
      <c r="S262" s="241">
        <v>0.47499999999999998</v>
      </c>
      <c r="T262" s="201">
        <f t="shared" si="53"/>
        <v>0.57650000000000001</v>
      </c>
      <c r="U262" s="240">
        <v>0</v>
      </c>
      <c r="V262" s="241">
        <v>0</v>
      </c>
      <c r="W262" s="201">
        <f t="shared" si="54"/>
        <v>0</v>
      </c>
    </row>
    <row r="263" spans="1:23" ht="15.75" x14ac:dyDescent="0.25">
      <c r="A263" s="31">
        <f>'M&amp;R Stations'!A248</f>
        <v>39207</v>
      </c>
      <c r="B263" s="240" t="s">
        <v>220</v>
      </c>
      <c r="C263" s="241" t="s">
        <v>220</v>
      </c>
      <c r="D263" s="201" t="s">
        <v>220</v>
      </c>
      <c r="E263" s="240">
        <v>0.57999999999999996</v>
      </c>
      <c r="F263" s="241">
        <v>0.54</v>
      </c>
      <c r="G263" s="201">
        <f t="shared" si="44"/>
        <v>0.56000000000000005</v>
      </c>
      <c r="H263" s="240">
        <v>0.53</v>
      </c>
      <c r="I263" s="241">
        <v>0.53</v>
      </c>
      <c r="J263" s="201">
        <f t="shared" si="50"/>
        <v>0.53</v>
      </c>
      <c r="K263" s="260"/>
      <c r="L263" s="240">
        <v>0.71399999999999997</v>
      </c>
      <c r="M263" s="241">
        <v>0.5</v>
      </c>
      <c r="N263" s="201">
        <f t="shared" si="51"/>
        <v>0.60699999999999998</v>
      </c>
      <c r="O263" s="240">
        <v>0.61299999999999999</v>
      </c>
      <c r="P263" s="241">
        <v>0.53600000000000003</v>
      </c>
      <c r="Q263" s="201">
        <f t="shared" si="52"/>
        <v>0.57450000000000001</v>
      </c>
      <c r="R263" s="240">
        <v>0.6</v>
      </c>
      <c r="S263" s="241">
        <v>0.55000000000000004</v>
      </c>
      <c r="T263" s="201">
        <f t="shared" si="53"/>
        <v>0.57499999999999996</v>
      </c>
      <c r="U263" s="240">
        <v>0</v>
      </c>
      <c r="V263" s="241">
        <v>0</v>
      </c>
      <c r="W263" s="201">
        <f t="shared" si="54"/>
        <v>0</v>
      </c>
    </row>
    <row r="264" spans="1:23" ht="15.75" x14ac:dyDescent="0.25">
      <c r="A264" s="31">
        <f>'M&amp;R Stations'!A249</f>
        <v>39208</v>
      </c>
      <c r="B264" s="240" t="s">
        <v>220</v>
      </c>
      <c r="C264" s="241" t="s">
        <v>220</v>
      </c>
      <c r="D264" s="201" t="s">
        <v>220</v>
      </c>
      <c r="E264" s="240">
        <v>0.57999999999999996</v>
      </c>
      <c r="F264" s="241">
        <v>0.46</v>
      </c>
      <c r="G264" s="201">
        <f t="shared" si="44"/>
        <v>0.52</v>
      </c>
      <c r="H264" s="240">
        <v>0.56999999999999995</v>
      </c>
      <c r="I264" s="241">
        <v>0.46</v>
      </c>
      <c r="J264" s="201">
        <f t="shared" si="50"/>
        <v>0.51500000000000001</v>
      </c>
      <c r="K264" s="260"/>
      <c r="L264" s="240">
        <v>0.75</v>
      </c>
      <c r="M264" s="241">
        <v>0.5</v>
      </c>
      <c r="N264" s="201">
        <f t="shared" si="51"/>
        <v>0.625</v>
      </c>
      <c r="O264" s="240">
        <v>0.68899999999999995</v>
      </c>
      <c r="P264" s="241">
        <v>0.46</v>
      </c>
      <c r="Q264" s="201">
        <f t="shared" si="52"/>
        <v>0.57450000000000001</v>
      </c>
      <c r="R264" s="240">
        <v>0.625</v>
      </c>
      <c r="S264" s="241">
        <v>0.57499999999999996</v>
      </c>
      <c r="T264" s="201">
        <f t="shared" si="53"/>
        <v>0.6</v>
      </c>
      <c r="U264" s="240">
        <v>0</v>
      </c>
      <c r="V264" s="241">
        <v>0</v>
      </c>
      <c r="W264" s="201">
        <f t="shared" si="54"/>
        <v>0</v>
      </c>
    </row>
    <row r="265" spans="1:23" ht="15.75" x14ac:dyDescent="0.25">
      <c r="A265" s="31">
        <f>'M&amp;R Stations'!A250</f>
        <v>39209</v>
      </c>
      <c r="B265" s="240" t="s">
        <v>220</v>
      </c>
      <c r="C265" s="241" t="s">
        <v>220</v>
      </c>
      <c r="D265" s="201" t="s">
        <v>220</v>
      </c>
      <c r="E265" s="240">
        <v>0.54</v>
      </c>
      <c r="F265" s="241">
        <v>0.54</v>
      </c>
      <c r="G265" s="201">
        <f t="shared" si="44"/>
        <v>0.54</v>
      </c>
      <c r="H265" s="240">
        <v>0.53</v>
      </c>
      <c r="I265" s="241">
        <v>0.53</v>
      </c>
      <c r="J265" s="201">
        <f t="shared" si="50"/>
        <v>0.53</v>
      </c>
      <c r="K265" s="260"/>
      <c r="L265" s="240">
        <v>0.78500000000000003</v>
      </c>
      <c r="M265" s="241">
        <v>0.5</v>
      </c>
      <c r="N265" s="201">
        <f t="shared" si="51"/>
        <v>0.64250000000000007</v>
      </c>
      <c r="O265" s="240">
        <v>0.68899999999999995</v>
      </c>
      <c r="P265" s="241">
        <v>0.53600000000000003</v>
      </c>
      <c r="Q265" s="201">
        <f t="shared" si="52"/>
        <v>0.61250000000000004</v>
      </c>
      <c r="R265" s="240">
        <v>0.625</v>
      </c>
      <c r="S265" s="241">
        <v>0.57499999999999996</v>
      </c>
      <c r="T265" s="201">
        <f t="shared" si="53"/>
        <v>0.6</v>
      </c>
      <c r="U265" s="240">
        <v>0</v>
      </c>
      <c r="V265" s="241">
        <v>0</v>
      </c>
      <c r="W265" s="201">
        <f t="shared" si="54"/>
        <v>0</v>
      </c>
    </row>
    <row r="266" spans="1:23" ht="15.75" x14ac:dyDescent="0.25">
      <c r="A266" s="31">
        <f>'M&amp;R Stations'!A251</f>
        <v>39210</v>
      </c>
      <c r="B266" s="240" t="s">
        <v>220</v>
      </c>
      <c r="C266" s="241" t="s">
        <v>220</v>
      </c>
      <c r="D266" s="201" t="s">
        <v>220</v>
      </c>
      <c r="E266" s="240">
        <v>0.57999999999999996</v>
      </c>
      <c r="F266" s="241">
        <v>0.54</v>
      </c>
      <c r="G266" s="201">
        <f t="shared" si="44"/>
        <v>0.56000000000000005</v>
      </c>
      <c r="H266" s="240">
        <v>0.56999999999999995</v>
      </c>
      <c r="I266" s="241">
        <v>0.53</v>
      </c>
      <c r="J266" s="201">
        <f t="shared" si="50"/>
        <v>0.55000000000000004</v>
      </c>
      <c r="K266" s="260"/>
      <c r="L266" s="240">
        <v>0.67800000000000005</v>
      </c>
      <c r="M266" s="241">
        <v>0.53500000000000003</v>
      </c>
      <c r="N266" s="201">
        <f t="shared" si="51"/>
        <v>0.60650000000000004</v>
      </c>
      <c r="O266" s="240">
        <v>0.68899999999999995</v>
      </c>
      <c r="P266" s="241">
        <v>0.53600000000000003</v>
      </c>
      <c r="Q266" s="201">
        <f t="shared" si="52"/>
        <v>0.61250000000000004</v>
      </c>
      <c r="R266" s="240">
        <v>0.625</v>
      </c>
      <c r="S266" s="241">
        <v>0.57499999999999996</v>
      </c>
      <c r="T266" s="201">
        <f t="shared" si="53"/>
        <v>0.6</v>
      </c>
      <c r="U266" s="240">
        <v>0</v>
      </c>
      <c r="V266" s="241">
        <v>0</v>
      </c>
      <c r="W266" s="201">
        <f t="shared" si="54"/>
        <v>0</v>
      </c>
    </row>
    <row r="267" spans="1:23" ht="15.75" x14ac:dyDescent="0.25">
      <c r="A267" s="31">
        <f>'M&amp;R Stations'!A252</f>
        <v>39211</v>
      </c>
      <c r="B267" s="240" t="s">
        <v>220</v>
      </c>
      <c r="C267" s="241" t="s">
        <v>220</v>
      </c>
      <c r="D267" s="201" t="s">
        <v>220</v>
      </c>
      <c r="E267" s="240">
        <v>0.54</v>
      </c>
      <c r="F267" s="241">
        <v>0.36</v>
      </c>
      <c r="G267" s="201">
        <f t="shared" si="44"/>
        <v>0.45</v>
      </c>
      <c r="H267" s="240">
        <v>0.53</v>
      </c>
      <c r="I267" s="241">
        <v>0.39</v>
      </c>
      <c r="J267" s="201">
        <f t="shared" si="50"/>
        <v>0.46</v>
      </c>
      <c r="K267" s="260"/>
      <c r="L267" s="240">
        <v>0.749</v>
      </c>
      <c r="M267" s="241">
        <v>0.53600000000000003</v>
      </c>
      <c r="N267" s="201">
        <f t="shared" si="51"/>
        <v>0.64250000000000007</v>
      </c>
      <c r="O267" s="240">
        <v>0.61299999999999999</v>
      </c>
      <c r="P267" s="241">
        <v>0.436</v>
      </c>
      <c r="Q267" s="201">
        <f t="shared" si="52"/>
        <v>0.52449999999999997</v>
      </c>
      <c r="R267" s="240">
        <v>0.6</v>
      </c>
      <c r="S267" s="241">
        <v>0.5</v>
      </c>
      <c r="T267" s="201">
        <f t="shared" si="53"/>
        <v>0.55000000000000004</v>
      </c>
      <c r="U267" s="240">
        <v>0</v>
      </c>
      <c r="V267" s="241">
        <v>0</v>
      </c>
      <c r="W267" s="201">
        <f t="shared" si="54"/>
        <v>0</v>
      </c>
    </row>
    <row r="268" spans="1:23" ht="15.75" x14ac:dyDescent="0.25">
      <c r="A268" s="31">
        <f>'M&amp;R Stations'!A253</f>
        <v>39212</v>
      </c>
      <c r="B268" s="240" t="s">
        <v>220</v>
      </c>
      <c r="C268" s="241" t="s">
        <v>220</v>
      </c>
      <c r="D268" s="201" t="s">
        <v>220</v>
      </c>
      <c r="E268" s="240">
        <v>0.39</v>
      </c>
      <c r="F268" s="241">
        <v>0.36</v>
      </c>
      <c r="G268" s="201">
        <f t="shared" si="44"/>
        <v>0.375</v>
      </c>
      <c r="H268" s="240">
        <v>0.39</v>
      </c>
      <c r="I268" s="241">
        <v>0.39</v>
      </c>
      <c r="J268" s="201">
        <f t="shared" si="50"/>
        <v>0.39</v>
      </c>
      <c r="K268" s="260"/>
      <c r="L268" s="240">
        <v>0.64300000000000002</v>
      </c>
      <c r="M268" s="241">
        <v>0.53500000000000003</v>
      </c>
      <c r="N268" s="201">
        <f t="shared" si="51"/>
        <v>0.58899999999999997</v>
      </c>
      <c r="O268" s="240">
        <v>0.68899999999999995</v>
      </c>
      <c r="P268" s="241">
        <v>0.53600000000000003</v>
      </c>
      <c r="Q268" s="201">
        <f t="shared" si="52"/>
        <v>0.61250000000000004</v>
      </c>
      <c r="R268" s="240">
        <v>0.65</v>
      </c>
      <c r="S268" s="241">
        <v>0.55000000000000004</v>
      </c>
      <c r="T268" s="201">
        <f t="shared" si="53"/>
        <v>0.60000000000000009</v>
      </c>
      <c r="U268" s="240">
        <v>0</v>
      </c>
      <c r="V268" s="241">
        <v>0</v>
      </c>
      <c r="W268" s="201">
        <f t="shared" si="54"/>
        <v>0</v>
      </c>
    </row>
    <row r="269" spans="1:23" ht="15.75" x14ac:dyDescent="0.25">
      <c r="A269" s="31">
        <f>'M&amp;R Stations'!A254</f>
        <v>39213</v>
      </c>
      <c r="B269" s="240" t="s">
        <v>220</v>
      </c>
      <c r="C269" s="241" t="s">
        <v>220</v>
      </c>
      <c r="D269" s="201" t="s">
        <v>220</v>
      </c>
      <c r="E269" s="240">
        <v>0.39</v>
      </c>
      <c r="F269" s="241">
        <v>0.36</v>
      </c>
      <c r="G269" s="201">
        <f t="shared" si="44"/>
        <v>0.375</v>
      </c>
      <c r="H269" s="240">
        <v>0.42</v>
      </c>
      <c r="I269" s="241">
        <v>0.39</v>
      </c>
      <c r="J269" s="201">
        <f t="shared" si="50"/>
        <v>0.40500000000000003</v>
      </c>
      <c r="K269" s="260"/>
      <c r="L269" s="240">
        <v>0.64200000000000002</v>
      </c>
      <c r="M269" s="241">
        <v>0.57099999999999995</v>
      </c>
      <c r="N269" s="201">
        <f t="shared" si="51"/>
        <v>0.60650000000000004</v>
      </c>
      <c r="O269" s="240">
        <v>0.68899999999999995</v>
      </c>
      <c r="P269" s="241">
        <v>0.53600000000000003</v>
      </c>
      <c r="Q269" s="201">
        <f t="shared" si="52"/>
        <v>0.61250000000000004</v>
      </c>
      <c r="R269" s="240">
        <v>0.625</v>
      </c>
      <c r="S269" s="241">
        <v>0.52500000000000002</v>
      </c>
      <c r="T269" s="201">
        <f t="shared" si="53"/>
        <v>0.57499999999999996</v>
      </c>
      <c r="U269" s="240">
        <v>0</v>
      </c>
      <c r="V269" s="241">
        <v>0</v>
      </c>
      <c r="W269" s="201">
        <f t="shared" si="54"/>
        <v>0</v>
      </c>
    </row>
    <row r="270" spans="1:23" ht="15.75" x14ac:dyDescent="0.25">
      <c r="A270" s="31">
        <f>'M&amp;R Stations'!A255</f>
        <v>39214</v>
      </c>
      <c r="B270" s="240" t="s">
        <v>220</v>
      </c>
      <c r="C270" s="241" t="s">
        <v>220</v>
      </c>
      <c r="D270" s="201" t="s">
        <v>220</v>
      </c>
      <c r="E270" s="240">
        <v>0.41</v>
      </c>
      <c r="F270" s="241">
        <v>0.36</v>
      </c>
      <c r="G270" s="201">
        <f t="shared" si="44"/>
        <v>0.38500000000000001</v>
      </c>
      <c r="H270" s="240">
        <v>0.42</v>
      </c>
      <c r="I270" s="241">
        <v>0.36</v>
      </c>
      <c r="J270" s="201">
        <f t="shared" si="50"/>
        <v>0.39</v>
      </c>
      <c r="K270" s="260"/>
      <c r="L270" s="240">
        <v>0.71399999999999997</v>
      </c>
      <c r="M270" s="241">
        <v>0.57099999999999995</v>
      </c>
      <c r="N270" s="201">
        <f t="shared" si="51"/>
        <v>0.64249999999999996</v>
      </c>
      <c r="O270" s="240">
        <v>0.68899999999999995</v>
      </c>
      <c r="P270" s="241">
        <v>0.53600000000000003</v>
      </c>
      <c r="Q270" s="201">
        <f t="shared" si="52"/>
        <v>0.61250000000000004</v>
      </c>
      <c r="R270" s="240">
        <v>0.625</v>
      </c>
      <c r="S270" s="241">
        <v>0.52500000000000002</v>
      </c>
      <c r="T270" s="201">
        <f t="shared" si="53"/>
        <v>0.57499999999999996</v>
      </c>
      <c r="U270" s="240">
        <v>0</v>
      </c>
      <c r="V270" s="241">
        <v>0</v>
      </c>
      <c r="W270" s="201">
        <f t="shared" si="54"/>
        <v>0</v>
      </c>
    </row>
    <row r="271" spans="1:23" ht="15.75" x14ac:dyDescent="0.25">
      <c r="A271" s="31">
        <f>'M&amp;R Stations'!A256</f>
        <v>39215</v>
      </c>
      <c r="B271" s="240" t="s">
        <v>220</v>
      </c>
      <c r="C271" s="241" t="s">
        <v>220</v>
      </c>
      <c r="D271" s="201" t="s">
        <v>220</v>
      </c>
      <c r="E271" s="240">
        <v>0.42</v>
      </c>
      <c r="F271" s="241">
        <v>0.36</v>
      </c>
      <c r="G271" s="201">
        <f t="shared" si="44"/>
        <v>0.39</v>
      </c>
      <c r="H271" s="240">
        <v>0.42</v>
      </c>
      <c r="I271" s="241">
        <v>0.39</v>
      </c>
      <c r="J271" s="201">
        <f t="shared" si="50"/>
        <v>0.40500000000000003</v>
      </c>
      <c r="K271" s="260"/>
      <c r="L271" s="240">
        <v>0.71399999999999997</v>
      </c>
      <c r="M271" s="241">
        <v>0.5</v>
      </c>
      <c r="N271" s="201">
        <f t="shared" si="51"/>
        <v>0.60699999999999998</v>
      </c>
      <c r="O271" s="240">
        <v>0.76600000000000001</v>
      </c>
      <c r="P271" s="241">
        <v>0.53600000000000003</v>
      </c>
      <c r="Q271" s="201">
        <f t="shared" si="52"/>
        <v>0.65100000000000002</v>
      </c>
      <c r="R271" s="240">
        <v>0.65</v>
      </c>
      <c r="S271" s="241">
        <v>0.57499999999999996</v>
      </c>
      <c r="T271" s="201">
        <f t="shared" si="53"/>
        <v>0.61250000000000004</v>
      </c>
      <c r="U271" s="240">
        <v>0</v>
      </c>
      <c r="V271" s="241">
        <v>0</v>
      </c>
      <c r="W271" s="201">
        <f t="shared" si="54"/>
        <v>0</v>
      </c>
    </row>
    <row r="272" spans="1:23" ht="15.75" x14ac:dyDescent="0.25">
      <c r="A272" s="31">
        <f>'M&amp;R Stations'!A257</f>
        <v>39216</v>
      </c>
      <c r="B272" s="240" t="s">
        <v>220</v>
      </c>
      <c r="C272" s="241" t="s">
        <v>220</v>
      </c>
      <c r="D272" s="201" t="s">
        <v>220</v>
      </c>
      <c r="E272" s="240">
        <v>0.41</v>
      </c>
      <c r="F272" s="241">
        <v>0.36</v>
      </c>
      <c r="G272" s="201">
        <f t="shared" si="44"/>
        <v>0.38500000000000001</v>
      </c>
      <c r="H272" s="240">
        <v>0.44</v>
      </c>
      <c r="I272" s="241">
        <v>0.39</v>
      </c>
      <c r="J272" s="201">
        <f t="shared" si="50"/>
        <v>0.41500000000000004</v>
      </c>
      <c r="K272" s="260"/>
      <c r="L272" s="240">
        <v>0.71399999999999997</v>
      </c>
      <c r="M272" s="241">
        <v>0.57099999999999995</v>
      </c>
      <c r="N272" s="201">
        <f t="shared" si="51"/>
        <v>0.64249999999999996</v>
      </c>
      <c r="O272" s="240">
        <v>0.76600000000000001</v>
      </c>
      <c r="P272" s="241">
        <v>0.53600000000000003</v>
      </c>
      <c r="Q272" s="201">
        <f t="shared" si="52"/>
        <v>0.65100000000000002</v>
      </c>
      <c r="R272" s="240">
        <v>0.65</v>
      </c>
      <c r="S272" s="241">
        <v>0.6</v>
      </c>
      <c r="T272" s="201">
        <f t="shared" si="53"/>
        <v>0.625</v>
      </c>
      <c r="U272" s="240">
        <v>0</v>
      </c>
      <c r="V272" s="241">
        <v>0</v>
      </c>
      <c r="W272" s="201">
        <f t="shared" si="54"/>
        <v>0</v>
      </c>
    </row>
    <row r="273" spans="1:23" ht="15.75" x14ac:dyDescent="0.25">
      <c r="A273" s="31">
        <f>'M&amp;R Stations'!A258</f>
        <v>39217</v>
      </c>
      <c r="B273" s="240" t="s">
        <v>220</v>
      </c>
      <c r="C273" s="241" t="s">
        <v>220</v>
      </c>
      <c r="D273" s="201" t="s">
        <v>220</v>
      </c>
      <c r="E273" s="240">
        <v>0.39</v>
      </c>
      <c r="F273" s="241">
        <v>0.39</v>
      </c>
      <c r="G273" s="201">
        <f t="shared" si="44"/>
        <v>0.39</v>
      </c>
      <c r="H273" s="240">
        <v>0.42</v>
      </c>
      <c r="I273" s="241">
        <v>0.42</v>
      </c>
      <c r="J273" s="201">
        <f t="shared" si="50"/>
        <v>0.42</v>
      </c>
      <c r="K273" s="260"/>
      <c r="L273" s="240">
        <v>0.78500000000000003</v>
      </c>
      <c r="M273" s="241">
        <v>0.57099999999999995</v>
      </c>
      <c r="N273" s="201">
        <f t="shared" si="51"/>
        <v>0.67799999999999994</v>
      </c>
      <c r="O273" s="240">
        <v>0.68899999999999995</v>
      </c>
      <c r="P273" s="241">
        <v>0.61199999999999999</v>
      </c>
      <c r="Q273" s="201">
        <f t="shared" si="52"/>
        <v>0.65049999999999997</v>
      </c>
      <c r="R273" s="240">
        <v>0.625</v>
      </c>
      <c r="S273" s="241">
        <v>0.52500000000000002</v>
      </c>
      <c r="T273" s="201">
        <f t="shared" si="53"/>
        <v>0.57499999999999996</v>
      </c>
      <c r="U273" s="240">
        <v>0</v>
      </c>
      <c r="V273" s="241">
        <v>0</v>
      </c>
      <c r="W273" s="201">
        <f t="shared" si="54"/>
        <v>0</v>
      </c>
    </row>
    <row r="274" spans="1:23" ht="15.75" x14ac:dyDescent="0.25">
      <c r="A274" s="31">
        <f>'M&amp;R Stations'!A259</f>
        <v>39218</v>
      </c>
      <c r="B274" s="240" t="s">
        <v>220</v>
      </c>
      <c r="C274" s="241" t="s">
        <v>220</v>
      </c>
      <c r="D274" s="201" t="s">
        <v>220</v>
      </c>
      <c r="E274" s="240">
        <v>0.56999999999999995</v>
      </c>
      <c r="F274" s="241">
        <v>0.49</v>
      </c>
      <c r="G274" s="201">
        <f t="shared" si="44"/>
        <v>0.53</v>
      </c>
      <c r="H274" s="240">
        <v>0.41</v>
      </c>
      <c r="I274" s="241">
        <v>0.35</v>
      </c>
      <c r="J274" s="201">
        <f t="shared" si="50"/>
        <v>0.38</v>
      </c>
      <c r="K274" s="260"/>
      <c r="L274" s="240">
        <v>0.71399999999999997</v>
      </c>
      <c r="M274" s="241">
        <v>0.57099999999999995</v>
      </c>
      <c r="N274" s="201">
        <f t="shared" si="51"/>
        <v>0.64249999999999996</v>
      </c>
      <c r="O274" s="240">
        <v>0.61299999999999999</v>
      </c>
      <c r="P274" s="241">
        <v>0.53600000000000003</v>
      </c>
      <c r="Q274" s="201">
        <f t="shared" si="52"/>
        <v>0.57450000000000001</v>
      </c>
      <c r="R274" s="240">
        <v>0.57499999999999996</v>
      </c>
      <c r="S274" s="241">
        <v>0.5</v>
      </c>
      <c r="T274" s="201">
        <f t="shared" si="53"/>
        <v>0.53749999999999998</v>
      </c>
      <c r="U274" s="240">
        <v>0</v>
      </c>
      <c r="V274" s="241">
        <v>0</v>
      </c>
      <c r="W274" s="201">
        <f t="shared" si="54"/>
        <v>0</v>
      </c>
    </row>
    <row r="275" spans="1:23" ht="15.75" x14ac:dyDescent="0.25">
      <c r="A275" s="31">
        <f>'M&amp;R Stations'!A260</f>
        <v>39219</v>
      </c>
      <c r="B275" s="240" t="s">
        <v>220</v>
      </c>
      <c r="C275" s="241" t="s">
        <v>220</v>
      </c>
      <c r="D275" s="201" t="s">
        <v>220</v>
      </c>
      <c r="E275" s="240">
        <v>0.61</v>
      </c>
      <c r="F275" s="241">
        <v>0.56999999999999995</v>
      </c>
      <c r="G275" s="201">
        <f t="shared" si="44"/>
        <v>0.59</v>
      </c>
      <c r="H275" s="240">
        <v>0.44</v>
      </c>
      <c r="I275" s="241">
        <v>0.41</v>
      </c>
      <c r="J275" s="201">
        <f t="shared" si="50"/>
        <v>0.42499999999999999</v>
      </c>
      <c r="K275" s="260"/>
      <c r="L275" s="240">
        <v>0.64200000000000002</v>
      </c>
      <c r="M275" s="241">
        <v>0.4</v>
      </c>
      <c r="N275" s="201">
        <f t="shared" si="51"/>
        <v>0.52100000000000002</v>
      </c>
      <c r="O275" s="240">
        <v>0.61199999999999999</v>
      </c>
      <c r="P275" s="241">
        <v>0.40600000000000003</v>
      </c>
      <c r="Q275" s="201">
        <f t="shared" si="52"/>
        <v>0.50900000000000001</v>
      </c>
      <c r="R275" s="240">
        <v>0.76200000000000001</v>
      </c>
      <c r="S275" s="241">
        <v>0.45400000000000001</v>
      </c>
      <c r="T275" s="201">
        <f t="shared" si="53"/>
        <v>0.60799999999999998</v>
      </c>
      <c r="U275" s="240">
        <v>0</v>
      </c>
      <c r="V275" s="241">
        <v>0</v>
      </c>
      <c r="W275" s="201">
        <f t="shared" si="54"/>
        <v>0</v>
      </c>
    </row>
    <row r="276" spans="1:23" ht="15.75" x14ac:dyDescent="0.25">
      <c r="A276" s="31">
        <f>'M&amp;R Stations'!A261</f>
        <v>39220</v>
      </c>
      <c r="B276" s="240" t="s">
        <v>220</v>
      </c>
      <c r="C276" s="241" t="s">
        <v>220</v>
      </c>
      <c r="D276" s="201" t="s">
        <v>220</v>
      </c>
      <c r="E276" s="240">
        <v>0.56999999999999995</v>
      </c>
      <c r="F276" s="241">
        <v>0.53</v>
      </c>
      <c r="G276" s="201">
        <f t="shared" si="44"/>
        <v>0.55000000000000004</v>
      </c>
      <c r="H276" s="240">
        <v>0.41</v>
      </c>
      <c r="I276" s="241">
        <v>0.35</v>
      </c>
      <c r="J276" s="201">
        <f t="shared" si="50"/>
        <v>0.38</v>
      </c>
      <c r="K276" s="260"/>
      <c r="L276" s="240">
        <v>0.49299999999999999</v>
      </c>
      <c r="M276" s="241">
        <v>0.4</v>
      </c>
      <c r="N276" s="201">
        <f t="shared" si="51"/>
        <v>0.44650000000000001</v>
      </c>
      <c r="O276" s="240">
        <v>0.50800000000000001</v>
      </c>
      <c r="P276" s="241">
        <v>0.40600000000000003</v>
      </c>
      <c r="Q276" s="201">
        <f t="shared" si="52"/>
        <v>0.45700000000000002</v>
      </c>
      <c r="R276" s="240">
        <v>0.51</v>
      </c>
      <c r="S276" s="241">
        <v>0.434</v>
      </c>
      <c r="T276" s="201">
        <f t="shared" si="53"/>
        <v>0.47199999999999998</v>
      </c>
      <c r="U276" s="240">
        <v>0</v>
      </c>
      <c r="V276" s="241">
        <v>0</v>
      </c>
      <c r="W276" s="201">
        <f t="shared" si="54"/>
        <v>0</v>
      </c>
    </row>
    <row r="277" spans="1:23" ht="15.75" x14ac:dyDescent="0.25">
      <c r="A277" s="31">
        <f>'M&amp;R Stations'!A262</f>
        <v>39221</v>
      </c>
      <c r="B277" s="240" t="s">
        <v>220</v>
      </c>
      <c r="C277" s="241" t="s">
        <v>220</v>
      </c>
      <c r="D277" s="201" t="s">
        <v>220</v>
      </c>
      <c r="E277" s="240">
        <v>0.56999999999999995</v>
      </c>
      <c r="F277" s="241">
        <v>0.53</v>
      </c>
      <c r="G277" s="201">
        <f t="shared" si="44"/>
        <v>0.55000000000000004</v>
      </c>
      <c r="H277" s="240">
        <v>0.41</v>
      </c>
      <c r="I277" s="241">
        <v>0.38</v>
      </c>
      <c r="J277" s="201">
        <f t="shared" si="50"/>
        <v>0.39500000000000002</v>
      </c>
      <c r="K277" s="260"/>
      <c r="L277" s="240">
        <v>0.49399999999999999</v>
      </c>
      <c r="M277" s="241">
        <v>0.42299999999999999</v>
      </c>
      <c r="N277" s="201">
        <f t="shared" si="51"/>
        <v>0.45850000000000002</v>
      </c>
      <c r="O277" s="240">
        <v>0.51</v>
      </c>
      <c r="P277" s="241">
        <v>0.40600000000000003</v>
      </c>
      <c r="Q277" s="201">
        <f t="shared" si="52"/>
        <v>0.45800000000000002</v>
      </c>
      <c r="R277" s="240">
        <v>0.47299999999999998</v>
      </c>
      <c r="S277" s="241">
        <v>0.434</v>
      </c>
      <c r="T277" s="201">
        <f t="shared" si="53"/>
        <v>0.45350000000000001</v>
      </c>
      <c r="U277" s="240">
        <v>0</v>
      </c>
      <c r="V277" s="241">
        <v>0</v>
      </c>
      <c r="W277" s="201">
        <f t="shared" si="54"/>
        <v>0</v>
      </c>
    </row>
    <row r="278" spans="1:23" ht="15.75" x14ac:dyDescent="0.25">
      <c r="A278" s="31">
        <f>'M&amp;R Stations'!A263</f>
        <v>39222</v>
      </c>
      <c r="B278" s="240" t="s">
        <v>220</v>
      </c>
      <c r="C278" s="241" t="s">
        <v>220</v>
      </c>
      <c r="D278" s="201" t="s">
        <v>220</v>
      </c>
      <c r="E278" s="240">
        <v>0.56999999999999995</v>
      </c>
      <c r="F278" s="241">
        <v>0.53</v>
      </c>
      <c r="G278" s="201">
        <f t="shared" si="44"/>
        <v>0.55000000000000004</v>
      </c>
      <c r="H278" s="240">
        <v>0.41</v>
      </c>
      <c r="I278" s="241">
        <v>0.35</v>
      </c>
      <c r="J278" s="201">
        <f t="shared" si="50"/>
        <v>0.38</v>
      </c>
      <c r="K278" s="260"/>
      <c r="L278" s="240">
        <v>0.54100000000000004</v>
      </c>
      <c r="M278" s="241">
        <v>0.4</v>
      </c>
      <c r="N278" s="201">
        <f t="shared" si="51"/>
        <v>0.47050000000000003</v>
      </c>
      <c r="O278" s="240">
        <v>0.50800000000000001</v>
      </c>
      <c r="P278" s="241">
        <v>0.45700000000000002</v>
      </c>
      <c r="Q278" s="201">
        <f t="shared" si="52"/>
        <v>0.48250000000000004</v>
      </c>
      <c r="R278" s="240">
        <v>0.52900000000000003</v>
      </c>
      <c r="S278" s="241">
        <v>0.45300000000000001</v>
      </c>
      <c r="T278" s="201">
        <f t="shared" si="53"/>
        <v>0.49099999999999999</v>
      </c>
      <c r="U278" s="240">
        <v>0</v>
      </c>
      <c r="V278" s="241">
        <v>0</v>
      </c>
      <c r="W278" s="201">
        <f t="shared" si="54"/>
        <v>0</v>
      </c>
    </row>
    <row r="279" spans="1:23" ht="15.75" x14ac:dyDescent="0.25">
      <c r="A279" s="31">
        <f>'M&amp;R Stations'!A264</f>
        <v>39223</v>
      </c>
      <c r="B279" s="240" t="s">
        <v>220</v>
      </c>
      <c r="C279" s="241" t="s">
        <v>220</v>
      </c>
      <c r="D279" s="201" t="s">
        <v>220</v>
      </c>
      <c r="E279" s="240">
        <v>0.56999999999999995</v>
      </c>
      <c r="F279" s="241">
        <v>0.56999999999999995</v>
      </c>
      <c r="G279" s="201">
        <f t="shared" si="44"/>
        <v>0.56999999999999995</v>
      </c>
      <c r="H279" s="240">
        <v>0.47</v>
      </c>
      <c r="I279" s="241">
        <v>0.41</v>
      </c>
      <c r="J279" s="201">
        <f t="shared" si="50"/>
        <v>0.43999999999999995</v>
      </c>
      <c r="K279" s="260"/>
      <c r="L279" s="240">
        <v>0.54100000000000004</v>
      </c>
      <c r="M279" s="241">
        <v>0.4</v>
      </c>
      <c r="N279" s="201">
        <f t="shared" si="51"/>
        <v>0.47050000000000003</v>
      </c>
      <c r="O279" s="240">
        <v>0.50800000000000001</v>
      </c>
      <c r="P279" s="241">
        <v>0.40600000000000003</v>
      </c>
      <c r="Q279" s="201">
        <f t="shared" si="52"/>
        <v>0.45700000000000002</v>
      </c>
      <c r="R279" s="240">
        <v>0.51</v>
      </c>
      <c r="S279" s="241">
        <v>0.45400000000000001</v>
      </c>
      <c r="T279" s="201">
        <f t="shared" si="53"/>
        <v>0.48199999999999998</v>
      </c>
      <c r="U279" s="240">
        <v>0</v>
      </c>
      <c r="V279" s="241">
        <v>0</v>
      </c>
      <c r="W279" s="201">
        <f t="shared" si="54"/>
        <v>0</v>
      </c>
    </row>
    <row r="280" spans="1:23" ht="15.75" x14ac:dyDescent="0.25">
      <c r="A280" s="31">
        <f>'M&amp;R Stations'!A265</f>
        <v>39224</v>
      </c>
      <c r="B280" s="240" t="s">
        <v>220</v>
      </c>
      <c r="C280" s="241" t="s">
        <v>220</v>
      </c>
      <c r="D280" s="201" t="s">
        <v>220</v>
      </c>
      <c r="E280" s="240">
        <v>0.56999999999999995</v>
      </c>
      <c r="F280" s="241">
        <v>0.53</v>
      </c>
      <c r="G280" s="201">
        <f t="shared" si="44"/>
        <v>0.55000000000000004</v>
      </c>
      <c r="H280" s="240">
        <v>0.41</v>
      </c>
      <c r="I280" s="241">
        <v>0.38</v>
      </c>
      <c r="J280" s="201">
        <f t="shared" si="50"/>
        <v>0.39500000000000002</v>
      </c>
      <c r="K280" s="260"/>
      <c r="L280" s="240">
        <v>0.44700000000000001</v>
      </c>
      <c r="M280" s="241">
        <v>0.42299999999999999</v>
      </c>
      <c r="N280" s="201">
        <f t="shared" si="51"/>
        <v>0.435</v>
      </c>
      <c r="O280" s="240">
        <v>0.45700000000000002</v>
      </c>
      <c r="P280" s="241">
        <v>0.40600000000000003</v>
      </c>
      <c r="Q280" s="201">
        <f t="shared" si="52"/>
        <v>0.43149999999999999</v>
      </c>
      <c r="R280" s="240">
        <v>0.45400000000000001</v>
      </c>
      <c r="S280" s="241">
        <v>0.41499999999999998</v>
      </c>
      <c r="T280" s="201">
        <f t="shared" si="53"/>
        <v>0.4345</v>
      </c>
      <c r="U280" s="240">
        <v>0</v>
      </c>
      <c r="V280" s="241">
        <v>0</v>
      </c>
      <c r="W280" s="201">
        <f t="shared" si="54"/>
        <v>0</v>
      </c>
    </row>
    <row r="281" spans="1:23" ht="15.75" x14ac:dyDescent="0.25">
      <c r="A281" s="31">
        <f>'M&amp;R Stations'!A266</f>
        <v>39225</v>
      </c>
      <c r="B281" s="240" t="s">
        <v>220</v>
      </c>
      <c r="C281" s="241" t="s">
        <v>220</v>
      </c>
      <c r="D281" s="201" t="s">
        <v>220</v>
      </c>
      <c r="E281" s="240">
        <v>0.43</v>
      </c>
      <c r="F281" s="241">
        <v>0.37</v>
      </c>
      <c r="G281" s="201">
        <f t="shared" si="44"/>
        <v>0.4</v>
      </c>
      <c r="H281" s="240">
        <v>0.42</v>
      </c>
      <c r="I281" s="241">
        <v>0.36</v>
      </c>
      <c r="J281" s="201">
        <f t="shared" si="50"/>
        <v>0.39</v>
      </c>
      <c r="K281" s="260"/>
      <c r="L281" s="240">
        <v>0.47</v>
      </c>
      <c r="M281" s="241">
        <v>0.42299999999999999</v>
      </c>
      <c r="N281" s="201">
        <f t="shared" si="51"/>
        <v>0.44650000000000001</v>
      </c>
      <c r="O281" s="240">
        <v>0.55900000000000005</v>
      </c>
      <c r="P281" s="241">
        <v>0.45700000000000002</v>
      </c>
      <c r="Q281" s="201">
        <f t="shared" si="52"/>
        <v>0.50800000000000001</v>
      </c>
      <c r="R281" s="240">
        <v>0.47199999999999998</v>
      </c>
      <c r="S281" s="241">
        <v>0.434</v>
      </c>
      <c r="T281" s="201">
        <f t="shared" si="53"/>
        <v>0.45299999999999996</v>
      </c>
      <c r="U281" s="240">
        <v>0</v>
      </c>
      <c r="V281" s="241">
        <v>0</v>
      </c>
      <c r="W281" s="201">
        <f t="shared" si="54"/>
        <v>0</v>
      </c>
    </row>
    <row r="282" spans="1:23" ht="15.75" x14ac:dyDescent="0.25">
      <c r="A282" s="31">
        <f>'M&amp;R Stations'!A267</f>
        <v>39226</v>
      </c>
      <c r="B282" s="240" t="s">
        <v>220</v>
      </c>
      <c r="C282" s="241" t="s">
        <v>220</v>
      </c>
      <c r="D282" s="201" t="s">
        <v>220</v>
      </c>
      <c r="E282" s="240">
        <v>0.43</v>
      </c>
      <c r="F282" s="241">
        <v>0.4</v>
      </c>
      <c r="G282" s="201">
        <f t="shared" si="44"/>
        <v>0.41500000000000004</v>
      </c>
      <c r="H282" s="240">
        <v>0.39</v>
      </c>
      <c r="I282" s="241">
        <v>0.37</v>
      </c>
      <c r="J282" s="201">
        <f t="shared" si="50"/>
        <v>0.38</v>
      </c>
      <c r="K282" s="260"/>
      <c r="L282" s="240">
        <v>0.47399999999999998</v>
      </c>
      <c r="M282" s="241">
        <v>0.40200000000000002</v>
      </c>
      <c r="N282" s="201">
        <f t="shared" si="51"/>
        <v>0.438</v>
      </c>
      <c r="O282" s="240">
        <v>0.50800000000000001</v>
      </c>
      <c r="P282" s="241">
        <v>0.39500000000000002</v>
      </c>
      <c r="Q282" s="201">
        <f t="shared" si="52"/>
        <v>0.45150000000000001</v>
      </c>
      <c r="R282" s="240">
        <v>0.434</v>
      </c>
      <c r="S282" s="241">
        <v>0.39400000000000002</v>
      </c>
      <c r="T282" s="201">
        <f t="shared" si="53"/>
        <v>0.41400000000000003</v>
      </c>
      <c r="U282" s="240">
        <v>0</v>
      </c>
      <c r="V282" s="241">
        <v>0</v>
      </c>
      <c r="W282" s="201">
        <f t="shared" si="54"/>
        <v>0</v>
      </c>
    </row>
    <row r="283" spans="1:23" ht="15.75" x14ac:dyDescent="0.25">
      <c r="A283" s="31">
        <f>'M&amp;R Stations'!A268</f>
        <v>39227</v>
      </c>
      <c r="B283" s="240" t="s">
        <v>220</v>
      </c>
      <c r="C283" s="241" t="s">
        <v>220</v>
      </c>
      <c r="D283" s="201" t="s">
        <v>220</v>
      </c>
      <c r="E283" s="240">
        <v>0.4</v>
      </c>
      <c r="F283" s="241">
        <v>0.37</v>
      </c>
      <c r="G283" s="201">
        <f t="shared" si="44"/>
        <v>0.38500000000000001</v>
      </c>
      <c r="H283" s="240">
        <v>0.39</v>
      </c>
      <c r="I283" s="241">
        <v>0.36</v>
      </c>
      <c r="J283" s="201">
        <f t="shared" si="50"/>
        <v>0.375</v>
      </c>
      <c r="K283" s="260"/>
      <c r="L283" s="240">
        <v>0.47399999999999998</v>
      </c>
      <c r="M283" s="241">
        <v>0.40300000000000002</v>
      </c>
      <c r="N283" s="201">
        <f t="shared" si="51"/>
        <v>0.4385</v>
      </c>
      <c r="O283" s="240">
        <v>0.47399999999999998</v>
      </c>
      <c r="P283" s="241">
        <v>0.39500000000000002</v>
      </c>
      <c r="Q283" s="201">
        <f t="shared" si="52"/>
        <v>0.4345</v>
      </c>
      <c r="R283" s="240">
        <v>0.438</v>
      </c>
      <c r="S283" s="241">
        <v>0.40799999999999997</v>
      </c>
      <c r="T283" s="201">
        <f t="shared" si="53"/>
        <v>0.42299999999999999</v>
      </c>
      <c r="U283" s="240">
        <v>0</v>
      </c>
      <c r="V283" s="241">
        <v>0</v>
      </c>
      <c r="W283" s="201">
        <f t="shared" si="54"/>
        <v>0</v>
      </c>
    </row>
    <row r="284" spans="1:23" ht="15.75" x14ac:dyDescent="0.25">
      <c r="A284" s="31">
        <f>'M&amp;R Stations'!A269</f>
        <v>39228</v>
      </c>
      <c r="B284" s="240" t="s">
        <v>220</v>
      </c>
      <c r="C284" s="241" t="s">
        <v>220</v>
      </c>
      <c r="D284" s="201" t="s">
        <v>220</v>
      </c>
      <c r="E284" s="240">
        <v>0.43</v>
      </c>
      <c r="F284" s="241">
        <v>0.37</v>
      </c>
      <c r="G284" s="201">
        <f t="shared" si="44"/>
        <v>0.4</v>
      </c>
      <c r="H284" s="240">
        <v>0.42</v>
      </c>
      <c r="I284" s="241">
        <v>0.36</v>
      </c>
      <c r="J284" s="201">
        <f t="shared" si="50"/>
        <v>0.39</v>
      </c>
      <c r="K284" s="260"/>
      <c r="L284" s="240">
        <v>0.47399999999999998</v>
      </c>
      <c r="M284" s="241">
        <v>0.40300000000000002</v>
      </c>
      <c r="N284" s="201">
        <f t="shared" si="51"/>
        <v>0.4385</v>
      </c>
      <c r="O284" s="240">
        <v>0.47399999999999998</v>
      </c>
      <c r="P284" s="241">
        <v>0.434</v>
      </c>
      <c r="Q284" s="201">
        <f t="shared" si="52"/>
        <v>0.45399999999999996</v>
      </c>
      <c r="R284" s="240">
        <v>0.438</v>
      </c>
      <c r="S284" s="241">
        <v>0.40899999999999997</v>
      </c>
      <c r="T284" s="201">
        <f t="shared" si="53"/>
        <v>0.42349999999999999</v>
      </c>
      <c r="U284" s="240">
        <v>0</v>
      </c>
      <c r="V284" s="241">
        <v>0</v>
      </c>
      <c r="W284" s="201">
        <f t="shared" si="54"/>
        <v>0</v>
      </c>
    </row>
    <row r="285" spans="1:23" ht="15.75" x14ac:dyDescent="0.25">
      <c r="A285" s="31">
        <f>'M&amp;R Stations'!A270</f>
        <v>39229</v>
      </c>
      <c r="B285" s="240" t="s">
        <v>220</v>
      </c>
      <c r="C285" s="241" t="s">
        <v>220</v>
      </c>
      <c r="D285" s="201" t="s">
        <v>220</v>
      </c>
      <c r="E285" s="240">
        <v>0.46</v>
      </c>
      <c r="F285" s="241">
        <v>0.37</v>
      </c>
      <c r="G285" s="201">
        <f t="shared" si="44"/>
        <v>0.41500000000000004</v>
      </c>
      <c r="H285" s="240">
        <v>0.42</v>
      </c>
      <c r="I285" s="241">
        <v>0.36</v>
      </c>
      <c r="J285" s="201">
        <f t="shared" si="50"/>
        <v>0.39</v>
      </c>
      <c r="K285" s="260"/>
      <c r="L285" s="240">
        <v>0.47399999999999998</v>
      </c>
      <c r="M285" s="241">
        <v>0.40300000000000002</v>
      </c>
      <c r="N285" s="201">
        <f t="shared" si="51"/>
        <v>0.4385</v>
      </c>
      <c r="O285" s="240">
        <v>0.435</v>
      </c>
      <c r="P285" s="241">
        <v>0.35599999999999998</v>
      </c>
      <c r="Q285" s="201">
        <f t="shared" si="52"/>
        <v>0.39549999999999996</v>
      </c>
      <c r="R285" s="240">
        <v>0.438</v>
      </c>
      <c r="S285" s="241">
        <v>0.42299999999999999</v>
      </c>
      <c r="T285" s="201">
        <f t="shared" si="53"/>
        <v>0.43049999999999999</v>
      </c>
      <c r="U285" s="240">
        <v>0</v>
      </c>
      <c r="V285" s="241">
        <v>0</v>
      </c>
      <c r="W285" s="201">
        <f t="shared" si="54"/>
        <v>0</v>
      </c>
    </row>
    <row r="286" spans="1:23" ht="15.75" x14ac:dyDescent="0.25">
      <c r="A286" s="31">
        <f>'M&amp;R Stations'!A271</f>
        <v>39230</v>
      </c>
      <c r="B286" s="240" t="s">
        <v>220</v>
      </c>
      <c r="C286" s="241" t="s">
        <v>220</v>
      </c>
      <c r="D286" s="201" t="s">
        <v>220</v>
      </c>
      <c r="E286" s="240">
        <v>0.46</v>
      </c>
      <c r="F286" s="241">
        <v>0.43</v>
      </c>
      <c r="G286" s="201">
        <f t="shared" si="44"/>
        <v>0.44500000000000001</v>
      </c>
      <c r="H286" s="240">
        <v>0.42</v>
      </c>
      <c r="I286" s="241">
        <v>0.36</v>
      </c>
      <c r="J286" s="201">
        <f t="shared" si="50"/>
        <v>0.39</v>
      </c>
      <c r="K286" s="260"/>
      <c r="L286" s="240">
        <v>0.498</v>
      </c>
      <c r="M286" s="241">
        <v>0.42599999999999999</v>
      </c>
      <c r="N286" s="201">
        <f t="shared" si="51"/>
        <v>0.46199999999999997</v>
      </c>
      <c r="O286" s="240">
        <v>0.435</v>
      </c>
      <c r="P286" s="241">
        <v>0.39500000000000002</v>
      </c>
      <c r="Q286" s="201">
        <f t="shared" si="52"/>
        <v>0.41500000000000004</v>
      </c>
      <c r="R286" s="240">
        <v>0.45300000000000001</v>
      </c>
      <c r="S286" s="241">
        <v>0.42299999999999999</v>
      </c>
      <c r="T286" s="201">
        <f t="shared" si="53"/>
        <v>0.438</v>
      </c>
      <c r="U286" s="240">
        <v>0</v>
      </c>
      <c r="V286" s="241">
        <v>0</v>
      </c>
      <c r="W286" s="201">
        <f t="shared" si="54"/>
        <v>0</v>
      </c>
    </row>
    <row r="287" spans="1:23" ht="15.75" x14ac:dyDescent="0.25">
      <c r="A287" s="31">
        <f>'M&amp;R Stations'!A272</f>
        <v>39231</v>
      </c>
      <c r="B287" s="240" t="s">
        <v>220</v>
      </c>
      <c r="C287" s="241" t="s">
        <v>220</v>
      </c>
      <c r="D287" s="201" t="s">
        <v>220</v>
      </c>
      <c r="E287" s="240">
        <v>0.46</v>
      </c>
      <c r="F287" s="241">
        <v>0.43</v>
      </c>
      <c r="G287" s="201">
        <f t="shared" si="44"/>
        <v>0.44500000000000001</v>
      </c>
      <c r="H287" s="240">
        <v>0.45</v>
      </c>
      <c r="I287" s="241">
        <v>0.42</v>
      </c>
      <c r="J287" s="201">
        <f t="shared" si="50"/>
        <v>0.435</v>
      </c>
      <c r="K287" s="260"/>
      <c r="L287" s="240">
        <v>0.52100000000000002</v>
      </c>
      <c r="M287" s="241">
        <v>0.40200000000000002</v>
      </c>
      <c r="N287" s="201">
        <f t="shared" si="51"/>
        <v>0.46150000000000002</v>
      </c>
      <c r="O287" s="240">
        <v>0.47399999999999998</v>
      </c>
      <c r="P287" s="241">
        <v>0.39500000000000002</v>
      </c>
      <c r="Q287" s="201">
        <f t="shared" si="52"/>
        <v>0.4345</v>
      </c>
      <c r="R287" s="240">
        <v>0.438</v>
      </c>
      <c r="S287" s="241">
        <v>0.40899999999999997</v>
      </c>
      <c r="T287" s="201">
        <f t="shared" si="53"/>
        <v>0.42349999999999999</v>
      </c>
      <c r="U287" s="240">
        <v>0</v>
      </c>
      <c r="V287" s="241">
        <v>0</v>
      </c>
      <c r="W287" s="201">
        <f t="shared" si="54"/>
        <v>0</v>
      </c>
    </row>
    <row r="288" spans="1:23" ht="15.75" x14ac:dyDescent="0.25">
      <c r="A288" s="31">
        <f>'M&amp;R Stations'!A273</f>
        <v>39232</v>
      </c>
      <c r="B288" s="240" t="s">
        <v>220</v>
      </c>
      <c r="C288" s="241" t="s">
        <v>220</v>
      </c>
      <c r="D288" s="201" t="s">
        <v>220</v>
      </c>
      <c r="E288" s="240">
        <v>0.43</v>
      </c>
      <c r="F288" s="241">
        <v>0.32</v>
      </c>
      <c r="G288" s="201">
        <f t="shared" si="44"/>
        <v>0.375</v>
      </c>
      <c r="H288" s="240">
        <v>0.42</v>
      </c>
      <c r="I288" s="241">
        <v>0.32</v>
      </c>
      <c r="J288" s="201">
        <f t="shared" si="50"/>
        <v>0.37</v>
      </c>
      <c r="K288" s="260"/>
      <c r="L288" s="240">
        <v>0.47399999999999998</v>
      </c>
      <c r="M288" s="241">
        <v>0.40200000000000002</v>
      </c>
      <c r="N288" s="201">
        <f t="shared" si="51"/>
        <v>0.438</v>
      </c>
      <c r="O288" s="240">
        <v>0.47399999999999998</v>
      </c>
      <c r="P288" s="241">
        <v>0.39500000000000002</v>
      </c>
      <c r="Q288" s="201">
        <f t="shared" si="52"/>
        <v>0.4345</v>
      </c>
      <c r="R288" s="240">
        <v>0.42299999999999999</v>
      </c>
      <c r="S288" s="241">
        <v>0.39400000000000002</v>
      </c>
      <c r="T288" s="201">
        <f t="shared" si="53"/>
        <v>0.40849999999999997</v>
      </c>
      <c r="U288" s="240">
        <v>0</v>
      </c>
      <c r="V288" s="241">
        <v>0</v>
      </c>
      <c r="W288" s="201">
        <f t="shared" si="54"/>
        <v>0</v>
      </c>
    </row>
    <row r="289" spans="1:23" ht="15.75" x14ac:dyDescent="0.25">
      <c r="A289" s="31">
        <f>'M&amp;R Stations'!A274</f>
        <v>39233</v>
      </c>
      <c r="B289" s="240" t="s">
        <v>220</v>
      </c>
      <c r="C289" s="241" t="s">
        <v>220</v>
      </c>
      <c r="D289" s="201" t="s">
        <v>220</v>
      </c>
      <c r="E289" s="240">
        <v>0.34</v>
      </c>
      <c r="F289" s="241">
        <v>0.32</v>
      </c>
      <c r="G289" s="201">
        <f t="shared" si="44"/>
        <v>0.33</v>
      </c>
      <c r="H289" s="240">
        <v>0.34</v>
      </c>
      <c r="I289" s="241">
        <v>0.32</v>
      </c>
      <c r="J289" s="201">
        <f t="shared" si="50"/>
        <v>0.33</v>
      </c>
      <c r="K289" s="260"/>
      <c r="L289" s="240">
        <v>0.96199999999999997</v>
      </c>
      <c r="M289" s="241">
        <v>0.64100000000000001</v>
      </c>
      <c r="N289" s="201">
        <f t="shared" si="51"/>
        <v>0.80149999999999999</v>
      </c>
      <c r="O289" s="240">
        <v>0.78200000000000003</v>
      </c>
      <c r="P289" s="241">
        <v>0.68300000000000005</v>
      </c>
      <c r="Q289" s="201">
        <f t="shared" si="52"/>
        <v>0.73250000000000004</v>
      </c>
      <c r="R289" s="240">
        <v>0.63800000000000001</v>
      </c>
      <c r="S289" s="241">
        <v>0.51</v>
      </c>
      <c r="T289" s="201">
        <f t="shared" si="53"/>
        <v>0.57400000000000007</v>
      </c>
      <c r="U289" s="240">
        <v>0</v>
      </c>
      <c r="V289" s="241">
        <v>0</v>
      </c>
      <c r="W289" s="201">
        <f t="shared" si="54"/>
        <v>0</v>
      </c>
    </row>
    <row r="290" spans="1:23" ht="15.75" x14ac:dyDescent="0.25">
      <c r="A290" s="179"/>
      <c r="B290" s="203"/>
      <c r="C290" s="204"/>
      <c r="D290" s="205"/>
      <c r="E290" s="203"/>
      <c r="F290" s="204"/>
      <c r="G290" s="205"/>
      <c r="H290" s="203"/>
      <c r="I290" s="204"/>
      <c r="J290" s="206"/>
      <c r="K290" s="207"/>
      <c r="L290" s="203"/>
      <c r="M290" s="204"/>
      <c r="N290" s="206"/>
      <c r="O290" s="203"/>
      <c r="P290" s="204"/>
      <c r="Q290" s="206"/>
      <c r="R290" s="203"/>
      <c r="S290" s="204"/>
      <c r="T290" s="206"/>
      <c r="U290" s="203"/>
      <c r="V290" s="204"/>
      <c r="W290" s="204"/>
    </row>
    <row r="291" spans="1:23" ht="15.75" x14ac:dyDescent="0.25">
      <c r="A291" s="31">
        <f>'M&amp;R Stations'!A275</f>
        <v>39234</v>
      </c>
      <c r="B291" s="240" t="s">
        <v>220</v>
      </c>
      <c r="C291" s="241" t="s">
        <v>220</v>
      </c>
      <c r="D291" s="201" t="s">
        <v>220</v>
      </c>
      <c r="E291" s="240">
        <v>0.37</v>
      </c>
      <c r="F291" s="241">
        <v>0.32</v>
      </c>
      <c r="G291" s="201">
        <f t="shared" si="44"/>
        <v>0.34499999999999997</v>
      </c>
      <c r="H291" s="240">
        <v>0.37</v>
      </c>
      <c r="I291" s="241">
        <v>0.28999999999999998</v>
      </c>
      <c r="J291" s="201">
        <f t="shared" ref="J291:J320" si="55">IF(AND(H291="",I291=""),"",IF(H291="off",I291,IF(I291="off",H291,AVERAGE(H291:I291))))</f>
        <v>0.32999999999999996</v>
      </c>
      <c r="K291" s="194"/>
      <c r="L291" s="240">
        <v>1.1200000000000001</v>
      </c>
      <c r="M291" s="241">
        <v>0.72099999999999997</v>
      </c>
      <c r="N291" s="201">
        <f t="shared" ref="N291:N320" si="56">IF(AND(L291="",M291=""),"",IF(L291="off",M291,IF(M291="off",L291,AVERAGE(L291:M291))))</f>
        <v>0.9205000000000001</v>
      </c>
      <c r="O291" s="240">
        <v>0.879</v>
      </c>
      <c r="P291" s="241">
        <v>0.58599999999999997</v>
      </c>
      <c r="Q291" s="201">
        <f t="shared" ref="Q291:Q320" si="57">IF(AND(O291="",P291=""),"",IF(O291="off",P291,IF(P291="off",O291,AVERAGE(O291:P291))))</f>
        <v>0.73249999999999993</v>
      </c>
      <c r="R291" s="240">
        <v>0.63800000000000001</v>
      </c>
      <c r="S291" s="241">
        <v>0.44600000000000001</v>
      </c>
      <c r="T291" s="201">
        <f t="shared" ref="T291:T320" si="58">IF(AND(R291="",S291=""),"",IF(R291="off",S291,IF(S291="off",R291,AVERAGE(R291:S291))))</f>
        <v>0.54200000000000004</v>
      </c>
      <c r="U291" s="240">
        <v>0</v>
      </c>
      <c r="V291" s="241">
        <v>0</v>
      </c>
      <c r="W291" s="201">
        <f t="shared" ref="W291:W320" si="59">IF(AND(U291="",V291=""),"",IF(U291="off",V291,IF(V291="off",U291,AVERAGE(U291:V291))))</f>
        <v>0</v>
      </c>
    </row>
    <row r="292" spans="1:23" ht="15.75" x14ac:dyDescent="0.25">
      <c r="A292" s="31">
        <f>'M&amp;R Stations'!A276</f>
        <v>39235</v>
      </c>
      <c r="B292" s="240" t="s">
        <v>220</v>
      </c>
      <c r="C292" s="241" t="s">
        <v>220</v>
      </c>
      <c r="D292" s="201" t="s">
        <v>220</v>
      </c>
      <c r="E292" s="240">
        <v>0.37</v>
      </c>
      <c r="F292" s="241">
        <v>0.34</v>
      </c>
      <c r="G292" s="201">
        <f t="shared" ref="G292:G355" si="60">IF(AND(E292="",F292=""),"",IF(E292="off",F292,IF(F292="off",E292,AVERAGE(E292:F292))))</f>
        <v>0.35499999999999998</v>
      </c>
      <c r="H292" s="240">
        <v>0.4</v>
      </c>
      <c r="I292" s="241">
        <v>0.34</v>
      </c>
      <c r="J292" s="201">
        <f t="shared" si="55"/>
        <v>0.37</v>
      </c>
      <c r="K292" s="194"/>
      <c r="L292" s="240">
        <v>1.04</v>
      </c>
      <c r="M292" s="241">
        <v>0.80200000000000005</v>
      </c>
      <c r="N292" s="201">
        <f t="shared" si="56"/>
        <v>0.92100000000000004</v>
      </c>
      <c r="O292" s="240">
        <v>0.97699999999999998</v>
      </c>
      <c r="P292" s="241">
        <v>0.58599999999999997</v>
      </c>
      <c r="Q292" s="201">
        <f t="shared" si="57"/>
        <v>0.78149999999999997</v>
      </c>
      <c r="R292" s="240">
        <v>0.70099999999999996</v>
      </c>
      <c r="S292" s="241">
        <v>0.57399999999999995</v>
      </c>
      <c r="T292" s="201">
        <f t="shared" si="58"/>
        <v>0.63749999999999996</v>
      </c>
      <c r="U292" s="240">
        <v>0</v>
      </c>
      <c r="V292" s="241">
        <v>0</v>
      </c>
      <c r="W292" s="201">
        <f t="shared" si="59"/>
        <v>0</v>
      </c>
    </row>
    <row r="293" spans="1:23" ht="15.75" x14ac:dyDescent="0.25">
      <c r="A293" s="31">
        <f>'M&amp;R Stations'!A277</f>
        <v>39236</v>
      </c>
      <c r="B293" s="240" t="s">
        <v>220</v>
      </c>
      <c r="C293" s="241" t="s">
        <v>220</v>
      </c>
      <c r="D293" s="201" t="s">
        <v>220</v>
      </c>
      <c r="E293" s="240">
        <v>0.37</v>
      </c>
      <c r="F293" s="241">
        <v>0.32</v>
      </c>
      <c r="G293" s="201">
        <f t="shared" si="60"/>
        <v>0.34499999999999997</v>
      </c>
      <c r="H293" s="240">
        <v>0.37</v>
      </c>
      <c r="I293" s="241">
        <v>0.32</v>
      </c>
      <c r="J293" s="201">
        <f t="shared" si="55"/>
        <v>0.34499999999999997</v>
      </c>
      <c r="K293" s="194"/>
      <c r="L293" s="240">
        <v>1.1200000000000001</v>
      </c>
      <c r="M293" s="241">
        <v>0.80200000000000005</v>
      </c>
      <c r="N293" s="201">
        <f t="shared" si="56"/>
        <v>0.96100000000000008</v>
      </c>
      <c r="O293" s="240">
        <v>0.879</v>
      </c>
      <c r="P293" s="241">
        <v>0.78100000000000003</v>
      </c>
      <c r="Q293" s="201">
        <f t="shared" si="57"/>
        <v>0.83000000000000007</v>
      </c>
      <c r="R293" s="240">
        <v>0.73399999999999999</v>
      </c>
      <c r="S293" s="241">
        <v>0.63</v>
      </c>
      <c r="T293" s="201">
        <f t="shared" si="58"/>
        <v>0.68199999999999994</v>
      </c>
      <c r="U293" s="240">
        <v>0</v>
      </c>
      <c r="V293" s="241">
        <v>0</v>
      </c>
      <c r="W293" s="201">
        <f t="shared" si="59"/>
        <v>0</v>
      </c>
    </row>
    <row r="294" spans="1:23" ht="15.75" x14ac:dyDescent="0.25">
      <c r="A294" s="31">
        <f>'M&amp;R Stations'!A278</f>
        <v>39237</v>
      </c>
      <c r="B294" s="240" t="s">
        <v>220</v>
      </c>
      <c r="C294" s="241" t="s">
        <v>220</v>
      </c>
      <c r="D294" s="201" t="s">
        <v>220</v>
      </c>
      <c r="E294" s="240">
        <v>0.37</v>
      </c>
      <c r="F294" s="241">
        <v>0.32</v>
      </c>
      <c r="G294" s="201">
        <f t="shared" si="60"/>
        <v>0.34499999999999997</v>
      </c>
      <c r="H294" s="240">
        <v>0.37</v>
      </c>
      <c r="I294" s="241">
        <v>0.32</v>
      </c>
      <c r="J294" s="201">
        <f t="shared" si="55"/>
        <v>0.34499999999999997</v>
      </c>
      <c r="K294" s="194"/>
      <c r="L294" s="240">
        <v>1.2</v>
      </c>
      <c r="M294" s="241">
        <v>0.88200000000000001</v>
      </c>
      <c r="N294" s="201">
        <f>IF(AND(L294="",M294=""),"",IF(L294="off",M294,IF(M294="off",L294,AVERAGE(L294:M294))))</f>
        <v>1.0409999999999999</v>
      </c>
      <c r="O294" s="240">
        <v>0.97699999999999998</v>
      </c>
      <c r="P294" s="241">
        <v>0.68400000000000005</v>
      </c>
      <c r="Q294" s="201">
        <f t="shared" si="57"/>
        <v>0.83050000000000002</v>
      </c>
      <c r="R294" s="240">
        <v>0.70199999999999996</v>
      </c>
      <c r="S294" s="241">
        <v>0.66900000000000004</v>
      </c>
      <c r="T294" s="201">
        <f t="shared" si="58"/>
        <v>0.6855</v>
      </c>
      <c r="U294" s="240">
        <v>0</v>
      </c>
      <c r="V294" s="241">
        <v>0</v>
      </c>
      <c r="W294" s="201">
        <f t="shared" si="59"/>
        <v>0</v>
      </c>
    </row>
    <row r="295" spans="1:23" ht="15.75" x14ac:dyDescent="0.25">
      <c r="A295" s="31">
        <f>'M&amp;R Stations'!A279</f>
        <v>39238</v>
      </c>
      <c r="B295" s="240" t="s">
        <v>220</v>
      </c>
      <c r="C295" s="241" t="s">
        <v>220</v>
      </c>
      <c r="D295" s="201" t="s">
        <v>220</v>
      </c>
      <c r="E295" s="240">
        <v>0.34</v>
      </c>
      <c r="F295" s="241">
        <v>0.32</v>
      </c>
      <c r="G295" s="201">
        <f t="shared" si="60"/>
        <v>0.33</v>
      </c>
      <c r="H295" s="240">
        <v>0.37</v>
      </c>
      <c r="I295" s="241">
        <v>0.32</v>
      </c>
      <c r="J295" s="201">
        <f t="shared" si="55"/>
        <v>0.34499999999999997</v>
      </c>
      <c r="K295" s="194"/>
      <c r="L295" s="240">
        <v>1.1200000000000001</v>
      </c>
      <c r="M295" s="241">
        <v>0.80200000000000005</v>
      </c>
      <c r="N295" s="201">
        <f t="shared" si="56"/>
        <v>0.96100000000000008</v>
      </c>
      <c r="O295" s="240">
        <v>0.879</v>
      </c>
      <c r="P295" s="241">
        <v>0.68400000000000005</v>
      </c>
      <c r="Q295" s="201">
        <f t="shared" si="57"/>
        <v>0.78150000000000008</v>
      </c>
      <c r="R295" s="240">
        <v>0.70199999999999996</v>
      </c>
      <c r="S295" s="241">
        <v>0.67</v>
      </c>
      <c r="T295" s="201">
        <f t="shared" si="58"/>
        <v>0.68599999999999994</v>
      </c>
      <c r="U295" s="240">
        <v>0</v>
      </c>
      <c r="V295" s="241">
        <v>0</v>
      </c>
      <c r="W295" s="201">
        <f t="shared" si="59"/>
        <v>0</v>
      </c>
    </row>
    <row r="296" spans="1:23" ht="15.75" x14ac:dyDescent="0.25">
      <c r="A296" s="31">
        <f>'M&amp;R Stations'!A280</f>
        <v>39239</v>
      </c>
      <c r="B296" s="240" t="s">
        <v>220</v>
      </c>
      <c r="C296" s="241" t="s">
        <v>220</v>
      </c>
      <c r="D296" s="201" t="s">
        <v>220</v>
      </c>
      <c r="E296" s="240">
        <v>0.38</v>
      </c>
      <c r="F296" s="241">
        <v>0.32</v>
      </c>
      <c r="G296" s="201">
        <f t="shared" si="60"/>
        <v>0.35</v>
      </c>
      <c r="H296" s="240">
        <v>0.4</v>
      </c>
      <c r="I296" s="241">
        <v>0.32</v>
      </c>
      <c r="J296" s="201">
        <f t="shared" si="55"/>
        <v>0.36</v>
      </c>
      <c r="K296" s="194"/>
      <c r="L296" s="240">
        <v>0.96199999999999997</v>
      </c>
      <c r="M296" s="241">
        <v>0.80200000000000005</v>
      </c>
      <c r="N296" s="201">
        <f t="shared" si="56"/>
        <v>0.88200000000000001</v>
      </c>
      <c r="O296" s="240">
        <v>0.879</v>
      </c>
      <c r="P296" s="241">
        <v>0.68400000000000005</v>
      </c>
      <c r="Q296" s="201">
        <f t="shared" si="57"/>
        <v>0.78150000000000008</v>
      </c>
      <c r="R296" s="240">
        <v>0.70199999999999996</v>
      </c>
      <c r="S296" s="241">
        <v>0.63800000000000001</v>
      </c>
      <c r="T296" s="201">
        <f t="shared" si="58"/>
        <v>0.66999999999999993</v>
      </c>
      <c r="U296" s="240">
        <v>0</v>
      </c>
      <c r="V296" s="241">
        <v>0</v>
      </c>
      <c r="W296" s="201">
        <f t="shared" si="59"/>
        <v>0</v>
      </c>
    </row>
    <row r="297" spans="1:23" ht="15.75" x14ac:dyDescent="0.25">
      <c r="A297" s="31">
        <f>'M&amp;R Stations'!A281</f>
        <v>39240</v>
      </c>
      <c r="B297" s="240" t="s">
        <v>220</v>
      </c>
      <c r="C297" s="241" t="s">
        <v>220</v>
      </c>
      <c r="D297" s="201" t="s">
        <v>220</v>
      </c>
      <c r="E297" s="240">
        <v>0.38</v>
      </c>
      <c r="F297" s="241">
        <v>0.35</v>
      </c>
      <c r="G297" s="201">
        <f t="shared" si="60"/>
        <v>0.36499999999999999</v>
      </c>
      <c r="H297" s="240">
        <v>0.38</v>
      </c>
      <c r="I297" s="241">
        <v>0.35</v>
      </c>
      <c r="J297" s="201">
        <f t="shared" si="55"/>
        <v>0.36499999999999999</v>
      </c>
      <c r="K297" s="194"/>
      <c r="L297" s="240">
        <v>0.88200000000000001</v>
      </c>
      <c r="M297" s="241">
        <v>0.32400000000000001</v>
      </c>
      <c r="N297" s="201">
        <f t="shared" si="56"/>
        <v>0.60299999999999998</v>
      </c>
      <c r="O297" s="240">
        <v>0.879</v>
      </c>
      <c r="P297" s="241">
        <v>0.67300000000000004</v>
      </c>
      <c r="Q297" s="201">
        <f t="shared" si="57"/>
        <v>0.77600000000000002</v>
      </c>
      <c r="R297" s="240">
        <v>0.70199999999999996</v>
      </c>
      <c r="S297" s="241">
        <v>0.40799999999999997</v>
      </c>
      <c r="T297" s="201">
        <f t="shared" si="58"/>
        <v>0.55499999999999994</v>
      </c>
      <c r="U297" s="240">
        <v>0</v>
      </c>
      <c r="V297" s="241">
        <v>0</v>
      </c>
      <c r="W297" s="201">
        <f t="shared" si="59"/>
        <v>0</v>
      </c>
    </row>
    <row r="298" spans="1:23" ht="15.75" x14ac:dyDescent="0.25">
      <c r="A298" s="31">
        <f>'M&amp;R Stations'!A282</f>
        <v>39241</v>
      </c>
      <c r="B298" s="240" t="s">
        <v>220</v>
      </c>
      <c r="C298" s="241" t="s">
        <v>220</v>
      </c>
      <c r="D298" s="201" t="s">
        <v>220</v>
      </c>
      <c r="E298" s="240">
        <v>0.38</v>
      </c>
      <c r="F298" s="241">
        <v>0.35</v>
      </c>
      <c r="G298" s="201">
        <f t="shared" si="60"/>
        <v>0.36499999999999999</v>
      </c>
      <c r="H298" s="240">
        <v>0.38</v>
      </c>
      <c r="I298" s="241">
        <v>0.38</v>
      </c>
      <c r="J298" s="201">
        <f t="shared" si="55"/>
        <v>0.38</v>
      </c>
      <c r="K298" s="194"/>
      <c r="L298" s="240">
        <v>0.40500000000000003</v>
      </c>
      <c r="M298" s="241">
        <v>0.29199999999999998</v>
      </c>
      <c r="N298" s="201">
        <f t="shared" si="56"/>
        <v>0.34850000000000003</v>
      </c>
      <c r="O298" s="240">
        <v>0.67300000000000004</v>
      </c>
      <c r="P298" s="241">
        <v>0.52400000000000002</v>
      </c>
      <c r="Q298" s="201">
        <f t="shared" si="57"/>
        <v>0.59850000000000003</v>
      </c>
      <c r="R298" s="240">
        <v>0.53</v>
      </c>
      <c r="S298" s="241">
        <v>0.42299999999999999</v>
      </c>
      <c r="T298" s="201">
        <f t="shared" si="58"/>
        <v>0.47650000000000003</v>
      </c>
      <c r="U298" s="240">
        <v>0</v>
      </c>
      <c r="V298" s="241">
        <v>0</v>
      </c>
      <c r="W298" s="201">
        <f t="shared" si="59"/>
        <v>0</v>
      </c>
    </row>
    <row r="299" spans="1:23" ht="15.75" x14ac:dyDescent="0.25">
      <c r="A299" s="31">
        <f>'M&amp;R Stations'!A283</f>
        <v>39242</v>
      </c>
      <c r="B299" s="240" t="s">
        <v>220</v>
      </c>
      <c r="C299" s="241" t="s">
        <v>220</v>
      </c>
      <c r="D299" s="201" t="s">
        <v>220</v>
      </c>
      <c r="E299" s="240">
        <v>0.38</v>
      </c>
      <c r="F299" s="241">
        <v>0.38</v>
      </c>
      <c r="G299" s="201">
        <f t="shared" si="60"/>
        <v>0.38</v>
      </c>
      <c r="H299" s="240">
        <v>0.4</v>
      </c>
      <c r="I299" s="241">
        <v>0.38</v>
      </c>
      <c r="J299" s="201">
        <f t="shared" si="55"/>
        <v>0.39</v>
      </c>
      <c r="K299" s="194"/>
      <c r="L299" s="240">
        <v>0.42099999999999999</v>
      </c>
      <c r="M299" s="241">
        <v>0.34</v>
      </c>
      <c r="N299" s="201">
        <f t="shared" si="56"/>
        <v>0.3805</v>
      </c>
      <c r="O299" s="240">
        <v>0.748</v>
      </c>
      <c r="P299" s="241">
        <v>0.52400000000000002</v>
      </c>
      <c r="Q299" s="201">
        <f t="shared" si="57"/>
        <v>0.63600000000000001</v>
      </c>
      <c r="R299" s="240">
        <v>0.51</v>
      </c>
      <c r="S299" s="241">
        <v>0.44900000000000001</v>
      </c>
      <c r="T299" s="201">
        <f t="shared" si="58"/>
        <v>0.47950000000000004</v>
      </c>
      <c r="U299" s="240">
        <v>0</v>
      </c>
      <c r="V299" s="241">
        <v>0</v>
      </c>
      <c r="W299" s="201">
        <f t="shared" si="59"/>
        <v>0</v>
      </c>
    </row>
    <row r="300" spans="1:23" ht="15.75" x14ac:dyDescent="0.25">
      <c r="A300" s="31">
        <f>'M&amp;R Stations'!A284</f>
        <v>39243</v>
      </c>
      <c r="B300" s="240" t="s">
        <v>220</v>
      </c>
      <c r="C300" s="241" t="s">
        <v>220</v>
      </c>
      <c r="D300" s="201" t="s">
        <v>220</v>
      </c>
      <c r="E300" s="240">
        <v>0.4</v>
      </c>
      <c r="F300" s="241">
        <v>0.35</v>
      </c>
      <c r="G300" s="201">
        <f t="shared" si="60"/>
        <v>0.375</v>
      </c>
      <c r="H300" s="240">
        <v>0.4</v>
      </c>
      <c r="I300" s="241">
        <v>0.32</v>
      </c>
      <c r="J300" s="201">
        <f t="shared" si="55"/>
        <v>0.36</v>
      </c>
      <c r="K300" s="194"/>
      <c r="L300" s="240">
        <v>0.40500000000000003</v>
      </c>
      <c r="M300" s="241">
        <v>0.32400000000000001</v>
      </c>
      <c r="N300" s="201">
        <f t="shared" si="56"/>
        <v>0.36450000000000005</v>
      </c>
      <c r="O300" s="240">
        <v>0.67300000000000004</v>
      </c>
      <c r="P300" s="241">
        <v>0.52400000000000002</v>
      </c>
      <c r="Q300" s="201">
        <f t="shared" si="57"/>
        <v>0.59850000000000003</v>
      </c>
      <c r="R300" s="240">
        <v>0.55100000000000005</v>
      </c>
      <c r="S300" s="241">
        <v>0.44900000000000001</v>
      </c>
      <c r="T300" s="201">
        <f t="shared" si="58"/>
        <v>0.5</v>
      </c>
      <c r="U300" s="240">
        <v>0</v>
      </c>
      <c r="V300" s="241">
        <v>0</v>
      </c>
      <c r="W300" s="201">
        <f t="shared" si="59"/>
        <v>0</v>
      </c>
    </row>
    <row r="301" spans="1:23" ht="15.75" x14ac:dyDescent="0.25">
      <c r="A301" s="31">
        <f>'M&amp;R Stations'!A285</f>
        <v>39244</v>
      </c>
      <c r="B301" s="240" t="s">
        <v>220</v>
      </c>
      <c r="C301" s="241" t="s">
        <v>220</v>
      </c>
      <c r="D301" s="201" t="s">
        <v>220</v>
      </c>
      <c r="E301" s="240">
        <v>0.4</v>
      </c>
      <c r="F301" s="241">
        <v>0.35</v>
      </c>
      <c r="G301" s="201">
        <f t="shared" si="60"/>
        <v>0.375</v>
      </c>
      <c r="H301" s="240">
        <v>0.4</v>
      </c>
      <c r="I301" s="241">
        <v>0.35</v>
      </c>
      <c r="J301" s="201">
        <f t="shared" si="55"/>
        <v>0.375</v>
      </c>
      <c r="K301" s="194"/>
      <c r="L301" s="240">
        <v>0.42</v>
      </c>
      <c r="M301" s="241">
        <v>0.34</v>
      </c>
      <c r="N301" s="201">
        <f t="shared" si="56"/>
        <v>0.38</v>
      </c>
      <c r="O301" s="240">
        <v>0.78</v>
      </c>
      <c r="P301" s="241">
        <v>0.6</v>
      </c>
      <c r="Q301" s="201">
        <f t="shared" si="57"/>
        <v>0.69</v>
      </c>
      <c r="R301" s="240">
        <v>0.55000000000000004</v>
      </c>
      <c r="S301" s="241">
        <v>0.51</v>
      </c>
      <c r="T301" s="201">
        <f t="shared" si="58"/>
        <v>0.53</v>
      </c>
      <c r="U301" s="240">
        <v>0</v>
      </c>
      <c r="V301" s="241">
        <v>0</v>
      </c>
      <c r="W301" s="201">
        <f t="shared" si="59"/>
        <v>0</v>
      </c>
    </row>
    <row r="302" spans="1:23" ht="15.75" x14ac:dyDescent="0.25">
      <c r="A302" s="31">
        <f>'M&amp;R Stations'!A286</f>
        <v>39245</v>
      </c>
      <c r="B302" s="240" t="s">
        <v>220</v>
      </c>
      <c r="C302" s="241" t="s">
        <v>220</v>
      </c>
      <c r="D302" s="201" t="s">
        <v>220</v>
      </c>
      <c r="E302" s="240">
        <v>0.38</v>
      </c>
      <c r="F302" s="241">
        <v>0.32</v>
      </c>
      <c r="G302" s="201">
        <f t="shared" si="60"/>
        <v>0.35</v>
      </c>
      <c r="H302" s="240">
        <v>0.38</v>
      </c>
      <c r="I302" s="241">
        <v>0.32</v>
      </c>
      <c r="J302" s="201">
        <f t="shared" si="55"/>
        <v>0.35</v>
      </c>
      <c r="K302" s="194"/>
      <c r="L302" s="240">
        <v>0.42</v>
      </c>
      <c r="M302" s="241">
        <v>0.34</v>
      </c>
      <c r="N302" s="201">
        <f t="shared" si="56"/>
        <v>0.38</v>
      </c>
      <c r="O302" s="240">
        <v>0.78</v>
      </c>
      <c r="P302" s="241">
        <v>0.6</v>
      </c>
      <c r="Q302" s="201">
        <f t="shared" si="57"/>
        <v>0.69</v>
      </c>
      <c r="R302" s="240">
        <v>0.55000000000000004</v>
      </c>
      <c r="S302" s="241">
        <v>0.51</v>
      </c>
      <c r="T302" s="201">
        <f t="shared" si="58"/>
        <v>0.53</v>
      </c>
      <c r="U302" s="240">
        <v>0</v>
      </c>
      <c r="V302" s="241">
        <v>0</v>
      </c>
      <c r="W302" s="201">
        <f t="shared" si="59"/>
        <v>0</v>
      </c>
    </row>
    <row r="303" spans="1:23" ht="15.75" x14ac:dyDescent="0.25">
      <c r="A303" s="31">
        <f>'M&amp;R Stations'!A287</f>
        <v>39246</v>
      </c>
      <c r="B303" s="240" t="s">
        <v>220</v>
      </c>
      <c r="C303" s="241" t="s">
        <v>220</v>
      </c>
      <c r="D303" s="201" t="s">
        <v>220</v>
      </c>
      <c r="E303" s="240">
        <v>0.38</v>
      </c>
      <c r="F303" s="241">
        <v>0.34</v>
      </c>
      <c r="G303" s="201">
        <f t="shared" si="60"/>
        <v>0.36</v>
      </c>
      <c r="H303" s="240">
        <v>0.38</v>
      </c>
      <c r="I303" s="241">
        <v>0.32</v>
      </c>
      <c r="J303" s="201">
        <f t="shared" si="55"/>
        <v>0.35</v>
      </c>
      <c r="K303" s="194"/>
      <c r="L303" s="240">
        <v>0.35599999999999998</v>
      </c>
      <c r="M303" s="241">
        <v>0.32400000000000001</v>
      </c>
      <c r="N303" s="201">
        <f t="shared" si="56"/>
        <v>0.33999999999999997</v>
      </c>
      <c r="O303" s="240">
        <v>0.67300000000000004</v>
      </c>
      <c r="P303" s="241">
        <v>0.374</v>
      </c>
      <c r="Q303" s="201">
        <f t="shared" si="57"/>
        <v>0.52350000000000008</v>
      </c>
      <c r="R303" s="240">
        <v>0.46899999999999997</v>
      </c>
      <c r="S303" s="241">
        <v>0.42799999999999999</v>
      </c>
      <c r="T303" s="201">
        <f t="shared" si="58"/>
        <v>0.44850000000000001</v>
      </c>
      <c r="U303" s="240">
        <v>0</v>
      </c>
      <c r="V303" s="241">
        <v>0</v>
      </c>
      <c r="W303" s="201">
        <f t="shared" si="59"/>
        <v>0</v>
      </c>
    </row>
    <row r="304" spans="1:23" ht="15.75" x14ac:dyDescent="0.25">
      <c r="A304" s="31">
        <f>'M&amp;R Stations'!A288</f>
        <v>39247</v>
      </c>
      <c r="B304" s="240" t="s">
        <v>220</v>
      </c>
      <c r="C304" s="241" t="s">
        <v>220</v>
      </c>
      <c r="D304" s="201" t="s">
        <v>220</v>
      </c>
      <c r="E304" s="240">
        <v>0.41</v>
      </c>
      <c r="F304" s="241">
        <v>0.36</v>
      </c>
      <c r="G304" s="201">
        <f t="shared" si="60"/>
        <v>0.38500000000000001</v>
      </c>
      <c r="H304" s="240">
        <v>0.36</v>
      </c>
      <c r="I304" s="241">
        <v>0.36</v>
      </c>
      <c r="J304" s="201">
        <f t="shared" si="55"/>
        <v>0.36</v>
      </c>
      <c r="K304" s="194"/>
      <c r="L304" s="240">
        <v>0.38900000000000001</v>
      </c>
      <c r="M304" s="241">
        <v>0.30399999999999999</v>
      </c>
      <c r="N304" s="201">
        <f t="shared" si="56"/>
        <v>0.34650000000000003</v>
      </c>
      <c r="O304" s="240">
        <v>0.67300000000000004</v>
      </c>
      <c r="P304" s="241">
        <v>0.52400000000000002</v>
      </c>
      <c r="Q304" s="201">
        <f t="shared" si="57"/>
        <v>0.59850000000000003</v>
      </c>
      <c r="R304" s="240">
        <v>0.51</v>
      </c>
      <c r="S304" s="241">
        <v>0.42799999999999999</v>
      </c>
      <c r="T304" s="201">
        <f t="shared" si="58"/>
        <v>0.46899999999999997</v>
      </c>
      <c r="U304" s="240">
        <v>0</v>
      </c>
      <c r="V304" s="241">
        <v>0</v>
      </c>
      <c r="W304" s="201">
        <f t="shared" si="59"/>
        <v>0</v>
      </c>
    </row>
    <row r="305" spans="1:23" ht="15.75" x14ac:dyDescent="0.25">
      <c r="A305" s="31">
        <f>'M&amp;R Stations'!A289</f>
        <v>39248</v>
      </c>
      <c r="B305" s="240" t="s">
        <v>220</v>
      </c>
      <c r="C305" s="241" t="s">
        <v>220</v>
      </c>
      <c r="D305" s="201" t="s">
        <v>220</v>
      </c>
      <c r="E305" s="240">
        <v>0.38</v>
      </c>
      <c r="F305" s="241">
        <v>0.3</v>
      </c>
      <c r="G305" s="201">
        <f t="shared" si="60"/>
        <v>0.33999999999999997</v>
      </c>
      <c r="H305" s="240">
        <v>0.36</v>
      </c>
      <c r="I305" s="241">
        <v>0.3</v>
      </c>
      <c r="J305" s="201">
        <f t="shared" si="55"/>
        <v>0.32999999999999996</v>
      </c>
      <c r="K305" s="194"/>
      <c r="L305" s="240">
        <v>0.71099999999999997</v>
      </c>
      <c r="M305" s="241">
        <v>0.373</v>
      </c>
      <c r="N305" s="201">
        <f t="shared" si="56"/>
        <v>0.54200000000000004</v>
      </c>
      <c r="O305" s="240">
        <v>0.64300000000000002</v>
      </c>
      <c r="P305" s="241">
        <v>0.5</v>
      </c>
      <c r="Q305" s="201">
        <f t="shared" si="57"/>
        <v>0.57150000000000001</v>
      </c>
      <c r="R305" s="240">
        <v>0.65300000000000002</v>
      </c>
      <c r="S305" s="241">
        <v>0.49</v>
      </c>
      <c r="T305" s="201">
        <f t="shared" si="58"/>
        <v>0.57150000000000001</v>
      </c>
      <c r="U305" s="240">
        <v>0</v>
      </c>
      <c r="V305" s="241">
        <v>0</v>
      </c>
      <c r="W305" s="201">
        <f t="shared" si="59"/>
        <v>0</v>
      </c>
    </row>
    <row r="306" spans="1:23" ht="15.75" x14ac:dyDescent="0.25">
      <c r="A306" s="31">
        <f>'M&amp;R Stations'!A290</f>
        <v>39249</v>
      </c>
      <c r="B306" s="240" t="s">
        <v>220</v>
      </c>
      <c r="C306" s="241" t="s">
        <v>220</v>
      </c>
      <c r="D306" s="201" t="s">
        <v>220</v>
      </c>
      <c r="E306" s="240">
        <v>0.36</v>
      </c>
      <c r="F306" s="241">
        <v>0.33</v>
      </c>
      <c r="G306" s="201">
        <f t="shared" si="60"/>
        <v>0.34499999999999997</v>
      </c>
      <c r="H306" s="240">
        <v>0.36</v>
      </c>
      <c r="I306" s="241">
        <v>0.3</v>
      </c>
      <c r="J306" s="201">
        <f t="shared" si="55"/>
        <v>0.32999999999999996</v>
      </c>
      <c r="K306" s="194"/>
      <c r="L306" s="240">
        <v>0.67800000000000005</v>
      </c>
      <c r="M306" s="241">
        <v>0.48499999999999999</v>
      </c>
      <c r="N306" s="201">
        <f t="shared" si="56"/>
        <v>0.58150000000000002</v>
      </c>
      <c r="O306" s="240">
        <v>0.71399999999999997</v>
      </c>
      <c r="P306" s="241">
        <v>0.5</v>
      </c>
      <c r="Q306" s="201">
        <f t="shared" si="57"/>
        <v>0.60699999999999998</v>
      </c>
      <c r="R306" s="240">
        <v>0.68200000000000005</v>
      </c>
      <c r="S306" s="241">
        <v>0.625</v>
      </c>
      <c r="T306" s="201">
        <f t="shared" si="58"/>
        <v>0.65349999999999997</v>
      </c>
      <c r="U306" s="240">
        <v>0</v>
      </c>
      <c r="V306" s="241">
        <v>0</v>
      </c>
      <c r="W306" s="201">
        <f t="shared" si="59"/>
        <v>0</v>
      </c>
    </row>
    <row r="307" spans="1:23" ht="15.75" x14ac:dyDescent="0.25">
      <c r="A307" s="31">
        <f>'M&amp;R Stations'!A291</f>
        <v>39250</v>
      </c>
      <c r="B307" s="240" t="s">
        <v>220</v>
      </c>
      <c r="C307" s="241" t="s">
        <v>220</v>
      </c>
      <c r="D307" s="201" t="s">
        <v>220</v>
      </c>
      <c r="E307" s="240">
        <v>0.38</v>
      </c>
      <c r="F307" s="241">
        <v>0.35</v>
      </c>
      <c r="G307" s="201">
        <f t="shared" si="60"/>
        <v>0.36499999999999999</v>
      </c>
      <c r="H307" s="240">
        <v>0.38</v>
      </c>
      <c r="I307" s="241">
        <v>0.35</v>
      </c>
      <c r="J307" s="201">
        <f t="shared" si="55"/>
        <v>0.36499999999999999</v>
      </c>
      <c r="K307" s="194"/>
      <c r="L307" s="240">
        <v>0.67800000000000005</v>
      </c>
      <c r="M307" s="241">
        <v>0.51600000000000001</v>
      </c>
      <c r="N307" s="201">
        <f t="shared" si="56"/>
        <v>0.59699999999999998</v>
      </c>
      <c r="O307" s="240">
        <v>0.71399999999999997</v>
      </c>
      <c r="P307" s="241">
        <v>0.5</v>
      </c>
      <c r="Q307" s="201">
        <f t="shared" si="57"/>
        <v>0.60699999999999998</v>
      </c>
      <c r="R307" s="240">
        <v>0.68200000000000005</v>
      </c>
      <c r="S307" s="241">
        <v>0.56799999999999995</v>
      </c>
      <c r="T307" s="201">
        <f t="shared" si="58"/>
        <v>0.625</v>
      </c>
      <c r="U307" s="240">
        <v>0</v>
      </c>
      <c r="V307" s="241">
        <v>0</v>
      </c>
      <c r="W307" s="201">
        <f t="shared" si="59"/>
        <v>0</v>
      </c>
    </row>
    <row r="308" spans="1:23" ht="15.75" x14ac:dyDescent="0.25">
      <c r="A308" s="31">
        <f>'M&amp;R Stations'!A292</f>
        <v>39251</v>
      </c>
      <c r="B308" s="240" t="s">
        <v>220</v>
      </c>
      <c r="C308" s="241" t="s">
        <v>220</v>
      </c>
      <c r="D308" s="201" t="s">
        <v>220</v>
      </c>
      <c r="E308" s="240">
        <v>0.37</v>
      </c>
      <c r="F308" s="241">
        <v>0.3</v>
      </c>
      <c r="G308" s="201">
        <f t="shared" si="60"/>
        <v>0.33499999999999996</v>
      </c>
      <c r="H308" s="240">
        <v>0.37</v>
      </c>
      <c r="I308" s="241">
        <v>0.3</v>
      </c>
      <c r="J308" s="201">
        <f t="shared" si="55"/>
        <v>0.33499999999999996</v>
      </c>
      <c r="K308" s="194"/>
      <c r="L308" s="240">
        <v>0.67800000000000005</v>
      </c>
      <c r="M308" s="241">
        <v>0.51700000000000002</v>
      </c>
      <c r="N308" s="201">
        <f t="shared" si="56"/>
        <v>0.59750000000000003</v>
      </c>
      <c r="O308" s="240">
        <v>0.71399999999999997</v>
      </c>
      <c r="P308" s="241">
        <v>0.57099999999999995</v>
      </c>
      <c r="Q308" s="201">
        <f t="shared" si="57"/>
        <v>0.64249999999999996</v>
      </c>
      <c r="R308" s="240">
        <v>0.71</v>
      </c>
      <c r="S308" s="241">
        <v>0.56799999999999995</v>
      </c>
      <c r="T308" s="201">
        <f t="shared" si="58"/>
        <v>0.63900000000000001</v>
      </c>
      <c r="U308" s="240">
        <v>0</v>
      </c>
      <c r="V308" s="241">
        <v>0</v>
      </c>
      <c r="W308" s="201">
        <f t="shared" si="59"/>
        <v>0</v>
      </c>
    </row>
    <row r="309" spans="1:23" ht="15.75" x14ac:dyDescent="0.25">
      <c r="A309" s="31">
        <f>'M&amp;R Stations'!A293</f>
        <v>39252</v>
      </c>
      <c r="B309" s="240" t="s">
        <v>220</v>
      </c>
      <c r="C309" s="241" t="s">
        <v>220</v>
      </c>
      <c r="D309" s="201" t="s">
        <v>220</v>
      </c>
      <c r="E309" s="240">
        <v>0.36</v>
      </c>
      <c r="F309" s="241">
        <v>0.3</v>
      </c>
      <c r="G309" s="201">
        <f t="shared" si="60"/>
        <v>0.32999999999999996</v>
      </c>
      <c r="H309" s="240">
        <v>0.36</v>
      </c>
      <c r="I309" s="241">
        <v>0.3</v>
      </c>
      <c r="J309" s="201">
        <f t="shared" si="55"/>
        <v>0.32999999999999996</v>
      </c>
      <c r="K309" s="194"/>
      <c r="L309" s="240">
        <v>0.67800000000000005</v>
      </c>
      <c r="M309" s="241">
        <v>0.54900000000000004</v>
      </c>
      <c r="N309" s="201">
        <f t="shared" si="56"/>
        <v>0.61350000000000005</v>
      </c>
      <c r="O309" s="240">
        <v>0.78500000000000003</v>
      </c>
      <c r="P309" s="241">
        <v>0.57099999999999995</v>
      </c>
      <c r="Q309" s="201">
        <f t="shared" si="57"/>
        <v>0.67799999999999994</v>
      </c>
      <c r="R309" s="240">
        <v>0.68200000000000005</v>
      </c>
      <c r="S309" s="241">
        <v>0.624</v>
      </c>
      <c r="T309" s="201">
        <f t="shared" si="58"/>
        <v>0.65300000000000002</v>
      </c>
      <c r="U309" s="240">
        <v>0</v>
      </c>
      <c r="V309" s="241">
        <v>0</v>
      </c>
      <c r="W309" s="201">
        <f t="shared" si="59"/>
        <v>0</v>
      </c>
    </row>
    <row r="310" spans="1:23" ht="15.75" x14ac:dyDescent="0.25">
      <c r="A310" s="31">
        <f>'M&amp;R Stations'!A294</f>
        <v>39253</v>
      </c>
      <c r="B310" s="240" t="s">
        <v>220</v>
      </c>
      <c r="C310" s="241" t="s">
        <v>220</v>
      </c>
      <c r="D310" s="201" t="s">
        <v>220</v>
      </c>
      <c r="E310" s="240">
        <v>0.43</v>
      </c>
      <c r="F310" s="241">
        <v>0.33</v>
      </c>
      <c r="G310" s="201">
        <f t="shared" si="60"/>
        <v>0.38</v>
      </c>
      <c r="H310" s="240">
        <v>0.4</v>
      </c>
      <c r="I310" s="241">
        <v>0.33</v>
      </c>
      <c r="J310" s="201">
        <f t="shared" si="55"/>
        <v>0.36499999999999999</v>
      </c>
      <c r="K310" s="194"/>
      <c r="L310" s="240">
        <v>0.77500000000000002</v>
      </c>
      <c r="M310" s="241">
        <v>0.58099999999999996</v>
      </c>
      <c r="N310" s="201">
        <f t="shared" si="56"/>
        <v>0.67799999999999994</v>
      </c>
      <c r="O310" s="240">
        <v>0.71399999999999997</v>
      </c>
      <c r="P310" s="241">
        <v>0.57099999999999995</v>
      </c>
      <c r="Q310" s="201">
        <f t="shared" si="57"/>
        <v>0.64249999999999996</v>
      </c>
      <c r="R310" s="240">
        <v>0.65300000000000002</v>
      </c>
      <c r="S310" s="241">
        <v>0.624</v>
      </c>
      <c r="T310" s="201">
        <f t="shared" si="58"/>
        <v>0.63850000000000007</v>
      </c>
      <c r="U310" s="240">
        <v>0</v>
      </c>
      <c r="V310" s="241">
        <v>0</v>
      </c>
      <c r="W310" s="201">
        <f t="shared" si="59"/>
        <v>0</v>
      </c>
    </row>
    <row r="311" spans="1:23" ht="15.75" x14ac:dyDescent="0.25">
      <c r="A311" s="31">
        <f>'M&amp;R Stations'!A295</f>
        <v>39254</v>
      </c>
      <c r="B311" s="240" t="s">
        <v>220</v>
      </c>
      <c r="C311" s="241" t="s">
        <v>220</v>
      </c>
      <c r="D311" s="201" t="s">
        <v>220</v>
      </c>
      <c r="E311" s="240">
        <v>0.37</v>
      </c>
      <c r="F311" s="241">
        <v>0.34</v>
      </c>
      <c r="G311" s="201">
        <f t="shared" si="60"/>
        <v>0.35499999999999998</v>
      </c>
      <c r="H311" s="240">
        <v>0.37</v>
      </c>
      <c r="I311" s="241">
        <v>0.34</v>
      </c>
      <c r="J311" s="201">
        <f t="shared" si="55"/>
        <v>0.35499999999999998</v>
      </c>
      <c r="K311" s="194"/>
      <c r="L311" s="240">
        <v>0.64600000000000002</v>
      </c>
      <c r="M311" s="241">
        <v>0.45200000000000001</v>
      </c>
      <c r="N311" s="201">
        <f t="shared" si="56"/>
        <v>0.54900000000000004</v>
      </c>
      <c r="O311" s="240">
        <v>0.64300000000000002</v>
      </c>
      <c r="P311" s="241">
        <v>0.57099999999999995</v>
      </c>
      <c r="Q311" s="201">
        <f t="shared" si="57"/>
        <v>0.60699999999999998</v>
      </c>
      <c r="R311" s="240">
        <v>0.71</v>
      </c>
      <c r="S311" s="241">
        <v>0.625</v>
      </c>
      <c r="T311" s="201">
        <f t="shared" si="58"/>
        <v>0.66749999999999998</v>
      </c>
      <c r="U311" s="240">
        <v>0</v>
      </c>
      <c r="V311" s="241">
        <v>0</v>
      </c>
      <c r="W311" s="201">
        <f t="shared" si="59"/>
        <v>0</v>
      </c>
    </row>
    <row r="312" spans="1:23" ht="15.75" x14ac:dyDescent="0.25">
      <c r="A312" s="31">
        <f>'M&amp;R Stations'!A296</f>
        <v>39255</v>
      </c>
      <c r="B312" s="240" t="s">
        <v>220</v>
      </c>
      <c r="C312" s="241" t="s">
        <v>220</v>
      </c>
      <c r="D312" s="201" t="s">
        <v>220</v>
      </c>
      <c r="E312" s="240">
        <v>0.37</v>
      </c>
      <c r="F312" s="241">
        <v>0.34</v>
      </c>
      <c r="G312" s="201">
        <f t="shared" si="60"/>
        <v>0.35499999999999998</v>
      </c>
      <c r="H312" s="240">
        <v>0.37</v>
      </c>
      <c r="I312" s="241">
        <v>0.34</v>
      </c>
      <c r="J312" s="201">
        <f t="shared" si="55"/>
        <v>0.35499999999999998</v>
      </c>
      <c r="K312" s="194"/>
      <c r="L312" s="240">
        <v>0.65600000000000003</v>
      </c>
      <c r="M312" s="241">
        <v>0.47699999999999998</v>
      </c>
      <c r="N312" s="201">
        <f t="shared" si="56"/>
        <v>0.5665</v>
      </c>
      <c r="O312" s="240">
        <v>0.64300000000000002</v>
      </c>
      <c r="P312" s="241">
        <v>0.28199999999999997</v>
      </c>
      <c r="Q312" s="201">
        <f t="shared" si="57"/>
        <v>0.46250000000000002</v>
      </c>
      <c r="R312" s="240">
        <v>0.68200000000000005</v>
      </c>
      <c r="S312" s="241">
        <v>0.38</v>
      </c>
      <c r="T312" s="201">
        <f t="shared" si="58"/>
        <v>0.53100000000000003</v>
      </c>
      <c r="U312" s="240">
        <v>0</v>
      </c>
      <c r="V312" s="241">
        <v>0</v>
      </c>
      <c r="W312" s="201">
        <f t="shared" si="59"/>
        <v>0</v>
      </c>
    </row>
    <row r="313" spans="1:23" ht="15.75" x14ac:dyDescent="0.25">
      <c r="A313" s="31">
        <f>'M&amp;R Stations'!A297</f>
        <v>39256</v>
      </c>
      <c r="B313" s="240" t="s">
        <v>220</v>
      </c>
      <c r="C313" s="241" t="s">
        <v>220</v>
      </c>
      <c r="D313" s="201" t="s">
        <v>220</v>
      </c>
      <c r="E313" s="240">
        <v>0.37</v>
      </c>
      <c r="F313" s="241">
        <v>0.34</v>
      </c>
      <c r="G313" s="201">
        <f t="shared" si="60"/>
        <v>0.35499999999999998</v>
      </c>
      <c r="H313" s="240">
        <v>0.37</v>
      </c>
      <c r="I313" s="241">
        <v>0.34</v>
      </c>
      <c r="J313" s="201">
        <f t="shared" si="55"/>
        <v>0.35499999999999998</v>
      </c>
      <c r="K313" s="194"/>
      <c r="L313" s="240">
        <v>0.59599999999999997</v>
      </c>
      <c r="M313" s="241">
        <v>0.47599999999999998</v>
      </c>
      <c r="N313" s="201">
        <f t="shared" si="56"/>
        <v>0.53600000000000003</v>
      </c>
      <c r="O313" s="240">
        <v>0.376</v>
      </c>
      <c r="P313" s="241">
        <v>0.32900000000000001</v>
      </c>
      <c r="Q313" s="201">
        <f t="shared" si="57"/>
        <v>0.35250000000000004</v>
      </c>
      <c r="R313" s="240">
        <v>0.40899999999999997</v>
      </c>
      <c r="S313" s="241">
        <v>0.379</v>
      </c>
      <c r="T313" s="201">
        <f t="shared" si="58"/>
        <v>0.39400000000000002</v>
      </c>
      <c r="U313" s="240">
        <v>0</v>
      </c>
      <c r="V313" s="241">
        <v>0</v>
      </c>
      <c r="W313" s="201">
        <f t="shared" si="59"/>
        <v>0</v>
      </c>
    </row>
    <row r="314" spans="1:23" ht="15.75" x14ac:dyDescent="0.25">
      <c r="A314" s="31">
        <f>'M&amp;R Stations'!A298</f>
        <v>39257</v>
      </c>
      <c r="B314" s="240" t="s">
        <v>220</v>
      </c>
      <c r="C314" s="241" t="s">
        <v>220</v>
      </c>
      <c r="D314" s="201" t="s">
        <v>220</v>
      </c>
      <c r="E314" s="240">
        <v>0.4</v>
      </c>
      <c r="F314" s="241">
        <v>0.35</v>
      </c>
      <c r="G314" s="201">
        <f t="shared" si="60"/>
        <v>0.375</v>
      </c>
      <c r="H314" s="240">
        <v>0.4</v>
      </c>
      <c r="I314" s="241">
        <v>0.33</v>
      </c>
      <c r="J314" s="201">
        <f t="shared" si="55"/>
        <v>0.36499999999999999</v>
      </c>
      <c r="K314" s="194"/>
      <c r="L314" s="240">
        <v>0.53600000000000003</v>
      </c>
      <c r="M314" s="241">
        <v>0.41699999999999998</v>
      </c>
      <c r="N314" s="201">
        <f t="shared" si="56"/>
        <v>0.47650000000000003</v>
      </c>
      <c r="O314" s="240">
        <v>0.35199999999999998</v>
      </c>
      <c r="P314" s="241">
        <v>0.32900000000000001</v>
      </c>
      <c r="Q314" s="201">
        <f t="shared" si="57"/>
        <v>0.34050000000000002</v>
      </c>
      <c r="R314" s="240">
        <v>0.38</v>
      </c>
      <c r="S314" s="241">
        <v>0.33500000000000002</v>
      </c>
      <c r="T314" s="201">
        <f t="shared" si="58"/>
        <v>0.35750000000000004</v>
      </c>
      <c r="U314" s="240">
        <v>0</v>
      </c>
      <c r="V314" s="241">
        <v>0</v>
      </c>
      <c r="W314" s="201">
        <f t="shared" si="59"/>
        <v>0</v>
      </c>
    </row>
    <row r="315" spans="1:23" ht="15.75" x14ac:dyDescent="0.25">
      <c r="A315" s="31">
        <f>'M&amp;R Stations'!A299</f>
        <v>39258</v>
      </c>
      <c r="B315" s="240" t="s">
        <v>220</v>
      </c>
      <c r="C315" s="241" t="s">
        <v>220</v>
      </c>
      <c r="D315" s="201" t="s">
        <v>220</v>
      </c>
      <c r="E315" s="240">
        <v>0.37</v>
      </c>
      <c r="F315" s="241">
        <v>0.34</v>
      </c>
      <c r="G315" s="201">
        <f t="shared" si="60"/>
        <v>0.35499999999999998</v>
      </c>
      <c r="H315" s="240">
        <v>0.37</v>
      </c>
      <c r="I315" s="241">
        <v>0.34</v>
      </c>
      <c r="J315" s="201">
        <f t="shared" si="55"/>
        <v>0.35499999999999998</v>
      </c>
      <c r="K315" s="194"/>
      <c r="L315" s="240">
        <v>0.89400000000000002</v>
      </c>
      <c r="M315" s="241">
        <v>0.47699999999999998</v>
      </c>
      <c r="N315" s="201">
        <f t="shared" si="56"/>
        <v>0.6855</v>
      </c>
      <c r="O315" s="240">
        <v>0.35199999999999998</v>
      </c>
      <c r="P315" s="241">
        <v>0.21199999999999999</v>
      </c>
      <c r="Q315" s="201">
        <f t="shared" si="57"/>
        <v>0.28199999999999997</v>
      </c>
      <c r="R315" s="240">
        <v>0.438</v>
      </c>
      <c r="S315" s="241">
        <v>0.35</v>
      </c>
      <c r="T315" s="201">
        <f t="shared" si="58"/>
        <v>0.39400000000000002</v>
      </c>
      <c r="U315" s="240">
        <v>0</v>
      </c>
      <c r="V315" s="241">
        <v>0</v>
      </c>
      <c r="W315" s="201">
        <f t="shared" si="59"/>
        <v>0</v>
      </c>
    </row>
    <row r="316" spans="1:23" ht="15.75" x14ac:dyDescent="0.25">
      <c r="A316" s="31">
        <f>'M&amp;R Stations'!A300</f>
        <v>39259</v>
      </c>
      <c r="B316" s="240" t="s">
        <v>220</v>
      </c>
      <c r="C316" s="241" t="s">
        <v>220</v>
      </c>
      <c r="D316" s="201" t="s">
        <v>220</v>
      </c>
      <c r="E316" s="240">
        <v>0.37</v>
      </c>
      <c r="F316" s="241">
        <v>0.34</v>
      </c>
      <c r="G316" s="201">
        <f t="shared" si="60"/>
        <v>0.35499999999999998</v>
      </c>
      <c r="H316" s="240">
        <v>0.37</v>
      </c>
      <c r="I316" s="241">
        <v>0.31</v>
      </c>
      <c r="J316" s="201">
        <f t="shared" si="55"/>
        <v>0.33999999999999997</v>
      </c>
      <c r="K316" s="194"/>
      <c r="L316" s="240">
        <v>0.89400000000000002</v>
      </c>
      <c r="M316" s="241">
        <v>0.41699999999999998</v>
      </c>
      <c r="N316" s="201">
        <f t="shared" si="56"/>
        <v>0.65549999999999997</v>
      </c>
      <c r="O316" s="240">
        <v>0.35199999999999998</v>
      </c>
      <c r="P316" s="241">
        <v>0.28199999999999997</v>
      </c>
      <c r="Q316" s="201">
        <f t="shared" si="57"/>
        <v>0.31699999999999995</v>
      </c>
      <c r="R316" s="240">
        <v>0.45300000000000001</v>
      </c>
      <c r="S316" s="241">
        <v>0.27700000000000002</v>
      </c>
      <c r="T316" s="201">
        <f t="shared" si="58"/>
        <v>0.36499999999999999</v>
      </c>
      <c r="U316" s="240">
        <v>0</v>
      </c>
      <c r="V316" s="241">
        <v>0</v>
      </c>
      <c r="W316" s="201">
        <f t="shared" si="59"/>
        <v>0</v>
      </c>
    </row>
    <row r="317" spans="1:23" ht="15.75" x14ac:dyDescent="0.25">
      <c r="A317" s="31">
        <f>'M&amp;R Stations'!A301</f>
        <v>39260</v>
      </c>
      <c r="B317" s="240" t="s">
        <v>220</v>
      </c>
      <c r="C317" s="241" t="s">
        <v>220</v>
      </c>
      <c r="D317" s="201" t="s">
        <v>220</v>
      </c>
      <c r="E317" s="240">
        <v>0.48</v>
      </c>
      <c r="F317" s="241">
        <v>0.41</v>
      </c>
      <c r="G317" s="201">
        <f t="shared" si="60"/>
        <v>0.44499999999999995</v>
      </c>
      <c r="H317" s="240">
        <v>0.63</v>
      </c>
      <c r="I317" s="241">
        <v>0.41</v>
      </c>
      <c r="J317" s="201">
        <f t="shared" si="55"/>
        <v>0.52</v>
      </c>
      <c r="K317" s="194"/>
      <c r="L317" s="240">
        <v>0.59599999999999997</v>
      </c>
      <c r="M317" s="241">
        <v>0.35799999999999998</v>
      </c>
      <c r="N317" s="201">
        <f t="shared" si="56"/>
        <v>0.47699999999999998</v>
      </c>
      <c r="O317" s="240">
        <v>0.35199999999999998</v>
      </c>
      <c r="P317" s="241">
        <v>0.28199999999999997</v>
      </c>
      <c r="Q317" s="201">
        <f t="shared" si="57"/>
        <v>0.31699999999999995</v>
      </c>
      <c r="R317" s="240">
        <v>0.32100000000000001</v>
      </c>
      <c r="S317" s="241">
        <v>0.23400000000000001</v>
      </c>
      <c r="T317" s="201">
        <f t="shared" si="58"/>
        <v>0.27750000000000002</v>
      </c>
      <c r="U317" s="240">
        <v>0</v>
      </c>
      <c r="V317" s="241">
        <v>0</v>
      </c>
      <c r="W317" s="201">
        <f t="shared" si="59"/>
        <v>0</v>
      </c>
    </row>
    <row r="318" spans="1:23" ht="15.75" x14ac:dyDescent="0.25">
      <c r="A318" s="31">
        <f>'M&amp;R Stations'!A302</f>
        <v>39261</v>
      </c>
      <c r="B318" s="240" t="s">
        <v>220</v>
      </c>
      <c r="C318" s="241" t="s">
        <v>220</v>
      </c>
      <c r="D318" s="201" t="s">
        <v>220</v>
      </c>
      <c r="E318" s="240">
        <v>0.48</v>
      </c>
      <c r="F318" s="241">
        <v>0.44</v>
      </c>
      <c r="G318" s="201">
        <f t="shared" si="60"/>
        <v>0.45999999999999996</v>
      </c>
      <c r="H318" s="240">
        <v>0.47</v>
      </c>
      <c r="I318" s="241">
        <v>0.47</v>
      </c>
      <c r="J318" s="201">
        <f t="shared" si="55"/>
        <v>0.47</v>
      </c>
      <c r="K318" s="194"/>
      <c r="L318" s="240">
        <v>0.59599999999999997</v>
      </c>
      <c r="M318" s="241">
        <v>0.41699999999999998</v>
      </c>
      <c r="N318" s="201">
        <f t="shared" si="56"/>
        <v>0.50649999999999995</v>
      </c>
      <c r="O318" s="240">
        <v>0.30599999999999999</v>
      </c>
      <c r="P318" s="241">
        <v>0.28199999999999997</v>
      </c>
      <c r="Q318" s="201">
        <f t="shared" si="57"/>
        <v>0.29399999999999998</v>
      </c>
      <c r="R318" s="240">
        <v>0.307</v>
      </c>
      <c r="S318" s="241">
        <v>0.29199999999999998</v>
      </c>
      <c r="T318" s="201">
        <f t="shared" si="58"/>
        <v>0.29949999999999999</v>
      </c>
      <c r="U318" s="240">
        <v>0</v>
      </c>
      <c r="V318" s="241">
        <v>0</v>
      </c>
      <c r="W318" s="201">
        <f t="shared" si="59"/>
        <v>0</v>
      </c>
    </row>
    <row r="319" spans="1:23" ht="15.75" x14ac:dyDescent="0.25">
      <c r="A319" s="31">
        <f>'M&amp;R Stations'!A303</f>
        <v>39262</v>
      </c>
      <c r="B319" s="240" t="s">
        <v>220</v>
      </c>
      <c r="C319" s="241" t="s">
        <v>220</v>
      </c>
      <c r="D319" s="201" t="s">
        <v>220</v>
      </c>
      <c r="E319" s="240">
        <v>0.51</v>
      </c>
      <c r="F319" s="241">
        <v>0.41</v>
      </c>
      <c r="G319" s="201">
        <f t="shared" si="60"/>
        <v>0.45999999999999996</v>
      </c>
      <c r="H319" s="240">
        <v>0.5</v>
      </c>
      <c r="I319" s="241">
        <v>0.44</v>
      </c>
      <c r="J319" s="201">
        <f t="shared" si="55"/>
        <v>0.47</v>
      </c>
      <c r="K319" s="194"/>
      <c r="L319" s="240">
        <v>0.77800000000000002</v>
      </c>
      <c r="M319" s="241">
        <v>0.50700000000000001</v>
      </c>
      <c r="N319" s="201">
        <f t="shared" si="56"/>
        <v>0.64250000000000007</v>
      </c>
      <c r="O319" s="240">
        <v>0.32900000000000001</v>
      </c>
      <c r="P319" s="241">
        <v>0.28199999999999997</v>
      </c>
      <c r="Q319" s="201">
        <f t="shared" si="57"/>
        <v>0.30549999999999999</v>
      </c>
      <c r="R319" s="240">
        <v>0.55700000000000005</v>
      </c>
      <c r="S319" s="241">
        <v>0.29199999999999998</v>
      </c>
      <c r="T319" s="201">
        <f t="shared" si="58"/>
        <v>0.42449999999999999</v>
      </c>
      <c r="U319" s="240">
        <v>0</v>
      </c>
      <c r="V319" s="241">
        <v>0</v>
      </c>
      <c r="W319" s="201">
        <f t="shared" si="59"/>
        <v>0</v>
      </c>
    </row>
    <row r="320" spans="1:23" ht="15.75" x14ac:dyDescent="0.25">
      <c r="A320" s="31">
        <f>'M&amp;R Stations'!A304</f>
        <v>39263</v>
      </c>
      <c r="B320" s="240" t="s">
        <v>220</v>
      </c>
      <c r="C320" s="241" t="s">
        <v>220</v>
      </c>
      <c r="D320" s="201" t="s">
        <v>220</v>
      </c>
      <c r="E320" s="240">
        <v>0.48</v>
      </c>
      <c r="F320" s="241">
        <v>0.44</v>
      </c>
      <c r="G320" s="201">
        <f t="shared" si="60"/>
        <v>0.45999999999999996</v>
      </c>
      <c r="H320" s="240">
        <v>0.47</v>
      </c>
      <c r="I320" s="241">
        <v>0.44</v>
      </c>
      <c r="J320" s="201">
        <f t="shared" si="55"/>
        <v>0.45499999999999996</v>
      </c>
      <c r="K320" s="194"/>
      <c r="L320" s="240">
        <v>0.77800000000000002</v>
      </c>
      <c r="M320" s="241">
        <v>0.46700000000000003</v>
      </c>
      <c r="N320" s="201">
        <f t="shared" si="56"/>
        <v>0.62250000000000005</v>
      </c>
      <c r="O320" s="240">
        <v>0.30599999999999999</v>
      </c>
      <c r="P320" s="241">
        <v>0.28199999999999997</v>
      </c>
      <c r="Q320" s="201">
        <f t="shared" si="57"/>
        <v>0.29399999999999998</v>
      </c>
      <c r="R320" s="240">
        <v>0.53</v>
      </c>
      <c r="S320" s="241">
        <v>0.504</v>
      </c>
      <c r="T320" s="201">
        <f t="shared" si="58"/>
        <v>0.51700000000000002</v>
      </c>
      <c r="U320" s="240">
        <v>0</v>
      </c>
      <c r="V320" s="241">
        <v>0</v>
      </c>
      <c r="W320" s="201">
        <f t="shared" si="59"/>
        <v>0</v>
      </c>
    </row>
    <row r="321" spans="1:23" ht="15.75" x14ac:dyDescent="0.25">
      <c r="A321" s="179"/>
      <c r="B321" s="203"/>
      <c r="C321" s="204"/>
      <c r="D321" s="205"/>
      <c r="E321" s="203"/>
      <c r="F321" s="204"/>
      <c r="G321" s="205"/>
      <c r="H321" s="203"/>
      <c r="I321" s="204"/>
      <c r="J321" s="206"/>
      <c r="K321" s="207"/>
      <c r="L321" s="203"/>
      <c r="M321" s="204"/>
      <c r="N321" s="206"/>
      <c r="O321" s="203"/>
      <c r="P321" s="204"/>
      <c r="Q321" s="206"/>
      <c r="R321" s="203"/>
      <c r="S321" s="204"/>
      <c r="T321" s="206"/>
      <c r="U321" s="203"/>
      <c r="V321" s="204"/>
      <c r="W321" s="206"/>
    </row>
    <row r="322" spans="1:23" ht="15.75" x14ac:dyDescent="0.25">
      <c r="A322" s="31">
        <f>'M&amp;R Stations'!A305</f>
        <v>39264</v>
      </c>
      <c r="B322" s="240" t="s">
        <v>220</v>
      </c>
      <c r="C322" s="241" t="s">
        <v>220</v>
      </c>
      <c r="D322" s="201" t="s">
        <v>220</v>
      </c>
      <c r="E322" s="240">
        <v>0.51</v>
      </c>
      <c r="F322" s="241">
        <v>0.48</v>
      </c>
      <c r="G322" s="201">
        <f t="shared" si="60"/>
        <v>0.495</v>
      </c>
      <c r="H322" s="240">
        <v>0.5</v>
      </c>
      <c r="I322" s="241">
        <v>0.44</v>
      </c>
      <c r="J322" s="201">
        <f t="shared" ref="J322:J352" si="61">IF(AND(H322="",I322=""),"",IF(H322="off",I322,IF(I322="off",H322,AVERAGE(H322:I322))))</f>
        <v>0.47</v>
      </c>
      <c r="K322" s="194"/>
      <c r="L322" s="240">
        <v>0.77800000000000002</v>
      </c>
      <c r="M322" s="241">
        <v>0.54400000000000004</v>
      </c>
      <c r="N322" s="201">
        <f t="shared" ref="N322:N352" si="62">IF(AND(L322="",M322=""),"",IF(L322="off",M322,IF(M322="off",L322,AVERAGE(L322:M322))))</f>
        <v>0.66100000000000003</v>
      </c>
      <c r="O322" s="240">
        <v>0.30599999999999999</v>
      </c>
      <c r="P322" s="241">
        <v>0.23499999999999999</v>
      </c>
      <c r="Q322" s="201">
        <f t="shared" ref="Q322:Q352" si="63">IF(AND(O322="",P322=""),"",IF(O322="off",P322,IF(P322="off",O322,AVERAGE(O322:P322))))</f>
        <v>0.27049999999999996</v>
      </c>
      <c r="R322" s="240">
        <v>0.54</v>
      </c>
      <c r="S322" s="241">
        <v>0.47699999999999998</v>
      </c>
      <c r="T322" s="201">
        <f t="shared" ref="T322:T352" si="64">IF(AND(R322="",S322=""),"",IF(R322="off",S322,IF(S322="off",R322,AVERAGE(R322:S322))))</f>
        <v>0.50849999999999995</v>
      </c>
      <c r="U322" s="240">
        <v>0</v>
      </c>
      <c r="V322" s="241">
        <v>0</v>
      </c>
      <c r="W322" s="201">
        <f t="shared" ref="W322:W352" si="65">IF(AND(U322="",V322=""),"",IF(U322="off",V322,IF(V322="off",U322,AVERAGE(U322:V322))))</f>
        <v>0</v>
      </c>
    </row>
    <row r="323" spans="1:23" ht="15.75" x14ac:dyDescent="0.25">
      <c r="A323" s="31">
        <f>'M&amp;R Stations'!A306</f>
        <v>39265</v>
      </c>
      <c r="B323" s="240" t="s">
        <v>220</v>
      </c>
      <c r="C323" s="241" t="s">
        <v>220</v>
      </c>
      <c r="D323" s="201" t="s">
        <v>220</v>
      </c>
      <c r="E323" s="240">
        <v>0.48</v>
      </c>
      <c r="F323" s="241">
        <v>0.41</v>
      </c>
      <c r="G323" s="201">
        <f t="shared" si="60"/>
        <v>0.44499999999999995</v>
      </c>
      <c r="H323" s="240">
        <v>0.47</v>
      </c>
      <c r="I323" s="241">
        <v>0.44</v>
      </c>
      <c r="J323" s="201">
        <f t="shared" si="61"/>
        <v>0.45499999999999996</v>
      </c>
      <c r="K323" s="194"/>
      <c r="L323" s="240">
        <v>0.622</v>
      </c>
      <c r="M323" s="241">
        <v>0.505</v>
      </c>
      <c r="N323" s="201">
        <f t="shared" si="62"/>
        <v>0.5635</v>
      </c>
      <c r="O323" s="240" t="s">
        <v>220</v>
      </c>
      <c r="P323" s="241" t="s">
        <v>220</v>
      </c>
      <c r="Q323" s="201" t="s">
        <v>220</v>
      </c>
      <c r="R323" s="240">
        <v>0.53</v>
      </c>
      <c r="S323" s="241">
        <v>0.45</v>
      </c>
      <c r="T323" s="201">
        <f t="shared" si="64"/>
        <v>0.49</v>
      </c>
      <c r="U323" s="240">
        <v>0</v>
      </c>
      <c r="V323" s="241">
        <v>0</v>
      </c>
      <c r="W323" s="201">
        <f t="shared" si="65"/>
        <v>0</v>
      </c>
    </row>
    <row r="324" spans="1:23" ht="15.75" x14ac:dyDescent="0.25">
      <c r="A324" s="31">
        <f>'M&amp;R Stations'!A307</f>
        <v>39266</v>
      </c>
      <c r="B324" s="240" t="s">
        <v>220</v>
      </c>
      <c r="C324" s="241" t="s">
        <v>220</v>
      </c>
      <c r="D324" s="201" t="s">
        <v>220</v>
      </c>
      <c r="E324" s="240">
        <v>0.44</v>
      </c>
      <c r="F324" s="241">
        <v>0.38</v>
      </c>
      <c r="G324" s="201">
        <f t="shared" si="60"/>
        <v>0.41000000000000003</v>
      </c>
      <c r="H324" s="240">
        <v>0.44</v>
      </c>
      <c r="I324" s="241">
        <v>0.41</v>
      </c>
      <c r="J324" s="201">
        <f t="shared" si="61"/>
        <v>0.42499999999999999</v>
      </c>
      <c r="K324" s="194"/>
      <c r="L324" s="240">
        <v>0.622</v>
      </c>
      <c r="M324" s="241">
        <v>0.54400000000000004</v>
      </c>
      <c r="N324" s="201">
        <f t="shared" si="62"/>
        <v>0.58299999999999996</v>
      </c>
      <c r="O324" s="240">
        <v>0.47</v>
      </c>
      <c r="P324" s="241">
        <v>0.35199999999999998</v>
      </c>
      <c r="Q324" s="201">
        <f t="shared" si="63"/>
        <v>0.41099999999999998</v>
      </c>
      <c r="R324" s="240">
        <v>0.55700000000000005</v>
      </c>
      <c r="S324" s="241">
        <v>0.45</v>
      </c>
      <c r="T324" s="201">
        <f t="shared" si="64"/>
        <v>0.50350000000000006</v>
      </c>
      <c r="U324" s="240">
        <v>0</v>
      </c>
      <c r="V324" s="241">
        <v>0</v>
      </c>
      <c r="W324" s="201">
        <f t="shared" si="65"/>
        <v>0</v>
      </c>
    </row>
    <row r="325" spans="1:23" ht="15.75" x14ac:dyDescent="0.25">
      <c r="A325" s="31">
        <f>'M&amp;R Stations'!A308</f>
        <v>39267</v>
      </c>
      <c r="B325" s="240" t="s">
        <v>220</v>
      </c>
      <c r="C325" s="241" t="s">
        <v>220</v>
      </c>
      <c r="D325" s="201" t="s">
        <v>220</v>
      </c>
      <c r="E325" s="240">
        <v>0.44</v>
      </c>
      <c r="F325" s="241">
        <v>0.38</v>
      </c>
      <c r="G325" s="201">
        <f t="shared" si="60"/>
        <v>0.41000000000000003</v>
      </c>
      <c r="H325" s="240">
        <v>0.44</v>
      </c>
      <c r="I325" s="241">
        <v>0.38</v>
      </c>
      <c r="J325" s="201">
        <f t="shared" si="61"/>
        <v>0.41000000000000003</v>
      </c>
      <c r="K325" s="194"/>
      <c r="L325" s="240">
        <v>0.66100000000000003</v>
      </c>
      <c r="M325" s="241">
        <v>0.58299999999999996</v>
      </c>
      <c r="N325" s="201">
        <f t="shared" si="62"/>
        <v>0.622</v>
      </c>
      <c r="O325" s="240">
        <v>0.47</v>
      </c>
      <c r="P325" s="241">
        <v>0.376</v>
      </c>
      <c r="Q325" s="201">
        <f t="shared" si="63"/>
        <v>0.42299999999999999</v>
      </c>
      <c r="R325" s="240">
        <v>0.53</v>
      </c>
      <c r="S325" s="241">
        <v>0.47699999999999998</v>
      </c>
      <c r="T325" s="201">
        <f t="shared" si="64"/>
        <v>0.50350000000000006</v>
      </c>
      <c r="U325" s="240">
        <v>0</v>
      </c>
      <c r="V325" s="241">
        <v>0</v>
      </c>
      <c r="W325" s="201">
        <f t="shared" si="65"/>
        <v>0</v>
      </c>
    </row>
    <row r="326" spans="1:23" ht="15.75" x14ac:dyDescent="0.25">
      <c r="A326" s="31">
        <f>'M&amp;R Stations'!A309</f>
        <v>39268</v>
      </c>
      <c r="B326" s="240" t="s">
        <v>220</v>
      </c>
      <c r="C326" s="241" t="s">
        <v>220</v>
      </c>
      <c r="D326" s="201" t="s">
        <v>220</v>
      </c>
      <c r="E326" s="240">
        <v>0.44</v>
      </c>
      <c r="F326" s="241">
        <v>0.38</v>
      </c>
      <c r="G326" s="201">
        <f t="shared" si="60"/>
        <v>0.41000000000000003</v>
      </c>
      <c r="H326" s="240">
        <v>0.44</v>
      </c>
      <c r="I326" s="241">
        <v>0.38</v>
      </c>
      <c r="J326" s="201">
        <f t="shared" si="61"/>
        <v>0.41000000000000003</v>
      </c>
      <c r="K326" s="194"/>
      <c r="L326" s="240">
        <v>0.57999999999999996</v>
      </c>
      <c r="M326" s="241">
        <v>0.47</v>
      </c>
      <c r="N326" s="201">
        <f t="shared" si="62"/>
        <v>0.52499999999999991</v>
      </c>
      <c r="O326" s="240">
        <v>0.48</v>
      </c>
      <c r="P326" s="241">
        <v>0.41</v>
      </c>
      <c r="Q326" s="201">
        <f t="shared" si="63"/>
        <v>0.44499999999999995</v>
      </c>
      <c r="R326" s="240">
        <v>0.52</v>
      </c>
      <c r="S326" s="241">
        <v>0.44</v>
      </c>
      <c r="T326" s="201">
        <f t="shared" si="64"/>
        <v>0.48</v>
      </c>
      <c r="U326" s="240">
        <v>0</v>
      </c>
      <c r="V326" s="241">
        <v>0</v>
      </c>
      <c r="W326" s="201">
        <f t="shared" si="65"/>
        <v>0</v>
      </c>
    </row>
    <row r="327" spans="1:23" ht="15.75" x14ac:dyDescent="0.25">
      <c r="A327" s="31">
        <f>'M&amp;R Stations'!A310</f>
        <v>39269</v>
      </c>
      <c r="B327" s="240" t="s">
        <v>220</v>
      </c>
      <c r="C327" s="241" t="s">
        <v>220</v>
      </c>
      <c r="D327" s="201" t="s">
        <v>220</v>
      </c>
      <c r="E327" s="240">
        <v>0.44</v>
      </c>
      <c r="F327" s="241">
        <v>0.35</v>
      </c>
      <c r="G327" s="201">
        <f t="shared" si="60"/>
        <v>0.39500000000000002</v>
      </c>
      <c r="H327" s="240">
        <v>0.43</v>
      </c>
      <c r="I327" s="241">
        <v>0.37</v>
      </c>
      <c r="J327" s="201">
        <f t="shared" si="61"/>
        <v>0.4</v>
      </c>
      <c r="K327" s="194"/>
      <c r="L327" s="240">
        <v>0.61</v>
      </c>
      <c r="M327" s="241">
        <v>0.54</v>
      </c>
      <c r="N327" s="201">
        <f t="shared" si="62"/>
        <v>0.57499999999999996</v>
      </c>
      <c r="O327" s="240">
        <v>0.45</v>
      </c>
      <c r="P327" s="241">
        <v>0.43</v>
      </c>
      <c r="Q327" s="201">
        <f t="shared" si="63"/>
        <v>0.44</v>
      </c>
      <c r="R327" s="240">
        <v>0.52</v>
      </c>
      <c r="S327" s="241">
        <v>0.46</v>
      </c>
      <c r="T327" s="201">
        <f t="shared" si="64"/>
        <v>0.49</v>
      </c>
      <c r="U327" s="240">
        <v>0</v>
      </c>
      <c r="V327" s="241">
        <v>0</v>
      </c>
      <c r="W327" s="201">
        <f t="shared" si="65"/>
        <v>0</v>
      </c>
    </row>
    <row r="328" spans="1:23" ht="15.75" x14ac:dyDescent="0.25">
      <c r="A328" s="31">
        <f>'M&amp;R Stations'!A311</f>
        <v>39270</v>
      </c>
      <c r="B328" s="240" t="s">
        <v>220</v>
      </c>
      <c r="C328" s="241" t="s">
        <v>220</v>
      </c>
      <c r="D328" s="201" t="s">
        <v>220</v>
      </c>
      <c r="E328" s="240">
        <v>0.43</v>
      </c>
      <c r="F328" s="241">
        <v>0.4</v>
      </c>
      <c r="G328" s="201">
        <f t="shared" si="60"/>
        <v>0.41500000000000004</v>
      </c>
      <c r="H328" s="240">
        <v>0.43</v>
      </c>
      <c r="I328" s="241">
        <v>0.4</v>
      </c>
      <c r="J328" s="201">
        <f t="shared" si="61"/>
        <v>0.41500000000000004</v>
      </c>
      <c r="K328" s="194"/>
      <c r="L328" s="240">
        <v>0.64</v>
      </c>
      <c r="M328" s="241">
        <v>0.51</v>
      </c>
      <c r="N328" s="201">
        <f t="shared" si="62"/>
        <v>0.57499999999999996</v>
      </c>
      <c r="O328" s="240">
        <v>0.48</v>
      </c>
      <c r="P328" s="241">
        <v>0.43</v>
      </c>
      <c r="Q328" s="201">
        <f t="shared" si="63"/>
        <v>0.45499999999999996</v>
      </c>
      <c r="R328" s="240">
        <v>0.54</v>
      </c>
      <c r="S328" s="241">
        <v>0.49</v>
      </c>
      <c r="T328" s="201">
        <f t="shared" si="64"/>
        <v>0.51500000000000001</v>
      </c>
      <c r="U328" s="240">
        <v>0</v>
      </c>
      <c r="V328" s="241">
        <v>0</v>
      </c>
      <c r="W328" s="201">
        <f t="shared" si="65"/>
        <v>0</v>
      </c>
    </row>
    <row r="329" spans="1:23" ht="15.75" x14ac:dyDescent="0.25">
      <c r="A329" s="31">
        <f>'M&amp;R Stations'!A312</f>
        <v>39271</v>
      </c>
      <c r="B329" s="240" t="s">
        <v>220</v>
      </c>
      <c r="C329" s="241" t="s">
        <v>220</v>
      </c>
      <c r="D329" s="201" t="s">
        <v>220</v>
      </c>
      <c r="E329" s="240">
        <v>0.43</v>
      </c>
      <c r="F329" s="241">
        <v>0.4</v>
      </c>
      <c r="G329" s="201">
        <f t="shared" si="60"/>
        <v>0.41500000000000004</v>
      </c>
      <c r="H329" s="240">
        <v>0.43</v>
      </c>
      <c r="I329" s="241">
        <v>0.4</v>
      </c>
      <c r="J329" s="201">
        <f t="shared" si="61"/>
        <v>0.41500000000000004</v>
      </c>
      <c r="K329" s="194"/>
      <c r="L329" s="240">
        <v>0.54</v>
      </c>
      <c r="M329" s="241">
        <v>0.41</v>
      </c>
      <c r="N329" s="201">
        <f t="shared" si="62"/>
        <v>0.47499999999999998</v>
      </c>
      <c r="O329" s="240">
        <v>0.48</v>
      </c>
      <c r="P329" s="241">
        <v>0.41</v>
      </c>
      <c r="Q329" s="201">
        <f t="shared" si="63"/>
        <v>0.44499999999999995</v>
      </c>
      <c r="R329" s="240">
        <v>0.52</v>
      </c>
      <c r="S329" s="241">
        <v>0.44</v>
      </c>
      <c r="T329" s="201">
        <f t="shared" si="64"/>
        <v>0.48</v>
      </c>
      <c r="U329" s="240">
        <v>0</v>
      </c>
      <c r="V329" s="241">
        <v>0</v>
      </c>
      <c r="W329" s="201">
        <f t="shared" si="65"/>
        <v>0</v>
      </c>
    </row>
    <row r="330" spans="1:23" ht="15.75" x14ac:dyDescent="0.25">
      <c r="A330" s="31">
        <f>'M&amp;R Stations'!A313</f>
        <v>39272</v>
      </c>
      <c r="B330" s="240" t="s">
        <v>220</v>
      </c>
      <c r="C330" s="241" t="s">
        <v>220</v>
      </c>
      <c r="D330" s="201" t="s">
        <v>220</v>
      </c>
      <c r="E330" s="240">
        <v>0.43</v>
      </c>
      <c r="F330" s="241">
        <v>0.37</v>
      </c>
      <c r="G330" s="201">
        <f t="shared" si="60"/>
        <v>0.4</v>
      </c>
      <c r="H330" s="240">
        <v>0.43</v>
      </c>
      <c r="I330" s="241">
        <v>0.37</v>
      </c>
      <c r="J330" s="201">
        <f t="shared" si="61"/>
        <v>0.4</v>
      </c>
      <c r="K330" s="194"/>
      <c r="L330" s="240">
        <v>0.57999999999999996</v>
      </c>
      <c r="M330" s="241">
        <v>0.44</v>
      </c>
      <c r="N330" s="201">
        <f t="shared" si="62"/>
        <v>0.51</v>
      </c>
      <c r="O330" s="240">
        <v>0.5</v>
      </c>
      <c r="P330" s="241">
        <v>0.42</v>
      </c>
      <c r="Q330" s="201">
        <f t="shared" si="63"/>
        <v>0.45999999999999996</v>
      </c>
      <c r="R330" s="240">
        <v>0.52</v>
      </c>
      <c r="S330" s="241">
        <v>0.44</v>
      </c>
      <c r="T330" s="201">
        <f t="shared" si="64"/>
        <v>0.48</v>
      </c>
      <c r="U330" s="240">
        <v>0</v>
      </c>
      <c r="V330" s="241">
        <v>0</v>
      </c>
      <c r="W330" s="201">
        <f t="shared" si="65"/>
        <v>0</v>
      </c>
    </row>
    <row r="331" spans="1:23" ht="15.75" x14ac:dyDescent="0.25">
      <c r="A331" s="31">
        <f>'M&amp;R Stations'!A314</f>
        <v>39273</v>
      </c>
      <c r="B331" s="240" t="s">
        <v>220</v>
      </c>
      <c r="C331" s="241" t="s">
        <v>220</v>
      </c>
      <c r="D331" s="201" t="s">
        <v>220</v>
      </c>
      <c r="E331" s="240">
        <v>0.43</v>
      </c>
      <c r="F331" s="241">
        <v>0.37</v>
      </c>
      <c r="G331" s="201">
        <f t="shared" si="60"/>
        <v>0.4</v>
      </c>
      <c r="H331" s="240">
        <v>0.4</v>
      </c>
      <c r="I331" s="241">
        <v>0.37</v>
      </c>
      <c r="J331" s="201">
        <f t="shared" si="61"/>
        <v>0.38500000000000001</v>
      </c>
      <c r="K331" s="194"/>
      <c r="L331" s="240">
        <v>0.51</v>
      </c>
      <c r="M331" s="241">
        <v>0.44</v>
      </c>
      <c r="N331" s="201">
        <f t="shared" si="62"/>
        <v>0.47499999999999998</v>
      </c>
      <c r="O331" s="240">
        <v>0.52</v>
      </c>
      <c r="P331" s="241">
        <v>0.41</v>
      </c>
      <c r="Q331" s="201">
        <f t="shared" si="63"/>
        <v>0.46499999999999997</v>
      </c>
      <c r="R331" s="240">
        <v>0.52</v>
      </c>
      <c r="S331" s="241">
        <v>0.44</v>
      </c>
      <c r="T331" s="201">
        <f t="shared" si="64"/>
        <v>0.48</v>
      </c>
      <c r="U331" s="240">
        <v>0</v>
      </c>
      <c r="V331" s="241">
        <v>0</v>
      </c>
      <c r="W331" s="201">
        <f t="shared" si="65"/>
        <v>0</v>
      </c>
    </row>
    <row r="332" spans="1:23" ht="15.75" x14ac:dyDescent="0.25">
      <c r="A332" s="31">
        <f>'M&amp;R Stations'!A315</f>
        <v>39274</v>
      </c>
      <c r="B332" s="240" t="s">
        <v>220</v>
      </c>
      <c r="C332" s="241" t="s">
        <v>220</v>
      </c>
      <c r="D332" s="201" t="s">
        <v>220</v>
      </c>
      <c r="E332" s="240">
        <v>0.44</v>
      </c>
      <c r="F332" s="241">
        <v>0.37</v>
      </c>
      <c r="G332" s="201">
        <f t="shared" si="60"/>
        <v>0.40500000000000003</v>
      </c>
      <c r="H332" s="240">
        <v>0.47</v>
      </c>
      <c r="I332" s="241">
        <v>0.4</v>
      </c>
      <c r="J332" s="201">
        <f t="shared" si="61"/>
        <v>0.435</v>
      </c>
      <c r="K332" s="194"/>
      <c r="L332" s="240">
        <v>0.54</v>
      </c>
      <c r="M332" s="241">
        <v>0.41</v>
      </c>
      <c r="N332" s="201">
        <f t="shared" si="62"/>
        <v>0.47499999999999998</v>
      </c>
      <c r="O332" s="240">
        <v>0.5</v>
      </c>
      <c r="P332" s="241">
        <v>0.41</v>
      </c>
      <c r="Q332" s="201">
        <f t="shared" si="63"/>
        <v>0.45499999999999996</v>
      </c>
      <c r="R332" s="240">
        <v>0.54</v>
      </c>
      <c r="S332" s="241">
        <v>0.49</v>
      </c>
      <c r="T332" s="201">
        <f t="shared" si="64"/>
        <v>0.51500000000000001</v>
      </c>
      <c r="U332" s="240">
        <v>0</v>
      </c>
      <c r="V332" s="241">
        <v>0</v>
      </c>
      <c r="W332" s="201">
        <f t="shared" si="65"/>
        <v>0</v>
      </c>
    </row>
    <row r="333" spans="1:23" ht="15.75" x14ac:dyDescent="0.25">
      <c r="A333" s="31">
        <f>'M&amp;R Stations'!A316</f>
        <v>39275</v>
      </c>
      <c r="B333" s="240" t="s">
        <v>220</v>
      </c>
      <c r="C333" s="241" t="s">
        <v>220</v>
      </c>
      <c r="D333" s="201" t="s">
        <v>220</v>
      </c>
      <c r="E333" s="240">
        <v>0.44</v>
      </c>
      <c r="F333" s="241">
        <v>0.4</v>
      </c>
      <c r="G333" s="201">
        <f t="shared" si="60"/>
        <v>0.42000000000000004</v>
      </c>
      <c r="H333" s="240">
        <v>0.47</v>
      </c>
      <c r="I333" s="241">
        <v>0.43</v>
      </c>
      <c r="J333" s="201">
        <f t="shared" si="61"/>
        <v>0.44999999999999996</v>
      </c>
      <c r="K333" s="194"/>
      <c r="L333" s="240">
        <v>0.66</v>
      </c>
      <c r="M333" s="241">
        <v>0.52</v>
      </c>
      <c r="N333" s="201">
        <f t="shared" si="62"/>
        <v>0.59000000000000008</v>
      </c>
      <c r="O333" s="240">
        <v>0.5</v>
      </c>
      <c r="P333" s="241">
        <v>0.43</v>
      </c>
      <c r="Q333" s="201">
        <f t="shared" si="63"/>
        <v>0.46499999999999997</v>
      </c>
      <c r="R333" s="240">
        <v>0.56999999999999995</v>
      </c>
      <c r="S333" s="241">
        <v>0.44</v>
      </c>
      <c r="T333" s="201">
        <f t="shared" si="64"/>
        <v>0.505</v>
      </c>
      <c r="U333" s="240">
        <v>0</v>
      </c>
      <c r="V333" s="241">
        <v>0</v>
      </c>
      <c r="W333" s="201">
        <f t="shared" si="65"/>
        <v>0</v>
      </c>
    </row>
    <row r="334" spans="1:23" ht="15.75" x14ac:dyDescent="0.25">
      <c r="A334" s="31">
        <f>'M&amp;R Stations'!A317</f>
        <v>39276</v>
      </c>
      <c r="B334" s="240" t="s">
        <v>220</v>
      </c>
      <c r="C334" s="241" t="s">
        <v>220</v>
      </c>
      <c r="D334" s="201" t="s">
        <v>220</v>
      </c>
      <c r="E334" s="240">
        <v>0.44</v>
      </c>
      <c r="F334" s="241">
        <v>0.4</v>
      </c>
      <c r="G334" s="201">
        <f t="shared" si="60"/>
        <v>0.42000000000000004</v>
      </c>
      <c r="H334" s="240">
        <v>0.47</v>
      </c>
      <c r="I334" s="241">
        <v>0.4</v>
      </c>
      <c r="J334" s="201">
        <f t="shared" si="61"/>
        <v>0.435</v>
      </c>
      <c r="K334" s="194"/>
      <c r="L334" s="240">
        <v>0.66</v>
      </c>
      <c r="M334" s="241">
        <v>0.55000000000000004</v>
      </c>
      <c r="N334" s="201">
        <f t="shared" si="62"/>
        <v>0.60499999999999998</v>
      </c>
      <c r="O334" s="240">
        <v>0.49</v>
      </c>
      <c r="P334" s="241">
        <v>0.43</v>
      </c>
      <c r="Q334" s="201">
        <f t="shared" si="63"/>
        <v>0.45999999999999996</v>
      </c>
      <c r="R334" s="240">
        <v>0.56999999999999995</v>
      </c>
      <c r="S334" s="241">
        <v>0.5</v>
      </c>
      <c r="T334" s="201">
        <f t="shared" si="64"/>
        <v>0.53499999999999992</v>
      </c>
      <c r="U334" s="240">
        <v>0</v>
      </c>
      <c r="V334" s="241">
        <v>0</v>
      </c>
      <c r="W334" s="201">
        <f t="shared" si="65"/>
        <v>0</v>
      </c>
    </row>
    <row r="335" spans="1:23" ht="15.75" x14ac:dyDescent="0.25">
      <c r="A335" s="31">
        <f>'M&amp;R Stations'!A318</f>
        <v>39277</v>
      </c>
      <c r="B335" s="240" t="s">
        <v>220</v>
      </c>
      <c r="C335" s="241" t="s">
        <v>220</v>
      </c>
      <c r="D335" s="201" t="s">
        <v>220</v>
      </c>
      <c r="E335" s="240">
        <v>0.4</v>
      </c>
      <c r="F335" s="241">
        <v>0.37</v>
      </c>
      <c r="G335" s="201">
        <f t="shared" si="60"/>
        <v>0.38500000000000001</v>
      </c>
      <c r="H335" s="240">
        <v>0.43</v>
      </c>
      <c r="I335" s="241">
        <v>0.4</v>
      </c>
      <c r="J335" s="201">
        <f t="shared" si="61"/>
        <v>0.41500000000000004</v>
      </c>
      <c r="K335" s="194"/>
      <c r="L335" s="240">
        <v>0.59</v>
      </c>
      <c r="M335" s="241">
        <v>0.52</v>
      </c>
      <c r="N335" s="201">
        <f t="shared" si="62"/>
        <v>0.55499999999999994</v>
      </c>
      <c r="O335" s="240">
        <v>0.45</v>
      </c>
      <c r="P335" s="241">
        <v>0.41</v>
      </c>
      <c r="Q335" s="201">
        <f t="shared" si="63"/>
        <v>0.43</v>
      </c>
      <c r="R335" s="240">
        <v>0.52</v>
      </c>
      <c r="S335" s="241">
        <v>0.44</v>
      </c>
      <c r="T335" s="201">
        <f t="shared" si="64"/>
        <v>0.48</v>
      </c>
      <c r="U335" s="240">
        <v>0</v>
      </c>
      <c r="V335" s="241">
        <v>0</v>
      </c>
      <c r="W335" s="201">
        <f t="shared" si="65"/>
        <v>0</v>
      </c>
    </row>
    <row r="336" spans="1:23" ht="15.75" x14ac:dyDescent="0.25">
      <c r="A336" s="31">
        <f>'M&amp;R Stations'!A319</f>
        <v>39278</v>
      </c>
      <c r="B336" s="240" t="s">
        <v>220</v>
      </c>
      <c r="C336" s="241" t="s">
        <v>220</v>
      </c>
      <c r="D336" s="201" t="s">
        <v>220</v>
      </c>
      <c r="E336" s="240">
        <v>0.4</v>
      </c>
      <c r="F336" s="241">
        <v>0.37</v>
      </c>
      <c r="G336" s="201">
        <f t="shared" si="60"/>
        <v>0.38500000000000001</v>
      </c>
      <c r="H336" s="240">
        <v>0.4</v>
      </c>
      <c r="I336" s="241">
        <v>0.4</v>
      </c>
      <c r="J336" s="201">
        <f t="shared" si="61"/>
        <v>0.4</v>
      </c>
      <c r="K336" s="194"/>
      <c r="L336" s="240">
        <v>0.55000000000000004</v>
      </c>
      <c r="M336" s="241">
        <v>0.52</v>
      </c>
      <c r="N336" s="201">
        <f t="shared" si="62"/>
        <v>0.53500000000000003</v>
      </c>
      <c r="O336" s="240">
        <v>0.43</v>
      </c>
      <c r="P336" s="241">
        <v>0.41</v>
      </c>
      <c r="Q336" s="201">
        <f t="shared" si="63"/>
        <v>0.42</v>
      </c>
      <c r="R336" s="240">
        <v>0.56999999999999995</v>
      </c>
      <c r="S336" s="241">
        <v>0.5</v>
      </c>
      <c r="T336" s="201">
        <f t="shared" si="64"/>
        <v>0.53499999999999992</v>
      </c>
      <c r="U336" s="240">
        <v>0</v>
      </c>
      <c r="V336" s="241">
        <v>0</v>
      </c>
      <c r="W336" s="201">
        <f t="shared" si="65"/>
        <v>0</v>
      </c>
    </row>
    <row r="337" spans="1:23" ht="15.75" x14ac:dyDescent="0.25">
      <c r="A337" s="31">
        <f>'M&amp;R Stations'!A320</f>
        <v>39279</v>
      </c>
      <c r="B337" s="240" t="s">
        <v>220</v>
      </c>
      <c r="C337" s="241" t="s">
        <v>220</v>
      </c>
      <c r="D337" s="201" t="s">
        <v>220</v>
      </c>
      <c r="E337" s="240">
        <v>0.4</v>
      </c>
      <c r="F337" s="241">
        <v>0.37</v>
      </c>
      <c r="G337" s="201">
        <f t="shared" si="60"/>
        <v>0.38500000000000001</v>
      </c>
      <c r="H337" s="240">
        <v>0.43</v>
      </c>
      <c r="I337" s="241">
        <v>0.4</v>
      </c>
      <c r="J337" s="201">
        <f t="shared" si="61"/>
        <v>0.41500000000000004</v>
      </c>
      <c r="K337" s="194"/>
      <c r="L337" s="240">
        <v>0.59</v>
      </c>
      <c r="M337" s="241">
        <v>0.49</v>
      </c>
      <c r="N337" s="201">
        <f t="shared" si="62"/>
        <v>0.54</v>
      </c>
      <c r="O337" s="240">
        <v>0.45</v>
      </c>
      <c r="P337" s="241">
        <v>0.39</v>
      </c>
      <c r="Q337" s="201">
        <f t="shared" si="63"/>
        <v>0.42000000000000004</v>
      </c>
      <c r="R337" s="240">
        <v>0.55000000000000004</v>
      </c>
      <c r="S337" s="241">
        <v>0.37</v>
      </c>
      <c r="T337" s="201">
        <f t="shared" si="64"/>
        <v>0.46</v>
      </c>
      <c r="U337" s="240">
        <v>0</v>
      </c>
      <c r="V337" s="241">
        <v>0</v>
      </c>
      <c r="W337" s="201">
        <f t="shared" si="65"/>
        <v>0</v>
      </c>
    </row>
    <row r="338" spans="1:23" ht="15.75" x14ac:dyDescent="0.25">
      <c r="A338" s="31">
        <f>'M&amp;R Stations'!A321</f>
        <v>39280</v>
      </c>
      <c r="B338" s="240" t="s">
        <v>220</v>
      </c>
      <c r="C338" s="241" t="s">
        <v>220</v>
      </c>
      <c r="D338" s="201" t="s">
        <v>220</v>
      </c>
      <c r="E338" s="240">
        <v>0.39</v>
      </c>
      <c r="F338" s="241">
        <v>0.38</v>
      </c>
      <c r="G338" s="201">
        <f t="shared" si="60"/>
        <v>0.38500000000000001</v>
      </c>
      <c r="H338" s="240">
        <v>0.4</v>
      </c>
      <c r="I338" s="241">
        <v>0.38</v>
      </c>
      <c r="J338" s="201">
        <f t="shared" si="61"/>
        <v>0.39</v>
      </c>
      <c r="K338" s="194"/>
      <c r="L338" s="240">
        <v>0.63</v>
      </c>
      <c r="M338" s="241">
        <v>0.56000000000000005</v>
      </c>
      <c r="N338" s="201">
        <f t="shared" si="62"/>
        <v>0.59499999999999997</v>
      </c>
      <c r="O338" s="240">
        <v>0.45</v>
      </c>
      <c r="P338" s="241">
        <v>0.37</v>
      </c>
      <c r="Q338" s="201">
        <f t="shared" si="63"/>
        <v>0.41000000000000003</v>
      </c>
      <c r="R338" s="240">
        <v>0.56999999999999995</v>
      </c>
      <c r="S338" s="241">
        <v>0.52</v>
      </c>
      <c r="T338" s="201">
        <f t="shared" si="64"/>
        <v>0.54499999999999993</v>
      </c>
      <c r="U338" s="240">
        <v>0</v>
      </c>
      <c r="V338" s="241">
        <v>0</v>
      </c>
      <c r="W338" s="201">
        <f t="shared" si="65"/>
        <v>0</v>
      </c>
    </row>
    <row r="339" spans="1:23" ht="15.75" x14ac:dyDescent="0.25">
      <c r="A339" s="31">
        <f>'M&amp;R Stations'!A322</f>
        <v>39281</v>
      </c>
      <c r="B339" s="240" t="s">
        <v>220</v>
      </c>
      <c r="C339" s="241" t="s">
        <v>220</v>
      </c>
      <c r="D339" s="201" t="s">
        <v>220</v>
      </c>
      <c r="E339" s="240">
        <v>0.39</v>
      </c>
      <c r="F339" s="241">
        <v>0.38</v>
      </c>
      <c r="G339" s="201">
        <f t="shared" si="60"/>
        <v>0.38500000000000001</v>
      </c>
      <c r="H339" s="240">
        <v>0.39</v>
      </c>
      <c r="I339" s="241">
        <v>0.38</v>
      </c>
      <c r="J339" s="201">
        <f t="shared" si="61"/>
        <v>0.38500000000000001</v>
      </c>
      <c r="K339" s="194"/>
      <c r="L339" s="240">
        <v>0.63</v>
      </c>
      <c r="M339" s="241">
        <v>0.56000000000000005</v>
      </c>
      <c r="N339" s="201">
        <f t="shared" si="62"/>
        <v>0.59499999999999997</v>
      </c>
      <c r="O339" s="240">
        <v>0.45</v>
      </c>
      <c r="P339" s="241">
        <v>0.39</v>
      </c>
      <c r="Q339" s="201">
        <f t="shared" si="63"/>
        <v>0.42000000000000004</v>
      </c>
      <c r="R339" s="240">
        <v>0.56999999999999995</v>
      </c>
      <c r="S339" s="241">
        <v>0.42</v>
      </c>
      <c r="T339" s="201">
        <f t="shared" si="64"/>
        <v>0.495</v>
      </c>
      <c r="U339" s="240">
        <v>0</v>
      </c>
      <c r="V339" s="241">
        <v>0</v>
      </c>
      <c r="W339" s="201">
        <f t="shared" si="65"/>
        <v>0</v>
      </c>
    </row>
    <row r="340" spans="1:23" ht="15.75" x14ac:dyDescent="0.25">
      <c r="A340" s="31">
        <f>'M&amp;R Stations'!A323</f>
        <v>39282</v>
      </c>
      <c r="B340" s="240" t="s">
        <v>220</v>
      </c>
      <c r="C340" s="241" t="s">
        <v>220</v>
      </c>
      <c r="D340" s="201" t="s">
        <v>220</v>
      </c>
      <c r="E340" s="240">
        <v>0.39</v>
      </c>
      <c r="F340" s="241">
        <v>0.37</v>
      </c>
      <c r="G340" s="201">
        <f t="shared" si="60"/>
        <v>0.38</v>
      </c>
      <c r="H340" s="240">
        <v>0.39</v>
      </c>
      <c r="I340" s="241">
        <v>0.37</v>
      </c>
      <c r="J340" s="201">
        <f t="shared" si="61"/>
        <v>0.38</v>
      </c>
      <c r="K340" s="194"/>
      <c r="L340" s="240">
        <v>0.63</v>
      </c>
      <c r="M340" s="241">
        <v>0.41</v>
      </c>
      <c r="N340" s="201">
        <f t="shared" si="62"/>
        <v>0.52</v>
      </c>
      <c r="O340" s="240">
        <v>0.51</v>
      </c>
      <c r="P340" s="241">
        <v>0.42</v>
      </c>
      <c r="Q340" s="201">
        <f t="shared" si="63"/>
        <v>0.46499999999999997</v>
      </c>
      <c r="R340" s="240">
        <v>0.56999999999999995</v>
      </c>
      <c r="S340" s="241">
        <v>0.49</v>
      </c>
      <c r="T340" s="201">
        <f t="shared" si="64"/>
        <v>0.53</v>
      </c>
      <c r="U340" s="240">
        <v>0</v>
      </c>
      <c r="V340" s="241">
        <v>0</v>
      </c>
      <c r="W340" s="201">
        <f t="shared" si="65"/>
        <v>0</v>
      </c>
    </row>
    <row r="341" spans="1:23" ht="15.75" x14ac:dyDescent="0.25">
      <c r="A341" s="31">
        <f>'M&amp;R Stations'!A324</f>
        <v>39283</v>
      </c>
      <c r="B341" s="240" t="s">
        <v>220</v>
      </c>
      <c r="C341" s="241" t="s">
        <v>220</v>
      </c>
      <c r="D341" s="201" t="s">
        <v>220</v>
      </c>
      <c r="E341" s="240">
        <v>0.39</v>
      </c>
      <c r="F341" s="241">
        <v>0.36</v>
      </c>
      <c r="G341" s="201">
        <f t="shared" si="60"/>
        <v>0.375</v>
      </c>
      <c r="H341" s="240">
        <v>0.39</v>
      </c>
      <c r="I341" s="241">
        <v>0.37</v>
      </c>
      <c r="J341" s="201">
        <f t="shared" si="61"/>
        <v>0.38</v>
      </c>
      <c r="K341" s="194"/>
      <c r="L341" s="240">
        <v>0.48</v>
      </c>
      <c r="M341" s="241">
        <v>0.41</v>
      </c>
      <c r="N341" s="201">
        <f t="shared" si="62"/>
        <v>0.44499999999999995</v>
      </c>
      <c r="O341" s="240">
        <v>0.54</v>
      </c>
      <c r="P341" s="241">
        <v>0.47</v>
      </c>
      <c r="Q341" s="201">
        <f t="shared" si="63"/>
        <v>0.505</v>
      </c>
      <c r="R341" s="240">
        <v>0.59</v>
      </c>
      <c r="S341" s="241">
        <v>0.49</v>
      </c>
      <c r="T341" s="201">
        <f t="shared" si="64"/>
        <v>0.54</v>
      </c>
      <c r="U341" s="240">
        <v>0</v>
      </c>
      <c r="V341" s="241">
        <v>0</v>
      </c>
      <c r="W341" s="201">
        <f t="shared" si="65"/>
        <v>0</v>
      </c>
    </row>
    <row r="342" spans="1:23" ht="15.75" x14ac:dyDescent="0.25">
      <c r="A342" s="31">
        <f>'M&amp;R Stations'!A325</f>
        <v>39284</v>
      </c>
      <c r="B342" s="240" t="s">
        <v>220</v>
      </c>
      <c r="C342" s="241" t="s">
        <v>220</v>
      </c>
      <c r="D342" s="201" t="s">
        <v>220</v>
      </c>
      <c r="E342" s="240">
        <v>0.39</v>
      </c>
      <c r="F342" s="241">
        <v>0.37</v>
      </c>
      <c r="G342" s="201">
        <f t="shared" si="60"/>
        <v>0.38</v>
      </c>
      <c r="H342" s="240">
        <v>0.4</v>
      </c>
      <c r="I342" s="241">
        <v>0.38</v>
      </c>
      <c r="J342" s="201">
        <f t="shared" si="61"/>
        <v>0.39</v>
      </c>
      <c r="K342" s="194"/>
      <c r="L342" s="240">
        <v>0.48</v>
      </c>
      <c r="M342" s="241">
        <v>0.46</v>
      </c>
      <c r="N342" s="201">
        <f t="shared" si="62"/>
        <v>0.47</v>
      </c>
      <c r="O342" s="240">
        <v>0.56000000000000005</v>
      </c>
      <c r="P342" s="241">
        <v>0.49</v>
      </c>
      <c r="Q342" s="201">
        <f t="shared" si="63"/>
        <v>0.52500000000000002</v>
      </c>
      <c r="R342" s="240">
        <v>0.59</v>
      </c>
      <c r="S342" s="241">
        <v>0.52</v>
      </c>
      <c r="T342" s="201">
        <f t="shared" si="64"/>
        <v>0.55499999999999994</v>
      </c>
      <c r="U342" s="240">
        <v>0</v>
      </c>
      <c r="V342" s="241">
        <v>0</v>
      </c>
      <c r="W342" s="201">
        <f t="shared" si="65"/>
        <v>0</v>
      </c>
    </row>
    <row r="343" spans="1:23" ht="15.75" x14ac:dyDescent="0.25">
      <c r="A343" s="31">
        <f>'M&amp;R Stations'!A326</f>
        <v>39285</v>
      </c>
      <c r="B343" s="240" t="s">
        <v>220</v>
      </c>
      <c r="C343" s="241" t="s">
        <v>220</v>
      </c>
      <c r="D343" s="201" t="s">
        <v>220</v>
      </c>
      <c r="E343" s="240">
        <v>0.4</v>
      </c>
      <c r="F343" s="241">
        <v>0.38</v>
      </c>
      <c r="G343" s="201">
        <f t="shared" si="60"/>
        <v>0.39</v>
      </c>
      <c r="H343" s="240">
        <v>0.39</v>
      </c>
      <c r="I343" s="241">
        <v>0.37</v>
      </c>
      <c r="J343" s="201">
        <f t="shared" si="61"/>
        <v>0.38</v>
      </c>
      <c r="K343" s="194"/>
      <c r="L343" s="240">
        <v>0.48</v>
      </c>
      <c r="M343" s="241">
        <v>0.43</v>
      </c>
      <c r="N343" s="201">
        <f t="shared" si="62"/>
        <v>0.45499999999999996</v>
      </c>
      <c r="O343" s="240">
        <v>0.61</v>
      </c>
      <c r="P343" s="241">
        <v>0.52</v>
      </c>
      <c r="Q343" s="201">
        <f t="shared" si="63"/>
        <v>0.56499999999999995</v>
      </c>
      <c r="R343" s="240">
        <v>0.62</v>
      </c>
      <c r="S343" s="241">
        <v>0.52</v>
      </c>
      <c r="T343" s="201">
        <f t="shared" si="64"/>
        <v>0.57000000000000006</v>
      </c>
      <c r="U343" s="240">
        <v>0</v>
      </c>
      <c r="V343" s="241">
        <v>0</v>
      </c>
      <c r="W343" s="201">
        <f t="shared" si="65"/>
        <v>0</v>
      </c>
    </row>
    <row r="344" spans="1:23" ht="15.75" x14ac:dyDescent="0.25">
      <c r="A344" s="31">
        <f>'M&amp;R Stations'!A327</f>
        <v>39286</v>
      </c>
      <c r="B344" s="240" t="s">
        <v>220</v>
      </c>
      <c r="C344" s="241" t="s">
        <v>220</v>
      </c>
      <c r="D344" s="201" t="s">
        <v>220</v>
      </c>
      <c r="E344" s="240">
        <v>0.39</v>
      </c>
      <c r="F344" s="241">
        <v>0.37</v>
      </c>
      <c r="G344" s="201">
        <f t="shared" si="60"/>
        <v>0.38</v>
      </c>
      <c r="H344" s="240">
        <v>0.39</v>
      </c>
      <c r="I344" s="241">
        <v>0.38</v>
      </c>
      <c r="J344" s="201">
        <f t="shared" si="61"/>
        <v>0.38500000000000001</v>
      </c>
      <c r="K344" s="194"/>
      <c r="L344" s="240">
        <v>0.53</v>
      </c>
      <c r="M344" s="241">
        <v>0.41</v>
      </c>
      <c r="N344" s="201">
        <f t="shared" si="62"/>
        <v>0.47</v>
      </c>
      <c r="O344" s="240">
        <v>0.61</v>
      </c>
      <c r="P344" s="241">
        <v>0.44</v>
      </c>
      <c r="Q344" s="201">
        <f t="shared" si="63"/>
        <v>0.52500000000000002</v>
      </c>
      <c r="R344" s="240">
        <v>0.62</v>
      </c>
      <c r="S344" s="241">
        <v>0.49</v>
      </c>
      <c r="T344" s="201">
        <f t="shared" si="64"/>
        <v>0.55499999999999994</v>
      </c>
      <c r="U344" s="240">
        <v>0</v>
      </c>
      <c r="V344" s="241">
        <v>0</v>
      </c>
      <c r="W344" s="201">
        <f t="shared" si="65"/>
        <v>0</v>
      </c>
    </row>
    <row r="345" spans="1:23" ht="15.75" x14ac:dyDescent="0.25">
      <c r="A345" s="31">
        <f>'M&amp;R Stations'!A328</f>
        <v>39287</v>
      </c>
      <c r="B345" s="240" t="s">
        <v>220</v>
      </c>
      <c r="C345" s="241" t="s">
        <v>220</v>
      </c>
      <c r="D345" s="201" t="s">
        <v>220</v>
      </c>
      <c r="E345" s="240">
        <v>0.39</v>
      </c>
      <c r="F345" s="241">
        <v>0.38</v>
      </c>
      <c r="G345" s="201">
        <f t="shared" si="60"/>
        <v>0.38500000000000001</v>
      </c>
      <c r="H345" s="240">
        <v>0.39</v>
      </c>
      <c r="I345" s="241">
        <v>0.38</v>
      </c>
      <c r="J345" s="201">
        <f t="shared" si="61"/>
        <v>0.38500000000000001</v>
      </c>
      <c r="K345" s="194"/>
      <c r="L345" s="240">
        <v>0.53</v>
      </c>
      <c r="M345" s="241">
        <v>0.43</v>
      </c>
      <c r="N345" s="201">
        <f t="shared" si="62"/>
        <v>0.48</v>
      </c>
      <c r="O345" s="240">
        <v>0.49</v>
      </c>
      <c r="P345" s="241">
        <v>0.42</v>
      </c>
      <c r="Q345" s="201">
        <f t="shared" si="63"/>
        <v>0.45499999999999996</v>
      </c>
      <c r="R345" s="240">
        <v>0.62</v>
      </c>
      <c r="S345" s="241">
        <v>0.49</v>
      </c>
      <c r="T345" s="201">
        <f t="shared" si="64"/>
        <v>0.55499999999999994</v>
      </c>
      <c r="U345" s="240">
        <v>0</v>
      </c>
      <c r="V345" s="241">
        <v>0</v>
      </c>
      <c r="W345" s="201">
        <f t="shared" si="65"/>
        <v>0</v>
      </c>
    </row>
    <row r="346" spans="1:23" ht="15.75" x14ac:dyDescent="0.25">
      <c r="A346" s="31">
        <f>'M&amp;R Stations'!A329</f>
        <v>39288</v>
      </c>
      <c r="B346" s="240" t="s">
        <v>220</v>
      </c>
      <c r="C346" s="241" t="s">
        <v>220</v>
      </c>
      <c r="D346" s="201" t="s">
        <v>220</v>
      </c>
      <c r="E346" s="240">
        <v>0.4</v>
      </c>
      <c r="F346" s="241">
        <v>0.39</v>
      </c>
      <c r="G346" s="201">
        <f t="shared" si="60"/>
        <v>0.39500000000000002</v>
      </c>
      <c r="H346" s="240">
        <v>0.4</v>
      </c>
      <c r="I346" s="241">
        <v>0.39</v>
      </c>
      <c r="J346" s="201">
        <f t="shared" si="61"/>
        <v>0.39500000000000002</v>
      </c>
      <c r="K346" s="194"/>
      <c r="L346" s="240">
        <v>0.48</v>
      </c>
      <c r="M346" s="241">
        <v>0.41</v>
      </c>
      <c r="N346" s="201">
        <f t="shared" si="62"/>
        <v>0.44499999999999995</v>
      </c>
      <c r="O346" s="240">
        <v>0.47</v>
      </c>
      <c r="P346" s="241">
        <v>0.42</v>
      </c>
      <c r="Q346" s="201">
        <f t="shared" si="63"/>
        <v>0.44499999999999995</v>
      </c>
      <c r="R346" s="240">
        <v>0.49</v>
      </c>
      <c r="S346" s="241">
        <v>0.47</v>
      </c>
      <c r="T346" s="201">
        <f t="shared" si="64"/>
        <v>0.48</v>
      </c>
      <c r="U346" s="240">
        <v>0</v>
      </c>
      <c r="V346" s="241">
        <v>0</v>
      </c>
      <c r="W346" s="201">
        <f t="shared" si="65"/>
        <v>0</v>
      </c>
    </row>
    <row r="347" spans="1:23" ht="15.75" x14ac:dyDescent="0.25">
      <c r="A347" s="31">
        <f>'M&amp;R Stations'!A330</f>
        <v>39289</v>
      </c>
      <c r="B347" s="240" t="s">
        <v>220</v>
      </c>
      <c r="C347" s="241" t="s">
        <v>220</v>
      </c>
      <c r="D347" s="201" t="s">
        <v>220</v>
      </c>
      <c r="E347" s="240">
        <v>0.39</v>
      </c>
      <c r="F347" s="241">
        <v>0.39</v>
      </c>
      <c r="G347" s="201">
        <f t="shared" si="60"/>
        <v>0.39</v>
      </c>
      <c r="H347" s="240">
        <v>0.39</v>
      </c>
      <c r="I347" s="241">
        <v>0.38</v>
      </c>
      <c r="J347" s="201">
        <f t="shared" si="61"/>
        <v>0.38500000000000001</v>
      </c>
      <c r="K347" s="194"/>
      <c r="L347" s="240">
        <v>0.43</v>
      </c>
      <c r="M347" s="241">
        <v>0.41</v>
      </c>
      <c r="N347" s="201">
        <f t="shared" si="62"/>
        <v>0.42</v>
      </c>
      <c r="O347" s="240">
        <v>0.5</v>
      </c>
      <c r="P347" s="241">
        <v>0.4</v>
      </c>
      <c r="Q347" s="201">
        <f t="shared" si="63"/>
        <v>0.45</v>
      </c>
      <c r="R347" s="240">
        <v>0.51</v>
      </c>
      <c r="S347" s="241">
        <v>0.42</v>
      </c>
      <c r="T347" s="201">
        <f t="shared" si="64"/>
        <v>0.46499999999999997</v>
      </c>
      <c r="U347" s="240">
        <v>0</v>
      </c>
      <c r="V347" s="241">
        <v>0</v>
      </c>
      <c r="W347" s="201">
        <f t="shared" si="65"/>
        <v>0</v>
      </c>
    </row>
    <row r="348" spans="1:23" ht="15.75" x14ac:dyDescent="0.25">
      <c r="A348" s="31">
        <f>'M&amp;R Stations'!A331</f>
        <v>39290</v>
      </c>
      <c r="B348" s="240" t="s">
        <v>220</v>
      </c>
      <c r="C348" s="241" t="s">
        <v>220</v>
      </c>
      <c r="D348" s="201" t="s">
        <v>220</v>
      </c>
      <c r="E348" s="240">
        <v>0.39</v>
      </c>
      <c r="F348" s="241">
        <v>0.38</v>
      </c>
      <c r="G348" s="201">
        <f t="shared" si="60"/>
        <v>0.38500000000000001</v>
      </c>
      <c r="H348" s="240">
        <v>0.4</v>
      </c>
      <c r="I348" s="241">
        <v>0.37</v>
      </c>
      <c r="J348" s="201">
        <f t="shared" si="61"/>
        <v>0.38500000000000001</v>
      </c>
      <c r="K348" s="194"/>
      <c r="L348" s="240">
        <v>0.43</v>
      </c>
      <c r="M348" s="241">
        <v>0.41</v>
      </c>
      <c r="N348" s="201">
        <f t="shared" si="62"/>
        <v>0.42</v>
      </c>
      <c r="O348" s="240">
        <v>0.47</v>
      </c>
      <c r="P348" s="241">
        <v>0.43</v>
      </c>
      <c r="Q348" s="201">
        <f t="shared" si="63"/>
        <v>0.44999999999999996</v>
      </c>
      <c r="R348" s="240">
        <v>0.53</v>
      </c>
      <c r="S348" s="241">
        <v>0.46</v>
      </c>
      <c r="T348" s="201">
        <f t="shared" si="64"/>
        <v>0.495</v>
      </c>
      <c r="U348" s="240">
        <v>0</v>
      </c>
      <c r="V348" s="241">
        <v>0</v>
      </c>
      <c r="W348" s="201">
        <f t="shared" si="65"/>
        <v>0</v>
      </c>
    </row>
    <row r="349" spans="1:23" ht="15.75" x14ac:dyDescent="0.25">
      <c r="A349" s="31">
        <f>'M&amp;R Stations'!A332</f>
        <v>39291</v>
      </c>
      <c r="B349" s="240" t="s">
        <v>220</v>
      </c>
      <c r="C349" s="241" t="s">
        <v>220</v>
      </c>
      <c r="D349" s="201" t="s">
        <v>220</v>
      </c>
      <c r="E349" s="240">
        <v>0.39</v>
      </c>
      <c r="F349" s="241">
        <v>0.38</v>
      </c>
      <c r="G349" s="201">
        <f t="shared" si="60"/>
        <v>0.38500000000000001</v>
      </c>
      <c r="H349" s="240">
        <v>0.39</v>
      </c>
      <c r="I349" s="241">
        <v>0.38</v>
      </c>
      <c r="J349" s="201">
        <f t="shared" si="61"/>
        <v>0.38500000000000001</v>
      </c>
      <c r="K349" s="194"/>
      <c r="L349" s="240">
        <v>0.43</v>
      </c>
      <c r="M349" s="241">
        <v>0.41</v>
      </c>
      <c r="N349" s="201">
        <f t="shared" si="62"/>
        <v>0.42</v>
      </c>
      <c r="O349" s="240">
        <v>0.49</v>
      </c>
      <c r="P349" s="241">
        <v>0.43</v>
      </c>
      <c r="Q349" s="201">
        <f t="shared" si="63"/>
        <v>0.45999999999999996</v>
      </c>
      <c r="R349" s="240">
        <v>0.53</v>
      </c>
      <c r="S349" s="241">
        <v>0.46</v>
      </c>
      <c r="T349" s="201">
        <f t="shared" si="64"/>
        <v>0.495</v>
      </c>
      <c r="U349" s="240">
        <v>0</v>
      </c>
      <c r="V349" s="241">
        <v>0</v>
      </c>
      <c r="W349" s="201">
        <f t="shared" si="65"/>
        <v>0</v>
      </c>
    </row>
    <row r="350" spans="1:23" ht="15.75" x14ac:dyDescent="0.25">
      <c r="A350" s="31">
        <f>'M&amp;R Stations'!A333</f>
        <v>39292</v>
      </c>
      <c r="B350" s="240" t="s">
        <v>220</v>
      </c>
      <c r="C350" s="241" t="s">
        <v>220</v>
      </c>
      <c r="D350" s="201" t="s">
        <v>220</v>
      </c>
      <c r="E350" s="240">
        <v>0.4</v>
      </c>
      <c r="F350" s="241">
        <v>0.37</v>
      </c>
      <c r="G350" s="201">
        <f t="shared" si="60"/>
        <v>0.38500000000000001</v>
      </c>
      <c r="H350" s="240">
        <v>0.38</v>
      </c>
      <c r="I350" s="241">
        <v>0.37</v>
      </c>
      <c r="J350" s="201">
        <f t="shared" si="61"/>
        <v>0.375</v>
      </c>
      <c r="K350" s="194"/>
      <c r="L350" s="240">
        <v>0.45</v>
      </c>
      <c r="M350" s="241">
        <v>0.4</v>
      </c>
      <c r="N350" s="201">
        <f t="shared" si="62"/>
        <v>0.42500000000000004</v>
      </c>
      <c r="O350" s="240">
        <v>0.52</v>
      </c>
      <c r="P350" s="241">
        <v>0.45</v>
      </c>
      <c r="Q350" s="201">
        <f t="shared" si="63"/>
        <v>0.48499999999999999</v>
      </c>
      <c r="R350" s="240">
        <v>0.55000000000000004</v>
      </c>
      <c r="S350" s="241">
        <v>0.48</v>
      </c>
      <c r="T350" s="201">
        <f t="shared" si="64"/>
        <v>0.51500000000000001</v>
      </c>
      <c r="U350" s="240">
        <v>0</v>
      </c>
      <c r="V350" s="241">
        <v>0</v>
      </c>
      <c r="W350" s="201">
        <f t="shared" si="65"/>
        <v>0</v>
      </c>
    </row>
    <row r="351" spans="1:23" ht="15.75" x14ac:dyDescent="0.25">
      <c r="A351" s="31">
        <f>'M&amp;R Stations'!A334</f>
        <v>39293</v>
      </c>
      <c r="B351" s="240" t="s">
        <v>220</v>
      </c>
      <c r="C351" s="241" t="s">
        <v>220</v>
      </c>
      <c r="D351" s="201" t="s">
        <v>220</v>
      </c>
      <c r="E351" s="240">
        <v>0.4</v>
      </c>
      <c r="F351" s="241">
        <v>0.36</v>
      </c>
      <c r="G351" s="201">
        <f t="shared" si="60"/>
        <v>0.38</v>
      </c>
      <c r="H351" s="240">
        <v>0.4</v>
      </c>
      <c r="I351" s="241">
        <v>0.38</v>
      </c>
      <c r="J351" s="201">
        <f t="shared" si="61"/>
        <v>0.39</v>
      </c>
      <c r="K351" s="194"/>
      <c r="L351" s="240">
        <v>0.45200000000000001</v>
      </c>
      <c r="M351" s="241">
        <v>0.38</v>
      </c>
      <c r="N351" s="201">
        <f t="shared" si="62"/>
        <v>0.41600000000000004</v>
      </c>
      <c r="O351" s="240">
        <v>0.53800000000000003</v>
      </c>
      <c r="P351" s="241">
        <v>0.42499999999999999</v>
      </c>
      <c r="Q351" s="201">
        <f t="shared" si="63"/>
        <v>0.48150000000000004</v>
      </c>
      <c r="R351" s="240">
        <v>0.54800000000000004</v>
      </c>
      <c r="S351" s="241">
        <v>0.438</v>
      </c>
      <c r="T351" s="201">
        <f t="shared" si="64"/>
        <v>0.49299999999999999</v>
      </c>
      <c r="U351" s="240">
        <v>0</v>
      </c>
      <c r="V351" s="241">
        <v>0</v>
      </c>
      <c r="W351" s="201">
        <f t="shared" si="65"/>
        <v>0</v>
      </c>
    </row>
    <row r="352" spans="1:23" ht="15.75" x14ac:dyDescent="0.25">
      <c r="A352" s="31">
        <f>'M&amp;R Stations'!A335</f>
        <v>39294</v>
      </c>
      <c r="B352" s="240" t="s">
        <v>220</v>
      </c>
      <c r="C352" s="241" t="s">
        <v>220</v>
      </c>
      <c r="D352" s="201" t="s">
        <v>220</v>
      </c>
      <c r="E352" s="240">
        <v>0.4</v>
      </c>
      <c r="F352" s="241">
        <v>0.38</v>
      </c>
      <c r="G352" s="201">
        <f t="shared" si="60"/>
        <v>0.39</v>
      </c>
      <c r="H352" s="240">
        <v>0.39</v>
      </c>
      <c r="I352" s="241">
        <v>0.39</v>
      </c>
      <c r="J352" s="201">
        <f t="shared" si="61"/>
        <v>0.39</v>
      </c>
      <c r="K352" s="194"/>
      <c r="L352" s="240">
        <v>0.42799999999999999</v>
      </c>
      <c r="M352" s="241">
        <v>0.38</v>
      </c>
      <c r="N352" s="201">
        <f t="shared" si="62"/>
        <v>0.40400000000000003</v>
      </c>
      <c r="O352" s="240">
        <v>0.51500000000000001</v>
      </c>
      <c r="P352" s="241">
        <v>0.44800000000000001</v>
      </c>
      <c r="Q352" s="201">
        <f t="shared" si="63"/>
        <v>0.48150000000000004</v>
      </c>
      <c r="R352" s="240">
        <v>0.52600000000000002</v>
      </c>
      <c r="S352" s="241">
        <v>0.438</v>
      </c>
      <c r="T352" s="201">
        <f t="shared" si="64"/>
        <v>0.48199999999999998</v>
      </c>
      <c r="U352" s="240">
        <v>0</v>
      </c>
      <c r="V352" s="241">
        <v>0</v>
      </c>
      <c r="W352" s="201">
        <f t="shared" si="65"/>
        <v>0</v>
      </c>
    </row>
    <row r="353" spans="1:23" ht="15.75" x14ac:dyDescent="0.25">
      <c r="A353" s="179"/>
      <c r="B353" s="203"/>
      <c r="C353" s="204"/>
      <c r="D353" s="205"/>
      <c r="E353" s="203"/>
      <c r="F353" s="204"/>
      <c r="G353" s="205"/>
      <c r="H353" s="203"/>
      <c r="I353" s="204"/>
      <c r="J353" s="206"/>
      <c r="K353" s="207"/>
      <c r="L353" s="203"/>
      <c r="M353" s="204"/>
      <c r="N353" s="206"/>
      <c r="O353" s="203"/>
      <c r="P353" s="204"/>
      <c r="Q353" s="206"/>
      <c r="R353" s="203"/>
      <c r="S353" s="204"/>
      <c r="T353" s="206"/>
      <c r="U353" s="203"/>
      <c r="V353" s="204"/>
      <c r="W353" s="206"/>
    </row>
    <row r="354" spans="1:23" ht="15.75" x14ac:dyDescent="0.25">
      <c r="A354" s="31">
        <f>'M&amp;R Stations'!A336</f>
        <v>39295</v>
      </c>
      <c r="B354" s="240" t="s">
        <v>220</v>
      </c>
      <c r="C354" s="241" t="s">
        <v>220</v>
      </c>
      <c r="D354" s="201" t="s">
        <v>220</v>
      </c>
      <c r="E354" s="240">
        <v>0.41</v>
      </c>
      <c r="F354" s="241">
        <v>0.39</v>
      </c>
      <c r="G354" s="201">
        <f t="shared" si="60"/>
        <v>0.4</v>
      </c>
      <c r="H354" s="240">
        <v>0.4</v>
      </c>
      <c r="I354" s="241">
        <v>0.38</v>
      </c>
      <c r="J354" s="201">
        <f t="shared" ref="J354:J384" si="66">IF(AND(H354="",I354=""),"",IF(H354="off",I354,IF(I354="off",H354,AVERAGE(H354:I354))))</f>
        <v>0.39</v>
      </c>
      <c r="K354" s="194"/>
      <c r="L354" s="240">
        <v>0.47599999999999998</v>
      </c>
      <c r="M354" s="241">
        <v>0.38</v>
      </c>
      <c r="N354" s="201">
        <f t="shared" ref="N354:N384" si="67">IF(AND(L354="",M354=""),"",IF(L354="off",M354,IF(M354="off",L354,AVERAGE(L354:M354))))</f>
        <v>0.42799999999999999</v>
      </c>
      <c r="O354" s="240">
        <v>0.53800000000000003</v>
      </c>
      <c r="P354" s="241">
        <v>0.40300000000000002</v>
      </c>
      <c r="Q354" s="201">
        <f t="shared" ref="Q354:Q384" si="68">IF(AND(O354="",P354=""),"",IF(O354="off",P354,IF(P354="off",O354,AVERAGE(O354:P354))))</f>
        <v>0.47050000000000003</v>
      </c>
      <c r="R354" s="240">
        <v>0.46</v>
      </c>
      <c r="S354" s="241">
        <v>0.39400000000000002</v>
      </c>
      <c r="T354" s="201">
        <f t="shared" ref="T354:T384" si="69">IF(AND(R354="",S354=""),"",IF(R354="off",S354,IF(S354="off",R354,AVERAGE(R354:S354))))</f>
        <v>0.42700000000000005</v>
      </c>
      <c r="U354" s="240">
        <v>0</v>
      </c>
      <c r="V354" s="241">
        <v>0</v>
      </c>
      <c r="W354" s="201">
        <f t="shared" ref="W354:W384" si="70">IF(AND(U354="",V354=""),"",IF(U354="off",V354,IF(V354="off",U354,AVERAGE(U354:V354))))</f>
        <v>0</v>
      </c>
    </row>
    <row r="355" spans="1:23" ht="15.75" x14ac:dyDescent="0.25">
      <c r="A355" s="31">
        <f>'M&amp;R Stations'!A337</f>
        <v>39296</v>
      </c>
      <c r="B355" s="240" t="s">
        <v>220</v>
      </c>
      <c r="C355" s="241" t="s">
        <v>220</v>
      </c>
      <c r="D355" s="201" t="s">
        <v>220</v>
      </c>
      <c r="E355" s="240">
        <v>0.41</v>
      </c>
      <c r="F355" s="241">
        <v>0.39</v>
      </c>
      <c r="G355" s="201">
        <f t="shared" si="60"/>
        <v>0.4</v>
      </c>
      <c r="H355" s="240">
        <v>0.4</v>
      </c>
      <c r="I355" s="241">
        <v>0.4</v>
      </c>
      <c r="J355" s="201">
        <f t="shared" si="66"/>
        <v>0.4</v>
      </c>
      <c r="K355" s="194"/>
      <c r="L355" s="240">
        <v>0.48599999999999999</v>
      </c>
      <c r="M355" s="241">
        <v>0.40500000000000003</v>
      </c>
      <c r="N355" s="201">
        <f t="shared" si="67"/>
        <v>0.44550000000000001</v>
      </c>
      <c r="O355" s="240">
        <v>0.51500000000000001</v>
      </c>
      <c r="P355" s="241">
        <v>0.39</v>
      </c>
      <c r="Q355" s="201">
        <f t="shared" si="68"/>
        <v>0.45250000000000001</v>
      </c>
      <c r="R355" s="240">
        <v>0.46</v>
      </c>
      <c r="S355" s="241">
        <v>0.40400000000000003</v>
      </c>
      <c r="T355" s="201">
        <f t="shared" si="69"/>
        <v>0.43200000000000005</v>
      </c>
      <c r="U355" s="240">
        <v>0</v>
      </c>
      <c r="V355" s="241">
        <v>0</v>
      </c>
      <c r="W355" s="201">
        <f t="shared" si="70"/>
        <v>0</v>
      </c>
    </row>
    <row r="356" spans="1:23" ht="15.75" x14ac:dyDescent="0.25">
      <c r="A356" s="31">
        <f>'M&amp;R Stations'!A338</f>
        <v>39297</v>
      </c>
      <c r="B356" s="240" t="s">
        <v>220</v>
      </c>
      <c r="C356" s="241" t="s">
        <v>220</v>
      </c>
      <c r="D356" s="201" t="s">
        <v>220</v>
      </c>
      <c r="E356" s="240">
        <v>0.4</v>
      </c>
      <c r="F356" s="241">
        <v>0.39</v>
      </c>
      <c r="G356" s="201">
        <f t="shared" ref="G356:G384" si="71">IF(AND(E356="",F356=""),"",IF(E356="off",F356,IF(F356="off",E356,AVERAGE(E356:F356))))</f>
        <v>0.39500000000000002</v>
      </c>
      <c r="H356" s="240">
        <v>0.41</v>
      </c>
      <c r="I356" s="241">
        <v>0.4</v>
      </c>
      <c r="J356" s="201">
        <f t="shared" si="66"/>
        <v>0.40500000000000003</v>
      </c>
      <c r="K356" s="194"/>
      <c r="L356" s="240">
        <v>0.48599999999999999</v>
      </c>
      <c r="M356" s="241">
        <v>0.40500000000000003</v>
      </c>
      <c r="N356" s="201">
        <f t="shared" si="67"/>
        <v>0.44550000000000001</v>
      </c>
      <c r="O356" s="240">
        <v>0.44900000000000001</v>
      </c>
      <c r="P356" s="241">
        <v>0.41</v>
      </c>
      <c r="Q356" s="201">
        <f t="shared" si="68"/>
        <v>0.42949999999999999</v>
      </c>
      <c r="R356" s="240">
        <v>0.44700000000000001</v>
      </c>
      <c r="S356" s="241">
        <v>0.40500000000000003</v>
      </c>
      <c r="T356" s="201">
        <f t="shared" si="69"/>
        <v>0.42600000000000005</v>
      </c>
      <c r="U356" s="240">
        <v>0</v>
      </c>
      <c r="V356" s="241">
        <v>0</v>
      </c>
      <c r="W356" s="201">
        <f t="shared" si="70"/>
        <v>0</v>
      </c>
    </row>
    <row r="357" spans="1:23" ht="15.75" x14ac:dyDescent="0.25">
      <c r="A357" s="31">
        <f>'M&amp;R Stations'!A339</f>
        <v>39298</v>
      </c>
      <c r="B357" s="240" t="s">
        <v>220</v>
      </c>
      <c r="C357" s="241" t="s">
        <v>220</v>
      </c>
      <c r="D357" s="201" t="s">
        <v>220</v>
      </c>
      <c r="E357" s="240">
        <v>0.42</v>
      </c>
      <c r="F357" s="241">
        <v>0.4</v>
      </c>
      <c r="G357" s="201">
        <f t="shared" si="71"/>
        <v>0.41000000000000003</v>
      </c>
      <c r="H357" s="240">
        <v>0.41</v>
      </c>
      <c r="I357" s="241">
        <v>0.4</v>
      </c>
      <c r="J357" s="201">
        <f t="shared" si="66"/>
        <v>0.40500000000000003</v>
      </c>
      <c r="K357" s="194"/>
      <c r="L357" s="240">
        <v>0.45900000000000002</v>
      </c>
      <c r="M357" s="241">
        <v>0.40500000000000003</v>
      </c>
      <c r="N357" s="201">
        <f t="shared" si="67"/>
        <v>0.43200000000000005</v>
      </c>
      <c r="O357" s="240">
        <v>0.48799999999999999</v>
      </c>
      <c r="P357" s="241">
        <v>0.41</v>
      </c>
      <c r="Q357" s="201">
        <f t="shared" si="68"/>
        <v>0.44899999999999995</v>
      </c>
      <c r="R357" s="240">
        <v>0.53300000000000003</v>
      </c>
      <c r="S357" s="241">
        <v>0.40500000000000003</v>
      </c>
      <c r="T357" s="201">
        <f t="shared" si="69"/>
        <v>0.46900000000000003</v>
      </c>
      <c r="U357" s="240">
        <v>0</v>
      </c>
      <c r="V357" s="241">
        <v>0</v>
      </c>
      <c r="W357" s="201">
        <f t="shared" si="70"/>
        <v>0</v>
      </c>
    </row>
    <row r="358" spans="1:23" ht="15.75" x14ac:dyDescent="0.25">
      <c r="A358" s="31">
        <f>'M&amp;R Stations'!A340</f>
        <v>39299</v>
      </c>
      <c r="B358" s="240" t="s">
        <v>220</v>
      </c>
      <c r="C358" s="241" t="s">
        <v>220</v>
      </c>
      <c r="D358" s="201" t="s">
        <v>220</v>
      </c>
      <c r="E358" s="240">
        <v>0.41</v>
      </c>
      <c r="F358" s="241">
        <v>0.38</v>
      </c>
      <c r="G358" s="201">
        <f t="shared" si="71"/>
        <v>0.39500000000000002</v>
      </c>
      <c r="H358" s="240">
        <v>0.41</v>
      </c>
      <c r="I358" s="241">
        <v>0.39</v>
      </c>
      <c r="J358" s="201">
        <f t="shared" si="66"/>
        <v>0.4</v>
      </c>
      <c r="K358" s="194"/>
      <c r="L358" s="240">
        <v>0.48599999999999999</v>
      </c>
      <c r="M358" s="241">
        <v>0.432</v>
      </c>
      <c r="N358" s="201">
        <f t="shared" si="67"/>
        <v>0.45899999999999996</v>
      </c>
      <c r="O358" s="240">
        <v>0.44900000000000001</v>
      </c>
      <c r="P358" s="241">
        <v>0.40899999999999997</v>
      </c>
      <c r="Q358" s="201">
        <f t="shared" si="68"/>
        <v>0.42899999999999999</v>
      </c>
      <c r="R358" s="240">
        <v>0.53200000000000003</v>
      </c>
      <c r="S358" s="241">
        <v>0.44700000000000001</v>
      </c>
      <c r="T358" s="201">
        <f t="shared" si="69"/>
        <v>0.48950000000000005</v>
      </c>
      <c r="U358" s="240">
        <v>0</v>
      </c>
      <c r="V358" s="241">
        <v>0</v>
      </c>
      <c r="W358" s="201">
        <f t="shared" si="70"/>
        <v>0</v>
      </c>
    </row>
    <row r="359" spans="1:23" ht="15.75" x14ac:dyDescent="0.25">
      <c r="A359" s="31">
        <f>'M&amp;R Stations'!A341</f>
        <v>39300</v>
      </c>
      <c r="B359" s="240" t="s">
        <v>220</v>
      </c>
      <c r="C359" s="241" t="s">
        <v>220</v>
      </c>
      <c r="D359" s="201" t="s">
        <v>220</v>
      </c>
      <c r="E359" s="240">
        <v>0.41</v>
      </c>
      <c r="F359" s="241">
        <v>0.39</v>
      </c>
      <c r="G359" s="201">
        <f t="shared" si="71"/>
        <v>0.4</v>
      </c>
      <c r="H359" s="240">
        <v>0.43</v>
      </c>
      <c r="I359" s="241">
        <v>0.39</v>
      </c>
      <c r="J359" s="201">
        <f t="shared" si="66"/>
        <v>0.41000000000000003</v>
      </c>
      <c r="K359" s="194"/>
      <c r="L359" s="240">
        <v>0.48599999999999999</v>
      </c>
      <c r="M359" s="241">
        <v>0.40500000000000003</v>
      </c>
      <c r="N359" s="201">
        <f t="shared" si="67"/>
        <v>0.44550000000000001</v>
      </c>
      <c r="O359" s="240">
        <v>0.48799999999999999</v>
      </c>
      <c r="P359" s="241">
        <v>0.40899999999999997</v>
      </c>
      <c r="Q359" s="201">
        <f t="shared" si="68"/>
        <v>0.44850000000000001</v>
      </c>
      <c r="R359" s="240">
        <v>0.53200000000000003</v>
      </c>
      <c r="S359" s="241">
        <v>0.44700000000000001</v>
      </c>
      <c r="T359" s="201">
        <f t="shared" si="69"/>
        <v>0.48950000000000005</v>
      </c>
      <c r="U359" s="240">
        <v>0</v>
      </c>
      <c r="V359" s="241">
        <v>0</v>
      </c>
      <c r="W359" s="201">
        <f t="shared" si="70"/>
        <v>0</v>
      </c>
    </row>
    <row r="360" spans="1:23" ht="15.75" x14ac:dyDescent="0.25">
      <c r="A360" s="31">
        <f>'M&amp;R Stations'!A342</f>
        <v>39301</v>
      </c>
      <c r="B360" s="240" t="s">
        <v>220</v>
      </c>
      <c r="C360" s="241" t="s">
        <v>220</v>
      </c>
      <c r="D360" s="201" t="s">
        <v>220</v>
      </c>
      <c r="E360" s="240">
        <v>0.41</v>
      </c>
      <c r="F360" s="241">
        <v>0.39</v>
      </c>
      <c r="G360" s="201">
        <f t="shared" si="71"/>
        <v>0.4</v>
      </c>
      <c r="H360" s="240">
        <v>0.4</v>
      </c>
      <c r="I360" s="241">
        <v>0.39</v>
      </c>
      <c r="J360" s="201">
        <f t="shared" si="66"/>
        <v>0.39500000000000002</v>
      </c>
      <c r="K360" s="194"/>
      <c r="L360" s="240">
        <v>0.48599999999999999</v>
      </c>
      <c r="M360" s="241">
        <v>0.432</v>
      </c>
      <c r="N360" s="201">
        <f t="shared" si="67"/>
        <v>0.45899999999999996</v>
      </c>
      <c r="O360" s="240">
        <v>0.48799999999999999</v>
      </c>
      <c r="P360" s="241">
        <v>0.42899999999999999</v>
      </c>
      <c r="Q360" s="201">
        <f t="shared" si="68"/>
        <v>0.45850000000000002</v>
      </c>
      <c r="R360" s="240">
        <v>0.55300000000000005</v>
      </c>
      <c r="S360" s="241">
        <v>0.51100000000000001</v>
      </c>
      <c r="T360" s="201">
        <f t="shared" si="69"/>
        <v>0.53200000000000003</v>
      </c>
      <c r="U360" s="240">
        <v>0</v>
      </c>
      <c r="V360" s="241">
        <v>0</v>
      </c>
      <c r="W360" s="201">
        <f t="shared" si="70"/>
        <v>0</v>
      </c>
    </row>
    <row r="361" spans="1:23" ht="15.75" x14ac:dyDescent="0.25">
      <c r="A361" s="31">
        <f>'M&amp;R Stations'!A343</f>
        <v>39302</v>
      </c>
      <c r="B361" s="240" t="s">
        <v>220</v>
      </c>
      <c r="C361" s="241" t="s">
        <v>220</v>
      </c>
      <c r="D361" s="201" t="s">
        <v>220</v>
      </c>
      <c r="E361" s="240">
        <v>0.41</v>
      </c>
      <c r="F361" s="241">
        <v>0.31</v>
      </c>
      <c r="G361" s="201">
        <f t="shared" si="71"/>
        <v>0.36</v>
      </c>
      <c r="H361" s="240">
        <v>0.41</v>
      </c>
      <c r="I361" s="241">
        <v>0.31</v>
      </c>
      <c r="J361" s="201">
        <f t="shared" si="66"/>
        <v>0.36</v>
      </c>
      <c r="K361" s="194"/>
      <c r="L361" s="240">
        <v>0.59399999999999997</v>
      </c>
      <c r="M361" s="241">
        <v>0.40500000000000003</v>
      </c>
      <c r="N361" s="201">
        <f t="shared" si="67"/>
        <v>0.4995</v>
      </c>
      <c r="O361" s="240">
        <v>0.46800000000000003</v>
      </c>
      <c r="P361" s="241">
        <v>0.40899999999999997</v>
      </c>
      <c r="Q361" s="201">
        <f t="shared" si="68"/>
        <v>0.4385</v>
      </c>
      <c r="R361" s="240">
        <v>0.55300000000000005</v>
      </c>
      <c r="S361" s="241">
        <v>0.51100000000000001</v>
      </c>
      <c r="T361" s="201">
        <f t="shared" si="69"/>
        <v>0.53200000000000003</v>
      </c>
      <c r="U361" s="240">
        <v>0</v>
      </c>
      <c r="V361" s="241">
        <v>0</v>
      </c>
      <c r="W361" s="201">
        <f t="shared" si="70"/>
        <v>0</v>
      </c>
    </row>
    <row r="362" spans="1:23" ht="15.75" x14ac:dyDescent="0.25">
      <c r="A362" s="31">
        <f>'M&amp;R Stations'!A344</f>
        <v>39303</v>
      </c>
      <c r="B362" s="240" t="s">
        <v>220</v>
      </c>
      <c r="C362" s="241" t="s">
        <v>220</v>
      </c>
      <c r="D362" s="201" t="s">
        <v>220</v>
      </c>
      <c r="E362" s="240">
        <v>0.41</v>
      </c>
      <c r="F362" s="241">
        <v>0.39</v>
      </c>
      <c r="G362" s="201">
        <f t="shared" si="71"/>
        <v>0.4</v>
      </c>
      <c r="H362" s="240">
        <v>0.42</v>
      </c>
      <c r="I362" s="241">
        <v>0.39</v>
      </c>
      <c r="J362" s="201">
        <f t="shared" si="66"/>
        <v>0.40500000000000003</v>
      </c>
      <c r="K362" s="194"/>
      <c r="L362" s="240">
        <v>0.59</v>
      </c>
      <c r="M362" s="241">
        <v>0.48599999999999999</v>
      </c>
      <c r="N362" s="201">
        <f t="shared" si="67"/>
        <v>0.53800000000000003</v>
      </c>
      <c r="O362" s="240">
        <v>0.48</v>
      </c>
      <c r="P362" s="241">
        <v>0.42899999999999999</v>
      </c>
      <c r="Q362" s="201">
        <f t="shared" si="68"/>
        <v>0.45450000000000002</v>
      </c>
      <c r="R362" s="240">
        <v>0.58799999999999997</v>
      </c>
      <c r="S362" s="241">
        <v>0.47</v>
      </c>
      <c r="T362" s="201">
        <f t="shared" si="69"/>
        <v>0.52899999999999991</v>
      </c>
      <c r="U362" s="240">
        <v>0</v>
      </c>
      <c r="V362" s="241">
        <v>0</v>
      </c>
      <c r="W362" s="201">
        <f t="shared" si="70"/>
        <v>0</v>
      </c>
    </row>
    <row r="363" spans="1:23" ht="15.75" x14ac:dyDescent="0.25">
      <c r="A363" s="31">
        <f>'M&amp;R Stations'!A345</f>
        <v>39304</v>
      </c>
      <c r="B363" s="240" t="s">
        <v>220</v>
      </c>
      <c r="C363" s="241" t="s">
        <v>220</v>
      </c>
      <c r="D363" s="201" t="s">
        <v>220</v>
      </c>
      <c r="E363" s="240">
        <v>0.42</v>
      </c>
      <c r="F363" s="241">
        <v>0.41</v>
      </c>
      <c r="G363" s="201">
        <f t="shared" si="71"/>
        <v>0.41499999999999998</v>
      </c>
      <c r="H363" s="240">
        <v>0.44</v>
      </c>
      <c r="I363" s="241">
        <v>0.4</v>
      </c>
      <c r="J363" s="201">
        <f t="shared" si="66"/>
        <v>0.42000000000000004</v>
      </c>
      <c r="K363" s="194"/>
      <c r="L363" s="240">
        <v>0.59</v>
      </c>
      <c r="M363" s="241">
        <v>0.47199999999999998</v>
      </c>
      <c r="N363" s="201">
        <f t="shared" si="67"/>
        <v>0.53099999999999992</v>
      </c>
      <c r="O363" s="240">
        <v>0.54500000000000004</v>
      </c>
      <c r="P363" s="241">
        <v>0.45700000000000002</v>
      </c>
      <c r="Q363" s="201">
        <f t="shared" si="68"/>
        <v>0.501</v>
      </c>
      <c r="R363" s="240">
        <v>0.63400000000000001</v>
      </c>
      <c r="S363" s="241">
        <v>0.56399999999999995</v>
      </c>
      <c r="T363" s="201">
        <f t="shared" si="69"/>
        <v>0.59899999999999998</v>
      </c>
      <c r="U363" s="240">
        <v>0</v>
      </c>
      <c r="V363" s="241">
        <v>0</v>
      </c>
      <c r="W363" s="201">
        <f t="shared" si="70"/>
        <v>0</v>
      </c>
    </row>
    <row r="364" spans="1:23" ht="15.75" x14ac:dyDescent="0.25">
      <c r="A364" s="31">
        <f>'M&amp;R Stations'!A346</f>
        <v>39305</v>
      </c>
      <c r="B364" s="240" t="s">
        <v>220</v>
      </c>
      <c r="C364" s="241" t="s">
        <v>220</v>
      </c>
      <c r="D364" s="201" t="s">
        <v>220</v>
      </c>
      <c r="E364" s="240">
        <v>0.42</v>
      </c>
      <c r="F364" s="241">
        <v>0.4</v>
      </c>
      <c r="G364" s="201">
        <f t="shared" si="71"/>
        <v>0.41000000000000003</v>
      </c>
      <c r="H364" s="240">
        <v>0.42</v>
      </c>
      <c r="I364" s="241">
        <v>0.4</v>
      </c>
      <c r="J364" s="201">
        <f t="shared" si="66"/>
        <v>0.41000000000000003</v>
      </c>
      <c r="K364" s="194"/>
      <c r="L364" s="240">
        <v>0.64900000000000002</v>
      </c>
      <c r="M364" s="241">
        <v>0.56100000000000005</v>
      </c>
      <c r="N364" s="201">
        <f t="shared" si="67"/>
        <v>0.60499999999999998</v>
      </c>
      <c r="O364" s="240">
        <v>0.52300000000000002</v>
      </c>
      <c r="P364" s="241">
        <v>0.501</v>
      </c>
      <c r="Q364" s="201">
        <f t="shared" si="68"/>
        <v>0.51200000000000001</v>
      </c>
      <c r="R364" s="240">
        <v>0.63500000000000001</v>
      </c>
      <c r="S364" s="241">
        <v>0.54100000000000004</v>
      </c>
      <c r="T364" s="201">
        <f t="shared" si="69"/>
        <v>0.58800000000000008</v>
      </c>
      <c r="U364" s="240">
        <v>0</v>
      </c>
      <c r="V364" s="241">
        <v>0</v>
      </c>
      <c r="W364" s="201">
        <f t="shared" si="70"/>
        <v>0</v>
      </c>
    </row>
    <row r="365" spans="1:23" ht="15.75" x14ac:dyDescent="0.25">
      <c r="A365" s="31">
        <f>'M&amp;R Stations'!A347</f>
        <v>39306</v>
      </c>
      <c r="B365" s="240" t="s">
        <v>220</v>
      </c>
      <c r="C365" s="241" t="s">
        <v>220</v>
      </c>
      <c r="D365" s="201" t="s">
        <v>220</v>
      </c>
      <c r="E365" s="240">
        <v>0.42</v>
      </c>
      <c r="F365" s="241">
        <v>0.4</v>
      </c>
      <c r="G365" s="201">
        <f t="shared" si="71"/>
        <v>0.41000000000000003</v>
      </c>
      <c r="H365" s="240">
        <v>0.42</v>
      </c>
      <c r="I365" s="241">
        <v>0.4</v>
      </c>
      <c r="J365" s="201">
        <f t="shared" si="66"/>
        <v>0.41000000000000003</v>
      </c>
      <c r="K365" s="194"/>
      <c r="L365" s="240">
        <v>0.62</v>
      </c>
      <c r="M365" s="241">
        <v>0.501</v>
      </c>
      <c r="N365" s="201">
        <f t="shared" si="67"/>
        <v>0.5605</v>
      </c>
      <c r="O365" s="240">
        <v>0.54</v>
      </c>
      <c r="P365" s="241">
        <v>0.48</v>
      </c>
      <c r="Q365" s="201">
        <f t="shared" si="68"/>
        <v>0.51</v>
      </c>
      <c r="R365" s="240">
        <v>0.63500000000000001</v>
      </c>
      <c r="S365" s="241">
        <v>0.52300000000000002</v>
      </c>
      <c r="T365" s="201">
        <f t="shared" si="69"/>
        <v>0.57899999999999996</v>
      </c>
      <c r="U365" s="240">
        <v>0</v>
      </c>
      <c r="V365" s="241">
        <v>0</v>
      </c>
      <c r="W365" s="201">
        <f t="shared" si="70"/>
        <v>0</v>
      </c>
    </row>
    <row r="366" spans="1:23" ht="15.75" x14ac:dyDescent="0.25">
      <c r="A366" s="31">
        <f>'M&amp;R Stations'!A348</f>
        <v>39307</v>
      </c>
      <c r="B366" s="240" t="s">
        <v>220</v>
      </c>
      <c r="C366" s="241" t="s">
        <v>220</v>
      </c>
      <c r="D366" s="201" t="s">
        <v>220</v>
      </c>
      <c r="E366" s="240">
        <v>0.42</v>
      </c>
      <c r="F366" s="241">
        <v>0.4</v>
      </c>
      <c r="G366" s="201">
        <f t="shared" si="71"/>
        <v>0.41000000000000003</v>
      </c>
      <c r="H366" s="240">
        <v>0.41</v>
      </c>
      <c r="I366" s="241">
        <v>0.4</v>
      </c>
      <c r="J366" s="201">
        <f t="shared" si="66"/>
        <v>0.40500000000000003</v>
      </c>
      <c r="K366" s="194"/>
      <c r="L366" s="240">
        <v>0.62</v>
      </c>
      <c r="M366" s="241">
        <v>0.56100000000000005</v>
      </c>
      <c r="N366" s="201">
        <f t="shared" si="67"/>
        <v>0.59050000000000002</v>
      </c>
      <c r="O366" s="240">
        <v>0.52400000000000002</v>
      </c>
      <c r="P366" s="241">
        <v>0.45800000000000002</v>
      </c>
      <c r="Q366" s="201">
        <f t="shared" si="68"/>
        <v>0.49099999999999999</v>
      </c>
      <c r="R366" s="240">
        <v>0.63500000000000001</v>
      </c>
      <c r="S366" s="241">
        <v>0.54100000000000004</v>
      </c>
      <c r="T366" s="201">
        <f t="shared" si="69"/>
        <v>0.58800000000000008</v>
      </c>
      <c r="U366" s="240">
        <v>0</v>
      </c>
      <c r="V366" s="241">
        <v>0</v>
      </c>
      <c r="W366" s="201">
        <f t="shared" si="70"/>
        <v>0</v>
      </c>
    </row>
    <row r="367" spans="1:23" ht="15.75" x14ac:dyDescent="0.25">
      <c r="A367" s="31">
        <f>'M&amp;R Stations'!A349</f>
        <v>39308</v>
      </c>
      <c r="B367" s="240" t="s">
        <v>220</v>
      </c>
      <c r="C367" s="241" t="s">
        <v>220</v>
      </c>
      <c r="D367" s="201" t="s">
        <v>220</v>
      </c>
      <c r="E367" s="240">
        <v>0.42</v>
      </c>
      <c r="F367" s="241">
        <v>0.4</v>
      </c>
      <c r="G367" s="201">
        <f t="shared" si="71"/>
        <v>0.41000000000000003</v>
      </c>
      <c r="H367" s="240">
        <v>0.41</v>
      </c>
      <c r="I367" s="241">
        <v>0.4</v>
      </c>
      <c r="J367" s="201">
        <f t="shared" si="66"/>
        <v>0.40500000000000003</v>
      </c>
      <c r="K367" s="194"/>
      <c r="L367" s="240">
        <v>0.62</v>
      </c>
      <c r="M367" s="241">
        <v>0.53100000000000003</v>
      </c>
      <c r="N367" s="201">
        <f t="shared" si="67"/>
        <v>0.57550000000000001</v>
      </c>
      <c r="O367" s="240">
        <v>0.501</v>
      </c>
      <c r="P367" s="241">
        <v>0.45800000000000002</v>
      </c>
      <c r="Q367" s="201">
        <f t="shared" si="68"/>
        <v>0.47950000000000004</v>
      </c>
      <c r="R367" s="240">
        <v>0.61099999999999999</v>
      </c>
      <c r="S367" s="241">
        <v>0.56399999999999995</v>
      </c>
      <c r="T367" s="201">
        <f t="shared" si="69"/>
        <v>0.58749999999999991</v>
      </c>
      <c r="U367" s="240">
        <v>0</v>
      </c>
      <c r="V367" s="241">
        <v>0</v>
      </c>
      <c r="W367" s="201">
        <f t="shared" si="70"/>
        <v>0</v>
      </c>
    </row>
    <row r="368" spans="1:23" ht="15.75" x14ac:dyDescent="0.25">
      <c r="A368" s="31">
        <f>'M&amp;R Stations'!A350</f>
        <v>39309</v>
      </c>
      <c r="B368" s="240" t="s">
        <v>220</v>
      </c>
      <c r="C368" s="241" t="s">
        <v>220</v>
      </c>
      <c r="D368" s="201" t="s">
        <v>220</v>
      </c>
      <c r="E368" s="240">
        <v>0.41</v>
      </c>
      <c r="F368" s="241">
        <v>0.39</v>
      </c>
      <c r="G368" s="201">
        <f t="shared" si="71"/>
        <v>0.4</v>
      </c>
      <c r="H368" s="240">
        <v>0.42</v>
      </c>
      <c r="I368" s="241">
        <v>0.39</v>
      </c>
      <c r="J368" s="201">
        <f t="shared" si="66"/>
        <v>0.40500000000000003</v>
      </c>
      <c r="K368" s="194"/>
      <c r="L368" s="240">
        <v>0.64900000000000002</v>
      </c>
      <c r="M368" s="241">
        <v>0.53100000000000003</v>
      </c>
      <c r="N368" s="201">
        <f t="shared" si="67"/>
        <v>0.59000000000000008</v>
      </c>
      <c r="O368" s="240">
        <v>0.45800000000000002</v>
      </c>
      <c r="P368" s="241">
        <v>0.436</v>
      </c>
      <c r="Q368" s="201">
        <f t="shared" si="68"/>
        <v>0.44700000000000001</v>
      </c>
      <c r="R368" s="240">
        <v>0.51700000000000002</v>
      </c>
      <c r="S368" s="241">
        <v>0.42299999999999999</v>
      </c>
      <c r="T368" s="201">
        <f t="shared" si="69"/>
        <v>0.47</v>
      </c>
      <c r="U368" s="240">
        <v>0</v>
      </c>
      <c r="V368" s="241">
        <v>0</v>
      </c>
      <c r="W368" s="201">
        <f t="shared" si="70"/>
        <v>0</v>
      </c>
    </row>
    <row r="369" spans="1:23" ht="15.75" x14ac:dyDescent="0.25">
      <c r="A369" s="31">
        <f>'M&amp;R Stations'!A351</f>
        <v>39310</v>
      </c>
      <c r="B369" s="240" t="s">
        <v>220</v>
      </c>
      <c r="C369" s="241" t="s">
        <v>220</v>
      </c>
      <c r="D369" s="201" t="s">
        <v>220</v>
      </c>
      <c r="E369" s="240">
        <v>0.41</v>
      </c>
      <c r="F369" s="241">
        <v>0.4</v>
      </c>
      <c r="G369" s="201">
        <f t="shared" si="71"/>
        <v>0.40500000000000003</v>
      </c>
      <c r="H369" s="240">
        <v>0.41</v>
      </c>
      <c r="I369" s="241">
        <v>0.4</v>
      </c>
      <c r="J369" s="201">
        <f t="shared" si="66"/>
        <v>0.40500000000000003</v>
      </c>
      <c r="K369" s="194"/>
      <c r="L369" s="240">
        <v>0.56100000000000005</v>
      </c>
      <c r="M369" s="241">
        <v>0.45</v>
      </c>
      <c r="N369" s="201">
        <f t="shared" si="67"/>
        <v>0.50550000000000006</v>
      </c>
      <c r="O369" s="240">
        <v>0.46</v>
      </c>
      <c r="P369" s="241">
        <v>0.41599999999999998</v>
      </c>
      <c r="Q369" s="201">
        <f t="shared" si="68"/>
        <v>0.438</v>
      </c>
      <c r="R369" s="240">
        <v>0.55400000000000005</v>
      </c>
      <c r="S369" s="241">
        <v>0.42299999999999999</v>
      </c>
      <c r="T369" s="201">
        <f t="shared" si="69"/>
        <v>0.48850000000000005</v>
      </c>
      <c r="U369" s="240">
        <v>0</v>
      </c>
      <c r="V369" s="241">
        <v>0</v>
      </c>
      <c r="W369" s="201">
        <f t="shared" si="70"/>
        <v>0</v>
      </c>
    </row>
    <row r="370" spans="1:23" ht="15.75" x14ac:dyDescent="0.25">
      <c r="A370" s="31">
        <f>'M&amp;R Stations'!A352</f>
        <v>39311</v>
      </c>
      <c r="B370" s="240" t="s">
        <v>220</v>
      </c>
      <c r="C370" s="241" t="s">
        <v>220</v>
      </c>
      <c r="D370" s="201" t="s">
        <v>220</v>
      </c>
      <c r="E370" s="240">
        <v>0.43</v>
      </c>
      <c r="F370" s="241">
        <v>0.41</v>
      </c>
      <c r="G370" s="201">
        <f t="shared" si="71"/>
        <v>0.42</v>
      </c>
      <c r="H370" s="240">
        <v>0.43</v>
      </c>
      <c r="I370" s="241">
        <v>0.41</v>
      </c>
      <c r="J370" s="201">
        <f t="shared" si="66"/>
        <v>0.42</v>
      </c>
      <c r="K370" s="194"/>
      <c r="L370" s="240">
        <v>0.495</v>
      </c>
      <c r="M370" s="241">
        <v>0.42699999999999999</v>
      </c>
      <c r="N370" s="201">
        <f t="shared" si="67"/>
        <v>0.46099999999999997</v>
      </c>
      <c r="O370" s="240">
        <v>0.48199999999999998</v>
      </c>
      <c r="P370" s="241">
        <v>0.438</v>
      </c>
      <c r="Q370" s="201">
        <f t="shared" si="68"/>
        <v>0.45999999999999996</v>
      </c>
      <c r="R370" s="240">
        <v>0.57999999999999996</v>
      </c>
      <c r="S370" s="241">
        <v>0.504</v>
      </c>
      <c r="T370" s="201">
        <f t="shared" si="69"/>
        <v>0.54200000000000004</v>
      </c>
      <c r="U370" s="240">
        <v>0</v>
      </c>
      <c r="V370" s="241">
        <v>0</v>
      </c>
      <c r="W370" s="201">
        <f t="shared" si="70"/>
        <v>0</v>
      </c>
    </row>
    <row r="371" spans="1:23" ht="15.75" x14ac:dyDescent="0.25">
      <c r="A371" s="31">
        <f>'M&amp;R Stations'!A353</f>
        <v>39312</v>
      </c>
      <c r="B371" s="240" t="s">
        <v>220</v>
      </c>
      <c r="C371" s="241" t="s">
        <v>220</v>
      </c>
      <c r="D371" s="201" t="s">
        <v>220</v>
      </c>
      <c r="E371" s="240">
        <v>0.44</v>
      </c>
      <c r="F371" s="241">
        <v>0.42</v>
      </c>
      <c r="G371" s="201">
        <f t="shared" si="71"/>
        <v>0.43</v>
      </c>
      <c r="H371" s="240">
        <v>0.43</v>
      </c>
      <c r="I371" s="241">
        <v>0.41</v>
      </c>
      <c r="J371" s="201">
        <f t="shared" si="66"/>
        <v>0.42</v>
      </c>
      <c r="K371" s="194"/>
      <c r="L371" s="240">
        <v>0.51800000000000002</v>
      </c>
      <c r="M371" s="241">
        <v>0.47199999999999998</v>
      </c>
      <c r="N371" s="201">
        <f t="shared" si="67"/>
        <v>0.495</v>
      </c>
      <c r="O371" s="240">
        <v>0.504</v>
      </c>
      <c r="P371" s="241">
        <v>0.41599999999999998</v>
      </c>
      <c r="Q371" s="201">
        <f t="shared" si="68"/>
        <v>0.45999999999999996</v>
      </c>
      <c r="R371" s="240">
        <v>0.57999999999999996</v>
      </c>
      <c r="S371" s="241">
        <v>0.52900000000000003</v>
      </c>
      <c r="T371" s="201">
        <f t="shared" si="69"/>
        <v>0.55449999999999999</v>
      </c>
      <c r="U371" s="240">
        <v>0</v>
      </c>
      <c r="V371" s="241">
        <v>0</v>
      </c>
      <c r="W371" s="201">
        <f t="shared" si="70"/>
        <v>0</v>
      </c>
    </row>
    <row r="372" spans="1:23" ht="15.75" x14ac:dyDescent="0.25">
      <c r="A372" s="31">
        <f>'M&amp;R Stations'!A354</f>
        <v>39313</v>
      </c>
      <c r="B372" s="240" t="s">
        <v>220</v>
      </c>
      <c r="C372" s="241" t="s">
        <v>220</v>
      </c>
      <c r="D372" s="201" t="s">
        <v>220</v>
      </c>
      <c r="E372" s="240">
        <v>0.44</v>
      </c>
      <c r="F372" s="241">
        <v>0.42</v>
      </c>
      <c r="G372" s="201">
        <f t="shared" si="71"/>
        <v>0.43</v>
      </c>
      <c r="H372" s="240">
        <v>0.43</v>
      </c>
      <c r="I372" s="241">
        <v>0.42</v>
      </c>
      <c r="J372" s="201">
        <f t="shared" si="66"/>
        <v>0.42499999999999999</v>
      </c>
      <c r="K372" s="194"/>
      <c r="L372" s="240">
        <v>0.495</v>
      </c>
      <c r="M372" s="241">
        <v>0.40500000000000003</v>
      </c>
      <c r="N372" s="201">
        <f t="shared" si="67"/>
        <v>0.45</v>
      </c>
      <c r="O372" s="240">
        <v>0.54800000000000004</v>
      </c>
      <c r="P372" s="241">
        <v>0.45900000000000002</v>
      </c>
      <c r="Q372" s="201">
        <f t="shared" si="68"/>
        <v>0.50350000000000006</v>
      </c>
      <c r="R372" s="240">
        <v>0.57899999999999996</v>
      </c>
      <c r="S372" s="241">
        <v>0.52900000000000003</v>
      </c>
      <c r="T372" s="201">
        <f t="shared" si="69"/>
        <v>0.55400000000000005</v>
      </c>
      <c r="U372" s="240">
        <v>0</v>
      </c>
      <c r="V372" s="241">
        <v>0</v>
      </c>
      <c r="W372" s="201">
        <f t="shared" si="70"/>
        <v>0</v>
      </c>
    </row>
    <row r="373" spans="1:23" ht="15.75" x14ac:dyDescent="0.25">
      <c r="A373" s="31">
        <f>'M&amp;R Stations'!A355</f>
        <v>39314</v>
      </c>
      <c r="B373" s="240" t="s">
        <v>220</v>
      </c>
      <c r="C373" s="241" t="s">
        <v>220</v>
      </c>
      <c r="D373" s="201" t="s">
        <v>220</v>
      </c>
      <c r="E373" s="240">
        <v>0.44</v>
      </c>
      <c r="F373" s="241">
        <v>0.42</v>
      </c>
      <c r="G373" s="201">
        <f t="shared" si="71"/>
        <v>0.43</v>
      </c>
      <c r="H373" s="240">
        <v>0.46</v>
      </c>
      <c r="I373" s="241">
        <v>0.43</v>
      </c>
      <c r="J373" s="201">
        <f t="shared" si="66"/>
        <v>0.44500000000000001</v>
      </c>
      <c r="K373" s="194"/>
      <c r="L373" s="240">
        <v>0.5</v>
      </c>
      <c r="M373" s="241">
        <v>0.41</v>
      </c>
      <c r="N373" s="201">
        <f t="shared" si="67"/>
        <v>0.45499999999999996</v>
      </c>
      <c r="O373" s="240">
        <v>0.5</v>
      </c>
      <c r="P373" s="241">
        <v>0.42</v>
      </c>
      <c r="Q373" s="201">
        <f t="shared" si="68"/>
        <v>0.45999999999999996</v>
      </c>
      <c r="R373" s="240">
        <v>0.61</v>
      </c>
      <c r="S373" s="241">
        <v>0.5</v>
      </c>
      <c r="T373" s="201">
        <f t="shared" si="69"/>
        <v>0.55499999999999994</v>
      </c>
      <c r="U373" s="240">
        <v>0</v>
      </c>
      <c r="V373" s="241">
        <v>0</v>
      </c>
      <c r="W373" s="201">
        <f t="shared" si="70"/>
        <v>0</v>
      </c>
    </row>
    <row r="374" spans="1:23" ht="15.75" x14ac:dyDescent="0.25">
      <c r="A374" s="31">
        <f>'M&amp;R Stations'!A356</f>
        <v>39315</v>
      </c>
      <c r="B374" s="240" t="s">
        <v>220</v>
      </c>
      <c r="C374" s="241" t="s">
        <v>220</v>
      </c>
      <c r="D374" s="201" t="s">
        <v>220</v>
      </c>
      <c r="E374" s="240">
        <v>0.47</v>
      </c>
      <c r="F374" s="241">
        <v>0.41</v>
      </c>
      <c r="G374" s="201">
        <f t="shared" si="71"/>
        <v>0.43999999999999995</v>
      </c>
      <c r="H374" s="240">
        <v>0.43</v>
      </c>
      <c r="I374" s="241">
        <v>0.42</v>
      </c>
      <c r="J374" s="201">
        <f t="shared" si="66"/>
        <v>0.42499999999999999</v>
      </c>
      <c r="K374" s="194"/>
      <c r="L374" s="240">
        <v>0.52</v>
      </c>
      <c r="M374" s="241">
        <v>0.45</v>
      </c>
      <c r="N374" s="201">
        <f t="shared" si="67"/>
        <v>0.48499999999999999</v>
      </c>
      <c r="O374" s="240">
        <v>0.53</v>
      </c>
      <c r="P374" s="241">
        <v>0.48</v>
      </c>
      <c r="Q374" s="201">
        <f t="shared" si="68"/>
        <v>0.505</v>
      </c>
      <c r="R374" s="240">
        <v>0.63</v>
      </c>
      <c r="S374" s="241">
        <v>0.55000000000000004</v>
      </c>
      <c r="T374" s="201">
        <f t="shared" si="69"/>
        <v>0.59000000000000008</v>
      </c>
      <c r="U374" s="240">
        <v>0</v>
      </c>
      <c r="V374" s="241">
        <v>0</v>
      </c>
      <c r="W374" s="201">
        <f t="shared" si="70"/>
        <v>0</v>
      </c>
    </row>
    <row r="375" spans="1:23" ht="15.75" x14ac:dyDescent="0.25">
      <c r="A375" s="31">
        <f>'M&amp;R Stations'!A357</f>
        <v>39316</v>
      </c>
      <c r="B375" s="240" t="s">
        <v>220</v>
      </c>
      <c r="C375" s="241" t="s">
        <v>220</v>
      </c>
      <c r="D375" s="201" t="s">
        <v>220</v>
      </c>
      <c r="E375" s="240">
        <v>0.44</v>
      </c>
      <c r="F375" s="241">
        <v>0.42</v>
      </c>
      <c r="G375" s="201">
        <f t="shared" si="71"/>
        <v>0.43</v>
      </c>
      <c r="H375" s="240">
        <v>0.43</v>
      </c>
      <c r="I375" s="241">
        <v>0.42</v>
      </c>
      <c r="J375" s="201">
        <f t="shared" si="66"/>
        <v>0.42499999999999999</v>
      </c>
      <c r="K375" s="194"/>
      <c r="L375" s="240">
        <v>0.5</v>
      </c>
      <c r="M375" s="241">
        <v>0.43</v>
      </c>
      <c r="N375" s="201">
        <f t="shared" si="67"/>
        <v>0.46499999999999997</v>
      </c>
      <c r="O375" s="240">
        <v>0.53</v>
      </c>
      <c r="P375" s="241">
        <v>0.48</v>
      </c>
      <c r="Q375" s="201">
        <f t="shared" si="68"/>
        <v>0.505</v>
      </c>
      <c r="R375" s="240">
        <v>0.63</v>
      </c>
      <c r="S375" s="241">
        <v>0.55000000000000004</v>
      </c>
      <c r="T375" s="201">
        <f t="shared" si="69"/>
        <v>0.59000000000000008</v>
      </c>
      <c r="U375" s="240">
        <v>0</v>
      </c>
      <c r="V375" s="241">
        <v>0</v>
      </c>
      <c r="W375" s="201">
        <f t="shared" si="70"/>
        <v>0</v>
      </c>
    </row>
    <row r="376" spans="1:23" ht="15.75" x14ac:dyDescent="0.25">
      <c r="A376" s="31">
        <f>'M&amp;R Stations'!A358</f>
        <v>39317</v>
      </c>
      <c r="B376" s="240" t="s">
        <v>220</v>
      </c>
      <c r="C376" s="241" t="s">
        <v>220</v>
      </c>
      <c r="D376" s="201" t="s">
        <v>220</v>
      </c>
      <c r="E376" s="240">
        <v>0.45</v>
      </c>
      <c r="F376" s="241">
        <v>0.42</v>
      </c>
      <c r="G376" s="201">
        <f t="shared" si="71"/>
        <v>0.435</v>
      </c>
      <c r="H376" s="240">
        <v>0.44</v>
      </c>
      <c r="I376" s="241">
        <v>0.42</v>
      </c>
      <c r="J376" s="201">
        <f t="shared" si="66"/>
        <v>0.43</v>
      </c>
      <c r="K376" s="194"/>
      <c r="L376" s="240">
        <v>0.45</v>
      </c>
      <c r="M376" s="241">
        <v>0.40500000000000003</v>
      </c>
      <c r="N376" s="201">
        <f t="shared" si="67"/>
        <v>0.42749999999999999</v>
      </c>
      <c r="O376" s="240">
        <v>0.54800000000000004</v>
      </c>
      <c r="P376" s="241">
        <v>0.504</v>
      </c>
      <c r="Q376" s="201">
        <f t="shared" si="68"/>
        <v>0.52600000000000002</v>
      </c>
      <c r="R376" s="240">
        <v>0.60499999999999998</v>
      </c>
      <c r="S376" s="241">
        <v>0.55400000000000005</v>
      </c>
      <c r="T376" s="201">
        <f t="shared" si="69"/>
        <v>0.57950000000000002</v>
      </c>
      <c r="U376" s="240">
        <v>0</v>
      </c>
      <c r="V376" s="241">
        <v>0</v>
      </c>
      <c r="W376" s="201">
        <f t="shared" si="70"/>
        <v>0</v>
      </c>
    </row>
    <row r="377" spans="1:23" ht="15.75" x14ac:dyDescent="0.25">
      <c r="A377" s="31">
        <f>'M&amp;R Stations'!A359</f>
        <v>39318</v>
      </c>
      <c r="B377" s="240" t="s">
        <v>220</v>
      </c>
      <c r="C377" s="241" t="s">
        <v>220</v>
      </c>
      <c r="D377" s="201" t="s">
        <v>220</v>
      </c>
      <c r="E377" s="240">
        <v>0.44</v>
      </c>
      <c r="F377" s="241">
        <v>0.42</v>
      </c>
      <c r="G377" s="201">
        <f t="shared" si="71"/>
        <v>0.43</v>
      </c>
      <c r="H377" s="240">
        <v>0.43</v>
      </c>
      <c r="I377" s="241">
        <v>0.42</v>
      </c>
      <c r="J377" s="201">
        <f t="shared" si="66"/>
        <v>0.42499999999999999</v>
      </c>
      <c r="K377" s="194"/>
      <c r="L377" s="240">
        <v>0.42799999999999999</v>
      </c>
      <c r="M377" s="241">
        <v>0.36</v>
      </c>
      <c r="N377" s="201">
        <f t="shared" si="67"/>
        <v>0.39400000000000002</v>
      </c>
      <c r="O377" s="240">
        <v>0.52600000000000002</v>
      </c>
      <c r="P377" s="241">
        <v>0.24399999999999999</v>
      </c>
      <c r="Q377" s="201">
        <f t="shared" si="68"/>
        <v>0.38500000000000001</v>
      </c>
      <c r="R377" s="240">
        <v>0.57999999999999996</v>
      </c>
      <c r="S377" s="241">
        <v>0.28699999999999998</v>
      </c>
      <c r="T377" s="201">
        <f t="shared" si="69"/>
        <v>0.4335</v>
      </c>
      <c r="U377" s="240">
        <v>0</v>
      </c>
      <c r="V377" s="241">
        <v>0</v>
      </c>
      <c r="W377" s="201">
        <f t="shared" si="70"/>
        <v>0</v>
      </c>
    </row>
    <row r="378" spans="1:23" ht="15.75" x14ac:dyDescent="0.25">
      <c r="A378" s="31">
        <f>'M&amp;R Stations'!A360</f>
        <v>39319</v>
      </c>
      <c r="B378" s="240" t="s">
        <v>220</v>
      </c>
      <c r="C378" s="241" t="s">
        <v>220</v>
      </c>
      <c r="D378" s="201" t="s">
        <v>220</v>
      </c>
      <c r="E378" s="240">
        <v>0.44</v>
      </c>
      <c r="F378" s="241">
        <v>0.41</v>
      </c>
      <c r="G378" s="201">
        <f t="shared" si="71"/>
        <v>0.42499999999999999</v>
      </c>
      <c r="H378" s="240">
        <v>0.42</v>
      </c>
      <c r="I378" s="241">
        <v>0.41</v>
      </c>
      <c r="J378" s="201">
        <f t="shared" si="66"/>
        <v>0.41499999999999998</v>
      </c>
      <c r="K378" s="194"/>
      <c r="L378" s="240">
        <v>0.38</v>
      </c>
      <c r="M378" s="241">
        <v>0.32</v>
      </c>
      <c r="N378" s="201">
        <f t="shared" si="67"/>
        <v>0.35</v>
      </c>
      <c r="O378" s="240">
        <v>0.29299999999999998</v>
      </c>
      <c r="P378" s="241">
        <v>0.28100000000000003</v>
      </c>
      <c r="Q378" s="201">
        <f t="shared" si="68"/>
        <v>0.28700000000000003</v>
      </c>
      <c r="R378" s="240">
        <v>0.35599999999999998</v>
      </c>
      <c r="S378" s="241">
        <v>0.32900000000000001</v>
      </c>
      <c r="T378" s="201">
        <f t="shared" si="69"/>
        <v>0.34250000000000003</v>
      </c>
      <c r="U378" s="240">
        <v>0</v>
      </c>
      <c r="V378" s="241">
        <v>0</v>
      </c>
      <c r="W378" s="201">
        <f t="shared" si="70"/>
        <v>0</v>
      </c>
    </row>
    <row r="379" spans="1:23" ht="15.75" x14ac:dyDescent="0.25">
      <c r="A379" s="31">
        <f>'M&amp;R Stations'!A361</f>
        <v>39320</v>
      </c>
      <c r="B379" s="240" t="s">
        <v>220</v>
      </c>
      <c r="C379" s="241" t="s">
        <v>220</v>
      </c>
      <c r="D379" s="201" t="s">
        <v>220</v>
      </c>
      <c r="E379" s="240">
        <v>0.44</v>
      </c>
      <c r="F379" s="241">
        <v>0.43</v>
      </c>
      <c r="G379" s="201">
        <f t="shared" si="71"/>
        <v>0.435</v>
      </c>
      <c r="H379" s="240">
        <v>0.44</v>
      </c>
      <c r="I379" s="241">
        <v>0.42</v>
      </c>
      <c r="J379" s="201">
        <f t="shared" si="66"/>
        <v>0.43</v>
      </c>
      <c r="K379" s="194"/>
      <c r="L379" s="240">
        <v>0.4</v>
      </c>
      <c r="M379" s="241">
        <v>0.38</v>
      </c>
      <c r="N379" s="201">
        <f t="shared" si="67"/>
        <v>0.39</v>
      </c>
      <c r="O379" s="240">
        <v>0.30499999999999999</v>
      </c>
      <c r="P379" s="241">
        <v>0.28000000000000003</v>
      </c>
      <c r="Q379" s="201">
        <f t="shared" si="68"/>
        <v>0.29249999999999998</v>
      </c>
      <c r="R379" s="240">
        <v>0.35599999999999998</v>
      </c>
      <c r="S379" s="241">
        <v>0.30099999999999999</v>
      </c>
      <c r="T379" s="201">
        <f t="shared" si="69"/>
        <v>0.32850000000000001</v>
      </c>
      <c r="U379" s="240">
        <v>0</v>
      </c>
      <c r="V379" s="241">
        <v>0</v>
      </c>
      <c r="W379" s="201">
        <f t="shared" si="70"/>
        <v>0</v>
      </c>
    </row>
    <row r="380" spans="1:23" ht="15.75" x14ac:dyDescent="0.25">
      <c r="A380" s="31">
        <f>'M&amp;R Stations'!A362</f>
        <v>39321</v>
      </c>
      <c r="B380" s="240" t="s">
        <v>220</v>
      </c>
      <c r="C380" s="241" t="s">
        <v>220</v>
      </c>
      <c r="D380" s="201" t="s">
        <v>220</v>
      </c>
      <c r="E380" s="240">
        <v>0.45</v>
      </c>
      <c r="F380" s="241">
        <v>0.43</v>
      </c>
      <c r="G380" s="201">
        <f t="shared" si="71"/>
        <v>0.44</v>
      </c>
      <c r="H380" s="240">
        <v>0.44</v>
      </c>
      <c r="I380" s="241">
        <v>0.43</v>
      </c>
      <c r="J380" s="201">
        <f t="shared" si="66"/>
        <v>0.435</v>
      </c>
      <c r="K380" s="194"/>
      <c r="L380" s="240">
        <v>0.4</v>
      </c>
      <c r="M380" s="241">
        <v>0.38</v>
      </c>
      <c r="N380" s="201">
        <f t="shared" si="67"/>
        <v>0.39</v>
      </c>
      <c r="O380" s="240">
        <v>0.30499999999999999</v>
      </c>
      <c r="P380" s="241">
        <v>0.24399999999999999</v>
      </c>
      <c r="Q380" s="201">
        <f t="shared" si="68"/>
        <v>0.27449999999999997</v>
      </c>
      <c r="R380" s="240">
        <v>0.34300000000000003</v>
      </c>
      <c r="S380" s="241">
        <v>0.30099999999999999</v>
      </c>
      <c r="T380" s="201">
        <f t="shared" si="69"/>
        <v>0.32200000000000001</v>
      </c>
      <c r="U380" s="240">
        <v>0</v>
      </c>
      <c r="V380" s="241">
        <v>0</v>
      </c>
      <c r="W380" s="201">
        <f t="shared" si="70"/>
        <v>0</v>
      </c>
    </row>
    <row r="381" spans="1:23" ht="15.75" x14ac:dyDescent="0.25">
      <c r="A381" s="31">
        <f>'M&amp;R Stations'!A363</f>
        <v>39322</v>
      </c>
      <c r="B381" s="240" t="s">
        <v>220</v>
      </c>
      <c r="C381" s="241" t="s">
        <v>220</v>
      </c>
      <c r="D381" s="201" t="s">
        <v>220</v>
      </c>
      <c r="E381" s="240">
        <v>0.44</v>
      </c>
      <c r="F381" s="241">
        <v>0.43</v>
      </c>
      <c r="G381" s="201">
        <f t="shared" si="71"/>
        <v>0.435</v>
      </c>
      <c r="H381" s="240">
        <v>0.44</v>
      </c>
      <c r="I381" s="241">
        <v>0.42</v>
      </c>
      <c r="J381" s="201">
        <f t="shared" si="66"/>
        <v>0.43</v>
      </c>
      <c r="K381" s="194"/>
      <c r="L381" s="240">
        <v>0.4</v>
      </c>
      <c r="M381" s="241">
        <v>0.36</v>
      </c>
      <c r="N381" s="201">
        <f t="shared" si="67"/>
        <v>0.38</v>
      </c>
      <c r="O381" s="240">
        <v>0.317</v>
      </c>
      <c r="P381" s="241">
        <v>0.26800000000000002</v>
      </c>
      <c r="Q381" s="201">
        <f t="shared" si="68"/>
        <v>0.29249999999999998</v>
      </c>
      <c r="R381" s="240">
        <v>0.35599999999999998</v>
      </c>
      <c r="S381" s="241">
        <v>0.315</v>
      </c>
      <c r="T381" s="201">
        <f t="shared" si="69"/>
        <v>0.33550000000000002</v>
      </c>
      <c r="U381" s="240">
        <v>0</v>
      </c>
      <c r="V381" s="241">
        <v>0</v>
      </c>
      <c r="W381" s="201">
        <f t="shared" si="70"/>
        <v>0</v>
      </c>
    </row>
    <row r="382" spans="1:23" ht="15.75" x14ac:dyDescent="0.25">
      <c r="A382" s="31">
        <f>'M&amp;R Stations'!A364</f>
        <v>39323</v>
      </c>
      <c r="B382" s="240" t="s">
        <v>220</v>
      </c>
      <c r="C382" s="241" t="s">
        <v>220</v>
      </c>
      <c r="D382" s="201" t="s">
        <v>220</v>
      </c>
      <c r="E382" s="240">
        <v>0.45</v>
      </c>
      <c r="F382" s="241">
        <v>0.42</v>
      </c>
      <c r="G382" s="201">
        <f t="shared" si="71"/>
        <v>0.435</v>
      </c>
      <c r="H382" s="240">
        <v>0.44</v>
      </c>
      <c r="I382" s="241">
        <v>0.42</v>
      </c>
      <c r="J382" s="201">
        <f t="shared" si="66"/>
        <v>0.43</v>
      </c>
      <c r="K382" s="194"/>
      <c r="L382" s="240">
        <v>0.4</v>
      </c>
      <c r="M382" s="241">
        <v>0.32</v>
      </c>
      <c r="N382" s="201">
        <f t="shared" si="67"/>
        <v>0.36</v>
      </c>
      <c r="O382" s="240">
        <v>0.36799999999999999</v>
      </c>
      <c r="P382" s="241">
        <v>0.26800000000000002</v>
      </c>
      <c r="Q382" s="201">
        <f t="shared" si="68"/>
        <v>0.318</v>
      </c>
      <c r="R382" s="240">
        <v>0.35599999999999998</v>
      </c>
      <c r="S382" s="241">
        <v>0.30099999999999999</v>
      </c>
      <c r="T382" s="201">
        <f t="shared" si="69"/>
        <v>0.32850000000000001</v>
      </c>
      <c r="U382" s="240">
        <v>0</v>
      </c>
      <c r="V382" s="241">
        <v>0</v>
      </c>
      <c r="W382" s="201">
        <f t="shared" si="70"/>
        <v>0</v>
      </c>
    </row>
    <row r="383" spans="1:23" ht="15.75" x14ac:dyDescent="0.25">
      <c r="A383" s="31">
        <f>'M&amp;R Stations'!A365</f>
        <v>39324</v>
      </c>
      <c r="B383" s="240" t="s">
        <v>220</v>
      </c>
      <c r="C383" s="241" t="s">
        <v>220</v>
      </c>
      <c r="D383" s="201" t="s">
        <v>220</v>
      </c>
      <c r="E383" s="240">
        <v>0.45</v>
      </c>
      <c r="F383" s="241">
        <v>0.42</v>
      </c>
      <c r="G383" s="201">
        <f t="shared" si="71"/>
        <v>0.435</v>
      </c>
      <c r="H383" s="240">
        <v>0.44</v>
      </c>
      <c r="I383" s="241">
        <v>0.42</v>
      </c>
      <c r="J383" s="201">
        <f t="shared" si="66"/>
        <v>0.43</v>
      </c>
      <c r="K383" s="194"/>
      <c r="L383" s="240">
        <v>0.41599999999999998</v>
      </c>
      <c r="M383" s="241">
        <v>0.32</v>
      </c>
      <c r="N383" s="201">
        <f t="shared" si="67"/>
        <v>0.36799999999999999</v>
      </c>
      <c r="O383" s="240">
        <v>0.28100000000000003</v>
      </c>
      <c r="P383" s="241">
        <v>0.24399999999999999</v>
      </c>
      <c r="Q383" s="201">
        <f t="shared" si="68"/>
        <v>0.26250000000000001</v>
      </c>
      <c r="R383" s="240">
        <v>0.34300000000000003</v>
      </c>
      <c r="S383" s="241">
        <v>0.28699999999999998</v>
      </c>
      <c r="T383" s="201">
        <f t="shared" si="69"/>
        <v>0.315</v>
      </c>
      <c r="U383" s="240">
        <v>0</v>
      </c>
      <c r="V383" s="241">
        <v>0</v>
      </c>
      <c r="W383" s="201">
        <f t="shared" si="70"/>
        <v>0</v>
      </c>
    </row>
    <row r="384" spans="1:23" ht="15.75" x14ac:dyDescent="0.25">
      <c r="A384" s="214">
        <f>'M&amp;R Stations'!A366</f>
        <v>39325</v>
      </c>
      <c r="B384" s="240" t="s">
        <v>220</v>
      </c>
      <c r="C384" s="241" t="s">
        <v>220</v>
      </c>
      <c r="D384" s="201" t="s">
        <v>220</v>
      </c>
      <c r="E384" s="243">
        <v>0.45</v>
      </c>
      <c r="F384" s="244">
        <v>0.41</v>
      </c>
      <c r="G384" s="201">
        <f t="shared" si="71"/>
        <v>0.43</v>
      </c>
      <c r="H384" s="243">
        <v>0.44</v>
      </c>
      <c r="I384" s="244">
        <v>0.43</v>
      </c>
      <c r="J384" s="201">
        <f t="shared" si="66"/>
        <v>0.435</v>
      </c>
      <c r="K384" s="194"/>
      <c r="L384" s="243">
        <v>0.438</v>
      </c>
      <c r="M384" s="244">
        <v>0.35</v>
      </c>
      <c r="N384" s="201">
        <f t="shared" si="67"/>
        <v>0.39400000000000002</v>
      </c>
      <c r="O384" s="243">
        <v>0.495</v>
      </c>
      <c r="P384" s="244">
        <v>0.248</v>
      </c>
      <c r="Q384" s="201">
        <f t="shared" si="68"/>
        <v>0.3715</v>
      </c>
      <c r="R384" s="243">
        <v>0.39800000000000002</v>
      </c>
      <c r="S384" s="244">
        <v>0.30599999999999999</v>
      </c>
      <c r="T384" s="201">
        <f t="shared" si="69"/>
        <v>0.35199999999999998</v>
      </c>
      <c r="U384" s="243">
        <v>0</v>
      </c>
      <c r="V384" s="244">
        <v>0</v>
      </c>
      <c r="W384" s="201">
        <f t="shared" si="70"/>
        <v>0</v>
      </c>
    </row>
    <row r="385" spans="1:23" ht="15.75" x14ac:dyDescent="0.25">
      <c r="A385" s="215" t="s">
        <v>17</v>
      </c>
      <c r="B385" s="194"/>
      <c r="C385" s="194"/>
      <c r="D385" s="194"/>
      <c r="E385" s="194"/>
      <c r="F385" s="194"/>
      <c r="G385" s="194"/>
      <c r="H385" s="194"/>
      <c r="I385" s="194"/>
      <c r="J385" s="194"/>
      <c r="K385" s="194"/>
      <c r="L385" s="194"/>
      <c r="M385" s="194"/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</row>
    <row r="386" spans="1:23" x14ac:dyDescent="0.2">
      <c r="A386" s="196"/>
    </row>
    <row r="387" spans="1:23" ht="15.75" x14ac:dyDescent="0.25">
      <c r="A387" s="22"/>
    </row>
    <row r="388" spans="1:23" ht="15.75" x14ac:dyDescent="0.25">
      <c r="A388" s="22"/>
    </row>
    <row r="389" spans="1:23" ht="15.75" x14ac:dyDescent="0.25">
      <c r="A389" s="22"/>
    </row>
    <row r="390" spans="1:23" ht="15.75" x14ac:dyDescent="0.25">
      <c r="A390" s="22"/>
    </row>
    <row r="391" spans="1:23" ht="15.75" x14ac:dyDescent="0.25">
      <c r="A391" s="22"/>
    </row>
    <row r="392" spans="1:23" ht="15.75" x14ac:dyDescent="0.25">
      <c r="A392" s="22"/>
    </row>
    <row r="393" spans="1:23" ht="15.75" x14ac:dyDescent="0.25">
      <c r="A393" s="22"/>
    </row>
    <row r="394" spans="1:23" ht="15.75" x14ac:dyDescent="0.25">
      <c r="A394" s="22"/>
    </row>
    <row r="395" spans="1:23" ht="15.75" x14ac:dyDescent="0.25">
      <c r="A395" s="22"/>
    </row>
    <row r="396" spans="1:23" ht="15.75" x14ac:dyDescent="0.25">
      <c r="A396" s="22"/>
    </row>
    <row r="397" spans="1:23" ht="15.75" x14ac:dyDescent="0.25">
      <c r="A397" s="22"/>
    </row>
    <row r="398" spans="1:23" ht="15.75" x14ac:dyDescent="0.25">
      <c r="A398" s="22"/>
    </row>
    <row r="399" spans="1:23" ht="15.75" x14ac:dyDescent="0.25">
      <c r="A399" s="22"/>
    </row>
    <row r="400" spans="1:23" ht="15.75" x14ac:dyDescent="0.25">
      <c r="A400" s="22"/>
    </row>
    <row r="401" spans="1:1" ht="15.75" x14ac:dyDescent="0.25">
      <c r="A401" s="22"/>
    </row>
    <row r="402" spans="1:1" ht="15.75" x14ac:dyDescent="0.25">
      <c r="A402" s="22"/>
    </row>
    <row r="403" spans="1:1" ht="15.75" x14ac:dyDescent="0.25">
      <c r="A403" s="22"/>
    </row>
    <row r="404" spans="1:1" ht="15.75" x14ac:dyDescent="0.25">
      <c r="A404" s="22"/>
    </row>
    <row r="405" spans="1:1" ht="15.75" x14ac:dyDescent="0.25">
      <c r="A405" s="22"/>
    </row>
    <row r="406" spans="1:1" ht="15.75" x14ac:dyDescent="0.25">
      <c r="A406" s="22"/>
    </row>
    <row r="407" spans="1:1" ht="15.75" x14ac:dyDescent="0.25">
      <c r="A407" s="22"/>
    </row>
    <row r="408" spans="1:1" ht="15.75" x14ac:dyDescent="0.25">
      <c r="A408" s="22"/>
    </row>
    <row r="409" spans="1:1" ht="15.75" x14ac:dyDescent="0.25">
      <c r="A409" s="22"/>
    </row>
    <row r="410" spans="1:1" ht="15.75" x14ac:dyDescent="0.25">
      <c r="A410" s="22"/>
    </row>
    <row r="411" spans="1:1" ht="15.75" x14ac:dyDescent="0.25">
      <c r="A411" s="22"/>
    </row>
    <row r="412" spans="1:1" ht="15.75" x14ac:dyDescent="0.25">
      <c r="A412" s="22"/>
    </row>
    <row r="413" spans="1:1" ht="15.75" x14ac:dyDescent="0.25">
      <c r="A413" s="22"/>
    </row>
    <row r="414" spans="1:1" ht="15.75" x14ac:dyDescent="0.25">
      <c r="A414" s="22"/>
    </row>
    <row r="415" spans="1:1" ht="15.75" x14ac:dyDescent="0.25">
      <c r="A415" s="22"/>
    </row>
    <row r="416" spans="1:1" ht="15.75" x14ac:dyDescent="0.25">
      <c r="A416" s="22"/>
    </row>
    <row r="417" spans="1:1" ht="15.75" x14ac:dyDescent="0.25">
      <c r="A417" s="22"/>
    </row>
    <row r="418" spans="1:1" ht="15.75" x14ac:dyDescent="0.25">
      <c r="A418" s="22"/>
    </row>
    <row r="419" spans="1:1" ht="15.75" x14ac:dyDescent="0.25">
      <c r="A419" s="22"/>
    </row>
    <row r="420" spans="1:1" ht="15.75" x14ac:dyDescent="0.25">
      <c r="A420" s="22"/>
    </row>
    <row r="421" spans="1:1" ht="15.75" x14ac:dyDescent="0.25">
      <c r="A421" s="22"/>
    </row>
    <row r="422" spans="1:1" ht="15.75" x14ac:dyDescent="0.25">
      <c r="A422" s="22"/>
    </row>
    <row r="423" spans="1:1" ht="15.75" x14ac:dyDescent="0.25">
      <c r="A423" s="22"/>
    </row>
    <row r="424" spans="1:1" ht="15.75" x14ac:dyDescent="0.25">
      <c r="A424" s="22"/>
    </row>
    <row r="425" spans="1:1" ht="15.75" x14ac:dyDescent="0.25">
      <c r="A425" s="22"/>
    </row>
    <row r="426" spans="1:1" ht="15.75" x14ac:dyDescent="0.25">
      <c r="A426" s="22"/>
    </row>
    <row r="427" spans="1:1" ht="15.75" x14ac:dyDescent="0.25">
      <c r="A427" s="22"/>
    </row>
    <row r="428" spans="1:1" ht="15.75" x14ac:dyDescent="0.25">
      <c r="A428" s="22"/>
    </row>
    <row r="429" spans="1:1" ht="15.75" x14ac:dyDescent="0.25">
      <c r="A429" s="22"/>
    </row>
    <row r="430" spans="1:1" ht="15.75" x14ac:dyDescent="0.25">
      <c r="A430" s="22"/>
    </row>
    <row r="431" spans="1:1" ht="15.75" x14ac:dyDescent="0.25">
      <c r="A431" s="22"/>
    </row>
    <row r="432" spans="1:1" ht="15.75" x14ac:dyDescent="0.25">
      <c r="A432" s="22"/>
    </row>
    <row r="433" spans="1:1" ht="15.75" x14ac:dyDescent="0.25">
      <c r="A433" s="22"/>
    </row>
    <row r="434" spans="1:1" ht="15.75" x14ac:dyDescent="0.25">
      <c r="A434" s="22"/>
    </row>
    <row r="435" spans="1:1" ht="15.75" x14ac:dyDescent="0.25">
      <c r="A435" s="22"/>
    </row>
    <row r="436" spans="1:1" ht="15.75" x14ac:dyDescent="0.25">
      <c r="A436" s="22"/>
    </row>
    <row r="437" spans="1:1" ht="15.75" x14ac:dyDescent="0.25">
      <c r="A437" s="22"/>
    </row>
    <row r="438" spans="1:1" ht="15.75" x14ac:dyDescent="0.25">
      <c r="A438" s="22"/>
    </row>
    <row r="439" spans="1:1" ht="15.75" x14ac:dyDescent="0.25">
      <c r="A439" s="22"/>
    </row>
    <row r="440" spans="1:1" ht="15.75" x14ac:dyDescent="0.25">
      <c r="A440" s="22"/>
    </row>
    <row r="441" spans="1:1" ht="15.75" x14ac:dyDescent="0.25">
      <c r="A441" s="22"/>
    </row>
    <row r="442" spans="1:1" ht="15.75" x14ac:dyDescent="0.25">
      <c r="A442" s="22"/>
    </row>
    <row r="443" spans="1:1" ht="15.75" x14ac:dyDescent="0.25">
      <c r="A443" s="22"/>
    </row>
    <row r="444" spans="1:1" ht="15.75" x14ac:dyDescent="0.25">
      <c r="A444" s="22"/>
    </row>
    <row r="445" spans="1:1" ht="15.75" x14ac:dyDescent="0.25">
      <c r="A445" s="22"/>
    </row>
    <row r="446" spans="1:1" ht="15.75" x14ac:dyDescent="0.25">
      <c r="A446" s="22"/>
    </row>
    <row r="447" spans="1:1" ht="15.75" x14ac:dyDescent="0.25">
      <c r="A447" s="22"/>
    </row>
    <row r="448" spans="1:1" ht="15.75" x14ac:dyDescent="0.25">
      <c r="A448" s="22"/>
    </row>
    <row r="449" spans="1:1" ht="15.75" x14ac:dyDescent="0.25">
      <c r="A449" s="22"/>
    </row>
    <row r="450" spans="1:1" ht="15.75" x14ac:dyDescent="0.25">
      <c r="A450" s="22"/>
    </row>
    <row r="451" spans="1:1" ht="15.75" x14ac:dyDescent="0.25">
      <c r="A451" s="22"/>
    </row>
    <row r="452" spans="1:1" ht="15.75" x14ac:dyDescent="0.25">
      <c r="A452" s="22"/>
    </row>
    <row r="453" spans="1:1" ht="15.75" x14ac:dyDescent="0.25">
      <c r="A453" s="22"/>
    </row>
    <row r="454" spans="1:1" ht="15.75" x14ac:dyDescent="0.25">
      <c r="A454" s="22"/>
    </row>
    <row r="455" spans="1:1" ht="15.75" x14ac:dyDescent="0.25">
      <c r="A455" s="22"/>
    </row>
    <row r="456" spans="1:1" ht="15.75" x14ac:dyDescent="0.25">
      <c r="A456" s="22"/>
    </row>
    <row r="457" spans="1:1" ht="15.75" x14ac:dyDescent="0.25">
      <c r="A457" s="22"/>
    </row>
    <row r="458" spans="1:1" ht="15.75" x14ac:dyDescent="0.25">
      <c r="A458" s="22"/>
    </row>
    <row r="459" spans="1:1" ht="15.75" x14ac:dyDescent="0.25">
      <c r="A459" s="22"/>
    </row>
    <row r="460" spans="1:1" ht="15.75" x14ac:dyDescent="0.25">
      <c r="A460" s="22"/>
    </row>
    <row r="461" spans="1:1" ht="15.75" x14ac:dyDescent="0.25">
      <c r="A461" s="22"/>
    </row>
    <row r="462" spans="1:1" ht="15.75" x14ac:dyDescent="0.25">
      <c r="A462" s="22"/>
    </row>
    <row r="463" spans="1:1" ht="15.75" x14ac:dyDescent="0.25">
      <c r="A463" s="22"/>
    </row>
    <row r="464" spans="1:1" ht="15.75" x14ac:dyDescent="0.25">
      <c r="A464" s="22"/>
    </row>
    <row r="465" spans="1:1" ht="15.75" x14ac:dyDescent="0.25">
      <c r="A465" s="22"/>
    </row>
    <row r="466" spans="1:1" ht="15.75" x14ac:dyDescent="0.25">
      <c r="A466" s="22"/>
    </row>
    <row r="467" spans="1:1" ht="15.75" x14ac:dyDescent="0.25">
      <c r="A467" s="22"/>
    </row>
    <row r="468" spans="1:1" ht="15.75" x14ac:dyDescent="0.25">
      <c r="A468" s="22"/>
    </row>
    <row r="469" spans="1:1" ht="15.75" x14ac:dyDescent="0.25">
      <c r="A469" s="22"/>
    </row>
    <row r="470" spans="1:1" ht="15.75" x14ac:dyDescent="0.25">
      <c r="A470" s="22"/>
    </row>
    <row r="471" spans="1:1" ht="15.75" x14ac:dyDescent="0.25">
      <c r="A471" s="22"/>
    </row>
    <row r="472" spans="1:1" ht="15.75" x14ac:dyDescent="0.25">
      <c r="A472" s="22"/>
    </row>
    <row r="473" spans="1:1" ht="15.75" x14ac:dyDescent="0.25">
      <c r="A473" s="22"/>
    </row>
    <row r="474" spans="1:1" ht="15.75" x14ac:dyDescent="0.25">
      <c r="A474" s="22"/>
    </row>
    <row r="475" spans="1:1" ht="15.75" x14ac:dyDescent="0.25">
      <c r="A475" s="22"/>
    </row>
    <row r="476" spans="1:1" ht="15.75" x14ac:dyDescent="0.25">
      <c r="A476" s="22"/>
    </row>
    <row r="477" spans="1:1" ht="15.75" x14ac:dyDescent="0.25">
      <c r="A477" s="22"/>
    </row>
    <row r="478" spans="1:1" ht="15.75" x14ac:dyDescent="0.25">
      <c r="A478" s="22"/>
    </row>
    <row r="479" spans="1:1" ht="15.75" x14ac:dyDescent="0.25">
      <c r="A479" s="22"/>
    </row>
    <row r="480" spans="1:1" ht="15.75" x14ac:dyDescent="0.25">
      <c r="A480" s="22"/>
    </row>
    <row r="481" spans="1:1" ht="15.75" x14ac:dyDescent="0.25">
      <c r="A481" s="22"/>
    </row>
    <row r="482" spans="1:1" ht="15.75" x14ac:dyDescent="0.25">
      <c r="A482" s="22"/>
    </row>
    <row r="483" spans="1:1" ht="15.75" x14ac:dyDescent="0.25">
      <c r="A483" s="22"/>
    </row>
    <row r="484" spans="1:1" ht="15.75" x14ac:dyDescent="0.25">
      <c r="A484" s="22"/>
    </row>
    <row r="485" spans="1:1" ht="15.75" x14ac:dyDescent="0.25">
      <c r="A485" s="22"/>
    </row>
    <row r="486" spans="1:1" ht="15.75" x14ac:dyDescent="0.25">
      <c r="A486" s="22"/>
    </row>
    <row r="487" spans="1:1" ht="15.75" x14ac:dyDescent="0.25">
      <c r="A487" s="22"/>
    </row>
    <row r="488" spans="1:1" ht="15.75" x14ac:dyDescent="0.25">
      <c r="A488" s="22"/>
    </row>
    <row r="489" spans="1:1" ht="15.75" x14ac:dyDescent="0.25">
      <c r="A489" s="22"/>
    </row>
    <row r="490" spans="1:1" ht="15.75" x14ac:dyDescent="0.25">
      <c r="A490" s="22"/>
    </row>
    <row r="491" spans="1:1" ht="15.75" x14ac:dyDescent="0.25">
      <c r="A491" s="22"/>
    </row>
    <row r="492" spans="1:1" ht="15.75" x14ac:dyDescent="0.25">
      <c r="A492" s="22"/>
    </row>
    <row r="493" spans="1:1" ht="15.75" x14ac:dyDescent="0.25">
      <c r="A493" s="22"/>
    </row>
    <row r="494" spans="1:1" ht="15.75" x14ac:dyDescent="0.25">
      <c r="A494" s="22"/>
    </row>
    <row r="495" spans="1:1" ht="15.75" x14ac:dyDescent="0.25">
      <c r="A495" s="22"/>
    </row>
    <row r="496" spans="1:1" ht="15.75" x14ac:dyDescent="0.25">
      <c r="A496" s="22"/>
    </row>
    <row r="497" spans="1:1" ht="15.75" x14ac:dyDescent="0.25">
      <c r="A497" s="22"/>
    </row>
    <row r="498" spans="1:1" ht="15.75" x14ac:dyDescent="0.25">
      <c r="A498" s="22"/>
    </row>
    <row r="499" spans="1:1" ht="15.75" x14ac:dyDescent="0.25">
      <c r="A499" s="22"/>
    </row>
    <row r="500" spans="1:1" ht="15.75" x14ac:dyDescent="0.25">
      <c r="A500" s="22"/>
    </row>
    <row r="501" spans="1:1" ht="15.75" x14ac:dyDescent="0.25">
      <c r="A501" s="22"/>
    </row>
    <row r="502" spans="1:1" ht="15.75" x14ac:dyDescent="0.25">
      <c r="A502" s="22"/>
    </row>
    <row r="503" spans="1:1" ht="15.75" x14ac:dyDescent="0.25">
      <c r="A503" s="22"/>
    </row>
    <row r="504" spans="1:1" ht="15.75" x14ac:dyDescent="0.25">
      <c r="A504" s="22"/>
    </row>
    <row r="505" spans="1:1" ht="15.75" x14ac:dyDescent="0.25">
      <c r="A505" s="22"/>
    </row>
    <row r="506" spans="1:1" ht="15.75" x14ac:dyDescent="0.25">
      <c r="A506" s="22"/>
    </row>
    <row r="507" spans="1:1" ht="15.75" x14ac:dyDescent="0.25">
      <c r="A507" s="22"/>
    </row>
    <row r="508" spans="1:1" ht="15.75" x14ac:dyDescent="0.25">
      <c r="A508" s="22"/>
    </row>
    <row r="509" spans="1:1" ht="15.75" x14ac:dyDescent="0.25">
      <c r="A509" s="22"/>
    </row>
    <row r="510" spans="1:1" ht="15.75" x14ac:dyDescent="0.25">
      <c r="A510" s="22"/>
    </row>
    <row r="511" spans="1:1" ht="15.75" x14ac:dyDescent="0.25">
      <c r="A511" s="22"/>
    </row>
    <row r="512" spans="1:1" ht="15.75" x14ac:dyDescent="0.25">
      <c r="A512" s="22"/>
    </row>
    <row r="513" spans="1:1" ht="15.75" x14ac:dyDescent="0.25">
      <c r="A513" s="22"/>
    </row>
    <row r="514" spans="1:1" ht="15.75" x14ac:dyDescent="0.25">
      <c r="A514" s="22"/>
    </row>
    <row r="515" spans="1:1" ht="15.75" x14ac:dyDescent="0.25">
      <c r="A515" s="22"/>
    </row>
    <row r="516" spans="1:1" ht="15.75" x14ac:dyDescent="0.25">
      <c r="A516" s="22"/>
    </row>
    <row r="517" spans="1:1" ht="15.75" x14ac:dyDescent="0.25">
      <c r="A517" s="22"/>
    </row>
    <row r="518" spans="1:1" ht="15.75" x14ac:dyDescent="0.25">
      <c r="A518" s="22"/>
    </row>
    <row r="519" spans="1:1" ht="15.75" x14ac:dyDescent="0.25">
      <c r="A519" s="22"/>
    </row>
    <row r="520" spans="1:1" ht="15.75" x14ac:dyDescent="0.25">
      <c r="A520" s="22"/>
    </row>
    <row r="521" spans="1:1" ht="15.75" x14ac:dyDescent="0.25">
      <c r="A521" s="22"/>
    </row>
    <row r="522" spans="1:1" ht="15.75" x14ac:dyDescent="0.25">
      <c r="A522" s="22"/>
    </row>
    <row r="523" spans="1:1" ht="15.75" x14ac:dyDescent="0.25">
      <c r="A523" s="22"/>
    </row>
    <row r="524" spans="1:1" ht="15.75" x14ac:dyDescent="0.25">
      <c r="A524" s="22"/>
    </row>
    <row r="525" spans="1:1" ht="15.75" x14ac:dyDescent="0.25">
      <c r="A525" s="22"/>
    </row>
    <row r="526" spans="1:1" ht="15.75" x14ac:dyDescent="0.25">
      <c r="A526" s="22"/>
    </row>
    <row r="527" spans="1:1" ht="15.75" x14ac:dyDescent="0.25">
      <c r="A527" s="22"/>
    </row>
    <row r="528" spans="1:1" ht="15.75" x14ac:dyDescent="0.25">
      <c r="A528" s="22"/>
    </row>
    <row r="529" spans="1:1" ht="15.75" x14ac:dyDescent="0.25">
      <c r="A529" s="22"/>
    </row>
    <row r="530" spans="1:1" ht="15.75" x14ac:dyDescent="0.25">
      <c r="A530" s="22"/>
    </row>
    <row r="531" spans="1:1" ht="15.75" x14ac:dyDescent="0.25">
      <c r="A531" s="22"/>
    </row>
    <row r="532" spans="1:1" ht="15.75" x14ac:dyDescent="0.25">
      <c r="A532" s="22"/>
    </row>
    <row r="533" spans="1:1" ht="15.75" x14ac:dyDescent="0.25">
      <c r="A533" s="22"/>
    </row>
    <row r="534" spans="1:1" ht="15.75" x14ac:dyDescent="0.25">
      <c r="A534" s="22"/>
    </row>
    <row r="535" spans="1:1" ht="15.75" x14ac:dyDescent="0.25">
      <c r="A535" s="22"/>
    </row>
    <row r="536" spans="1:1" ht="15.75" x14ac:dyDescent="0.25">
      <c r="A536" s="22"/>
    </row>
    <row r="537" spans="1:1" ht="15.75" x14ac:dyDescent="0.25">
      <c r="A537" s="22"/>
    </row>
    <row r="538" spans="1:1" ht="15.75" x14ac:dyDescent="0.25">
      <c r="A538" s="22"/>
    </row>
    <row r="539" spans="1:1" ht="15.75" x14ac:dyDescent="0.25">
      <c r="A539" s="22"/>
    </row>
    <row r="540" spans="1:1" ht="15.75" x14ac:dyDescent="0.25">
      <c r="A540" s="22"/>
    </row>
    <row r="541" spans="1:1" ht="15.75" x14ac:dyDescent="0.25">
      <c r="A541" s="22"/>
    </row>
    <row r="542" spans="1:1" ht="15.75" x14ac:dyDescent="0.25">
      <c r="A542" s="22"/>
    </row>
    <row r="543" spans="1:1" ht="15.75" x14ac:dyDescent="0.25">
      <c r="A543" s="22"/>
    </row>
    <row r="544" spans="1:1" ht="15.75" x14ac:dyDescent="0.25">
      <c r="A544" s="22"/>
    </row>
    <row r="545" spans="1:1" ht="15.75" x14ac:dyDescent="0.25">
      <c r="A545" s="22"/>
    </row>
    <row r="546" spans="1:1" ht="15.75" x14ac:dyDescent="0.25">
      <c r="A546" s="22"/>
    </row>
    <row r="547" spans="1:1" ht="15.75" x14ac:dyDescent="0.25">
      <c r="A547" s="22"/>
    </row>
    <row r="548" spans="1:1" ht="15.75" x14ac:dyDescent="0.25">
      <c r="A548" s="22"/>
    </row>
    <row r="549" spans="1:1" ht="15.75" x14ac:dyDescent="0.25">
      <c r="A549" s="22"/>
    </row>
    <row r="550" spans="1:1" ht="15.75" x14ac:dyDescent="0.25">
      <c r="A550" s="22"/>
    </row>
    <row r="551" spans="1:1" ht="15.75" x14ac:dyDescent="0.25">
      <c r="A551" s="22"/>
    </row>
    <row r="552" spans="1:1" ht="15.75" x14ac:dyDescent="0.25">
      <c r="A552" s="22"/>
    </row>
    <row r="553" spans="1:1" ht="15.75" x14ac:dyDescent="0.25">
      <c r="A553" s="22"/>
    </row>
    <row r="554" spans="1:1" ht="15.75" x14ac:dyDescent="0.25">
      <c r="A554" s="22"/>
    </row>
    <row r="555" spans="1:1" ht="15.75" x14ac:dyDescent="0.25">
      <c r="A555" s="22"/>
    </row>
    <row r="556" spans="1:1" ht="15.75" x14ac:dyDescent="0.25">
      <c r="A556" s="22"/>
    </row>
    <row r="557" spans="1:1" ht="15.75" x14ac:dyDescent="0.25">
      <c r="A557" s="22"/>
    </row>
    <row r="558" spans="1:1" ht="15.75" x14ac:dyDescent="0.25">
      <c r="A558" s="22"/>
    </row>
    <row r="559" spans="1:1" ht="15.75" x14ac:dyDescent="0.25">
      <c r="A559" s="22"/>
    </row>
    <row r="560" spans="1:1" ht="15.75" x14ac:dyDescent="0.25">
      <c r="A560" s="22"/>
    </row>
    <row r="561" spans="1:1" ht="15.75" x14ac:dyDescent="0.25">
      <c r="A561" s="22"/>
    </row>
    <row r="562" spans="1:1" ht="15.75" x14ac:dyDescent="0.25">
      <c r="A562" s="22"/>
    </row>
    <row r="563" spans="1:1" ht="15.75" x14ac:dyDescent="0.25">
      <c r="A563" s="22"/>
    </row>
    <row r="564" spans="1:1" ht="15.75" x14ac:dyDescent="0.25">
      <c r="A564" s="22"/>
    </row>
    <row r="565" spans="1:1" ht="15.75" x14ac:dyDescent="0.25">
      <c r="A565" s="22"/>
    </row>
    <row r="566" spans="1:1" ht="15.75" x14ac:dyDescent="0.25">
      <c r="A566" s="22"/>
    </row>
    <row r="567" spans="1:1" ht="15.75" x14ac:dyDescent="0.25">
      <c r="A567" s="22"/>
    </row>
    <row r="568" spans="1:1" ht="15.75" x14ac:dyDescent="0.25">
      <c r="A568" s="22"/>
    </row>
    <row r="569" spans="1:1" ht="15.75" x14ac:dyDescent="0.25">
      <c r="A569" s="22"/>
    </row>
    <row r="570" spans="1:1" ht="15.75" x14ac:dyDescent="0.25">
      <c r="A570" s="22"/>
    </row>
    <row r="571" spans="1:1" ht="15.75" x14ac:dyDescent="0.25">
      <c r="A571" s="22"/>
    </row>
    <row r="572" spans="1:1" ht="15.75" x14ac:dyDescent="0.25">
      <c r="A572" s="22"/>
    </row>
    <row r="573" spans="1:1" ht="15.75" x14ac:dyDescent="0.25">
      <c r="A573" s="22"/>
    </row>
    <row r="574" spans="1:1" ht="15.75" x14ac:dyDescent="0.25">
      <c r="A574" s="22"/>
    </row>
    <row r="575" spans="1:1" ht="15.75" x14ac:dyDescent="0.25">
      <c r="A575" s="22"/>
    </row>
    <row r="576" spans="1:1" ht="15.75" x14ac:dyDescent="0.25">
      <c r="A576" s="22"/>
    </row>
    <row r="577" spans="1:1" ht="15.75" x14ac:dyDescent="0.25">
      <c r="A577" s="22"/>
    </row>
    <row r="578" spans="1:1" ht="15.75" x14ac:dyDescent="0.25">
      <c r="A578" s="22"/>
    </row>
    <row r="579" spans="1:1" ht="15.75" x14ac:dyDescent="0.25">
      <c r="A579" s="22"/>
    </row>
    <row r="580" spans="1:1" ht="15.75" x14ac:dyDescent="0.25">
      <c r="A580" s="22"/>
    </row>
    <row r="581" spans="1:1" ht="15.75" x14ac:dyDescent="0.25">
      <c r="A581" s="22"/>
    </row>
    <row r="582" spans="1:1" ht="15.75" x14ac:dyDescent="0.25">
      <c r="A582" s="22"/>
    </row>
    <row r="583" spans="1:1" ht="15.75" x14ac:dyDescent="0.25">
      <c r="A583" s="22"/>
    </row>
    <row r="584" spans="1:1" ht="15.75" x14ac:dyDescent="0.25">
      <c r="A584" s="22"/>
    </row>
    <row r="585" spans="1:1" ht="15.75" x14ac:dyDescent="0.25">
      <c r="A585" s="22"/>
    </row>
    <row r="586" spans="1:1" ht="15.75" x14ac:dyDescent="0.25">
      <c r="A586" s="22"/>
    </row>
    <row r="587" spans="1:1" ht="15.75" x14ac:dyDescent="0.25">
      <c r="A587" s="22"/>
    </row>
    <row r="588" spans="1:1" ht="15.75" x14ac:dyDescent="0.25">
      <c r="A588" s="22"/>
    </row>
    <row r="589" spans="1:1" ht="15.75" x14ac:dyDescent="0.25">
      <c r="A589" s="22"/>
    </row>
    <row r="590" spans="1:1" ht="15.75" x14ac:dyDescent="0.25">
      <c r="A590" s="22"/>
    </row>
    <row r="591" spans="1:1" ht="15.75" x14ac:dyDescent="0.25">
      <c r="A591" s="22"/>
    </row>
    <row r="592" spans="1:1" ht="15.75" x14ac:dyDescent="0.25">
      <c r="A592" s="22"/>
    </row>
    <row r="593" spans="1:1" ht="15.75" x14ac:dyDescent="0.25">
      <c r="A593" s="22"/>
    </row>
    <row r="594" spans="1:1" ht="15.75" x14ac:dyDescent="0.25">
      <c r="A594" s="22"/>
    </row>
    <row r="595" spans="1:1" ht="15.75" x14ac:dyDescent="0.25">
      <c r="A595" s="22"/>
    </row>
    <row r="596" spans="1:1" ht="15.75" x14ac:dyDescent="0.25">
      <c r="A596" s="22"/>
    </row>
    <row r="597" spans="1:1" ht="15.75" x14ac:dyDescent="0.25">
      <c r="A597" s="22"/>
    </row>
    <row r="598" spans="1:1" ht="15.75" x14ac:dyDescent="0.25">
      <c r="A598" s="22"/>
    </row>
    <row r="599" spans="1:1" ht="15.75" x14ac:dyDescent="0.25">
      <c r="A599" s="22"/>
    </row>
    <row r="600" spans="1:1" ht="15.75" x14ac:dyDescent="0.25">
      <c r="A600" s="22"/>
    </row>
    <row r="601" spans="1:1" ht="15.75" x14ac:dyDescent="0.25">
      <c r="A601" s="22"/>
    </row>
    <row r="602" spans="1:1" ht="15.75" x14ac:dyDescent="0.25">
      <c r="A602" s="22"/>
    </row>
    <row r="603" spans="1:1" ht="15.75" x14ac:dyDescent="0.25">
      <c r="A603" s="22"/>
    </row>
    <row r="604" spans="1:1" ht="15.75" x14ac:dyDescent="0.25">
      <c r="A604" s="22"/>
    </row>
    <row r="605" spans="1:1" ht="15.75" x14ac:dyDescent="0.25">
      <c r="A605" s="22"/>
    </row>
    <row r="606" spans="1:1" ht="15.75" x14ac:dyDescent="0.25">
      <c r="A606" s="22"/>
    </row>
    <row r="607" spans="1:1" ht="15.75" x14ac:dyDescent="0.25">
      <c r="A607" s="22"/>
    </row>
    <row r="608" spans="1:1" ht="15.75" x14ac:dyDescent="0.25">
      <c r="A608" s="22"/>
    </row>
    <row r="609" spans="1:1" ht="15.75" x14ac:dyDescent="0.25">
      <c r="A609" s="22"/>
    </row>
    <row r="610" spans="1:1" ht="15.75" x14ac:dyDescent="0.25">
      <c r="A610" s="22"/>
    </row>
    <row r="611" spans="1:1" ht="15.75" x14ac:dyDescent="0.25">
      <c r="A611" s="22"/>
    </row>
    <row r="612" spans="1:1" ht="15.75" x14ac:dyDescent="0.25">
      <c r="A612" s="22"/>
    </row>
    <row r="613" spans="1:1" ht="15.75" x14ac:dyDescent="0.25">
      <c r="A613" s="22"/>
    </row>
    <row r="614" spans="1:1" ht="15.75" x14ac:dyDescent="0.25">
      <c r="A614" s="22"/>
    </row>
    <row r="615" spans="1:1" ht="15.75" x14ac:dyDescent="0.25">
      <c r="A615" s="22"/>
    </row>
    <row r="616" spans="1:1" ht="15.75" x14ac:dyDescent="0.25">
      <c r="A616" s="22"/>
    </row>
    <row r="617" spans="1:1" ht="15.75" x14ac:dyDescent="0.25">
      <c r="A617" s="22"/>
    </row>
    <row r="618" spans="1:1" ht="15.75" x14ac:dyDescent="0.25">
      <c r="A618" s="22"/>
    </row>
    <row r="619" spans="1:1" ht="15.75" x14ac:dyDescent="0.25">
      <c r="A619" s="22"/>
    </row>
    <row r="620" spans="1:1" ht="15.75" x14ac:dyDescent="0.25">
      <c r="A620" s="22"/>
    </row>
    <row r="621" spans="1:1" ht="15.75" x14ac:dyDescent="0.25">
      <c r="A621" s="22"/>
    </row>
    <row r="622" spans="1:1" ht="15.75" x14ac:dyDescent="0.25">
      <c r="A622" s="22"/>
    </row>
    <row r="623" spans="1:1" ht="15.75" x14ac:dyDescent="0.25">
      <c r="A623" s="22"/>
    </row>
    <row r="624" spans="1:1" ht="15.75" x14ac:dyDescent="0.25">
      <c r="A624" s="22"/>
    </row>
    <row r="625" spans="1:1" ht="15.75" x14ac:dyDescent="0.25">
      <c r="A625" s="22"/>
    </row>
    <row r="626" spans="1:1" ht="15.75" x14ac:dyDescent="0.25">
      <c r="A626" s="22"/>
    </row>
    <row r="627" spans="1:1" ht="15.75" x14ac:dyDescent="0.25">
      <c r="A627" s="22"/>
    </row>
    <row r="628" spans="1:1" ht="15.75" x14ac:dyDescent="0.25">
      <c r="A628" s="22"/>
    </row>
    <row r="629" spans="1:1" ht="15.75" x14ac:dyDescent="0.25">
      <c r="A629" s="22"/>
    </row>
    <row r="630" spans="1:1" ht="15.75" x14ac:dyDescent="0.25">
      <c r="A630" s="22"/>
    </row>
    <row r="631" spans="1:1" ht="15.75" x14ac:dyDescent="0.25">
      <c r="A631" s="22"/>
    </row>
    <row r="632" spans="1:1" ht="15.75" x14ac:dyDescent="0.25">
      <c r="A632" s="22"/>
    </row>
    <row r="633" spans="1:1" ht="15.75" x14ac:dyDescent="0.25">
      <c r="A633" s="22"/>
    </row>
    <row r="634" spans="1:1" ht="15.75" x14ac:dyDescent="0.25">
      <c r="A634" s="22"/>
    </row>
    <row r="635" spans="1:1" ht="15.75" x14ac:dyDescent="0.25">
      <c r="A635" s="22"/>
    </row>
    <row r="636" spans="1:1" ht="15.75" x14ac:dyDescent="0.25">
      <c r="A636" s="22"/>
    </row>
    <row r="637" spans="1:1" ht="15.75" x14ac:dyDescent="0.25">
      <c r="A637" s="22"/>
    </row>
    <row r="638" spans="1:1" ht="15.75" x14ac:dyDescent="0.25">
      <c r="A638" s="22"/>
    </row>
    <row r="639" spans="1:1" ht="15.75" x14ac:dyDescent="0.25">
      <c r="A639" s="22"/>
    </row>
    <row r="640" spans="1:1" ht="15.75" x14ac:dyDescent="0.25">
      <c r="A640" s="22"/>
    </row>
    <row r="641" spans="1:1" ht="15.75" x14ac:dyDescent="0.25">
      <c r="A641" s="22"/>
    </row>
    <row r="642" spans="1:1" ht="15.75" x14ac:dyDescent="0.25">
      <c r="A642" s="22"/>
    </row>
    <row r="643" spans="1:1" ht="15.75" x14ac:dyDescent="0.25">
      <c r="A643" s="22"/>
    </row>
    <row r="644" spans="1:1" ht="15.75" x14ac:dyDescent="0.25">
      <c r="A644" s="22"/>
    </row>
    <row r="645" spans="1:1" ht="15.75" x14ac:dyDescent="0.25">
      <c r="A645" s="22"/>
    </row>
    <row r="646" spans="1:1" ht="15.75" x14ac:dyDescent="0.25">
      <c r="A646" s="22"/>
    </row>
    <row r="647" spans="1:1" ht="15.75" x14ac:dyDescent="0.25">
      <c r="A647" s="22"/>
    </row>
    <row r="648" spans="1:1" ht="15.75" x14ac:dyDescent="0.25">
      <c r="A648" s="22"/>
    </row>
    <row r="649" spans="1:1" ht="15.75" x14ac:dyDescent="0.25">
      <c r="A649" s="22"/>
    </row>
    <row r="650" spans="1:1" ht="15.75" x14ac:dyDescent="0.25">
      <c r="A650" s="22"/>
    </row>
    <row r="651" spans="1:1" ht="15.75" x14ac:dyDescent="0.25">
      <c r="A651" s="22"/>
    </row>
    <row r="652" spans="1:1" ht="15.75" x14ac:dyDescent="0.25">
      <c r="A652" s="22"/>
    </row>
    <row r="653" spans="1:1" ht="15.75" x14ac:dyDescent="0.25">
      <c r="A653" s="22"/>
    </row>
    <row r="654" spans="1:1" ht="15.75" x14ac:dyDescent="0.25">
      <c r="A654" s="22"/>
    </row>
    <row r="655" spans="1:1" ht="15.75" x14ac:dyDescent="0.25">
      <c r="A655" s="22"/>
    </row>
    <row r="656" spans="1:1" ht="15.75" x14ac:dyDescent="0.25">
      <c r="A656" s="22"/>
    </row>
    <row r="657" spans="1:1" ht="15.75" x14ac:dyDescent="0.25">
      <c r="A657" s="22"/>
    </row>
    <row r="658" spans="1:1" ht="15.75" x14ac:dyDescent="0.25">
      <c r="A658" s="22"/>
    </row>
    <row r="659" spans="1:1" ht="15.75" x14ac:dyDescent="0.25">
      <c r="A659" s="22"/>
    </row>
    <row r="660" spans="1:1" ht="15.75" x14ac:dyDescent="0.25">
      <c r="A660" s="22"/>
    </row>
    <row r="661" spans="1:1" ht="15.75" x14ac:dyDescent="0.25">
      <c r="A661" s="22"/>
    </row>
    <row r="662" spans="1:1" ht="15.75" x14ac:dyDescent="0.25">
      <c r="A662" s="22"/>
    </row>
    <row r="663" spans="1:1" ht="15.75" x14ac:dyDescent="0.25">
      <c r="A663" s="22"/>
    </row>
    <row r="664" spans="1:1" ht="15.75" x14ac:dyDescent="0.25">
      <c r="A664" s="22"/>
    </row>
    <row r="665" spans="1:1" ht="15.75" x14ac:dyDescent="0.25">
      <c r="A665" s="22"/>
    </row>
    <row r="666" spans="1:1" ht="15.75" x14ac:dyDescent="0.25">
      <c r="A666" s="22"/>
    </row>
    <row r="667" spans="1:1" ht="15.75" x14ac:dyDescent="0.25">
      <c r="A667" s="22"/>
    </row>
    <row r="668" spans="1:1" ht="15.75" x14ac:dyDescent="0.25">
      <c r="A668" s="22"/>
    </row>
    <row r="669" spans="1:1" ht="15.75" x14ac:dyDescent="0.25">
      <c r="A669" s="22"/>
    </row>
    <row r="670" spans="1:1" ht="15.75" x14ac:dyDescent="0.25">
      <c r="A670" s="22"/>
    </row>
    <row r="671" spans="1:1" ht="15.75" x14ac:dyDescent="0.25">
      <c r="A671" s="22"/>
    </row>
    <row r="672" spans="1:1" ht="15.75" x14ac:dyDescent="0.25">
      <c r="A672" s="22"/>
    </row>
    <row r="673" spans="1:1" ht="15.75" x14ac:dyDescent="0.25">
      <c r="A673" s="22"/>
    </row>
    <row r="674" spans="1:1" ht="15.75" x14ac:dyDescent="0.25">
      <c r="A674" s="22"/>
    </row>
    <row r="675" spans="1:1" ht="15.75" x14ac:dyDescent="0.25">
      <c r="A675" s="22"/>
    </row>
    <row r="676" spans="1:1" ht="15.75" x14ac:dyDescent="0.25">
      <c r="A676" s="22"/>
    </row>
    <row r="677" spans="1:1" ht="15.75" x14ac:dyDescent="0.25">
      <c r="A677" s="22"/>
    </row>
    <row r="678" spans="1:1" ht="15.75" x14ac:dyDescent="0.25">
      <c r="A678" s="22"/>
    </row>
    <row r="679" spans="1:1" ht="15.75" x14ac:dyDescent="0.25">
      <c r="A679" s="22"/>
    </row>
    <row r="680" spans="1:1" ht="15.75" x14ac:dyDescent="0.25">
      <c r="A680" s="22"/>
    </row>
    <row r="681" spans="1:1" ht="15.75" x14ac:dyDescent="0.25">
      <c r="A681" s="22"/>
    </row>
    <row r="682" spans="1:1" ht="15.75" x14ac:dyDescent="0.25">
      <c r="A682" s="22"/>
    </row>
    <row r="683" spans="1:1" ht="15.75" x14ac:dyDescent="0.25">
      <c r="A683" s="22"/>
    </row>
    <row r="684" spans="1:1" ht="15.75" x14ac:dyDescent="0.25">
      <c r="A684" s="22"/>
    </row>
    <row r="685" spans="1:1" ht="15.75" x14ac:dyDescent="0.25">
      <c r="A685" s="22"/>
    </row>
    <row r="686" spans="1:1" ht="15.75" x14ac:dyDescent="0.25">
      <c r="A686" s="22"/>
    </row>
    <row r="687" spans="1:1" ht="15.75" x14ac:dyDescent="0.25">
      <c r="A687" s="22"/>
    </row>
    <row r="688" spans="1:1" ht="15.75" x14ac:dyDescent="0.25">
      <c r="A688" s="22"/>
    </row>
    <row r="689" spans="1:1" ht="15.75" x14ac:dyDescent="0.25">
      <c r="A689" s="22"/>
    </row>
    <row r="690" spans="1:1" ht="15.75" x14ac:dyDescent="0.25">
      <c r="A690" s="22"/>
    </row>
    <row r="691" spans="1:1" ht="15.75" x14ac:dyDescent="0.25">
      <c r="A691" s="22"/>
    </row>
    <row r="692" spans="1:1" ht="15.75" x14ac:dyDescent="0.25">
      <c r="A692" s="22"/>
    </row>
    <row r="693" spans="1:1" ht="15.75" x14ac:dyDescent="0.25">
      <c r="A693" s="22"/>
    </row>
    <row r="694" spans="1:1" ht="15.75" x14ac:dyDescent="0.25">
      <c r="A694" s="22"/>
    </row>
    <row r="695" spans="1:1" ht="15.75" x14ac:dyDescent="0.25">
      <c r="A695" s="22"/>
    </row>
    <row r="696" spans="1:1" ht="15.75" x14ac:dyDescent="0.25">
      <c r="A696" s="22"/>
    </row>
    <row r="697" spans="1:1" ht="15.75" x14ac:dyDescent="0.25">
      <c r="A697" s="22"/>
    </row>
    <row r="698" spans="1:1" ht="15.75" x14ac:dyDescent="0.25">
      <c r="A698" s="22"/>
    </row>
    <row r="699" spans="1:1" ht="15.75" x14ac:dyDescent="0.25">
      <c r="A699" s="22"/>
    </row>
    <row r="700" spans="1:1" ht="15.75" x14ac:dyDescent="0.25">
      <c r="A700" s="22"/>
    </row>
    <row r="701" spans="1:1" ht="15.75" x14ac:dyDescent="0.25">
      <c r="A701" s="22"/>
    </row>
    <row r="702" spans="1:1" ht="15.75" x14ac:dyDescent="0.25">
      <c r="A702" s="22"/>
    </row>
    <row r="703" spans="1:1" ht="15.75" x14ac:dyDescent="0.25">
      <c r="A703" s="22"/>
    </row>
    <row r="704" spans="1:1" ht="15.75" x14ac:dyDescent="0.25">
      <c r="A704" s="22"/>
    </row>
    <row r="705" spans="1:1" ht="15.75" x14ac:dyDescent="0.25">
      <c r="A705" s="22"/>
    </row>
    <row r="706" spans="1:1" ht="15.75" x14ac:dyDescent="0.25">
      <c r="A706" s="22"/>
    </row>
    <row r="707" spans="1:1" ht="15.75" x14ac:dyDescent="0.25">
      <c r="A707" s="22"/>
    </row>
    <row r="708" spans="1:1" ht="15.75" x14ac:dyDescent="0.25">
      <c r="A708" s="22"/>
    </row>
    <row r="709" spans="1:1" ht="15.75" x14ac:dyDescent="0.25">
      <c r="A709" s="22"/>
    </row>
    <row r="710" spans="1:1" ht="15.75" x14ac:dyDescent="0.25">
      <c r="A710" s="22"/>
    </row>
    <row r="711" spans="1:1" ht="15.75" x14ac:dyDescent="0.25">
      <c r="A711" s="22"/>
    </row>
    <row r="712" spans="1:1" ht="15.75" x14ac:dyDescent="0.25">
      <c r="A712" s="22"/>
    </row>
    <row r="713" spans="1:1" ht="15.75" x14ac:dyDescent="0.25">
      <c r="A713" s="22"/>
    </row>
    <row r="714" spans="1:1" ht="15.75" x14ac:dyDescent="0.25">
      <c r="A714" s="22"/>
    </row>
    <row r="715" spans="1:1" ht="15.75" x14ac:dyDescent="0.25">
      <c r="A715" s="22"/>
    </row>
    <row r="716" spans="1:1" ht="15.75" x14ac:dyDescent="0.25">
      <c r="A716" s="22"/>
    </row>
    <row r="717" spans="1:1" ht="15.75" x14ac:dyDescent="0.25">
      <c r="A717" s="22"/>
    </row>
    <row r="718" spans="1:1" ht="15.75" x14ac:dyDescent="0.25">
      <c r="A718" s="22"/>
    </row>
    <row r="719" spans="1:1" ht="15.75" x14ac:dyDescent="0.25">
      <c r="A719" s="22"/>
    </row>
    <row r="720" spans="1:1" ht="15.75" x14ac:dyDescent="0.25">
      <c r="A720" s="22"/>
    </row>
    <row r="721" spans="1:1" ht="15.75" x14ac:dyDescent="0.25">
      <c r="A721" s="22"/>
    </row>
    <row r="722" spans="1:1" ht="15.75" x14ac:dyDescent="0.25">
      <c r="A722" s="22"/>
    </row>
    <row r="723" spans="1:1" ht="15.75" x14ac:dyDescent="0.25">
      <c r="A723" s="22"/>
    </row>
    <row r="724" spans="1:1" ht="15.75" x14ac:dyDescent="0.25">
      <c r="A724" s="22"/>
    </row>
    <row r="725" spans="1:1" ht="15.75" x14ac:dyDescent="0.25">
      <c r="A725" s="22"/>
    </row>
    <row r="726" spans="1:1" ht="15.75" x14ac:dyDescent="0.25">
      <c r="A726" s="22"/>
    </row>
    <row r="727" spans="1:1" ht="15.75" x14ac:dyDescent="0.25">
      <c r="A727" s="22"/>
    </row>
    <row r="728" spans="1:1" ht="15.75" x14ac:dyDescent="0.25">
      <c r="A728" s="22"/>
    </row>
    <row r="729" spans="1:1" ht="15.75" x14ac:dyDescent="0.25">
      <c r="A729" s="22"/>
    </row>
    <row r="730" spans="1:1" ht="15.75" x14ac:dyDescent="0.25">
      <c r="A730" s="22"/>
    </row>
    <row r="731" spans="1:1" ht="15.75" x14ac:dyDescent="0.25">
      <c r="A731" s="22"/>
    </row>
    <row r="732" spans="1:1" ht="15.75" x14ac:dyDescent="0.25">
      <c r="A732" s="22"/>
    </row>
    <row r="733" spans="1:1" ht="15.75" x14ac:dyDescent="0.25">
      <c r="A733" s="22"/>
    </row>
    <row r="734" spans="1:1" ht="15.75" x14ac:dyDescent="0.25">
      <c r="A734" s="22"/>
    </row>
    <row r="735" spans="1:1" ht="15.75" x14ac:dyDescent="0.25">
      <c r="A735" s="22"/>
    </row>
    <row r="736" spans="1:1" ht="15.75" x14ac:dyDescent="0.25">
      <c r="A736" s="22"/>
    </row>
    <row r="737" spans="1:1" ht="15.75" x14ac:dyDescent="0.25">
      <c r="A737" s="22"/>
    </row>
    <row r="738" spans="1:1" ht="15.75" x14ac:dyDescent="0.25">
      <c r="A738" s="22"/>
    </row>
    <row r="739" spans="1:1" ht="15.75" x14ac:dyDescent="0.25">
      <c r="A739" s="22"/>
    </row>
    <row r="740" spans="1:1" ht="15.75" x14ac:dyDescent="0.25">
      <c r="A740" s="22"/>
    </row>
    <row r="741" spans="1:1" ht="15.75" x14ac:dyDescent="0.25">
      <c r="A741" s="22"/>
    </row>
    <row r="742" spans="1:1" ht="15.75" x14ac:dyDescent="0.25">
      <c r="A742" s="22"/>
    </row>
    <row r="743" spans="1:1" ht="15.75" x14ac:dyDescent="0.25">
      <c r="A743" s="22"/>
    </row>
    <row r="744" spans="1:1" ht="15.75" x14ac:dyDescent="0.25">
      <c r="A744" s="22"/>
    </row>
    <row r="745" spans="1:1" ht="15.75" x14ac:dyDescent="0.25">
      <c r="A745" s="22"/>
    </row>
    <row r="746" spans="1:1" ht="15.75" x14ac:dyDescent="0.25">
      <c r="A746" s="22"/>
    </row>
    <row r="747" spans="1:1" ht="15.75" x14ac:dyDescent="0.25">
      <c r="A747" s="22"/>
    </row>
    <row r="748" spans="1:1" ht="15.75" x14ac:dyDescent="0.25">
      <c r="A748" s="22"/>
    </row>
    <row r="749" spans="1:1" ht="15.75" x14ac:dyDescent="0.25">
      <c r="A749" s="22"/>
    </row>
    <row r="750" spans="1:1" ht="15.75" x14ac:dyDescent="0.25">
      <c r="A750" s="22"/>
    </row>
    <row r="751" spans="1:1" ht="15.75" x14ac:dyDescent="0.25">
      <c r="A751" s="22"/>
    </row>
    <row r="752" spans="1:1" ht="15.75" x14ac:dyDescent="0.25">
      <c r="A752" s="20"/>
    </row>
    <row r="753" spans="1:1" ht="15.75" x14ac:dyDescent="0.25">
      <c r="A753" s="20"/>
    </row>
    <row r="754" spans="1:1" ht="15.75" x14ac:dyDescent="0.25">
      <c r="A754" s="20"/>
    </row>
    <row r="755" spans="1:1" ht="15.75" x14ac:dyDescent="0.25">
      <c r="A755" s="20"/>
    </row>
    <row r="756" spans="1:1" ht="15.75" x14ac:dyDescent="0.25">
      <c r="A756" s="20"/>
    </row>
    <row r="757" spans="1:1" ht="15.75" x14ac:dyDescent="0.25">
      <c r="A757" s="20"/>
    </row>
    <row r="758" spans="1:1" ht="15.75" x14ac:dyDescent="0.25">
      <c r="A758" s="20"/>
    </row>
    <row r="759" spans="1:1" ht="15.75" x14ac:dyDescent="0.25">
      <c r="A759" s="20"/>
    </row>
    <row r="760" spans="1:1" ht="15.75" x14ac:dyDescent="0.25">
      <c r="A760" s="20"/>
    </row>
    <row r="761" spans="1:1" ht="15.75" x14ac:dyDescent="0.25">
      <c r="A761" s="20"/>
    </row>
    <row r="762" spans="1:1" ht="15.75" x14ac:dyDescent="0.25">
      <c r="A762" s="20"/>
    </row>
    <row r="763" spans="1:1" ht="15.75" x14ac:dyDescent="0.25">
      <c r="A763" s="20"/>
    </row>
    <row r="764" spans="1:1" ht="15.75" x14ac:dyDescent="0.25">
      <c r="A764" s="20"/>
    </row>
    <row r="765" spans="1:1" ht="15.75" x14ac:dyDescent="0.25">
      <c r="A765" s="20"/>
    </row>
    <row r="766" spans="1:1" ht="15.75" x14ac:dyDescent="0.25">
      <c r="A766" s="20"/>
    </row>
    <row r="767" spans="1:1" ht="15.75" x14ac:dyDescent="0.25">
      <c r="A767" s="20"/>
    </row>
    <row r="768" spans="1:1" ht="15.75" x14ac:dyDescent="0.25">
      <c r="A768" s="20"/>
    </row>
    <row r="769" spans="1:1" ht="15.75" x14ac:dyDescent="0.25">
      <c r="A769" s="20"/>
    </row>
    <row r="770" spans="1:1" ht="15.75" x14ac:dyDescent="0.25">
      <c r="A770" s="20"/>
    </row>
    <row r="771" spans="1:1" ht="15.75" x14ac:dyDescent="0.25">
      <c r="A771" s="20"/>
    </row>
    <row r="772" spans="1:1" ht="15.75" x14ac:dyDescent="0.25">
      <c r="A772" s="20"/>
    </row>
    <row r="773" spans="1:1" ht="15.75" x14ac:dyDescent="0.25">
      <c r="A773" s="20"/>
    </row>
    <row r="774" spans="1:1" ht="15.75" x14ac:dyDescent="0.25">
      <c r="A774" s="20"/>
    </row>
    <row r="775" spans="1:1" ht="15.75" x14ac:dyDescent="0.25">
      <c r="A775" s="20"/>
    </row>
    <row r="776" spans="1:1" ht="15.75" x14ac:dyDescent="0.25">
      <c r="A776" s="20"/>
    </row>
    <row r="777" spans="1:1" ht="15.75" x14ac:dyDescent="0.25">
      <c r="A777" s="20"/>
    </row>
    <row r="778" spans="1:1" ht="15.75" x14ac:dyDescent="0.25">
      <c r="A778" s="20"/>
    </row>
    <row r="779" spans="1:1" ht="15.75" x14ac:dyDescent="0.25">
      <c r="A779" s="20"/>
    </row>
    <row r="780" spans="1:1" ht="15.75" x14ac:dyDescent="0.25">
      <c r="A780" s="20"/>
    </row>
    <row r="781" spans="1:1" ht="15.75" x14ac:dyDescent="0.25">
      <c r="A781" s="20"/>
    </row>
    <row r="782" spans="1:1" ht="15.75" x14ac:dyDescent="0.25">
      <c r="A782" s="20"/>
    </row>
    <row r="783" spans="1:1" ht="15.75" x14ac:dyDescent="0.25">
      <c r="A783" s="20"/>
    </row>
    <row r="784" spans="1:1" ht="15.75" x14ac:dyDescent="0.25">
      <c r="A784" s="20"/>
    </row>
    <row r="785" spans="1:1" ht="15.75" x14ac:dyDescent="0.25">
      <c r="A785" s="20"/>
    </row>
    <row r="786" spans="1:1" ht="15.75" x14ac:dyDescent="0.25">
      <c r="A786" s="20"/>
    </row>
    <row r="787" spans="1:1" ht="15.75" x14ac:dyDescent="0.25">
      <c r="A787" s="20"/>
    </row>
    <row r="788" spans="1:1" ht="15.75" x14ac:dyDescent="0.25">
      <c r="A788" s="20"/>
    </row>
    <row r="789" spans="1:1" ht="15.75" x14ac:dyDescent="0.25">
      <c r="A789" s="20"/>
    </row>
    <row r="790" spans="1:1" ht="15.75" x14ac:dyDescent="0.25">
      <c r="A790" s="20"/>
    </row>
    <row r="791" spans="1:1" ht="15.75" x14ac:dyDescent="0.25">
      <c r="A791" s="20"/>
    </row>
    <row r="792" spans="1:1" ht="15.75" x14ac:dyDescent="0.25">
      <c r="A792" s="20"/>
    </row>
    <row r="793" spans="1:1" ht="15.75" x14ac:dyDescent="0.25">
      <c r="A793" s="20"/>
    </row>
    <row r="794" spans="1:1" ht="15.75" x14ac:dyDescent="0.25">
      <c r="A794" s="20"/>
    </row>
    <row r="795" spans="1:1" ht="15.75" x14ac:dyDescent="0.25">
      <c r="A795" s="20"/>
    </row>
    <row r="796" spans="1:1" ht="15.75" x14ac:dyDescent="0.25">
      <c r="A796" s="20"/>
    </row>
    <row r="797" spans="1:1" ht="15.75" x14ac:dyDescent="0.25">
      <c r="A797" s="20"/>
    </row>
    <row r="798" spans="1:1" ht="15.75" x14ac:dyDescent="0.25">
      <c r="A798" s="20"/>
    </row>
    <row r="799" spans="1:1" ht="15.75" x14ac:dyDescent="0.25">
      <c r="A799" s="20"/>
    </row>
    <row r="800" spans="1:1" ht="15.75" x14ac:dyDescent="0.25">
      <c r="A800" s="20"/>
    </row>
    <row r="801" spans="1:1" ht="15.75" x14ac:dyDescent="0.25">
      <c r="A801" s="20"/>
    </row>
    <row r="802" spans="1:1" ht="15.75" x14ac:dyDescent="0.25">
      <c r="A802" s="20"/>
    </row>
    <row r="803" spans="1:1" ht="15.75" x14ac:dyDescent="0.25">
      <c r="A803" s="20"/>
    </row>
    <row r="804" spans="1:1" ht="15.75" x14ac:dyDescent="0.25">
      <c r="A804" s="20"/>
    </row>
    <row r="805" spans="1:1" ht="15.75" x14ac:dyDescent="0.25">
      <c r="A805" s="20"/>
    </row>
    <row r="806" spans="1:1" ht="15.75" x14ac:dyDescent="0.25">
      <c r="A806" s="20"/>
    </row>
    <row r="807" spans="1:1" ht="15.75" x14ac:dyDescent="0.25">
      <c r="A807" s="20"/>
    </row>
    <row r="808" spans="1:1" ht="15.75" x14ac:dyDescent="0.25">
      <c r="A808" s="20"/>
    </row>
    <row r="809" spans="1:1" ht="15.75" x14ac:dyDescent="0.25">
      <c r="A809" s="20"/>
    </row>
    <row r="810" spans="1:1" ht="15.75" x14ac:dyDescent="0.25">
      <c r="A810" s="20"/>
    </row>
    <row r="811" spans="1:1" ht="15.75" x14ac:dyDescent="0.25">
      <c r="A811" s="20"/>
    </row>
    <row r="812" spans="1:1" ht="15.75" x14ac:dyDescent="0.25">
      <c r="A812" s="20"/>
    </row>
    <row r="813" spans="1:1" ht="15.75" x14ac:dyDescent="0.25">
      <c r="A813" s="20"/>
    </row>
    <row r="814" spans="1:1" ht="15.75" x14ac:dyDescent="0.25">
      <c r="A814" s="20"/>
    </row>
    <row r="815" spans="1:1" ht="15.75" x14ac:dyDescent="0.25">
      <c r="A815" s="20"/>
    </row>
    <row r="816" spans="1:1" ht="15.75" x14ac:dyDescent="0.25">
      <c r="A816" s="20"/>
    </row>
    <row r="817" spans="1:1" ht="15.75" x14ac:dyDescent="0.25">
      <c r="A817" s="20"/>
    </row>
    <row r="818" spans="1:1" ht="15.75" x14ac:dyDescent="0.25">
      <c r="A818" s="20"/>
    </row>
    <row r="819" spans="1:1" ht="15.75" x14ac:dyDescent="0.25">
      <c r="A819" s="20"/>
    </row>
    <row r="820" spans="1:1" ht="15.75" x14ac:dyDescent="0.25">
      <c r="A820" s="20"/>
    </row>
    <row r="821" spans="1:1" ht="15.75" x14ac:dyDescent="0.25">
      <c r="A821" s="20"/>
    </row>
    <row r="822" spans="1:1" ht="15.75" x14ac:dyDescent="0.25">
      <c r="A822" s="20"/>
    </row>
    <row r="823" spans="1:1" ht="15.75" x14ac:dyDescent="0.25">
      <c r="A823" s="20"/>
    </row>
    <row r="824" spans="1:1" ht="15.75" x14ac:dyDescent="0.25">
      <c r="A824" s="20"/>
    </row>
    <row r="825" spans="1:1" ht="15.75" x14ac:dyDescent="0.25">
      <c r="A825" s="20"/>
    </row>
    <row r="826" spans="1:1" ht="15.75" x14ac:dyDescent="0.25">
      <c r="A826" s="20"/>
    </row>
    <row r="827" spans="1:1" ht="15.75" x14ac:dyDescent="0.25">
      <c r="A827" s="20"/>
    </row>
    <row r="828" spans="1:1" ht="15.75" x14ac:dyDescent="0.25">
      <c r="A828" s="20"/>
    </row>
    <row r="829" spans="1:1" ht="15.75" x14ac:dyDescent="0.25">
      <c r="A829" s="20"/>
    </row>
    <row r="830" spans="1:1" ht="15.75" x14ac:dyDescent="0.25">
      <c r="A830" s="20"/>
    </row>
    <row r="831" spans="1:1" ht="15.75" x14ac:dyDescent="0.25">
      <c r="A831" s="20"/>
    </row>
    <row r="832" spans="1:1" ht="15.75" x14ac:dyDescent="0.25">
      <c r="A832" s="20"/>
    </row>
    <row r="833" spans="1:1" ht="15.75" x14ac:dyDescent="0.25">
      <c r="A833" s="20"/>
    </row>
    <row r="834" spans="1:1" ht="15.75" x14ac:dyDescent="0.25">
      <c r="A834" s="20"/>
    </row>
    <row r="835" spans="1:1" ht="15.75" x14ac:dyDescent="0.25">
      <c r="A835" s="20"/>
    </row>
    <row r="836" spans="1:1" ht="15.75" x14ac:dyDescent="0.25">
      <c r="A836" s="20"/>
    </row>
    <row r="837" spans="1:1" ht="15.75" x14ac:dyDescent="0.25">
      <c r="A837" s="20"/>
    </row>
    <row r="838" spans="1:1" ht="15.75" x14ac:dyDescent="0.25">
      <c r="A838" s="20"/>
    </row>
    <row r="839" spans="1:1" ht="15.75" x14ac:dyDescent="0.25">
      <c r="A839" s="20"/>
    </row>
    <row r="840" spans="1:1" ht="15.75" x14ac:dyDescent="0.25">
      <c r="A840" s="20"/>
    </row>
    <row r="841" spans="1:1" ht="15.75" x14ac:dyDescent="0.25">
      <c r="A841" s="20"/>
    </row>
    <row r="842" spans="1:1" ht="15.75" x14ac:dyDescent="0.25">
      <c r="A842" s="20"/>
    </row>
    <row r="843" spans="1:1" ht="15.75" x14ac:dyDescent="0.25">
      <c r="A843" s="20"/>
    </row>
    <row r="844" spans="1:1" ht="15.75" x14ac:dyDescent="0.25">
      <c r="A844" s="20"/>
    </row>
    <row r="845" spans="1:1" ht="15.75" x14ac:dyDescent="0.25">
      <c r="A845" s="20"/>
    </row>
    <row r="846" spans="1:1" ht="15.75" x14ac:dyDescent="0.25">
      <c r="A846" s="20"/>
    </row>
    <row r="847" spans="1:1" ht="15.75" x14ac:dyDescent="0.25">
      <c r="A847" s="20"/>
    </row>
    <row r="848" spans="1:1" ht="15.75" x14ac:dyDescent="0.25">
      <c r="A848" s="20"/>
    </row>
    <row r="849" spans="1:1" ht="15.75" x14ac:dyDescent="0.25">
      <c r="A849" s="20"/>
    </row>
    <row r="850" spans="1:1" ht="15.75" x14ac:dyDescent="0.25">
      <c r="A850" s="20"/>
    </row>
    <row r="851" spans="1:1" ht="15.75" x14ac:dyDescent="0.25">
      <c r="A851" s="20"/>
    </row>
    <row r="852" spans="1:1" ht="15.75" x14ac:dyDescent="0.25">
      <c r="A852" s="20"/>
    </row>
    <row r="853" spans="1:1" ht="15.75" x14ac:dyDescent="0.25">
      <c r="A853" s="20"/>
    </row>
    <row r="854" spans="1:1" ht="15.75" x14ac:dyDescent="0.25">
      <c r="A854" s="20"/>
    </row>
    <row r="855" spans="1:1" ht="15.75" x14ac:dyDescent="0.25">
      <c r="A855" s="20"/>
    </row>
    <row r="856" spans="1:1" ht="15.75" x14ac:dyDescent="0.25">
      <c r="A856" s="20"/>
    </row>
    <row r="857" spans="1:1" ht="15.75" x14ac:dyDescent="0.25">
      <c r="A857" s="20"/>
    </row>
    <row r="858" spans="1:1" ht="15.75" x14ac:dyDescent="0.25">
      <c r="A858" s="20"/>
    </row>
    <row r="859" spans="1:1" ht="15.75" x14ac:dyDescent="0.25">
      <c r="A859" s="20"/>
    </row>
    <row r="860" spans="1:1" ht="15.75" x14ac:dyDescent="0.25">
      <c r="A860" s="20"/>
    </row>
    <row r="861" spans="1:1" ht="15.75" x14ac:dyDescent="0.25">
      <c r="A861" s="20"/>
    </row>
    <row r="862" spans="1:1" ht="15.75" x14ac:dyDescent="0.25">
      <c r="A862" s="20"/>
    </row>
    <row r="863" spans="1:1" ht="15.75" x14ac:dyDescent="0.25">
      <c r="A863" s="20"/>
    </row>
    <row r="864" spans="1:1" ht="15.75" x14ac:dyDescent="0.25">
      <c r="A864" s="20"/>
    </row>
    <row r="865" spans="1:1" ht="15.75" x14ac:dyDescent="0.25">
      <c r="A865" s="20"/>
    </row>
    <row r="866" spans="1:1" ht="15.75" x14ac:dyDescent="0.25">
      <c r="A866" s="20"/>
    </row>
    <row r="867" spans="1:1" ht="15.75" x14ac:dyDescent="0.25">
      <c r="A867" s="20"/>
    </row>
    <row r="868" spans="1:1" ht="15.75" x14ac:dyDescent="0.25">
      <c r="A868" s="20"/>
    </row>
    <row r="869" spans="1:1" ht="15.75" x14ac:dyDescent="0.25">
      <c r="A869" s="20"/>
    </row>
    <row r="870" spans="1:1" ht="15.75" x14ac:dyDescent="0.25">
      <c r="A870" s="20"/>
    </row>
    <row r="871" spans="1:1" ht="15.75" x14ac:dyDescent="0.25">
      <c r="A871" s="20"/>
    </row>
    <row r="872" spans="1:1" ht="15.75" x14ac:dyDescent="0.25">
      <c r="A872" s="20"/>
    </row>
    <row r="873" spans="1:1" ht="15.75" x14ac:dyDescent="0.25">
      <c r="A873" s="20"/>
    </row>
    <row r="874" spans="1:1" ht="15.75" x14ac:dyDescent="0.25">
      <c r="A874" s="20"/>
    </row>
    <row r="875" spans="1:1" ht="15.75" x14ac:dyDescent="0.25">
      <c r="A875" s="20"/>
    </row>
    <row r="876" spans="1:1" ht="15.75" x14ac:dyDescent="0.25">
      <c r="A876" s="20"/>
    </row>
    <row r="877" spans="1:1" ht="15.75" x14ac:dyDescent="0.25">
      <c r="A877" s="20"/>
    </row>
    <row r="878" spans="1:1" ht="15.75" x14ac:dyDescent="0.25">
      <c r="A878" s="20"/>
    </row>
    <row r="879" spans="1:1" ht="15.75" x14ac:dyDescent="0.25">
      <c r="A879" s="20"/>
    </row>
    <row r="880" spans="1:1" ht="15.75" x14ac:dyDescent="0.25">
      <c r="A880" s="20"/>
    </row>
    <row r="881" spans="1:1" ht="15.75" x14ac:dyDescent="0.25">
      <c r="A881" s="20"/>
    </row>
    <row r="882" spans="1:1" ht="15.75" x14ac:dyDescent="0.25">
      <c r="A882" s="20"/>
    </row>
    <row r="883" spans="1:1" ht="15.75" x14ac:dyDescent="0.25">
      <c r="A883" s="20"/>
    </row>
    <row r="884" spans="1:1" ht="15.75" x14ac:dyDescent="0.25">
      <c r="A884" s="20"/>
    </row>
    <row r="885" spans="1:1" ht="15.75" x14ac:dyDescent="0.25">
      <c r="A885" s="20"/>
    </row>
    <row r="886" spans="1:1" ht="15.75" x14ac:dyDescent="0.25">
      <c r="A886" s="20"/>
    </row>
    <row r="887" spans="1:1" ht="15.75" x14ac:dyDescent="0.25">
      <c r="A887" s="20"/>
    </row>
    <row r="888" spans="1:1" ht="15.75" x14ac:dyDescent="0.25">
      <c r="A888" s="20"/>
    </row>
    <row r="889" spans="1:1" ht="15.75" x14ac:dyDescent="0.25">
      <c r="A889" s="20"/>
    </row>
    <row r="890" spans="1:1" ht="15.75" x14ac:dyDescent="0.25">
      <c r="A890" s="20"/>
    </row>
    <row r="891" spans="1:1" ht="15.75" x14ac:dyDescent="0.25">
      <c r="A891" s="20"/>
    </row>
    <row r="892" spans="1:1" ht="15.75" x14ac:dyDescent="0.25">
      <c r="A892" s="20"/>
    </row>
    <row r="893" spans="1:1" ht="15.75" x14ac:dyDescent="0.25">
      <c r="A893" s="20"/>
    </row>
    <row r="894" spans="1:1" ht="15.75" x14ac:dyDescent="0.25">
      <c r="A894" s="20"/>
    </row>
    <row r="895" spans="1:1" ht="15.75" x14ac:dyDescent="0.25">
      <c r="A895" s="20"/>
    </row>
    <row r="896" spans="1:1" ht="15.75" x14ac:dyDescent="0.25">
      <c r="A896" s="20"/>
    </row>
    <row r="897" spans="1:1" ht="15.75" x14ac:dyDescent="0.25">
      <c r="A897" s="20"/>
    </row>
    <row r="898" spans="1:1" ht="15.75" x14ac:dyDescent="0.25">
      <c r="A898" s="20"/>
    </row>
    <row r="899" spans="1:1" ht="15.75" x14ac:dyDescent="0.25">
      <c r="A899" s="20"/>
    </row>
    <row r="900" spans="1:1" ht="15.75" x14ac:dyDescent="0.25">
      <c r="A900" s="20"/>
    </row>
    <row r="901" spans="1:1" ht="15.75" x14ac:dyDescent="0.25">
      <c r="A901" s="20"/>
    </row>
    <row r="902" spans="1:1" ht="15.75" x14ac:dyDescent="0.25">
      <c r="A902" s="20"/>
    </row>
    <row r="903" spans="1:1" ht="15.75" x14ac:dyDescent="0.25">
      <c r="A903" s="20"/>
    </row>
    <row r="904" spans="1:1" ht="15.75" x14ac:dyDescent="0.25">
      <c r="A904" s="20"/>
    </row>
    <row r="905" spans="1:1" ht="15.75" x14ac:dyDescent="0.25">
      <c r="A905" s="20"/>
    </row>
    <row r="906" spans="1:1" ht="15.75" x14ac:dyDescent="0.25">
      <c r="A906" s="20"/>
    </row>
    <row r="907" spans="1:1" ht="15.75" x14ac:dyDescent="0.25">
      <c r="A907" s="20"/>
    </row>
    <row r="908" spans="1:1" ht="15.75" x14ac:dyDescent="0.25">
      <c r="A908" s="20"/>
    </row>
    <row r="909" spans="1:1" ht="15.75" x14ac:dyDescent="0.25">
      <c r="A909" s="20"/>
    </row>
    <row r="910" spans="1:1" ht="15.75" x14ac:dyDescent="0.25">
      <c r="A910" s="20"/>
    </row>
    <row r="911" spans="1:1" ht="15.75" x14ac:dyDescent="0.25">
      <c r="A911" s="20"/>
    </row>
    <row r="912" spans="1:1" ht="15.75" x14ac:dyDescent="0.25">
      <c r="A912" s="20"/>
    </row>
    <row r="913" spans="1:1" ht="15.75" x14ac:dyDescent="0.25">
      <c r="A913" s="20"/>
    </row>
    <row r="914" spans="1:1" ht="15.75" x14ac:dyDescent="0.25">
      <c r="A914" s="20"/>
    </row>
    <row r="915" spans="1:1" ht="15.75" x14ac:dyDescent="0.25">
      <c r="A915" s="20"/>
    </row>
    <row r="916" spans="1:1" ht="15.75" x14ac:dyDescent="0.25">
      <c r="A916" s="20"/>
    </row>
    <row r="917" spans="1:1" ht="15.75" x14ac:dyDescent="0.25">
      <c r="A917" s="20"/>
    </row>
    <row r="918" spans="1:1" ht="15.75" x14ac:dyDescent="0.25">
      <c r="A918" s="20"/>
    </row>
    <row r="919" spans="1:1" ht="15.75" x14ac:dyDescent="0.25">
      <c r="A919" s="20"/>
    </row>
    <row r="920" spans="1:1" ht="15.75" x14ac:dyDescent="0.25">
      <c r="A920" s="20"/>
    </row>
    <row r="921" spans="1:1" ht="15.75" x14ac:dyDescent="0.25">
      <c r="A921" s="20"/>
    </row>
    <row r="922" spans="1:1" ht="15.75" x14ac:dyDescent="0.25">
      <c r="A922" s="20"/>
    </row>
    <row r="923" spans="1:1" ht="15.75" x14ac:dyDescent="0.25">
      <c r="A923" s="20"/>
    </row>
    <row r="924" spans="1:1" ht="15.75" x14ac:dyDescent="0.25">
      <c r="A924" s="20"/>
    </row>
    <row r="925" spans="1:1" ht="15.75" x14ac:dyDescent="0.25">
      <c r="A925" s="20"/>
    </row>
    <row r="926" spans="1:1" ht="15.75" x14ac:dyDescent="0.25">
      <c r="A926" s="20"/>
    </row>
    <row r="927" spans="1:1" ht="15.75" x14ac:dyDescent="0.25">
      <c r="A927" s="20"/>
    </row>
    <row r="928" spans="1:1" ht="15.75" x14ac:dyDescent="0.25">
      <c r="A928" s="20"/>
    </row>
    <row r="929" spans="1:1" ht="15.75" x14ac:dyDescent="0.25">
      <c r="A929" s="20"/>
    </row>
    <row r="930" spans="1:1" ht="15.75" x14ac:dyDescent="0.25">
      <c r="A930" s="20"/>
    </row>
    <row r="931" spans="1:1" ht="15.75" x14ac:dyDescent="0.25">
      <c r="A931" s="20"/>
    </row>
    <row r="932" spans="1:1" ht="15.75" x14ac:dyDescent="0.25">
      <c r="A932" s="20"/>
    </row>
    <row r="933" spans="1:1" ht="15.75" x14ac:dyDescent="0.25">
      <c r="A933" s="20"/>
    </row>
    <row r="934" spans="1:1" ht="15.75" x14ac:dyDescent="0.25">
      <c r="A934" s="20"/>
    </row>
    <row r="935" spans="1:1" ht="15.75" x14ac:dyDescent="0.25">
      <c r="A935" s="20"/>
    </row>
    <row r="936" spans="1:1" ht="15.75" x14ac:dyDescent="0.25">
      <c r="A936" s="20"/>
    </row>
    <row r="937" spans="1:1" ht="15.75" x14ac:dyDescent="0.25">
      <c r="A937" s="20"/>
    </row>
    <row r="938" spans="1:1" ht="15.75" x14ac:dyDescent="0.25">
      <c r="A938" s="20"/>
    </row>
    <row r="939" spans="1:1" ht="15.75" x14ac:dyDescent="0.25">
      <c r="A939" s="20"/>
    </row>
    <row r="940" spans="1:1" ht="15.75" x14ac:dyDescent="0.25">
      <c r="A940" s="20"/>
    </row>
    <row r="941" spans="1:1" ht="15.75" x14ac:dyDescent="0.25">
      <c r="A941" s="20"/>
    </row>
    <row r="942" spans="1:1" ht="15.75" x14ac:dyDescent="0.25">
      <c r="A942" s="20"/>
    </row>
    <row r="943" spans="1:1" ht="15.75" x14ac:dyDescent="0.25">
      <c r="A943" s="20"/>
    </row>
    <row r="944" spans="1:1" ht="15.75" x14ac:dyDescent="0.25">
      <c r="A944" s="20"/>
    </row>
    <row r="945" spans="1:1" ht="15.75" x14ac:dyDescent="0.25">
      <c r="A945" s="20"/>
    </row>
    <row r="946" spans="1:1" ht="15.75" x14ac:dyDescent="0.25">
      <c r="A946" s="20"/>
    </row>
    <row r="947" spans="1:1" ht="15.75" x14ac:dyDescent="0.25">
      <c r="A947" s="20"/>
    </row>
    <row r="948" spans="1:1" ht="15.75" x14ac:dyDescent="0.25">
      <c r="A948" s="20"/>
    </row>
    <row r="949" spans="1:1" ht="15.75" x14ac:dyDescent="0.25">
      <c r="A949" s="20"/>
    </row>
    <row r="950" spans="1:1" ht="15.75" x14ac:dyDescent="0.25">
      <c r="A950" s="20"/>
    </row>
    <row r="951" spans="1:1" ht="15.75" x14ac:dyDescent="0.25">
      <c r="A951" s="20"/>
    </row>
    <row r="952" spans="1:1" ht="15.75" x14ac:dyDescent="0.25">
      <c r="A952" s="20"/>
    </row>
    <row r="953" spans="1:1" ht="15.75" x14ac:dyDescent="0.25">
      <c r="A953" s="20"/>
    </row>
    <row r="954" spans="1:1" ht="15.75" x14ac:dyDescent="0.25">
      <c r="A954" s="20"/>
    </row>
    <row r="955" spans="1:1" ht="15.75" x14ac:dyDescent="0.25">
      <c r="A955" s="20"/>
    </row>
    <row r="956" spans="1:1" ht="15.75" x14ac:dyDescent="0.25">
      <c r="A956" s="20"/>
    </row>
    <row r="957" spans="1:1" ht="15.75" x14ac:dyDescent="0.25">
      <c r="A957" s="20"/>
    </row>
    <row r="958" spans="1:1" ht="15.75" x14ac:dyDescent="0.25">
      <c r="A958" s="20"/>
    </row>
    <row r="959" spans="1:1" ht="15.75" x14ac:dyDescent="0.25">
      <c r="A959" s="20"/>
    </row>
    <row r="960" spans="1:1" ht="15.75" x14ac:dyDescent="0.25">
      <c r="A960" s="20"/>
    </row>
    <row r="961" spans="1:1" ht="15.75" x14ac:dyDescent="0.25">
      <c r="A961" s="11"/>
    </row>
    <row r="962" spans="1:1" ht="15.75" x14ac:dyDescent="0.25">
      <c r="A962" s="11"/>
    </row>
    <row r="963" spans="1:1" ht="15.75" x14ac:dyDescent="0.25">
      <c r="A963" s="11"/>
    </row>
    <row r="964" spans="1:1" ht="15.75" x14ac:dyDescent="0.25">
      <c r="A964" s="11"/>
    </row>
    <row r="965" spans="1:1" ht="15.75" x14ac:dyDescent="0.25">
      <c r="A965" s="11"/>
    </row>
    <row r="966" spans="1:1" ht="15.75" x14ac:dyDescent="0.25">
      <c r="A966" s="11"/>
    </row>
    <row r="967" spans="1:1" ht="15.75" x14ac:dyDescent="0.25">
      <c r="A967" s="11"/>
    </row>
    <row r="968" spans="1:1" ht="15.75" x14ac:dyDescent="0.25">
      <c r="A968" s="11"/>
    </row>
    <row r="969" spans="1:1" ht="15.75" x14ac:dyDescent="0.25">
      <c r="A969" s="11"/>
    </row>
    <row r="970" spans="1:1" ht="15.75" x14ac:dyDescent="0.25">
      <c r="A970" s="11"/>
    </row>
    <row r="971" spans="1:1" ht="15.75" x14ac:dyDescent="0.25">
      <c r="A971" s="11"/>
    </row>
    <row r="972" spans="1:1" ht="15.75" x14ac:dyDescent="0.25">
      <c r="A972" s="11"/>
    </row>
    <row r="973" spans="1:1" ht="15.75" x14ac:dyDescent="0.25">
      <c r="A973" s="11"/>
    </row>
    <row r="974" spans="1:1" ht="15.75" x14ac:dyDescent="0.25">
      <c r="A974" s="11"/>
    </row>
    <row r="975" spans="1:1" ht="15.75" x14ac:dyDescent="0.25">
      <c r="A975" s="11"/>
    </row>
    <row r="976" spans="1:1" ht="15.75" x14ac:dyDescent="0.25">
      <c r="A976" s="11"/>
    </row>
    <row r="977" spans="1:1" ht="15.75" x14ac:dyDescent="0.25">
      <c r="A977" s="11"/>
    </row>
    <row r="978" spans="1:1" ht="15.75" x14ac:dyDescent="0.25">
      <c r="A978" s="11"/>
    </row>
    <row r="979" spans="1:1" ht="15.75" x14ac:dyDescent="0.25">
      <c r="A979" s="11"/>
    </row>
    <row r="980" spans="1:1" ht="15.75" x14ac:dyDescent="0.25">
      <c r="A980" s="11"/>
    </row>
    <row r="981" spans="1:1" ht="15.75" x14ac:dyDescent="0.25">
      <c r="A981" s="11"/>
    </row>
    <row r="982" spans="1:1" ht="15.75" x14ac:dyDescent="0.25">
      <c r="A982" s="11"/>
    </row>
    <row r="983" spans="1:1" ht="15.75" x14ac:dyDescent="0.25">
      <c r="A983" s="11"/>
    </row>
    <row r="984" spans="1:1" ht="15.75" x14ac:dyDescent="0.25">
      <c r="A984" s="11"/>
    </row>
    <row r="985" spans="1:1" ht="15.75" x14ac:dyDescent="0.25">
      <c r="A985" s="11"/>
    </row>
    <row r="986" spans="1:1" ht="15.75" x14ac:dyDescent="0.25">
      <c r="A986" s="11"/>
    </row>
    <row r="987" spans="1:1" ht="15.75" x14ac:dyDescent="0.25">
      <c r="A987" s="11"/>
    </row>
    <row r="988" spans="1:1" ht="15.75" x14ac:dyDescent="0.25">
      <c r="A988" s="11"/>
    </row>
    <row r="989" spans="1:1" ht="15.75" x14ac:dyDescent="0.25">
      <c r="A989" s="11"/>
    </row>
    <row r="990" spans="1:1" ht="15.75" x14ac:dyDescent="0.25">
      <c r="A990" s="11"/>
    </row>
    <row r="991" spans="1:1" ht="15.75" x14ac:dyDescent="0.25">
      <c r="A991" s="11"/>
    </row>
    <row r="992" spans="1:1" ht="15.75" x14ac:dyDescent="0.25">
      <c r="A992" s="11"/>
    </row>
    <row r="993" spans="1:1" ht="15.75" x14ac:dyDescent="0.25">
      <c r="A993" s="11"/>
    </row>
    <row r="994" spans="1:1" ht="15.75" x14ac:dyDescent="0.25">
      <c r="A994" s="11"/>
    </row>
    <row r="995" spans="1:1" ht="15.75" x14ac:dyDescent="0.25">
      <c r="A995" s="11"/>
    </row>
    <row r="996" spans="1:1" ht="15.75" x14ac:dyDescent="0.25">
      <c r="A996" s="11"/>
    </row>
    <row r="997" spans="1:1" ht="15.75" x14ac:dyDescent="0.25">
      <c r="A997" s="11"/>
    </row>
    <row r="998" spans="1:1" ht="15.75" x14ac:dyDescent="0.25">
      <c r="A998" s="11"/>
    </row>
    <row r="999" spans="1:1" ht="15.75" x14ac:dyDescent="0.25">
      <c r="A999" s="11"/>
    </row>
    <row r="1000" spans="1:1" ht="15.75" x14ac:dyDescent="0.25">
      <c r="A1000" s="11"/>
    </row>
    <row r="1001" spans="1:1" ht="15.75" x14ac:dyDescent="0.25">
      <c r="A1001" s="11"/>
    </row>
    <row r="1002" spans="1:1" ht="15.75" x14ac:dyDescent="0.25">
      <c r="A1002" s="11"/>
    </row>
    <row r="1003" spans="1:1" ht="15.75" x14ac:dyDescent="0.25">
      <c r="A1003" s="11"/>
    </row>
    <row r="1004" spans="1:1" ht="15.75" x14ac:dyDescent="0.25">
      <c r="A1004" s="11"/>
    </row>
    <row r="1005" spans="1:1" ht="15.75" x14ac:dyDescent="0.25">
      <c r="A1005" s="11"/>
    </row>
    <row r="1006" spans="1:1" ht="15.75" x14ac:dyDescent="0.25">
      <c r="A1006" s="11"/>
    </row>
    <row r="1007" spans="1:1" ht="15.75" x14ac:dyDescent="0.25">
      <c r="A1007" s="11"/>
    </row>
    <row r="1008" spans="1:1" ht="15.75" x14ac:dyDescent="0.25">
      <c r="A1008" s="11"/>
    </row>
    <row r="1009" spans="1:1" ht="15.75" x14ac:dyDescent="0.25">
      <c r="A1009" s="11"/>
    </row>
    <row r="1010" spans="1:1" ht="15.75" x14ac:dyDescent="0.25">
      <c r="A1010" s="11"/>
    </row>
    <row r="1011" spans="1:1" ht="15.75" x14ac:dyDescent="0.25">
      <c r="A1011" s="11"/>
    </row>
    <row r="1012" spans="1:1" ht="15.75" x14ac:dyDescent="0.25">
      <c r="A1012" s="11"/>
    </row>
    <row r="1013" spans="1:1" ht="15.75" x14ac:dyDescent="0.25">
      <c r="A1013" s="11"/>
    </row>
    <row r="1014" spans="1:1" ht="15.75" x14ac:dyDescent="0.25">
      <c r="A1014" s="11"/>
    </row>
    <row r="1015" spans="1:1" ht="15.75" x14ac:dyDescent="0.25">
      <c r="A1015" s="11"/>
    </row>
    <row r="1016" spans="1:1" ht="15.75" x14ac:dyDescent="0.25">
      <c r="A1016" s="11"/>
    </row>
    <row r="1017" spans="1:1" ht="15.75" x14ac:dyDescent="0.25">
      <c r="A1017" s="11"/>
    </row>
    <row r="1018" spans="1:1" ht="15.75" x14ac:dyDescent="0.25">
      <c r="A1018" s="11"/>
    </row>
    <row r="1019" spans="1:1" ht="15.75" x14ac:dyDescent="0.25">
      <c r="A1019" s="11"/>
    </row>
    <row r="1020" spans="1:1" ht="15.75" x14ac:dyDescent="0.25">
      <c r="A1020" s="11"/>
    </row>
    <row r="1021" spans="1:1" ht="15.75" x14ac:dyDescent="0.25">
      <c r="A1021" s="11"/>
    </row>
    <row r="1022" spans="1:1" ht="15.75" x14ac:dyDescent="0.25">
      <c r="A1022" s="11"/>
    </row>
    <row r="1023" spans="1:1" ht="15.75" x14ac:dyDescent="0.25">
      <c r="A1023" s="11"/>
    </row>
    <row r="1024" spans="1:1" ht="15.75" x14ac:dyDescent="0.25">
      <c r="A1024" s="11"/>
    </row>
    <row r="1025" spans="1:1" ht="15.75" x14ac:dyDescent="0.25">
      <c r="A1025" s="11"/>
    </row>
    <row r="1026" spans="1:1" ht="15.75" x14ac:dyDescent="0.25">
      <c r="A1026" s="11"/>
    </row>
    <row r="1027" spans="1:1" ht="15.75" x14ac:dyDescent="0.25">
      <c r="A1027" s="11"/>
    </row>
    <row r="1028" spans="1:1" ht="15.75" x14ac:dyDescent="0.25">
      <c r="A1028" s="11"/>
    </row>
    <row r="1029" spans="1:1" ht="15.75" x14ac:dyDescent="0.25">
      <c r="A1029" s="11"/>
    </row>
    <row r="1030" spans="1:1" ht="15.75" x14ac:dyDescent="0.25">
      <c r="A1030" s="11"/>
    </row>
    <row r="1031" spans="1:1" ht="15.75" x14ac:dyDescent="0.25">
      <c r="A1031" s="11"/>
    </row>
    <row r="1032" spans="1:1" ht="15.75" x14ac:dyDescent="0.25">
      <c r="A1032" s="11"/>
    </row>
    <row r="1033" spans="1:1" ht="15.75" x14ac:dyDescent="0.25">
      <c r="A1033" s="11"/>
    </row>
    <row r="1034" spans="1:1" ht="15.75" x14ac:dyDescent="0.25">
      <c r="A1034" s="11"/>
    </row>
    <row r="1035" spans="1:1" ht="15.75" x14ac:dyDescent="0.25">
      <c r="A1035" s="11"/>
    </row>
    <row r="1036" spans="1:1" ht="15.75" x14ac:dyDescent="0.25">
      <c r="A1036" s="11"/>
    </row>
    <row r="1037" spans="1:1" ht="15.75" x14ac:dyDescent="0.25">
      <c r="A1037" s="11"/>
    </row>
    <row r="1038" spans="1:1" ht="15.75" x14ac:dyDescent="0.25">
      <c r="A1038" s="11"/>
    </row>
    <row r="1039" spans="1:1" ht="15.75" x14ac:dyDescent="0.25">
      <c r="A1039" s="11"/>
    </row>
    <row r="1040" spans="1:1" ht="15.75" x14ac:dyDescent="0.25">
      <c r="A1040" s="11"/>
    </row>
    <row r="1041" spans="1:1" ht="15.75" x14ac:dyDescent="0.25">
      <c r="A1041" s="11"/>
    </row>
    <row r="1042" spans="1:1" ht="15.75" x14ac:dyDescent="0.25">
      <c r="A1042" s="11"/>
    </row>
    <row r="1043" spans="1:1" ht="15.75" x14ac:dyDescent="0.25">
      <c r="A1043" s="11"/>
    </row>
    <row r="1044" spans="1:1" ht="15.75" x14ac:dyDescent="0.25">
      <c r="A1044" s="11"/>
    </row>
    <row r="1045" spans="1:1" ht="15.75" x14ac:dyDescent="0.25">
      <c r="A1045" s="11"/>
    </row>
    <row r="1046" spans="1:1" ht="15.75" x14ac:dyDescent="0.25">
      <c r="A1046" s="11"/>
    </row>
    <row r="1047" spans="1:1" ht="15.75" x14ac:dyDescent="0.25">
      <c r="A1047" s="11"/>
    </row>
    <row r="1048" spans="1:1" ht="15.75" x14ac:dyDescent="0.25">
      <c r="A1048" s="11"/>
    </row>
    <row r="1049" spans="1:1" ht="15.75" x14ac:dyDescent="0.25">
      <c r="A1049" s="11"/>
    </row>
    <row r="1050" spans="1:1" ht="15.75" x14ac:dyDescent="0.25">
      <c r="A1050" s="11"/>
    </row>
    <row r="1051" spans="1:1" ht="15.75" x14ac:dyDescent="0.25">
      <c r="A1051" s="11"/>
    </row>
    <row r="1052" spans="1:1" ht="15.75" x14ac:dyDescent="0.25">
      <c r="A1052" s="11"/>
    </row>
    <row r="1053" spans="1:1" ht="15.75" x14ac:dyDescent="0.25">
      <c r="A1053" s="11"/>
    </row>
    <row r="1054" spans="1:1" ht="15.75" x14ac:dyDescent="0.25">
      <c r="A1054" s="11"/>
    </row>
    <row r="1055" spans="1:1" ht="15.75" x14ac:dyDescent="0.25">
      <c r="A1055" s="11"/>
    </row>
    <row r="1056" spans="1:1" ht="15.75" x14ac:dyDescent="0.25">
      <c r="A1056" s="11"/>
    </row>
    <row r="1057" spans="1:1" ht="15.75" x14ac:dyDescent="0.25">
      <c r="A1057" s="11"/>
    </row>
    <row r="1058" spans="1:1" ht="15.75" x14ac:dyDescent="0.25">
      <c r="A1058" s="11"/>
    </row>
    <row r="1059" spans="1:1" ht="15.75" x14ac:dyDescent="0.25">
      <c r="A1059" s="11"/>
    </row>
    <row r="1060" spans="1:1" ht="15.75" x14ac:dyDescent="0.25">
      <c r="A1060" s="11"/>
    </row>
    <row r="1061" spans="1:1" ht="15.75" x14ac:dyDescent="0.25">
      <c r="A1061" s="11"/>
    </row>
    <row r="1062" spans="1:1" ht="15.75" x14ac:dyDescent="0.25">
      <c r="A1062" s="11"/>
    </row>
    <row r="1063" spans="1:1" ht="15.75" x14ac:dyDescent="0.25">
      <c r="A1063" s="11"/>
    </row>
    <row r="1064" spans="1:1" ht="15.75" x14ac:dyDescent="0.25">
      <c r="A1064" s="11"/>
    </row>
    <row r="1065" spans="1:1" ht="15.75" x14ac:dyDescent="0.25">
      <c r="A1065" s="11"/>
    </row>
    <row r="1066" spans="1:1" ht="15.75" x14ac:dyDescent="0.25">
      <c r="A1066" s="11"/>
    </row>
    <row r="1067" spans="1:1" ht="15.75" x14ac:dyDescent="0.25">
      <c r="A1067" s="11"/>
    </row>
    <row r="1068" spans="1:1" ht="15.75" x14ac:dyDescent="0.25">
      <c r="A1068" s="11"/>
    </row>
    <row r="1069" spans="1:1" ht="15.75" x14ac:dyDescent="0.25">
      <c r="A1069" s="11"/>
    </row>
    <row r="1070" spans="1:1" ht="15.75" x14ac:dyDescent="0.25">
      <c r="A1070" s="11"/>
    </row>
    <row r="1071" spans="1:1" ht="15.75" x14ac:dyDescent="0.25">
      <c r="A1071" s="11"/>
    </row>
    <row r="1072" spans="1:1" ht="15.75" x14ac:dyDescent="0.25">
      <c r="A1072" s="11"/>
    </row>
    <row r="1073" spans="1:1" ht="15.75" x14ac:dyDescent="0.25">
      <c r="A1073" s="11"/>
    </row>
    <row r="1074" spans="1:1" ht="15.75" x14ac:dyDescent="0.25">
      <c r="A1074" s="11"/>
    </row>
    <row r="1075" spans="1:1" ht="15.75" x14ac:dyDescent="0.25">
      <c r="A1075" s="11"/>
    </row>
    <row r="1076" spans="1:1" ht="15.75" x14ac:dyDescent="0.25">
      <c r="A1076" s="11"/>
    </row>
    <row r="1077" spans="1:1" ht="15.75" x14ac:dyDescent="0.25">
      <c r="A1077" s="11"/>
    </row>
    <row r="1078" spans="1:1" ht="15.75" x14ac:dyDescent="0.25">
      <c r="A1078" s="11"/>
    </row>
    <row r="1079" spans="1:1" ht="15.75" x14ac:dyDescent="0.25">
      <c r="A1079" s="11"/>
    </row>
    <row r="1080" spans="1:1" ht="15.75" x14ac:dyDescent="0.25">
      <c r="A1080" s="11"/>
    </row>
    <row r="1081" spans="1:1" ht="15.75" x14ac:dyDescent="0.25">
      <c r="A1081" s="11"/>
    </row>
    <row r="1082" spans="1:1" ht="15.75" x14ac:dyDescent="0.25">
      <c r="A1082" s="11"/>
    </row>
    <row r="1083" spans="1:1" ht="15.75" x14ac:dyDescent="0.25">
      <c r="A1083" s="11"/>
    </row>
    <row r="1084" spans="1:1" ht="15.75" x14ac:dyDescent="0.25">
      <c r="A1084" s="11"/>
    </row>
    <row r="1085" spans="1:1" ht="15.75" x14ac:dyDescent="0.25">
      <c r="A1085" s="11"/>
    </row>
    <row r="1086" spans="1:1" ht="15.75" x14ac:dyDescent="0.25">
      <c r="A1086" s="11"/>
    </row>
    <row r="1087" spans="1:1" ht="15.75" x14ac:dyDescent="0.25">
      <c r="A1087" s="11"/>
    </row>
    <row r="1088" spans="1:1" ht="15.75" x14ac:dyDescent="0.25">
      <c r="A1088" s="11"/>
    </row>
    <row r="1089" spans="1:1" ht="15.75" x14ac:dyDescent="0.25">
      <c r="A1089" s="11"/>
    </row>
    <row r="1090" spans="1:1" ht="15.75" x14ac:dyDescent="0.25">
      <c r="A1090" s="11"/>
    </row>
    <row r="1091" spans="1:1" ht="15.75" x14ac:dyDescent="0.25">
      <c r="A1091" s="11"/>
    </row>
    <row r="1092" spans="1:1" ht="15.75" x14ac:dyDescent="0.25">
      <c r="A1092" s="11"/>
    </row>
    <row r="1093" spans="1:1" ht="15.75" x14ac:dyDescent="0.25">
      <c r="A1093" s="11"/>
    </row>
    <row r="1094" spans="1:1" ht="15.75" x14ac:dyDescent="0.25">
      <c r="A1094" s="11"/>
    </row>
    <row r="1095" spans="1:1" ht="15.75" x14ac:dyDescent="0.25">
      <c r="A1095" s="11"/>
    </row>
    <row r="1096" spans="1:1" ht="15.75" x14ac:dyDescent="0.25">
      <c r="A1096" s="11"/>
    </row>
    <row r="1097" spans="1:1" ht="15.75" x14ac:dyDescent="0.25">
      <c r="A1097" s="11"/>
    </row>
    <row r="1098" spans="1:1" ht="15.75" x14ac:dyDescent="0.25">
      <c r="A1098" s="11"/>
    </row>
    <row r="1099" spans="1:1" ht="15.75" x14ac:dyDescent="0.25">
      <c r="A1099" s="11"/>
    </row>
    <row r="1100" spans="1:1" ht="15.75" x14ac:dyDescent="0.25">
      <c r="A1100" s="11"/>
    </row>
    <row r="1101" spans="1:1" ht="15.75" x14ac:dyDescent="0.25">
      <c r="A1101" s="11"/>
    </row>
    <row r="1102" spans="1:1" ht="15.75" x14ac:dyDescent="0.25">
      <c r="A1102" s="11"/>
    </row>
    <row r="1103" spans="1:1" ht="15.75" x14ac:dyDescent="0.25">
      <c r="A1103" s="11"/>
    </row>
    <row r="1104" spans="1:1" ht="15.75" x14ac:dyDescent="0.25">
      <c r="A1104" s="11"/>
    </row>
    <row r="1105" spans="1:1" ht="15.75" x14ac:dyDescent="0.25">
      <c r="A1105" s="11"/>
    </row>
    <row r="1106" spans="1:1" ht="15.75" x14ac:dyDescent="0.25">
      <c r="A1106" s="11"/>
    </row>
    <row r="1107" spans="1:1" ht="15.75" x14ac:dyDescent="0.25">
      <c r="A1107" s="11"/>
    </row>
    <row r="1108" spans="1:1" ht="15.75" x14ac:dyDescent="0.25">
      <c r="A1108" s="11"/>
    </row>
    <row r="1109" spans="1:1" ht="15.75" x14ac:dyDescent="0.25">
      <c r="A1109" s="11"/>
    </row>
    <row r="1110" spans="1:1" ht="15.75" x14ac:dyDescent="0.25">
      <c r="A1110" s="11"/>
    </row>
    <row r="1111" spans="1:1" ht="15.75" x14ac:dyDescent="0.25">
      <c r="A1111" s="11"/>
    </row>
    <row r="1112" spans="1:1" ht="15.75" x14ac:dyDescent="0.25">
      <c r="A1112" s="11"/>
    </row>
    <row r="1113" spans="1:1" ht="15.75" x14ac:dyDescent="0.25">
      <c r="A1113" s="11"/>
    </row>
    <row r="1114" spans="1:1" ht="15.75" x14ac:dyDescent="0.25">
      <c r="A1114" s="11"/>
    </row>
    <row r="1115" spans="1:1" ht="15.75" x14ac:dyDescent="0.25">
      <c r="A1115" s="11"/>
    </row>
    <row r="1116" spans="1:1" ht="15.75" x14ac:dyDescent="0.25">
      <c r="A1116" s="11"/>
    </row>
    <row r="1117" spans="1:1" ht="15.75" x14ac:dyDescent="0.25">
      <c r="A1117" s="11"/>
    </row>
    <row r="1118" spans="1:1" ht="15.75" x14ac:dyDescent="0.25">
      <c r="A1118" s="11"/>
    </row>
    <row r="1119" spans="1:1" ht="15.75" x14ac:dyDescent="0.25">
      <c r="A1119" s="11"/>
    </row>
    <row r="1120" spans="1:1" ht="15.75" x14ac:dyDescent="0.25">
      <c r="A1120" s="11"/>
    </row>
    <row r="1121" spans="1:1" ht="15.75" x14ac:dyDescent="0.25">
      <c r="A1121" s="11"/>
    </row>
    <row r="1122" spans="1:1" ht="15.75" x14ac:dyDescent="0.25">
      <c r="A1122" s="11"/>
    </row>
    <row r="1123" spans="1:1" ht="15.75" x14ac:dyDescent="0.25">
      <c r="A1123" s="11"/>
    </row>
    <row r="1124" spans="1:1" ht="15.75" x14ac:dyDescent="0.25">
      <c r="A1124" s="11"/>
    </row>
    <row r="1125" spans="1:1" ht="15.75" x14ac:dyDescent="0.25">
      <c r="A1125" s="11"/>
    </row>
    <row r="1126" spans="1:1" ht="15.75" x14ac:dyDescent="0.25">
      <c r="A1126" s="11"/>
    </row>
    <row r="1127" spans="1:1" ht="15.75" x14ac:dyDescent="0.25">
      <c r="A1127" s="11"/>
    </row>
    <row r="1128" spans="1:1" ht="15.75" x14ac:dyDescent="0.25">
      <c r="A1128" s="11"/>
    </row>
    <row r="1129" spans="1:1" ht="15.75" x14ac:dyDescent="0.25">
      <c r="A1129" s="11"/>
    </row>
    <row r="1130" spans="1:1" ht="15.75" x14ac:dyDescent="0.25">
      <c r="A1130" s="11"/>
    </row>
    <row r="1131" spans="1:1" ht="15.75" x14ac:dyDescent="0.25">
      <c r="A1131" s="11"/>
    </row>
    <row r="1132" spans="1:1" ht="15.75" x14ac:dyDescent="0.25">
      <c r="A1132" s="11"/>
    </row>
    <row r="1133" spans="1:1" ht="15.75" x14ac:dyDescent="0.25">
      <c r="A1133" s="11"/>
    </row>
    <row r="1134" spans="1:1" ht="15.75" x14ac:dyDescent="0.25">
      <c r="A1134" s="11"/>
    </row>
    <row r="1135" spans="1:1" ht="15.75" x14ac:dyDescent="0.25">
      <c r="A1135" s="11"/>
    </row>
    <row r="1136" spans="1:1" ht="15.75" x14ac:dyDescent="0.25">
      <c r="A1136" s="11"/>
    </row>
    <row r="1137" spans="1:1" ht="15.75" x14ac:dyDescent="0.25">
      <c r="A1137" s="11"/>
    </row>
    <row r="1138" spans="1:1" ht="15.75" x14ac:dyDescent="0.25">
      <c r="A1138" s="11"/>
    </row>
    <row r="1139" spans="1:1" ht="15.75" x14ac:dyDescent="0.25">
      <c r="A1139" s="11"/>
    </row>
    <row r="1140" spans="1:1" ht="15.75" x14ac:dyDescent="0.25">
      <c r="A1140" s="11"/>
    </row>
    <row r="1141" spans="1:1" ht="15.75" x14ac:dyDescent="0.25">
      <c r="A1141" s="11"/>
    </row>
    <row r="1142" spans="1:1" ht="15.75" x14ac:dyDescent="0.25">
      <c r="A1142" s="11"/>
    </row>
    <row r="1143" spans="1:1" ht="15.75" x14ac:dyDescent="0.25">
      <c r="A1143" s="11"/>
    </row>
    <row r="1144" spans="1:1" ht="15.75" x14ac:dyDescent="0.25">
      <c r="A1144" s="11"/>
    </row>
    <row r="1145" spans="1:1" ht="15.75" x14ac:dyDescent="0.25">
      <c r="A1145" s="11"/>
    </row>
    <row r="1146" spans="1:1" ht="15.75" x14ac:dyDescent="0.25">
      <c r="A1146" s="11"/>
    </row>
    <row r="1147" spans="1:1" ht="15.75" x14ac:dyDescent="0.25">
      <c r="A1147" s="11"/>
    </row>
    <row r="1148" spans="1:1" ht="15.75" x14ac:dyDescent="0.25">
      <c r="A1148" s="11"/>
    </row>
    <row r="1149" spans="1:1" ht="15.75" x14ac:dyDescent="0.25">
      <c r="A1149" s="11"/>
    </row>
    <row r="1150" spans="1:1" ht="15.75" x14ac:dyDescent="0.25">
      <c r="A1150" s="11"/>
    </row>
    <row r="1151" spans="1:1" ht="15.75" x14ac:dyDescent="0.25">
      <c r="A1151" s="11"/>
    </row>
    <row r="1152" spans="1:1" ht="15.75" x14ac:dyDescent="0.25">
      <c r="A1152" s="11"/>
    </row>
    <row r="1153" spans="1:1" ht="15.75" x14ac:dyDescent="0.25">
      <c r="A1153" s="11"/>
    </row>
    <row r="1154" spans="1:1" ht="15.75" x14ac:dyDescent="0.25">
      <c r="A1154" s="11"/>
    </row>
    <row r="1155" spans="1:1" ht="15.75" x14ac:dyDescent="0.25">
      <c r="A1155" s="11"/>
    </row>
    <row r="1156" spans="1:1" ht="15.75" x14ac:dyDescent="0.25">
      <c r="A1156" s="11"/>
    </row>
    <row r="1157" spans="1:1" ht="15.75" x14ac:dyDescent="0.25">
      <c r="A1157" s="11"/>
    </row>
    <row r="1158" spans="1:1" ht="15.75" x14ac:dyDescent="0.25">
      <c r="A1158" s="11"/>
    </row>
    <row r="1159" spans="1:1" ht="15.75" x14ac:dyDescent="0.25">
      <c r="A1159" s="11"/>
    </row>
    <row r="1160" spans="1:1" ht="15.75" x14ac:dyDescent="0.25">
      <c r="A1160" s="11"/>
    </row>
    <row r="1161" spans="1:1" ht="15.75" x14ac:dyDescent="0.25">
      <c r="A1161" s="11"/>
    </row>
    <row r="1162" spans="1:1" ht="15.75" x14ac:dyDescent="0.25">
      <c r="A1162" s="11"/>
    </row>
    <row r="1163" spans="1:1" ht="15.75" x14ac:dyDescent="0.25">
      <c r="A1163" s="11"/>
    </row>
    <row r="1164" spans="1:1" ht="15.75" x14ac:dyDescent="0.25">
      <c r="A1164" s="11"/>
    </row>
    <row r="1165" spans="1:1" ht="15.75" x14ac:dyDescent="0.25">
      <c r="A1165" s="11"/>
    </row>
    <row r="1166" spans="1:1" ht="15.75" x14ac:dyDescent="0.25">
      <c r="A1166" s="11"/>
    </row>
    <row r="1167" spans="1:1" ht="15.75" x14ac:dyDescent="0.25">
      <c r="A1167" s="11"/>
    </row>
    <row r="1168" spans="1:1" ht="15.75" x14ac:dyDescent="0.25">
      <c r="A1168" s="11"/>
    </row>
    <row r="1169" spans="1:1" ht="15.75" x14ac:dyDescent="0.25">
      <c r="A1169" s="11"/>
    </row>
    <row r="1170" spans="1:1" ht="15.75" x14ac:dyDescent="0.25">
      <c r="A1170" s="11"/>
    </row>
    <row r="1171" spans="1:1" ht="15.75" x14ac:dyDescent="0.25">
      <c r="A1171" s="11"/>
    </row>
    <row r="1172" spans="1:1" ht="15.75" x14ac:dyDescent="0.25">
      <c r="A1172" s="11"/>
    </row>
    <row r="1173" spans="1:1" ht="15.75" x14ac:dyDescent="0.25">
      <c r="A1173" s="11"/>
    </row>
    <row r="1174" spans="1:1" ht="15.75" x14ac:dyDescent="0.25">
      <c r="A1174" s="11"/>
    </row>
    <row r="1175" spans="1:1" ht="15.75" x14ac:dyDescent="0.25">
      <c r="A1175" s="11"/>
    </row>
    <row r="1176" spans="1:1" ht="15.75" x14ac:dyDescent="0.25">
      <c r="A1176" s="11"/>
    </row>
    <row r="1177" spans="1:1" ht="15.75" x14ac:dyDescent="0.25">
      <c r="A1177" s="11"/>
    </row>
    <row r="1178" spans="1:1" ht="15.75" x14ac:dyDescent="0.25">
      <c r="A1178" s="11"/>
    </row>
    <row r="1179" spans="1:1" ht="15.75" x14ac:dyDescent="0.25">
      <c r="A1179" s="11"/>
    </row>
    <row r="1180" spans="1:1" ht="15.75" x14ac:dyDescent="0.25">
      <c r="A1180" s="11"/>
    </row>
    <row r="1181" spans="1:1" ht="15.75" x14ac:dyDescent="0.25">
      <c r="A1181" s="11"/>
    </row>
    <row r="1182" spans="1:1" ht="15.75" x14ac:dyDescent="0.25">
      <c r="A1182" s="11"/>
    </row>
    <row r="1183" spans="1:1" ht="15.75" x14ac:dyDescent="0.25">
      <c r="A1183" s="11"/>
    </row>
    <row r="1184" spans="1:1" ht="15.75" x14ac:dyDescent="0.25">
      <c r="A1184" s="11"/>
    </row>
    <row r="1185" spans="1:1" ht="15.75" x14ac:dyDescent="0.25">
      <c r="A1185" s="11"/>
    </row>
    <row r="1186" spans="1:1" ht="15.75" x14ac:dyDescent="0.25">
      <c r="A1186" s="11"/>
    </row>
    <row r="1187" spans="1:1" ht="15.75" x14ac:dyDescent="0.25">
      <c r="A1187" s="11"/>
    </row>
    <row r="1188" spans="1:1" ht="15.75" x14ac:dyDescent="0.25">
      <c r="A1188" s="11"/>
    </row>
    <row r="1189" spans="1:1" ht="15.75" x14ac:dyDescent="0.25">
      <c r="A1189" s="11"/>
    </row>
    <row r="1190" spans="1:1" ht="15.75" x14ac:dyDescent="0.25">
      <c r="A1190" s="11"/>
    </row>
    <row r="1191" spans="1:1" ht="15.75" x14ac:dyDescent="0.25">
      <c r="A1191" s="11"/>
    </row>
    <row r="1192" spans="1:1" ht="15.75" x14ac:dyDescent="0.25">
      <c r="A1192" s="11"/>
    </row>
    <row r="1193" spans="1:1" ht="15.75" x14ac:dyDescent="0.25">
      <c r="A1193" s="11"/>
    </row>
    <row r="1194" spans="1:1" ht="15.75" x14ac:dyDescent="0.25">
      <c r="A1194" s="11"/>
    </row>
    <row r="1195" spans="1:1" ht="15.75" x14ac:dyDescent="0.25">
      <c r="A1195" s="11"/>
    </row>
    <row r="1196" spans="1:1" ht="15.75" x14ac:dyDescent="0.25">
      <c r="A1196" s="11"/>
    </row>
    <row r="1197" spans="1:1" ht="15.75" x14ac:dyDescent="0.25">
      <c r="A1197" s="11"/>
    </row>
    <row r="1198" spans="1:1" ht="15.75" x14ac:dyDescent="0.25">
      <c r="A1198" s="11"/>
    </row>
    <row r="1199" spans="1:1" ht="15.75" x14ac:dyDescent="0.25">
      <c r="A1199" s="11"/>
    </row>
    <row r="1200" spans="1:1" ht="15.75" x14ac:dyDescent="0.25">
      <c r="A1200" s="11"/>
    </row>
    <row r="1201" spans="1:1" ht="15.75" x14ac:dyDescent="0.25">
      <c r="A1201" s="11"/>
    </row>
    <row r="1202" spans="1:1" ht="15.75" x14ac:dyDescent="0.25">
      <c r="A1202" s="11"/>
    </row>
    <row r="1203" spans="1:1" ht="15.75" x14ac:dyDescent="0.25">
      <c r="A1203" s="11"/>
    </row>
    <row r="1204" spans="1:1" ht="15.75" x14ac:dyDescent="0.25">
      <c r="A1204" s="11"/>
    </row>
    <row r="1205" spans="1:1" ht="15.75" x14ac:dyDescent="0.25">
      <c r="A1205" s="11"/>
    </row>
    <row r="1206" spans="1:1" ht="15.75" x14ac:dyDescent="0.25">
      <c r="A1206" s="11"/>
    </row>
    <row r="1207" spans="1:1" ht="15.75" x14ac:dyDescent="0.25">
      <c r="A1207" s="11"/>
    </row>
    <row r="1208" spans="1:1" ht="15.75" x14ac:dyDescent="0.25">
      <c r="A1208" s="11"/>
    </row>
    <row r="1209" spans="1:1" ht="15.75" x14ac:dyDescent="0.25">
      <c r="A1209" s="11"/>
    </row>
    <row r="1210" spans="1:1" ht="15.75" x14ac:dyDescent="0.25">
      <c r="A1210" s="11"/>
    </row>
    <row r="1211" spans="1:1" ht="15.75" x14ac:dyDescent="0.25">
      <c r="A1211" s="11"/>
    </row>
    <row r="1212" spans="1:1" ht="15.75" x14ac:dyDescent="0.25">
      <c r="A1212" s="11"/>
    </row>
    <row r="1213" spans="1:1" ht="15.75" x14ac:dyDescent="0.25">
      <c r="A1213" s="11"/>
    </row>
    <row r="1214" spans="1:1" ht="15.75" x14ac:dyDescent="0.25">
      <c r="A1214" s="11"/>
    </row>
    <row r="1215" spans="1:1" ht="15.75" x14ac:dyDescent="0.25">
      <c r="A1215" s="11"/>
    </row>
    <row r="1216" spans="1:1" ht="15.75" x14ac:dyDescent="0.25">
      <c r="A1216" s="11"/>
    </row>
    <row r="1217" spans="1:1" ht="15.75" x14ac:dyDescent="0.25">
      <c r="A1217" s="11"/>
    </row>
    <row r="1218" spans="1:1" ht="15.75" x14ac:dyDescent="0.25">
      <c r="A1218" s="11"/>
    </row>
    <row r="1219" spans="1:1" ht="15.75" x14ac:dyDescent="0.25">
      <c r="A1219" s="11"/>
    </row>
    <row r="1220" spans="1:1" ht="15.75" x14ac:dyDescent="0.25">
      <c r="A1220" s="11"/>
    </row>
    <row r="1221" spans="1:1" ht="15.75" x14ac:dyDescent="0.25">
      <c r="A1221" s="11"/>
    </row>
    <row r="1222" spans="1:1" ht="15.75" x14ac:dyDescent="0.25">
      <c r="A1222" s="11"/>
    </row>
    <row r="1223" spans="1:1" ht="15.75" x14ac:dyDescent="0.25">
      <c r="A1223" s="11"/>
    </row>
    <row r="1224" spans="1:1" ht="15.75" x14ac:dyDescent="0.25">
      <c r="A1224" s="11"/>
    </row>
    <row r="1225" spans="1:1" ht="15.75" x14ac:dyDescent="0.25">
      <c r="A1225" s="11"/>
    </row>
    <row r="1226" spans="1:1" ht="15.75" x14ac:dyDescent="0.25">
      <c r="A1226" s="11"/>
    </row>
    <row r="1227" spans="1:1" ht="15.75" x14ac:dyDescent="0.25">
      <c r="A1227" s="11"/>
    </row>
    <row r="1228" spans="1:1" ht="15.75" x14ac:dyDescent="0.25">
      <c r="A1228" s="11"/>
    </row>
    <row r="1229" spans="1:1" ht="15.75" x14ac:dyDescent="0.25">
      <c r="A1229" s="11"/>
    </row>
    <row r="1230" spans="1:1" ht="15.75" x14ac:dyDescent="0.25">
      <c r="A1230" s="11"/>
    </row>
    <row r="1231" spans="1:1" ht="15.75" x14ac:dyDescent="0.25">
      <c r="A1231" s="11"/>
    </row>
    <row r="1232" spans="1:1" ht="15.75" x14ac:dyDescent="0.25">
      <c r="A1232" s="11"/>
    </row>
    <row r="1233" spans="1:1" ht="15.75" x14ac:dyDescent="0.25">
      <c r="A1233" s="11"/>
    </row>
    <row r="1234" spans="1:1" ht="15.75" x14ac:dyDescent="0.25">
      <c r="A1234" s="11"/>
    </row>
    <row r="1235" spans="1:1" ht="15.75" x14ac:dyDescent="0.25">
      <c r="A1235" s="11"/>
    </row>
    <row r="1236" spans="1:1" ht="15.75" x14ac:dyDescent="0.25">
      <c r="A1236" s="11"/>
    </row>
    <row r="1237" spans="1:1" ht="15.75" x14ac:dyDescent="0.25">
      <c r="A1237" s="11"/>
    </row>
    <row r="1238" spans="1:1" ht="15.75" x14ac:dyDescent="0.25">
      <c r="A1238" s="11"/>
    </row>
    <row r="1239" spans="1:1" ht="15.75" x14ac:dyDescent="0.25">
      <c r="A1239" s="11"/>
    </row>
    <row r="1240" spans="1:1" ht="15.75" x14ac:dyDescent="0.25">
      <c r="A1240" s="11"/>
    </row>
    <row r="1241" spans="1:1" ht="15.75" x14ac:dyDescent="0.25">
      <c r="A1241" s="11"/>
    </row>
    <row r="1242" spans="1:1" ht="15.75" x14ac:dyDescent="0.25">
      <c r="A1242" s="11"/>
    </row>
    <row r="1243" spans="1:1" ht="15.75" x14ac:dyDescent="0.25">
      <c r="A1243" s="11"/>
    </row>
    <row r="1244" spans="1:1" ht="15.75" x14ac:dyDescent="0.25">
      <c r="A1244" s="11"/>
    </row>
    <row r="1245" spans="1:1" ht="15.75" x14ac:dyDescent="0.25">
      <c r="A1245" s="11"/>
    </row>
    <row r="1246" spans="1:1" ht="15.75" x14ac:dyDescent="0.25">
      <c r="A1246" s="11"/>
    </row>
    <row r="1247" spans="1:1" ht="15.75" x14ac:dyDescent="0.25">
      <c r="A1247" s="11"/>
    </row>
    <row r="1248" spans="1:1" ht="15.75" x14ac:dyDescent="0.25">
      <c r="A1248" s="11"/>
    </row>
    <row r="1249" spans="1:1" ht="15.75" x14ac:dyDescent="0.25">
      <c r="A1249" s="11"/>
    </row>
    <row r="1250" spans="1:1" ht="15.75" x14ac:dyDescent="0.25">
      <c r="A1250" s="11"/>
    </row>
    <row r="1251" spans="1:1" ht="15.75" x14ac:dyDescent="0.25">
      <c r="A1251" s="11"/>
    </row>
    <row r="1252" spans="1:1" ht="15.75" x14ac:dyDescent="0.25">
      <c r="A1252" s="11"/>
    </row>
    <row r="1253" spans="1:1" ht="15.75" x14ac:dyDescent="0.25">
      <c r="A1253" s="11"/>
    </row>
    <row r="1254" spans="1:1" ht="15.75" x14ac:dyDescent="0.25">
      <c r="A1254" s="11"/>
    </row>
    <row r="1255" spans="1:1" ht="15.75" x14ac:dyDescent="0.25">
      <c r="A1255" s="11"/>
    </row>
    <row r="1256" spans="1:1" ht="15.75" x14ac:dyDescent="0.25">
      <c r="A1256" s="11"/>
    </row>
    <row r="1257" spans="1:1" ht="15.75" x14ac:dyDescent="0.25">
      <c r="A1257" s="11"/>
    </row>
    <row r="1258" spans="1:1" ht="15.75" x14ac:dyDescent="0.25">
      <c r="A1258" s="11"/>
    </row>
    <row r="1259" spans="1:1" ht="15.75" x14ac:dyDescent="0.25">
      <c r="A1259" s="11"/>
    </row>
    <row r="1260" spans="1:1" ht="15.75" x14ac:dyDescent="0.25">
      <c r="A1260" s="11"/>
    </row>
    <row r="1261" spans="1:1" ht="15.75" x14ac:dyDescent="0.25">
      <c r="A1261" s="11"/>
    </row>
    <row r="1262" spans="1:1" ht="15.75" x14ac:dyDescent="0.25">
      <c r="A1262" s="11"/>
    </row>
    <row r="1263" spans="1:1" ht="15.75" x14ac:dyDescent="0.25">
      <c r="A1263" s="11"/>
    </row>
    <row r="1264" spans="1:1" ht="15.75" x14ac:dyDescent="0.25">
      <c r="A1264" s="11"/>
    </row>
    <row r="1265" spans="1:1" ht="15.75" x14ac:dyDescent="0.25">
      <c r="A1265" s="11"/>
    </row>
    <row r="1266" spans="1:1" ht="15.75" x14ac:dyDescent="0.25">
      <c r="A1266" s="11"/>
    </row>
    <row r="1267" spans="1:1" ht="15.75" x14ac:dyDescent="0.25">
      <c r="A1267" s="11"/>
    </row>
    <row r="1268" spans="1:1" ht="15.75" x14ac:dyDescent="0.25">
      <c r="A1268" s="11"/>
    </row>
    <row r="1269" spans="1:1" ht="15.75" x14ac:dyDescent="0.25">
      <c r="A1269" s="11"/>
    </row>
    <row r="1270" spans="1:1" ht="15.75" x14ac:dyDescent="0.25">
      <c r="A1270" s="11"/>
    </row>
    <row r="1271" spans="1:1" ht="15.75" x14ac:dyDescent="0.25">
      <c r="A1271" s="11"/>
    </row>
    <row r="1272" spans="1:1" ht="15.75" x14ac:dyDescent="0.25">
      <c r="A1272" s="11"/>
    </row>
    <row r="1273" spans="1:1" ht="15.75" x14ac:dyDescent="0.25">
      <c r="A1273" s="11"/>
    </row>
    <row r="1274" spans="1:1" ht="15.75" x14ac:dyDescent="0.25">
      <c r="A1274" s="11"/>
    </row>
    <row r="1275" spans="1:1" ht="15.75" x14ac:dyDescent="0.25">
      <c r="A1275" s="11"/>
    </row>
    <row r="1276" spans="1:1" ht="15.75" x14ac:dyDescent="0.25">
      <c r="A1276" s="11"/>
    </row>
    <row r="1277" spans="1:1" ht="15.75" x14ac:dyDescent="0.25">
      <c r="A1277" s="11"/>
    </row>
    <row r="1278" spans="1:1" ht="15.75" x14ac:dyDescent="0.25">
      <c r="A1278" s="11"/>
    </row>
    <row r="1279" spans="1:1" ht="15.75" x14ac:dyDescent="0.25">
      <c r="A1279" s="11"/>
    </row>
    <row r="1280" spans="1:1" ht="15.75" x14ac:dyDescent="0.25">
      <c r="A1280" s="11"/>
    </row>
    <row r="1281" spans="1:1" ht="15.75" x14ac:dyDescent="0.25">
      <c r="A1281" s="11"/>
    </row>
    <row r="1282" spans="1:1" ht="15.75" x14ac:dyDescent="0.25">
      <c r="A1282" s="11"/>
    </row>
    <row r="1283" spans="1:1" ht="15.75" x14ac:dyDescent="0.25">
      <c r="A1283" s="11"/>
    </row>
    <row r="1284" spans="1:1" ht="15.75" x14ac:dyDescent="0.25">
      <c r="A1284" s="11"/>
    </row>
    <row r="1285" spans="1:1" ht="15.75" x14ac:dyDescent="0.25">
      <c r="A1285" s="11"/>
    </row>
    <row r="1286" spans="1:1" ht="15.75" x14ac:dyDescent="0.25">
      <c r="A1286" s="11"/>
    </row>
    <row r="1287" spans="1:1" ht="15.75" x14ac:dyDescent="0.25">
      <c r="A1287" s="11"/>
    </row>
    <row r="1288" spans="1:1" ht="15.75" x14ac:dyDescent="0.25">
      <c r="A1288" s="11"/>
    </row>
    <row r="1289" spans="1:1" ht="15.75" x14ac:dyDescent="0.25">
      <c r="A1289" s="11"/>
    </row>
    <row r="1290" spans="1:1" ht="15.75" x14ac:dyDescent="0.25">
      <c r="A1290" s="11"/>
    </row>
    <row r="1291" spans="1:1" ht="15.75" x14ac:dyDescent="0.25">
      <c r="A1291" s="11"/>
    </row>
    <row r="1292" spans="1:1" ht="15.75" x14ac:dyDescent="0.25">
      <c r="A1292" s="11"/>
    </row>
    <row r="1293" spans="1:1" ht="15.75" x14ac:dyDescent="0.25">
      <c r="A1293" s="11"/>
    </row>
    <row r="1294" spans="1:1" ht="15.75" x14ac:dyDescent="0.25">
      <c r="A1294" s="11"/>
    </row>
    <row r="1295" spans="1:1" ht="15.75" x14ac:dyDescent="0.25">
      <c r="A1295" s="11"/>
    </row>
    <row r="1296" spans="1:1" ht="15.75" x14ac:dyDescent="0.25">
      <c r="A1296" s="11"/>
    </row>
    <row r="1297" spans="1:1" ht="15.75" x14ac:dyDescent="0.25">
      <c r="A1297" s="11"/>
    </row>
    <row r="1298" spans="1:1" ht="15.75" x14ac:dyDescent="0.25">
      <c r="A1298" s="11"/>
    </row>
    <row r="1299" spans="1:1" ht="15.75" x14ac:dyDescent="0.25">
      <c r="A1299" s="11"/>
    </row>
    <row r="1300" spans="1:1" ht="15.75" x14ac:dyDescent="0.25">
      <c r="A1300" s="11"/>
    </row>
    <row r="1301" spans="1:1" ht="15.75" x14ac:dyDescent="0.25">
      <c r="A1301" s="11"/>
    </row>
    <row r="1302" spans="1:1" ht="15.75" x14ac:dyDescent="0.25">
      <c r="A1302" s="11"/>
    </row>
    <row r="1303" spans="1:1" ht="15.75" x14ac:dyDescent="0.25">
      <c r="A1303" s="11"/>
    </row>
    <row r="1304" spans="1:1" ht="15.75" x14ac:dyDescent="0.25">
      <c r="A1304" s="11"/>
    </row>
    <row r="1305" spans="1:1" ht="15.75" x14ac:dyDescent="0.25">
      <c r="A1305" s="11"/>
    </row>
    <row r="1306" spans="1:1" ht="15.75" x14ac:dyDescent="0.25">
      <c r="A1306" s="11"/>
    </row>
    <row r="1307" spans="1:1" ht="15.75" x14ac:dyDescent="0.25">
      <c r="A1307" s="11"/>
    </row>
    <row r="1308" spans="1:1" ht="15.75" x14ac:dyDescent="0.25">
      <c r="A1308" s="11"/>
    </row>
    <row r="1309" spans="1:1" ht="15.75" x14ac:dyDescent="0.25">
      <c r="A1309" s="11"/>
    </row>
    <row r="1310" spans="1:1" ht="15.75" x14ac:dyDescent="0.25">
      <c r="A1310" s="11"/>
    </row>
    <row r="1311" spans="1:1" ht="15.75" x14ac:dyDescent="0.25">
      <c r="A1311" s="11"/>
    </row>
    <row r="1312" spans="1:1" ht="15.75" x14ac:dyDescent="0.25">
      <c r="A1312" s="11"/>
    </row>
    <row r="1313" spans="1:1" ht="15.75" x14ac:dyDescent="0.25">
      <c r="A1313" s="11"/>
    </row>
    <row r="1314" spans="1:1" ht="15.75" x14ac:dyDescent="0.25">
      <c r="A1314" s="11"/>
    </row>
    <row r="1315" spans="1:1" ht="15.75" x14ac:dyDescent="0.25">
      <c r="A1315" s="11"/>
    </row>
    <row r="1316" spans="1:1" ht="15.75" x14ac:dyDescent="0.25">
      <c r="A1316" s="11"/>
    </row>
    <row r="1317" spans="1:1" ht="15.75" x14ac:dyDescent="0.25">
      <c r="A1317" s="11"/>
    </row>
    <row r="1318" spans="1:1" ht="15.75" x14ac:dyDescent="0.25">
      <c r="A1318" s="11"/>
    </row>
    <row r="1319" spans="1:1" ht="15.75" x14ac:dyDescent="0.25">
      <c r="A1319" s="11"/>
    </row>
    <row r="1320" spans="1:1" ht="15.75" x14ac:dyDescent="0.25">
      <c r="A1320" s="11"/>
    </row>
    <row r="1321" spans="1:1" ht="15.75" x14ac:dyDescent="0.25">
      <c r="A1321" s="11"/>
    </row>
    <row r="1322" spans="1:1" ht="15.75" x14ac:dyDescent="0.25">
      <c r="A1322" s="11"/>
    </row>
    <row r="1323" spans="1:1" ht="15.75" x14ac:dyDescent="0.25">
      <c r="A1323" s="11"/>
    </row>
    <row r="1324" spans="1:1" ht="15.75" x14ac:dyDescent="0.25">
      <c r="A1324" s="11"/>
    </row>
    <row r="1325" spans="1:1" ht="15.75" x14ac:dyDescent="0.25">
      <c r="A1325" s="11"/>
    </row>
    <row r="1326" spans="1:1" ht="15.75" x14ac:dyDescent="0.25">
      <c r="A1326" s="11"/>
    </row>
    <row r="1327" spans="1:1" ht="15.75" x14ac:dyDescent="0.25">
      <c r="A1327" s="11"/>
    </row>
    <row r="1328" spans="1:1" ht="15.75" x14ac:dyDescent="0.25">
      <c r="A1328" s="11"/>
    </row>
    <row r="1329" spans="1:1" ht="15.75" x14ac:dyDescent="0.25">
      <c r="A1329" s="11"/>
    </row>
    <row r="1330" spans="1:1" ht="15.75" x14ac:dyDescent="0.25">
      <c r="A1330" s="11"/>
    </row>
    <row r="1331" spans="1:1" ht="15.75" x14ac:dyDescent="0.25">
      <c r="A1331" s="11"/>
    </row>
    <row r="1332" spans="1:1" ht="15.75" x14ac:dyDescent="0.25">
      <c r="A1332" s="11"/>
    </row>
    <row r="1333" spans="1:1" ht="15.75" x14ac:dyDescent="0.25">
      <c r="A1333" s="11"/>
    </row>
    <row r="1334" spans="1:1" ht="15.75" x14ac:dyDescent="0.25">
      <c r="A1334" s="11"/>
    </row>
    <row r="1335" spans="1:1" ht="15.75" x14ac:dyDescent="0.25">
      <c r="A1335" s="11"/>
    </row>
    <row r="1336" spans="1:1" ht="15.75" x14ac:dyDescent="0.25">
      <c r="A1336" s="11"/>
    </row>
    <row r="1337" spans="1:1" ht="15.75" x14ac:dyDescent="0.25">
      <c r="A1337" s="11"/>
    </row>
    <row r="1338" spans="1:1" ht="15.75" x14ac:dyDescent="0.25">
      <c r="A1338" s="11"/>
    </row>
    <row r="1339" spans="1:1" ht="15.75" x14ac:dyDescent="0.25">
      <c r="A1339" s="11"/>
    </row>
    <row r="1340" spans="1:1" ht="15.75" x14ac:dyDescent="0.25">
      <c r="A1340" s="11"/>
    </row>
    <row r="1341" spans="1:1" ht="15.75" x14ac:dyDescent="0.25">
      <c r="A1341" s="11"/>
    </row>
    <row r="1342" spans="1:1" ht="15.75" x14ac:dyDescent="0.25">
      <c r="A1342" s="11"/>
    </row>
    <row r="1343" spans="1:1" ht="15.75" x14ac:dyDescent="0.25">
      <c r="A1343" s="11"/>
    </row>
    <row r="1344" spans="1:1" ht="15.75" x14ac:dyDescent="0.25">
      <c r="A1344" s="11"/>
    </row>
    <row r="1345" spans="1:1" ht="15.75" x14ac:dyDescent="0.25">
      <c r="A1345" s="11"/>
    </row>
    <row r="1346" spans="1:1" ht="15.75" x14ac:dyDescent="0.25">
      <c r="A1346" s="11"/>
    </row>
    <row r="1347" spans="1:1" ht="15.75" x14ac:dyDescent="0.25">
      <c r="A1347" s="11"/>
    </row>
    <row r="1348" spans="1:1" ht="15.75" x14ac:dyDescent="0.25">
      <c r="A1348" s="11"/>
    </row>
    <row r="1349" spans="1:1" ht="15.75" x14ac:dyDescent="0.25">
      <c r="A1349" s="11"/>
    </row>
    <row r="1350" spans="1:1" ht="15.75" x14ac:dyDescent="0.25">
      <c r="A1350" s="11"/>
    </row>
    <row r="1351" spans="1:1" ht="15.75" x14ac:dyDescent="0.25">
      <c r="A1351" s="11"/>
    </row>
    <row r="1352" spans="1:1" ht="15.75" x14ac:dyDescent="0.25">
      <c r="A1352" s="11"/>
    </row>
    <row r="1353" spans="1:1" ht="15.75" x14ac:dyDescent="0.25">
      <c r="A1353" s="11"/>
    </row>
    <row r="1354" spans="1:1" ht="15.75" x14ac:dyDescent="0.25">
      <c r="A1354" s="11"/>
    </row>
    <row r="1355" spans="1:1" ht="15.75" x14ac:dyDescent="0.25">
      <c r="A1355" s="11"/>
    </row>
    <row r="1356" spans="1:1" ht="15.75" x14ac:dyDescent="0.25">
      <c r="A1356" s="11"/>
    </row>
    <row r="1357" spans="1:1" ht="15.75" x14ac:dyDescent="0.25">
      <c r="A1357" s="11"/>
    </row>
    <row r="1358" spans="1:1" ht="15.75" x14ac:dyDescent="0.25">
      <c r="A1358" s="11"/>
    </row>
    <row r="1359" spans="1:1" ht="15.75" x14ac:dyDescent="0.25">
      <c r="A1359" s="11"/>
    </row>
    <row r="1360" spans="1:1" ht="15.75" x14ac:dyDescent="0.25">
      <c r="A1360" s="11"/>
    </row>
    <row r="1361" spans="1:1" ht="15.75" x14ac:dyDescent="0.25">
      <c r="A1361" s="11"/>
    </row>
    <row r="1362" spans="1:1" ht="15.75" x14ac:dyDescent="0.25">
      <c r="A1362" s="11"/>
    </row>
    <row r="1363" spans="1:1" ht="15.75" x14ac:dyDescent="0.25">
      <c r="A1363" s="11"/>
    </row>
    <row r="1364" spans="1:1" ht="15.75" x14ac:dyDescent="0.25">
      <c r="A1364" s="11"/>
    </row>
    <row r="1365" spans="1:1" ht="15.75" x14ac:dyDescent="0.25">
      <c r="A1365" s="11"/>
    </row>
    <row r="1366" spans="1:1" ht="15.75" x14ac:dyDescent="0.25">
      <c r="A1366" s="11"/>
    </row>
    <row r="1367" spans="1:1" ht="15.75" x14ac:dyDescent="0.25">
      <c r="A1367" s="11"/>
    </row>
    <row r="1368" spans="1:1" ht="15.75" x14ac:dyDescent="0.25">
      <c r="A1368" s="11"/>
    </row>
    <row r="1369" spans="1:1" ht="15.75" x14ac:dyDescent="0.25">
      <c r="A1369" s="11"/>
    </row>
    <row r="1370" spans="1:1" ht="15.75" x14ac:dyDescent="0.25">
      <c r="A1370" s="11"/>
    </row>
    <row r="1371" spans="1:1" ht="15.75" x14ac:dyDescent="0.25">
      <c r="A1371" s="11"/>
    </row>
    <row r="1372" spans="1:1" ht="15.75" x14ac:dyDescent="0.25">
      <c r="A1372" s="11"/>
    </row>
    <row r="1373" spans="1:1" ht="15.75" x14ac:dyDescent="0.25">
      <c r="A1373" s="11"/>
    </row>
    <row r="1374" spans="1:1" ht="15.75" x14ac:dyDescent="0.25">
      <c r="A1374" s="11"/>
    </row>
    <row r="1375" spans="1:1" ht="15.75" x14ac:dyDescent="0.25">
      <c r="A1375" s="11"/>
    </row>
    <row r="1376" spans="1:1" ht="15.75" x14ac:dyDescent="0.25">
      <c r="A1376" s="11"/>
    </row>
    <row r="1377" spans="1:1" ht="15.75" x14ac:dyDescent="0.25">
      <c r="A1377" s="11"/>
    </row>
    <row r="1378" spans="1:1" ht="15.75" x14ac:dyDescent="0.25">
      <c r="A1378" s="11"/>
    </row>
    <row r="1379" spans="1:1" ht="15.75" x14ac:dyDescent="0.25">
      <c r="A1379" s="11"/>
    </row>
    <row r="1380" spans="1:1" ht="15.75" x14ac:dyDescent="0.25">
      <c r="A1380" s="11"/>
    </row>
    <row r="1381" spans="1:1" ht="15.75" x14ac:dyDescent="0.25">
      <c r="A1381" s="11"/>
    </row>
    <row r="1382" spans="1:1" ht="15.75" x14ac:dyDescent="0.25">
      <c r="A1382" s="11"/>
    </row>
    <row r="1383" spans="1:1" ht="15.75" x14ac:dyDescent="0.25">
      <c r="A1383" s="11"/>
    </row>
    <row r="1384" spans="1:1" ht="15.75" x14ac:dyDescent="0.25">
      <c r="A1384" s="11"/>
    </row>
    <row r="1385" spans="1:1" ht="15.75" x14ac:dyDescent="0.25">
      <c r="A1385" s="11"/>
    </row>
    <row r="1386" spans="1:1" ht="15.75" x14ac:dyDescent="0.25">
      <c r="A1386" s="11"/>
    </row>
    <row r="1387" spans="1:1" ht="15.75" x14ac:dyDescent="0.25">
      <c r="A1387" s="11"/>
    </row>
    <row r="1388" spans="1:1" ht="15.75" x14ac:dyDescent="0.25">
      <c r="A1388" s="11"/>
    </row>
    <row r="1389" spans="1:1" ht="15.75" x14ac:dyDescent="0.25">
      <c r="A1389" s="11"/>
    </row>
    <row r="1390" spans="1:1" ht="15.75" x14ac:dyDescent="0.25">
      <c r="A1390" s="11"/>
    </row>
    <row r="1391" spans="1:1" ht="15.75" x14ac:dyDescent="0.25">
      <c r="A1391" s="11"/>
    </row>
    <row r="1392" spans="1:1" ht="15.75" x14ac:dyDescent="0.25">
      <c r="A1392" s="11"/>
    </row>
    <row r="1393" spans="1:1" ht="15.75" x14ac:dyDescent="0.25">
      <c r="A1393" s="11"/>
    </row>
    <row r="1394" spans="1:1" ht="15.75" x14ac:dyDescent="0.25">
      <c r="A1394" s="11"/>
    </row>
    <row r="1395" spans="1:1" ht="15.75" x14ac:dyDescent="0.25">
      <c r="A1395" s="11"/>
    </row>
    <row r="1396" spans="1:1" ht="15.75" x14ac:dyDescent="0.25">
      <c r="A1396" s="11"/>
    </row>
    <row r="1397" spans="1:1" ht="15.75" x14ac:dyDescent="0.25">
      <c r="A1397" s="11"/>
    </row>
    <row r="1398" spans="1:1" ht="15.75" x14ac:dyDescent="0.25">
      <c r="A1398" s="11"/>
    </row>
    <row r="1399" spans="1:1" ht="15.75" x14ac:dyDescent="0.25">
      <c r="A1399" s="11"/>
    </row>
    <row r="1400" spans="1:1" ht="15.75" x14ac:dyDescent="0.25">
      <c r="A1400" s="11"/>
    </row>
    <row r="1401" spans="1:1" ht="15.75" x14ac:dyDescent="0.25">
      <c r="A1401" s="11"/>
    </row>
    <row r="1402" spans="1:1" ht="15.75" x14ac:dyDescent="0.25">
      <c r="A1402" s="11"/>
    </row>
    <row r="1403" spans="1:1" ht="15.75" x14ac:dyDescent="0.25">
      <c r="A1403" s="11"/>
    </row>
    <row r="1404" spans="1:1" ht="15.75" x14ac:dyDescent="0.25">
      <c r="A1404" s="11"/>
    </row>
    <row r="1405" spans="1:1" ht="15.75" x14ac:dyDescent="0.25">
      <c r="A1405" s="11"/>
    </row>
    <row r="1406" spans="1:1" ht="15.75" x14ac:dyDescent="0.25">
      <c r="A1406" s="11"/>
    </row>
    <row r="1407" spans="1:1" ht="15.75" x14ac:dyDescent="0.25">
      <c r="A1407" s="11"/>
    </row>
    <row r="1408" spans="1:1" ht="15.75" x14ac:dyDescent="0.25">
      <c r="A1408" s="11"/>
    </row>
    <row r="1409" spans="1:1" ht="15.75" x14ac:dyDescent="0.25">
      <c r="A1409" s="11"/>
    </row>
    <row r="1410" spans="1:1" ht="15.75" x14ac:dyDescent="0.25">
      <c r="A1410" s="11"/>
    </row>
    <row r="1411" spans="1:1" ht="15.75" x14ac:dyDescent="0.25">
      <c r="A1411" s="11"/>
    </row>
    <row r="1412" spans="1:1" ht="15.75" x14ac:dyDescent="0.25">
      <c r="A1412" s="11"/>
    </row>
    <row r="1413" spans="1:1" ht="15.75" x14ac:dyDescent="0.25">
      <c r="A1413" s="11"/>
    </row>
    <row r="1414" spans="1:1" ht="15.75" x14ac:dyDescent="0.25">
      <c r="A1414" s="11"/>
    </row>
    <row r="1415" spans="1:1" ht="15.75" x14ac:dyDescent="0.25">
      <c r="A1415" s="11"/>
    </row>
    <row r="1416" spans="1:1" ht="15.75" x14ac:dyDescent="0.25">
      <c r="A1416" s="11"/>
    </row>
    <row r="1417" spans="1:1" ht="15.75" x14ac:dyDescent="0.25">
      <c r="A1417" s="11"/>
    </row>
    <row r="1418" spans="1:1" ht="15.75" x14ac:dyDescent="0.25">
      <c r="A1418" s="11"/>
    </row>
    <row r="1419" spans="1:1" ht="15.75" x14ac:dyDescent="0.25">
      <c r="A1419" s="11"/>
    </row>
    <row r="1420" spans="1:1" ht="15.75" x14ac:dyDescent="0.25">
      <c r="A1420" s="11"/>
    </row>
    <row r="1421" spans="1:1" ht="15.75" x14ac:dyDescent="0.25">
      <c r="A1421" s="11"/>
    </row>
    <row r="1422" spans="1:1" ht="15.75" x14ac:dyDescent="0.25">
      <c r="A1422" s="11"/>
    </row>
    <row r="1423" spans="1:1" ht="15.75" x14ac:dyDescent="0.25">
      <c r="A1423" s="11"/>
    </row>
    <row r="1424" spans="1:1" ht="15.75" x14ac:dyDescent="0.25">
      <c r="A1424" s="11"/>
    </row>
    <row r="1425" spans="1:1" ht="15.75" x14ac:dyDescent="0.25">
      <c r="A1425" s="11"/>
    </row>
    <row r="1426" spans="1:1" ht="15.75" x14ac:dyDescent="0.25">
      <c r="A1426" s="11"/>
    </row>
    <row r="1427" spans="1:1" ht="15.75" x14ac:dyDescent="0.25">
      <c r="A1427" s="11"/>
    </row>
    <row r="1428" spans="1:1" ht="15.75" x14ac:dyDescent="0.25">
      <c r="A1428" s="11"/>
    </row>
    <row r="1429" spans="1:1" ht="15.75" x14ac:dyDescent="0.25">
      <c r="A1429" s="11"/>
    </row>
    <row r="1430" spans="1:1" ht="15.75" x14ac:dyDescent="0.25">
      <c r="A1430" s="11"/>
    </row>
    <row r="1431" spans="1:1" ht="15.75" x14ac:dyDescent="0.25">
      <c r="A1431" s="11"/>
    </row>
    <row r="1432" spans="1:1" ht="15.75" x14ac:dyDescent="0.25">
      <c r="A1432" s="11"/>
    </row>
    <row r="1433" spans="1:1" ht="15.75" x14ac:dyDescent="0.25">
      <c r="A1433" s="11"/>
    </row>
    <row r="1434" spans="1:1" ht="15.75" x14ac:dyDescent="0.25">
      <c r="A1434" s="11"/>
    </row>
    <row r="1435" spans="1:1" ht="15.75" x14ac:dyDescent="0.25">
      <c r="A1435" s="11"/>
    </row>
    <row r="1436" spans="1:1" ht="15.75" x14ac:dyDescent="0.25">
      <c r="A1436" s="11"/>
    </row>
    <row r="1437" spans="1:1" ht="15.75" x14ac:dyDescent="0.25">
      <c r="A1437" s="11"/>
    </row>
    <row r="1438" spans="1:1" ht="15.75" x14ac:dyDescent="0.25">
      <c r="A1438" s="11"/>
    </row>
    <row r="1439" spans="1:1" ht="15.75" x14ac:dyDescent="0.25">
      <c r="A1439" s="11"/>
    </row>
    <row r="1440" spans="1:1" ht="15.75" x14ac:dyDescent="0.25">
      <c r="A1440" s="11"/>
    </row>
    <row r="1441" spans="1:1" ht="15.75" x14ac:dyDescent="0.25">
      <c r="A1441" s="11"/>
    </row>
    <row r="1442" spans="1:1" ht="15.75" x14ac:dyDescent="0.25">
      <c r="A1442" s="11"/>
    </row>
    <row r="1443" spans="1:1" ht="15.75" x14ac:dyDescent="0.25">
      <c r="A1443" s="11"/>
    </row>
    <row r="1444" spans="1:1" ht="15.75" x14ac:dyDescent="0.25">
      <c r="A1444" s="11"/>
    </row>
    <row r="1445" spans="1:1" ht="15.75" x14ac:dyDescent="0.25">
      <c r="A1445" s="11"/>
    </row>
    <row r="1446" spans="1:1" ht="15.75" x14ac:dyDescent="0.25">
      <c r="A1446" s="11"/>
    </row>
    <row r="1447" spans="1:1" ht="15.75" x14ac:dyDescent="0.25">
      <c r="A1447" s="11"/>
    </row>
    <row r="1448" spans="1:1" ht="15.75" x14ac:dyDescent="0.25">
      <c r="A1448" s="11"/>
    </row>
    <row r="1449" spans="1:1" ht="15.75" x14ac:dyDescent="0.25">
      <c r="A1449" s="11"/>
    </row>
    <row r="1450" spans="1:1" ht="15.75" x14ac:dyDescent="0.25">
      <c r="A1450" s="11"/>
    </row>
    <row r="1451" spans="1:1" ht="15.75" x14ac:dyDescent="0.25">
      <c r="A1451" s="11"/>
    </row>
    <row r="1452" spans="1:1" ht="15.75" x14ac:dyDescent="0.25">
      <c r="A1452" s="11"/>
    </row>
    <row r="1453" spans="1:1" ht="15.75" x14ac:dyDescent="0.25">
      <c r="A1453" s="11"/>
    </row>
    <row r="1454" spans="1:1" ht="15.75" x14ac:dyDescent="0.25">
      <c r="A1454" s="11"/>
    </row>
    <row r="1455" spans="1:1" ht="15.75" x14ac:dyDescent="0.25">
      <c r="A1455" s="11"/>
    </row>
    <row r="1456" spans="1:1" ht="15.75" x14ac:dyDescent="0.25">
      <c r="A1456" s="11"/>
    </row>
    <row r="1457" spans="1:1" ht="15.75" x14ac:dyDescent="0.25">
      <c r="A1457" s="11"/>
    </row>
    <row r="1458" spans="1:1" ht="15.75" x14ac:dyDescent="0.25">
      <c r="A1458" s="11"/>
    </row>
    <row r="1459" spans="1:1" ht="15.75" x14ac:dyDescent="0.25">
      <c r="A1459" s="11"/>
    </row>
    <row r="1460" spans="1:1" ht="15.75" x14ac:dyDescent="0.25">
      <c r="A1460" s="11"/>
    </row>
    <row r="1461" spans="1:1" ht="15.75" x14ac:dyDescent="0.25">
      <c r="A1461" s="11"/>
    </row>
    <row r="1462" spans="1:1" ht="15.75" x14ac:dyDescent="0.25">
      <c r="A1462" s="11"/>
    </row>
    <row r="1463" spans="1:1" ht="15.75" x14ac:dyDescent="0.25">
      <c r="A1463" s="11"/>
    </row>
    <row r="1464" spans="1:1" ht="15.75" x14ac:dyDescent="0.25">
      <c r="A1464" s="11"/>
    </row>
    <row r="1465" spans="1:1" ht="15.75" x14ac:dyDescent="0.25">
      <c r="A1465" s="11"/>
    </row>
    <row r="1466" spans="1:1" ht="15.75" x14ac:dyDescent="0.25">
      <c r="A1466" s="11"/>
    </row>
    <row r="1467" spans="1:1" ht="15.75" x14ac:dyDescent="0.25">
      <c r="A1467" s="11"/>
    </row>
    <row r="1468" spans="1:1" ht="15.75" x14ac:dyDescent="0.25">
      <c r="A1468" s="11"/>
    </row>
    <row r="1469" spans="1:1" ht="15.75" x14ac:dyDescent="0.25">
      <c r="A1469" s="11"/>
    </row>
    <row r="1470" spans="1:1" ht="15.75" x14ac:dyDescent="0.25">
      <c r="A1470" s="11"/>
    </row>
    <row r="1471" spans="1:1" ht="15.75" x14ac:dyDescent="0.25">
      <c r="A1471" s="11"/>
    </row>
    <row r="1472" spans="1:1" ht="15.75" x14ac:dyDescent="0.25">
      <c r="A1472" s="11"/>
    </row>
    <row r="1473" spans="1:1" ht="15.75" x14ac:dyDescent="0.25">
      <c r="A1473" s="11"/>
    </row>
    <row r="1474" spans="1:1" ht="15.75" x14ac:dyDescent="0.25">
      <c r="A1474" s="11"/>
    </row>
    <row r="1475" spans="1:1" ht="15.75" x14ac:dyDescent="0.25">
      <c r="A1475" s="11"/>
    </row>
    <row r="1476" spans="1:1" ht="15.75" x14ac:dyDescent="0.25">
      <c r="A1476" s="11"/>
    </row>
    <row r="1477" spans="1:1" ht="15.75" x14ac:dyDescent="0.25">
      <c r="A1477" s="11"/>
    </row>
    <row r="1478" spans="1:1" ht="15.75" x14ac:dyDescent="0.25">
      <c r="A1478" s="11"/>
    </row>
    <row r="1479" spans="1:1" ht="15.75" x14ac:dyDescent="0.25">
      <c r="A1479" s="11"/>
    </row>
    <row r="1480" spans="1:1" ht="15.75" x14ac:dyDescent="0.25">
      <c r="A1480" s="11"/>
    </row>
    <row r="1481" spans="1:1" ht="15.75" x14ac:dyDescent="0.25">
      <c r="A1481" s="11"/>
    </row>
    <row r="1482" spans="1:1" ht="15.75" x14ac:dyDescent="0.25">
      <c r="A1482" s="11"/>
    </row>
    <row r="1483" spans="1:1" ht="15.75" x14ac:dyDescent="0.25">
      <c r="A1483" s="11"/>
    </row>
    <row r="1484" spans="1:1" ht="15.75" x14ac:dyDescent="0.25">
      <c r="A1484" s="11"/>
    </row>
    <row r="1485" spans="1:1" ht="15.75" x14ac:dyDescent="0.25">
      <c r="A1485" s="11"/>
    </row>
    <row r="1486" spans="1:1" ht="15.75" x14ac:dyDescent="0.25">
      <c r="A1486" s="11"/>
    </row>
    <row r="1487" spans="1:1" ht="15.75" x14ac:dyDescent="0.25">
      <c r="A1487" s="11"/>
    </row>
    <row r="1488" spans="1:1" ht="15.75" x14ac:dyDescent="0.25">
      <c r="A1488" s="11"/>
    </row>
    <row r="1489" spans="1:1" ht="15.75" x14ac:dyDescent="0.25">
      <c r="A1489" s="11"/>
    </row>
    <row r="1490" spans="1:1" ht="15.75" x14ac:dyDescent="0.25">
      <c r="A1490" s="11"/>
    </row>
    <row r="1491" spans="1:1" ht="15.75" x14ac:dyDescent="0.25">
      <c r="A1491" s="11"/>
    </row>
    <row r="1492" spans="1:1" ht="15.75" x14ac:dyDescent="0.25">
      <c r="A1492" s="11"/>
    </row>
    <row r="1493" spans="1:1" ht="15.75" x14ac:dyDescent="0.25">
      <c r="A1493" s="11"/>
    </row>
    <row r="1494" spans="1:1" ht="15.75" x14ac:dyDescent="0.25">
      <c r="A1494" s="11"/>
    </row>
    <row r="1495" spans="1:1" ht="15.75" x14ac:dyDescent="0.25">
      <c r="A1495" s="11"/>
    </row>
    <row r="1496" spans="1:1" ht="15.75" x14ac:dyDescent="0.25">
      <c r="A1496" s="11"/>
    </row>
    <row r="1497" spans="1:1" ht="15.75" x14ac:dyDescent="0.25">
      <c r="A1497" s="11"/>
    </row>
    <row r="1498" spans="1:1" ht="15.75" x14ac:dyDescent="0.25">
      <c r="A1498" s="11"/>
    </row>
    <row r="1499" spans="1:1" ht="15.75" x14ac:dyDescent="0.25">
      <c r="A1499" s="11"/>
    </row>
    <row r="1500" spans="1:1" ht="15.75" x14ac:dyDescent="0.25">
      <c r="A1500" s="11"/>
    </row>
    <row r="1501" spans="1:1" ht="15.75" x14ac:dyDescent="0.25">
      <c r="A1501" s="11"/>
    </row>
    <row r="1502" spans="1:1" ht="15.75" x14ac:dyDescent="0.25">
      <c r="A1502" s="11"/>
    </row>
    <row r="1503" spans="1:1" ht="15.75" x14ac:dyDescent="0.25">
      <c r="A1503" s="11"/>
    </row>
    <row r="1504" spans="1:1" ht="15.75" x14ac:dyDescent="0.25">
      <c r="A1504" s="11"/>
    </row>
    <row r="1505" spans="1:1" ht="15.75" x14ac:dyDescent="0.25">
      <c r="A1505" s="11"/>
    </row>
    <row r="1506" spans="1:1" ht="15.75" x14ac:dyDescent="0.25">
      <c r="A1506" s="11"/>
    </row>
    <row r="1507" spans="1:1" ht="15.75" x14ac:dyDescent="0.25">
      <c r="A1507" s="11"/>
    </row>
    <row r="1508" spans="1:1" ht="15.75" x14ac:dyDescent="0.25">
      <c r="A1508" s="11"/>
    </row>
    <row r="1509" spans="1:1" ht="15.75" x14ac:dyDescent="0.25">
      <c r="A1509" s="11"/>
    </row>
    <row r="1510" spans="1:1" ht="15.75" x14ac:dyDescent="0.25">
      <c r="A1510" s="11"/>
    </row>
    <row r="1511" spans="1:1" ht="15.75" x14ac:dyDescent="0.25">
      <c r="A1511" s="11"/>
    </row>
    <row r="1512" spans="1:1" ht="15.75" x14ac:dyDescent="0.25">
      <c r="A1512" s="11"/>
    </row>
    <row r="1513" spans="1:1" ht="15.75" x14ac:dyDescent="0.25">
      <c r="A1513" s="11"/>
    </row>
    <row r="1514" spans="1:1" ht="15.75" x14ac:dyDescent="0.25">
      <c r="A1514" s="11"/>
    </row>
    <row r="1515" spans="1:1" ht="15.75" x14ac:dyDescent="0.25">
      <c r="A1515" s="11"/>
    </row>
    <row r="1516" spans="1:1" ht="15.75" x14ac:dyDescent="0.25">
      <c r="A1516" s="11"/>
    </row>
    <row r="1517" spans="1:1" ht="15.75" x14ac:dyDescent="0.25">
      <c r="A1517" s="11"/>
    </row>
    <row r="1518" spans="1:1" ht="15.75" x14ac:dyDescent="0.25">
      <c r="A1518" s="11"/>
    </row>
    <row r="1519" spans="1:1" ht="15.75" x14ac:dyDescent="0.25">
      <c r="A1519" s="11"/>
    </row>
    <row r="1520" spans="1:1" ht="15.75" x14ac:dyDescent="0.25">
      <c r="A1520" s="11"/>
    </row>
    <row r="1521" spans="1:1" ht="15.75" x14ac:dyDescent="0.25">
      <c r="A1521" s="11"/>
    </row>
    <row r="1522" spans="1:1" ht="15.75" x14ac:dyDescent="0.25">
      <c r="A1522" s="11"/>
    </row>
    <row r="1523" spans="1:1" ht="15.75" x14ac:dyDescent="0.25">
      <c r="A1523" s="11"/>
    </row>
    <row r="1524" spans="1:1" ht="15.75" x14ac:dyDescent="0.25">
      <c r="A1524" s="11"/>
    </row>
    <row r="1525" spans="1:1" ht="15.75" x14ac:dyDescent="0.25">
      <c r="A1525" s="11"/>
    </row>
    <row r="1526" spans="1:1" ht="15.75" x14ac:dyDescent="0.25">
      <c r="A1526" s="11"/>
    </row>
    <row r="1527" spans="1:1" ht="15.75" x14ac:dyDescent="0.25">
      <c r="A1527" s="11"/>
    </row>
    <row r="1528" spans="1:1" ht="15.75" x14ac:dyDescent="0.25">
      <c r="A1528" s="11"/>
    </row>
    <row r="1529" spans="1:1" ht="15.75" x14ac:dyDescent="0.25">
      <c r="A1529" s="11"/>
    </row>
    <row r="1530" spans="1:1" ht="15.75" x14ac:dyDescent="0.25">
      <c r="A1530" s="11"/>
    </row>
    <row r="1531" spans="1:1" ht="15.75" x14ac:dyDescent="0.25">
      <c r="A1531" s="11"/>
    </row>
    <row r="1532" spans="1:1" ht="15.75" x14ac:dyDescent="0.25">
      <c r="A1532" s="11"/>
    </row>
    <row r="1533" spans="1:1" ht="15.75" x14ac:dyDescent="0.25">
      <c r="A1533" s="11"/>
    </row>
    <row r="1534" spans="1:1" ht="15.75" x14ac:dyDescent="0.25">
      <c r="A1534" s="11"/>
    </row>
    <row r="1535" spans="1:1" ht="15.75" x14ac:dyDescent="0.25">
      <c r="A1535" s="11"/>
    </row>
    <row r="1536" spans="1:1" ht="15.75" x14ac:dyDescent="0.25">
      <c r="A1536" s="11"/>
    </row>
    <row r="1537" spans="1:1" ht="15.75" x14ac:dyDescent="0.25">
      <c r="A1537" s="11"/>
    </row>
    <row r="1538" spans="1:1" ht="15.75" x14ac:dyDescent="0.25">
      <c r="A1538" s="11"/>
    </row>
    <row r="1539" spans="1:1" ht="15.75" x14ac:dyDescent="0.25">
      <c r="A1539" s="11"/>
    </row>
    <row r="1540" spans="1:1" ht="15.75" x14ac:dyDescent="0.25">
      <c r="A1540" s="11"/>
    </row>
    <row r="1541" spans="1:1" ht="15.75" x14ac:dyDescent="0.25">
      <c r="A1541" s="11"/>
    </row>
    <row r="1542" spans="1:1" ht="15.75" x14ac:dyDescent="0.25">
      <c r="A1542" s="11"/>
    </row>
    <row r="1543" spans="1:1" ht="15.75" x14ac:dyDescent="0.25">
      <c r="A1543" s="11"/>
    </row>
    <row r="1544" spans="1:1" ht="15.75" x14ac:dyDescent="0.25">
      <c r="A1544" s="11"/>
    </row>
    <row r="1545" spans="1:1" ht="15.75" x14ac:dyDescent="0.25">
      <c r="A1545" s="11"/>
    </row>
    <row r="1546" spans="1:1" ht="15.75" x14ac:dyDescent="0.25">
      <c r="A1546" s="11"/>
    </row>
    <row r="1547" spans="1:1" ht="15.75" x14ac:dyDescent="0.25">
      <c r="A1547" s="11"/>
    </row>
    <row r="1548" spans="1:1" ht="15.75" x14ac:dyDescent="0.25">
      <c r="A1548" s="11"/>
    </row>
    <row r="1549" spans="1:1" ht="15.75" x14ac:dyDescent="0.25">
      <c r="A1549" s="11"/>
    </row>
    <row r="1550" spans="1:1" ht="15.75" x14ac:dyDescent="0.25">
      <c r="A1550" s="11"/>
    </row>
    <row r="1551" spans="1:1" ht="15.75" x14ac:dyDescent="0.25">
      <c r="A1551" s="11"/>
    </row>
    <row r="1552" spans="1:1" ht="15.75" x14ac:dyDescent="0.25">
      <c r="A1552" s="11"/>
    </row>
    <row r="1553" spans="1:1" ht="15.75" x14ac:dyDescent="0.25">
      <c r="A1553" s="11"/>
    </row>
    <row r="1554" spans="1:1" ht="15.75" x14ac:dyDescent="0.25">
      <c r="A1554" s="11"/>
    </row>
    <row r="1555" spans="1:1" ht="15.75" x14ac:dyDescent="0.25">
      <c r="A1555" s="11"/>
    </row>
    <row r="1556" spans="1:1" ht="15.75" x14ac:dyDescent="0.25">
      <c r="A1556" s="11"/>
    </row>
    <row r="1557" spans="1:1" ht="15.75" x14ac:dyDescent="0.25">
      <c r="A1557" s="11"/>
    </row>
    <row r="1558" spans="1:1" ht="15.75" x14ac:dyDescent="0.25">
      <c r="A1558" s="11"/>
    </row>
    <row r="1559" spans="1:1" ht="15.75" x14ac:dyDescent="0.25">
      <c r="A1559" s="11"/>
    </row>
    <row r="1560" spans="1:1" ht="15.75" x14ac:dyDescent="0.25">
      <c r="A1560" s="11"/>
    </row>
    <row r="1561" spans="1:1" ht="15.75" x14ac:dyDescent="0.25">
      <c r="A1561" s="11"/>
    </row>
    <row r="1562" spans="1:1" ht="15.75" x14ac:dyDescent="0.25">
      <c r="A1562" s="11"/>
    </row>
    <row r="1563" spans="1:1" ht="15.75" x14ac:dyDescent="0.25">
      <c r="A1563" s="11"/>
    </row>
    <row r="1564" spans="1:1" ht="15.75" x14ac:dyDescent="0.25">
      <c r="A1564" s="11"/>
    </row>
    <row r="1565" spans="1:1" ht="15.75" x14ac:dyDescent="0.25">
      <c r="A1565" s="11"/>
    </row>
    <row r="1566" spans="1:1" ht="15.75" x14ac:dyDescent="0.25">
      <c r="A1566" s="11"/>
    </row>
    <row r="1567" spans="1:1" ht="15.75" x14ac:dyDescent="0.25">
      <c r="A1567" s="11"/>
    </row>
    <row r="1568" spans="1:1" ht="15.75" x14ac:dyDescent="0.25">
      <c r="A1568" s="11"/>
    </row>
    <row r="1569" spans="1:1" ht="15.75" x14ac:dyDescent="0.25">
      <c r="A1569" s="11"/>
    </row>
    <row r="1570" spans="1:1" ht="15.75" x14ac:dyDescent="0.25">
      <c r="A1570" s="11"/>
    </row>
    <row r="1571" spans="1:1" ht="15.75" x14ac:dyDescent="0.25">
      <c r="A1571" s="11"/>
    </row>
    <row r="1572" spans="1:1" ht="15.75" x14ac:dyDescent="0.25">
      <c r="A1572" s="11"/>
    </row>
    <row r="1573" spans="1:1" ht="15.75" x14ac:dyDescent="0.25">
      <c r="A1573" s="11"/>
    </row>
    <row r="1574" spans="1:1" ht="15.75" x14ac:dyDescent="0.25">
      <c r="A1574" s="11"/>
    </row>
    <row r="1575" spans="1:1" ht="15.75" x14ac:dyDescent="0.25">
      <c r="A1575" s="11"/>
    </row>
    <row r="1576" spans="1:1" ht="15.75" x14ac:dyDescent="0.25">
      <c r="A1576" s="11"/>
    </row>
    <row r="1577" spans="1:1" ht="15.75" x14ac:dyDescent="0.25">
      <c r="A1577" s="11"/>
    </row>
    <row r="1578" spans="1:1" ht="15.75" x14ac:dyDescent="0.25">
      <c r="A1578" s="11"/>
    </row>
    <row r="1579" spans="1:1" ht="15.75" x14ac:dyDescent="0.25">
      <c r="A1579" s="11"/>
    </row>
    <row r="1580" spans="1:1" ht="15.75" x14ac:dyDescent="0.25">
      <c r="A1580" s="11"/>
    </row>
    <row r="1581" spans="1:1" ht="15.75" x14ac:dyDescent="0.25">
      <c r="A1581" s="11"/>
    </row>
    <row r="1582" spans="1:1" ht="15.75" x14ac:dyDescent="0.25">
      <c r="A1582" s="11"/>
    </row>
    <row r="1583" spans="1:1" ht="15.75" x14ac:dyDescent="0.25">
      <c r="A1583" s="11"/>
    </row>
    <row r="1584" spans="1:1" ht="15.75" x14ac:dyDescent="0.25">
      <c r="A1584" s="11"/>
    </row>
    <row r="1585" spans="1:1" ht="15.75" x14ac:dyDescent="0.25">
      <c r="A1585" s="11"/>
    </row>
    <row r="1586" spans="1:1" ht="15.75" x14ac:dyDescent="0.25">
      <c r="A1586" s="11"/>
    </row>
    <row r="1587" spans="1:1" ht="15.75" x14ac:dyDescent="0.25">
      <c r="A1587" s="11"/>
    </row>
    <row r="1588" spans="1:1" ht="15.75" x14ac:dyDescent="0.25">
      <c r="A1588" s="11"/>
    </row>
    <row r="1589" spans="1:1" ht="15.75" x14ac:dyDescent="0.25">
      <c r="A1589" s="11"/>
    </row>
    <row r="1590" spans="1:1" ht="15.75" x14ac:dyDescent="0.25">
      <c r="A1590" s="11"/>
    </row>
    <row r="1591" spans="1:1" ht="15.75" x14ac:dyDescent="0.25">
      <c r="A1591" s="11"/>
    </row>
    <row r="1592" spans="1:1" ht="15.75" x14ac:dyDescent="0.25">
      <c r="A1592" s="11"/>
    </row>
    <row r="1593" spans="1:1" ht="15.75" x14ac:dyDescent="0.25">
      <c r="A1593" s="11"/>
    </row>
    <row r="1594" spans="1:1" ht="15.75" x14ac:dyDescent="0.25">
      <c r="A1594" s="11"/>
    </row>
    <row r="1595" spans="1:1" ht="15.75" x14ac:dyDescent="0.25">
      <c r="A1595" s="11"/>
    </row>
    <row r="1596" spans="1:1" ht="15.75" x14ac:dyDescent="0.25">
      <c r="A1596" s="11"/>
    </row>
    <row r="1597" spans="1:1" ht="15.75" x14ac:dyDescent="0.25">
      <c r="A1597" s="11"/>
    </row>
    <row r="1598" spans="1:1" ht="15.75" x14ac:dyDescent="0.25">
      <c r="A1598" s="11"/>
    </row>
    <row r="1599" spans="1:1" ht="15.75" x14ac:dyDescent="0.25">
      <c r="A1599" s="11"/>
    </row>
    <row r="1600" spans="1:1" ht="15.75" x14ac:dyDescent="0.25">
      <c r="A1600" s="11"/>
    </row>
    <row r="1601" spans="1:1" ht="15.75" x14ac:dyDescent="0.25">
      <c r="A1601" s="11"/>
    </row>
    <row r="1602" spans="1:1" ht="15.75" x14ac:dyDescent="0.25">
      <c r="A1602" s="11"/>
    </row>
    <row r="1603" spans="1:1" ht="15.75" x14ac:dyDescent="0.25">
      <c r="A1603" s="11"/>
    </row>
    <row r="1604" spans="1:1" ht="15.75" x14ac:dyDescent="0.25">
      <c r="A1604" s="11"/>
    </row>
    <row r="1605" spans="1:1" ht="15.75" x14ac:dyDescent="0.25">
      <c r="A1605" s="11"/>
    </row>
    <row r="1606" spans="1:1" ht="15.75" x14ac:dyDescent="0.25">
      <c r="A1606" s="11"/>
    </row>
    <row r="1607" spans="1:1" ht="15.75" x14ac:dyDescent="0.25">
      <c r="A1607" s="11"/>
    </row>
    <row r="1608" spans="1:1" ht="15.75" x14ac:dyDescent="0.25">
      <c r="A1608" s="11"/>
    </row>
    <row r="1609" spans="1:1" ht="15.75" x14ac:dyDescent="0.25">
      <c r="A1609" s="11"/>
    </row>
    <row r="1610" spans="1:1" ht="15.75" x14ac:dyDescent="0.25">
      <c r="A1610" s="11"/>
    </row>
    <row r="1611" spans="1:1" ht="15.75" x14ac:dyDescent="0.25">
      <c r="A1611" s="11"/>
    </row>
    <row r="1612" spans="1:1" ht="15.75" x14ac:dyDescent="0.25">
      <c r="A1612" s="11"/>
    </row>
    <row r="1613" spans="1:1" ht="15.75" x14ac:dyDescent="0.25">
      <c r="A1613" s="11"/>
    </row>
    <row r="1614" spans="1:1" ht="15.75" x14ac:dyDescent="0.25">
      <c r="A1614" s="11"/>
    </row>
    <row r="1615" spans="1:1" ht="15.75" x14ac:dyDescent="0.25">
      <c r="A1615" s="11"/>
    </row>
    <row r="1616" spans="1:1" ht="15.75" x14ac:dyDescent="0.25">
      <c r="A1616" s="11"/>
    </row>
    <row r="1617" spans="1:1" ht="15.75" x14ac:dyDescent="0.25">
      <c r="A1617" s="11"/>
    </row>
    <row r="1618" spans="1:1" ht="15.75" x14ac:dyDescent="0.25">
      <c r="A1618" s="11"/>
    </row>
    <row r="1619" spans="1:1" ht="15.75" x14ac:dyDescent="0.25">
      <c r="A1619" s="11"/>
    </row>
    <row r="1620" spans="1:1" ht="15.75" x14ac:dyDescent="0.25">
      <c r="A1620" s="11"/>
    </row>
    <row r="1621" spans="1:1" ht="15.75" x14ac:dyDescent="0.25">
      <c r="A1621" s="11"/>
    </row>
    <row r="1622" spans="1:1" ht="15.75" x14ac:dyDescent="0.25">
      <c r="A1622" s="11"/>
    </row>
    <row r="1623" spans="1:1" ht="15.75" x14ac:dyDescent="0.25">
      <c r="A1623" s="11"/>
    </row>
    <row r="1624" spans="1:1" ht="15.75" x14ac:dyDescent="0.25">
      <c r="A1624" s="11"/>
    </row>
    <row r="1625" spans="1:1" ht="15.75" x14ac:dyDescent="0.25">
      <c r="A1625" s="11"/>
    </row>
    <row r="1626" spans="1:1" ht="15.75" x14ac:dyDescent="0.25">
      <c r="A1626" s="11"/>
    </row>
    <row r="1627" spans="1:1" ht="15.75" x14ac:dyDescent="0.25">
      <c r="A1627" s="11"/>
    </row>
    <row r="1628" spans="1:1" ht="15.75" x14ac:dyDescent="0.25">
      <c r="A1628" s="11"/>
    </row>
    <row r="1629" spans="1:1" ht="15.75" x14ac:dyDescent="0.25">
      <c r="A1629" s="11"/>
    </row>
    <row r="1630" spans="1:1" ht="15.75" x14ac:dyDescent="0.25">
      <c r="A1630" s="11"/>
    </row>
    <row r="1631" spans="1:1" ht="15.75" x14ac:dyDescent="0.25">
      <c r="A1631" s="11"/>
    </row>
    <row r="1632" spans="1:1" ht="15.75" x14ac:dyDescent="0.25">
      <c r="A1632" s="11"/>
    </row>
    <row r="1633" spans="1:1" ht="15.75" x14ac:dyDescent="0.25">
      <c r="A1633" s="11"/>
    </row>
    <row r="1634" spans="1:1" ht="15.75" x14ac:dyDescent="0.25">
      <c r="A1634" s="11"/>
    </row>
    <row r="1635" spans="1:1" ht="15.75" x14ac:dyDescent="0.25">
      <c r="A1635" s="11"/>
    </row>
    <row r="1636" spans="1:1" ht="15.75" x14ac:dyDescent="0.25">
      <c r="A1636" s="11"/>
    </row>
    <row r="1637" spans="1:1" ht="15.75" x14ac:dyDescent="0.25">
      <c r="A1637" s="11"/>
    </row>
    <row r="1638" spans="1:1" ht="15.75" x14ac:dyDescent="0.25">
      <c r="A1638" s="11"/>
    </row>
    <row r="1639" spans="1:1" ht="15.75" x14ac:dyDescent="0.25">
      <c r="A1639" s="11"/>
    </row>
    <row r="1640" spans="1:1" ht="15.75" x14ac:dyDescent="0.25">
      <c r="A1640" s="11"/>
    </row>
    <row r="1641" spans="1:1" ht="15.75" x14ac:dyDescent="0.25">
      <c r="A1641" s="11"/>
    </row>
    <row r="1642" spans="1:1" ht="15.75" x14ac:dyDescent="0.25">
      <c r="A1642" s="11"/>
    </row>
    <row r="1643" spans="1:1" ht="15.75" x14ac:dyDescent="0.25">
      <c r="A1643" s="11"/>
    </row>
    <row r="1644" spans="1:1" ht="15.75" x14ac:dyDescent="0.25">
      <c r="A1644" s="11"/>
    </row>
    <row r="1645" spans="1:1" ht="15.75" x14ac:dyDescent="0.25">
      <c r="A1645" s="11"/>
    </row>
    <row r="1646" spans="1:1" ht="15.75" x14ac:dyDescent="0.25">
      <c r="A1646" s="11"/>
    </row>
    <row r="1647" spans="1:1" ht="15.75" x14ac:dyDescent="0.25">
      <c r="A1647" s="11"/>
    </row>
    <row r="1648" spans="1:1" ht="15.75" x14ac:dyDescent="0.25">
      <c r="A1648" s="11"/>
    </row>
    <row r="1649" spans="1:1" ht="15.75" x14ac:dyDescent="0.25">
      <c r="A1649" s="11"/>
    </row>
    <row r="1650" spans="1:1" ht="15.75" x14ac:dyDescent="0.25">
      <c r="A1650" s="11"/>
    </row>
    <row r="1651" spans="1:1" ht="15.75" x14ac:dyDescent="0.25">
      <c r="A1651" s="11"/>
    </row>
    <row r="1652" spans="1:1" ht="15.75" x14ac:dyDescent="0.25">
      <c r="A1652" s="11"/>
    </row>
    <row r="1653" spans="1:1" ht="15.75" x14ac:dyDescent="0.25">
      <c r="A1653" s="11"/>
    </row>
    <row r="1654" spans="1:1" ht="15.75" x14ac:dyDescent="0.25">
      <c r="A1654" s="11"/>
    </row>
    <row r="1655" spans="1:1" ht="15.75" x14ac:dyDescent="0.25">
      <c r="A1655" s="11"/>
    </row>
    <row r="1656" spans="1:1" ht="15.75" x14ac:dyDescent="0.25">
      <c r="A1656" s="11"/>
    </row>
    <row r="1657" spans="1:1" ht="15.75" x14ac:dyDescent="0.25">
      <c r="A1657" s="11"/>
    </row>
    <row r="1658" spans="1:1" ht="15.75" x14ac:dyDescent="0.25">
      <c r="A1658" s="11"/>
    </row>
    <row r="1659" spans="1:1" ht="15.75" x14ac:dyDescent="0.25">
      <c r="A1659" s="11"/>
    </row>
    <row r="1660" spans="1:1" ht="15.75" x14ac:dyDescent="0.25">
      <c r="A1660" s="11"/>
    </row>
    <row r="1661" spans="1:1" ht="15.75" x14ac:dyDescent="0.25">
      <c r="A1661" s="11"/>
    </row>
    <row r="1662" spans="1:1" ht="15.75" x14ac:dyDescent="0.25">
      <c r="A1662" s="11"/>
    </row>
    <row r="1663" spans="1:1" ht="15.75" x14ac:dyDescent="0.25">
      <c r="A1663" s="11"/>
    </row>
    <row r="1664" spans="1:1" ht="15.75" x14ac:dyDescent="0.25">
      <c r="A1664" s="11"/>
    </row>
    <row r="1665" spans="1:1" ht="15.75" x14ac:dyDescent="0.25">
      <c r="A1665" s="11"/>
    </row>
    <row r="1666" spans="1:1" ht="15.75" x14ac:dyDescent="0.25">
      <c r="A1666" s="11"/>
    </row>
    <row r="1667" spans="1:1" ht="15.75" x14ac:dyDescent="0.25">
      <c r="A1667" s="11"/>
    </row>
    <row r="1668" spans="1:1" ht="15.75" x14ac:dyDescent="0.25">
      <c r="A1668" s="11"/>
    </row>
    <row r="1669" spans="1:1" ht="15.75" x14ac:dyDescent="0.25">
      <c r="A1669" s="11"/>
    </row>
    <row r="1670" spans="1:1" ht="15.75" x14ac:dyDescent="0.25">
      <c r="A1670" s="11"/>
    </row>
    <row r="1671" spans="1:1" ht="15.75" x14ac:dyDescent="0.25">
      <c r="A1671" s="11"/>
    </row>
    <row r="1672" spans="1:1" ht="15.75" x14ac:dyDescent="0.25">
      <c r="A1672" s="11"/>
    </row>
    <row r="1673" spans="1:1" ht="15.75" x14ac:dyDescent="0.25">
      <c r="A1673" s="11"/>
    </row>
    <row r="1674" spans="1:1" ht="15.75" x14ac:dyDescent="0.25">
      <c r="A1674" s="11"/>
    </row>
    <row r="1675" spans="1:1" ht="15.75" x14ac:dyDescent="0.25">
      <c r="A1675" s="11"/>
    </row>
    <row r="1676" spans="1:1" ht="15.75" x14ac:dyDescent="0.25">
      <c r="A1676" s="11"/>
    </row>
    <row r="1677" spans="1:1" ht="15.75" x14ac:dyDescent="0.25">
      <c r="A1677" s="11"/>
    </row>
    <row r="1678" spans="1:1" ht="15.75" x14ac:dyDescent="0.25">
      <c r="A1678" s="11"/>
    </row>
    <row r="1679" spans="1:1" ht="15.75" x14ac:dyDescent="0.25">
      <c r="A1679" s="11"/>
    </row>
    <row r="1680" spans="1:1" ht="15.75" x14ac:dyDescent="0.25">
      <c r="A1680" s="11"/>
    </row>
    <row r="1681" spans="1:1" ht="15.75" x14ac:dyDescent="0.25">
      <c r="A1681" s="11"/>
    </row>
    <row r="1682" spans="1:1" ht="15.75" x14ac:dyDescent="0.25">
      <c r="A1682" s="11"/>
    </row>
    <row r="1683" spans="1:1" ht="15.75" x14ac:dyDescent="0.25">
      <c r="A1683" s="11"/>
    </row>
    <row r="1684" spans="1:1" ht="15.75" x14ac:dyDescent="0.25">
      <c r="A1684" s="11"/>
    </row>
    <row r="1685" spans="1:1" ht="15.75" x14ac:dyDescent="0.25">
      <c r="A1685" s="11"/>
    </row>
    <row r="1686" spans="1:1" ht="15.75" x14ac:dyDescent="0.25">
      <c r="A1686" s="11"/>
    </row>
    <row r="1687" spans="1:1" ht="15.75" x14ac:dyDescent="0.25">
      <c r="A1687" s="11"/>
    </row>
    <row r="1688" spans="1:1" ht="15.75" x14ac:dyDescent="0.25">
      <c r="A1688" s="11"/>
    </row>
    <row r="1689" spans="1:1" ht="15.75" x14ac:dyDescent="0.25">
      <c r="A1689" s="11"/>
    </row>
    <row r="1690" spans="1:1" ht="15.75" x14ac:dyDescent="0.25">
      <c r="A1690" s="11"/>
    </row>
    <row r="1691" spans="1:1" ht="15.75" x14ac:dyDescent="0.25">
      <c r="A1691" s="11"/>
    </row>
    <row r="1692" spans="1:1" ht="15.75" x14ac:dyDescent="0.25">
      <c r="A1692" s="11"/>
    </row>
    <row r="1693" spans="1:1" ht="15.75" x14ac:dyDescent="0.25">
      <c r="A1693" s="11"/>
    </row>
    <row r="1694" spans="1:1" ht="15.75" x14ac:dyDescent="0.25">
      <c r="A1694" s="11"/>
    </row>
    <row r="1695" spans="1:1" ht="15.75" x14ac:dyDescent="0.25">
      <c r="A1695" s="11"/>
    </row>
    <row r="1696" spans="1:1" ht="15.75" x14ac:dyDescent="0.25">
      <c r="A1696" s="11"/>
    </row>
    <row r="1697" spans="1:1" ht="15.75" x14ac:dyDescent="0.25">
      <c r="A1697" s="11"/>
    </row>
    <row r="1698" spans="1:1" ht="15.75" x14ac:dyDescent="0.25">
      <c r="A1698" s="11"/>
    </row>
    <row r="1699" spans="1:1" ht="15.75" x14ac:dyDescent="0.25">
      <c r="A1699" s="11"/>
    </row>
    <row r="1700" spans="1:1" ht="15.75" x14ac:dyDescent="0.25">
      <c r="A1700" s="11"/>
    </row>
    <row r="1701" spans="1:1" ht="15.75" x14ac:dyDescent="0.25">
      <c r="A1701" s="11"/>
    </row>
    <row r="1702" spans="1:1" ht="15.75" x14ac:dyDescent="0.25">
      <c r="A1702" s="11"/>
    </row>
    <row r="1703" spans="1:1" ht="15.75" x14ac:dyDescent="0.25">
      <c r="A1703" s="11"/>
    </row>
    <row r="1704" spans="1:1" ht="15.75" x14ac:dyDescent="0.25">
      <c r="A1704" s="11"/>
    </row>
    <row r="1705" spans="1:1" ht="15.75" x14ac:dyDescent="0.25">
      <c r="A1705" s="11"/>
    </row>
    <row r="1706" spans="1:1" ht="15.75" x14ac:dyDescent="0.25">
      <c r="A1706" s="11"/>
    </row>
    <row r="1707" spans="1:1" ht="15.75" x14ac:dyDescent="0.25">
      <c r="A1707" s="11"/>
    </row>
    <row r="1708" spans="1:1" ht="15.75" x14ac:dyDescent="0.25">
      <c r="A1708" s="11"/>
    </row>
    <row r="1709" spans="1:1" ht="15.75" x14ac:dyDescent="0.25">
      <c r="A1709" s="11"/>
    </row>
    <row r="1710" spans="1:1" ht="15.75" x14ac:dyDescent="0.25">
      <c r="A1710" s="11"/>
    </row>
    <row r="1711" spans="1:1" ht="15.75" x14ac:dyDescent="0.25">
      <c r="A1711" s="11"/>
    </row>
    <row r="1712" spans="1:1" ht="15.75" x14ac:dyDescent="0.25">
      <c r="A1712" s="11"/>
    </row>
    <row r="1713" spans="1:1" ht="15.75" x14ac:dyDescent="0.25">
      <c r="A1713" s="11"/>
    </row>
    <row r="1714" spans="1:1" ht="15.75" x14ac:dyDescent="0.25">
      <c r="A1714" s="11"/>
    </row>
    <row r="1715" spans="1:1" ht="15.75" x14ac:dyDescent="0.25">
      <c r="A1715" s="11"/>
    </row>
    <row r="1716" spans="1:1" ht="15.75" x14ac:dyDescent="0.25">
      <c r="A1716" s="11"/>
    </row>
    <row r="1717" spans="1:1" ht="15.75" x14ac:dyDescent="0.25">
      <c r="A1717" s="11"/>
    </row>
    <row r="1718" spans="1:1" ht="15.75" x14ac:dyDescent="0.25">
      <c r="A1718" s="11"/>
    </row>
    <row r="1719" spans="1:1" ht="15.75" x14ac:dyDescent="0.25">
      <c r="A1719" s="11"/>
    </row>
    <row r="1720" spans="1:1" ht="15.75" x14ac:dyDescent="0.25">
      <c r="A1720" s="11"/>
    </row>
    <row r="1721" spans="1:1" ht="15.75" x14ac:dyDescent="0.25">
      <c r="A1721" s="11"/>
    </row>
    <row r="1722" spans="1:1" ht="15.75" x14ac:dyDescent="0.25">
      <c r="A1722" s="11"/>
    </row>
    <row r="1723" spans="1:1" ht="15.75" x14ac:dyDescent="0.25">
      <c r="A1723" s="11"/>
    </row>
    <row r="1724" spans="1:1" ht="15.75" x14ac:dyDescent="0.25">
      <c r="A1724" s="11"/>
    </row>
    <row r="1725" spans="1:1" ht="15.75" x14ac:dyDescent="0.25">
      <c r="A1725" s="11"/>
    </row>
    <row r="1726" spans="1:1" ht="15.75" x14ac:dyDescent="0.25">
      <c r="A1726" s="11"/>
    </row>
    <row r="1727" spans="1:1" ht="15.75" x14ac:dyDescent="0.25">
      <c r="A1727" s="11"/>
    </row>
    <row r="1728" spans="1:1" ht="15.75" x14ac:dyDescent="0.25">
      <c r="A1728" s="11"/>
    </row>
    <row r="1729" spans="1:1" ht="15.75" x14ac:dyDescent="0.25">
      <c r="A1729" s="11"/>
    </row>
    <row r="1730" spans="1:1" ht="15.75" x14ac:dyDescent="0.25">
      <c r="A1730" s="11"/>
    </row>
    <row r="1731" spans="1:1" ht="15.75" x14ac:dyDescent="0.25">
      <c r="A1731" s="11"/>
    </row>
    <row r="1732" spans="1:1" ht="15.75" x14ac:dyDescent="0.25">
      <c r="A1732" s="11"/>
    </row>
    <row r="1733" spans="1:1" ht="15.75" x14ac:dyDescent="0.25">
      <c r="A1733" s="11"/>
    </row>
    <row r="1734" spans="1:1" ht="15.75" x14ac:dyDescent="0.25">
      <c r="A1734" s="11"/>
    </row>
    <row r="1735" spans="1:1" ht="15.75" x14ac:dyDescent="0.25">
      <c r="A1735" s="11"/>
    </row>
    <row r="1736" spans="1:1" ht="15.75" x14ac:dyDescent="0.25">
      <c r="A1736" s="11"/>
    </row>
    <row r="1737" spans="1:1" ht="15.75" x14ac:dyDescent="0.25">
      <c r="A1737" s="11"/>
    </row>
    <row r="1738" spans="1:1" ht="15.75" x14ac:dyDescent="0.25">
      <c r="A1738" s="11"/>
    </row>
    <row r="1739" spans="1:1" ht="15.75" x14ac:dyDescent="0.25">
      <c r="A1739" s="11"/>
    </row>
    <row r="1740" spans="1:1" ht="15.75" x14ac:dyDescent="0.25">
      <c r="A1740" s="11"/>
    </row>
    <row r="1741" spans="1:1" ht="15.75" x14ac:dyDescent="0.25">
      <c r="A1741" s="11"/>
    </row>
    <row r="1742" spans="1:1" ht="15.75" x14ac:dyDescent="0.25">
      <c r="A1742" s="11"/>
    </row>
    <row r="1743" spans="1:1" ht="15.75" x14ac:dyDescent="0.25">
      <c r="A1743" s="11"/>
    </row>
    <row r="1744" spans="1:1" ht="15.75" x14ac:dyDescent="0.25">
      <c r="A1744" s="11"/>
    </row>
    <row r="1745" spans="1:1" ht="15.75" x14ac:dyDescent="0.25">
      <c r="A1745" s="11"/>
    </row>
    <row r="1746" spans="1:1" ht="15.75" x14ac:dyDescent="0.25">
      <c r="A1746" s="11"/>
    </row>
    <row r="1747" spans="1:1" ht="15.75" x14ac:dyDescent="0.25">
      <c r="A1747" s="11"/>
    </row>
    <row r="1748" spans="1:1" ht="15.75" x14ac:dyDescent="0.25">
      <c r="A1748" s="11"/>
    </row>
    <row r="1749" spans="1:1" ht="15.75" x14ac:dyDescent="0.25">
      <c r="A1749" s="11"/>
    </row>
    <row r="1750" spans="1:1" ht="15.75" x14ac:dyDescent="0.25">
      <c r="A1750" s="11"/>
    </row>
    <row r="1751" spans="1:1" ht="15.75" x14ac:dyDescent="0.25">
      <c r="A1751" s="11"/>
    </row>
    <row r="1752" spans="1:1" ht="15.75" x14ac:dyDescent="0.25">
      <c r="A1752" s="11"/>
    </row>
    <row r="1753" spans="1:1" ht="15.75" x14ac:dyDescent="0.25">
      <c r="A1753" s="11"/>
    </row>
    <row r="1754" spans="1:1" ht="15.75" x14ac:dyDescent="0.25">
      <c r="A1754" s="11"/>
    </row>
    <row r="1755" spans="1:1" ht="15.75" x14ac:dyDescent="0.25">
      <c r="A1755" s="11"/>
    </row>
    <row r="1756" spans="1:1" ht="15.75" x14ac:dyDescent="0.25">
      <c r="A1756" s="11"/>
    </row>
    <row r="1757" spans="1:1" ht="15.75" x14ac:dyDescent="0.25">
      <c r="A1757" s="11"/>
    </row>
    <row r="1758" spans="1:1" ht="15.75" x14ac:dyDescent="0.25">
      <c r="A1758" s="11"/>
    </row>
    <row r="1759" spans="1:1" ht="15.75" x14ac:dyDescent="0.25">
      <c r="A1759" s="11"/>
    </row>
    <row r="1760" spans="1:1" ht="15.75" x14ac:dyDescent="0.25">
      <c r="A1760" s="11"/>
    </row>
    <row r="1761" spans="1:1" ht="15.75" x14ac:dyDescent="0.25">
      <c r="A1761" s="11"/>
    </row>
    <row r="1762" spans="1:1" ht="15.75" x14ac:dyDescent="0.25">
      <c r="A1762" s="11"/>
    </row>
    <row r="1763" spans="1:1" ht="15.75" x14ac:dyDescent="0.25">
      <c r="A1763" s="11"/>
    </row>
    <row r="1764" spans="1:1" ht="15.75" x14ac:dyDescent="0.25">
      <c r="A1764" s="11"/>
    </row>
    <row r="1765" spans="1:1" ht="15.75" x14ac:dyDescent="0.25">
      <c r="A1765" s="11"/>
    </row>
    <row r="1766" spans="1:1" ht="15.75" x14ac:dyDescent="0.25">
      <c r="A1766" s="11"/>
    </row>
    <row r="1767" spans="1:1" ht="15.75" x14ac:dyDescent="0.25">
      <c r="A1767" s="11"/>
    </row>
    <row r="1768" spans="1:1" ht="15.75" x14ac:dyDescent="0.25">
      <c r="A1768" s="11"/>
    </row>
    <row r="1769" spans="1:1" ht="15.75" x14ac:dyDescent="0.25">
      <c r="A1769" s="11"/>
    </row>
    <row r="1770" spans="1:1" ht="15.75" x14ac:dyDescent="0.25">
      <c r="A1770" s="11"/>
    </row>
    <row r="1771" spans="1:1" ht="15.75" x14ac:dyDescent="0.25">
      <c r="A1771" s="11"/>
    </row>
    <row r="1772" spans="1:1" ht="15.75" x14ac:dyDescent="0.25">
      <c r="A1772" s="11"/>
    </row>
    <row r="1773" spans="1:1" ht="15.75" x14ac:dyDescent="0.25">
      <c r="A1773" s="11"/>
    </row>
    <row r="1774" spans="1:1" ht="15.75" x14ac:dyDescent="0.25">
      <c r="A1774" s="11"/>
    </row>
    <row r="1775" spans="1:1" ht="15.75" x14ac:dyDescent="0.25">
      <c r="A1775" s="11"/>
    </row>
    <row r="1776" spans="1:1" ht="15.75" x14ac:dyDescent="0.25">
      <c r="A1776" s="11"/>
    </row>
    <row r="1777" spans="1:1" ht="15.75" x14ac:dyDescent="0.25">
      <c r="A1777" s="11"/>
    </row>
    <row r="1778" spans="1:1" ht="15.75" x14ac:dyDescent="0.25">
      <c r="A1778" s="11"/>
    </row>
    <row r="1779" spans="1:1" ht="15.75" x14ac:dyDescent="0.25">
      <c r="A1779" s="11"/>
    </row>
    <row r="1780" spans="1:1" ht="15.75" x14ac:dyDescent="0.25">
      <c r="A1780" s="11"/>
    </row>
    <row r="1781" spans="1:1" ht="15.75" x14ac:dyDescent="0.25">
      <c r="A1781" s="11"/>
    </row>
    <row r="1782" spans="1:1" ht="15.75" x14ac:dyDescent="0.25">
      <c r="A1782" s="11"/>
    </row>
    <row r="1783" spans="1:1" ht="15.75" x14ac:dyDescent="0.25">
      <c r="A1783" s="11"/>
    </row>
    <row r="1784" spans="1:1" ht="15.75" x14ac:dyDescent="0.25">
      <c r="A1784" s="11"/>
    </row>
    <row r="1785" spans="1:1" ht="15.75" x14ac:dyDescent="0.25">
      <c r="A1785" s="11"/>
    </row>
    <row r="1786" spans="1:1" ht="15.75" x14ac:dyDescent="0.25">
      <c r="A1786" s="11"/>
    </row>
    <row r="1787" spans="1:1" ht="15.75" x14ac:dyDescent="0.25">
      <c r="A1787" s="11"/>
    </row>
    <row r="1788" spans="1:1" ht="15.75" x14ac:dyDescent="0.25">
      <c r="A1788" s="11"/>
    </row>
    <row r="1789" spans="1:1" ht="15.75" x14ac:dyDescent="0.25">
      <c r="A1789" s="11"/>
    </row>
    <row r="1790" spans="1:1" ht="15.75" x14ac:dyDescent="0.25">
      <c r="A1790" s="11"/>
    </row>
    <row r="1791" spans="1:1" ht="15.75" x14ac:dyDescent="0.25">
      <c r="A1791" s="11"/>
    </row>
    <row r="1792" spans="1:1" ht="15.75" x14ac:dyDescent="0.25">
      <c r="A1792" s="11"/>
    </row>
    <row r="1793" spans="1:1" ht="15.75" x14ac:dyDescent="0.25">
      <c r="A1793" s="11"/>
    </row>
    <row r="1794" spans="1:1" ht="15.75" x14ac:dyDescent="0.25">
      <c r="A1794" s="11"/>
    </row>
    <row r="1795" spans="1:1" ht="15.75" x14ac:dyDescent="0.25">
      <c r="A1795" s="11"/>
    </row>
    <row r="1796" spans="1:1" ht="15.75" x14ac:dyDescent="0.25">
      <c r="A1796" s="11"/>
    </row>
    <row r="1797" spans="1:1" ht="15.75" x14ac:dyDescent="0.25">
      <c r="A1797" s="11"/>
    </row>
    <row r="1798" spans="1:1" ht="15.75" x14ac:dyDescent="0.25">
      <c r="A1798" s="11"/>
    </row>
    <row r="1799" spans="1:1" ht="15.75" x14ac:dyDescent="0.25">
      <c r="A1799" s="11"/>
    </row>
    <row r="1800" spans="1:1" ht="15.75" x14ac:dyDescent="0.25">
      <c r="A1800" s="11"/>
    </row>
    <row r="1801" spans="1:1" ht="15.75" x14ac:dyDescent="0.25">
      <c r="A1801" s="11"/>
    </row>
    <row r="1802" spans="1:1" ht="15.75" x14ac:dyDescent="0.25">
      <c r="A1802" s="11"/>
    </row>
    <row r="1803" spans="1:1" ht="15.75" x14ac:dyDescent="0.25">
      <c r="A1803" s="11"/>
    </row>
    <row r="1804" spans="1:1" ht="15.75" x14ac:dyDescent="0.25">
      <c r="A1804" s="11"/>
    </row>
    <row r="1805" spans="1:1" ht="15.75" x14ac:dyDescent="0.25">
      <c r="A1805" s="11"/>
    </row>
    <row r="1806" spans="1:1" ht="15.75" x14ac:dyDescent="0.25">
      <c r="A1806" s="11"/>
    </row>
    <row r="1807" spans="1:1" ht="15.75" x14ac:dyDescent="0.25">
      <c r="A1807" s="11"/>
    </row>
    <row r="1808" spans="1:1" ht="15.75" x14ac:dyDescent="0.25">
      <c r="A1808" s="11"/>
    </row>
    <row r="1809" spans="1:1" ht="15.75" x14ac:dyDescent="0.25">
      <c r="A1809" s="11"/>
    </row>
    <row r="1810" spans="1:1" ht="15.75" x14ac:dyDescent="0.25">
      <c r="A1810" s="11"/>
    </row>
    <row r="1811" spans="1:1" ht="15.75" x14ac:dyDescent="0.25">
      <c r="A1811" s="11"/>
    </row>
    <row r="1812" spans="1:1" ht="15.75" x14ac:dyDescent="0.25">
      <c r="A1812" s="11"/>
    </row>
    <row r="1813" spans="1:1" ht="15.75" x14ac:dyDescent="0.25">
      <c r="A1813" s="11"/>
    </row>
    <row r="1814" spans="1:1" ht="15.75" x14ac:dyDescent="0.25">
      <c r="A1814" s="11"/>
    </row>
    <row r="1815" spans="1:1" ht="15.75" x14ac:dyDescent="0.25">
      <c r="A1815" s="11"/>
    </row>
    <row r="1816" spans="1:1" ht="15.75" x14ac:dyDescent="0.25">
      <c r="A1816" s="11"/>
    </row>
    <row r="1817" spans="1:1" ht="15.75" x14ac:dyDescent="0.25">
      <c r="A1817" s="11"/>
    </row>
    <row r="1818" spans="1:1" ht="15.75" x14ac:dyDescent="0.25">
      <c r="A1818" s="11"/>
    </row>
    <row r="1819" spans="1:1" ht="15.75" x14ac:dyDescent="0.25">
      <c r="A1819" s="11"/>
    </row>
    <row r="1820" spans="1:1" ht="15.75" x14ac:dyDescent="0.25">
      <c r="A1820" s="11"/>
    </row>
    <row r="1821" spans="1:1" ht="15.75" x14ac:dyDescent="0.25">
      <c r="A1821" s="11"/>
    </row>
    <row r="1822" spans="1:1" ht="15.75" x14ac:dyDescent="0.25">
      <c r="A1822" s="11"/>
    </row>
    <row r="1823" spans="1:1" ht="15.75" x14ac:dyDescent="0.25">
      <c r="A1823" s="11"/>
    </row>
    <row r="1824" spans="1:1" ht="15.75" x14ac:dyDescent="0.25">
      <c r="A1824" s="11"/>
    </row>
    <row r="1825" spans="1:1" ht="15.75" x14ac:dyDescent="0.25">
      <c r="A1825" s="11"/>
    </row>
    <row r="1826" spans="1:1" ht="15.75" x14ac:dyDescent="0.25">
      <c r="A1826" s="11"/>
    </row>
    <row r="1827" spans="1:1" ht="15.75" x14ac:dyDescent="0.25">
      <c r="A1827" s="11"/>
    </row>
    <row r="1828" spans="1:1" ht="15.75" x14ac:dyDescent="0.25">
      <c r="A1828" s="11"/>
    </row>
    <row r="1829" spans="1:1" ht="15.75" x14ac:dyDescent="0.25">
      <c r="A1829" s="11"/>
    </row>
    <row r="1830" spans="1:1" ht="15.75" x14ac:dyDescent="0.25">
      <c r="A1830" s="11"/>
    </row>
    <row r="1831" spans="1:1" ht="15.75" x14ac:dyDescent="0.25">
      <c r="A1831" s="11"/>
    </row>
    <row r="1832" spans="1:1" ht="15.75" x14ac:dyDescent="0.25">
      <c r="A1832" s="11"/>
    </row>
    <row r="1833" spans="1:1" ht="15.75" x14ac:dyDescent="0.25">
      <c r="A1833" s="11"/>
    </row>
    <row r="1834" spans="1:1" ht="15.75" x14ac:dyDescent="0.25">
      <c r="A1834" s="11"/>
    </row>
    <row r="1835" spans="1:1" ht="15.75" x14ac:dyDescent="0.25">
      <c r="A1835" s="11"/>
    </row>
    <row r="1836" spans="1:1" ht="15.75" x14ac:dyDescent="0.25">
      <c r="A1836" s="11"/>
    </row>
    <row r="1837" spans="1:1" ht="15.75" x14ac:dyDescent="0.25">
      <c r="A1837" s="11"/>
    </row>
    <row r="1838" spans="1:1" ht="15.75" x14ac:dyDescent="0.25">
      <c r="A1838" s="11"/>
    </row>
    <row r="1839" spans="1:1" ht="15.75" x14ac:dyDescent="0.25">
      <c r="A1839" s="11"/>
    </row>
    <row r="1840" spans="1:1" ht="15.75" x14ac:dyDescent="0.25">
      <c r="A1840" s="11"/>
    </row>
    <row r="1841" spans="1:1" ht="15.75" x14ac:dyDescent="0.25">
      <c r="A1841" s="11"/>
    </row>
    <row r="1842" spans="1:1" ht="15.75" x14ac:dyDescent="0.25">
      <c r="A1842" s="11"/>
    </row>
    <row r="1843" spans="1:1" ht="15.75" x14ac:dyDescent="0.25">
      <c r="A1843" s="11"/>
    </row>
    <row r="1844" spans="1:1" ht="15.75" x14ac:dyDescent="0.25">
      <c r="A1844" s="11"/>
    </row>
    <row r="1845" spans="1:1" ht="15.75" x14ac:dyDescent="0.25">
      <c r="A1845" s="11"/>
    </row>
    <row r="1846" spans="1:1" ht="15.75" x14ac:dyDescent="0.25">
      <c r="A1846" s="11"/>
    </row>
    <row r="1847" spans="1:1" ht="15.75" x14ac:dyDescent="0.25">
      <c r="A1847" s="11"/>
    </row>
    <row r="1848" spans="1:1" ht="15.75" x14ac:dyDescent="0.25">
      <c r="A1848" s="11"/>
    </row>
    <row r="1849" spans="1:1" ht="15.75" x14ac:dyDescent="0.25">
      <c r="A1849" s="11"/>
    </row>
    <row r="1850" spans="1:1" ht="15.75" x14ac:dyDescent="0.25">
      <c r="A1850" s="11"/>
    </row>
    <row r="1851" spans="1:1" ht="15.75" x14ac:dyDescent="0.25">
      <c r="A1851" s="11"/>
    </row>
    <row r="1852" spans="1:1" ht="15.75" x14ac:dyDescent="0.25">
      <c r="A1852" s="11"/>
    </row>
    <row r="1853" spans="1:1" ht="15.75" x14ac:dyDescent="0.25">
      <c r="A1853" s="11"/>
    </row>
    <row r="1854" spans="1:1" ht="15.75" x14ac:dyDescent="0.25">
      <c r="A1854" s="11"/>
    </row>
    <row r="1855" spans="1:1" ht="15.75" x14ac:dyDescent="0.25">
      <c r="A1855" s="11"/>
    </row>
    <row r="1856" spans="1:1" ht="15.75" x14ac:dyDescent="0.25">
      <c r="A1856" s="11"/>
    </row>
    <row r="1857" spans="1:1" ht="15.75" x14ac:dyDescent="0.25">
      <c r="A1857" s="11"/>
    </row>
    <row r="1858" spans="1:1" ht="15.75" x14ac:dyDescent="0.25">
      <c r="A1858" s="11"/>
    </row>
    <row r="1859" spans="1:1" ht="15.75" x14ac:dyDescent="0.25">
      <c r="A1859" s="11"/>
    </row>
    <row r="1860" spans="1:1" ht="15.75" x14ac:dyDescent="0.25">
      <c r="A1860" s="11"/>
    </row>
    <row r="1861" spans="1:1" ht="15.75" x14ac:dyDescent="0.25">
      <c r="A1861" s="11"/>
    </row>
    <row r="1862" spans="1:1" ht="15.75" x14ac:dyDescent="0.25">
      <c r="A1862" s="11"/>
    </row>
    <row r="1863" spans="1:1" ht="15.75" x14ac:dyDescent="0.25">
      <c r="A1863" s="11"/>
    </row>
    <row r="1864" spans="1:1" ht="15.75" x14ac:dyDescent="0.25">
      <c r="A1864" s="11"/>
    </row>
    <row r="1865" spans="1:1" ht="15.75" x14ac:dyDescent="0.25">
      <c r="A1865" s="11"/>
    </row>
    <row r="1866" spans="1:1" ht="15.75" x14ac:dyDescent="0.25">
      <c r="A1866" s="11"/>
    </row>
    <row r="1867" spans="1:1" ht="15.75" x14ac:dyDescent="0.25">
      <c r="A1867" s="11"/>
    </row>
    <row r="1868" spans="1:1" ht="15.75" x14ac:dyDescent="0.25">
      <c r="A1868" s="11"/>
    </row>
    <row r="1869" spans="1:1" ht="15.75" x14ac:dyDescent="0.25">
      <c r="A1869" s="11"/>
    </row>
    <row r="1870" spans="1:1" ht="15.75" x14ac:dyDescent="0.25">
      <c r="A1870" s="11"/>
    </row>
    <row r="1871" spans="1:1" ht="15.75" x14ac:dyDescent="0.25">
      <c r="A1871" s="11"/>
    </row>
    <row r="1872" spans="1:1" ht="15.75" x14ac:dyDescent="0.25">
      <c r="A1872" s="11"/>
    </row>
    <row r="1873" spans="1:1" ht="15.75" x14ac:dyDescent="0.25">
      <c r="A1873" s="11"/>
    </row>
    <row r="1874" spans="1:1" ht="15.75" x14ac:dyDescent="0.25">
      <c r="A1874" s="11"/>
    </row>
    <row r="1875" spans="1:1" ht="15.75" x14ac:dyDescent="0.25">
      <c r="A1875" s="11"/>
    </row>
    <row r="1876" spans="1:1" ht="15.75" x14ac:dyDescent="0.25">
      <c r="A1876" s="11"/>
    </row>
    <row r="1877" spans="1:1" ht="15.75" x14ac:dyDescent="0.25">
      <c r="A1877" s="11"/>
    </row>
    <row r="1878" spans="1:1" ht="15.75" x14ac:dyDescent="0.25">
      <c r="A1878" s="11"/>
    </row>
    <row r="1879" spans="1:1" ht="15.75" x14ac:dyDescent="0.25">
      <c r="A1879" s="11"/>
    </row>
    <row r="1880" spans="1:1" ht="15.75" x14ac:dyDescent="0.25">
      <c r="A1880" s="11"/>
    </row>
    <row r="1881" spans="1:1" ht="15.75" x14ac:dyDescent="0.25">
      <c r="A1881" s="11"/>
    </row>
    <row r="1882" spans="1:1" ht="15.75" x14ac:dyDescent="0.25">
      <c r="A1882" s="11"/>
    </row>
    <row r="1883" spans="1:1" ht="15.75" x14ac:dyDescent="0.25">
      <c r="A1883" s="11"/>
    </row>
    <row r="1884" spans="1:1" ht="15.75" x14ac:dyDescent="0.25">
      <c r="A1884" s="11"/>
    </row>
    <row r="1885" spans="1:1" ht="15.75" x14ac:dyDescent="0.25">
      <c r="A1885" s="11"/>
    </row>
    <row r="1886" spans="1:1" ht="15.75" x14ac:dyDescent="0.25">
      <c r="A1886" s="11"/>
    </row>
    <row r="1887" spans="1:1" ht="15.75" x14ac:dyDescent="0.25">
      <c r="A1887" s="11"/>
    </row>
    <row r="1888" spans="1:1" ht="15.75" x14ac:dyDescent="0.25">
      <c r="A1888" s="11"/>
    </row>
    <row r="1889" spans="1:1" ht="15.75" x14ac:dyDescent="0.25">
      <c r="A1889" s="11"/>
    </row>
    <row r="1890" spans="1:1" ht="15.75" x14ac:dyDescent="0.25">
      <c r="A1890" s="11"/>
    </row>
    <row r="1891" spans="1:1" ht="15.75" x14ac:dyDescent="0.25">
      <c r="A1891" s="11"/>
    </row>
    <row r="1892" spans="1:1" ht="15.75" x14ac:dyDescent="0.25">
      <c r="A1892" s="11"/>
    </row>
    <row r="1893" spans="1:1" ht="15.75" x14ac:dyDescent="0.25">
      <c r="A1893" s="11"/>
    </row>
    <row r="1894" spans="1:1" ht="15.75" x14ac:dyDescent="0.25">
      <c r="A1894" s="11"/>
    </row>
    <row r="1895" spans="1:1" ht="15.75" x14ac:dyDescent="0.25">
      <c r="A1895" s="11"/>
    </row>
    <row r="1896" spans="1:1" ht="15.75" x14ac:dyDescent="0.25">
      <c r="A1896" s="11"/>
    </row>
    <row r="1897" spans="1:1" ht="15.75" x14ac:dyDescent="0.25">
      <c r="A1897" s="11"/>
    </row>
    <row r="1898" spans="1:1" ht="15.75" x14ac:dyDescent="0.25">
      <c r="A1898" s="11"/>
    </row>
    <row r="1899" spans="1:1" ht="15.75" x14ac:dyDescent="0.25">
      <c r="A1899" s="11"/>
    </row>
    <row r="1900" spans="1:1" ht="15.75" x14ac:dyDescent="0.25">
      <c r="A1900" s="11"/>
    </row>
    <row r="1901" spans="1:1" ht="15.75" x14ac:dyDescent="0.25">
      <c r="A1901" s="11"/>
    </row>
    <row r="1902" spans="1:1" ht="15.75" x14ac:dyDescent="0.25">
      <c r="A1902" s="11"/>
    </row>
    <row r="1903" spans="1:1" ht="15.75" x14ac:dyDescent="0.25">
      <c r="A1903" s="11"/>
    </row>
    <row r="1904" spans="1:1" ht="15.75" x14ac:dyDescent="0.25">
      <c r="A1904" s="11"/>
    </row>
    <row r="1905" spans="1:1" ht="15.75" x14ac:dyDescent="0.25">
      <c r="A1905" s="11"/>
    </row>
    <row r="1906" spans="1:1" ht="15.75" x14ac:dyDescent="0.25">
      <c r="A1906" s="11"/>
    </row>
    <row r="1907" spans="1:1" ht="15.75" x14ac:dyDescent="0.25">
      <c r="A1907" s="11"/>
    </row>
    <row r="1908" spans="1:1" ht="15.75" x14ac:dyDescent="0.25">
      <c r="A1908" s="11"/>
    </row>
    <row r="1909" spans="1:1" ht="15.75" x14ac:dyDescent="0.25">
      <c r="A1909" s="11"/>
    </row>
    <row r="1910" spans="1:1" ht="15.75" x14ac:dyDescent="0.25">
      <c r="A1910" s="11"/>
    </row>
    <row r="1911" spans="1:1" ht="15.75" x14ac:dyDescent="0.25">
      <c r="A1911" s="11"/>
    </row>
    <row r="1912" spans="1:1" ht="15.75" x14ac:dyDescent="0.25">
      <c r="A1912" s="11"/>
    </row>
    <row r="1913" spans="1:1" ht="15.75" x14ac:dyDescent="0.25">
      <c r="A1913" s="11"/>
    </row>
    <row r="1914" spans="1:1" ht="15.75" x14ac:dyDescent="0.25">
      <c r="A1914" s="11"/>
    </row>
    <row r="1915" spans="1:1" ht="15.75" x14ac:dyDescent="0.25">
      <c r="A1915" s="11"/>
    </row>
    <row r="1916" spans="1:1" ht="15.75" x14ac:dyDescent="0.25">
      <c r="A1916" s="11"/>
    </row>
    <row r="1917" spans="1:1" ht="15.75" x14ac:dyDescent="0.25">
      <c r="A1917" s="11"/>
    </row>
    <row r="1918" spans="1:1" ht="15.75" x14ac:dyDescent="0.25">
      <c r="A1918" s="11"/>
    </row>
    <row r="1919" spans="1:1" ht="15.75" x14ac:dyDescent="0.25">
      <c r="A1919" s="11"/>
    </row>
    <row r="1920" spans="1:1" ht="15.75" x14ac:dyDescent="0.25">
      <c r="A1920" s="11"/>
    </row>
    <row r="1921" spans="1:1" ht="15.75" x14ac:dyDescent="0.25">
      <c r="A1921" s="11"/>
    </row>
    <row r="1922" spans="1:1" ht="15.75" x14ac:dyDescent="0.25">
      <c r="A1922" s="11"/>
    </row>
    <row r="1923" spans="1:1" ht="15.75" x14ac:dyDescent="0.25">
      <c r="A1923" s="11"/>
    </row>
    <row r="1924" spans="1:1" ht="15.75" x14ac:dyDescent="0.25">
      <c r="A1924" s="11"/>
    </row>
    <row r="1925" spans="1:1" ht="15.75" x14ac:dyDescent="0.25">
      <c r="A1925" s="11"/>
    </row>
    <row r="1926" spans="1:1" ht="15.75" x14ac:dyDescent="0.25">
      <c r="A1926" s="11"/>
    </row>
    <row r="1927" spans="1:1" ht="15.75" x14ac:dyDescent="0.25">
      <c r="A1927" s="11"/>
    </row>
    <row r="1928" spans="1:1" ht="15.75" x14ac:dyDescent="0.25">
      <c r="A1928" s="11"/>
    </row>
    <row r="1929" spans="1:1" ht="15.75" x14ac:dyDescent="0.25">
      <c r="A1929" s="11"/>
    </row>
    <row r="1930" spans="1:1" ht="15.75" x14ac:dyDescent="0.25">
      <c r="A1930" s="11"/>
    </row>
    <row r="1931" spans="1:1" ht="15.75" x14ac:dyDescent="0.25">
      <c r="A1931" s="11"/>
    </row>
    <row r="1932" spans="1:1" ht="15.75" x14ac:dyDescent="0.25">
      <c r="A1932" s="11"/>
    </row>
    <row r="1933" spans="1:1" ht="15.75" x14ac:dyDescent="0.25">
      <c r="A1933" s="11"/>
    </row>
    <row r="1934" spans="1:1" ht="15.75" x14ac:dyDescent="0.25">
      <c r="A1934" s="11"/>
    </row>
    <row r="1935" spans="1:1" ht="15.75" x14ac:dyDescent="0.25">
      <c r="A1935" s="11"/>
    </row>
    <row r="1936" spans="1:1" ht="15.75" x14ac:dyDescent="0.25">
      <c r="A1936" s="11"/>
    </row>
    <row r="1937" spans="1:1" ht="15.75" x14ac:dyDescent="0.25">
      <c r="A1937" s="11"/>
    </row>
    <row r="1938" spans="1:1" ht="15.75" x14ac:dyDescent="0.25">
      <c r="A1938" s="11"/>
    </row>
    <row r="1939" spans="1:1" ht="15.75" x14ac:dyDescent="0.25">
      <c r="A1939" s="11"/>
    </row>
    <row r="1940" spans="1:1" ht="15.75" x14ac:dyDescent="0.25">
      <c r="A1940" s="11"/>
    </row>
    <row r="1941" spans="1:1" ht="15.75" x14ac:dyDescent="0.25">
      <c r="A1941" s="11"/>
    </row>
    <row r="1942" spans="1:1" ht="15.75" x14ac:dyDescent="0.25">
      <c r="A1942" s="11"/>
    </row>
    <row r="1943" spans="1:1" ht="15.75" x14ac:dyDescent="0.25">
      <c r="A1943" s="11"/>
    </row>
    <row r="1944" spans="1:1" ht="15.75" x14ac:dyDescent="0.25">
      <c r="A1944" s="11"/>
    </row>
    <row r="1945" spans="1:1" ht="15.75" x14ac:dyDescent="0.25">
      <c r="A1945" s="11"/>
    </row>
    <row r="1946" spans="1:1" ht="15.75" x14ac:dyDescent="0.25">
      <c r="A1946" s="11"/>
    </row>
    <row r="1947" spans="1:1" ht="15.75" x14ac:dyDescent="0.25">
      <c r="A1947" s="11"/>
    </row>
    <row r="1948" spans="1:1" ht="15.75" x14ac:dyDescent="0.25">
      <c r="A1948" s="11"/>
    </row>
    <row r="1949" spans="1:1" ht="15.75" x14ac:dyDescent="0.25">
      <c r="A1949" s="11"/>
    </row>
    <row r="1950" spans="1:1" ht="15.75" x14ac:dyDescent="0.25">
      <c r="A1950" s="11"/>
    </row>
    <row r="1951" spans="1:1" ht="15.75" x14ac:dyDescent="0.25">
      <c r="A1951" s="11"/>
    </row>
    <row r="1952" spans="1:1" ht="15.75" x14ac:dyDescent="0.25">
      <c r="A1952" s="11"/>
    </row>
    <row r="1953" spans="1:1" ht="15.75" x14ac:dyDescent="0.25">
      <c r="A1953" s="11"/>
    </row>
    <row r="1954" spans="1:1" ht="15.75" x14ac:dyDescent="0.25">
      <c r="A1954" s="11"/>
    </row>
    <row r="1955" spans="1:1" ht="15.75" x14ac:dyDescent="0.25">
      <c r="A1955" s="11"/>
    </row>
    <row r="1956" spans="1:1" ht="15.75" x14ac:dyDescent="0.25">
      <c r="A1956" s="11"/>
    </row>
    <row r="1957" spans="1:1" ht="15.75" x14ac:dyDescent="0.25">
      <c r="A1957" s="11"/>
    </row>
    <row r="1958" spans="1:1" ht="15.75" x14ac:dyDescent="0.25">
      <c r="A1958" s="11"/>
    </row>
    <row r="1959" spans="1:1" ht="15.75" x14ac:dyDescent="0.25">
      <c r="A1959" s="11"/>
    </row>
    <row r="1960" spans="1:1" ht="15.75" x14ac:dyDescent="0.25">
      <c r="A1960" s="11"/>
    </row>
    <row r="1961" spans="1:1" ht="15.75" x14ac:dyDescent="0.25">
      <c r="A1961" s="11"/>
    </row>
    <row r="1962" spans="1:1" ht="15.75" x14ac:dyDescent="0.25">
      <c r="A1962" s="11"/>
    </row>
    <row r="1963" spans="1:1" ht="15.75" x14ac:dyDescent="0.25">
      <c r="A1963" s="11"/>
    </row>
    <row r="1964" spans="1:1" ht="15.75" x14ac:dyDescent="0.25">
      <c r="A1964" s="11"/>
    </row>
    <row r="1965" spans="1:1" ht="15.75" x14ac:dyDescent="0.25">
      <c r="A1965" s="11"/>
    </row>
    <row r="1966" spans="1:1" ht="15.75" x14ac:dyDescent="0.25">
      <c r="A1966" s="11"/>
    </row>
    <row r="1967" spans="1:1" ht="15.75" x14ac:dyDescent="0.25">
      <c r="A1967" s="11"/>
    </row>
    <row r="1968" spans="1:1" ht="15.75" x14ac:dyDescent="0.25">
      <c r="A1968" s="11"/>
    </row>
    <row r="1969" spans="1:1" ht="15.75" x14ac:dyDescent="0.25">
      <c r="A1969" s="11"/>
    </row>
    <row r="1970" spans="1:1" ht="15.75" x14ac:dyDescent="0.25">
      <c r="A1970" s="11"/>
    </row>
    <row r="1971" spans="1:1" ht="15.75" x14ac:dyDescent="0.25">
      <c r="A1971" s="11"/>
    </row>
    <row r="1972" spans="1:1" ht="15.75" x14ac:dyDescent="0.25">
      <c r="A1972" s="11"/>
    </row>
    <row r="1973" spans="1:1" ht="15.75" x14ac:dyDescent="0.25">
      <c r="A1973" s="11"/>
    </row>
    <row r="1974" spans="1:1" ht="15.75" x14ac:dyDescent="0.25">
      <c r="A1974" s="11"/>
    </row>
    <row r="1975" spans="1:1" ht="15.75" x14ac:dyDescent="0.25">
      <c r="A1975" s="11"/>
    </row>
    <row r="1976" spans="1:1" ht="15.75" x14ac:dyDescent="0.25">
      <c r="A1976" s="11"/>
    </row>
    <row r="1977" spans="1:1" ht="15.75" x14ac:dyDescent="0.25">
      <c r="A1977" s="11"/>
    </row>
    <row r="1978" spans="1:1" ht="15.75" x14ac:dyDescent="0.25">
      <c r="A1978" s="11"/>
    </row>
    <row r="1979" spans="1:1" ht="15.75" x14ac:dyDescent="0.25">
      <c r="A1979" s="11"/>
    </row>
    <row r="1980" spans="1:1" ht="15.75" x14ac:dyDescent="0.25">
      <c r="A1980" s="11"/>
    </row>
    <row r="1981" spans="1:1" ht="15.75" x14ac:dyDescent="0.25">
      <c r="A1981" s="11"/>
    </row>
    <row r="1982" spans="1:1" ht="15.75" x14ac:dyDescent="0.25">
      <c r="A1982" s="11"/>
    </row>
    <row r="1983" spans="1:1" ht="15.75" x14ac:dyDescent="0.25">
      <c r="A1983" s="11"/>
    </row>
    <row r="1984" spans="1:1" ht="15.75" x14ac:dyDescent="0.25">
      <c r="A1984" s="11"/>
    </row>
    <row r="1985" spans="1:1" ht="15.75" x14ac:dyDescent="0.25">
      <c r="A1985" s="11"/>
    </row>
    <row r="1986" spans="1:1" ht="15.75" x14ac:dyDescent="0.25">
      <c r="A1986" s="11"/>
    </row>
    <row r="1987" spans="1:1" ht="15.75" x14ac:dyDescent="0.25">
      <c r="A1987" s="11"/>
    </row>
    <row r="1988" spans="1:1" ht="15.75" x14ac:dyDescent="0.25">
      <c r="A1988" s="11"/>
    </row>
    <row r="1989" spans="1:1" ht="15.75" x14ac:dyDescent="0.25">
      <c r="A1989" s="11"/>
    </row>
    <row r="1990" spans="1:1" ht="15.75" x14ac:dyDescent="0.25">
      <c r="A1990" s="11"/>
    </row>
    <row r="1991" spans="1:1" ht="15.75" x14ac:dyDescent="0.25">
      <c r="A1991" s="11"/>
    </row>
    <row r="1992" spans="1:1" ht="15.75" x14ac:dyDescent="0.25">
      <c r="A1992" s="11"/>
    </row>
    <row r="1993" spans="1:1" ht="15.75" x14ac:dyDescent="0.25">
      <c r="A1993" s="11"/>
    </row>
    <row r="1994" spans="1:1" ht="15.75" x14ac:dyDescent="0.25">
      <c r="A1994" s="11"/>
    </row>
    <row r="1995" spans="1:1" ht="15.75" x14ac:dyDescent="0.25">
      <c r="A1995" s="11"/>
    </row>
    <row r="1996" spans="1:1" ht="15.75" x14ac:dyDescent="0.25">
      <c r="A1996" s="11"/>
    </row>
    <row r="1997" spans="1:1" ht="15.75" x14ac:dyDescent="0.25">
      <c r="A1997" s="11"/>
    </row>
    <row r="1998" spans="1:1" ht="15.75" x14ac:dyDescent="0.25">
      <c r="A1998" s="11"/>
    </row>
    <row r="1999" spans="1:1" ht="15.75" x14ac:dyDescent="0.25">
      <c r="A1999" s="11"/>
    </row>
    <row r="2000" spans="1:1" ht="15.75" x14ac:dyDescent="0.25">
      <c r="A2000" s="11"/>
    </row>
    <row r="2001" spans="1:1" ht="15.75" x14ac:dyDescent="0.25">
      <c r="A2001" s="11"/>
    </row>
    <row r="2002" spans="1:1" ht="15.75" x14ac:dyDescent="0.25">
      <c r="A2002" s="11"/>
    </row>
    <row r="2003" spans="1:1" ht="15.75" x14ac:dyDescent="0.25">
      <c r="A2003" s="11"/>
    </row>
    <row r="2004" spans="1:1" ht="15.75" x14ac:dyDescent="0.25">
      <c r="A2004" s="11"/>
    </row>
    <row r="2005" spans="1:1" ht="15.75" x14ac:dyDescent="0.25">
      <c r="A2005" s="11"/>
    </row>
    <row r="2006" spans="1:1" ht="15.75" x14ac:dyDescent="0.25">
      <c r="A2006" s="11"/>
    </row>
    <row r="2007" spans="1:1" ht="15.75" x14ac:dyDescent="0.25">
      <c r="A2007" s="11"/>
    </row>
    <row r="2008" spans="1:1" ht="15.75" x14ac:dyDescent="0.25">
      <c r="A2008" s="11"/>
    </row>
    <row r="2009" spans="1:1" ht="15.75" x14ac:dyDescent="0.25">
      <c r="A2009" s="11"/>
    </row>
    <row r="2010" spans="1:1" ht="15.75" x14ac:dyDescent="0.25">
      <c r="A2010" s="11"/>
    </row>
    <row r="2011" spans="1:1" ht="15.75" x14ac:dyDescent="0.25">
      <c r="A2011" s="11"/>
    </row>
    <row r="2012" spans="1:1" ht="15.75" x14ac:dyDescent="0.25">
      <c r="A2012" s="11"/>
    </row>
    <row r="2013" spans="1:1" ht="15.75" x14ac:dyDescent="0.25">
      <c r="A2013" s="11"/>
    </row>
    <row r="2014" spans="1:1" ht="15.75" x14ac:dyDescent="0.25">
      <c r="A2014" s="11"/>
    </row>
    <row r="2015" spans="1:1" ht="15.75" x14ac:dyDescent="0.25">
      <c r="A2015" s="11"/>
    </row>
    <row r="2016" spans="1:1" ht="15.75" x14ac:dyDescent="0.25">
      <c r="A2016" s="11"/>
    </row>
    <row r="2017" spans="1:1" ht="15.75" x14ac:dyDescent="0.25">
      <c r="A2017" s="11"/>
    </row>
    <row r="2018" spans="1:1" ht="15.75" x14ac:dyDescent="0.25">
      <c r="A2018" s="11"/>
    </row>
    <row r="2019" spans="1:1" ht="15.75" x14ac:dyDescent="0.25">
      <c r="A2019" s="11"/>
    </row>
    <row r="2020" spans="1:1" ht="15.75" x14ac:dyDescent="0.25">
      <c r="A2020" s="11"/>
    </row>
    <row r="2021" spans="1:1" ht="15.75" x14ac:dyDescent="0.25">
      <c r="A2021" s="11"/>
    </row>
    <row r="2022" spans="1:1" ht="15.75" x14ac:dyDescent="0.25">
      <c r="A2022" s="11"/>
    </row>
    <row r="2023" spans="1:1" ht="15.75" x14ac:dyDescent="0.25">
      <c r="A2023" s="11"/>
    </row>
    <row r="2024" spans="1:1" ht="15.75" x14ac:dyDescent="0.25">
      <c r="A2024" s="11"/>
    </row>
    <row r="2025" spans="1:1" ht="15.75" x14ac:dyDescent="0.25">
      <c r="A2025" s="11"/>
    </row>
    <row r="2026" spans="1:1" ht="15.75" x14ac:dyDescent="0.25">
      <c r="A2026" s="11"/>
    </row>
    <row r="2027" spans="1:1" ht="15.75" x14ac:dyDescent="0.25">
      <c r="A2027" s="11"/>
    </row>
    <row r="2028" spans="1:1" ht="15.75" x14ac:dyDescent="0.25">
      <c r="A2028" s="11"/>
    </row>
    <row r="2029" spans="1:1" ht="15.75" x14ac:dyDescent="0.25">
      <c r="A2029" s="11"/>
    </row>
    <row r="2030" spans="1:1" ht="15.75" x14ac:dyDescent="0.25">
      <c r="A2030" s="11"/>
    </row>
    <row r="2031" spans="1:1" ht="15.75" x14ac:dyDescent="0.25">
      <c r="A2031" s="11"/>
    </row>
    <row r="2032" spans="1:1" ht="15.75" x14ac:dyDescent="0.25">
      <c r="A2032" s="11"/>
    </row>
    <row r="2033" spans="1:1" ht="15.75" x14ac:dyDescent="0.25">
      <c r="A2033" s="11"/>
    </row>
    <row r="2034" spans="1:1" ht="15.75" x14ac:dyDescent="0.25">
      <c r="A2034" s="11"/>
    </row>
    <row r="2035" spans="1:1" ht="15.75" x14ac:dyDescent="0.25">
      <c r="A2035" s="11"/>
    </row>
    <row r="2036" spans="1:1" ht="15.75" x14ac:dyDescent="0.25">
      <c r="A2036" s="11"/>
    </row>
    <row r="2037" spans="1:1" ht="15.75" x14ac:dyDescent="0.25">
      <c r="A2037" s="11"/>
    </row>
    <row r="2038" spans="1:1" ht="15.75" x14ac:dyDescent="0.25">
      <c r="A2038" s="11"/>
    </row>
    <row r="2039" spans="1:1" ht="15.75" x14ac:dyDescent="0.25">
      <c r="A2039" s="11"/>
    </row>
    <row r="2040" spans="1:1" ht="15.75" x14ac:dyDescent="0.25">
      <c r="A2040" s="11"/>
    </row>
    <row r="2041" spans="1:1" ht="15.75" x14ac:dyDescent="0.25">
      <c r="A2041" s="11"/>
    </row>
    <row r="2042" spans="1:1" ht="15.75" x14ac:dyDescent="0.25">
      <c r="A2042" s="11"/>
    </row>
    <row r="2043" spans="1:1" ht="15.75" x14ac:dyDescent="0.25">
      <c r="A2043" s="11"/>
    </row>
    <row r="2044" spans="1:1" ht="15.75" x14ac:dyDescent="0.25">
      <c r="A2044" s="11"/>
    </row>
    <row r="2045" spans="1:1" ht="15.75" x14ac:dyDescent="0.25">
      <c r="A2045" s="11"/>
    </row>
    <row r="2046" spans="1:1" ht="15.75" x14ac:dyDescent="0.25">
      <c r="A2046" s="11"/>
    </row>
    <row r="2047" spans="1:1" ht="15.75" x14ac:dyDescent="0.25">
      <c r="A2047" s="11"/>
    </row>
    <row r="2048" spans="1:1" ht="15.75" x14ac:dyDescent="0.25">
      <c r="A2048" s="11"/>
    </row>
    <row r="2049" spans="1:1" ht="15.75" x14ac:dyDescent="0.25">
      <c r="A2049" s="11"/>
    </row>
    <row r="2050" spans="1:1" ht="15.75" x14ac:dyDescent="0.25">
      <c r="A2050" s="11"/>
    </row>
    <row r="2051" spans="1:1" ht="15.75" x14ac:dyDescent="0.25">
      <c r="A2051" s="11"/>
    </row>
    <row r="2052" spans="1:1" ht="15.75" x14ac:dyDescent="0.25">
      <c r="A2052" s="11"/>
    </row>
    <row r="2053" spans="1:1" ht="15.75" x14ac:dyDescent="0.25">
      <c r="A2053" s="11"/>
    </row>
    <row r="2054" spans="1:1" ht="15.75" x14ac:dyDescent="0.25">
      <c r="A2054" s="11"/>
    </row>
    <row r="2055" spans="1:1" ht="15.75" x14ac:dyDescent="0.25">
      <c r="A2055" s="11"/>
    </row>
    <row r="2056" spans="1:1" ht="15.75" x14ac:dyDescent="0.25">
      <c r="A2056" s="11"/>
    </row>
    <row r="2057" spans="1:1" ht="15.75" x14ac:dyDescent="0.25">
      <c r="A2057" s="11"/>
    </row>
    <row r="2058" spans="1:1" ht="15.75" x14ac:dyDescent="0.25">
      <c r="A2058" s="11"/>
    </row>
    <row r="2059" spans="1:1" ht="15.75" x14ac:dyDescent="0.25">
      <c r="A2059" s="11"/>
    </row>
    <row r="2060" spans="1:1" ht="15.75" x14ac:dyDescent="0.25">
      <c r="A2060" s="11"/>
    </row>
    <row r="2061" spans="1:1" ht="15.75" x14ac:dyDescent="0.25">
      <c r="A2061" s="11"/>
    </row>
    <row r="2062" spans="1:1" ht="15.75" x14ac:dyDescent="0.25">
      <c r="A2062" s="11"/>
    </row>
    <row r="2063" spans="1:1" ht="15.75" x14ac:dyDescent="0.25">
      <c r="A2063" s="11"/>
    </row>
    <row r="2064" spans="1:1" ht="15.75" x14ac:dyDescent="0.25">
      <c r="A2064" s="11"/>
    </row>
    <row r="2065" spans="1:1" ht="15.75" x14ac:dyDescent="0.25">
      <c r="A2065" s="11"/>
    </row>
    <row r="2066" spans="1:1" ht="15.75" x14ac:dyDescent="0.25">
      <c r="A2066" s="11"/>
    </row>
    <row r="2067" spans="1:1" ht="15.75" x14ac:dyDescent="0.25">
      <c r="A2067" s="11"/>
    </row>
    <row r="2068" spans="1:1" ht="15.75" x14ac:dyDescent="0.25">
      <c r="A2068" s="11"/>
    </row>
    <row r="2069" spans="1:1" ht="15.75" x14ac:dyDescent="0.25">
      <c r="A2069" s="11"/>
    </row>
    <row r="2070" spans="1:1" ht="15.75" x14ac:dyDescent="0.25">
      <c r="A2070" s="11"/>
    </row>
    <row r="2071" spans="1:1" ht="15.75" x14ac:dyDescent="0.25">
      <c r="A2071" s="11"/>
    </row>
    <row r="2072" spans="1:1" ht="15.75" x14ac:dyDescent="0.25">
      <c r="A2072" s="11"/>
    </row>
    <row r="2073" spans="1:1" ht="15.75" x14ac:dyDescent="0.25">
      <c r="A2073" s="11"/>
    </row>
    <row r="2074" spans="1:1" ht="15.75" x14ac:dyDescent="0.25">
      <c r="A2074" s="11"/>
    </row>
    <row r="2075" spans="1:1" ht="15.75" x14ac:dyDescent="0.25">
      <c r="A2075" s="11"/>
    </row>
    <row r="2076" spans="1:1" ht="15.75" x14ac:dyDescent="0.25">
      <c r="A2076" s="11"/>
    </row>
    <row r="2077" spans="1:1" ht="15.75" x14ac:dyDescent="0.25">
      <c r="A2077" s="11"/>
    </row>
    <row r="2078" spans="1:1" ht="15.75" x14ac:dyDescent="0.25">
      <c r="A2078" s="11"/>
    </row>
    <row r="2079" spans="1:1" ht="15.75" x14ac:dyDescent="0.25">
      <c r="A2079" s="11"/>
    </row>
    <row r="2080" spans="1:1" ht="15.75" x14ac:dyDescent="0.25">
      <c r="A2080" s="11"/>
    </row>
    <row r="2081" spans="1:1" ht="15.75" x14ac:dyDescent="0.25">
      <c r="A2081" s="11"/>
    </row>
    <row r="2082" spans="1:1" ht="15.75" x14ac:dyDescent="0.25">
      <c r="A2082" s="11"/>
    </row>
    <row r="2083" spans="1:1" ht="15.75" x14ac:dyDescent="0.25">
      <c r="A2083" s="11"/>
    </row>
    <row r="2084" spans="1:1" ht="15.75" x14ac:dyDescent="0.25">
      <c r="A2084" s="11"/>
    </row>
    <row r="2085" spans="1:1" ht="15.75" x14ac:dyDescent="0.25">
      <c r="A2085" s="11"/>
    </row>
    <row r="2086" spans="1:1" ht="15.75" x14ac:dyDescent="0.25">
      <c r="A2086" s="11"/>
    </row>
    <row r="2087" spans="1:1" ht="15.75" x14ac:dyDescent="0.25">
      <c r="A2087" s="11"/>
    </row>
    <row r="2088" spans="1:1" ht="15.75" x14ac:dyDescent="0.25">
      <c r="A2088" s="11"/>
    </row>
    <row r="2089" spans="1:1" ht="15.75" x14ac:dyDescent="0.25">
      <c r="A2089" s="11"/>
    </row>
    <row r="2090" spans="1:1" ht="15.75" x14ac:dyDescent="0.25">
      <c r="A2090" s="11"/>
    </row>
    <row r="2091" spans="1:1" ht="15.75" x14ac:dyDescent="0.25">
      <c r="A2091" s="11"/>
    </row>
    <row r="2092" spans="1:1" ht="15.75" x14ac:dyDescent="0.25">
      <c r="A2092" s="11"/>
    </row>
    <row r="2093" spans="1:1" ht="15.75" x14ac:dyDescent="0.25">
      <c r="A2093" s="11"/>
    </row>
    <row r="2094" spans="1:1" ht="15.75" x14ac:dyDescent="0.25">
      <c r="A2094" s="11"/>
    </row>
    <row r="2095" spans="1:1" ht="15.75" x14ac:dyDescent="0.25">
      <c r="A2095" s="11"/>
    </row>
    <row r="2096" spans="1:1" ht="15.75" x14ac:dyDescent="0.25">
      <c r="A2096" s="11"/>
    </row>
    <row r="2097" spans="1:1" ht="15.75" x14ac:dyDescent="0.25">
      <c r="A2097" s="11"/>
    </row>
    <row r="2098" spans="1:1" ht="15.75" x14ac:dyDescent="0.25">
      <c r="A2098" s="11"/>
    </row>
    <row r="2099" spans="1:1" ht="15.75" x14ac:dyDescent="0.25">
      <c r="A2099" s="11"/>
    </row>
    <row r="2100" spans="1:1" ht="15.75" x14ac:dyDescent="0.25">
      <c r="A2100" s="11"/>
    </row>
    <row r="2101" spans="1:1" ht="15.75" x14ac:dyDescent="0.25">
      <c r="A2101" s="11"/>
    </row>
    <row r="2102" spans="1:1" ht="15.75" x14ac:dyDescent="0.25">
      <c r="A2102" s="11"/>
    </row>
    <row r="2103" spans="1:1" ht="15.75" x14ac:dyDescent="0.25">
      <c r="A2103" s="11"/>
    </row>
    <row r="2104" spans="1:1" ht="15.75" x14ac:dyDescent="0.25">
      <c r="A2104" s="11"/>
    </row>
    <row r="2105" spans="1:1" ht="15.75" x14ac:dyDescent="0.25">
      <c r="A2105" s="11"/>
    </row>
    <row r="2106" spans="1:1" ht="15.75" x14ac:dyDescent="0.25">
      <c r="A2106" s="11"/>
    </row>
    <row r="2107" spans="1:1" ht="15.75" x14ac:dyDescent="0.25">
      <c r="A2107" s="11"/>
    </row>
    <row r="2108" spans="1:1" ht="15.75" x14ac:dyDescent="0.25">
      <c r="A2108" s="11"/>
    </row>
    <row r="2109" spans="1:1" ht="15.75" x14ac:dyDescent="0.25">
      <c r="A2109" s="11"/>
    </row>
    <row r="2110" spans="1:1" ht="15.75" x14ac:dyDescent="0.25">
      <c r="A2110" s="11"/>
    </row>
    <row r="2111" spans="1:1" ht="15.75" x14ac:dyDescent="0.25">
      <c r="A2111" s="11"/>
    </row>
    <row r="2112" spans="1:1" ht="15.75" x14ac:dyDescent="0.25">
      <c r="A2112" s="11"/>
    </row>
    <row r="2113" spans="1:1" ht="15.75" x14ac:dyDescent="0.25">
      <c r="A2113" s="11"/>
    </row>
    <row r="2114" spans="1:1" ht="15.75" x14ac:dyDescent="0.25">
      <c r="A2114" s="11"/>
    </row>
    <row r="2115" spans="1:1" ht="15.75" x14ac:dyDescent="0.25">
      <c r="A2115" s="11"/>
    </row>
    <row r="2116" spans="1:1" ht="15.75" x14ac:dyDescent="0.25">
      <c r="A2116" s="11"/>
    </row>
    <row r="2117" spans="1:1" ht="15.75" x14ac:dyDescent="0.25">
      <c r="A2117" s="11"/>
    </row>
    <row r="2118" spans="1:1" ht="15.75" x14ac:dyDescent="0.25">
      <c r="A2118" s="11"/>
    </row>
    <row r="2119" spans="1:1" ht="15.75" x14ac:dyDescent="0.25">
      <c r="A2119" s="11"/>
    </row>
    <row r="2120" spans="1:1" ht="15.75" x14ac:dyDescent="0.25">
      <c r="A2120" s="11"/>
    </row>
    <row r="2121" spans="1:1" ht="15.75" x14ac:dyDescent="0.25">
      <c r="A2121" s="11"/>
    </row>
    <row r="2122" spans="1:1" ht="15.75" x14ac:dyDescent="0.25">
      <c r="A2122" s="11"/>
    </row>
    <row r="2123" spans="1:1" ht="15.75" x14ac:dyDescent="0.25">
      <c r="A2123" s="11"/>
    </row>
    <row r="2124" spans="1:1" ht="15.75" x14ac:dyDescent="0.25">
      <c r="A2124" s="11"/>
    </row>
    <row r="2125" spans="1:1" ht="15.75" x14ac:dyDescent="0.25">
      <c r="A2125" s="11"/>
    </row>
    <row r="2126" spans="1:1" ht="15.75" x14ac:dyDescent="0.25">
      <c r="A2126" s="11"/>
    </row>
    <row r="2127" spans="1:1" ht="15.75" x14ac:dyDescent="0.25">
      <c r="A2127" s="11"/>
    </row>
    <row r="2128" spans="1:1" ht="15.75" x14ac:dyDescent="0.25">
      <c r="A2128" s="11"/>
    </row>
    <row r="2129" spans="1:1" ht="15.75" x14ac:dyDescent="0.25">
      <c r="A2129" s="11"/>
    </row>
    <row r="2130" spans="1:1" ht="15.75" x14ac:dyDescent="0.25">
      <c r="A2130" s="11"/>
    </row>
    <row r="2131" spans="1:1" ht="15.75" x14ac:dyDescent="0.25">
      <c r="A2131" s="11"/>
    </row>
    <row r="2132" spans="1:1" ht="15.75" x14ac:dyDescent="0.25">
      <c r="A2132" s="11"/>
    </row>
    <row r="2133" spans="1:1" ht="15.75" x14ac:dyDescent="0.25">
      <c r="A2133" s="11"/>
    </row>
    <row r="2134" spans="1:1" ht="15.75" x14ac:dyDescent="0.25">
      <c r="A2134" s="11"/>
    </row>
    <row r="2135" spans="1:1" ht="15.75" x14ac:dyDescent="0.25">
      <c r="A2135" s="11"/>
    </row>
    <row r="2136" spans="1:1" ht="15.75" x14ac:dyDescent="0.25">
      <c r="A2136" s="11"/>
    </row>
    <row r="2137" spans="1:1" ht="15.75" x14ac:dyDescent="0.25">
      <c r="A2137" s="11"/>
    </row>
    <row r="2138" spans="1:1" ht="15.75" x14ac:dyDescent="0.25">
      <c r="A2138" s="11"/>
    </row>
    <row r="2139" spans="1:1" ht="15.75" x14ac:dyDescent="0.25">
      <c r="A2139" s="11"/>
    </row>
    <row r="2140" spans="1:1" ht="15.75" x14ac:dyDescent="0.25">
      <c r="A2140" s="11"/>
    </row>
    <row r="2141" spans="1:1" ht="15.75" x14ac:dyDescent="0.25">
      <c r="A2141" s="11"/>
    </row>
    <row r="2142" spans="1:1" ht="15.75" x14ac:dyDescent="0.25">
      <c r="A2142" s="11"/>
    </row>
    <row r="2143" spans="1:1" ht="15.75" x14ac:dyDescent="0.25">
      <c r="A2143" s="11"/>
    </row>
    <row r="2144" spans="1:1" ht="15.75" x14ac:dyDescent="0.25">
      <c r="A2144" s="11"/>
    </row>
    <row r="2145" spans="1:1" ht="15.75" x14ac:dyDescent="0.25">
      <c r="A2145" s="11"/>
    </row>
    <row r="2146" spans="1:1" ht="15.75" x14ac:dyDescent="0.25">
      <c r="A2146" s="11"/>
    </row>
    <row r="2147" spans="1:1" ht="15.75" x14ac:dyDescent="0.25">
      <c r="A2147" s="11"/>
    </row>
    <row r="2148" spans="1:1" ht="15.75" x14ac:dyDescent="0.25">
      <c r="A2148" s="11"/>
    </row>
    <row r="2149" spans="1:1" ht="15.75" x14ac:dyDescent="0.25">
      <c r="A2149" s="11"/>
    </row>
    <row r="2150" spans="1:1" ht="15.75" x14ac:dyDescent="0.25">
      <c r="A2150" s="11"/>
    </row>
    <row r="2151" spans="1:1" ht="15.75" x14ac:dyDescent="0.25">
      <c r="A2151" s="11"/>
    </row>
    <row r="2152" spans="1:1" ht="15.75" x14ac:dyDescent="0.25">
      <c r="A2152" s="11"/>
    </row>
    <row r="2153" spans="1:1" ht="15.75" x14ac:dyDescent="0.25">
      <c r="A2153" s="11"/>
    </row>
    <row r="2154" spans="1:1" ht="15.75" x14ac:dyDescent="0.25">
      <c r="A2154" s="11"/>
    </row>
    <row r="2155" spans="1:1" ht="15.75" x14ac:dyDescent="0.25">
      <c r="A2155" s="11"/>
    </row>
    <row r="2156" spans="1:1" ht="15.75" x14ac:dyDescent="0.25">
      <c r="A2156" s="11"/>
    </row>
    <row r="2157" spans="1:1" ht="15.75" x14ac:dyDescent="0.25">
      <c r="A2157" s="11"/>
    </row>
    <row r="2158" spans="1:1" ht="15.75" x14ac:dyDescent="0.25">
      <c r="A2158" s="11"/>
    </row>
    <row r="2159" spans="1:1" ht="15.75" x14ac:dyDescent="0.25">
      <c r="A2159" s="11"/>
    </row>
    <row r="2160" spans="1:1" ht="15.75" x14ac:dyDescent="0.25">
      <c r="A2160" s="11"/>
    </row>
    <row r="2161" spans="1:1" ht="15.75" x14ac:dyDescent="0.25">
      <c r="A2161" s="11"/>
    </row>
    <row r="2162" spans="1:1" ht="15.75" x14ac:dyDescent="0.25">
      <c r="A2162" s="11"/>
    </row>
    <row r="2163" spans="1:1" ht="15.75" x14ac:dyDescent="0.25">
      <c r="A2163" s="11"/>
    </row>
    <row r="2164" spans="1:1" ht="15.75" x14ac:dyDescent="0.25">
      <c r="A2164" s="11"/>
    </row>
    <row r="2165" spans="1:1" ht="15.75" x14ac:dyDescent="0.25">
      <c r="A2165" s="11"/>
    </row>
    <row r="2166" spans="1:1" ht="15.75" x14ac:dyDescent="0.25">
      <c r="A2166" s="11"/>
    </row>
    <row r="2167" spans="1:1" ht="15.75" x14ac:dyDescent="0.25">
      <c r="A2167" s="11"/>
    </row>
    <row r="2168" spans="1:1" ht="15.75" x14ac:dyDescent="0.25">
      <c r="A2168" s="11"/>
    </row>
    <row r="2169" spans="1:1" ht="15.75" x14ac:dyDescent="0.25">
      <c r="A2169" s="11"/>
    </row>
    <row r="2170" spans="1:1" ht="15.75" x14ac:dyDescent="0.25">
      <c r="A2170" s="11"/>
    </row>
    <row r="2171" spans="1:1" ht="15.75" x14ac:dyDescent="0.25">
      <c r="A2171" s="11"/>
    </row>
    <row r="2172" spans="1:1" ht="15.75" x14ac:dyDescent="0.25">
      <c r="A2172" s="11"/>
    </row>
    <row r="2173" spans="1:1" ht="15.75" x14ac:dyDescent="0.25">
      <c r="A2173" s="11"/>
    </row>
    <row r="2174" spans="1:1" ht="15.75" x14ac:dyDescent="0.25">
      <c r="A2174" s="11"/>
    </row>
    <row r="2175" spans="1:1" ht="15.75" x14ac:dyDescent="0.25">
      <c r="A2175" s="11"/>
    </row>
    <row r="2176" spans="1:1" ht="15.75" x14ac:dyDescent="0.25">
      <c r="A2176" s="11"/>
    </row>
    <row r="2177" spans="1:1" ht="15.75" x14ac:dyDescent="0.25">
      <c r="A2177" s="11"/>
    </row>
    <row r="2178" spans="1:1" ht="15.75" x14ac:dyDescent="0.25">
      <c r="A2178" s="11"/>
    </row>
    <row r="2179" spans="1:1" ht="15.75" x14ac:dyDescent="0.25">
      <c r="A2179" s="11"/>
    </row>
    <row r="2180" spans="1:1" ht="15.75" x14ac:dyDescent="0.25">
      <c r="A2180" s="11"/>
    </row>
    <row r="2181" spans="1:1" ht="15.75" x14ac:dyDescent="0.25">
      <c r="A2181" s="11"/>
    </row>
    <row r="2182" spans="1:1" ht="15.75" x14ac:dyDescent="0.25">
      <c r="A2182" s="11"/>
    </row>
    <row r="2183" spans="1:1" ht="15.75" x14ac:dyDescent="0.25">
      <c r="A2183" s="11"/>
    </row>
    <row r="2184" spans="1:1" ht="15.75" x14ac:dyDescent="0.25">
      <c r="A2184" s="11"/>
    </row>
    <row r="2185" spans="1:1" ht="15.75" x14ac:dyDescent="0.25">
      <c r="A2185" s="11"/>
    </row>
    <row r="2186" spans="1:1" ht="15.75" x14ac:dyDescent="0.25">
      <c r="A2186" s="11"/>
    </row>
    <row r="2187" spans="1:1" ht="15.75" x14ac:dyDescent="0.25">
      <c r="A2187" s="11"/>
    </row>
    <row r="2188" spans="1:1" ht="15.75" x14ac:dyDescent="0.25">
      <c r="A2188" s="11"/>
    </row>
    <row r="2189" spans="1:1" ht="15.75" x14ac:dyDescent="0.25">
      <c r="A2189" s="11"/>
    </row>
    <row r="2190" spans="1:1" ht="15.75" x14ac:dyDescent="0.25">
      <c r="A2190" s="11"/>
    </row>
    <row r="2191" spans="1:1" ht="15.75" x14ac:dyDescent="0.25">
      <c r="A2191" s="11"/>
    </row>
    <row r="2192" spans="1:1" ht="15.75" x14ac:dyDescent="0.25">
      <c r="A2192" s="11"/>
    </row>
    <row r="2193" spans="1:1" ht="15.75" x14ac:dyDescent="0.25">
      <c r="A2193" s="11"/>
    </row>
    <row r="2194" spans="1:1" ht="15.75" x14ac:dyDescent="0.25">
      <c r="A2194" s="11"/>
    </row>
    <row r="2195" spans="1:1" ht="15.75" x14ac:dyDescent="0.25">
      <c r="A2195" s="11"/>
    </row>
    <row r="2196" spans="1:1" ht="15.75" x14ac:dyDescent="0.25">
      <c r="A2196" s="11"/>
    </row>
    <row r="2197" spans="1:1" ht="15.75" x14ac:dyDescent="0.25">
      <c r="A2197" s="11"/>
    </row>
    <row r="2198" spans="1:1" ht="15.75" x14ac:dyDescent="0.25">
      <c r="A2198" s="11"/>
    </row>
    <row r="2199" spans="1:1" ht="15.75" x14ac:dyDescent="0.25">
      <c r="A2199" s="11"/>
    </row>
    <row r="2200" spans="1:1" ht="15.75" x14ac:dyDescent="0.25">
      <c r="A2200" s="11"/>
    </row>
    <row r="2201" spans="1:1" ht="15.75" x14ac:dyDescent="0.25">
      <c r="A2201" s="11"/>
    </row>
    <row r="2202" spans="1:1" ht="15.75" x14ac:dyDescent="0.25">
      <c r="A2202" s="11"/>
    </row>
    <row r="2203" spans="1:1" ht="15.75" x14ac:dyDescent="0.25">
      <c r="A2203" s="11"/>
    </row>
    <row r="2204" spans="1:1" ht="15.75" x14ac:dyDescent="0.25">
      <c r="A2204" s="11"/>
    </row>
    <row r="2205" spans="1:1" ht="15.75" x14ac:dyDescent="0.25">
      <c r="A2205" s="11"/>
    </row>
    <row r="2206" spans="1:1" ht="15.75" x14ac:dyDescent="0.25">
      <c r="A2206" s="11"/>
    </row>
    <row r="2207" spans="1:1" ht="15.75" x14ac:dyDescent="0.25">
      <c r="A2207" s="11"/>
    </row>
    <row r="2208" spans="1:1" ht="15.75" x14ac:dyDescent="0.25">
      <c r="A2208" s="11"/>
    </row>
    <row r="2209" spans="1:1" ht="15.75" x14ac:dyDescent="0.25">
      <c r="A2209" s="11"/>
    </row>
    <row r="2210" spans="1:1" ht="15.75" x14ac:dyDescent="0.25">
      <c r="A2210" s="11"/>
    </row>
    <row r="2211" spans="1:1" ht="15.75" x14ac:dyDescent="0.25">
      <c r="A2211" s="11"/>
    </row>
    <row r="2212" spans="1:1" ht="15.75" x14ac:dyDescent="0.25">
      <c r="A2212" s="11"/>
    </row>
    <row r="2213" spans="1:1" ht="15.75" x14ac:dyDescent="0.25">
      <c r="A2213" s="11"/>
    </row>
    <row r="2214" spans="1:1" ht="15.75" x14ac:dyDescent="0.25">
      <c r="A2214" s="11"/>
    </row>
    <row r="2215" spans="1:1" ht="15.75" x14ac:dyDescent="0.25">
      <c r="A2215" s="11"/>
    </row>
    <row r="2216" spans="1:1" ht="15.75" x14ac:dyDescent="0.25">
      <c r="A2216" s="11"/>
    </row>
    <row r="2217" spans="1:1" ht="15.75" x14ac:dyDescent="0.25">
      <c r="A2217" s="11"/>
    </row>
    <row r="2218" spans="1:1" ht="15.75" x14ac:dyDescent="0.25">
      <c r="A2218" s="11"/>
    </row>
    <row r="2219" spans="1:1" ht="15.75" x14ac:dyDescent="0.25">
      <c r="A2219" s="11"/>
    </row>
    <row r="2220" spans="1:1" ht="15.75" x14ac:dyDescent="0.25">
      <c r="A2220" s="11"/>
    </row>
    <row r="2221" spans="1:1" ht="15.75" x14ac:dyDescent="0.25">
      <c r="A2221" s="11"/>
    </row>
    <row r="2222" spans="1:1" ht="15.75" x14ac:dyDescent="0.25">
      <c r="A2222" s="11"/>
    </row>
    <row r="2223" spans="1:1" ht="15.75" x14ac:dyDescent="0.25">
      <c r="A2223" s="11"/>
    </row>
    <row r="2224" spans="1:1" ht="15.75" x14ac:dyDescent="0.25">
      <c r="A2224" s="11"/>
    </row>
    <row r="2225" spans="1:1" ht="15.75" x14ac:dyDescent="0.25">
      <c r="A2225" s="11"/>
    </row>
    <row r="2226" spans="1:1" ht="15.75" x14ac:dyDescent="0.25">
      <c r="A2226" s="11"/>
    </row>
    <row r="2227" spans="1:1" ht="15.75" x14ac:dyDescent="0.25">
      <c r="A2227" s="11"/>
    </row>
    <row r="2228" spans="1:1" ht="15.75" x14ac:dyDescent="0.25">
      <c r="A2228" s="11"/>
    </row>
    <row r="2229" spans="1:1" ht="15.75" x14ac:dyDescent="0.25">
      <c r="A2229" s="11"/>
    </row>
    <row r="2230" spans="1:1" ht="15.75" x14ac:dyDescent="0.25">
      <c r="A2230" s="11"/>
    </row>
    <row r="2231" spans="1:1" ht="15.75" x14ac:dyDescent="0.25">
      <c r="A2231" s="11"/>
    </row>
    <row r="2232" spans="1:1" ht="15.75" x14ac:dyDescent="0.25">
      <c r="A2232" s="11"/>
    </row>
    <row r="2233" spans="1:1" ht="15.75" x14ac:dyDescent="0.25">
      <c r="A2233" s="11"/>
    </row>
    <row r="2234" spans="1:1" ht="15.75" x14ac:dyDescent="0.25">
      <c r="A2234" s="11"/>
    </row>
    <row r="2235" spans="1:1" ht="15.75" x14ac:dyDescent="0.25">
      <c r="A2235" s="11"/>
    </row>
    <row r="2236" spans="1:1" ht="15.75" x14ac:dyDescent="0.25">
      <c r="A2236" s="11"/>
    </row>
    <row r="2237" spans="1:1" ht="15.75" x14ac:dyDescent="0.25">
      <c r="A2237" s="11"/>
    </row>
    <row r="2238" spans="1:1" ht="15.75" x14ac:dyDescent="0.25">
      <c r="A2238" s="11"/>
    </row>
    <row r="2239" spans="1:1" ht="15.75" x14ac:dyDescent="0.25">
      <c r="A2239" s="11"/>
    </row>
    <row r="2240" spans="1:1" ht="15.75" x14ac:dyDescent="0.25">
      <c r="A2240" s="11"/>
    </row>
    <row r="2241" spans="1:1" ht="15.75" x14ac:dyDescent="0.25">
      <c r="A2241" s="11"/>
    </row>
    <row r="2242" spans="1:1" ht="15.75" x14ac:dyDescent="0.25">
      <c r="A2242" s="11"/>
    </row>
    <row r="2243" spans="1:1" ht="15.75" x14ac:dyDescent="0.25">
      <c r="A2243" s="11"/>
    </row>
    <row r="2244" spans="1:1" ht="15.75" x14ac:dyDescent="0.25">
      <c r="A2244" s="11"/>
    </row>
    <row r="2245" spans="1:1" ht="15.75" x14ac:dyDescent="0.25">
      <c r="A2245" s="11"/>
    </row>
    <row r="2246" spans="1:1" ht="15.75" x14ac:dyDescent="0.25">
      <c r="A2246" s="11"/>
    </row>
    <row r="2247" spans="1:1" ht="15.75" x14ac:dyDescent="0.25">
      <c r="A2247" s="11"/>
    </row>
    <row r="2248" spans="1:1" ht="15.75" x14ac:dyDescent="0.25">
      <c r="A2248" s="11"/>
    </row>
    <row r="2249" spans="1:1" ht="15.75" x14ac:dyDescent="0.25">
      <c r="A2249" s="11"/>
    </row>
    <row r="2250" spans="1:1" ht="15.75" x14ac:dyDescent="0.25">
      <c r="A2250" s="11"/>
    </row>
    <row r="2251" spans="1:1" ht="15.75" x14ac:dyDescent="0.25">
      <c r="A2251" s="11"/>
    </row>
    <row r="2252" spans="1:1" ht="15.75" x14ac:dyDescent="0.25">
      <c r="A2252" s="11"/>
    </row>
    <row r="2253" spans="1:1" ht="15.75" x14ac:dyDescent="0.25">
      <c r="A2253" s="11"/>
    </row>
    <row r="2254" spans="1:1" ht="15.75" x14ac:dyDescent="0.25">
      <c r="A2254" s="11"/>
    </row>
    <row r="2255" spans="1:1" ht="15.75" x14ac:dyDescent="0.25">
      <c r="A2255" s="11"/>
    </row>
    <row r="2256" spans="1:1" ht="15.75" x14ac:dyDescent="0.25">
      <c r="A2256" s="11"/>
    </row>
    <row r="2257" spans="1:1" ht="15.75" x14ac:dyDescent="0.25">
      <c r="A2257" s="11"/>
    </row>
    <row r="2258" spans="1:1" ht="15.75" x14ac:dyDescent="0.25">
      <c r="A2258" s="11"/>
    </row>
    <row r="2259" spans="1:1" ht="15.75" x14ac:dyDescent="0.25">
      <c r="A2259" s="11"/>
    </row>
    <row r="2260" spans="1:1" ht="15.75" x14ac:dyDescent="0.25">
      <c r="A2260" s="11"/>
    </row>
    <row r="2261" spans="1:1" ht="15.75" x14ac:dyDescent="0.25">
      <c r="A2261" s="11"/>
    </row>
    <row r="2262" spans="1:1" ht="15.75" x14ac:dyDescent="0.25">
      <c r="A2262" s="11"/>
    </row>
    <row r="2263" spans="1:1" ht="15.75" x14ac:dyDescent="0.25">
      <c r="A2263" s="11"/>
    </row>
    <row r="2264" spans="1:1" ht="15.75" x14ac:dyDescent="0.25">
      <c r="A2264" s="11"/>
    </row>
    <row r="2265" spans="1:1" ht="15.75" x14ac:dyDescent="0.25">
      <c r="A2265" s="11"/>
    </row>
    <row r="2266" spans="1:1" ht="15.75" x14ac:dyDescent="0.25">
      <c r="A2266" s="11"/>
    </row>
    <row r="2267" spans="1:1" ht="15.75" x14ac:dyDescent="0.25">
      <c r="A2267" s="11"/>
    </row>
    <row r="2268" spans="1:1" ht="15.75" x14ac:dyDescent="0.25">
      <c r="A2268" s="11"/>
    </row>
    <row r="2269" spans="1:1" ht="15.75" x14ac:dyDescent="0.25">
      <c r="A2269" s="11"/>
    </row>
    <row r="2270" spans="1:1" ht="15.75" x14ac:dyDescent="0.25">
      <c r="A2270" s="11"/>
    </row>
    <row r="2271" spans="1:1" ht="15.75" x14ac:dyDescent="0.25">
      <c r="A2271" s="11"/>
    </row>
    <row r="2272" spans="1:1" ht="15.75" x14ac:dyDescent="0.25">
      <c r="A2272" s="11"/>
    </row>
    <row r="2273" spans="1:1" ht="15.75" x14ac:dyDescent="0.25">
      <c r="A2273" s="11"/>
    </row>
    <row r="2274" spans="1:1" ht="15.75" x14ac:dyDescent="0.25">
      <c r="A2274" s="11"/>
    </row>
    <row r="2275" spans="1:1" ht="15.75" x14ac:dyDescent="0.25">
      <c r="A2275" s="11"/>
    </row>
    <row r="2276" spans="1:1" ht="15.75" x14ac:dyDescent="0.25">
      <c r="A2276" s="11"/>
    </row>
    <row r="2277" spans="1:1" ht="15.75" x14ac:dyDescent="0.25">
      <c r="A2277" s="11"/>
    </row>
    <row r="2278" spans="1:1" ht="15.75" x14ac:dyDescent="0.25">
      <c r="A2278" s="11"/>
    </row>
    <row r="2279" spans="1:1" ht="15.75" x14ac:dyDescent="0.25">
      <c r="A2279" s="11"/>
    </row>
    <row r="2280" spans="1:1" ht="15.75" x14ac:dyDescent="0.25">
      <c r="A2280" s="11"/>
    </row>
    <row r="2281" spans="1:1" ht="15.75" x14ac:dyDescent="0.25">
      <c r="A2281" s="11"/>
    </row>
    <row r="2282" spans="1:1" ht="15.75" x14ac:dyDescent="0.25">
      <c r="A2282" s="11"/>
    </row>
    <row r="2283" spans="1:1" ht="15.75" x14ac:dyDescent="0.25">
      <c r="A2283" s="11"/>
    </row>
    <row r="2284" spans="1:1" ht="15.75" x14ac:dyDescent="0.25">
      <c r="A2284" s="11"/>
    </row>
    <row r="2285" spans="1:1" ht="15.75" x14ac:dyDescent="0.25">
      <c r="A2285" s="11"/>
    </row>
    <row r="2286" spans="1:1" ht="15.75" x14ac:dyDescent="0.25">
      <c r="A2286" s="11"/>
    </row>
    <row r="2287" spans="1:1" ht="15.75" x14ac:dyDescent="0.25">
      <c r="A2287" s="11"/>
    </row>
    <row r="2288" spans="1:1" ht="15.75" x14ac:dyDescent="0.25">
      <c r="A2288" s="11"/>
    </row>
    <row r="2289" spans="1:1" ht="15.75" x14ac:dyDescent="0.25">
      <c r="A2289" s="11"/>
    </row>
    <row r="2290" spans="1:1" ht="15.75" x14ac:dyDescent="0.25">
      <c r="A2290" s="11"/>
    </row>
    <row r="2291" spans="1:1" ht="15.75" x14ac:dyDescent="0.25">
      <c r="A2291" s="11"/>
    </row>
    <row r="2292" spans="1:1" ht="15.75" x14ac:dyDescent="0.25">
      <c r="A2292" s="11"/>
    </row>
    <row r="2293" spans="1:1" ht="15.75" x14ac:dyDescent="0.25">
      <c r="A2293" s="11"/>
    </row>
    <row r="2294" spans="1:1" ht="15.75" x14ac:dyDescent="0.25">
      <c r="A2294" s="11"/>
    </row>
    <row r="2295" spans="1:1" ht="15.75" x14ac:dyDescent="0.25">
      <c r="A2295" s="11"/>
    </row>
    <row r="2296" spans="1:1" ht="15.75" x14ac:dyDescent="0.25">
      <c r="A2296" s="11"/>
    </row>
    <row r="2297" spans="1:1" ht="15.75" x14ac:dyDescent="0.25">
      <c r="A2297" s="11"/>
    </row>
    <row r="2298" spans="1:1" ht="15.75" x14ac:dyDescent="0.25">
      <c r="A2298" s="11"/>
    </row>
    <row r="2299" spans="1:1" ht="15.75" x14ac:dyDescent="0.25">
      <c r="A2299" s="11"/>
    </row>
    <row r="2300" spans="1:1" ht="15.75" x14ac:dyDescent="0.25">
      <c r="A2300" s="11"/>
    </row>
    <row r="2301" spans="1:1" ht="15.75" x14ac:dyDescent="0.25">
      <c r="A2301" s="11"/>
    </row>
    <row r="2302" spans="1:1" ht="15.75" x14ac:dyDescent="0.25">
      <c r="A2302" s="11"/>
    </row>
    <row r="2303" spans="1:1" ht="15.75" x14ac:dyDescent="0.25">
      <c r="A2303" s="11"/>
    </row>
    <row r="2304" spans="1:1" ht="15.75" x14ac:dyDescent="0.25">
      <c r="A2304" s="11"/>
    </row>
    <row r="2305" spans="1:1" ht="15.75" x14ac:dyDescent="0.25">
      <c r="A2305" s="11"/>
    </row>
    <row r="2306" spans="1:1" ht="15.75" x14ac:dyDescent="0.25">
      <c r="A2306" s="11"/>
    </row>
    <row r="2307" spans="1:1" ht="15.75" x14ac:dyDescent="0.25">
      <c r="A2307" s="11"/>
    </row>
    <row r="2308" spans="1:1" ht="15.75" x14ac:dyDescent="0.25">
      <c r="A2308" s="11"/>
    </row>
    <row r="2309" spans="1:1" ht="15.75" x14ac:dyDescent="0.25">
      <c r="A2309" s="11"/>
    </row>
    <row r="2310" spans="1:1" ht="15.75" x14ac:dyDescent="0.25">
      <c r="A2310" s="11"/>
    </row>
    <row r="2311" spans="1:1" ht="15.75" x14ac:dyDescent="0.25">
      <c r="A2311" s="11"/>
    </row>
    <row r="2312" spans="1:1" ht="15.75" x14ac:dyDescent="0.25">
      <c r="A2312" s="11"/>
    </row>
    <row r="2313" spans="1:1" ht="15.75" x14ac:dyDescent="0.25">
      <c r="A2313" s="11"/>
    </row>
    <row r="2314" spans="1:1" ht="15.75" x14ac:dyDescent="0.25">
      <c r="A2314" s="11"/>
    </row>
    <row r="2315" spans="1:1" ht="15.75" x14ac:dyDescent="0.25">
      <c r="A2315" s="11"/>
    </row>
    <row r="2316" spans="1:1" ht="15.75" x14ac:dyDescent="0.25">
      <c r="A2316" s="11"/>
    </row>
    <row r="2317" spans="1:1" ht="15.75" x14ac:dyDescent="0.25">
      <c r="A2317" s="11"/>
    </row>
    <row r="2318" spans="1:1" ht="15.75" x14ac:dyDescent="0.25">
      <c r="A2318" s="11"/>
    </row>
    <row r="2319" spans="1:1" ht="15.75" x14ac:dyDescent="0.25">
      <c r="A2319" s="11"/>
    </row>
    <row r="2320" spans="1:1" ht="15.75" x14ac:dyDescent="0.25">
      <c r="A2320" s="11"/>
    </row>
    <row r="2321" spans="1:1" ht="15.75" x14ac:dyDescent="0.25">
      <c r="A2321" s="11"/>
    </row>
    <row r="2322" spans="1:1" ht="15.75" x14ac:dyDescent="0.25">
      <c r="A2322" s="11"/>
    </row>
    <row r="2323" spans="1:1" ht="15.75" x14ac:dyDescent="0.25">
      <c r="A2323" s="11"/>
    </row>
    <row r="2324" spans="1:1" ht="15.75" x14ac:dyDescent="0.25">
      <c r="A2324" s="11"/>
    </row>
    <row r="2325" spans="1:1" ht="15.75" x14ac:dyDescent="0.25">
      <c r="A2325" s="11"/>
    </row>
    <row r="2326" spans="1:1" ht="15.75" x14ac:dyDescent="0.25">
      <c r="A2326" s="11"/>
    </row>
    <row r="2327" spans="1:1" ht="15.75" x14ac:dyDescent="0.25">
      <c r="A2327" s="11"/>
    </row>
    <row r="2328" spans="1:1" ht="15.75" x14ac:dyDescent="0.25">
      <c r="A2328" s="11"/>
    </row>
    <row r="2329" spans="1:1" ht="15.75" x14ac:dyDescent="0.25">
      <c r="A2329" s="11"/>
    </row>
    <row r="2330" spans="1:1" ht="15.75" x14ac:dyDescent="0.25">
      <c r="A2330" s="11"/>
    </row>
    <row r="2331" spans="1:1" ht="15.75" x14ac:dyDescent="0.25">
      <c r="A2331" s="11"/>
    </row>
    <row r="2332" spans="1:1" ht="15.75" x14ac:dyDescent="0.25">
      <c r="A2332" s="11"/>
    </row>
    <row r="2333" spans="1:1" ht="15.75" x14ac:dyDescent="0.25">
      <c r="A2333" s="11"/>
    </row>
    <row r="2334" spans="1:1" ht="15.75" x14ac:dyDescent="0.25">
      <c r="A2334" s="11"/>
    </row>
    <row r="2335" spans="1:1" ht="15.75" x14ac:dyDescent="0.25">
      <c r="A2335" s="11"/>
    </row>
    <row r="2336" spans="1:1" ht="15.75" x14ac:dyDescent="0.25">
      <c r="A2336" s="11"/>
    </row>
    <row r="2337" spans="1:1" ht="15.75" x14ac:dyDescent="0.25">
      <c r="A2337" s="11"/>
    </row>
    <row r="2338" spans="1:1" ht="15.75" x14ac:dyDescent="0.25">
      <c r="A2338" s="11"/>
    </row>
    <row r="2339" spans="1:1" ht="15.75" x14ac:dyDescent="0.25">
      <c r="A2339" s="11"/>
    </row>
    <row r="2340" spans="1:1" ht="15.75" x14ac:dyDescent="0.25">
      <c r="A2340" s="11"/>
    </row>
    <row r="2341" spans="1:1" ht="15.75" x14ac:dyDescent="0.25">
      <c r="A2341" s="11"/>
    </row>
    <row r="2342" spans="1:1" ht="15.75" x14ac:dyDescent="0.25">
      <c r="A2342" s="11"/>
    </row>
    <row r="2343" spans="1:1" ht="15.75" x14ac:dyDescent="0.25">
      <c r="A2343" s="11"/>
    </row>
    <row r="2344" spans="1:1" ht="15.75" x14ac:dyDescent="0.25">
      <c r="A2344" s="11"/>
    </row>
    <row r="2345" spans="1:1" ht="15.75" x14ac:dyDescent="0.25">
      <c r="A2345" s="11"/>
    </row>
    <row r="2346" spans="1:1" ht="15.75" x14ac:dyDescent="0.25">
      <c r="A2346" s="11"/>
    </row>
    <row r="2347" spans="1:1" ht="15.75" x14ac:dyDescent="0.25">
      <c r="A2347" s="11"/>
    </row>
    <row r="2348" spans="1:1" ht="15.75" x14ac:dyDescent="0.25">
      <c r="A2348" s="11"/>
    </row>
    <row r="2349" spans="1:1" ht="15.75" x14ac:dyDescent="0.25">
      <c r="A2349" s="11"/>
    </row>
    <row r="2350" spans="1:1" ht="15.75" x14ac:dyDescent="0.25">
      <c r="A2350" s="11"/>
    </row>
    <row r="2351" spans="1:1" ht="15.75" x14ac:dyDescent="0.25">
      <c r="A2351" s="11"/>
    </row>
    <row r="2352" spans="1:1" ht="15.75" x14ac:dyDescent="0.25">
      <c r="A2352" s="11"/>
    </row>
    <row r="2353" spans="1:1" ht="15.75" x14ac:dyDescent="0.25">
      <c r="A2353" s="11"/>
    </row>
    <row r="2354" spans="1:1" ht="15.75" x14ac:dyDescent="0.25">
      <c r="A2354" s="11"/>
    </row>
    <row r="2355" spans="1:1" ht="15.75" x14ac:dyDescent="0.25">
      <c r="A2355" s="11"/>
    </row>
    <row r="2356" spans="1:1" ht="15.75" x14ac:dyDescent="0.25">
      <c r="A2356" s="11"/>
    </row>
    <row r="2357" spans="1:1" ht="15.75" x14ac:dyDescent="0.25">
      <c r="A2357" s="11"/>
    </row>
    <row r="2358" spans="1:1" ht="15.75" x14ac:dyDescent="0.25">
      <c r="A2358" s="11"/>
    </row>
    <row r="2359" spans="1:1" ht="15.75" x14ac:dyDescent="0.25">
      <c r="A2359" s="11"/>
    </row>
    <row r="2360" spans="1:1" ht="15.75" x14ac:dyDescent="0.25">
      <c r="A2360" s="11"/>
    </row>
    <row r="2361" spans="1:1" ht="15.75" x14ac:dyDescent="0.25">
      <c r="A2361" s="11"/>
    </row>
    <row r="2362" spans="1:1" ht="15.75" x14ac:dyDescent="0.25">
      <c r="A2362" s="11"/>
    </row>
    <row r="2363" spans="1:1" ht="15.75" x14ac:dyDescent="0.25">
      <c r="A2363" s="11"/>
    </row>
    <row r="2364" spans="1:1" ht="15.75" x14ac:dyDescent="0.25">
      <c r="A2364" s="11"/>
    </row>
    <row r="2365" spans="1:1" ht="15.75" x14ac:dyDescent="0.25">
      <c r="A2365" s="11"/>
    </row>
    <row r="2366" spans="1:1" ht="15.75" x14ac:dyDescent="0.25">
      <c r="A2366" s="11"/>
    </row>
    <row r="2367" spans="1:1" ht="15.75" x14ac:dyDescent="0.25">
      <c r="A2367" s="11"/>
    </row>
    <row r="2368" spans="1:1" ht="15.75" x14ac:dyDescent="0.25">
      <c r="A2368" s="11"/>
    </row>
    <row r="2369" spans="1:1" ht="15.75" x14ac:dyDescent="0.25">
      <c r="A2369" s="11"/>
    </row>
    <row r="2370" spans="1:1" ht="15.75" x14ac:dyDescent="0.25">
      <c r="A2370" s="11"/>
    </row>
    <row r="2371" spans="1:1" ht="15.75" x14ac:dyDescent="0.25">
      <c r="A2371" s="11"/>
    </row>
    <row r="2372" spans="1:1" ht="15.75" x14ac:dyDescent="0.25">
      <c r="A2372" s="11"/>
    </row>
    <row r="2373" spans="1:1" ht="15.75" x14ac:dyDescent="0.25">
      <c r="A2373" s="11"/>
    </row>
    <row r="2374" spans="1:1" ht="15.75" x14ac:dyDescent="0.25">
      <c r="A2374" s="11"/>
    </row>
    <row r="2375" spans="1:1" ht="15.75" x14ac:dyDescent="0.25">
      <c r="A2375" s="11"/>
    </row>
    <row r="2376" spans="1:1" ht="15.75" x14ac:dyDescent="0.25">
      <c r="A2376" s="11"/>
    </row>
    <row r="2377" spans="1:1" ht="15.75" x14ac:dyDescent="0.25">
      <c r="A2377" s="11"/>
    </row>
    <row r="2378" spans="1:1" ht="15.75" x14ac:dyDescent="0.25">
      <c r="A2378" s="11"/>
    </row>
    <row r="2379" spans="1:1" ht="15.75" x14ac:dyDescent="0.25">
      <c r="A2379" s="11"/>
    </row>
    <row r="2380" spans="1:1" ht="15.75" x14ac:dyDescent="0.25">
      <c r="A2380" s="11"/>
    </row>
    <row r="2381" spans="1:1" ht="15.75" x14ac:dyDescent="0.25">
      <c r="A2381" s="11"/>
    </row>
    <row r="2382" spans="1:1" ht="15.75" x14ac:dyDescent="0.25">
      <c r="A2382" s="11"/>
    </row>
    <row r="2383" spans="1:1" ht="15.75" x14ac:dyDescent="0.25">
      <c r="A2383" s="11"/>
    </row>
    <row r="2384" spans="1:1" ht="15.75" x14ac:dyDescent="0.25">
      <c r="A2384" s="11"/>
    </row>
    <row r="2385" spans="1:1" ht="15.75" x14ac:dyDescent="0.25">
      <c r="A2385" s="11"/>
    </row>
    <row r="2386" spans="1:1" ht="15.75" x14ac:dyDescent="0.25">
      <c r="A2386" s="11"/>
    </row>
    <row r="2387" spans="1:1" ht="15.75" x14ac:dyDescent="0.25">
      <c r="A2387" s="11"/>
    </row>
    <row r="2388" spans="1:1" ht="15.75" x14ac:dyDescent="0.25">
      <c r="A2388" s="11"/>
    </row>
    <row r="2389" spans="1:1" ht="15.75" x14ac:dyDescent="0.25">
      <c r="A2389" s="11"/>
    </row>
    <row r="2390" spans="1:1" ht="15.75" x14ac:dyDescent="0.25">
      <c r="A2390" s="11"/>
    </row>
    <row r="2391" spans="1:1" ht="15.75" x14ac:dyDescent="0.25">
      <c r="A2391" s="11"/>
    </row>
    <row r="2392" spans="1:1" ht="15.75" x14ac:dyDescent="0.25">
      <c r="A2392" s="11"/>
    </row>
    <row r="2393" spans="1:1" ht="15.75" x14ac:dyDescent="0.25">
      <c r="A2393" s="11"/>
    </row>
    <row r="2394" spans="1:1" ht="15.75" x14ac:dyDescent="0.25">
      <c r="A2394" s="11"/>
    </row>
    <row r="2395" spans="1:1" ht="15.75" x14ac:dyDescent="0.25">
      <c r="A2395" s="11"/>
    </row>
    <row r="2396" spans="1:1" ht="15.75" x14ac:dyDescent="0.25">
      <c r="A2396" s="11"/>
    </row>
    <row r="2397" spans="1:1" ht="15.75" x14ac:dyDescent="0.25">
      <c r="A2397" s="11"/>
    </row>
    <row r="2398" spans="1:1" ht="15.75" x14ac:dyDescent="0.25">
      <c r="A2398" s="11"/>
    </row>
    <row r="2399" spans="1:1" ht="15.75" x14ac:dyDescent="0.25">
      <c r="A2399" s="11"/>
    </row>
    <row r="2400" spans="1:1" ht="15.75" x14ac:dyDescent="0.25">
      <c r="A2400" s="11"/>
    </row>
    <row r="2401" spans="1:1" ht="15.75" x14ac:dyDescent="0.25">
      <c r="A2401" s="11"/>
    </row>
    <row r="2402" spans="1:1" ht="15.75" x14ac:dyDescent="0.25">
      <c r="A2402" s="11"/>
    </row>
    <row r="2403" spans="1:1" ht="15.75" x14ac:dyDescent="0.25">
      <c r="A2403" s="11"/>
    </row>
    <row r="2404" spans="1:1" ht="15.75" x14ac:dyDescent="0.25">
      <c r="A2404" s="11"/>
    </row>
    <row r="2405" spans="1:1" ht="15.75" x14ac:dyDescent="0.25">
      <c r="A2405" s="11"/>
    </row>
    <row r="2406" spans="1:1" ht="15.75" x14ac:dyDescent="0.25">
      <c r="A2406" s="11"/>
    </row>
    <row r="2407" spans="1:1" ht="15.75" x14ac:dyDescent="0.25">
      <c r="A2407" s="11"/>
    </row>
    <row r="2408" spans="1:1" ht="15.75" x14ac:dyDescent="0.25">
      <c r="A2408" s="11"/>
    </row>
    <row r="2409" spans="1:1" ht="15.75" x14ac:dyDescent="0.25">
      <c r="A2409" s="11"/>
    </row>
    <row r="2410" spans="1:1" ht="15.75" x14ac:dyDescent="0.25">
      <c r="A2410" s="11"/>
    </row>
    <row r="2411" spans="1:1" ht="15.75" x14ac:dyDescent="0.25">
      <c r="A2411" s="11"/>
    </row>
    <row r="2412" spans="1:1" ht="15.75" x14ac:dyDescent="0.25">
      <c r="A2412" s="11"/>
    </row>
    <row r="2413" spans="1:1" ht="15.75" x14ac:dyDescent="0.25">
      <c r="A2413" s="11"/>
    </row>
    <row r="2414" spans="1:1" ht="15.75" x14ac:dyDescent="0.25">
      <c r="A2414" s="11"/>
    </row>
    <row r="2415" spans="1:1" ht="15.75" x14ac:dyDescent="0.25">
      <c r="A2415" s="11"/>
    </row>
    <row r="2416" spans="1:1" ht="15.75" x14ac:dyDescent="0.25">
      <c r="A2416" s="11"/>
    </row>
    <row r="2417" spans="1:1" ht="15.75" x14ac:dyDescent="0.25">
      <c r="A2417" s="11"/>
    </row>
    <row r="2418" spans="1:1" ht="15.75" x14ac:dyDescent="0.25">
      <c r="A2418" s="11"/>
    </row>
    <row r="2419" spans="1:1" ht="15.75" x14ac:dyDescent="0.25">
      <c r="A2419" s="11"/>
    </row>
    <row r="2420" spans="1:1" ht="15.75" x14ac:dyDescent="0.25">
      <c r="A2420" s="11"/>
    </row>
    <row r="2421" spans="1:1" ht="15.75" x14ac:dyDescent="0.25">
      <c r="A2421" s="11"/>
    </row>
    <row r="2422" spans="1:1" ht="15.75" x14ac:dyDescent="0.25">
      <c r="A2422" s="11"/>
    </row>
    <row r="2423" spans="1:1" ht="15.75" x14ac:dyDescent="0.25">
      <c r="A2423" s="11"/>
    </row>
    <row r="2424" spans="1:1" ht="15.75" x14ac:dyDescent="0.25">
      <c r="A2424" s="11"/>
    </row>
    <row r="2425" spans="1:1" ht="15.75" x14ac:dyDescent="0.25">
      <c r="A2425" s="11"/>
    </row>
    <row r="2426" spans="1:1" ht="15.75" x14ac:dyDescent="0.25">
      <c r="A2426" s="11"/>
    </row>
    <row r="2427" spans="1:1" ht="15.75" x14ac:dyDescent="0.25">
      <c r="A2427" s="11"/>
    </row>
    <row r="2428" spans="1:1" ht="15.75" x14ac:dyDescent="0.25">
      <c r="A2428" s="11"/>
    </row>
    <row r="2429" spans="1:1" ht="15.75" x14ac:dyDescent="0.25">
      <c r="A2429" s="11"/>
    </row>
    <row r="2430" spans="1:1" ht="15.75" x14ac:dyDescent="0.25">
      <c r="A2430" s="11"/>
    </row>
    <row r="2431" spans="1:1" ht="15.75" x14ac:dyDescent="0.25">
      <c r="A2431" s="11"/>
    </row>
    <row r="2432" spans="1:1" ht="15.75" x14ac:dyDescent="0.25">
      <c r="A2432" s="11"/>
    </row>
    <row r="2433" spans="1:1" ht="15.75" x14ac:dyDescent="0.25">
      <c r="A2433" s="11"/>
    </row>
    <row r="2434" spans="1:1" ht="15.75" x14ac:dyDescent="0.25">
      <c r="A2434" s="11"/>
    </row>
    <row r="2435" spans="1:1" ht="15.75" x14ac:dyDescent="0.25">
      <c r="A2435" s="11"/>
    </row>
    <row r="2436" spans="1:1" ht="15.75" x14ac:dyDescent="0.25">
      <c r="A2436" s="11"/>
    </row>
    <row r="2437" spans="1:1" ht="15.75" x14ac:dyDescent="0.25">
      <c r="A2437" s="11"/>
    </row>
    <row r="2438" spans="1:1" ht="15.75" x14ac:dyDescent="0.25">
      <c r="A2438" s="11"/>
    </row>
    <row r="2439" spans="1:1" ht="15.75" x14ac:dyDescent="0.25">
      <c r="A2439" s="11"/>
    </row>
    <row r="2440" spans="1:1" ht="15.75" x14ac:dyDescent="0.25">
      <c r="A2440" s="11"/>
    </row>
    <row r="2441" spans="1:1" ht="15.75" x14ac:dyDescent="0.25">
      <c r="A2441" s="11"/>
    </row>
    <row r="2442" spans="1:1" ht="15.75" x14ac:dyDescent="0.25">
      <c r="A2442" s="11"/>
    </row>
    <row r="2443" spans="1:1" ht="15.75" x14ac:dyDescent="0.25">
      <c r="A2443" s="11"/>
    </row>
    <row r="2444" spans="1:1" ht="15.75" x14ac:dyDescent="0.25">
      <c r="A2444" s="11"/>
    </row>
    <row r="2445" spans="1:1" ht="15.75" x14ac:dyDescent="0.25">
      <c r="A2445" s="11"/>
    </row>
    <row r="2446" spans="1:1" ht="15.75" x14ac:dyDescent="0.25">
      <c r="A2446" s="11"/>
    </row>
    <row r="2447" spans="1:1" ht="15.75" x14ac:dyDescent="0.25">
      <c r="A2447" s="11"/>
    </row>
    <row r="2448" spans="1:1" ht="15.75" x14ac:dyDescent="0.25">
      <c r="A2448" s="11"/>
    </row>
    <row r="2449" spans="1:1" ht="15.75" x14ac:dyDescent="0.25">
      <c r="A2449" s="11"/>
    </row>
    <row r="2450" spans="1:1" ht="15.75" x14ac:dyDescent="0.25">
      <c r="A2450" s="11"/>
    </row>
    <row r="2451" spans="1:1" ht="15.75" x14ac:dyDescent="0.25">
      <c r="A2451" s="11"/>
    </row>
    <row r="2452" spans="1:1" ht="15.75" x14ac:dyDescent="0.25">
      <c r="A2452" s="11"/>
    </row>
    <row r="2453" spans="1:1" ht="15.75" x14ac:dyDescent="0.25">
      <c r="A2453" s="11"/>
    </row>
    <row r="2454" spans="1:1" ht="15.75" x14ac:dyDescent="0.25">
      <c r="A2454" s="11"/>
    </row>
    <row r="2455" spans="1:1" ht="15.75" x14ac:dyDescent="0.25">
      <c r="A2455" s="11"/>
    </row>
    <row r="2456" spans="1:1" ht="15.75" x14ac:dyDescent="0.25">
      <c r="A2456" s="11"/>
    </row>
    <row r="2457" spans="1:1" ht="15.75" x14ac:dyDescent="0.25">
      <c r="A2457" s="11"/>
    </row>
    <row r="2458" spans="1:1" ht="15.75" x14ac:dyDescent="0.25">
      <c r="A2458" s="11"/>
    </row>
    <row r="2459" spans="1:1" ht="15.75" x14ac:dyDescent="0.25">
      <c r="A2459" s="11"/>
    </row>
    <row r="2460" spans="1:1" ht="15.75" x14ac:dyDescent="0.25">
      <c r="A2460" s="11"/>
    </row>
    <row r="2461" spans="1:1" ht="15.75" x14ac:dyDescent="0.25">
      <c r="A2461" s="11"/>
    </row>
    <row r="2462" spans="1:1" ht="15.75" x14ac:dyDescent="0.25">
      <c r="A2462" s="11"/>
    </row>
    <row r="2463" spans="1:1" ht="15.75" x14ac:dyDescent="0.25">
      <c r="A2463" s="11"/>
    </row>
    <row r="2464" spans="1:1" ht="15.75" x14ac:dyDescent="0.25">
      <c r="A2464" s="11"/>
    </row>
    <row r="2465" spans="1:1" ht="15.75" x14ac:dyDescent="0.25">
      <c r="A2465" s="11"/>
    </row>
    <row r="2466" spans="1:1" ht="15.75" x14ac:dyDescent="0.25">
      <c r="A2466" s="11"/>
    </row>
    <row r="2467" spans="1:1" ht="15.75" x14ac:dyDescent="0.25">
      <c r="A2467" s="11"/>
    </row>
    <row r="2468" spans="1:1" ht="15.75" x14ac:dyDescent="0.25">
      <c r="A2468" s="11"/>
    </row>
    <row r="2469" spans="1:1" ht="15.75" x14ac:dyDescent="0.25">
      <c r="A2469" s="11"/>
    </row>
    <row r="2470" spans="1:1" ht="15.75" x14ac:dyDescent="0.25">
      <c r="A2470" s="11"/>
    </row>
    <row r="2471" spans="1:1" ht="15.75" x14ac:dyDescent="0.25">
      <c r="A2471" s="11"/>
    </row>
    <row r="2472" spans="1:1" ht="15.75" x14ac:dyDescent="0.25">
      <c r="A2472" s="11"/>
    </row>
    <row r="2473" spans="1:1" ht="15.75" x14ac:dyDescent="0.25">
      <c r="A2473" s="11"/>
    </row>
    <row r="2474" spans="1:1" ht="15.75" x14ac:dyDescent="0.25">
      <c r="A2474" s="11"/>
    </row>
    <row r="2475" spans="1:1" ht="15.75" x14ac:dyDescent="0.25">
      <c r="A2475" s="11"/>
    </row>
    <row r="2476" spans="1:1" ht="15.75" x14ac:dyDescent="0.25">
      <c r="A2476" s="11"/>
    </row>
    <row r="2477" spans="1:1" ht="15.75" x14ac:dyDescent="0.25">
      <c r="A2477" s="11"/>
    </row>
    <row r="2478" spans="1:1" ht="15.75" x14ac:dyDescent="0.25">
      <c r="A2478" s="11"/>
    </row>
    <row r="2479" spans="1:1" ht="15.75" x14ac:dyDescent="0.25">
      <c r="A2479" s="11"/>
    </row>
    <row r="2480" spans="1:1" ht="15.75" x14ac:dyDescent="0.25">
      <c r="A2480" s="11"/>
    </row>
    <row r="2481" spans="1:1" ht="15.75" x14ac:dyDescent="0.25">
      <c r="A2481" s="11"/>
    </row>
    <row r="2482" spans="1:1" ht="15.75" x14ac:dyDescent="0.25">
      <c r="A2482" s="11"/>
    </row>
    <row r="2483" spans="1:1" ht="15.75" x14ac:dyDescent="0.25">
      <c r="A2483" s="11"/>
    </row>
    <row r="2484" spans="1:1" ht="15.75" x14ac:dyDescent="0.25">
      <c r="A2484" s="11"/>
    </row>
    <row r="2485" spans="1:1" ht="15.75" x14ac:dyDescent="0.25">
      <c r="A2485" s="11"/>
    </row>
    <row r="2486" spans="1:1" ht="15.75" x14ac:dyDescent="0.25">
      <c r="A2486" s="11"/>
    </row>
    <row r="2487" spans="1:1" ht="15.75" x14ac:dyDescent="0.25">
      <c r="A2487" s="11"/>
    </row>
    <row r="2488" spans="1:1" ht="15.75" x14ac:dyDescent="0.25">
      <c r="A2488" s="11"/>
    </row>
    <row r="2489" spans="1:1" ht="15.75" x14ac:dyDescent="0.25">
      <c r="A2489" s="11"/>
    </row>
    <row r="2490" spans="1:1" ht="15.75" x14ac:dyDescent="0.25">
      <c r="A2490" s="11"/>
    </row>
    <row r="2491" spans="1:1" ht="15.75" x14ac:dyDescent="0.25">
      <c r="A2491" s="11"/>
    </row>
    <row r="2492" spans="1:1" ht="15.75" x14ac:dyDescent="0.25">
      <c r="A2492" s="11"/>
    </row>
    <row r="2493" spans="1:1" ht="15.75" x14ac:dyDescent="0.25">
      <c r="A2493" s="11"/>
    </row>
    <row r="2494" spans="1:1" ht="15.75" x14ac:dyDescent="0.25">
      <c r="A2494" s="11"/>
    </row>
    <row r="2495" spans="1:1" ht="15.75" x14ac:dyDescent="0.25">
      <c r="A2495" s="11"/>
    </row>
    <row r="2496" spans="1:1" ht="15.75" x14ac:dyDescent="0.25">
      <c r="A2496" s="11"/>
    </row>
    <row r="2497" spans="1:1" ht="15.75" x14ac:dyDescent="0.25">
      <c r="A2497" s="11"/>
    </row>
    <row r="2498" spans="1:1" ht="15.75" x14ac:dyDescent="0.25">
      <c r="A2498" s="11"/>
    </row>
    <row r="2499" spans="1:1" ht="15.75" x14ac:dyDescent="0.25">
      <c r="A2499" s="11"/>
    </row>
    <row r="2500" spans="1:1" ht="15.75" x14ac:dyDescent="0.25">
      <c r="A2500" s="11"/>
    </row>
    <row r="2501" spans="1:1" ht="15.75" x14ac:dyDescent="0.25">
      <c r="A2501" s="11"/>
    </row>
    <row r="2502" spans="1:1" ht="15.75" x14ac:dyDescent="0.25">
      <c r="A2502" s="11"/>
    </row>
    <row r="2503" spans="1:1" ht="15.75" x14ac:dyDescent="0.25">
      <c r="A2503" s="11"/>
    </row>
    <row r="2504" spans="1:1" ht="15.75" x14ac:dyDescent="0.25">
      <c r="A2504" s="11"/>
    </row>
    <row r="2505" spans="1:1" ht="15.75" x14ac:dyDescent="0.25">
      <c r="A2505" s="11"/>
    </row>
    <row r="2506" spans="1:1" ht="15.75" x14ac:dyDescent="0.25">
      <c r="A2506" s="11"/>
    </row>
    <row r="2507" spans="1:1" ht="15.75" x14ac:dyDescent="0.25">
      <c r="A2507" s="11"/>
    </row>
    <row r="2508" spans="1:1" ht="15.75" x14ac:dyDescent="0.25">
      <c r="A2508" s="11"/>
    </row>
    <row r="2509" spans="1:1" ht="15.75" x14ac:dyDescent="0.25">
      <c r="A2509" s="11"/>
    </row>
    <row r="2510" spans="1:1" ht="15.75" x14ac:dyDescent="0.25">
      <c r="A2510" s="11"/>
    </row>
    <row r="2511" spans="1:1" ht="15.75" x14ac:dyDescent="0.25">
      <c r="A2511" s="11"/>
    </row>
    <row r="2512" spans="1:1" ht="15.75" x14ac:dyDescent="0.25">
      <c r="A2512" s="11"/>
    </row>
    <row r="2513" spans="1:1" ht="15.75" x14ac:dyDescent="0.25">
      <c r="A2513" s="11"/>
    </row>
    <row r="2514" spans="1:1" ht="15.75" x14ac:dyDescent="0.25">
      <c r="A2514" s="11"/>
    </row>
    <row r="2515" spans="1:1" ht="15.75" x14ac:dyDescent="0.25">
      <c r="A2515" s="11"/>
    </row>
    <row r="2516" spans="1:1" ht="15.75" x14ac:dyDescent="0.25">
      <c r="A2516" s="11"/>
    </row>
    <row r="2517" spans="1:1" ht="15.75" x14ac:dyDescent="0.25">
      <c r="A2517" s="11"/>
    </row>
    <row r="2518" spans="1:1" ht="15.75" x14ac:dyDescent="0.25">
      <c r="A2518" s="11"/>
    </row>
    <row r="2519" spans="1:1" ht="15.75" x14ac:dyDescent="0.25">
      <c r="A2519" s="11"/>
    </row>
    <row r="2520" spans="1:1" ht="15.75" x14ac:dyDescent="0.25">
      <c r="A2520" s="11"/>
    </row>
    <row r="2521" spans="1:1" ht="15.75" x14ac:dyDescent="0.25">
      <c r="A2521" s="11"/>
    </row>
    <row r="2522" spans="1:1" ht="15.75" x14ac:dyDescent="0.25">
      <c r="A2522" s="11"/>
    </row>
    <row r="2523" spans="1:1" ht="15.75" x14ac:dyDescent="0.25">
      <c r="A2523" s="11"/>
    </row>
    <row r="2524" spans="1:1" ht="15.75" x14ac:dyDescent="0.25">
      <c r="A2524" s="11"/>
    </row>
    <row r="2525" spans="1:1" ht="15.75" x14ac:dyDescent="0.25">
      <c r="A2525" s="11"/>
    </row>
    <row r="2526" spans="1:1" ht="15.75" x14ac:dyDescent="0.25">
      <c r="A2526" s="11"/>
    </row>
    <row r="2527" spans="1:1" ht="15.75" x14ac:dyDescent="0.25">
      <c r="A2527" s="11"/>
    </row>
    <row r="2528" spans="1:1" ht="15.75" x14ac:dyDescent="0.25">
      <c r="A2528" s="11"/>
    </row>
    <row r="2529" spans="1:1" ht="15.75" x14ac:dyDescent="0.25">
      <c r="A2529" s="11"/>
    </row>
    <row r="2530" spans="1:1" ht="15.75" x14ac:dyDescent="0.25">
      <c r="A2530" s="11"/>
    </row>
    <row r="2531" spans="1:1" ht="15.75" x14ac:dyDescent="0.25">
      <c r="A2531" s="11"/>
    </row>
    <row r="2532" spans="1:1" ht="15.75" x14ac:dyDescent="0.25">
      <c r="A2532" s="11"/>
    </row>
    <row r="2533" spans="1:1" ht="15.75" x14ac:dyDescent="0.25">
      <c r="A2533" s="11"/>
    </row>
    <row r="2534" spans="1:1" ht="15.75" x14ac:dyDescent="0.25">
      <c r="A2534" s="11"/>
    </row>
    <row r="2535" spans="1:1" ht="15.75" x14ac:dyDescent="0.25">
      <c r="A2535" s="11"/>
    </row>
    <row r="2536" spans="1:1" ht="15.75" x14ac:dyDescent="0.25">
      <c r="A2536" s="11"/>
    </row>
    <row r="2537" spans="1:1" ht="15.75" x14ac:dyDescent="0.25">
      <c r="A2537" s="11"/>
    </row>
    <row r="2538" spans="1:1" ht="15.75" x14ac:dyDescent="0.25">
      <c r="A2538" s="11"/>
    </row>
    <row r="2539" spans="1:1" ht="15.75" x14ac:dyDescent="0.25">
      <c r="A2539" s="11"/>
    </row>
    <row r="2540" spans="1:1" ht="15.75" x14ac:dyDescent="0.25">
      <c r="A2540" s="11"/>
    </row>
    <row r="2541" spans="1:1" ht="15.75" x14ac:dyDescent="0.25">
      <c r="A2541" s="11"/>
    </row>
    <row r="2542" spans="1:1" ht="15.75" x14ac:dyDescent="0.25">
      <c r="A2542" s="11"/>
    </row>
    <row r="2543" spans="1:1" ht="15.75" x14ac:dyDescent="0.25">
      <c r="A2543" s="11"/>
    </row>
    <row r="2544" spans="1:1" ht="15.75" x14ac:dyDescent="0.25">
      <c r="A2544" s="11"/>
    </row>
    <row r="2545" spans="1:1" ht="15.75" x14ac:dyDescent="0.25">
      <c r="A2545" s="11"/>
    </row>
    <row r="2546" spans="1:1" ht="15.75" x14ac:dyDescent="0.25">
      <c r="A2546" s="11"/>
    </row>
    <row r="2547" spans="1:1" ht="15.75" x14ac:dyDescent="0.25">
      <c r="A2547" s="11"/>
    </row>
    <row r="2548" spans="1:1" ht="15.75" x14ac:dyDescent="0.25">
      <c r="A2548" s="11"/>
    </row>
    <row r="2549" spans="1:1" ht="15.75" x14ac:dyDescent="0.25">
      <c r="A2549" s="11"/>
    </row>
    <row r="2550" spans="1:1" ht="15.75" x14ac:dyDescent="0.25">
      <c r="A2550" s="11"/>
    </row>
    <row r="2551" spans="1:1" ht="15.75" x14ac:dyDescent="0.25">
      <c r="A2551" s="11"/>
    </row>
    <row r="2552" spans="1:1" ht="15.75" x14ac:dyDescent="0.25">
      <c r="A2552" s="11"/>
    </row>
    <row r="2553" spans="1:1" ht="15.75" x14ac:dyDescent="0.25">
      <c r="A2553" s="11"/>
    </row>
    <row r="2554" spans="1:1" ht="15.75" x14ac:dyDescent="0.25">
      <c r="A2554" s="11"/>
    </row>
    <row r="2555" spans="1:1" ht="15.75" x14ac:dyDescent="0.25">
      <c r="A2555" s="11"/>
    </row>
    <row r="2556" spans="1:1" ht="15.75" x14ac:dyDescent="0.25">
      <c r="A2556" s="11"/>
    </row>
    <row r="2557" spans="1:1" ht="15.75" x14ac:dyDescent="0.25">
      <c r="A2557" s="11"/>
    </row>
    <row r="2558" spans="1:1" ht="15.75" x14ac:dyDescent="0.25">
      <c r="A2558" s="11"/>
    </row>
    <row r="2559" spans="1:1" ht="15.75" x14ac:dyDescent="0.25">
      <c r="A2559" s="11"/>
    </row>
    <row r="2560" spans="1:1" ht="15.75" x14ac:dyDescent="0.25">
      <c r="A2560" s="11"/>
    </row>
    <row r="2561" spans="1:1" ht="15.75" x14ac:dyDescent="0.25">
      <c r="A2561" s="11"/>
    </row>
    <row r="2562" spans="1:1" ht="15.75" x14ac:dyDescent="0.25">
      <c r="A2562" s="11"/>
    </row>
    <row r="2563" spans="1:1" ht="15.75" x14ac:dyDescent="0.25">
      <c r="A2563" s="11"/>
    </row>
    <row r="2564" spans="1:1" ht="15.75" x14ac:dyDescent="0.25">
      <c r="A2564" s="11"/>
    </row>
    <row r="2565" spans="1:1" ht="15.75" x14ac:dyDescent="0.25">
      <c r="A2565" s="11"/>
    </row>
    <row r="2566" spans="1:1" ht="15.75" x14ac:dyDescent="0.25">
      <c r="A2566" s="11"/>
    </row>
    <row r="2567" spans="1:1" ht="15.75" x14ac:dyDescent="0.25">
      <c r="A2567" s="11"/>
    </row>
    <row r="2568" spans="1:1" ht="15.75" x14ac:dyDescent="0.25">
      <c r="A2568" s="11"/>
    </row>
    <row r="2569" spans="1:1" ht="15.75" x14ac:dyDescent="0.25">
      <c r="A2569" s="11"/>
    </row>
    <row r="2570" spans="1:1" ht="15.75" x14ac:dyDescent="0.25">
      <c r="A2570" s="11"/>
    </row>
    <row r="2571" spans="1:1" ht="15.75" x14ac:dyDescent="0.25">
      <c r="A2571" s="11"/>
    </row>
    <row r="2572" spans="1:1" ht="15.75" x14ac:dyDescent="0.25">
      <c r="A2572" s="11"/>
    </row>
    <row r="2573" spans="1:1" ht="15.75" x14ac:dyDescent="0.25">
      <c r="A2573" s="11"/>
    </row>
    <row r="2574" spans="1:1" ht="15.75" x14ac:dyDescent="0.25">
      <c r="A2574" s="11"/>
    </row>
    <row r="2575" spans="1:1" ht="15.75" x14ac:dyDescent="0.25">
      <c r="A2575" s="11"/>
    </row>
    <row r="2576" spans="1:1" ht="15.75" x14ac:dyDescent="0.25">
      <c r="A2576" s="11"/>
    </row>
    <row r="2577" spans="1:1" ht="15.75" x14ac:dyDescent="0.25">
      <c r="A2577" s="11"/>
    </row>
    <row r="2578" spans="1:1" ht="15.75" x14ac:dyDescent="0.25">
      <c r="A2578" s="11"/>
    </row>
    <row r="2579" spans="1:1" ht="15.75" x14ac:dyDescent="0.25">
      <c r="A2579" s="11"/>
    </row>
    <row r="2580" spans="1:1" ht="15.75" x14ac:dyDescent="0.25">
      <c r="A2580" s="11"/>
    </row>
    <row r="2581" spans="1:1" ht="15.75" x14ac:dyDescent="0.25">
      <c r="A2581" s="11"/>
    </row>
    <row r="2582" spans="1:1" ht="15.75" x14ac:dyDescent="0.25">
      <c r="A2582" s="11"/>
    </row>
    <row r="2583" spans="1:1" ht="15.75" x14ac:dyDescent="0.25">
      <c r="A2583" s="11"/>
    </row>
    <row r="2584" spans="1:1" ht="15.75" x14ac:dyDescent="0.25">
      <c r="A2584" s="11"/>
    </row>
    <row r="2585" spans="1:1" ht="15.75" x14ac:dyDescent="0.25">
      <c r="A2585" s="11"/>
    </row>
    <row r="2586" spans="1:1" ht="15.75" x14ac:dyDescent="0.25">
      <c r="A2586" s="11"/>
    </row>
    <row r="2587" spans="1:1" ht="15.75" x14ac:dyDescent="0.25">
      <c r="A2587" s="11"/>
    </row>
    <row r="2588" spans="1:1" ht="15.75" x14ac:dyDescent="0.25">
      <c r="A2588" s="11"/>
    </row>
    <row r="2589" spans="1:1" ht="15.75" x14ac:dyDescent="0.25">
      <c r="A2589" s="11"/>
    </row>
    <row r="2590" spans="1:1" ht="15.75" x14ac:dyDescent="0.25">
      <c r="A2590" s="11"/>
    </row>
    <row r="2591" spans="1:1" ht="15.75" x14ac:dyDescent="0.25">
      <c r="A2591" s="11"/>
    </row>
    <row r="2592" spans="1:1" ht="15.75" x14ac:dyDescent="0.25">
      <c r="A2592" s="11"/>
    </row>
    <row r="2593" spans="1:1" ht="15.75" x14ac:dyDescent="0.25">
      <c r="A2593" s="11"/>
    </row>
    <row r="2594" spans="1:1" ht="15.75" x14ac:dyDescent="0.25">
      <c r="A2594" s="11"/>
    </row>
    <row r="2595" spans="1:1" ht="15.75" x14ac:dyDescent="0.25">
      <c r="A2595" s="11"/>
    </row>
    <row r="2596" spans="1:1" ht="15.75" x14ac:dyDescent="0.25">
      <c r="A2596" s="11"/>
    </row>
    <row r="2597" spans="1:1" ht="15.75" x14ac:dyDescent="0.25">
      <c r="A2597" s="11"/>
    </row>
    <row r="2598" spans="1:1" ht="15.75" x14ac:dyDescent="0.25">
      <c r="A2598" s="11"/>
    </row>
    <row r="2599" spans="1:1" ht="15.75" x14ac:dyDescent="0.25">
      <c r="A2599" s="11"/>
    </row>
    <row r="2600" spans="1:1" ht="15.75" x14ac:dyDescent="0.25">
      <c r="A2600" s="11"/>
    </row>
    <row r="2601" spans="1:1" ht="15.75" x14ac:dyDescent="0.25">
      <c r="A2601" s="11"/>
    </row>
    <row r="2602" spans="1:1" ht="15.75" x14ac:dyDescent="0.25">
      <c r="A2602" s="11"/>
    </row>
    <row r="2603" spans="1:1" ht="15.75" x14ac:dyDescent="0.25">
      <c r="A2603" s="11"/>
    </row>
    <row r="2604" spans="1:1" ht="15.75" x14ac:dyDescent="0.25">
      <c r="A2604" s="11"/>
    </row>
    <row r="2605" spans="1:1" ht="15.75" x14ac:dyDescent="0.25">
      <c r="A2605" s="11"/>
    </row>
    <row r="2606" spans="1:1" ht="15.75" x14ac:dyDescent="0.25">
      <c r="A2606" s="11"/>
    </row>
    <row r="2607" spans="1:1" ht="15.75" x14ac:dyDescent="0.25">
      <c r="A2607" s="11"/>
    </row>
    <row r="2608" spans="1:1" ht="15.75" x14ac:dyDescent="0.25">
      <c r="A2608" s="11"/>
    </row>
    <row r="2609" spans="1:1" ht="15.75" x14ac:dyDescent="0.25">
      <c r="A2609" s="11"/>
    </row>
    <row r="2610" spans="1:1" ht="15.75" x14ac:dyDescent="0.25">
      <c r="A2610" s="11"/>
    </row>
    <row r="2611" spans="1:1" ht="15.75" x14ac:dyDescent="0.25">
      <c r="A2611" s="11"/>
    </row>
    <row r="2612" spans="1:1" ht="15.75" x14ac:dyDescent="0.25">
      <c r="A2612" s="11"/>
    </row>
    <row r="2613" spans="1:1" ht="15.75" x14ac:dyDescent="0.25">
      <c r="A2613" s="11"/>
    </row>
    <row r="2614" spans="1:1" ht="15.75" x14ac:dyDescent="0.25">
      <c r="A2614" s="11"/>
    </row>
    <row r="2615" spans="1:1" ht="15.75" x14ac:dyDescent="0.25">
      <c r="A2615" s="11"/>
    </row>
    <row r="2616" spans="1:1" ht="15.75" x14ac:dyDescent="0.25">
      <c r="A2616" s="11"/>
    </row>
    <row r="2617" spans="1:1" ht="15.75" x14ac:dyDescent="0.25">
      <c r="A2617" s="11"/>
    </row>
    <row r="2618" spans="1:1" ht="15.75" x14ac:dyDescent="0.25">
      <c r="A2618" s="11"/>
    </row>
    <row r="2619" spans="1:1" ht="15.75" x14ac:dyDescent="0.25">
      <c r="A2619" s="11"/>
    </row>
    <row r="2620" spans="1:1" ht="15.75" x14ac:dyDescent="0.25">
      <c r="A2620" s="11"/>
    </row>
    <row r="2621" spans="1:1" ht="15.75" x14ac:dyDescent="0.25">
      <c r="A2621" s="11"/>
    </row>
    <row r="2622" spans="1:1" ht="15.75" x14ac:dyDescent="0.25">
      <c r="A2622" s="11"/>
    </row>
    <row r="2623" spans="1:1" ht="15.75" x14ac:dyDescent="0.25">
      <c r="A2623" s="11"/>
    </row>
    <row r="2624" spans="1:1" ht="15.75" x14ac:dyDescent="0.25">
      <c r="A2624" s="11"/>
    </row>
    <row r="2625" spans="1:1" ht="15.75" x14ac:dyDescent="0.25">
      <c r="A2625" s="11"/>
    </row>
    <row r="2626" spans="1:1" ht="15.75" x14ac:dyDescent="0.25">
      <c r="A2626" s="11"/>
    </row>
    <row r="2627" spans="1:1" ht="15.75" x14ac:dyDescent="0.25">
      <c r="A2627" s="11"/>
    </row>
    <row r="2628" spans="1:1" ht="15.75" x14ac:dyDescent="0.25">
      <c r="A2628" s="11"/>
    </row>
    <row r="2629" spans="1:1" ht="15.75" x14ac:dyDescent="0.25">
      <c r="A2629" s="11"/>
    </row>
    <row r="2630" spans="1:1" ht="15.75" x14ac:dyDescent="0.25">
      <c r="A2630" s="11"/>
    </row>
    <row r="2631" spans="1:1" ht="15.75" x14ac:dyDescent="0.25">
      <c r="A2631" s="11"/>
    </row>
    <row r="2632" spans="1:1" ht="15.75" x14ac:dyDescent="0.25">
      <c r="A2632" s="11"/>
    </row>
    <row r="2633" spans="1:1" ht="15.75" x14ac:dyDescent="0.25">
      <c r="A2633" s="11"/>
    </row>
    <row r="2634" spans="1:1" ht="15.75" x14ac:dyDescent="0.25">
      <c r="A2634" s="11"/>
    </row>
    <row r="2635" spans="1:1" ht="15.75" x14ac:dyDescent="0.25">
      <c r="A2635" s="11"/>
    </row>
    <row r="2636" spans="1:1" ht="15.75" x14ac:dyDescent="0.25">
      <c r="A2636" s="11"/>
    </row>
    <row r="2637" spans="1:1" ht="15.75" x14ac:dyDescent="0.25">
      <c r="A2637" s="11"/>
    </row>
    <row r="2638" spans="1:1" ht="15.75" x14ac:dyDescent="0.25">
      <c r="A2638" s="11"/>
    </row>
    <row r="2639" spans="1:1" ht="15.75" x14ac:dyDescent="0.25">
      <c r="A2639" s="11"/>
    </row>
    <row r="2640" spans="1:1" ht="15.75" x14ac:dyDescent="0.25">
      <c r="A2640" s="11"/>
    </row>
    <row r="2641" spans="1:1" ht="15.75" x14ac:dyDescent="0.25">
      <c r="A2641" s="11"/>
    </row>
    <row r="2642" spans="1:1" ht="15.75" x14ac:dyDescent="0.25">
      <c r="A2642" s="11"/>
    </row>
    <row r="2643" spans="1:1" ht="15.75" x14ac:dyDescent="0.25">
      <c r="A2643" s="11"/>
    </row>
    <row r="2644" spans="1:1" ht="15.75" x14ac:dyDescent="0.25">
      <c r="A2644" s="11"/>
    </row>
    <row r="2645" spans="1:1" ht="15.75" x14ac:dyDescent="0.25">
      <c r="A2645" s="11"/>
    </row>
    <row r="2646" spans="1:1" ht="15.75" x14ac:dyDescent="0.25">
      <c r="A2646" s="11"/>
    </row>
    <row r="2647" spans="1:1" ht="15.75" x14ac:dyDescent="0.25">
      <c r="A2647" s="11"/>
    </row>
    <row r="2648" spans="1:1" ht="15.75" x14ac:dyDescent="0.25">
      <c r="A2648" s="11"/>
    </row>
    <row r="2649" spans="1:1" ht="15.75" x14ac:dyDescent="0.25">
      <c r="A2649" s="11"/>
    </row>
    <row r="2650" spans="1:1" ht="15.75" x14ac:dyDescent="0.25">
      <c r="A2650" s="11"/>
    </row>
    <row r="2651" spans="1:1" ht="15.75" x14ac:dyDescent="0.25">
      <c r="A2651" s="11"/>
    </row>
    <row r="2652" spans="1:1" ht="15.75" x14ac:dyDescent="0.25">
      <c r="A2652" s="11"/>
    </row>
    <row r="2653" spans="1:1" ht="15.75" x14ac:dyDescent="0.25">
      <c r="A2653" s="11"/>
    </row>
    <row r="2654" spans="1:1" ht="15.75" x14ac:dyDescent="0.25">
      <c r="A2654" s="11"/>
    </row>
    <row r="2655" spans="1:1" ht="15.75" x14ac:dyDescent="0.25">
      <c r="A2655" s="11"/>
    </row>
    <row r="2656" spans="1:1" ht="15.75" x14ac:dyDescent="0.25">
      <c r="A2656" s="11"/>
    </row>
    <row r="2657" spans="1:1" ht="15.75" x14ac:dyDescent="0.25">
      <c r="A2657" s="11"/>
    </row>
    <row r="2658" spans="1:1" ht="15.75" x14ac:dyDescent="0.25">
      <c r="A2658" s="11"/>
    </row>
    <row r="2659" spans="1:1" ht="15.75" x14ac:dyDescent="0.25">
      <c r="A2659" s="11"/>
    </row>
    <row r="2660" spans="1:1" ht="15.75" x14ac:dyDescent="0.25">
      <c r="A2660" s="11"/>
    </row>
    <row r="2661" spans="1:1" ht="15.75" x14ac:dyDescent="0.25">
      <c r="A2661" s="11"/>
    </row>
    <row r="2662" spans="1:1" ht="15.75" x14ac:dyDescent="0.25">
      <c r="A2662" s="11"/>
    </row>
    <row r="2663" spans="1:1" ht="15.75" x14ac:dyDescent="0.25">
      <c r="A2663" s="11"/>
    </row>
    <row r="2664" spans="1:1" ht="15.75" x14ac:dyDescent="0.25">
      <c r="A2664" s="11"/>
    </row>
    <row r="2665" spans="1:1" ht="15.75" x14ac:dyDescent="0.25">
      <c r="A2665" s="11"/>
    </row>
    <row r="2666" spans="1:1" ht="15.75" x14ac:dyDescent="0.25">
      <c r="A2666" s="11"/>
    </row>
    <row r="2667" spans="1:1" ht="15.75" x14ac:dyDescent="0.25">
      <c r="A2667" s="11"/>
    </row>
    <row r="2668" spans="1:1" ht="15.75" x14ac:dyDescent="0.25">
      <c r="A2668" s="11"/>
    </row>
    <row r="2669" spans="1:1" ht="15.75" x14ac:dyDescent="0.25">
      <c r="A2669" s="11"/>
    </row>
    <row r="2670" spans="1:1" ht="15.75" x14ac:dyDescent="0.25">
      <c r="A2670" s="11"/>
    </row>
    <row r="2671" spans="1:1" ht="15.75" x14ac:dyDescent="0.25">
      <c r="A2671" s="11"/>
    </row>
    <row r="2672" spans="1:1" ht="15.75" x14ac:dyDescent="0.25">
      <c r="A2672" s="11"/>
    </row>
    <row r="2673" spans="1:1" ht="15.75" x14ac:dyDescent="0.25">
      <c r="A2673" s="11"/>
    </row>
    <row r="2674" spans="1:1" ht="15.75" x14ac:dyDescent="0.25">
      <c r="A2674" s="11"/>
    </row>
    <row r="2675" spans="1:1" ht="15.75" x14ac:dyDescent="0.25">
      <c r="A2675" s="11"/>
    </row>
    <row r="2676" spans="1:1" ht="15.75" x14ac:dyDescent="0.25">
      <c r="A2676" s="11"/>
    </row>
    <row r="2677" spans="1:1" ht="15.75" x14ac:dyDescent="0.25">
      <c r="A2677" s="11"/>
    </row>
    <row r="2678" spans="1:1" ht="15.75" x14ac:dyDescent="0.25">
      <c r="A2678" s="11"/>
    </row>
    <row r="2679" spans="1:1" ht="15.75" x14ac:dyDescent="0.25">
      <c r="A2679" s="11"/>
    </row>
    <row r="2680" spans="1:1" ht="15.75" x14ac:dyDescent="0.25">
      <c r="A2680" s="11"/>
    </row>
    <row r="2681" spans="1:1" ht="15.75" x14ac:dyDescent="0.25">
      <c r="A2681" s="11"/>
    </row>
    <row r="2682" spans="1:1" ht="15.75" x14ac:dyDescent="0.25">
      <c r="A2682" s="11"/>
    </row>
    <row r="2683" spans="1:1" ht="15.75" x14ac:dyDescent="0.25">
      <c r="A2683" s="11"/>
    </row>
    <row r="2684" spans="1:1" ht="15.75" x14ac:dyDescent="0.25">
      <c r="A2684" s="11"/>
    </row>
    <row r="2685" spans="1:1" ht="15.75" x14ac:dyDescent="0.25">
      <c r="A2685" s="11"/>
    </row>
    <row r="2686" spans="1:1" ht="15.75" x14ac:dyDescent="0.25">
      <c r="A2686" s="11"/>
    </row>
    <row r="2687" spans="1:1" ht="15.75" x14ac:dyDescent="0.25">
      <c r="A2687" s="11"/>
    </row>
    <row r="2688" spans="1:1" ht="15.75" x14ac:dyDescent="0.25">
      <c r="A2688" s="11"/>
    </row>
    <row r="2689" spans="1:1" ht="15.75" x14ac:dyDescent="0.25">
      <c r="A2689" s="11"/>
    </row>
    <row r="2690" spans="1:1" ht="15.75" x14ac:dyDescent="0.25">
      <c r="A2690" s="11"/>
    </row>
    <row r="2691" spans="1:1" ht="15.75" x14ac:dyDescent="0.25">
      <c r="A2691" s="11"/>
    </row>
    <row r="2692" spans="1:1" ht="15.75" x14ac:dyDescent="0.25">
      <c r="A2692" s="11"/>
    </row>
    <row r="2693" spans="1:1" ht="15.75" x14ac:dyDescent="0.25">
      <c r="A2693" s="11"/>
    </row>
    <row r="2694" spans="1:1" ht="15.75" x14ac:dyDescent="0.25">
      <c r="A2694" s="11"/>
    </row>
    <row r="2695" spans="1:1" ht="15.75" x14ac:dyDescent="0.25">
      <c r="A2695" s="11"/>
    </row>
    <row r="2696" spans="1:1" ht="15.75" x14ac:dyDescent="0.25">
      <c r="A2696" s="11"/>
    </row>
    <row r="2697" spans="1:1" ht="15.75" x14ac:dyDescent="0.25">
      <c r="A2697" s="11"/>
    </row>
    <row r="2698" spans="1:1" ht="15.75" x14ac:dyDescent="0.25">
      <c r="A2698" s="11"/>
    </row>
    <row r="2699" spans="1:1" ht="15.75" x14ac:dyDescent="0.25">
      <c r="A2699" s="11"/>
    </row>
    <row r="2700" spans="1:1" ht="15.75" x14ac:dyDescent="0.25">
      <c r="A2700" s="11"/>
    </row>
    <row r="2701" spans="1:1" ht="15.75" x14ac:dyDescent="0.25">
      <c r="A2701" s="11"/>
    </row>
    <row r="2702" spans="1:1" ht="15.75" x14ac:dyDescent="0.25">
      <c r="A2702" s="11"/>
    </row>
    <row r="2703" spans="1:1" ht="15.75" x14ac:dyDescent="0.25">
      <c r="A2703" s="11"/>
    </row>
    <row r="2704" spans="1:1" ht="15.75" x14ac:dyDescent="0.25">
      <c r="A2704" s="11"/>
    </row>
    <row r="2705" spans="1:1" ht="15.75" x14ac:dyDescent="0.25">
      <c r="A2705" s="11"/>
    </row>
    <row r="2706" spans="1:1" ht="15.75" x14ac:dyDescent="0.25">
      <c r="A2706" s="11"/>
    </row>
    <row r="2707" spans="1:1" ht="15.75" x14ac:dyDescent="0.25">
      <c r="A2707" s="11"/>
    </row>
    <row r="2708" spans="1:1" ht="15.75" x14ac:dyDescent="0.25">
      <c r="A2708" s="11"/>
    </row>
    <row r="2709" spans="1:1" ht="15.75" x14ac:dyDescent="0.25">
      <c r="A2709" s="11"/>
    </row>
    <row r="2710" spans="1:1" ht="15.75" x14ac:dyDescent="0.25">
      <c r="A2710" s="11"/>
    </row>
    <row r="2711" spans="1:1" ht="15.75" x14ac:dyDescent="0.25">
      <c r="A2711" s="11"/>
    </row>
    <row r="2712" spans="1:1" ht="15.75" x14ac:dyDescent="0.25">
      <c r="A2712" s="11"/>
    </row>
    <row r="2713" spans="1:1" ht="15.75" x14ac:dyDescent="0.25">
      <c r="A2713" s="11"/>
    </row>
    <row r="2714" spans="1:1" ht="15.75" x14ac:dyDescent="0.25">
      <c r="A2714" s="11"/>
    </row>
    <row r="2715" spans="1:1" ht="15.75" x14ac:dyDescent="0.25">
      <c r="A2715" s="11"/>
    </row>
    <row r="2716" spans="1:1" ht="15.75" x14ac:dyDescent="0.25">
      <c r="A2716" s="11"/>
    </row>
    <row r="2717" spans="1:1" ht="15.75" x14ac:dyDescent="0.25">
      <c r="A2717" s="11"/>
    </row>
    <row r="2718" spans="1:1" ht="15.75" x14ac:dyDescent="0.25">
      <c r="A2718" s="11"/>
    </row>
    <row r="2719" spans="1:1" ht="15.75" x14ac:dyDescent="0.25">
      <c r="A2719" s="11"/>
    </row>
    <row r="2720" spans="1:1" ht="15.75" x14ac:dyDescent="0.25">
      <c r="A2720" s="11"/>
    </row>
    <row r="2721" spans="1:1" ht="15.75" x14ac:dyDescent="0.25">
      <c r="A2721" s="11"/>
    </row>
    <row r="2722" spans="1:1" ht="15.75" x14ac:dyDescent="0.25">
      <c r="A2722" s="11"/>
    </row>
    <row r="2723" spans="1:1" ht="15.75" x14ac:dyDescent="0.25">
      <c r="A2723" s="11"/>
    </row>
    <row r="2724" spans="1:1" ht="15.75" x14ac:dyDescent="0.25">
      <c r="A2724" s="11"/>
    </row>
    <row r="2725" spans="1:1" ht="15.75" x14ac:dyDescent="0.25">
      <c r="A2725" s="11"/>
    </row>
    <row r="2726" spans="1:1" ht="15.75" x14ac:dyDescent="0.25">
      <c r="A2726" s="11"/>
    </row>
    <row r="2727" spans="1:1" ht="15.75" x14ac:dyDescent="0.25">
      <c r="A2727" s="11"/>
    </row>
    <row r="2728" spans="1:1" ht="15.75" x14ac:dyDescent="0.25">
      <c r="A2728" s="11"/>
    </row>
    <row r="2729" spans="1:1" ht="15.75" x14ac:dyDescent="0.25">
      <c r="A2729" s="11"/>
    </row>
    <row r="2730" spans="1:1" ht="15.75" x14ac:dyDescent="0.25">
      <c r="A2730" s="11"/>
    </row>
    <row r="2731" spans="1:1" ht="15.75" x14ac:dyDescent="0.25">
      <c r="A2731" s="11"/>
    </row>
    <row r="2732" spans="1:1" ht="15.75" x14ac:dyDescent="0.25">
      <c r="A2732" s="11"/>
    </row>
    <row r="2733" spans="1:1" ht="15.75" x14ac:dyDescent="0.25">
      <c r="A2733" s="11"/>
    </row>
    <row r="2734" spans="1:1" ht="15.75" x14ac:dyDescent="0.25">
      <c r="A2734" s="11"/>
    </row>
    <row r="2735" spans="1:1" ht="15.75" x14ac:dyDescent="0.25">
      <c r="A2735" s="11"/>
    </row>
    <row r="2736" spans="1:1" ht="15.75" x14ac:dyDescent="0.25">
      <c r="A2736" s="11"/>
    </row>
    <row r="2737" spans="1:1" ht="15.75" x14ac:dyDescent="0.25">
      <c r="A2737" s="11"/>
    </row>
    <row r="2738" spans="1:1" ht="15.75" x14ac:dyDescent="0.25">
      <c r="A2738" s="11"/>
    </row>
    <row r="2739" spans="1:1" ht="15.75" x14ac:dyDescent="0.25">
      <c r="A2739" s="11"/>
    </row>
    <row r="2740" spans="1:1" ht="15.75" x14ac:dyDescent="0.25">
      <c r="A2740" s="11"/>
    </row>
    <row r="2741" spans="1:1" ht="15.75" x14ac:dyDescent="0.25">
      <c r="A2741" s="11"/>
    </row>
    <row r="2742" spans="1:1" ht="15.75" x14ac:dyDescent="0.25">
      <c r="A2742" s="11"/>
    </row>
    <row r="2743" spans="1:1" ht="15.75" x14ac:dyDescent="0.25">
      <c r="A2743" s="11"/>
    </row>
    <row r="2744" spans="1:1" ht="15.75" x14ac:dyDescent="0.25">
      <c r="A2744" s="11"/>
    </row>
    <row r="2745" spans="1:1" ht="15.75" x14ac:dyDescent="0.25">
      <c r="A2745" s="11"/>
    </row>
    <row r="2746" spans="1:1" ht="15.75" x14ac:dyDescent="0.25">
      <c r="A2746" s="11"/>
    </row>
    <row r="2747" spans="1:1" ht="15.75" x14ac:dyDescent="0.25">
      <c r="A2747" s="11"/>
    </row>
    <row r="2748" spans="1:1" ht="15.75" x14ac:dyDescent="0.25">
      <c r="A2748" s="11"/>
    </row>
    <row r="2749" spans="1:1" ht="15.75" x14ac:dyDescent="0.25">
      <c r="A2749" s="11"/>
    </row>
    <row r="2750" spans="1:1" ht="15.75" x14ac:dyDescent="0.25">
      <c r="A2750" s="11"/>
    </row>
    <row r="2751" spans="1:1" ht="15.75" x14ac:dyDescent="0.25">
      <c r="A2751" s="11"/>
    </row>
    <row r="2752" spans="1:1" ht="15.75" x14ac:dyDescent="0.25">
      <c r="A2752" s="11"/>
    </row>
    <row r="2753" spans="1:1" ht="15.75" x14ac:dyDescent="0.25">
      <c r="A2753" s="11"/>
    </row>
    <row r="2754" spans="1:1" ht="15.75" x14ac:dyDescent="0.25">
      <c r="A2754" s="11"/>
    </row>
    <row r="2755" spans="1:1" ht="15.75" x14ac:dyDescent="0.25">
      <c r="A2755" s="11"/>
    </row>
    <row r="2756" spans="1:1" ht="15.75" x14ac:dyDescent="0.25">
      <c r="A2756" s="11"/>
    </row>
    <row r="2757" spans="1:1" ht="15.75" x14ac:dyDescent="0.25">
      <c r="A2757" s="11"/>
    </row>
    <row r="2758" spans="1:1" ht="15.75" x14ac:dyDescent="0.25">
      <c r="A2758" s="11"/>
    </row>
    <row r="2759" spans="1:1" ht="15.75" x14ac:dyDescent="0.25">
      <c r="A2759" s="11"/>
    </row>
    <row r="2760" spans="1:1" ht="15.75" x14ac:dyDescent="0.25">
      <c r="A2760" s="11"/>
    </row>
    <row r="2761" spans="1:1" ht="15.75" x14ac:dyDescent="0.25">
      <c r="A2761" s="11"/>
    </row>
    <row r="2762" spans="1:1" ht="15.75" x14ac:dyDescent="0.25">
      <c r="A2762" s="11"/>
    </row>
    <row r="2763" spans="1:1" ht="15.75" x14ac:dyDescent="0.25">
      <c r="A2763" s="11"/>
    </row>
    <row r="2764" spans="1:1" ht="15.75" x14ac:dyDescent="0.25">
      <c r="A2764" s="11"/>
    </row>
    <row r="2765" spans="1:1" ht="15.75" x14ac:dyDescent="0.25">
      <c r="A2765" s="11"/>
    </row>
    <row r="2766" spans="1:1" ht="15.75" x14ac:dyDescent="0.25">
      <c r="A2766" s="11"/>
    </row>
    <row r="2767" spans="1:1" ht="15.75" x14ac:dyDescent="0.25">
      <c r="A2767" s="11"/>
    </row>
    <row r="2768" spans="1:1" ht="15.75" x14ac:dyDescent="0.25">
      <c r="A2768" s="11"/>
    </row>
    <row r="2769" spans="1:1" ht="15.75" x14ac:dyDescent="0.25">
      <c r="A2769" s="11"/>
    </row>
    <row r="2770" spans="1:1" ht="15.75" x14ac:dyDescent="0.25">
      <c r="A2770" s="11"/>
    </row>
    <row r="2771" spans="1:1" ht="15.75" x14ac:dyDescent="0.25">
      <c r="A2771" s="11"/>
    </row>
    <row r="2772" spans="1:1" ht="15.75" x14ac:dyDescent="0.25">
      <c r="A2772" s="11"/>
    </row>
    <row r="2773" spans="1:1" ht="15.75" x14ac:dyDescent="0.25">
      <c r="A2773" s="11"/>
    </row>
    <row r="2774" spans="1:1" ht="15.75" x14ac:dyDescent="0.25">
      <c r="A2774" s="11"/>
    </row>
    <row r="2775" spans="1:1" ht="15.75" x14ac:dyDescent="0.25">
      <c r="A2775" s="11"/>
    </row>
    <row r="2776" spans="1:1" ht="15.75" x14ac:dyDescent="0.25">
      <c r="A2776" s="11"/>
    </row>
    <row r="2777" spans="1:1" ht="15.75" x14ac:dyDescent="0.25">
      <c r="A2777" s="11"/>
    </row>
    <row r="2778" spans="1:1" ht="15.75" x14ac:dyDescent="0.25">
      <c r="A2778" s="11"/>
    </row>
    <row r="2779" spans="1:1" ht="15.75" x14ac:dyDescent="0.25">
      <c r="A2779" s="11"/>
    </row>
    <row r="2780" spans="1:1" ht="15.75" x14ac:dyDescent="0.25">
      <c r="A2780" s="11"/>
    </row>
    <row r="2781" spans="1:1" ht="15.75" x14ac:dyDescent="0.25">
      <c r="A2781" s="11"/>
    </row>
    <row r="2782" spans="1:1" ht="15.75" x14ac:dyDescent="0.25">
      <c r="A2782" s="11"/>
    </row>
    <row r="2783" spans="1:1" ht="15.75" x14ac:dyDescent="0.25">
      <c r="A2783" s="11"/>
    </row>
    <row r="2784" spans="1:1" ht="15.75" x14ac:dyDescent="0.25">
      <c r="A2784" s="11"/>
    </row>
    <row r="2785" spans="1:1" ht="15.75" x14ac:dyDescent="0.25">
      <c r="A2785" s="11"/>
    </row>
    <row r="2786" spans="1:1" ht="15.75" x14ac:dyDescent="0.25">
      <c r="A2786" s="11"/>
    </row>
    <row r="2787" spans="1:1" ht="15.75" x14ac:dyDescent="0.25">
      <c r="A2787" s="11"/>
    </row>
    <row r="2788" spans="1:1" ht="15.75" x14ac:dyDescent="0.25">
      <c r="A2788" s="11"/>
    </row>
    <row r="2789" spans="1:1" ht="15.75" x14ac:dyDescent="0.25">
      <c r="A2789" s="11"/>
    </row>
    <row r="2790" spans="1:1" ht="15.75" x14ac:dyDescent="0.25">
      <c r="A2790" s="11"/>
    </row>
    <row r="2791" spans="1:1" ht="15.75" x14ac:dyDescent="0.25">
      <c r="A2791" s="11"/>
    </row>
    <row r="2792" spans="1:1" ht="15.75" x14ac:dyDescent="0.25">
      <c r="A2792" s="11"/>
    </row>
    <row r="2793" spans="1:1" ht="15.75" x14ac:dyDescent="0.25">
      <c r="A2793" s="11"/>
    </row>
    <row r="2794" spans="1:1" ht="15.75" x14ac:dyDescent="0.25">
      <c r="A2794" s="11"/>
    </row>
    <row r="2795" spans="1:1" ht="15.75" x14ac:dyDescent="0.25">
      <c r="A2795" s="11"/>
    </row>
    <row r="2796" spans="1:1" ht="15.75" x14ac:dyDescent="0.25">
      <c r="A2796" s="11"/>
    </row>
    <row r="2797" spans="1:1" ht="15.75" x14ac:dyDescent="0.25">
      <c r="A2797" s="11"/>
    </row>
    <row r="2798" spans="1:1" ht="15.75" x14ac:dyDescent="0.25">
      <c r="A2798" s="11"/>
    </row>
    <row r="2799" spans="1:1" ht="15.75" x14ac:dyDescent="0.25">
      <c r="A2799" s="11"/>
    </row>
    <row r="2800" spans="1:1" ht="15.75" x14ac:dyDescent="0.25">
      <c r="A2800" s="11"/>
    </row>
    <row r="2801" spans="1:1" ht="15.75" x14ac:dyDescent="0.25">
      <c r="A2801" s="11"/>
    </row>
    <row r="2802" spans="1:1" ht="15.75" x14ac:dyDescent="0.25">
      <c r="A2802" s="11"/>
    </row>
    <row r="2803" spans="1:1" ht="15.75" x14ac:dyDescent="0.25">
      <c r="A2803" s="11"/>
    </row>
    <row r="2804" spans="1:1" ht="15.75" x14ac:dyDescent="0.25">
      <c r="A2804" s="11"/>
    </row>
    <row r="2805" spans="1:1" ht="15.75" x14ac:dyDescent="0.25">
      <c r="A2805" s="11"/>
    </row>
    <row r="2806" spans="1:1" ht="15.75" x14ac:dyDescent="0.25">
      <c r="A2806" s="11"/>
    </row>
    <row r="2807" spans="1:1" ht="15.75" x14ac:dyDescent="0.25">
      <c r="A2807" s="11"/>
    </row>
    <row r="2808" spans="1:1" ht="15.75" x14ac:dyDescent="0.25">
      <c r="A2808" s="11"/>
    </row>
    <row r="2809" spans="1:1" ht="15.75" x14ac:dyDescent="0.25">
      <c r="A2809" s="11"/>
    </row>
    <row r="2810" spans="1:1" ht="15.75" x14ac:dyDescent="0.25">
      <c r="A2810" s="11"/>
    </row>
    <row r="2811" spans="1:1" ht="15.75" x14ac:dyDescent="0.25">
      <c r="A2811" s="11"/>
    </row>
    <row r="2812" spans="1:1" ht="15.75" x14ac:dyDescent="0.25">
      <c r="A2812" s="11"/>
    </row>
    <row r="2813" spans="1:1" ht="15.75" x14ac:dyDescent="0.25">
      <c r="A2813" s="11"/>
    </row>
    <row r="2814" spans="1:1" ht="15.75" x14ac:dyDescent="0.25">
      <c r="A2814" s="11"/>
    </row>
    <row r="2815" spans="1:1" ht="15.75" x14ac:dyDescent="0.25">
      <c r="A2815" s="11"/>
    </row>
    <row r="2816" spans="1:1" ht="15.75" x14ac:dyDescent="0.25">
      <c r="A2816" s="11"/>
    </row>
    <row r="2817" spans="1:1" ht="15.75" x14ac:dyDescent="0.25">
      <c r="A2817" s="11"/>
    </row>
    <row r="2818" spans="1:1" ht="15.75" x14ac:dyDescent="0.25">
      <c r="A2818" s="11"/>
    </row>
    <row r="2819" spans="1:1" ht="15.75" x14ac:dyDescent="0.25">
      <c r="A2819" s="11"/>
    </row>
    <row r="2820" spans="1:1" ht="15.75" x14ac:dyDescent="0.25">
      <c r="A2820" s="11"/>
    </row>
    <row r="2821" spans="1:1" ht="15.75" x14ac:dyDescent="0.25">
      <c r="A2821" s="11"/>
    </row>
    <row r="2822" spans="1:1" ht="15.75" x14ac:dyDescent="0.25">
      <c r="A2822" s="11"/>
    </row>
    <row r="2823" spans="1:1" ht="15.75" x14ac:dyDescent="0.25">
      <c r="A2823" s="11"/>
    </row>
    <row r="2824" spans="1:1" ht="15.75" x14ac:dyDescent="0.25">
      <c r="A2824" s="11"/>
    </row>
    <row r="2825" spans="1:1" ht="15.75" x14ac:dyDescent="0.25">
      <c r="A2825" s="11"/>
    </row>
    <row r="2826" spans="1:1" ht="15.75" x14ac:dyDescent="0.25">
      <c r="A2826" s="11"/>
    </row>
    <row r="2827" spans="1:1" ht="15.75" x14ac:dyDescent="0.25">
      <c r="A2827" s="11"/>
    </row>
    <row r="2828" spans="1:1" ht="15.75" x14ac:dyDescent="0.25">
      <c r="A2828" s="11"/>
    </row>
    <row r="2829" spans="1:1" ht="15.75" x14ac:dyDescent="0.25">
      <c r="A2829" s="11"/>
    </row>
    <row r="2830" spans="1:1" ht="15.75" x14ac:dyDescent="0.25">
      <c r="A2830" s="11"/>
    </row>
    <row r="2831" spans="1:1" ht="15.75" x14ac:dyDescent="0.25">
      <c r="A2831" s="11"/>
    </row>
    <row r="2832" spans="1:1" ht="15.75" x14ac:dyDescent="0.25">
      <c r="A2832" s="11"/>
    </row>
    <row r="2833" spans="1:1" ht="15.75" x14ac:dyDescent="0.25">
      <c r="A2833" s="11"/>
    </row>
    <row r="2834" spans="1:1" ht="15.75" x14ac:dyDescent="0.25">
      <c r="A2834" s="11"/>
    </row>
    <row r="2835" spans="1:1" ht="15.75" x14ac:dyDescent="0.25">
      <c r="A2835" s="11"/>
    </row>
    <row r="2836" spans="1:1" ht="15.75" x14ac:dyDescent="0.25">
      <c r="A2836" s="11"/>
    </row>
    <row r="2837" spans="1:1" ht="15.75" x14ac:dyDescent="0.25">
      <c r="A2837" s="11"/>
    </row>
    <row r="2838" spans="1:1" ht="15.75" x14ac:dyDescent="0.25">
      <c r="A2838" s="11"/>
    </row>
    <row r="2839" spans="1:1" ht="15.75" x14ac:dyDescent="0.25">
      <c r="A2839" s="11"/>
    </row>
    <row r="2840" spans="1:1" ht="15.75" x14ac:dyDescent="0.25">
      <c r="A2840" s="11"/>
    </row>
    <row r="2841" spans="1:1" ht="15.75" x14ac:dyDescent="0.25">
      <c r="A2841" s="11"/>
    </row>
    <row r="2842" spans="1:1" ht="15.75" x14ac:dyDescent="0.25">
      <c r="A2842" s="11"/>
    </row>
    <row r="2843" spans="1:1" ht="15.75" x14ac:dyDescent="0.25">
      <c r="A2843" s="11"/>
    </row>
    <row r="2844" spans="1:1" ht="15.75" x14ac:dyDescent="0.25">
      <c r="A2844" s="11"/>
    </row>
    <row r="2845" spans="1:1" ht="15.75" x14ac:dyDescent="0.25">
      <c r="A2845" s="11"/>
    </row>
    <row r="2846" spans="1:1" ht="15.75" x14ac:dyDescent="0.25">
      <c r="A2846" s="11"/>
    </row>
    <row r="2847" spans="1:1" ht="15.75" x14ac:dyDescent="0.25">
      <c r="A2847" s="11"/>
    </row>
    <row r="2848" spans="1:1" ht="15.75" x14ac:dyDescent="0.25">
      <c r="A2848" s="11"/>
    </row>
    <row r="2849" spans="1:1" ht="15.75" x14ac:dyDescent="0.25">
      <c r="A2849" s="11"/>
    </row>
    <row r="2850" spans="1:1" ht="15.75" x14ac:dyDescent="0.25">
      <c r="A2850" s="11"/>
    </row>
    <row r="2851" spans="1:1" ht="15.75" x14ac:dyDescent="0.25">
      <c r="A2851" s="11"/>
    </row>
    <row r="2852" spans="1:1" ht="15.75" x14ac:dyDescent="0.25">
      <c r="A2852" s="11"/>
    </row>
    <row r="2853" spans="1:1" ht="15.75" x14ac:dyDescent="0.25">
      <c r="A2853" s="11"/>
    </row>
    <row r="2854" spans="1:1" ht="15.75" x14ac:dyDescent="0.25">
      <c r="A2854" s="11"/>
    </row>
    <row r="2855" spans="1:1" ht="15.75" x14ac:dyDescent="0.25">
      <c r="A2855" s="11"/>
    </row>
    <row r="2856" spans="1:1" ht="15.75" x14ac:dyDescent="0.25">
      <c r="A2856" s="11"/>
    </row>
    <row r="2857" spans="1:1" ht="15.75" x14ac:dyDescent="0.25">
      <c r="A2857" s="11"/>
    </row>
    <row r="2858" spans="1:1" ht="15.75" x14ac:dyDescent="0.25">
      <c r="A2858" s="11"/>
    </row>
    <row r="2859" spans="1:1" ht="15.75" x14ac:dyDescent="0.25">
      <c r="A2859" s="11"/>
    </row>
    <row r="2860" spans="1:1" ht="15.75" x14ac:dyDescent="0.25">
      <c r="A2860" s="11"/>
    </row>
    <row r="2861" spans="1:1" ht="15.75" x14ac:dyDescent="0.25">
      <c r="A2861" s="11"/>
    </row>
    <row r="2862" spans="1:1" ht="15.75" x14ac:dyDescent="0.25">
      <c r="A2862" s="11"/>
    </row>
    <row r="2863" spans="1:1" ht="15.75" x14ac:dyDescent="0.25">
      <c r="A2863" s="11"/>
    </row>
    <row r="2864" spans="1:1" ht="15.75" x14ac:dyDescent="0.25">
      <c r="A2864" s="11"/>
    </row>
    <row r="2865" spans="1:1" ht="15.75" x14ac:dyDescent="0.25">
      <c r="A2865" s="11"/>
    </row>
    <row r="2866" spans="1:1" ht="15.75" x14ac:dyDescent="0.25">
      <c r="A2866" s="11"/>
    </row>
    <row r="2867" spans="1:1" ht="15.75" x14ac:dyDescent="0.25">
      <c r="A2867" s="11"/>
    </row>
    <row r="2868" spans="1:1" ht="15.75" x14ac:dyDescent="0.25">
      <c r="A2868" s="11"/>
    </row>
    <row r="2869" spans="1:1" ht="15.75" x14ac:dyDescent="0.25">
      <c r="A2869" s="11"/>
    </row>
    <row r="2870" spans="1:1" ht="15.75" x14ac:dyDescent="0.25">
      <c r="A2870" s="11"/>
    </row>
    <row r="2871" spans="1:1" ht="15.75" x14ac:dyDescent="0.25">
      <c r="A2871" s="11"/>
    </row>
    <row r="2872" spans="1:1" ht="15.75" x14ac:dyDescent="0.25">
      <c r="A2872" s="11"/>
    </row>
    <row r="2873" spans="1:1" ht="15.75" x14ac:dyDescent="0.25">
      <c r="A2873" s="11"/>
    </row>
    <row r="2874" spans="1:1" ht="15.75" x14ac:dyDescent="0.25">
      <c r="A2874" s="11"/>
    </row>
    <row r="2875" spans="1:1" ht="15.75" x14ac:dyDescent="0.25">
      <c r="A2875" s="11"/>
    </row>
    <row r="2876" spans="1:1" ht="15.75" x14ac:dyDescent="0.25">
      <c r="A2876" s="11"/>
    </row>
    <row r="2877" spans="1:1" ht="15.75" x14ac:dyDescent="0.25">
      <c r="A2877" s="11"/>
    </row>
    <row r="2878" spans="1:1" ht="15.75" x14ac:dyDescent="0.25">
      <c r="A2878" s="11"/>
    </row>
    <row r="2879" spans="1:1" ht="15.75" x14ac:dyDescent="0.25">
      <c r="A2879" s="11"/>
    </row>
    <row r="2880" spans="1:1" ht="15.75" x14ac:dyDescent="0.25">
      <c r="A2880" s="11"/>
    </row>
    <row r="2881" spans="1:1" ht="15.75" x14ac:dyDescent="0.25">
      <c r="A2881" s="11"/>
    </row>
    <row r="2882" spans="1:1" ht="15.75" x14ac:dyDescent="0.25">
      <c r="A2882" s="11"/>
    </row>
    <row r="2883" spans="1:1" ht="15.75" x14ac:dyDescent="0.25">
      <c r="A2883" s="11"/>
    </row>
    <row r="2884" spans="1:1" ht="15.75" x14ac:dyDescent="0.25">
      <c r="A2884" s="11"/>
    </row>
    <row r="2885" spans="1:1" ht="15.75" x14ac:dyDescent="0.25">
      <c r="A2885" s="11"/>
    </row>
    <row r="2886" spans="1:1" ht="15.75" x14ac:dyDescent="0.25">
      <c r="A2886" s="11"/>
    </row>
    <row r="2887" spans="1:1" ht="15.75" x14ac:dyDescent="0.25">
      <c r="A2887" s="11"/>
    </row>
    <row r="2888" spans="1:1" ht="15.75" x14ac:dyDescent="0.25">
      <c r="A2888" s="11"/>
    </row>
    <row r="2889" spans="1:1" ht="15.75" x14ac:dyDescent="0.25">
      <c r="A2889" s="11"/>
    </row>
    <row r="2890" spans="1:1" ht="15.75" x14ac:dyDescent="0.25">
      <c r="A2890" s="11"/>
    </row>
    <row r="2891" spans="1:1" ht="15.75" x14ac:dyDescent="0.25">
      <c r="A2891" s="11"/>
    </row>
    <row r="2892" spans="1:1" ht="15.75" x14ac:dyDescent="0.25">
      <c r="A2892" s="11"/>
    </row>
    <row r="2893" spans="1:1" ht="15.75" x14ac:dyDescent="0.25">
      <c r="A2893" s="11"/>
    </row>
    <row r="2894" spans="1:1" ht="15.75" x14ac:dyDescent="0.25">
      <c r="A2894" s="11"/>
    </row>
    <row r="2895" spans="1:1" ht="15.75" x14ac:dyDescent="0.25">
      <c r="A2895" s="11"/>
    </row>
    <row r="2896" spans="1:1" ht="15.75" x14ac:dyDescent="0.25">
      <c r="A2896" s="11"/>
    </row>
    <row r="2897" spans="1:1" ht="15.75" x14ac:dyDescent="0.25">
      <c r="A2897" s="11"/>
    </row>
    <row r="2898" spans="1:1" ht="15.75" x14ac:dyDescent="0.25">
      <c r="A2898" s="11"/>
    </row>
    <row r="2899" spans="1:1" ht="15.75" x14ac:dyDescent="0.25">
      <c r="A2899" s="11"/>
    </row>
    <row r="2900" spans="1:1" ht="15.75" x14ac:dyDescent="0.25">
      <c r="A2900" s="11"/>
    </row>
    <row r="2901" spans="1:1" ht="15.75" x14ac:dyDescent="0.25">
      <c r="A2901" s="11"/>
    </row>
    <row r="2902" spans="1:1" ht="15.75" x14ac:dyDescent="0.25">
      <c r="A2902" s="11"/>
    </row>
    <row r="2903" spans="1:1" ht="15.75" x14ac:dyDescent="0.25">
      <c r="A2903" s="11"/>
    </row>
    <row r="2904" spans="1:1" ht="15.75" x14ac:dyDescent="0.25">
      <c r="A2904" s="11"/>
    </row>
    <row r="2905" spans="1:1" ht="15.75" x14ac:dyDescent="0.25">
      <c r="A2905" s="11"/>
    </row>
    <row r="2906" spans="1:1" ht="15.75" x14ac:dyDescent="0.25">
      <c r="A2906" s="11"/>
    </row>
    <row r="2907" spans="1:1" ht="15.75" x14ac:dyDescent="0.25">
      <c r="A2907" s="11"/>
    </row>
    <row r="2908" spans="1:1" ht="15.75" x14ac:dyDescent="0.25">
      <c r="A2908" s="11"/>
    </row>
    <row r="2909" spans="1:1" ht="15.75" x14ac:dyDescent="0.25">
      <c r="A2909" s="11"/>
    </row>
    <row r="2910" spans="1:1" ht="15.75" x14ac:dyDescent="0.25">
      <c r="A2910" s="11"/>
    </row>
    <row r="2911" spans="1:1" ht="15.75" x14ac:dyDescent="0.25">
      <c r="A2911" s="11"/>
    </row>
    <row r="2912" spans="1:1" ht="15.75" x14ac:dyDescent="0.25">
      <c r="A2912" s="11"/>
    </row>
    <row r="2913" spans="1:1" ht="15.75" x14ac:dyDescent="0.25">
      <c r="A2913" s="11"/>
    </row>
    <row r="2914" spans="1:1" ht="15.75" x14ac:dyDescent="0.25">
      <c r="A2914" s="11"/>
    </row>
    <row r="2915" spans="1:1" ht="15.75" x14ac:dyDescent="0.25">
      <c r="A2915" s="11"/>
    </row>
    <row r="2916" spans="1:1" ht="15.75" x14ac:dyDescent="0.25">
      <c r="A2916" s="11"/>
    </row>
    <row r="2917" spans="1:1" ht="15.75" x14ac:dyDescent="0.25">
      <c r="A2917" s="11"/>
    </row>
    <row r="2918" spans="1:1" ht="15.75" x14ac:dyDescent="0.25">
      <c r="A2918" s="11"/>
    </row>
    <row r="2919" spans="1:1" ht="15.75" x14ac:dyDescent="0.25">
      <c r="A2919" s="11"/>
    </row>
    <row r="2920" spans="1:1" ht="15.75" x14ac:dyDescent="0.25">
      <c r="A2920" s="11"/>
    </row>
    <row r="2921" spans="1:1" ht="15.75" x14ac:dyDescent="0.25">
      <c r="A2921" s="11"/>
    </row>
    <row r="2922" spans="1:1" ht="15.75" x14ac:dyDescent="0.25">
      <c r="A2922" s="11"/>
    </row>
    <row r="2923" spans="1:1" ht="15.75" x14ac:dyDescent="0.25">
      <c r="A2923" s="11"/>
    </row>
    <row r="2924" spans="1:1" ht="15.75" x14ac:dyDescent="0.25">
      <c r="A2924" s="11"/>
    </row>
    <row r="2925" spans="1:1" ht="15.75" x14ac:dyDescent="0.25">
      <c r="A2925" s="11"/>
    </row>
    <row r="2926" spans="1:1" ht="15.75" x14ac:dyDescent="0.25">
      <c r="A2926" s="11"/>
    </row>
    <row r="2927" spans="1:1" ht="15.75" x14ac:dyDescent="0.25">
      <c r="A2927" s="11"/>
    </row>
    <row r="2928" spans="1:1" ht="15.75" x14ac:dyDescent="0.25">
      <c r="A2928" s="11"/>
    </row>
    <row r="2929" spans="1:1" ht="15.75" x14ac:dyDescent="0.25">
      <c r="A2929" s="11"/>
    </row>
    <row r="2930" spans="1:1" ht="15.75" x14ac:dyDescent="0.25">
      <c r="A2930" s="11"/>
    </row>
    <row r="2931" spans="1:1" ht="15.75" x14ac:dyDescent="0.25">
      <c r="A2931" s="11"/>
    </row>
    <row r="2932" spans="1:1" ht="15.75" x14ac:dyDescent="0.25">
      <c r="A2932" s="11"/>
    </row>
    <row r="2933" spans="1:1" ht="15.75" x14ac:dyDescent="0.25">
      <c r="A2933" s="11"/>
    </row>
    <row r="2934" spans="1:1" ht="15.75" x14ac:dyDescent="0.25">
      <c r="A2934" s="11"/>
    </row>
    <row r="2935" spans="1:1" ht="15.75" x14ac:dyDescent="0.25">
      <c r="A2935" s="11"/>
    </row>
    <row r="2936" spans="1:1" ht="15.75" x14ac:dyDescent="0.25">
      <c r="A2936" s="11"/>
    </row>
    <row r="2937" spans="1:1" ht="15.75" x14ac:dyDescent="0.25">
      <c r="A2937" s="11"/>
    </row>
    <row r="2938" spans="1:1" ht="15.75" x14ac:dyDescent="0.25">
      <c r="A2938" s="11"/>
    </row>
    <row r="2939" spans="1:1" ht="15.75" x14ac:dyDescent="0.25">
      <c r="A2939" s="11"/>
    </row>
    <row r="2940" spans="1:1" ht="15.75" x14ac:dyDescent="0.25">
      <c r="A2940" s="11"/>
    </row>
    <row r="2941" spans="1:1" ht="15.75" x14ac:dyDescent="0.25">
      <c r="A2941" s="11"/>
    </row>
    <row r="2942" spans="1:1" ht="15.75" x14ac:dyDescent="0.25">
      <c r="A2942" s="11"/>
    </row>
    <row r="2943" spans="1:1" ht="15.75" x14ac:dyDescent="0.25">
      <c r="A2943" s="11"/>
    </row>
    <row r="2944" spans="1:1" ht="15.75" x14ac:dyDescent="0.25">
      <c r="A2944" s="11"/>
    </row>
    <row r="2945" spans="1:1" ht="15.75" x14ac:dyDescent="0.25">
      <c r="A2945" s="11"/>
    </row>
    <row r="2946" spans="1:1" ht="15.75" x14ac:dyDescent="0.25">
      <c r="A2946" s="11"/>
    </row>
    <row r="2947" spans="1:1" ht="15.75" x14ac:dyDescent="0.25">
      <c r="A2947" s="11"/>
    </row>
    <row r="2948" spans="1:1" ht="15.75" x14ac:dyDescent="0.25">
      <c r="A2948" s="11"/>
    </row>
    <row r="2949" spans="1:1" ht="15.75" x14ac:dyDescent="0.25">
      <c r="A2949" s="11"/>
    </row>
    <row r="2950" spans="1:1" ht="15.75" x14ac:dyDescent="0.25">
      <c r="A2950" s="11"/>
    </row>
    <row r="2951" spans="1:1" ht="15.75" x14ac:dyDescent="0.25">
      <c r="A2951" s="11"/>
    </row>
    <row r="2952" spans="1:1" ht="15.75" x14ac:dyDescent="0.25">
      <c r="A2952" s="11"/>
    </row>
    <row r="2953" spans="1:1" ht="15.75" x14ac:dyDescent="0.25">
      <c r="A2953" s="11"/>
    </row>
    <row r="2954" spans="1:1" ht="15.75" x14ac:dyDescent="0.25">
      <c r="A2954" s="11"/>
    </row>
    <row r="2955" spans="1:1" ht="15.75" x14ac:dyDescent="0.25">
      <c r="A2955" s="11"/>
    </row>
    <row r="2956" spans="1:1" ht="15.75" x14ac:dyDescent="0.25">
      <c r="A2956" s="11"/>
    </row>
    <row r="2957" spans="1:1" ht="15.75" x14ac:dyDescent="0.25">
      <c r="A2957" s="11"/>
    </row>
    <row r="2958" spans="1:1" ht="15.75" x14ac:dyDescent="0.25">
      <c r="A2958" s="11"/>
    </row>
    <row r="2959" spans="1:1" ht="15.75" x14ac:dyDescent="0.25">
      <c r="A2959" s="11"/>
    </row>
    <row r="2960" spans="1:1" ht="15.75" x14ac:dyDescent="0.25">
      <c r="A2960" s="11"/>
    </row>
    <row r="2961" spans="1:1" ht="15.75" x14ac:dyDescent="0.25">
      <c r="A2961" s="11"/>
    </row>
    <row r="2962" spans="1:1" ht="15.75" x14ac:dyDescent="0.25">
      <c r="A2962" s="11"/>
    </row>
    <row r="2963" spans="1:1" ht="15.75" x14ac:dyDescent="0.25">
      <c r="A2963" s="11"/>
    </row>
    <row r="2964" spans="1:1" ht="15.75" x14ac:dyDescent="0.25">
      <c r="A2964" s="11"/>
    </row>
    <row r="2965" spans="1:1" ht="15.75" x14ac:dyDescent="0.25">
      <c r="A2965" s="11"/>
    </row>
    <row r="2966" spans="1:1" ht="15.75" x14ac:dyDescent="0.25">
      <c r="A2966" s="11"/>
    </row>
    <row r="2967" spans="1:1" ht="15.75" x14ac:dyDescent="0.25">
      <c r="A2967" s="11"/>
    </row>
    <row r="2968" spans="1:1" ht="15.75" x14ac:dyDescent="0.25">
      <c r="A2968" s="11"/>
    </row>
    <row r="2969" spans="1:1" ht="15.75" x14ac:dyDescent="0.25">
      <c r="A2969" s="11"/>
    </row>
    <row r="2970" spans="1:1" ht="15.75" x14ac:dyDescent="0.25">
      <c r="A2970" s="11"/>
    </row>
    <row r="2971" spans="1:1" ht="15.75" x14ac:dyDescent="0.25">
      <c r="A2971" s="11"/>
    </row>
    <row r="2972" spans="1:1" ht="15.75" x14ac:dyDescent="0.25">
      <c r="A2972" s="11"/>
    </row>
    <row r="2973" spans="1:1" ht="15.75" x14ac:dyDescent="0.25">
      <c r="A2973" s="11"/>
    </row>
    <row r="2974" spans="1:1" ht="15.75" x14ac:dyDescent="0.25">
      <c r="A2974" s="11"/>
    </row>
    <row r="2975" spans="1:1" ht="15.75" x14ac:dyDescent="0.25">
      <c r="A2975" s="11"/>
    </row>
    <row r="2976" spans="1:1" ht="15.75" x14ac:dyDescent="0.25">
      <c r="A2976" s="11"/>
    </row>
    <row r="2977" spans="1:1" ht="15.75" x14ac:dyDescent="0.25">
      <c r="A2977" s="11"/>
    </row>
    <row r="2978" spans="1:1" ht="15.75" x14ac:dyDescent="0.25">
      <c r="A2978" s="11"/>
    </row>
    <row r="2979" spans="1:1" ht="15.75" x14ac:dyDescent="0.25">
      <c r="A2979" s="11"/>
    </row>
    <row r="2980" spans="1:1" ht="15.75" x14ac:dyDescent="0.25">
      <c r="A2980" s="11"/>
    </row>
    <row r="2981" spans="1:1" ht="15.75" x14ac:dyDescent="0.25">
      <c r="A2981" s="11"/>
    </row>
    <row r="2982" spans="1:1" ht="15.75" x14ac:dyDescent="0.25">
      <c r="A2982" s="11"/>
    </row>
    <row r="2983" spans="1:1" ht="15.75" x14ac:dyDescent="0.25">
      <c r="A2983" s="11"/>
    </row>
    <row r="2984" spans="1:1" ht="15.75" x14ac:dyDescent="0.25">
      <c r="A2984" s="11"/>
    </row>
    <row r="2985" spans="1:1" ht="15.75" x14ac:dyDescent="0.25">
      <c r="A2985" s="11"/>
    </row>
    <row r="2986" spans="1:1" ht="15.75" x14ac:dyDescent="0.25">
      <c r="A2986" s="11"/>
    </row>
    <row r="2987" spans="1:1" ht="15.75" x14ac:dyDescent="0.25">
      <c r="A2987" s="11"/>
    </row>
    <row r="2988" spans="1:1" ht="15.75" x14ac:dyDescent="0.25">
      <c r="A2988" s="11"/>
    </row>
    <row r="2989" spans="1:1" ht="15.75" x14ac:dyDescent="0.25">
      <c r="A2989" s="11"/>
    </row>
    <row r="2990" spans="1:1" ht="15.75" x14ac:dyDescent="0.25">
      <c r="A2990" s="11"/>
    </row>
    <row r="2991" spans="1:1" ht="15.75" x14ac:dyDescent="0.25">
      <c r="A2991" s="11"/>
    </row>
    <row r="2992" spans="1:1" ht="15.75" x14ac:dyDescent="0.25">
      <c r="A2992" s="11"/>
    </row>
    <row r="2993" spans="1:1" ht="15.75" x14ac:dyDescent="0.25">
      <c r="A2993" s="11"/>
    </row>
    <row r="2994" spans="1:1" ht="15.75" x14ac:dyDescent="0.25">
      <c r="A2994" s="11"/>
    </row>
    <row r="2995" spans="1:1" ht="15.75" x14ac:dyDescent="0.25">
      <c r="A2995" s="11"/>
    </row>
    <row r="2996" spans="1:1" ht="15.75" x14ac:dyDescent="0.25">
      <c r="A2996" s="11"/>
    </row>
    <row r="2997" spans="1:1" ht="15.75" x14ac:dyDescent="0.25">
      <c r="A2997" s="11"/>
    </row>
    <row r="2998" spans="1:1" ht="15.75" x14ac:dyDescent="0.25">
      <c r="A2998" s="11"/>
    </row>
    <row r="2999" spans="1:1" ht="15.75" x14ac:dyDescent="0.25">
      <c r="A2999" s="11"/>
    </row>
    <row r="3000" spans="1:1" ht="15.75" x14ac:dyDescent="0.25">
      <c r="A3000" s="11"/>
    </row>
    <row r="3001" spans="1:1" ht="15.75" x14ac:dyDescent="0.25">
      <c r="A3001" s="11"/>
    </row>
    <row r="3002" spans="1:1" ht="15.75" x14ac:dyDescent="0.25">
      <c r="A3002" s="11"/>
    </row>
    <row r="3003" spans="1:1" ht="15.75" x14ac:dyDescent="0.25">
      <c r="A3003" s="11"/>
    </row>
    <row r="3004" spans="1:1" ht="15.75" x14ac:dyDescent="0.25">
      <c r="A3004" s="11"/>
    </row>
    <row r="3005" spans="1:1" ht="15.75" x14ac:dyDescent="0.25">
      <c r="A3005" s="11"/>
    </row>
    <row r="3006" spans="1:1" ht="15.75" x14ac:dyDescent="0.25">
      <c r="A3006" s="11"/>
    </row>
    <row r="3007" spans="1:1" ht="15.75" x14ac:dyDescent="0.25">
      <c r="A3007" s="11"/>
    </row>
    <row r="3008" spans="1:1" ht="15.75" x14ac:dyDescent="0.25">
      <c r="A3008" s="11"/>
    </row>
    <row r="3009" spans="1:1" ht="15.75" x14ac:dyDescent="0.25">
      <c r="A3009" s="11"/>
    </row>
    <row r="3010" spans="1:1" ht="15.75" x14ac:dyDescent="0.25">
      <c r="A3010" s="11"/>
    </row>
    <row r="3011" spans="1:1" ht="15.75" x14ac:dyDescent="0.25">
      <c r="A3011" s="11"/>
    </row>
    <row r="3012" spans="1:1" ht="15.75" x14ac:dyDescent="0.25">
      <c r="A3012" s="11"/>
    </row>
    <row r="3013" spans="1:1" ht="15.75" x14ac:dyDescent="0.25">
      <c r="A3013" s="11"/>
    </row>
    <row r="3014" spans="1:1" ht="15.75" x14ac:dyDescent="0.25">
      <c r="A3014" s="11"/>
    </row>
    <row r="3015" spans="1:1" ht="15.75" x14ac:dyDescent="0.25">
      <c r="A3015" s="11"/>
    </row>
    <row r="3016" spans="1:1" ht="15.75" x14ac:dyDescent="0.25">
      <c r="A3016" s="11"/>
    </row>
    <row r="3017" spans="1:1" ht="15.75" x14ac:dyDescent="0.25">
      <c r="A3017" s="11"/>
    </row>
    <row r="3018" spans="1:1" ht="15.75" x14ac:dyDescent="0.25">
      <c r="A3018" s="11"/>
    </row>
    <row r="3019" spans="1:1" ht="15.75" x14ac:dyDescent="0.25">
      <c r="A3019" s="11"/>
    </row>
    <row r="3020" spans="1:1" ht="15.75" x14ac:dyDescent="0.25">
      <c r="A3020" s="11"/>
    </row>
    <row r="3021" spans="1:1" ht="15.75" x14ac:dyDescent="0.25">
      <c r="A3021" s="11"/>
    </row>
    <row r="3022" spans="1:1" ht="15.75" x14ac:dyDescent="0.25">
      <c r="A3022" s="11"/>
    </row>
    <row r="3023" spans="1:1" ht="15.75" x14ac:dyDescent="0.25">
      <c r="A3023" s="11"/>
    </row>
    <row r="3024" spans="1:1" ht="15.75" x14ac:dyDescent="0.25">
      <c r="A3024" s="11"/>
    </row>
    <row r="3025" spans="1:1" ht="15.75" x14ac:dyDescent="0.25">
      <c r="A3025" s="11"/>
    </row>
    <row r="3026" spans="1:1" ht="15.75" x14ac:dyDescent="0.25">
      <c r="A3026" s="11"/>
    </row>
    <row r="3027" spans="1:1" ht="15.75" x14ac:dyDescent="0.25">
      <c r="A3027" s="11"/>
    </row>
    <row r="3028" spans="1:1" ht="15.75" x14ac:dyDescent="0.25">
      <c r="A3028" s="11"/>
    </row>
    <row r="3029" spans="1:1" ht="15.75" x14ac:dyDescent="0.25">
      <c r="A3029" s="11"/>
    </row>
    <row r="3030" spans="1:1" ht="15.75" x14ac:dyDescent="0.25">
      <c r="A3030" s="11"/>
    </row>
    <row r="3031" spans="1:1" ht="15.75" x14ac:dyDescent="0.25">
      <c r="A3031" s="11"/>
    </row>
    <row r="3032" spans="1:1" ht="15.75" x14ac:dyDescent="0.25">
      <c r="A3032" s="11"/>
    </row>
    <row r="3033" spans="1:1" ht="15.75" x14ac:dyDescent="0.25">
      <c r="A3033" s="11"/>
    </row>
    <row r="3034" spans="1:1" ht="15.75" x14ac:dyDescent="0.25">
      <c r="A3034" s="11"/>
    </row>
    <row r="3035" spans="1:1" ht="15.75" x14ac:dyDescent="0.25">
      <c r="A3035" s="11"/>
    </row>
    <row r="3036" spans="1:1" ht="15.75" x14ac:dyDescent="0.25">
      <c r="A3036" s="11"/>
    </row>
    <row r="3037" spans="1:1" ht="15.75" x14ac:dyDescent="0.25">
      <c r="A3037" s="11"/>
    </row>
    <row r="3038" spans="1:1" ht="15.75" x14ac:dyDescent="0.25">
      <c r="A3038" s="11"/>
    </row>
    <row r="3039" spans="1:1" ht="15.75" x14ac:dyDescent="0.25">
      <c r="A3039" s="11"/>
    </row>
    <row r="3040" spans="1:1" ht="15.75" x14ac:dyDescent="0.25">
      <c r="A3040" s="11"/>
    </row>
    <row r="3041" spans="1:1" ht="15.75" x14ac:dyDescent="0.25">
      <c r="A3041" s="11"/>
    </row>
    <row r="3042" spans="1:1" ht="15.75" x14ac:dyDescent="0.25">
      <c r="A3042" s="11"/>
    </row>
    <row r="3043" spans="1:1" ht="15.75" x14ac:dyDescent="0.25">
      <c r="A3043" s="11"/>
    </row>
    <row r="3044" spans="1:1" ht="15.75" x14ac:dyDescent="0.25">
      <c r="A3044" s="11"/>
    </row>
    <row r="3045" spans="1:1" ht="15.75" x14ac:dyDescent="0.25">
      <c r="A3045" s="11"/>
    </row>
    <row r="3046" spans="1:1" ht="15.75" x14ac:dyDescent="0.25">
      <c r="A3046" s="11"/>
    </row>
    <row r="3047" spans="1:1" ht="15.75" x14ac:dyDescent="0.25">
      <c r="A3047" s="11"/>
    </row>
    <row r="3048" spans="1:1" ht="15.75" x14ac:dyDescent="0.25">
      <c r="A3048" s="11"/>
    </row>
    <row r="3049" spans="1:1" ht="15.75" x14ac:dyDescent="0.25">
      <c r="A3049" s="11"/>
    </row>
    <row r="3050" spans="1:1" ht="15.75" x14ac:dyDescent="0.25">
      <c r="A3050" s="11"/>
    </row>
    <row r="3051" spans="1:1" ht="15.75" x14ac:dyDescent="0.25">
      <c r="A3051" s="11"/>
    </row>
    <row r="3052" spans="1:1" ht="15.75" x14ac:dyDescent="0.25">
      <c r="A3052" s="11"/>
    </row>
    <row r="3053" spans="1:1" ht="15.75" x14ac:dyDescent="0.25">
      <c r="A3053" s="11"/>
    </row>
    <row r="3054" spans="1:1" ht="15.75" x14ac:dyDescent="0.25">
      <c r="A3054" s="11"/>
    </row>
    <row r="3055" spans="1:1" ht="15.75" x14ac:dyDescent="0.25">
      <c r="A3055" s="11"/>
    </row>
    <row r="3056" spans="1:1" ht="15.75" x14ac:dyDescent="0.25">
      <c r="A3056" s="11"/>
    </row>
    <row r="3057" spans="1:1" ht="15.75" x14ac:dyDescent="0.25">
      <c r="A3057" s="11"/>
    </row>
    <row r="3058" spans="1:1" ht="15.75" x14ac:dyDescent="0.25">
      <c r="A3058" s="11"/>
    </row>
    <row r="3059" spans="1:1" ht="15.75" x14ac:dyDescent="0.25">
      <c r="A3059" s="11"/>
    </row>
    <row r="3060" spans="1:1" ht="15.75" x14ac:dyDescent="0.25">
      <c r="A3060" s="11"/>
    </row>
    <row r="3061" spans="1:1" ht="15.75" x14ac:dyDescent="0.25">
      <c r="A3061" s="11"/>
    </row>
    <row r="3062" spans="1:1" ht="15.75" x14ac:dyDescent="0.25">
      <c r="A3062" s="11"/>
    </row>
    <row r="3063" spans="1:1" ht="15.75" x14ac:dyDescent="0.25">
      <c r="A3063" s="11"/>
    </row>
    <row r="3064" spans="1:1" ht="15.75" x14ac:dyDescent="0.25">
      <c r="A3064" s="11"/>
    </row>
    <row r="3065" spans="1:1" ht="15.75" x14ac:dyDescent="0.25">
      <c r="A3065" s="11"/>
    </row>
    <row r="3066" spans="1:1" ht="15.75" x14ac:dyDescent="0.25">
      <c r="A3066" s="11"/>
    </row>
    <row r="3067" spans="1:1" ht="15.75" x14ac:dyDescent="0.25">
      <c r="A3067" s="11"/>
    </row>
    <row r="3068" spans="1:1" ht="15.75" x14ac:dyDescent="0.25">
      <c r="A3068" s="11"/>
    </row>
    <row r="3069" spans="1:1" ht="15.75" x14ac:dyDescent="0.25">
      <c r="A3069" s="11"/>
    </row>
    <row r="3070" spans="1:1" ht="15.75" x14ac:dyDescent="0.25">
      <c r="A3070" s="11"/>
    </row>
    <row r="3071" spans="1:1" ht="15.75" x14ac:dyDescent="0.25">
      <c r="A3071" s="11"/>
    </row>
    <row r="3072" spans="1:1" ht="15.75" x14ac:dyDescent="0.25">
      <c r="A3072" s="11"/>
    </row>
    <row r="3073" spans="1:1" ht="15.75" x14ac:dyDescent="0.25">
      <c r="A3073" s="11"/>
    </row>
    <row r="3074" spans="1:1" ht="15.75" x14ac:dyDescent="0.25">
      <c r="A3074" s="11"/>
    </row>
    <row r="3075" spans="1:1" ht="15.75" x14ac:dyDescent="0.25">
      <c r="A3075" s="11"/>
    </row>
    <row r="3076" spans="1:1" ht="15.75" x14ac:dyDescent="0.25">
      <c r="A3076" s="11"/>
    </row>
    <row r="3077" spans="1:1" ht="15.75" x14ac:dyDescent="0.25">
      <c r="A3077" s="11"/>
    </row>
    <row r="3078" spans="1:1" ht="15.75" x14ac:dyDescent="0.25">
      <c r="A3078" s="11"/>
    </row>
    <row r="3079" spans="1:1" ht="15.75" x14ac:dyDescent="0.25">
      <c r="A3079" s="11"/>
    </row>
    <row r="3080" spans="1:1" ht="15.75" x14ac:dyDescent="0.25">
      <c r="A3080" s="11"/>
    </row>
    <row r="3081" spans="1:1" ht="15.75" x14ac:dyDescent="0.25">
      <c r="A3081" s="11"/>
    </row>
    <row r="3082" spans="1:1" ht="15.75" x14ac:dyDescent="0.25">
      <c r="A3082" s="11"/>
    </row>
    <row r="3083" spans="1:1" ht="15.75" x14ac:dyDescent="0.25">
      <c r="A3083" s="11"/>
    </row>
    <row r="3084" spans="1:1" ht="15.75" x14ac:dyDescent="0.25">
      <c r="A3084" s="11"/>
    </row>
    <row r="3085" spans="1:1" ht="15.75" x14ac:dyDescent="0.25">
      <c r="A3085" s="11"/>
    </row>
    <row r="3086" spans="1:1" ht="15.75" x14ac:dyDescent="0.25">
      <c r="A3086" s="11"/>
    </row>
    <row r="3087" spans="1:1" ht="15.75" x14ac:dyDescent="0.25">
      <c r="A3087" s="11"/>
    </row>
    <row r="3088" spans="1:1" ht="15.75" x14ac:dyDescent="0.25">
      <c r="A3088" s="11"/>
    </row>
    <row r="3089" spans="1:1" ht="15.75" x14ac:dyDescent="0.25">
      <c r="A3089" s="11"/>
    </row>
    <row r="3090" spans="1:1" ht="15.75" x14ac:dyDescent="0.25">
      <c r="A3090" s="11"/>
    </row>
    <row r="3091" spans="1:1" ht="15.75" x14ac:dyDescent="0.25">
      <c r="A3091" s="11"/>
    </row>
    <row r="3092" spans="1:1" ht="15.75" x14ac:dyDescent="0.25">
      <c r="A3092" s="11"/>
    </row>
    <row r="3093" spans="1:1" ht="15.75" x14ac:dyDescent="0.25">
      <c r="A3093" s="11"/>
    </row>
    <row r="3094" spans="1:1" ht="15.75" x14ac:dyDescent="0.25">
      <c r="A3094" s="11"/>
    </row>
    <row r="3095" spans="1:1" ht="15.75" x14ac:dyDescent="0.25">
      <c r="A3095" s="11"/>
    </row>
    <row r="3096" spans="1:1" ht="15.75" x14ac:dyDescent="0.25">
      <c r="A3096" s="11"/>
    </row>
    <row r="3097" spans="1:1" ht="15.75" x14ac:dyDescent="0.25">
      <c r="A3097" s="11"/>
    </row>
    <row r="3098" spans="1:1" ht="15.75" x14ac:dyDescent="0.25">
      <c r="A3098" s="11"/>
    </row>
    <row r="3099" spans="1:1" ht="15.75" x14ac:dyDescent="0.25">
      <c r="A3099" s="11"/>
    </row>
    <row r="3100" spans="1:1" ht="15.75" x14ac:dyDescent="0.25">
      <c r="A3100" s="11"/>
    </row>
    <row r="3101" spans="1:1" ht="15.75" x14ac:dyDescent="0.25">
      <c r="A3101" s="11"/>
    </row>
    <row r="3102" spans="1:1" ht="15.75" x14ac:dyDescent="0.25">
      <c r="A3102" s="11"/>
    </row>
    <row r="3103" spans="1:1" ht="15.75" x14ac:dyDescent="0.25">
      <c r="A3103" s="11"/>
    </row>
    <row r="3104" spans="1:1" ht="15.75" x14ac:dyDescent="0.25">
      <c r="A3104" s="11"/>
    </row>
    <row r="3105" spans="1:1" ht="15.75" x14ac:dyDescent="0.25">
      <c r="A3105" s="11"/>
    </row>
    <row r="3106" spans="1:1" ht="15.75" x14ac:dyDescent="0.25">
      <c r="A3106" s="11"/>
    </row>
    <row r="3107" spans="1:1" ht="15.75" x14ac:dyDescent="0.25">
      <c r="A3107" s="11"/>
    </row>
    <row r="3108" spans="1:1" ht="15.75" x14ac:dyDescent="0.25">
      <c r="A3108" s="11"/>
    </row>
    <row r="3109" spans="1:1" ht="15.75" x14ac:dyDescent="0.25">
      <c r="A3109" s="11"/>
    </row>
    <row r="3110" spans="1:1" ht="15.75" x14ac:dyDescent="0.25">
      <c r="A3110" s="11"/>
    </row>
    <row r="3111" spans="1:1" ht="15.75" x14ac:dyDescent="0.25">
      <c r="A3111" s="11"/>
    </row>
    <row r="3112" spans="1:1" ht="15.75" x14ac:dyDescent="0.25">
      <c r="A3112" s="11"/>
    </row>
    <row r="3113" spans="1:1" ht="15.75" x14ac:dyDescent="0.25">
      <c r="A3113" s="11"/>
    </row>
    <row r="3114" spans="1:1" ht="15.75" x14ac:dyDescent="0.25">
      <c r="A3114" s="11"/>
    </row>
    <row r="3115" spans="1:1" ht="15.75" x14ac:dyDescent="0.25">
      <c r="A3115" s="11"/>
    </row>
    <row r="3116" spans="1:1" ht="15.75" x14ac:dyDescent="0.25">
      <c r="A3116" s="11"/>
    </row>
    <row r="3117" spans="1:1" ht="15.75" x14ac:dyDescent="0.25">
      <c r="A3117" s="11"/>
    </row>
    <row r="3118" spans="1:1" ht="15.75" x14ac:dyDescent="0.25">
      <c r="A3118" s="11"/>
    </row>
    <row r="3119" spans="1:1" ht="15.75" x14ac:dyDescent="0.25">
      <c r="A3119" s="11"/>
    </row>
    <row r="3120" spans="1:1" ht="15.75" x14ac:dyDescent="0.25">
      <c r="A3120" s="11"/>
    </row>
    <row r="3121" spans="1:1" ht="15.75" x14ac:dyDescent="0.25">
      <c r="A3121" s="11"/>
    </row>
    <row r="3122" spans="1:1" ht="15.75" x14ac:dyDescent="0.25">
      <c r="A3122" s="11"/>
    </row>
    <row r="3123" spans="1:1" ht="15.75" x14ac:dyDescent="0.25">
      <c r="A3123" s="11"/>
    </row>
    <row r="3124" spans="1:1" ht="15.75" x14ac:dyDescent="0.25">
      <c r="A3124" s="11"/>
    </row>
    <row r="3125" spans="1:1" ht="15.75" x14ac:dyDescent="0.25">
      <c r="A3125" s="11"/>
    </row>
    <row r="3126" spans="1:1" ht="15.75" x14ac:dyDescent="0.25">
      <c r="A3126" s="11"/>
    </row>
    <row r="3127" spans="1:1" ht="15.75" x14ac:dyDescent="0.25">
      <c r="A3127" s="11"/>
    </row>
    <row r="3128" spans="1:1" ht="15.75" x14ac:dyDescent="0.25">
      <c r="A3128" s="11"/>
    </row>
    <row r="3129" spans="1:1" ht="15.75" x14ac:dyDescent="0.25">
      <c r="A3129" s="11"/>
    </row>
    <row r="3130" spans="1:1" ht="15.75" x14ac:dyDescent="0.25">
      <c r="A3130" s="11"/>
    </row>
    <row r="3131" spans="1:1" ht="15.75" x14ac:dyDescent="0.25">
      <c r="A3131" s="11"/>
    </row>
    <row r="3132" spans="1:1" ht="15.75" x14ac:dyDescent="0.25">
      <c r="A3132" s="11"/>
    </row>
    <row r="3133" spans="1:1" ht="15.75" x14ac:dyDescent="0.25">
      <c r="A3133" s="11"/>
    </row>
    <row r="3134" spans="1:1" ht="15.75" x14ac:dyDescent="0.25">
      <c r="A3134" s="11"/>
    </row>
    <row r="3135" spans="1:1" ht="15.75" x14ac:dyDescent="0.25">
      <c r="A3135" s="11"/>
    </row>
    <row r="3136" spans="1:1" ht="15.75" x14ac:dyDescent="0.25">
      <c r="A3136" s="11"/>
    </row>
    <row r="3137" spans="1:1" ht="15.75" x14ac:dyDescent="0.25">
      <c r="A3137" s="11"/>
    </row>
    <row r="3138" spans="1:1" ht="15.75" x14ac:dyDescent="0.25">
      <c r="A3138" s="11"/>
    </row>
    <row r="3139" spans="1:1" ht="15.75" x14ac:dyDescent="0.25">
      <c r="A3139" s="11"/>
    </row>
    <row r="3140" spans="1:1" ht="15.75" x14ac:dyDescent="0.25">
      <c r="A3140" s="11"/>
    </row>
    <row r="3141" spans="1:1" ht="15.75" x14ac:dyDescent="0.25">
      <c r="A3141" s="11"/>
    </row>
    <row r="3142" spans="1:1" ht="15.75" x14ac:dyDescent="0.25">
      <c r="A3142" s="11"/>
    </row>
    <row r="3143" spans="1:1" ht="15.75" x14ac:dyDescent="0.25">
      <c r="A3143" s="11"/>
    </row>
    <row r="3144" spans="1:1" ht="15.75" x14ac:dyDescent="0.25">
      <c r="A3144" s="11"/>
    </row>
    <row r="3145" spans="1:1" ht="15.75" x14ac:dyDescent="0.25">
      <c r="A3145" s="11"/>
    </row>
    <row r="3146" spans="1:1" ht="15.75" x14ac:dyDescent="0.25">
      <c r="A3146" s="11"/>
    </row>
    <row r="3147" spans="1:1" ht="15.75" x14ac:dyDescent="0.25">
      <c r="A3147" s="11"/>
    </row>
    <row r="3148" spans="1:1" ht="15.75" x14ac:dyDescent="0.25">
      <c r="A3148" s="11"/>
    </row>
    <row r="3149" spans="1:1" ht="15.75" x14ac:dyDescent="0.25">
      <c r="A3149" s="11"/>
    </row>
    <row r="3150" spans="1:1" ht="15.75" x14ac:dyDescent="0.25">
      <c r="A3150" s="11"/>
    </row>
    <row r="3151" spans="1:1" ht="15.75" x14ac:dyDescent="0.25">
      <c r="A3151" s="11"/>
    </row>
    <row r="3152" spans="1:1" ht="15.75" x14ac:dyDescent="0.25">
      <c r="A3152" s="11"/>
    </row>
    <row r="3153" spans="1:1" ht="15.75" x14ac:dyDescent="0.25">
      <c r="A3153" s="11"/>
    </row>
    <row r="3154" spans="1:1" ht="15.75" x14ac:dyDescent="0.25">
      <c r="A3154" s="11"/>
    </row>
    <row r="3155" spans="1:1" ht="15.75" x14ac:dyDescent="0.25">
      <c r="A3155" s="11"/>
    </row>
    <row r="3156" spans="1:1" ht="15.75" x14ac:dyDescent="0.25">
      <c r="A3156" s="11"/>
    </row>
    <row r="3157" spans="1:1" ht="15.75" x14ac:dyDescent="0.25">
      <c r="A3157" s="11"/>
    </row>
    <row r="3158" spans="1:1" ht="15.75" x14ac:dyDescent="0.25">
      <c r="A3158" s="11"/>
    </row>
    <row r="3159" spans="1:1" ht="15.75" x14ac:dyDescent="0.25">
      <c r="A3159" s="11"/>
    </row>
    <row r="3160" spans="1:1" ht="15.75" x14ac:dyDescent="0.25">
      <c r="A3160" s="11"/>
    </row>
    <row r="3161" spans="1:1" ht="15.75" x14ac:dyDescent="0.25">
      <c r="A3161" s="11"/>
    </row>
    <row r="3162" spans="1:1" ht="15.75" x14ac:dyDescent="0.25">
      <c r="A3162" s="11"/>
    </row>
    <row r="3163" spans="1:1" ht="15.75" x14ac:dyDescent="0.25">
      <c r="A3163" s="11"/>
    </row>
    <row r="3164" spans="1:1" ht="15.75" x14ac:dyDescent="0.25">
      <c r="A3164" s="11"/>
    </row>
    <row r="3165" spans="1:1" ht="15.75" x14ac:dyDescent="0.25">
      <c r="A3165" s="11"/>
    </row>
    <row r="3166" spans="1:1" ht="15.75" x14ac:dyDescent="0.25">
      <c r="A3166" s="11"/>
    </row>
    <row r="3167" spans="1:1" ht="15.75" x14ac:dyDescent="0.25">
      <c r="A3167" s="11"/>
    </row>
    <row r="3168" spans="1:1" ht="15.75" x14ac:dyDescent="0.25">
      <c r="A3168" s="11"/>
    </row>
    <row r="3169" spans="1:1" ht="15.75" x14ac:dyDescent="0.25">
      <c r="A3169" s="11"/>
    </row>
    <row r="3170" spans="1:1" ht="15.75" x14ac:dyDescent="0.25">
      <c r="A3170" s="11"/>
    </row>
    <row r="3171" spans="1:1" ht="15.75" x14ac:dyDescent="0.25">
      <c r="A3171" s="11"/>
    </row>
    <row r="3172" spans="1:1" ht="15.75" x14ac:dyDescent="0.25">
      <c r="A3172" s="11"/>
    </row>
    <row r="3173" spans="1:1" ht="15.75" x14ac:dyDescent="0.25">
      <c r="A3173" s="11"/>
    </row>
    <row r="3174" spans="1:1" ht="15.75" x14ac:dyDescent="0.25">
      <c r="A3174" s="11"/>
    </row>
    <row r="3175" spans="1:1" ht="15.75" x14ac:dyDescent="0.25">
      <c r="A3175" s="11"/>
    </row>
    <row r="3176" spans="1:1" ht="15.75" x14ac:dyDescent="0.25">
      <c r="A3176" s="11"/>
    </row>
    <row r="3177" spans="1:1" ht="15.75" x14ac:dyDescent="0.25">
      <c r="A3177" s="11"/>
    </row>
    <row r="3178" spans="1:1" ht="15.75" x14ac:dyDescent="0.25">
      <c r="A3178" s="11"/>
    </row>
    <row r="3179" spans="1:1" ht="15.75" x14ac:dyDescent="0.25">
      <c r="A3179" s="11"/>
    </row>
    <row r="3180" spans="1:1" ht="15.75" x14ac:dyDescent="0.25">
      <c r="A3180" s="11"/>
    </row>
    <row r="3181" spans="1:1" ht="15.75" x14ac:dyDescent="0.25">
      <c r="A3181" s="11"/>
    </row>
    <row r="3182" spans="1:1" ht="15.75" x14ac:dyDescent="0.25">
      <c r="A3182" s="11"/>
    </row>
    <row r="3183" spans="1:1" ht="15.75" x14ac:dyDescent="0.25">
      <c r="A3183" s="11"/>
    </row>
    <row r="3184" spans="1:1" ht="15.75" x14ac:dyDescent="0.25">
      <c r="A3184" s="11"/>
    </row>
    <row r="3185" spans="1:1" ht="15.75" x14ac:dyDescent="0.25">
      <c r="A3185" s="11"/>
    </row>
    <row r="3186" spans="1:1" ht="15.75" x14ac:dyDescent="0.25">
      <c r="A3186" s="11"/>
    </row>
    <row r="3187" spans="1:1" ht="15.75" x14ac:dyDescent="0.25">
      <c r="A3187" s="11"/>
    </row>
    <row r="3188" spans="1:1" ht="15.75" x14ac:dyDescent="0.25">
      <c r="A3188" s="11"/>
    </row>
    <row r="3189" spans="1:1" ht="15.75" x14ac:dyDescent="0.25">
      <c r="A3189" s="11"/>
    </row>
    <row r="3190" spans="1:1" ht="15.75" x14ac:dyDescent="0.25">
      <c r="A3190" s="11"/>
    </row>
    <row r="3191" spans="1:1" ht="15.75" x14ac:dyDescent="0.25">
      <c r="A3191" s="11"/>
    </row>
    <row r="3192" spans="1:1" ht="15.75" x14ac:dyDescent="0.25">
      <c r="A3192" s="11"/>
    </row>
    <row r="3193" spans="1:1" ht="15.75" x14ac:dyDescent="0.25">
      <c r="A3193" s="11"/>
    </row>
    <row r="3194" spans="1:1" ht="15.75" x14ac:dyDescent="0.25">
      <c r="A3194" s="11"/>
    </row>
    <row r="3195" spans="1:1" ht="15.75" x14ac:dyDescent="0.25">
      <c r="A3195" s="11"/>
    </row>
    <row r="3196" spans="1:1" ht="15.75" x14ac:dyDescent="0.25">
      <c r="A3196" s="11"/>
    </row>
    <row r="3197" spans="1:1" ht="15.75" x14ac:dyDescent="0.25">
      <c r="A3197" s="11"/>
    </row>
    <row r="3198" spans="1:1" ht="15.75" x14ac:dyDescent="0.25">
      <c r="A3198" s="11"/>
    </row>
    <row r="3199" spans="1:1" ht="15.75" x14ac:dyDescent="0.25">
      <c r="A3199" s="11"/>
    </row>
    <row r="3200" spans="1:1" ht="15.75" x14ac:dyDescent="0.25">
      <c r="A3200" s="11"/>
    </row>
    <row r="3201" spans="1:1" ht="15.75" x14ac:dyDescent="0.25">
      <c r="A3201" s="11"/>
    </row>
    <row r="3202" spans="1:1" ht="15.75" x14ac:dyDescent="0.25">
      <c r="A3202" s="11"/>
    </row>
    <row r="3203" spans="1:1" ht="15.75" x14ac:dyDescent="0.25">
      <c r="A3203" s="11"/>
    </row>
    <row r="3204" spans="1:1" ht="15.75" x14ac:dyDescent="0.25">
      <c r="A3204" s="11"/>
    </row>
    <row r="3205" spans="1:1" ht="15.75" x14ac:dyDescent="0.25">
      <c r="A3205" s="11"/>
    </row>
    <row r="3206" spans="1:1" ht="15.75" x14ac:dyDescent="0.25">
      <c r="A3206" s="11"/>
    </row>
    <row r="3207" spans="1:1" ht="15.75" x14ac:dyDescent="0.25">
      <c r="A3207" s="11"/>
    </row>
    <row r="3208" spans="1:1" ht="15.75" x14ac:dyDescent="0.25">
      <c r="A3208" s="11"/>
    </row>
    <row r="3209" spans="1:1" ht="15.75" x14ac:dyDescent="0.25">
      <c r="A3209" s="11"/>
    </row>
    <row r="3210" spans="1:1" ht="15.75" x14ac:dyDescent="0.25">
      <c r="A3210" s="11"/>
    </row>
    <row r="3211" spans="1:1" ht="15.75" x14ac:dyDescent="0.25">
      <c r="A3211" s="11"/>
    </row>
    <row r="3212" spans="1:1" ht="15.75" x14ac:dyDescent="0.25">
      <c r="A3212" s="11"/>
    </row>
    <row r="3213" spans="1:1" ht="15.75" x14ac:dyDescent="0.25">
      <c r="A3213" s="11"/>
    </row>
    <row r="3214" spans="1:1" ht="15.75" x14ac:dyDescent="0.25">
      <c r="A3214" s="11"/>
    </row>
    <row r="3215" spans="1:1" ht="15.75" x14ac:dyDescent="0.25">
      <c r="A3215" s="11"/>
    </row>
    <row r="3216" spans="1:1" ht="15.75" x14ac:dyDescent="0.25">
      <c r="A3216" s="11"/>
    </row>
    <row r="3217" spans="1:1" ht="15.75" x14ac:dyDescent="0.25">
      <c r="A3217" s="11"/>
    </row>
    <row r="3218" spans="1:1" ht="15.75" x14ac:dyDescent="0.25">
      <c r="A3218" s="11"/>
    </row>
    <row r="3219" spans="1:1" ht="15.75" x14ac:dyDescent="0.25">
      <c r="A3219" s="11"/>
    </row>
    <row r="3220" spans="1:1" ht="15.75" x14ac:dyDescent="0.25">
      <c r="A3220" s="11"/>
    </row>
    <row r="3221" spans="1:1" ht="15.75" x14ac:dyDescent="0.25">
      <c r="A3221" s="11"/>
    </row>
    <row r="3222" spans="1:1" ht="15.75" x14ac:dyDescent="0.25">
      <c r="A3222" s="11"/>
    </row>
    <row r="3223" spans="1:1" ht="15.75" x14ac:dyDescent="0.25">
      <c r="A3223" s="11"/>
    </row>
    <row r="3224" spans="1:1" ht="15.75" x14ac:dyDescent="0.25">
      <c r="A3224" s="11"/>
    </row>
    <row r="3225" spans="1:1" ht="15.75" x14ac:dyDescent="0.25">
      <c r="A3225" s="11"/>
    </row>
    <row r="3226" spans="1:1" ht="15.75" x14ac:dyDescent="0.25">
      <c r="A3226" s="11"/>
    </row>
    <row r="3227" spans="1:1" ht="15.75" x14ac:dyDescent="0.25">
      <c r="A3227" s="11"/>
    </row>
    <row r="3228" spans="1:1" ht="15.75" x14ac:dyDescent="0.25">
      <c r="A3228" s="11"/>
    </row>
    <row r="3229" spans="1:1" ht="15.75" x14ac:dyDescent="0.25">
      <c r="A3229" s="11"/>
    </row>
    <row r="3230" spans="1:1" ht="15.75" x14ac:dyDescent="0.25">
      <c r="A3230" s="11"/>
    </row>
    <row r="3231" spans="1:1" ht="15.75" x14ac:dyDescent="0.25">
      <c r="A3231" s="11"/>
    </row>
    <row r="3232" spans="1:1" ht="15.75" x14ac:dyDescent="0.25">
      <c r="A3232" s="11"/>
    </row>
    <row r="3233" spans="1:1" ht="15.75" x14ac:dyDescent="0.25">
      <c r="A3233" s="11"/>
    </row>
    <row r="3234" spans="1:1" ht="15.75" x14ac:dyDescent="0.25">
      <c r="A3234" s="11"/>
    </row>
    <row r="3235" spans="1:1" ht="15.75" x14ac:dyDescent="0.25">
      <c r="A3235" s="11"/>
    </row>
    <row r="3236" spans="1:1" ht="15.75" x14ac:dyDescent="0.25">
      <c r="A3236" s="11"/>
    </row>
    <row r="3237" spans="1:1" ht="15.75" x14ac:dyDescent="0.25">
      <c r="A3237" s="11"/>
    </row>
    <row r="3238" spans="1:1" ht="15.75" x14ac:dyDescent="0.25">
      <c r="A3238" s="11"/>
    </row>
    <row r="3239" spans="1:1" ht="15.75" x14ac:dyDescent="0.25">
      <c r="A3239" s="11"/>
    </row>
    <row r="3240" spans="1:1" ht="15.75" x14ac:dyDescent="0.25">
      <c r="A3240" s="11"/>
    </row>
    <row r="3241" spans="1:1" ht="15.75" x14ac:dyDescent="0.25">
      <c r="A3241" s="11"/>
    </row>
    <row r="3242" spans="1:1" ht="15.75" x14ac:dyDescent="0.25">
      <c r="A3242" s="11"/>
    </row>
    <row r="3243" spans="1:1" ht="15.75" x14ac:dyDescent="0.25">
      <c r="A3243" s="11"/>
    </row>
    <row r="3244" spans="1:1" ht="15.75" x14ac:dyDescent="0.25">
      <c r="A3244" s="11"/>
    </row>
    <row r="3245" spans="1:1" ht="15.75" x14ac:dyDescent="0.25">
      <c r="A3245" s="11"/>
    </row>
    <row r="3246" spans="1:1" ht="15.75" x14ac:dyDescent="0.25">
      <c r="A3246" s="11"/>
    </row>
    <row r="3247" spans="1:1" ht="15.75" x14ac:dyDescent="0.25">
      <c r="A3247" s="11"/>
    </row>
    <row r="3248" spans="1:1" ht="15.75" x14ac:dyDescent="0.25">
      <c r="A3248" s="11"/>
    </row>
    <row r="3249" spans="1:1" ht="15.75" x14ac:dyDescent="0.25">
      <c r="A3249" s="11"/>
    </row>
    <row r="3250" spans="1:1" ht="15.75" x14ac:dyDescent="0.25">
      <c r="A3250" s="11"/>
    </row>
    <row r="3251" spans="1:1" ht="15.75" x14ac:dyDescent="0.25">
      <c r="A3251" s="11"/>
    </row>
    <row r="3252" spans="1:1" ht="15.75" x14ac:dyDescent="0.25">
      <c r="A3252" s="11"/>
    </row>
    <row r="3253" spans="1:1" ht="15.75" x14ac:dyDescent="0.25">
      <c r="A3253" s="11"/>
    </row>
    <row r="3254" spans="1:1" ht="15.75" x14ac:dyDescent="0.25">
      <c r="A3254" s="11"/>
    </row>
    <row r="3255" spans="1:1" ht="15.75" x14ac:dyDescent="0.25">
      <c r="A3255" s="11"/>
    </row>
    <row r="3256" spans="1:1" ht="15.75" x14ac:dyDescent="0.25">
      <c r="A3256" s="11"/>
    </row>
    <row r="3257" spans="1:1" ht="15.75" x14ac:dyDescent="0.25">
      <c r="A3257" s="11"/>
    </row>
    <row r="3258" spans="1:1" ht="15.75" x14ac:dyDescent="0.25">
      <c r="A3258" s="11"/>
    </row>
    <row r="3259" spans="1:1" ht="15.75" x14ac:dyDescent="0.25">
      <c r="A3259" s="11"/>
    </row>
    <row r="3260" spans="1:1" ht="15.75" x14ac:dyDescent="0.25">
      <c r="A3260" s="11"/>
    </row>
    <row r="3261" spans="1:1" ht="15.75" x14ac:dyDescent="0.25">
      <c r="A3261" s="11"/>
    </row>
    <row r="3262" spans="1:1" ht="15.75" x14ac:dyDescent="0.25">
      <c r="A3262" s="11"/>
    </row>
    <row r="3263" spans="1:1" ht="15.75" x14ac:dyDescent="0.25">
      <c r="A3263" s="11"/>
    </row>
    <row r="3264" spans="1:1" ht="15.75" x14ac:dyDescent="0.25">
      <c r="A3264" s="11"/>
    </row>
    <row r="3265" spans="1:1" ht="15.75" x14ac:dyDescent="0.25">
      <c r="A3265" s="11"/>
    </row>
    <row r="3266" spans="1:1" ht="15.75" x14ac:dyDescent="0.25">
      <c r="A3266" s="11"/>
    </row>
    <row r="3267" spans="1:1" ht="15.75" x14ac:dyDescent="0.25">
      <c r="A3267" s="11"/>
    </row>
    <row r="3268" spans="1:1" ht="15.75" x14ac:dyDescent="0.25">
      <c r="A3268" s="11"/>
    </row>
    <row r="3269" spans="1:1" ht="15.75" x14ac:dyDescent="0.25">
      <c r="A3269" s="11"/>
    </row>
    <row r="3270" spans="1:1" ht="15.75" x14ac:dyDescent="0.25">
      <c r="A3270" s="11"/>
    </row>
    <row r="3271" spans="1:1" ht="15.75" x14ac:dyDescent="0.25">
      <c r="A3271" s="11"/>
    </row>
    <row r="3272" spans="1:1" ht="15.75" x14ac:dyDescent="0.25">
      <c r="A3272" s="11"/>
    </row>
    <row r="3273" spans="1:1" ht="15.75" x14ac:dyDescent="0.25">
      <c r="A3273" s="11"/>
    </row>
    <row r="3274" spans="1:1" ht="15.75" x14ac:dyDescent="0.25">
      <c r="A3274" s="11"/>
    </row>
    <row r="3275" spans="1:1" ht="15.75" x14ac:dyDescent="0.25">
      <c r="A3275" s="11"/>
    </row>
    <row r="3276" spans="1:1" ht="15.75" x14ac:dyDescent="0.25">
      <c r="A3276" s="11"/>
    </row>
    <row r="3277" spans="1:1" ht="15.75" x14ac:dyDescent="0.25">
      <c r="A3277" s="11"/>
    </row>
    <row r="3278" spans="1:1" ht="15.75" x14ac:dyDescent="0.25">
      <c r="A3278" s="11"/>
    </row>
    <row r="3279" spans="1:1" ht="15.75" x14ac:dyDescent="0.25">
      <c r="A3279" s="11"/>
    </row>
    <row r="3280" spans="1:1" ht="15.75" x14ac:dyDescent="0.25">
      <c r="A3280" s="11"/>
    </row>
    <row r="3281" spans="1:1" ht="15.75" x14ac:dyDescent="0.25">
      <c r="A3281" s="11"/>
    </row>
    <row r="3282" spans="1:1" ht="15.75" x14ac:dyDescent="0.25">
      <c r="A3282" s="11"/>
    </row>
    <row r="3283" spans="1:1" ht="15.75" x14ac:dyDescent="0.25">
      <c r="A3283" s="11"/>
    </row>
    <row r="3284" spans="1:1" ht="15.75" x14ac:dyDescent="0.25">
      <c r="A3284" s="11"/>
    </row>
    <row r="3285" spans="1:1" ht="15.75" x14ac:dyDescent="0.25">
      <c r="A3285" s="11"/>
    </row>
    <row r="3286" spans="1:1" ht="15.75" x14ac:dyDescent="0.25">
      <c r="A3286" s="11"/>
    </row>
    <row r="3287" spans="1:1" ht="15.75" x14ac:dyDescent="0.25">
      <c r="A3287" s="11"/>
    </row>
    <row r="3288" spans="1:1" ht="15.75" x14ac:dyDescent="0.25">
      <c r="A3288" s="11"/>
    </row>
    <row r="3289" spans="1:1" ht="15.75" x14ac:dyDescent="0.25">
      <c r="A3289" s="11"/>
    </row>
    <row r="3290" spans="1:1" ht="15.75" x14ac:dyDescent="0.25">
      <c r="A3290" s="11"/>
    </row>
    <row r="3291" spans="1:1" ht="15.75" x14ac:dyDescent="0.25">
      <c r="A3291" s="11"/>
    </row>
    <row r="3292" spans="1:1" ht="15.75" x14ac:dyDescent="0.25">
      <c r="A3292" s="11"/>
    </row>
    <row r="3293" spans="1:1" ht="15.75" x14ac:dyDescent="0.25">
      <c r="A3293" s="11"/>
    </row>
    <row r="3294" spans="1:1" ht="15.75" x14ac:dyDescent="0.25">
      <c r="A3294" s="11"/>
    </row>
    <row r="3295" spans="1:1" ht="15.75" x14ac:dyDescent="0.25">
      <c r="A3295" s="11"/>
    </row>
    <row r="3296" spans="1:1" ht="15.75" x14ac:dyDescent="0.25">
      <c r="A3296" s="11"/>
    </row>
    <row r="3297" spans="1:1" ht="15.75" x14ac:dyDescent="0.25">
      <c r="A3297" s="11"/>
    </row>
    <row r="3298" spans="1:1" ht="15.75" x14ac:dyDescent="0.25">
      <c r="A3298" s="11"/>
    </row>
    <row r="3299" spans="1:1" ht="15.75" x14ac:dyDescent="0.25">
      <c r="A3299" s="11"/>
    </row>
    <row r="3300" spans="1:1" ht="15.75" x14ac:dyDescent="0.25">
      <c r="A3300" s="11"/>
    </row>
    <row r="3301" spans="1:1" ht="15.75" x14ac:dyDescent="0.25">
      <c r="A3301" s="11"/>
    </row>
    <row r="3302" spans="1:1" ht="15.75" x14ac:dyDescent="0.25">
      <c r="A3302" s="11"/>
    </row>
    <row r="3303" spans="1:1" ht="15.75" x14ac:dyDescent="0.25">
      <c r="A3303" s="11"/>
    </row>
    <row r="3304" spans="1:1" ht="15.75" x14ac:dyDescent="0.25">
      <c r="A3304" s="11"/>
    </row>
    <row r="3305" spans="1:1" ht="15.75" x14ac:dyDescent="0.25">
      <c r="A3305" s="11"/>
    </row>
    <row r="3306" spans="1:1" ht="15.75" x14ac:dyDescent="0.25">
      <c r="A3306" s="11"/>
    </row>
    <row r="3307" spans="1:1" ht="15.75" x14ac:dyDescent="0.25">
      <c r="A3307" s="11"/>
    </row>
    <row r="3308" spans="1:1" ht="15.75" x14ac:dyDescent="0.25">
      <c r="A3308" s="11"/>
    </row>
    <row r="3309" spans="1:1" ht="15.75" x14ac:dyDescent="0.25">
      <c r="A3309" s="11"/>
    </row>
    <row r="3310" spans="1:1" ht="15.75" x14ac:dyDescent="0.25">
      <c r="A3310" s="11"/>
    </row>
    <row r="3311" spans="1:1" ht="15.75" x14ac:dyDescent="0.25">
      <c r="A3311" s="11"/>
    </row>
    <row r="3312" spans="1:1" ht="15.75" x14ac:dyDescent="0.25">
      <c r="A3312" s="11"/>
    </row>
    <row r="3313" spans="1:1" ht="15.75" x14ac:dyDescent="0.25">
      <c r="A3313" s="11"/>
    </row>
    <row r="3314" spans="1:1" ht="15.75" x14ac:dyDescent="0.25">
      <c r="A3314" s="11"/>
    </row>
    <row r="3315" spans="1:1" ht="15.75" x14ac:dyDescent="0.25">
      <c r="A3315" s="11"/>
    </row>
    <row r="3316" spans="1:1" ht="15.75" x14ac:dyDescent="0.25">
      <c r="A3316" s="11"/>
    </row>
    <row r="3317" spans="1:1" ht="15.75" x14ac:dyDescent="0.25">
      <c r="A3317" s="11"/>
    </row>
    <row r="3318" spans="1:1" ht="15.75" x14ac:dyDescent="0.25">
      <c r="A3318" s="11"/>
    </row>
    <row r="3319" spans="1:1" ht="15.75" x14ac:dyDescent="0.25">
      <c r="A3319" s="11"/>
    </row>
    <row r="3320" spans="1:1" ht="15.75" x14ac:dyDescent="0.25">
      <c r="A3320" s="11"/>
    </row>
    <row r="3321" spans="1:1" ht="15.75" x14ac:dyDescent="0.25">
      <c r="A3321" s="11"/>
    </row>
    <row r="3322" spans="1:1" ht="15.75" x14ac:dyDescent="0.25">
      <c r="A3322" s="11"/>
    </row>
    <row r="3323" spans="1:1" ht="15.75" x14ac:dyDescent="0.25">
      <c r="A3323" s="11"/>
    </row>
    <row r="3324" spans="1:1" ht="15.75" x14ac:dyDescent="0.25">
      <c r="A3324" s="11"/>
    </row>
    <row r="3325" spans="1:1" ht="15.75" x14ac:dyDescent="0.25">
      <c r="A3325" s="11"/>
    </row>
    <row r="3326" spans="1:1" ht="15.75" x14ac:dyDescent="0.25">
      <c r="A3326" s="11"/>
    </row>
    <row r="3327" spans="1:1" ht="15.75" x14ac:dyDescent="0.25">
      <c r="A3327" s="11"/>
    </row>
    <row r="3328" spans="1:1" ht="15.75" x14ac:dyDescent="0.25">
      <c r="A3328" s="11"/>
    </row>
    <row r="3329" spans="1:1" ht="15.75" x14ac:dyDescent="0.25">
      <c r="A3329" s="11"/>
    </row>
    <row r="3330" spans="1:1" ht="15.75" x14ac:dyDescent="0.25">
      <c r="A3330" s="11"/>
    </row>
    <row r="3331" spans="1:1" ht="15.75" x14ac:dyDescent="0.25">
      <c r="A3331" s="11"/>
    </row>
    <row r="3332" spans="1:1" ht="15.75" x14ac:dyDescent="0.25">
      <c r="A3332" s="11"/>
    </row>
    <row r="3333" spans="1:1" ht="15.75" x14ac:dyDescent="0.25">
      <c r="A3333" s="11"/>
    </row>
    <row r="3334" spans="1:1" ht="15.75" x14ac:dyDescent="0.25">
      <c r="A3334" s="11"/>
    </row>
    <row r="3335" spans="1:1" ht="15.75" x14ac:dyDescent="0.25">
      <c r="A3335" s="11"/>
    </row>
    <row r="3336" spans="1:1" ht="15.75" x14ac:dyDescent="0.25">
      <c r="A3336" s="11"/>
    </row>
    <row r="3337" spans="1:1" ht="15.75" x14ac:dyDescent="0.25">
      <c r="A3337" s="11"/>
    </row>
    <row r="3338" spans="1:1" ht="15.75" x14ac:dyDescent="0.25">
      <c r="A3338" s="11"/>
    </row>
    <row r="3339" spans="1:1" ht="15.75" x14ac:dyDescent="0.25">
      <c r="A3339" s="11"/>
    </row>
    <row r="3340" spans="1:1" ht="15.75" x14ac:dyDescent="0.25">
      <c r="A3340" s="11"/>
    </row>
    <row r="3341" spans="1:1" ht="15.75" x14ac:dyDescent="0.25">
      <c r="A3341" s="11"/>
    </row>
    <row r="3342" spans="1:1" ht="15.75" x14ac:dyDescent="0.25">
      <c r="A3342" s="11"/>
    </row>
    <row r="3343" spans="1:1" ht="15.75" x14ac:dyDescent="0.25">
      <c r="A3343" s="11"/>
    </row>
    <row r="3344" spans="1:1" ht="15.75" x14ac:dyDescent="0.25">
      <c r="A3344" s="11"/>
    </row>
    <row r="3345" spans="1:1" ht="15.75" x14ac:dyDescent="0.25">
      <c r="A3345" s="11"/>
    </row>
    <row r="3346" spans="1:1" ht="15.75" x14ac:dyDescent="0.25">
      <c r="A3346" s="11"/>
    </row>
    <row r="3347" spans="1:1" ht="15.75" x14ac:dyDescent="0.25">
      <c r="A3347" s="11"/>
    </row>
    <row r="3348" spans="1:1" ht="15.75" x14ac:dyDescent="0.25">
      <c r="A3348" s="11"/>
    </row>
    <row r="3349" spans="1:1" ht="15.75" x14ac:dyDescent="0.25">
      <c r="A3349" s="11"/>
    </row>
    <row r="3350" spans="1:1" ht="15.75" x14ac:dyDescent="0.25">
      <c r="A3350" s="11"/>
    </row>
    <row r="3351" spans="1:1" ht="15.75" x14ac:dyDescent="0.25">
      <c r="A3351" s="11"/>
    </row>
    <row r="3352" spans="1:1" ht="15.75" x14ac:dyDescent="0.25">
      <c r="A3352" s="11"/>
    </row>
    <row r="3353" spans="1:1" ht="15.75" x14ac:dyDescent="0.25">
      <c r="A3353" s="11"/>
    </row>
    <row r="3354" spans="1:1" ht="15.75" x14ac:dyDescent="0.25">
      <c r="A3354" s="11"/>
    </row>
    <row r="3355" spans="1:1" ht="15.75" x14ac:dyDescent="0.25">
      <c r="A3355" s="11"/>
    </row>
    <row r="3356" spans="1:1" ht="15.75" x14ac:dyDescent="0.25">
      <c r="A3356" s="11"/>
    </row>
    <row r="3357" spans="1:1" ht="15.75" x14ac:dyDescent="0.25">
      <c r="A3357" s="11"/>
    </row>
    <row r="3358" spans="1:1" ht="15.75" x14ac:dyDescent="0.25">
      <c r="A3358" s="11"/>
    </row>
    <row r="3359" spans="1:1" ht="15.75" x14ac:dyDescent="0.25">
      <c r="A3359" s="11"/>
    </row>
    <row r="3360" spans="1:1" ht="15.75" x14ac:dyDescent="0.25">
      <c r="A3360" s="11"/>
    </row>
    <row r="3361" spans="1:1" ht="15.75" x14ac:dyDescent="0.25">
      <c r="A3361" s="11"/>
    </row>
    <row r="3362" spans="1:1" ht="15.75" x14ac:dyDescent="0.25">
      <c r="A3362" s="11"/>
    </row>
    <row r="3363" spans="1:1" ht="15.75" x14ac:dyDescent="0.25">
      <c r="A3363" s="11"/>
    </row>
    <row r="3364" spans="1:1" ht="15.75" x14ac:dyDescent="0.25">
      <c r="A3364" s="11"/>
    </row>
    <row r="3365" spans="1:1" ht="15.75" x14ac:dyDescent="0.25">
      <c r="A3365" s="11"/>
    </row>
    <row r="3366" spans="1:1" ht="15.75" x14ac:dyDescent="0.25">
      <c r="A3366" s="11"/>
    </row>
    <row r="3367" spans="1:1" ht="15.75" x14ac:dyDescent="0.25">
      <c r="A3367" s="11"/>
    </row>
    <row r="3368" spans="1:1" ht="15.75" x14ac:dyDescent="0.25">
      <c r="A3368" s="11"/>
    </row>
    <row r="3369" spans="1:1" ht="15.75" x14ac:dyDescent="0.25">
      <c r="A3369" s="11"/>
    </row>
    <row r="3370" spans="1:1" ht="15.75" x14ac:dyDescent="0.25">
      <c r="A3370" s="11"/>
    </row>
    <row r="3371" spans="1:1" ht="15.75" x14ac:dyDescent="0.25">
      <c r="A3371" s="11"/>
    </row>
    <row r="3372" spans="1:1" ht="15.75" x14ac:dyDescent="0.25">
      <c r="A3372" s="11"/>
    </row>
    <row r="3373" spans="1:1" ht="15.75" x14ac:dyDescent="0.25">
      <c r="A3373" s="11"/>
    </row>
    <row r="3374" spans="1:1" ht="15.75" x14ac:dyDescent="0.25">
      <c r="A3374" s="11"/>
    </row>
    <row r="3375" spans="1:1" ht="15.75" x14ac:dyDescent="0.25">
      <c r="A3375" s="11"/>
    </row>
    <row r="3376" spans="1:1" ht="15.75" x14ac:dyDescent="0.25">
      <c r="A3376" s="11"/>
    </row>
    <row r="3377" spans="1:1" ht="15.75" x14ac:dyDescent="0.25">
      <c r="A3377" s="11"/>
    </row>
    <row r="3378" spans="1:1" ht="15.75" x14ac:dyDescent="0.25">
      <c r="A3378" s="11"/>
    </row>
    <row r="3379" spans="1:1" ht="15.75" x14ac:dyDescent="0.25">
      <c r="A3379" s="11"/>
    </row>
    <row r="3380" spans="1:1" ht="15.75" x14ac:dyDescent="0.25">
      <c r="A3380" s="11"/>
    </row>
    <row r="3381" spans="1:1" ht="15.75" x14ac:dyDescent="0.25">
      <c r="A3381" s="11"/>
    </row>
    <row r="3382" spans="1:1" ht="15.75" x14ac:dyDescent="0.25">
      <c r="A3382" s="11"/>
    </row>
    <row r="3383" spans="1:1" ht="15.75" x14ac:dyDescent="0.25">
      <c r="A3383" s="11"/>
    </row>
    <row r="3384" spans="1:1" ht="15.75" x14ac:dyDescent="0.25">
      <c r="A3384" s="11"/>
    </row>
    <row r="3385" spans="1:1" ht="15.75" x14ac:dyDescent="0.25">
      <c r="A3385" s="11"/>
    </row>
    <row r="3386" spans="1:1" ht="15.75" x14ac:dyDescent="0.25">
      <c r="A3386" s="11"/>
    </row>
    <row r="3387" spans="1:1" ht="15.75" x14ac:dyDescent="0.25">
      <c r="A3387" s="11"/>
    </row>
    <row r="3388" spans="1:1" ht="15.75" x14ac:dyDescent="0.25">
      <c r="A3388" s="11"/>
    </row>
    <row r="3389" spans="1:1" ht="15.75" x14ac:dyDescent="0.25">
      <c r="A3389" s="11"/>
    </row>
    <row r="3390" spans="1:1" ht="15.75" x14ac:dyDescent="0.25">
      <c r="A3390" s="11"/>
    </row>
    <row r="3391" spans="1:1" ht="15.75" x14ac:dyDescent="0.25">
      <c r="A3391" s="11"/>
    </row>
    <row r="3392" spans="1:1" ht="15.75" x14ac:dyDescent="0.25">
      <c r="A3392" s="11"/>
    </row>
    <row r="3393" spans="1:1" ht="15.75" x14ac:dyDescent="0.25">
      <c r="A3393" s="11"/>
    </row>
    <row r="3394" spans="1:1" ht="15.75" x14ac:dyDescent="0.25">
      <c r="A3394" s="11"/>
    </row>
    <row r="3395" spans="1:1" ht="15.75" x14ac:dyDescent="0.25">
      <c r="A3395" s="11"/>
    </row>
    <row r="3396" spans="1:1" ht="15.75" x14ac:dyDescent="0.25">
      <c r="A3396" s="11"/>
    </row>
    <row r="3397" spans="1:1" ht="15.75" x14ac:dyDescent="0.25">
      <c r="A3397" s="11"/>
    </row>
    <row r="3398" spans="1:1" ht="15.75" x14ac:dyDescent="0.25">
      <c r="A3398" s="11"/>
    </row>
    <row r="3399" spans="1:1" ht="15.75" x14ac:dyDescent="0.25">
      <c r="A3399" s="11"/>
    </row>
    <row r="3400" spans="1:1" ht="15.75" x14ac:dyDescent="0.25">
      <c r="A3400" s="11"/>
    </row>
    <row r="3401" spans="1:1" ht="15.75" x14ac:dyDescent="0.25">
      <c r="A3401" s="11"/>
    </row>
    <row r="3402" spans="1:1" ht="15.75" x14ac:dyDescent="0.25">
      <c r="A3402" s="11"/>
    </row>
    <row r="3403" spans="1:1" ht="15.75" x14ac:dyDescent="0.25">
      <c r="A3403" s="11"/>
    </row>
    <row r="3404" spans="1:1" ht="15.75" x14ac:dyDescent="0.25">
      <c r="A3404" s="11"/>
    </row>
    <row r="3405" spans="1:1" ht="15.75" x14ac:dyDescent="0.25">
      <c r="A3405" s="11"/>
    </row>
    <row r="3406" spans="1:1" ht="15.75" x14ac:dyDescent="0.25">
      <c r="A3406" s="11"/>
    </row>
    <row r="3407" spans="1:1" ht="15.75" x14ac:dyDescent="0.25">
      <c r="A3407" s="11"/>
    </row>
    <row r="3408" spans="1:1" ht="15.75" x14ac:dyDescent="0.25">
      <c r="A3408" s="11"/>
    </row>
    <row r="3409" spans="1:1" ht="15.75" x14ac:dyDescent="0.25">
      <c r="A3409" s="11"/>
    </row>
    <row r="3410" spans="1:1" ht="15.75" x14ac:dyDescent="0.25">
      <c r="A3410" s="11"/>
    </row>
    <row r="3411" spans="1:1" ht="15.75" x14ac:dyDescent="0.25">
      <c r="A3411" s="11"/>
    </row>
    <row r="3412" spans="1:1" ht="15.75" x14ac:dyDescent="0.25">
      <c r="A3412" s="11"/>
    </row>
    <row r="3413" spans="1:1" ht="15.75" x14ac:dyDescent="0.25">
      <c r="A3413" s="11"/>
    </row>
    <row r="3414" spans="1:1" ht="15.75" x14ac:dyDescent="0.25">
      <c r="A3414" s="11"/>
    </row>
    <row r="3415" spans="1:1" ht="15.75" x14ac:dyDescent="0.25">
      <c r="A3415" s="11"/>
    </row>
    <row r="3416" spans="1:1" ht="15.75" x14ac:dyDescent="0.25">
      <c r="A3416" s="11"/>
    </row>
    <row r="3417" spans="1:1" ht="15.75" x14ac:dyDescent="0.25">
      <c r="A3417" s="11"/>
    </row>
    <row r="3418" spans="1:1" ht="15.75" x14ac:dyDescent="0.25">
      <c r="A3418" s="11"/>
    </row>
    <row r="3419" spans="1:1" ht="15.75" x14ac:dyDescent="0.25">
      <c r="A3419" s="11"/>
    </row>
    <row r="3420" spans="1:1" ht="15.75" x14ac:dyDescent="0.25">
      <c r="A3420" s="11"/>
    </row>
    <row r="3421" spans="1:1" ht="15.75" x14ac:dyDescent="0.25">
      <c r="A3421" s="11"/>
    </row>
    <row r="3422" spans="1:1" ht="15.75" x14ac:dyDescent="0.25">
      <c r="A3422" s="11"/>
    </row>
    <row r="3423" spans="1:1" ht="15.75" x14ac:dyDescent="0.25">
      <c r="A3423" s="11"/>
    </row>
    <row r="3424" spans="1:1" ht="15.75" x14ac:dyDescent="0.25">
      <c r="A3424" s="11"/>
    </row>
    <row r="3425" spans="1:1" ht="15.75" x14ac:dyDescent="0.25">
      <c r="A3425" s="11"/>
    </row>
    <row r="3426" spans="1:1" ht="15.75" x14ac:dyDescent="0.25">
      <c r="A3426" s="11"/>
    </row>
    <row r="3427" spans="1:1" ht="15.75" x14ac:dyDescent="0.25">
      <c r="A3427" s="11"/>
    </row>
    <row r="3428" spans="1:1" ht="15.75" x14ac:dyDescent="0.25">
      <c r="A3428" s="11"/>
    </row>
    <row r="3429" spans="1:1" ht="15.75" x14ac:dyDescent="0.25">
      <c r="A3429" s="11"/>
    </row>
    <row r="3430" spans="1:1" ht="15.75" x14ac:dyDescent="0.25">
      <c r="A3430" s="11"/>
    </row>
    <row r="3431" spans="1:1" ht="15.75" x14ac:dyDescent="0.25">
      <c r="A3431" s="11"/>
    </row>
    <row r="3432" spans="1:1" ht="15.75" x14ac:dyDescent="0.25">
      <c r="A3432" s="11"/>
    </row>
    <row r="3433" spans="1:1" ht="15.75" x14ac:dyDescent="0.25">
      <c r="A3433" s="11"/>
    </row>
    <row r="3434" spans="1:1" ht="15.75" x14ac:dyDescent="0.25">
      <c r="A3434" s="11"/>
    </row>
    <row r="3435" spans="1:1" ht="15.75" x14ac:dyDescent="0.25">
      <c r="A3435" s="11"/>
    </row>
    <row r="3436" spans="1:1" ht="15.75" x14ac:dyDescent="0.25">
      <c r="A3436" s="11"/>
    </row>
    <row r="3437" spans="1:1" ht="15.75" x14ac:dyDescent="0.25">
      <c r="A3437" s="11"/>
    </row>
    <row r="3438" spans="1:1" ht="15.75" x14ac:dyDescent="0.25">
      <c r="A3438" s="11"/>
    </row>
    <row r="3439" spans="1:1" ht="15.75" x14ac:dyDescent="0.25">
      <c r="A3439" s="11"/>
    </row>
    <row r="3440" spans="1:1" ht="15.75" x14ac:dyDescent="0.25">
      <c r="A3440" s="11"/>
    </row>
    <row r="3441" spans="1:1" ht="15.75" x14ac:dyDescent="0.25">
      <c r="A3441" s="11"/>
    </row>
    <row r="3442" spans="1:1" ht="15.75" x14ac:dyDescent="0.25">
      <c r="A3442" s="11"/>
    </row>
    <row r="3443" spans="1:1" ht="15.75" x14ac:dyDescent="0.25">
      <c r="A3443" s="11"/>
    </row>
    <row r="3444" spans="1:1" ht="15.75" x14ac:dyDescent="0.25">
      <c r="A3444" s="11"/>
    </row>
    <row r="3445" spans="1:1" ht="15.75" x14ac:dyDescent="0.25">
      <c r="A3445" s="11"/>
    </row>
    <row r="3446" spans="1:1" ht="15.75" x14ac:dyDescent="0.25">
      <c r="A3446" s="11"/>
    </row>
    <row r="3447" spans="1:1" ht="15.75" x14ac:dyDescent="0.25">
      <c r="A3447" s="11"/>
    </row>
    <row r="3448" spans="1:1" ht="15.75" x14ac:dyDescent="0.25">
      <c r="A3448" s="11"/>
    </row>
    <row r="3449" spans="1:1" ht="15.75" x14ac:dyDescent="0.25">
      <c r="A3449" s="11"/>
    </row>
    <row r="3450" spans="1:1" ht="15.75" x14ac:dyDescent="0.25">
      <c r="A3450" s="11"/>
    </row>
    <row r="3451" spans="1:1" ht="15.75" x14ac:dyDescent="0.25">
      <c r="A3451" s="11"/>
    </row>
    <row r="3452" spans="1:1" ht="15.75" x14ac:dyDescent="0.25">
      <c r="A3452" s="11"/>
    </row>
    <row r="3453" spans="1:1" ht="15.75" x14ac:dyDescent="0.25">
      <c r="A3453" s="11"/>
    </row>
    <row r="3454" spans="1:1" ht="15.75" x14ac:dyDescent="0.25">
      <c r="A3454" s="11"/>
    </row>
    <row r="3455" spans="1:1" ht="15.75" x14ac:dyDescent="0.25">
      <c r="A3455" s="11"/>
    </row>
    <row r="3456" spans="1:1" ht="15.75" x14ac:dyDescent="0.25">
      <c r="A3456" s="11"/>
    </row>
    <row r="3457" spans="1:1" ht="15.75" x14ac:dyDescent="0.25">
      <c r="A3457" s="11"/>
    </row>
    <row r="3458" spans="1:1" ht="15.75" x14ac:dyDescent="0.25">
      <c r="A3458" s="11"/>
    </row>
    <row r="3459" spans="1:1" ht="15.75" x14ac:dyDescent="0.25">
      <c r="A3459" s="11"/>
    </row>
    <row r="3460" spans="1:1" ht="15.75" x14ac:dyDescent="0.25">
      <c r="A3460" s="11"/>
    </row>
    <row r="3461" spans="1:1" ht="15.75" x14ac:dyDescent="0.25">
      <c r="A3461" s="11"/>
    </row>
    <row r="3462" spans="1:1" ht="15.75" x14ac:dyDescent="0.25">
      <c r="A3462" s="11"/>
    </row>
    <row r="3463" spans="1:1" ht="15.75" x14ac:dyDescent="0.25">
      <c r="A3463" s="11"/>
    </row>
    <row r="3464" spans="1:1" ht="15.75" x14ac:dyDescent="0.25">
      <c r="A3464" s="11"/>
    </row>
    <row r="3465" spans="1:1" ht="15.75" x14ac:dyDescent="0.25">
      <c r="A3465" s="11"/>
    </row>
    <row r="3466" spans="1:1" ht="15.75" x14ac:dyDescent="0.25">
      <c r="A3466" s="11"/>
    </row>
    <row r="3467" spans="1:1" ht="15.75" x14ac:dyDescent="0.25">
      <c r="A3467" s="11"/>
    </row>
    <row r="3468" spans="1:1" ht="15.75" x14ac:dyDescent="0.25">
      <c r="A3468" s="11"/>
    </row>
    <row r="3469" spans="1:1" ht="15.75" x14ac:dyDescent="0.25">
      <c r="A3469" s="11"/>
    </row>
    <row r="3470" spans="1:1" ht="15.75" x14ac:dyDescent="0.25">
      <c r="A3470" s="11"/>
    </row>
    <row r="3471" spans="1:1" ht="15.75" x14ac:dyDescent="0.25">
      <c r="A3471" s="11"/>
    </row>
    <row r="3472" spans="1:1" ht="15.75" x14ac:dyDescent="0.25">
      <c r="A3472" s="11"/>
    </row>
    <row r="3473" spans="1:1" ht="15.75" x14ac:dyDescent="0.25">
      <c r="A3473" s="11"/>
    </row>
    <row r="3474" spans="1:1" ht="15.75" x14ac:dyDescent="0.25">
      <c r="A3474" s="11"/>
    </row>
    <row r="3475" spans="1:1" ht="15.75" x14ac:dyDescent="0.25">
      <c r="A3475" s="11"/>
    </row>
    <row r="3476" spans="1:1" ht="15.75" x14ac:dyDescent="0.25">
      <c r="A3476" s="11"/>
    </row>
    <row r="3477" spans="1:1" ht="15.75" x14ac:dyDescent="0.25">
      <c r="A3477" s="11"/>
    </row>
    <row r="3478" spans="1:1" ht="15.75" x14ac:dyDescent="0.25">
      <c r="A3478" s="11"/>
    </row>
    <row r="3479" spans="1:1" ht="15.75" x14ac:dyDescent="0.25">
      <c r="A3479" s="11"/>
    </row>
    <row r="3480" spans="1:1" ht="15.75" x14ac:dyDescent="0.25">
      <c r="A3480" s="11"/>
    </row>
    <row r="3481" spans="1:1" ht="15.75" x14ac:dyDescent="0.25">
      <c r="A3481" s="11"/>
    </row>
    <row r="3482" spans="1:1" ht="15.75" x14ac:dyDescent="0.25">
      <c r="A3482" s="11"/>
    </row>
    <row r="3483" spans="1:1" ht="15.75" x14ac:dyDescent="0.25">
      <c r="A3483" s="11"/>
    </row>
    <row r="3484" spans="1:1" ht="15.75" x14ac:dyDescent="0.25">
      <c r="A3484" s="11"/>
    </row>
    <row r="3485" spans="1:1" ht="15.75" x14ac:dyDescent="0.25">
      <c r="A3485" s="11"/>
    </row>
    <row r="3486" spans="1:1" ht="15.75" x14ac:dyDescent="0.25">
      <c r="A3486" s="11"/>
    </row>
    <row r="3487" spans="1:1" ht="15.75" x14ac:dyDescent="0.25">
      <c r="A3487" s="11"/>
    </row>
    <row r="3488" spans="1:1" ht="15.75" x14ac:dyDescent="0.25">
      <c r="A3488" s="11"/>
    </row>
    <row r="3489" spans="1:1" ht="15.75" x14ac:dyDescent="0.25">
      <c r="A3489" s="11"/>
    </row>
    <row r="3490" spans="1:1" ht="15.75" x14ac:dyDescent="0.25">
      <c r="A3490" s="11"/>
    </row>
    <row r="3491" spans="1:1" ht="15.75" x14ac:dyDescent="0.25">
      <c r="A3491" s="11"/>
    </row>
    <row r="3492" spans="1:1" ht="15.75" x14ac:dyDescent="0.25">
      <c r="A3492" s="11"/>
    </row>
    <row r="3493" spans="1:1" ht="15.75" x14ac:dyDescent="0.25">
      <c r="A3493" s="11"/>
    </row>
    <row r="3494" spans="1:1" ht="15.75" x14ac:dyDescent="0.25">
      <c r="A3494" s="11"/>
    </row>
    <row r="3495" spans="1:1" ht="15.75" x14ac:dyDescent="0.25">
      <c r="A3495" s="11"/>
    </row>
    <row r="3496" spans="1:1" ht="15.75" x14ac:dyDescent="0.25">
      <c r="A3496" s="11"/>
    </row>
    <row r="3497" spans="1:1" ht="15.75" x14ac:dyDescent="0.25">
      <c r="A3497" s="11"/>
    </row>
    <row r="3498" spans="1:1" ht="15.75" x14ac:dyDescent="0.25">
      <c r="A3498" s="11"/>
    </row>
    <row r="3499" spans="1:1" ht="15.75" x14ac:dyDescent="0.25">
      <c r="A3499" s="11"/>
    </row>
    <row r="3500" spans="1:1" ht="15.75" x14ac:dyDescent="0.25">
      <c r="A3500" s="11"/>
    </row>
    <row r="3501" spans="1:1" ht="15.75" x14ac:dyDescent="0.25">
      <c r="A3501" s="11"/>
    </row>
    <row r="3502" spans="1:1" ht="15.75" x14ac:dyDescent="0.25">
      <c r="A3502" s="11"/>
    </row>
    <row r="3503" spans="1:1" ht="15.75" x14ac:dyDescent="0.25">
      <c r="A3503" s="11"/>
    </row>
    <row r="3504" spans="1:1" ht="15.75" x14ac:dyDescent="0.25">
      <c r="A3504" s="11"/>
    </row>
    <row r="3505" spans="1:1" ht="15.75" x14ac:dyDescent="0.25">
      <c r="A3505" s="11"/>
    </row>
    <row r="3506" spans="1:1" ht="15.75" x14ac:dyDescent="0.25">
      <c r="A3506" s="11"/>
    </row>
    <row r="3507" spans="1:1" ht="15.75" x14ac:dyDescent="0.25">
      <c r="A3507" s="11"/>
    </row>
    <row r="3508" spans="1:1" ht="15.75" x14ac:dyDescent="0.25">
      <c r="A3508" s="11"/>
    </row>
    <row r="3509" spans="1:1" ht="15.75" x14ac:dyDescent="0.25">
      <c r="A3509" s="11"/>
    </row>
    <row r="3510" spans="1:1" ht="15.75" x14ac:dyDescent="0.25">
      <c r="A3510" s="11"/>
    </row>
    <row r="3511" spans="1:1" ht="15.75" x14ac:dyDescent="0.25">
      <c r="A3511" s="11"/>
    </row>
    <row r="3512" spans="1:1" ht="15.75" x14ac:dyDescent="0.25">
      <c r="A3512" s="11"/>
    </row>
    <row r="3513" spans="1:1" ht="15.75" x14ac:dyDescent="0.25">
      <c r="A3513" s="11"/>
    </row>
    <row r="3514" spans="1:1" ht="15.75" x14ac:dyDescent="0.25">
      <c r="A3514" s="11"/>
    </row>
    <row r="3515" spans="1:1" ht="15.75" x14ac:dyDescent="0.25">
      <c r="A3515" s="11"/>
    </row>
    <row r="3516" spans="1:1" ht="15.75" x14ac:dyDescent="0.25">
      <c r="A3516" s="11"/>
    </row>
    <row r="3517" spans="1:1" ht="15.75" x14ac:dyDescent="0.25">
      <c r="A3517" s="11"/>
    </row>
    <row r="3518" spans="1:1" ht="15.75" x14ac:dyDescent="0.25">
      <c r="A3518" s="11"/>
    </row>
    <row r="3519" spans="1:1" ht="15.75" x14ac:dyDescent="0.25">
      <c r="A3519" s="11"/>
    </row>
    <row r="3520" spans="1:1" ht="15.75" x14ac:dyDescent="0.25">
      <c r="A3520" s="11"/>
    </row>
    <row r="3521" spans="1:1" ht="15.75" x14ac:dyDescent="0.25">
      <c r="A3521" s="11"/>
    </row>
    <row r="3522" spans="1:1" ht="15.75" x14ac:dyDescent="0.25">
      <c r="A3522" s="11"/>
    </row>
    <row r="3523" spans="1:1" ht="15.75" x14ac:dyDescent="0.25">
      <c r="A3523" s="11"/>
    </row>
    <row r="3524" spans="1:1" ht="15.75" x14ac:dyDescent="0.25">
      <c r="A3524" s="11"/>
    </row>
    <row r="3525" spans="1:1" ht="15.75" x14ac:dyDescent="0.25">
      <c r="A3525" s="11"/>
    </row>
    <row r="3526" spans="1:1" ht="15.75" x14ac:dyDescent="0.25">
      <c r="A3526" s="11"/>
    </row>
    <row r="3527" spans="1:1" ht="15.75" x14ac:dyDescent="0.25">
      <c r="A3527" s="11"/>
    </row>
    <row r="3528" spans="1:1" ht="15.75" x14ac:dyDescent="0.25">
      <c r="A3528" s="11"/>
    </row>
    <row r="3529" spans="1:1" ht="15.75" x14ac:dyDescent="0.25">
      <c r="A3529" s="11"/>
    </row>
    <row r="3530" spans="1:1" ht="15.75" x14ac:dyDescent="0.25">
      <c r="A3530" s="11"/>
    </row>
    <row r="3531" spans="1:1" ht="15.75" x14ac:dyDescent="0.25">
      <c r="A3531" s="11"/>
    </row>
    <row r="3532" spans="1:1" ht="15.75" x14ac:dyDescent="0.25">
      <c r="A3532" s="11"/>
    </row>
    <row r="3533" spans="1:1" ht="15.75" x14ac:dyDescent="0.25">
      <c r="A3533" s="11"/>
    </row>
    <row r="3534" spans="1:1" ht="15.75" x14ac:dyDescent="0.25">
      <c r="A3534" s="11"/>
    </row>
    <row r="3535" spans="1:1" ht="15.75" x14ac:dyDescent="0.25">
      <c r="A3535" s="11"/>
    </row>
    <row r="3536" spans="1:1" ht="15.75" x14ac:dyDescent="0.25">
      <c r="A3536" s="11"/>
    </row>
    <row r="3537" spans="1:1" ht="15.75" x14ac:dyDescent="0.25">
      <c r="A3537" s="11"/>
    </row>
    <row r="3538" spans="1:1" ht="15.75" x14ac:dyDescent="0.25">
      <c r="A3538" s="11"/>
    </row>
    <row r="3539" spans="1:1" ht="15.75" x14ac:dyDescent="0.25">
      <c r="A3539" s="11"/>
    </row>
    <row r="3540" spans="1:1" ht="15.75" x14ac:dyDescent="0.25">
      <c r="A3540" s="11"/>
    </row>
    <row r="3541" spans="1:1" ht="15.75" x14ac:dyDescent="0.25">
      <c r="A3541" s="11"/>
    </row>
    <row r="3542" spans="1:1" ht="15.75" x14ac:dyDescent="0.25">
      <c r="A3542" s="11"/>
    </row>
    <row r="3543" spans="1:1" ht="15.75" x14ac:dyDescent="0.25">
      <c r="A3543" s="11"/>
    </row>
    <row r="3544" spans="1:1" ht="15.75" x14ac:dyDescent="0.25">
      <c r="A3544" s="11"/>
    </row>
    <row r="3545" spans="1:1" ht="15.75" x14ac:dyDescent="0.25">
      <c r="A3545" s="11"/>
    </row>
    <row r="3546" spans="1:1" ht="15.75" x14ac:dyDescent="0.25">
      <c r="A3546" s="11"/>
    </row>
    <row r="3547" spans="1:1" ht="15.75" x14ac:dyDescent="0.25">
      <c r="A3547" s="11"/>
    </row>
    <row r="3548" spans="1:1" ht="15.75" x14ac:dyDescent="0.25">
      <c r="A3548" s="11"/>
    </row>
    <row r="3549" spans="1:1" ht="15.75" x14ac:dyDescent="0.25">
      <c r="A3549" s="11"/>
    </row>
    <row r="3550" spans="1:1" ht="15.75" x14ac:dyDescent="0.25">
      <c r="A3550" s="11"/>
    </row>
    <row r="3551" spans="1:1" ht="15.75" x14ac:dyDescent="0.25">
      <c r="A3551" s="11"/>
    </row>
    <row r="3552" spans="1:1" ht="15.75" x14ac:dyDescent="0.25">
      <c r="A3552" s="11"/>
    </row>
    <row r="3553" spans="1:1" ht="15.75" x14ac:dyDescent="0.25">
      <c r="A3553" s="11"/>
    </row>
    <row r="3554" spans="1:1" ht="15.75" x14ac:dyDescent="0.25">
      <c r="A3554" s="11"/>
    </row>
    <row r="3555" spans="1:1" ht="15.75" x14ac:dyDescent="0.25">
      <c r="A3555" s="11"/>
    </row>
    <row r="3556" spans="1:1" ht="15.75" x14ac:dyDescent="0.25">
      <c r="A3556" s="11"/>
    </row>
    <row r="3557" spans="1:1" ht="15.75" x14ac:dyDescent="0.25">
      <c r="A3557" s="11"/>
    </row>
    <row r="3558" spans="1:1" ht="15.75" x14ac:dyDescent="0.25">
      <c r="A3558" s="11"/>
    </row>
    <row r="3559" spans="1:1" ht="15.75" x14ac:dyDescent="0.25">
      <c r="A3559" s="11"/>
    </row>
    <row r="3560" spans="1:1" ht="15.75" x14ac:dyDescent="0.25">
      <c r="A3560" s="11"/>
    </row>
    <row r="3561" spans="1:1" ht="15.75" x14ac:dyDescent="0.25">
      <c r="A3561" s="11"/>
    </row>
    <row r="3562" spans="1:1" ht="15.75" x14ac:dyDescent="0.25">
      <c r="A3562" s="11"/>
    </row>
    <row r="3563" spans="1:1" ht="15.75" x14ac:dyDescent="0.25">
      <c r="A3563" s="11"/>
    </row>
    <row r="3564" spans="1:1" ht="15.75" x14ac:dyDescent="0.25">
      <c r="A3564" s="11"/>
    </row>
    <row r="3565" spans="1:1" ht="15.75" x14ac:dyDescent="0.25">
      <c r="A3565" s="11"/>
    </row>
    <row r="3566" spans="1:1" ht="15.75" x14ac:dyDescent="0.25">
      <c r="A3566" s="11"/>
    </row>
    <row r="3567" spans="1:1" ht="15.75" x14ac:dyDescent="0.25">
      <c r="A3567" s="11"/>
    </row>
    <row r="3568" spans="1:1" ht="15.75" x14ac:dyDescent="0.25">
      <c r="A3568" s="11"/>
    </row>
    <row r="3569" spans="1:1" ht="15.75" x14ac:dyDescent="0.25">
      <c r="A3569" s="11"/>
    </row>
    <row r="3570" spans="1:1" ht="15.75" x14ac:dyDescent="0.25">
      <c r="A3570" s="11"/>
    </row>
    <row r="3571" spans="1:1" ht="15.75" x14ac:dyDescent="0.25">
      <c r="A3571" s="11"/>
    </row>
    <row r="3572" spans="1:1" ht="15.75" x14ac:dyDescent="0.25">
      <c r="A3572" s="11"/>
    </row>
    <row r="3573" spans="1:1" ht="15.75" x14ac:dyDescent="0.25">
      <c r="A3573" s="11"/>
    </row>
    <row r="3574" spans="1:1" ht="15.75" x14ac:dyDescent="0.25">
      <c r="A3574" s="11"/>
    </row>
    <row r="3575" spans="1:1" ht="15.75" x14ac:dyDescent="0.25">
      <c r="A3575" s="11"/>
    </row>
    <row r="3576" spans="1:1" ht="15.75" x14ac:dyDescent="0.25">
      <c r="A3576" s="11"/>
    </row>
    <row r="3577" spans="1:1" ht="15.75" x14ac:dyDescent="0.25">
      <c r="A3577" s="11"/>
    </row>
    <row r="3578" spans="1:1" ht="15.75" x14ac:dyDescent="0.25">
      <c r="A3578" s="11"/>
    </row>
    <row r="3579" spans="1:1" ht="15.75" x14ac:dyDescent="0.25">
      <c r="A3579" s="11"/>
    </row>
    <row r="3580" spans="1:1" ht="15.75" x14ac:dyDescent="0.25">
      <c r="A3580" s="11"/>
    </row>
    <row r="3581" spans="1:1" ht="15.75" x14ac:dyDescent="0.25">
      <c r="A3581" s="11"/>
    </row>
    <row r="3582" spans="1:1" ht="15.75" x14ac:dyDescent="0.25">
      <c r="A3582" s="11"/>
    </row>
    <row r="3583" spans="1:1" ht="15.75" x14ac:dyDescent="0.25">
      <c r="A3583" s="11"/>
    </row>
    <row r="3584" spans="1:1" ht="15.75" x14ac:dyDescent="0.25">
      <c r="A3584" s="11"/>
    </row>
    <row r="3585" spans="1:1" ht="15.75" x14ac:dyDescent="0.25">
      <c r="A3585" s="11"/>
    </row>
    <row r="3586" spans="1:1" ht="15.75" x14ac:dyDescent="0.25">
      <c r="A3586" s="11"/>
    </row>
    <row r="3587" spans="1:1" ht="15.75" x14ac:dyDescent="0.25">
      <c r="A3587" s="11"/>
    </row>
    <row r="3588" spans="1:1" ht="15.75" x14ac:dyDescent="0.25">
      <c r="A3588" s="11"/>
    </row>
    <row r="3589" spans="1:1" ht="15.75" x14ac:dyDescent="0.25">
      <c r="A3589" s="11"/>
    </row>
    <row r="3590" spans="1:1" ht="15.75" x14ac:dyDescent="0.25">
      <c r="A3590" s="11"/>
    </row>
    <row r="3591" spans="1:1" ht="15.75" x14ac:dyDescent="0.25">
      <c r="A3591" s="11"/>
    </row>
    <row r="3592" spans="1:1" ht="15.75" x14ac:dyDescent="0.25">
      <c r="A3592" s="11"/>
    </row>
    <row r="3593" spans="1:1" ht="15.75" x14ac:dyDescent="0.25">
      <c r="A3593" s="11"/>
    </row>
    <row r="3594" spans="1:1" ht="15.75" x14ac:dyDescent="0.25">
      <c r="A3594" s="11"/>
    </row>
    <row r="3595" spans="1:1" ht="15.75" x14ac:dyDescent="0.25">
      <c r="A3595" s="11"/>
    </row>
    <row r="3596" spans="1:1" ht="15.75" x14ac:dyDescent="0.25">
      <c r="A3596" s="11"/>
    </row>
    <row r="3597" spans="1:1" ht="15.75" x14ac:dyDescent="0.25">
      <c r="A3597" s="11"/>
    </row>
    <row r="3598" spans="1:1" ht="15.75" x14ac:dyDescent="0.25">
      <c r="A3598" s="11"/>
    </row>
    <row r="3599" spans="1:1" ht="15.75" x14ac:dyDescent="0.25">
      <c r="A3599" s="11"/>
    </row>
    <row r="3600" spans="1:1" ht="15.75" x14ac:dyDescent="0.25">
      <c r="A3600" s="11"/>
    </row>
    <row r="3601" spans="1:1" ht="15.75" x14ac:dyDescent="0.25">
      <c r="A3601" s="11"/>
    </row>
    <row r="3602" spans="1:1" ht="15.75" x14ac:dyDescent="0.25">
      <c r="A3602" s="11"/>
    </row>
    <row r="3603" spans="1:1" ht="15.75" x14ac:dyDescent="0.25">
      <c r="A3603" s="11"/>
    </row>
    <row r="3604" spans="1:1" ht="15.75" x14ac:dyDescent="0.25">
      <c r="A3604" s="11"/>
    </row>
    <row r="3605" spans="1:1" ht="15.75" x14ac:dyDescent="0.25">
      <c r="A3605" s="11"/>
    </row>
    <row r="3606" spans="1:1" ht="15.75" x14ac:dyDescent="0.25">
      <c r="A3606" s="11"/>
    </row>
    <row r="3607" spans="1:1" ht="15.75" x14ac:dyDescent="0.25">
      <c r="A3607" s="11"/>
    </row>
    <row r="3608" spans="1:1" ht="15.75" x14ac:dyDescent="0.25">
      <c r="A3608" s="11"/>
    </row>
    <row r="3609" spans="1:1" ht="15.75" x14ac:dyDescent="0.25">
      <c r="A3609" s="11"/>
    </row>
    <row r="3610" spans="1:1" ht="15.75" x14ac:dyDescent="0.25">
      <c r="A3610" s="11"/>
    </row>
    <row r="3611" spans="1:1" ht="15.75" x14ac:dyDescent="0.25">
      <c r="A3611" s="11"/>
    </row>
    <row r="3612" spans="1:1" ht="15.75" x14ac:dyDescent="0.25">
      <c r="A3612" s="11"/>
    </row>
    <row r="3613" spans="1:1" ht="15.75" x14ac:dyDescent="0.25">
      <c r="A3613" s="11"/>
    </row>
    <row r="3614" spans="1:1" ht="15.75" x14ac:dyDescent="0.25">
      <c r="A3614" s="11"/>
    </row>
    <row r="3615" spans="1:1" ht="15.75" x14ac:dyDescent="0.25">
      <c r="A3615" s="11"/>
    </row>
    <row r="3616" spans="1:1" ht="15.75" x14ac:dyDescent="0.25">
      <c r="A3616" s="11"/>
    </row>
    <row r="3617" spans="1:1" ht="15.75" x14ac:dyDescent="0.25">
      <c r="A3617" s="11"/>
    </row>
    <row r="3618" spans="1:1" ht="15.75" x14ac:dyDescent="0.25">
      <c r="A3618" s="11"/>
    </row>
    <row r="3619" spans="1:1" ht="15.75" x14ac:dyDescent="0.25">
      <c r="A3619" s="11"/>
    </row>
    <row r="3620" spans="1:1" ht="15.75" x14ac:dyDescent="0.25">
      <c r="A3620" s="11"/>
    </row>
    <row r="3621" spans="1:1" ht="15.75" x14ac:dyDescent="0.25">
      <c r="A3621" s="11"/>
    </row>
    <row r="3622" spans="1:1" ht="15.75" x14ac:dyDescent="0.25">
      <c r="A3622" s="11"/>
    </row>
    <row r="3623" spans="1:1" ht="15.75" x14ac:dyDescent="0.25">
      <c r="A3623" s="11"/>
    </row>
    <row r="3624" spans="1:1" ht="15.75" x14ac:dyDescent="0.25">
      <c r="A3624" s="11"/>
    </row>
    <row r="3625" spans="1:1" ht="15.75" x14ac:dyDescent="0.25">
      <c r="A3625" s="11"/>
    </row>
    <row r="3626" spans="1:1" ht="15.75" x14ac:dyDescent="0.25">
      <c r="A3626" s="11"/>
    </row>
    <row r="3627" spans="1:1" ht="15.75" x14ac:dyDescent="0.25">
      <c r="A3627" s="11"/>
    </row>
    <row r="3628" spans="1:1" ht="15.75" x14ac:dyDescent="0.25">
      <c r="A3628" s="11"/>
    </row>
    <row r="3629" spans="1:1" ht="15.75" x14ac:dyDescent="0.25">
      <c r="A3629" s="11"/>
    </row>
    <row r="3630" spans="1:1" ht="15.75" x14ac:dyDescent="0.25">
      <c r="A3630" s="11"/>
    </row>
    <row r="3631" spans="1:1" ht="15.75" x14ac:dyDescent="0.25">
      <c r="A3631" s="11"/>
    </row>
    <row r="3632" spans="1:1" ht="15.75" x14ac:dyDescent="0.25">
      <c r="A3632" s="11"/>
    </row>
    <row r="3633" spans="1:1" ht="15.75" x14ac:dyDescent="0.25">
      <c r="A3633" s="11"/>
    </row>
    <row r="3634" spans="1:1" ht="15.75" x14ac:dyDescent="0.25">
      <c r="A3634" s="11"/>
    </row>
    <row r="3635" spans="1:1" ht="15.75" x14ac:dyDescent="0.25">
      <c r="A3635" s="11"/>
    </row>
    <row r="3636" spans="1:1" ht="15.75" x14ac:dyDescent="0.25">
      <c r="A3636" s="11"/>
    </row>
    <row r="3637" spans="1:1" ht="15.75" x14ac:dyDescent="0.25">
      <c r="A3637" s="11"/>
    </row>
    <row r="3638" spans="1:1" ht="15.75" x14ac:dyDescent="0.25">
      <c r="A3638" s="11"/>
    </row>
    <row r="3639" spans="1:1" ht="15.75" x14ac:dyDescent="0.25">
      <c r="A3639" s="11"/>
    </row>
    <row r="3640" spans="1:1" ht="15.75" x14ac:dyDescent="0.25">
      <c r="A3640" s="11"/>
    </row>
    <row r="3641" spans="1:1" ht="15.75" x14ac:dyDescent="0.25">
      <c r="A3641" s="11"/>
    </row>
    <row r="3642" spans="1:1" ht="15.75" x14ac:dyDescent="0.25">
      <c r="A3642" s="11"/>
    </row>
    <row r="3643" spans="1:1" ht="15.75" x14ac:dyDescent="0.25">
      <c r="A3643" s="11"/>
    </row>
    <row r="3644" spans="1:1" ht="15.75" x14ac:dyDescent="0.25">
      <c r="A3644" s="11"/>
    </row>
    <row r="3645" spans="1:1" ht="15.75" x14ac:dyDescent="0.25">
      <c r="A3645" s="11"/>
    </row>
    <row r="3646" spans="1:1" ht="15.75" x14ac:dyDescent="0.25">
      <c r="A3646" s="11"/>
    </row>
    <row r="3647" spans="1:1" ht="15.75" x14ac:dyDescent="0.25">
      <c r="A3647" s="11"/>
    </row>
    <row r="3648" spans="1:1" ht="15.75" x14ac:dyDescent="0.25">
      <c r="A3648" s="11"/>
    </row>
    <row r="3649" spans="1:1" ht="15.75" x14ac:dyDescent="0.25">
      <c r="A3649" s="11"/>
    </row>
    <row r="3650" spans="1:1" ht="15.75" x14ac:dyDescent="0.25">
      <c r="A3650" s="11"/>
    </row>
    <row r="3651" spans="1:1" ht="15.75" x14ac:dyDescent="0.25">
      <c r="A3651" s="11"/>
    </row>
    <row r="3652" spans="1:1" ht="15.75" x14ac:dyDescent="0.25">
      <c r="A3652" s="11"/>
    </row>
    <row r="3653" spans="1:1" ht="15.75" x14ac:dyDescent="0.25">
      <c r="A3653" s="11"/>
    </row>
    <row r="3654" spans="1:1" ht="15.75" x14ac:dyDescent="0.25">
      <c r="A3654" s="11"/>
    </row>
    <row r="3655" spans="1:1" ht="15.75" x14ac:dyDescent="0.25">
      <c r="A3655" s="11"/>
    </row>
    <row r="3656" spans="1:1" ht="15.75" x14ac:dyDescent="0.25">
      <c r="A3656" s="11"/>
    </row>
    <row r="3657" spans="1:1" ht="15.75" x14ac:dyDescent="0.25">
      <c r="A3657" s="11"/>
    </row>
    <row r="3658" spans="1:1" ht="15.75" x14ac:dyDescent="0.25">
      <c r="A3658" s="11"/>
    </row>
    <row r="3659" spans="1:1" ht="15.75" x14ac:dyDescent="0.25">
      <c r="A3659" s="11"/>
    </row>
    <row r="3660" spans="1:1" ht="15.75" x14ac:dyDescent="0.25">
      <c r="A3660" s="11"/>
    </row>
    <row r="3661" spans="1:1" ht="15.75" x14ac:dyDescent="0.25">
      <c r="A3661" s="11"/>
    </row>
    <row r="3662" spans="1:1" ht="15.75" x14ac:dyDescent="0.25">
      <c r="A3662" s="11"/>
    </row>
    <row r="3663" spans="1:1" ht="15.75" x14ac:dyDescent="0.25">
      <c r="A3663" s="11"/>
    </row>
    <row r="3664" spans="1:1" ht="15.75" x14ac:dyDescent="0.25">
      <c r="A3664" s="11"/>
    </row>
    <row r="3665" spans="1:1" ht="15.75" x14ac:dyDescent="0.25">
      <c r="A3665" s="11"/>
    </row>
    <row r="3666" spans="1:1" ht="15.75" x14ac:dyDescent="0.25">
      <c r="A3666" s="11"/>
    </row>
    <row r="3667" spans="1:1" ht="15.75" x14ac:dyDescent="0.25">
      <c r="A3667" s="11"/>
    </row>
    <row r="3668" spans="1:1" ht="15.75" x14ac:dyDescent="0.25">
      <c r="A3668" s="11"/>
    </row>
    <row r="3669" spans="1:1" ht="15.75" x14ac:dyDescent="0.25">
      <c r="A3669" s="11"/>
    </row>
    <row r="3670" spans="1:1" ht="15.75" x14ac:dyDescent="0.25">
      <c r="A3670" s="11"/>
    </row>
    <row r="3671" spans="1:1" ht="15.75" x14ac:dyDescent="0.25">
      <c r="A3671" s="11"/>
    </row>
    <row r="3672" spans="1:1" ht="15.75" x14ac:dyDescent="0.25">
      <c r="A3672" s="11"/>
    </row>
    <row r="3673" spans="1:1" ht="15.75" x14ac:dyDescent="0.25">
      <c r="A3673" s="11"/>
    </row>
    <row r="3674" spans="1:1" ht="15.75" x14ac:dyDescent="0.25">
      <c r="A3674" s="11"/>
    </row>
    <row r="3675" spans="1:1" ht="15.75" x14ac:dyDescent="0.25">
      <c r="A3675" s="11"/>
    </row>
    <row r="3676" spans="1:1" ht="15.75" x14ac:dyDescent="0.25">
      <c r="A3676" s="11"/>
    </row>
    <row r="3677" spans="1:1" ht="15.75" x14ac:dyDescent="0.25">
      <c r="A3677" s="11"/>
    </row>
    <row r="3678" spans="1:1" ht="15.75" x14ac:dyDescent="0.25">
      <c r="A3678" s="11"/>
    </row>
    <row r="3679" spans="1:1" ht="15.75" x14ac:dyDescent="0.25">
      <c r="A3679" s="11"/>
    </row>
    <row r="3680" spans="1:1" ht="15.75" x14ac:dyDescent="0.25">
      <c r="A3680" s="11"/>
    </row>
    <row r="3681" spans="1:1" ht="15.75" x14ac:dyDescent="0.25">
      <c r="A3681" s="11"/>
    </row>
    <row r="3682" spans="1:1" ht="15.75" x14ac:dyDescent="0.25">
      <c r="A3682" s="11"/>
    </row>
    <row r="3683" spans="1:1" ht="15.75" x14ac:dyDescent="0.25">
      <c r="A3683" s="11"/>
    </row>
    <row r="3684" spans="1:1" ht="15.75" x14ac:dyDescent="0.25">
      <c r="A3684" s="11"/>
    </row>
    <row r="3685" spans="1:1" ht="15.75" x14ac:dyDescent="0.25">
      <c r="A3685" s="11"/>
    </row>
    <row r="3686" spans="1:1" ht="15.75" x14ac:dyDescent="0.25">
      <c r="A3686" s="11"/>
    </row>
    <row r="3687" spans="1:1" ht="15.75" x14ac:dyDescent="0.25">
      <c r="A3687" s="11"/>
    </row>
    <row r="3688" spans="1:1" ht="15.75" x14ac:dyDescent="0.25">
      <c r="A3688" s="11"/>
    </row>
    <row r="3689" spans="1:1" ht="15.75" x14ac:dyDescent="0.25">
      <c r="A3689" s="11"/>
    </row>
    <row r="3690" spans="1:1" ht="15.75" x14ac:dyDescent="0.25">
      <c r="A3690" s="11"/>
    </row>
    <row r="3691" spans="1:1" ht="15.75" x14ac:dyDescent="0.25">
      <c r="A3691" s="11"/>
    </row>
    <row r="3692" spans="1:1" ht="15.75" x14ac:dyDescent="0.25">
      <c r="A3692" s="11"/>
    </row>
    <row r="3693" spans="1:1" ht="15.75" x14ac:dyDescent="0.25">
      <c r="A3693" s="11"/>
    </row>
    <row r="3694" spans="1:1" ht="15.75" x14ac:dyDescent="0.25">
      <c r="A3694" s="11"/>
    </row>
    <row r="3695" spans="1:1" ht="15.75" x14ac:dyDescent="0.25">
      <c r="A3695" s="11"/>
    </row>
    <row r="3696" spans="1:1" ht="15.75" x14ac:dyDescent="0.25">
      <c r="A3696" s="11"/>
    </row>
    <row r="3697" spans="1:1" ht="15.75" x14ac:dyDescent="0.25">
      <c r="A3697" s="11"/>
    </row>
    <row r="3698" spans="1:1" ht="15.75" x14ac:dyDescent="0.25">
      <c r="A3698" s="11"/>
    </row>
    <row r="3699" spans="1:1" ht="15.75" x14ac:dyDescent="0.25">
      <c r="A3699" s="11"/>
    </row>
    <row r="3700" spans="1:1" ht="15.75" x14ac:dyDescent="0.25">
      <c r="A3700" s="11"/>
    </row>
    <row r="3701" spans="1:1" ht="15.75" x14ac:dyDescent="0.25">
      <c r="A3701" s="11"/>
    </row>
    <row r="3702" spans="1:1" ht="15.75" x14ac:dyDescent="0.25">
      <c r="A3702" s="11"/>
    </row>
    <row r="3703" spans="1:1" ht="15.75" x14ac:dyDescent="0.25">
      <c r="A3703" s="11"/>
    </row>
    <row r="3704" spans="1:1" ht="15.75" x14ac:dyDescent="0.25">
      <c r="A3704" s="11"/>
    </row>
    <row r="3705" spans="1:1" ht="15.75" x14ac:dyDescent="0.25">
      <c r="A3705" s="11"/>
    </row>
    <row r="3706" spans="1:1" ht="15.75" x14ac:dyDescent="0.25">
      <c r="A3706" s="11"/>
    </row>
    <row r="3707" spans="1:1" ht="15.75" x14ac:dyDescent="0.25">
      <c r="A3707" s="11"/>
    </row>
    <row r="3708" spans="1:1" ht="15.75" x14ac:dyDescent="0.25">
      <c r="A3708" s="11"/>
    </row>
    <row r="3709" spans="1:1" ht="15.75" x14ac:dyDescent="0.25">
      <c r="A3709" s="11"/>
    </row>
    <row r="3710" spans="1:1" ht="15.75" x14ac:dyDescent="0.25">
      <c r="A3710" s="11"/>
    </row>
    <row r="3711" spans="1:1" ht="15.75" x14ac:dyDescent="0.25">
      <c r="A3711" s="11"/>
    </row>
    <row r="3712" spans="1:1" ht="15.75" x14ac:dyDescent="0.25">
      <c r="A3712" s="11"/>
    </row>
    <row r="3713" spans="1:1" ht="15.75" x14ac:dyDescent="0.25">
      <c r="A3713" s="11"/>
    </row>
    <row r="3714" spans="1:1" ht="15.75" x14ac:dyDescent="0.25">
      <c r="A3714" s="11"/>
    </row>
    <row r="3715" spans="1:1" ht="15.75" x14ac:dyDescent="0.25">
      <c r="A3715" s="11"/>
    </row>
    <row r="3716" spans="1:1" ht="15.75" x14ac:dyDescent="0.25">
      <c r="A3716" s="11"/>
    </row>
    <row r="3717" spans="1:1" ht="15.75" x14ac:dyDescent="0.25">
      <c r="A3717" s="11"/>
    </row>
    <row r="3718" spans="1:1" ht="15.75" x14ac:dyDescent="0.25">
      <c r="A3718" s="11"/>
    </row>
    <row r="3719" spans="1:1" ht="15.75" x14ac:dyDescent="0.25">
      <c r="A3719" s="11"/>
    </row>
    <row r="3720" spans="1:1" ht="15.75" x14ac:dyDescent="0.25">
      <c r="A3720" s="11"/>
    </row>
    <row r="3721" spans="1:1" ht="15.75" x14ac:dyDescent="0.25">
      <c r="A3721" s="11"/>
    </row>
    <row r="3722" spans="1:1" ht="15.75" x14ac:dyDescent="0.25">
      <c r="A3722" s="11"/>
    </row>
    <row r="3723" spans="1:1" ht="15.75" x14ac:dyDescent="0.25">
      <c r="A3723" s="11"/>
    </row>
    <row r="3724" spans="1:1" ht="15.75" x14ac:dyDescent="0.25">
      <c r="A3724" s="11"/>
    </row>
    <row r="3725" spans="1:1" ht="15.75" x14ac:dyDescent="0.25">
      <c r="A3725" s="11"/>
    </row>
    <row r="3726" spans="1:1" ht="15.75" x14ac:dyDescent="0.25">
      <c r="A3726" s="11"/>
    </row>
    <row r="3727" spans="1:1" ht="15.75" x14ac:dyDescent="0.25">
      <c r="A3727" s="11"/>
    </row>
    <row r="3728" spans="1:1" ht="15.75" x14ac:dyDescent="0.25">
      <c r="A3728" s="11"/>
    </row>
    <row r="3729" spans="1:1" ht="15.75" x14ac:dyDescent="0.25">
      <c r="A3729" s="11"/>
    </row>
    <row r="3730" spans="1:1" ht="15.75" x14ac:dyDescent="0.25">
      <c r="A3730" s="11"/>
    </row>
    <row r="3731" spans="1:1" ht="15.75" x14ac:dyDescent="0.25">
      <c r="A3731" s="11"/>
    </row>
    <row r="3732" spans="1:1" ht="15.75" x14ac:dyDescent="0.25">
      <c r="A3732" s="11"/>
    </row>
    <row r="3733" spans="1:1" ht="15.75" x14ac:dyDescent="0.25">
      <c r="A3733" s="11"/>
    </row>
    <row r="3734" spans="1:1" ht="15.75" x14ac:dyDescent="0.25">
      <c r="A3734" s="11"/>
    </row>
    <row r="3735" spans="1:1" ht="15.75" x14ac:dyDescent="0.25">
      <c r="A3735" s="11"/>
    </row>
    <row r="3736" spans="1:1" ht="15.75" x14ac:dyDescent="0.25">
      <c r="A3736" s="11"/>
    </row>
    <row r="3737" spans="1:1" ht="15.75" x14ac:dyDescent="0.25">
      <c r="A3737" s="11"/>
    </row>
    <row r="3738" spans="1:1" ht="15.75" x14ac:dyDescent="0.25">
      <c r="A3738" s="11"/>
    </row>
    <row r="3739" spans="1:1" ht="15.75" x14ac:dyDescent="0.25">
      <c r="A3739" s="11"/>
    </row>
    <row r="3740" spans="1:1" ht="15.75" x14ac:dyDescent="0.25">
      <c r="A3740" s="11"/>
    </row>
    <row r="3741" spans="1:1" ht="15.75" x14ac:dyDescent="0.25">
      <c r="A3741" s="11"/>
    </row>
    <row r="3742" spans="1:1" ht="15.75" x14ac:dyDescent="0.25">
      <c r="A3742" s="11"/>
    </row>
    <row r="3743" spans="1:1" ht="15.75" x14ac:dyDescent="0.25">
      <c r="A3743" s="11"/>
    </row>
    <row r="3744" spans="1:1" ht="15.75" x14ac:dyDescent="0.25">
      <c r="A3744" s="11"/>
    </row>
    <row r="3745" spans="1:1" ht="15.75" x14ac:dyDescent="0.25">
      <c r="A3745" s="11"/>
    </row>
    <row r="3746" spans="1:1" ht="15.75" x14ac:dyDescent="0.25">
      <c r="A3746" s="11"/>
    </row>
    <row r="3747" spans="1:1" ht="15.75" x14ac:dyDescent="0.25">
      <c r="A3747" s="11"/>
    </row>
    <row r="3748" spans="1:1" ht="15.75" x14ac:dyDescent="0.25">
      <c r="A3748" s="11"/>
    </row>
    <row r="3749" spans="1:1" ht="15.75" x14ac:dyDescent="0.25">
      <c r="A3749" s="11"/>
    </row>
    <row r="3750" spans="1:1" ht="15.75" x14ac:dyDescent="0.25">
      <c r="A3750" s="11"/>
    </row>
    <row r="3751" spans="1:1" ht="15.75" x14ac:dyDescent="0.25">
      <c r="A3751" s="11"/>
    </row>
    <row r="3752" spans="1:1" ht="15.75" x14ac:dyDescent="0.25">
      <c r="A3752" s="11"/>
    </row>
    <row r="3753" spans="1:1" ht="15.75" x14ac:dyDescent="0.25">
      <c r="A3753" s="11"/>
    </row>
    <row r="3754" spans="1:1" ht="15.75" x14ac:dyDescent="0.25">
      <c r="A3754" s="11"/>
    </row>
    <row r="3755" spans="1:1" ht="15.75" x14ac:dyDescent="0.25">
      <c r="A3755" s="11"/>
    </row>
    <row r="3756" spans="1:1" ht="15.75" x14ac:dyDescent="0.25">
      <c r="A3756" s="11"/>
    </row>
    <row r="3757" spans="1:1" ht="15.75" x14ac:dyDescent="0.25">
      <c r="A3757" s="11"/>
    </row>
    <row r="3758" spans="1:1" ht="15.75" x14ac:dyDescent="0.25">
      <c r="A3758" s="11"/>
    </row>
    <row r="3759" spans="1:1" ht="15.75" x14ac:dyDescent="0.25">
      <c r="A3759" s="11"/>
    </row>
    <row r="3760" spans="1:1" ht="15.75" x14ac:dyDescent="0.25">
      <c r="A3760" s="11"/>
    </row>
    <row r="3761" spans="1:1" ht="15.75" x14ac:dyDescent="0.25">
      <c r="A3761" s="11"/>
    </row>
    <row r="3762" spans="1:1" ht="15.75" x14ac:dyDescent="0.25">
      <c r="A3762" s="11"/>
    </row>
    <row r="3763" spans="1:1" ht="15.75" x14ac:dyDescent="0.25">
      <c r="A3763" s="11"/>
    </row>
    <row r="3764" spans="1:1" ht="15.75" x14ac:dyDescent="0.25">
      <c r="A3764" s="11"/>
    </row>
    <row r="3765" spans="1:1" ht="15.75" x14ac:dyDescent="0.25">
      <c r="A3765" s="11"/>
    </row>
    <row r="3766" spans="1:1" ht="15.75" x14ac:dyDescent="0.25">
      <c r="A3766" s="11"/>
    </row>
    <row r="3767" spans="1:1" ht="15.75" x14ac:dyDescent="0.25">
      <c r="A3767" s="11"/>
    </row>
    <row r="3768" spans="1:1" ht="15.75" x14ac:dyDescent="0.25">
      <c r="A3768" s="11"/>
    </row>
    <row r="3769" spans="1:1" ht="15.75" x14ac:dyDescent="0.25">
      <c r="A3769" s="11"/>
    </row>
    <row r="3770" spans="1:1" ht="15.75" x14ac:dyDescent="0.25">
      <c r="A3770" s="11"/>
    </row>
    <row r="3771" spans="1:1" ht="15.75" x14ac:dyDescent="0.25">
      <c r="A3771" s="11"/>
    </row>
    <row r="3772" spans="1:1" ht="15.75" x14ac:dyDescent="0.25">
      <c r="A3772" s="11"/>
    </row>
    <row r="3773" spans="1:1" ht="15.75" x14ac:dyDescent="0.25">
      <c r="A3773" s="11"/>
    </row>
    <row r="3774" spans="1:1" ht="15.75" x14ac:dyDescent="0.25">
      <c r="A3774" s="11"/>
    </row>
    <row r="3775" spans="1:1" ht="15.75" x14ac:dyDescent="0.25">
      <c r="A3775" s="11"/>
    </row>
    <row r="3776" spans="1:1" ht="15.75" x14ac:dyDescent="0.25">
      <c r="A3776" s="11"/>
    </row>
    <row r="3777" spans="1:1" ht="15.75" x14ac:dyDescent="0.25">
      <c r="A3777" s="11"/>
    </row>
    <row r="3778" spans="1:1" ht="15.75" x14ac:dyDescent="0.25">
      <c r="A3778" s="11"/>
    </row>
    <row r="3779" spans="1:1" ht="15.75" x14ac:dyDescent="0.25">
      <c r="A3779" s="11"/>
    </row>
    <row r="3780" spans="1:1" ht="15.75" x14ac:dyDescent="0.25">
      <c r="A3780" s="11"/>
    </row>
    <row r="3781" spans="1:1" ht="15.75" x14ac:dyDescent="0.25">
      <c r="A3781" s="11"/>
    </row>
    <row r="3782" spans="1:1" ht="15.75" x14ac:dyDescent="0.25">
      <c r="A3782" s="11"/>
    </row>
    <row r="3783" spans="1:1" ht="15.75" x14ac:dyDescent="0.25">
      <c r="A3783" s="11"/>
    </row>
    <row r="3784" spans="1:1" ht="15.75" x14ac:dyDescent="0.25">
      <c r="A3784" s="11"/>
    </row>
    <row r="3785" spans="1:1" ht="15.75" x14ac:dyDescent="0.25">
      <c r="A3785" s="11"/>
    </row>
    <row r="3786" spans="1:1" ht="15.75" x14ac:dyDescent="0.25">
      <c r="A3786" s="11"/>
    </row>
    <row r="3787" spans="1:1" ht="15.75" x14ac:dyDescent="0.25">
      <c r="A3787" s="11"/>
    </row>
    <row r="3788" spans="1:1" ht="15.75" x14ac:dyDescent="0.25">
      <c r="A3788" s="11"/>
    </row>
    <row r="3789" spans="1:1" ht="15.75" x14ac:dyDescent="0.25">
      <c r="A3789" s="11"/>
    </row>
    <row r="3790" spans="1:1" ht="15.75" x14ac:dyDescent="0.25">
      <c r="A3790" s="11"/>
    </row>
    <row r="3791" spans="1:1" ht="15.75" x14ac:dyDescent="0.25">
      <c r="A3791" s="11"/>
    </row>
    <row r="3792" spans="1:1" ht="15.75" x14ac:dyDescent="0.25">
      <c r="A3792" s="11"/>
    </row>
    <row r="3793" spans="1:1" ht="15.75" x14ac:dyDescent="0.25">
      <c r="A3793" s="11"/>
    </row>
    <row r="3794" spans="1:1" ht="15.75" x14ac:dyDescent="0.25">
      <c r="A3794" s="11"/>
    </row>
    <row r="3795" spans="1:1" ht="15.75" x14ac:dyDescent="0.25">
      <c r="A3795" s="11"/>
    </row>
    <row r="3796" spans="1:1" ht="15.75" x14ac:dyDescent="0.25">
      <c r="A3796" s="11"/>
    </row>
    <row r="3797" spans="1:1" ht="15.75" x14ac:dyDescent="0.25">
      <c r="A3797" s="11"/>
    </row>
    <row r="3798" spans="1:1" ht="15.75" x14ac:dyDescent="0.25">
      <c r="A3798" s="11"/>
    </row>
    <row r="3799" spans="1:1" ht="15.75" x14ac:dyDescent="0.25">
      <c r="A3799" s="11"/>
    </row>
    <row r="3800" spans="1:1" ht="15.75" x14ac:dyDescent="0.25">
      <c r="A3800" s="11"/>
    </row>
    <row r="3801" spans="1:1" ht="15.75" x14ac:dyDescent="0.25">
      <c r="A3801" s="11"/>
    </row>
    <row r="3802" spans="1:1" ht="15.75" x14ac:dyDescent="0.25">
      <c r="A3802" s="11"/>
    </row>
    <row r="3803" spans="1:1" ht="15.75" x14ac:dyDescent="0.25">
      <c r="A3803" s="11"/>
    </row>
    <row r="3804" spans="1:1" ht="15.75" x14ac:dyDescent="0.25">
      <c r="A3804" s="11"/>
    </row>
    <row r="3805" spans="1:1" ht="15.75" x14ac:dyDescent="0.25">
      <c r="A3805" s="11"/>
    </row>
    <row r="3806" spans="1:1" ht="15.75" x14ac:dyDescent="0.25">
      <c r="A3806" s="11"/>
    </row>
    <row r="3807" spans="1:1" ht="15.75" x14ac:dyDescent="0.25">
      <c r="A3807" s="11"/>
    </row>
    <row r="3808" spans="1:1" ht="15.75" x14ac:dyDescent="0.25">
      <c r="A3808" s="11"/>
    </row>
    <row r="3809" spans="1:1" ht="15.75" x14ac:dyDescent="0.25">
      <c r="A3809" s="11"/>
    </row>
    <row r="3810" spans="1:1" ht="15.75" x14ac:dyDescent="0.25">
      <c r="A3810" s="11"/>
    </row>
    <row r="3811" spans="1:1" ht="15.75" x14ac:dyDescent="0.25">
      <c r="A3811" s="11"/>
    </row>
    <row r="3812" spans="1:1" ht="15.75" x14ac:dyDescent="0.25">
      <c r="A3812" s="11"/>
    </row>
    <row r="3813" spans="1:1" ht="15.75" x14ac:dyDescent="0.25">
      <c r="A3813" s="11"/>
    </row>
    <row r="3814" spans="1:1" ht="15.75" x14ac:dyDescent="0.25">
      <c r="A3814" s="11"/>
    </row>
    <row r="3815" spans="1:1" ht="15.75" x14ac:dyDescent="0.25">
      <c r="A3815" s="11"/>
    </row>
    <row r="3816" spans="1:1" ht="15.75" x14ac:dyDescent="0.25">
      <c r="A3816" s="11"/>
    </row>
    <row r="3817" spans="1:1" ht="15.75" x14ac:dyDescent="0.25">
      <c r="A3817" s="11"/>
    </row>
    <row r="3818" spans="1:1" ht="15.75" x14ac:dyDescent="0.25">
      <c r="A3818" s="11"/>
    </row>
    <row r="3819" spans="1:1" ht="15.75" x14ac:dyDescent="0.25">
      <c r="A3819" s="11"/>
    </row>
    <row r="3820" spans="1:1" ht="15.75" x14ac:dyDescent="0.25">
      <c r="A3820" s="11"/>
    </row>
    <row r="3821" spans="1:1" ht="15.75" x14ac:dyDescent="0.25">
      <c r="A3821" s="11"/>
    </row>
    <row r="3822" spans="1:1" ht="15.75" x14ac:dyDescent="0.25">
      <c r="A3822" s="11"/>
    </row>
    <row r="3823" spans="1:1" ht="15.75" x14ac:dyDescent="0.25">
      <c r="A3823" s="11"/>
    </row>
    <row r="3824" spans="1:1" ht="15.75" x14ac:dyDescent="0.25">
      <c r="A3824" s="11"/>
    </row>
    <row r="3825" spans="1:1" ht="15.75" x14ac:dyDescent="0.25">
      <c r="A3825" s="11"/>
    </row>
    <row r="3826" spans="1:1" ht="15.75" x14ac:dyDescent="0.25">
      <c r="A3826" s="11"/>
    </row>
    <row r="3827" spans="1:1" ht="15.75" x14ac:dyDescent="0.25">
      <c r="A3827" s="11"/>
    </row>
    <row r="3828" spans="1:1" ht="15.75" x14ac:dyDescent="0.25">
      <c r="A3828" s="11"/>
    </row>
    <row r="3829" spans="1:1" ht="15.75" x14ac:dyDescent="0.25">
      <c r="A3829" s="11"/>
    </row>
    <row r="3830" spans="1:1" ht="15.75" x14ac:dyDescent="0.25">
      <c r="A3830" s="11"/>
    </row>
    <row r="3831" spans="1:1" ht="15.75" x14ac:dyDescent="0.25">
      <c r="A3831" s="11"/>
    </row>
    <row r="3832" spans="1:1" ht="15.75" x14ac:dyDescent="0.25">
      <c r="A3832" s="11"/>
    </row>
    <row r="3833" spans="1:1" ht="15.75" x14ac:dyDescent="0.25">
      <c r="A3833" s="11"/>
    </row>
    <row r="3834" spans="1:1" ht="15.75" x14ac:dyDescent="0.25">
      <c r="A3834" s="11"/>
    </row>
    <row r="3835" spans="1:1" ht="15.75" x14ac:dyDescent="0.25">
      <c r="A3835" s="11"/>
    </row>
    <row r="3836" spans="1:1" ht="15.75" x14ac:dyDescent="0.25">
      <c r="A3836" s="11"/>
    </row>
    <row r="3837" spans="1:1" ht="15.75" x14ac:dyDescent="0.25">
      <c r="A3837" s="11"/>
    </row>
    <row r="3838" spans="1:1" ht="15.75" x14ac:dyDescent="0.25">
      <c r="A3838" s="11"/>
    </row>
    <row r="3839" spans="1:1" ht="15.75" x14ac:dyDescent="0.25">
      <c r="A3839" s="11"/>
    </row>
    <row r="3840" spans="1:1" ht="15.75" x14ac:dyDescent="0.25">
      <c r="A3840" s="11"/>
    </row>
    <row r="3841" spans="1:1" ht="15.75" x14ac:dyDescent="0.25">
      <c r="A3841" s="11"/>
    </row>
    <row r="3842" spans="1:1" ht="15.75" x14ac:dyDescent="0.25">
      <c r="A3842" s="11"/>
    </row>
    <row r="3843" spans="1:1" ht="15.75" x14ac:dyDescent="0.25">
      <c r="A3843" s="11"/>
    </row>
    <row r="3844" spans="1:1" ht="15.75" x14ac:dyDescent="0.25">
      <c r="A3844" s="11"/>
    </row>
    <row r="3845" spans="1:1" ht="15.75" x14ac:dyDescent="0.25">
      <c r="A3845" s="11"/>
    </row>
    <row r="3846" spans="1:1" ht="15.75" x14ac:dyDescent="0.25">
      <c r="A3846" s="11"/>
    </row>
    <row r="3847" spans="1:1" ht="15.75" x14ac:dyDescent="0.25">
      <c r="A3847" s="11"/>
    </row>
    <row r="3848" spans="1:1" ht="15.75" x14ac:dyDescent="0.25">
      <c r="A3848" s="11"/>
    </row>
    <row r="3849" spans="1:1" ht="15.75" x14ac:dyDescent="0.25">
      <c r="A3849" s="11"/>
    </row>
    <row r="3850" spans="1:1" ht="15.75" x14ac:dyDescent="0.25">
      <c r="A3850" s="11"/>
    </row>
    <row r="3851" spans="1:1" ht="15.75" x14ac:dyDescent="0.25">
      <c r="A3851" s="11"/>
    </row>
    <row r="3852" spans="1:1" ht="15.75" x14ac:dyDescent="0.25">
      <c r="A3852" s="11"/>
    </row>
    <row r="3853" spans="1:1" ht="15.75" x14ac:dyDescent="0.25">
      <c r="A3853" s="11"/>
    </row>
    <row r="3854" spans="1:1" ht="15.75" x14ac:dyDescent="0.25">
      <c r="A3854" s="11"/>
    </row>
    <row r="3855" spans="1:1" ht="15.75" x14ac:dyDescent="0.25">
      <c r="A3855" s="11"/>
    </row>
    <row r="3856" spans="1:1" ht="15.75" x14ac:dyDescent="0.25">
      <c r="A3856" s="11"/>
    </row>
    <row r="3857" spans="1:1" ht="15.75" x14ac:dyDescent="0.25">
      <c r="A3857" s="11"/>
    </row>
    <row r="3858" spans="1:1" ht="15.75" x14ac:dyDescent="0.25">
      <c r="A3858" s="11"/>
    </row>
    <row r="3859" spans="1:1" ht="15.75" x14ac:dyDescent="0.25">
      <c r="A3859" s="11"/>
    </row>
    <row r="3860" spans="1:1" ht="15.75" x14ac:dyDescent="0.25">
      <c r="A3860" s="11"/>
    </row>
    <row r="3861" spans="1:1" ht="15.75" x14ac:dyDescent="0.25">
      <c r="A3861" s="11"/>
    </row>
    <row r="3862" spans="1:1" ht="15.75" x14ac:dyDescent="0.25">
      <c r="A3862" s="11"/>
    </row>
    <row r="3863" spans="1:1" ht="15.75" x14ac:dyDescent="0.25">
      <c r="A3863" s="11"/>
    </row>
    <row r="3864" spans="1:1" ht="15.75" x14ac:dyDescent="0.25">
      <c r="A3864" s="11"/>
    </row>
    <row r="3865" spans="1:1" ht="15.75" x14ac:dyDescent="0.25">
      <c r="A3865" s="11"/>
    </row>
    <row r="3866" spans="1:1" ht="15.75" x14ac:dyDescent="0.25">
      <c r="A3866" s="11"/>
    </row>
    <row r="3867" spans="1:1" ht="15.75" x14ac:dyDescent="0.25">
      <c r="A3867" s="11"/>
    </row>
    <row r="3868" spans="1:1" ht="15.75" x14ac:dyDescent="0.25">
      <c r="A3868" s="11"/>
    </row>
    <row r="3869" spans="1:1" ht="15.75" x14ac:dyDescent="0.25">
      <c r="A3869" s="11"/>
    </row>
    <row r="3870" spans="1:1" ht="15.75" x14ac:dyDescent="0.25">
      <c r="A3870" s="11"/>
    </row>
    <row r="3871" spans="1:1" ht="15.75" x14ac:dyDescent="0.25">
      <c r="A3871" s="11"/>
    </row>
    <row r="3872" spans="1:1" ht="15.75" x14ac:dyDescent="0.25">
      <c r="A3872" s="11"/>
    </row>
    <row r="3873" spans="1:1" ht="15.75" x14ac:dyDescent="0.25">
      <c r="A3873" s="11"/>
    </row>
    <row r="3874" spans="1:1" ht="15.75" x14ac:dyDescent="0.25">
      <c r="A3874" s="11"/>
    </row>
    <row r="3875" spans="1:1" ht="15.75" x14ac:dyDescent="0.25">
      <c r="A3875" s="11"/>
    </row>
    <row r="3876" spans="1:1" ht="15.75" x14ac:dyDescent="0.25">
      <c r="A3876" s="11"/>
    </row>
    <row r="3877" spans="1:1" ht="15.75" x14ac:dyDescent="0.25">
      <c r="A3877" s="11"/>
    </row>
    <row r="3878" spans="1:1" ht="15.75" x14ac:dyDescent="0.25">
      <c r="A3878" s="11"/>
    </row>
    <row r="3879" spans="1:1" ht="15.75" x14ac:dyDescent="0.25">
      <c r="A3879" s="11"/>
    </row>
    <row r="3880" spans="1:1" ht="15.75" x14ac:dyDescent="0.25">
      <c r="A3880" s="11"/>
    </row>
    <row r="3881" spans="1:1" ht="15.75" x14ac:dyDescent="0.25">
      <c r="A3881" s="11"/>
    </row>
    <row r="3882" spans="1:1" ht="15.75" x14ac:dyDescent="0.25">
      <c r="A3882" s="11"/>
    </row>
    <row r="3883" spans="1:1" ht="15.75" x14ac:dyDescent="0.25">
      <c r="A3883" s="11"/>
    </row>
    <row r="3884" spans="1:1" ht="15.75" x14ac:dyDescent="0.25">
      <c r="A3884" s="11"/>
    </row>
    <row r="3885" spans="1:1" ht="15.75" x14ac:dyDescent="0.25">
      <c r="A3885" s="11"/>
    </row>
    <row r="3886" spans="1:1" ht="15.75" x14ac:dyDescent="0.25">
      <c r="A3886" s="11"/>
    </row>
    <row r="3887" spans="1:1" ht="15.75" x14ac:dyDescent="0.25">
      <c r="A3887" s="11"/>
    </row>
    <row r="3888" spans="1:1" ht="15.75" x14ac:dyDescent="0.25">
      <c r="A3888" s="11"/>
    </row>
    <row r="3889" spans="1:1" ht="15.75" x14ac:dyDescent="0.25">
      <c r="A3889" s="11"/>
    </row>
    <row r="3890" spans="1:1" ht="15.75" x14ac:dyDescent="0.25">
      <c r="A3890" s="11"/>
    </row>
    <row r="3891" spans="1:1" ht="15.75" x14ac:dyDescent="0.25">
      <c r="A3891" s="11"/>
    </row>
    <row r="3892" spans="1:1" ht="15.75" x14ac:dyDescent="0.25">
      <c r="A3892" s="11"/>
    </row>
    <row r="3893" spans="1:1" ht="15.75" x14ac:dyDescent="0.25">
      <c r="A3893" s="11"/>
    </row>
    <row r="3894" spans="1:1" ht="15.75" x14ac:dyDescent="0.25">
      <c r="A3894" s="11"/>
    </row>
    <row r="3895" spans="1:1" ht="15.75" x14ac:dyDescent="0.25">
      <c r="A3895" s="11"/>
    </row>
    <row r="3896" spans="1:1" ht="15.75" x14ac:dyDescent="0.25">
      <c r="A3896" s="11"/>
    </row>
    <row r="3897" spans="1:1" ht="15.75" x14ac:dyDescent="0.25">
      <c r="A3897" s="11"/>
    </row>
    <row r="3898" spans="1:1" ht="15.75" x14ac:dyDescent="0.25">
      <c r="A3898" s="11"/>
    </row>
    <row r="3899" spans="1:1" ht="15.75" x14ac:dyDescent="0.25">
      <c r="A3899" s="11"/>
    </row>
    <row r="3900" spans="1:1" ht="15.75" x14ac:dyDescent="0.25">
      <c r="A3900" s="11"/>
    </row>
    <row r="3901" spans="1:1" ht="15.75" x14ac:dyDescent="0.25">
      <c r="A3901" s="11"/>
    </row>
    <row r="3902" spans="1:1" ht="15.75" x14ac:dyDescent="0.25">
      <c r="A3902" s="11"/>
    </row>
    <row r="3903" spans="1:1" ht="15.75" x14ac:dyDescent="0.25">
      <c r="A3903" s="11"/>
    </row>
    <row r="3904" spans="1:1" ht="15.75" x14ac:dyDescent="0.25">
      <c r="A3904" s="11"/>
    </row>
    <row r="3905" spans="1:1" ht="15.75" x14ac:dyDescent="0.25">
      <c r="A3905" s="11"/>
    </row>
    <row r="3906" spans="1:1" ht="15.75" x14ac:dyDescent="0.25">
      <c r="A3906" s="11"/>
    </row>
    <row r="3907" spans="1:1" ht="15.75" x14ac:dyDescent="0.25">
      <c r="A3907" s="11"/>
    </row>
    <row r="3908" spans="1:1" ht="15.75" x14ac:dyDescent="0.25">
      <c r="A3908" s="11"/>
    </row>
    <row r="3909" spans="1:1" ht="15.75" x14ac:dyDescent="0.25">
      <c r="A3909" s="11"/>
    </row>
    <row r="3910" spans="1:1" ht="15.75" x14ac:dyDescent="0.25">
      <c r="A3910" s="11"/>
    </row>
    <row r="3911" spans="1:1" ht="15.75" x14ac:dyDescent="0.25">
      <c r="A3911" s="11"/>
    </row>
    <row r="3912" spans="1:1" ht="15.75" x14ac:dyDescent="0.25">
      <c r="A3912" s="11"/>
    </row>
    <row r="3913" spans="1:1" ht="15.75" x14ac:dyDescent="0.25">
      <c r="A3913" s="11"/>
    </row>
    <row r="3914" spans="1:1" ht="15.75" x14ac:dyDescent="0.25">
      <c r="A3914" s="11"/>
    </row>
    <row r="3915" spans="1:1" ht="15.75" x14ac:dyDescent="0.25">
      <c r="A3915" s="11"/>
    </row>
    <row r="3916" spans="1:1" ht="15.75" x14ac:dyDescent="0.25">
      <c r="A3916" s="11"/>
    </row>
    <row r="3917" spans="1:1" ht="15.75" x14ac:dyDescent="0.25">
      <c r="A3917" s="11"/>
    </row>
    <row r="3918" spans="1:1" ht="15.75" x14ac:dyDescent="0.25">
      <c r="A3918" s="11"/>
    </row>
    <row r="3919" spans="1:1" ht="15.75" x14ac:dyDescent="0.25">
      <c r="A3919" s="11"/>
    </row>
    <row r="3920" spans="1:1" ht="15.75" x14ac:dyDescent="0.25">
      <c r="A3920" s="11"/>
    </row>
    <row r="3921" spans="1:1" ht="15.75" x14ac:dyDescent="0.25">
      <c r="A3921" s="11"/>
    </row>
    <row r="3922" spans="1:1" ht="15.75" x14ac:dyDescent="0.25">
      <c r="A3922" s="11"/>
    </row>
    <row r="3923" spans="1:1" ht="15.75" x14ac:dyDescent="0.25">
      <c r="A3923" s="11"/>
    </row>
    <row r="3924" spans="1:1" ht="15.75" x14ac:dyDescent="0.25">
      <c r="A3924" s="11"/>
    </row>
    <row r="3925" spans="1:1" ht="15.75" x14ac:dyDescent="0.25">
      <c r="A3925" s="11"/>
    </row>
    <row r="3926" spans="1:1" ht="15.75" x14ac:dyDescent="0.25">
      <c r="A3926" s="11"/>
    </row>
    <row r="3927" spans="1:1" ht="15.75" x14ac:dyDescent="0.25">
      <c r="A3927" s="11"/>
    </row>
    <row r="3928" spans="1:1" ht="15.75" x14ac:dyDescent="0.25">
      <c r="A3928" s="11"/>
    </row>
    <row r="3929" spans="1:1" ht="15.75" x14ac:dyDescent="0.25">
      <c r="A3929" s="11"/>
    </row>
    <row r="3930" spans="1:1" ht="15.75" x14ac:dyDescent="0.25">
      <c r="A3930" s="11"/>
    </row>
    <row r="3931" spans="1:1" ht="15.75" x14ac:dyDescent="0.25">
      <c r="A3931" s="11"/>
    </row>
    <row r="3932" spans="1:1" ht="15.75" x14ac:dyDescent="0.25">
      <c r="A3932" s="11"/>
    </row>
    <row r="3933" spans="1:1" ht="15.75" x14ac:dyDescent="0.25">
      <c r="A3933" s="11"/>
    </row>
    <row r="3934" spans="1:1" ht="15.75" x14ac:dyDescent="0.25">
      <c r="A3934" s="11"/>
    </row>
    <row r="3935" spans="1:1" ht="15.75" x14ac:dyDescent="0.25">
      <c r="A3935" s="11"/>
    </row>
    <row r="3936" spans="1:1" ht="15.75" x14ac:dyDescent="0.25">
      <c r="A3936" s="11"/>
    </row>
    <row r="3937" spans="1:1" ht="15.75" x14ac:dyDescent="0.25">
      <c r="A3937" s="11"/>
    </row>
    <row r="3938" spans="1:1" ht="15.75" x14ac:dyDescent="0.25">
      <c r="A3938" s="11"/>
    </row>
    <row r="3939" spans="1:1" ht="15.75" x14ac:dyDescent="0.25">
      <c r="A3939" s="11"/>
    </row>
    <row r="3940" spans="1:1" ht="15.75" x14ac:dyDescent="0.25">
      <c r="A3940" s="11"/>
    </row>
    <row r="3941" spans="1:1" ht="15.75" x14ac:dyDescent="0.25">
      <c r="A3941" s="11"/>
    </row>
    <row r="3942" spans="1:1" ht="15.75" x14ac:dyDescent="0.25">
      <c r="A3942" s="11"/>
    </row>
    <row r="3943" spans="1:1" ht="15.75" x14ac:dyDescent="0.25">
      <c r="A3943" s="11"/>
    </row>
    <row r="3944" spans="1:1" ht="15.75" x14ac:dyDescent="0.25">
      <c r="A3944" s="11"/>
    </row>
    <row r="3945" spans="1:1" ht="15.75" x14ac:dyDescent="0.25">
      <c r="A3945" s="11"/>
    </row>
    <row r="3946" spans="1:1" ht="15.75" x14ac:dyDescent="0.25">
      <c r="A3946" s="11"/>
    </row>
    <row r="3947" spans="1:1" ht="15.75" x14ac:dyDescent="0.25">
      <c r="A3947" s="11"/>
    </row>
    <row r="3948" spans="1:1" ht="15.75" x14ac:dyDescent="0.25">
      <c r="A3948" s="11"/>
    </row>
    <row r="3949" spans="1:1" ht="15.75" x14ac:dyDescent="0.25">
      <c r="A3949" s="11"/>
    </row>
    <row r="3950" spans="1:1" ht="15.75" x14ac:dyDescent="0.25">
      <c r="A3950" s="11"/>
    </row>
    <row r="3951" spans="1:1" ht="15.75" x14ac:dyDescent="0.25">
      <c r="A3951" s="11"/>
    </row>
    <row r="3952" spans="1:1" ht="15.75" x14ac:dyDescent="0.25">
      <c r="A3952" s="11"/>
    </row>
    <row r="3953" spans="1:1" ht="15.75" x14ac:dyDescent="0.25">
      <c r="A3953" s="11"/>
    </row>
    <row r="3954" spans="1:1" ht="15.75" x14ac:dyDescent="0.25">
      <c r="A3954" s="11"/>
    </row>
    <row r="3955" spans="1:1" ht="15.75" x14ac:dyDescent="0.25">
      <c r="A3955" s="11"/>
    </row>
    <row r="3956" spans="1:1" ht="15.75" x14ac:dyDescent="0.25">
      <c r="A3956" s="11"/>
    </row>
    <row r="3957" spans="1:1" ht="15.75" x14ac:dyDescent="0.25">
      <c r="A3957" s="11"/>
    </row>
    <row r="3958" spans="1:1" ht="15.75" x14ac:dyDescent="0.25">
      <c r="A3958" s="11"/>
    </row>
    <row r="3959" spans="1:1" ht="15.75" x14ac:dyDescent="0.25">
      <c r="A3959" s="11"/>
    </row>
    <row r="3960" spans="1:1" ht="15.75" x14ac:dyDescent="0.25">
      <c r="A3960" s="11"/>
    </row>
    <row r="3961" spans="1:1" ht="15.75" x14ac:dyDescent="0.25">
      <c r="A3961" s="11"/>
    </row>
    <row r="3962" spans="1:1" ht="15.75" x14ac:dyDescent="0.25">
      <c r="A3962" s="11"/>
    </row>
    <row r="3963" spans="1:1" ht="15.75" x14ac:dyDescent="0.25">
      <c r="A3963" s="11"/>
    </row>
    <row r="3964" spans="1:1" ht="15.75" x14ac:dyDescent="0.25">
      <c r="A3964" s="11"/>
    </row>
    <row r="3965" spans="1:1" ht="15.75" x14ac:dyDescent="0.25">
      <c r="A3965" s="11"/>
    </row>
    <row r="3966" spans="1:1" ht="15.75" x14ac:dyDescent="0.25">
      <c r="A3966" s="11"/>
    </row>
    <row r="3967" spans="1:1" ht="15.75" x14ac:dyDescent="0.25">
      <c r="A3967" s="11"/>
    </row>
    <row r="3968" spans="1:1" ht="15.75" x14ac:dyDescent="0.25">
      <c r="A3968" s="11"/>
    </row>
    <row r="3969" spans="1:1" ht="15.75" x14ac:dyDescent="0.25">
      <c r="A3969" s="11"/>
    </row>
    <row r="3970" spans="1:1" ht="15.75" x14ac:dyDescent="0.25">
      <c r="A3970" s="11"/>
    </row>
    <row r="3971" spans="1:1" ht="15.75" x14ac:dyDescent="0.25">
      <c r="A3971" s="11"/>
    </row>
    <row r="3972" spans="1:1" ht="15.75" x14ac:dyDescent="0.25">
      <c r="A3972" s="11"/>
    </row>
    <row r="3973" spans="1:1" ht="15.75" x14ac:dyDescent="0.25">
      <c r="A3973" s="11"/>
    </row>
    <row r="3974" spans="1:1" ht="15.75" x14ac:dyDescent="0.25">
      <c r="A3974" s="11"/>
    </row>
    <row r="3975" spans="1:1" ht="15.75" x14ac:dyDescent="0.25">
      <c r="A3975" s="11"/>
    </row>
    <row r="3976" spans="1:1" ht="15.75" x14ac:dyDescent="0.25">
      <c r="A3976" s="11"/>
    </row>
    <row r="3977" spans="1:1" ht="15.75" x14ac:dyDescent="0.25">
      <c r="A3977" s="11"/>
    </row>
    <row r="3978" spans="1:1" ht="15.75" x14ac:dyDescent="0.25">
      <c r="A3978" s="11"/>
    </row>
    <row r="3979" spans="1:1" ht="15.75" x14ac:dyDescent="0.25">
      <c r="A3979" s="11"/>
    </row>
    <row r="3980" spans="1:1" ht="15.75" x14ac:dyDescent="0.25">
      <c r="A3980" s="11"/>
    </row>
    <row r="3981" spans="1:1" ht="15.75" x14ac:dyDescent="0.25">
      <c r="A3981" s="11"/>
    </row>
    <row r="3982" spans="1:1" ht="15.75" x14ac:dyDescent="0.25">
      <c r="A3982" s="11"/>
    </row>
    <row r="3983" spans="1:1" ht="15.75" x14ac:dyDescent="0.25">
      <c r="A3983" s="11"/>
    </row>
    <row r="3984" spans="1:1" ht="15.75" x14ac:dyDescent="0.25">
      <c r="A3984" s="11"/>
    </row>
    <row r="3985" spans="1:1" ht="15.75" x14ac:dyDescent="0.25">
      <c r="A3985" s="11"/>
    </row>
    <row r="3986" spans="1:1" ht="15.75" x14ac:dyDescent="0.25">
      <c r="A3986" s="11"/>
    </row>
    <row r="3987" spans="1:1" ht="15.75" x14ac:dyDescent="0.25">
      <c r="A3987" s="11"/>
    </row>
    <row r="3988" spans="1:1" ht="15.75" x14ac:dyDescent="0.25">
      <c r="A3988" s="11"/>
    </row>
    <row r="3989" spans="1:1" ht="15.75" x14ac:dyDescent="0.25">
      <c r="A3989" s="11"/>
    </row>
    <row r="3990" spans="1:1" ht="15.75" x14ac:dyDescent="0.25">
      <c r="A3990" s="11"/>
    </row>
    <row r="3991" spans="1:1" ht="15.75" x14ac:dyDescent="0.25">
      <c r="A3991" s="11"/>
    </row>
    <row r="3992" spans="1:1" ht="15.75" x14ac:dyDescent="0.25">
      <c r="A3992" s="11"/>
    </row>
    <row r="3993" spans="1:1" ht="15.75" x14ac:dyDescent="0.25">
      <c r="A3993" s="11"/>
    </row>
    <row r="3994" spans="1:1" ht="15.75" x14ac:dyDescent="0.25">
      <c r="A3994" s="11"/>
    </row>
    <row r="3995" spans="1:1" ht="15.75" x14ac:dyDescent="0.25">
      <c r="A3995" s="11"/>
    </row>
    <row r="3996" spans="1:1" ht="15.75" x14ac:dyDescent="0.25">
      <c r="A3996" s="11"/>
    </row>
    <row r="3997" spans="1:1" ht="15.75" x14ac:dyDescent="0.25">
      <c r="A3997" s="11"/>
    </row>
    <row r="3998" spans="1:1" ht="15.75" x14ac:dyDescent="0.25">
      <c r="A3998" s="11"/>
    </row>
    <row r="3999" spans="1:1" ht="15.75" x14ac:dyDescent="0.25">
      <c r="A3999" s="11"/>
    </row>
    <row r="4000" spans="1:1" ht="15.75" x14ac:dyDescent="0.25">
      <c r="A4000" s="11"/>
    </row>
    <row r="4001" spans="1:1" ht="15.75" x14ac:dyDescent="0.25">
      <c r="A4001" s="11"/>
    </row>
    <row r="4002" spans="1:1" ht="15.75" x14ac:dyDescent="0.25">
      <c r="A4002" s="11"/>
    </row>
    <row r="4003" spans="1:1" ht="15.75" x14ac:dyDescent="0.25">
      <c r="A4003" s="11"/>
    </row>
    <row r="4004" spans="1:1" ht="15.75" x14ac:dyDescent="0.25">
      <c r="A4004" s="11"/>
    </row>
    <row r="4005" spans="1:1" ht="15.75" x14ac:dyDescent="0.25">
      <c r="A4005" s="11"/>
    </row>
    <row r="4006" spans="1:1" ht="15.75" x14ac:dyDescent="0.25">
      <c r="A4006" s="11"/>
    </row>
    <row r="4007" spans="1:1" ht="15.75" x14ac:dyDescent="0.25">
      <c r="A4007" s="11"/>
    </row>
    <row r="4008" spans="1:1" ht="15.75" x14ac:dyDescent="0.25">
      <c r="A4008" s="11"/>
    </row>
    <row r="4009" spans="1:1" ht="15.75" x14ac:dyDescent="0.25">
      <c r="A4009" s="11"/>
    </row>
    <row r="4010" spans="1:1" ht="15.75" x14ac:dyDescent="0.25">
      <c r="A4010" s="11"/>
    </row>
    <row r="4011" spans="1:1" ht="15.75" x14ac:dyDescent="0.25">
      <c r="A4011" s="11"/>
    </row>
    <row r="4012" spans="1:1" ht="15.75" x14ac:dyDescent="0.25">
      <c r="A4012" s="11"/>
    </row>
    <row r="4013" spans="1:1" ht="15.75" x14ac:dyDescent="0.25">
      <c r="A4013" s="11"/>
    </row>
    <row r="4014" spans="1:1" ht="15.75" x14ac:dyDescent="0.25">
      <c r="A4014" s="11"/>
    </row>
    <row r="4015" spans="1:1" ht="15.75" x14ac:dyDescent="0.25">
      <c r="A4015" s="11"/>
    </row>
    <row r="4016" spans="1:1" ht="15.75" x14ac:dyDescent="0.25">
      <c r="A4016" s="11"/>
    </row>
    <row r="4017" spans="1:1" ht="15.75" x14ac:dyDescent="0.25">
      <c r="A4017" s="11"/>
    </row>
    <row r="4018" spans="1:1" ht="15.75" x14ac:dyDescent="0.25">
      <c r="A4018" s="11"/>
    </row>
    <row r="4019" spans="1:1" ht="15.75" x14ac:dyDescent="0.25">
      <c r="A4019" s="11"/>
    </row>
    <row r="4020" spans="1:1" ht="15.75" x14ac:dyDescent="0.25">
      <c r="A4020" s="11"/>
    </row>
    <row r="4021" spans="1:1" ht="15.75" x14ac:dyDescent="0.25">
      <c r="A4021" s="11"/>
    </row>
    <row r="4022" spans="1:1" ht="15.75" x14ac:dyDescent="0.25">
      <c r="A4022" s="11"/>
    </row>
    <row r="4023" spans="1:1" ht="15.75" x14ac:dyDescent="0.25">
      <c r="A4023" s="11"/>
    </row>
    <row r="4024" spans="1:1" ht="15.75" x14ac:dyDescent="0.25">
      <c r="A4024" s="11"/>
    </row>
    <row r="4025" spans="1:1" ht="15.75" x14ac:dyDescent="0.25">
      <c r="A4025" s="11"/>
    </row>
    <row r="4026" spans="1:1" ht="15.75" x14ac:dyDescent="0.25">
      <c r="A4026" s="11"/>
    </row>
    <row r="4027" spans="1:1" ht="15.75" x14ac:dyDescent="0.25">
      <c r="A4027" s="11"/>
    </row>
    <row r="4028" spans="1:1" ht="15.75" x14ac:dyDescent="0.25">
      <c r="A4028" s="11"/>
    </row>
    <row r="4029" spans="1:1" ht="15.75" x14ac:dyDescent="0.25">
      <c r="A4029" s="11"/>
    </row>
    <row r="4030" spans="1:1" ht="15.75" x14ac:dyDescent="0.25">
      <c r="A4030" s="11"/>
    </row>
    <row r="4031" spans="1:1" ht="15.75" x14ac:dyDescent="0.25">
      <c r="A4031" s="11"/>
    </row>
    <row r="4032" spans="1:1" ht="15.75" x14ac:dyDescent="0.25">
      <c r="A4032" s="11"/>
    </row>
    <row r="4033" spans="1:1" ht="15.75" x14ac:dyDescent="0.25">
      <c r="A4033" s="11"/>
    </row>
    <row r="4034" spans="1:1" ht="15.75" x14ac:dyDescent="0.25">
      <c r="A4034" s="11"/>
    </row>
    <row r="4035" spans="1:1" ht="15.75" x14ac:dyDescent="0.25">
      <c r="A4035" s="11"/>
    </row>
    <row r="4036" spans="1:1" ht="15.75" x14ac:dyDescent="0.25">
      <c r="A4036" s="11"/>
    </row>
    <row r="4037" spans="1:1" ht="15.75" x14ac:dyDescent="0.25">
      <c r="A4037" s="11"/>
    </row>
    <row r="4038" spans="1:1" ht="15.75" x14ac:dyDescent="0.25">
      <c r="A4038" s="11"/>
    </row>
    <row r="4039" spans="1:1" ht="15.75" x14ac:dyDescent="0.25">
      <c r="A4039" s="11"/>
    </row>
    <row r="4040" spans="1:1" ht="15.75" x14ac:dyDescent="0.25">
      <c r="A4040" s="11"/>
    </row>
    <row r="4041" spans="1:1" ht="15.75" x14ac:dyDescent="0.25">
      <c r="A4041" s="11"/>
    </row>
    <row r="4042" spans="1:1" ht="15.75" x14ac:dyDescent="0.25">
      <c r="A4042" s="11"/>
    </row>
    <row r="4043" spans="1:1" ht="15.75" x14ac:dyDescent="0.25">
      <c r="A4043" s="11"/>
    </row>
    <row r="4044" spans="1:1" ht="15.75" x14ac:dyDescent="0.25">
      <c r="A4044" s="11"/>
    </row>
    <row r="4045" spans="1:1" ht="15.75" x14ac:dyDescent="0.25">
      <c r="A4045" s="11"/>
    </row>
    <row r="4046" spans="1:1" ht="15.75" x14ac:dyDescent="0.25">
      <c r="A4046" s="11"/>
    </row>
    <row r="4047" spans="1:1" ht="15.75" x14ac:dyDescent="0.25">
      <c r="A4047" s="11"/>
    </row>
    <row r="4048" spans="1:1" ht="15.75" x14ac:dyDescent="0.25">
      <c r="A4048" s="11"/>
    </row>
    <row r="4049" spans="1:1" ht="15.75" x14ac:dyDescent="0.25">
      <c r="A4049" s="11"/>
    </row>
    <row r="4050" spans="1:1" ht="15.75" x14ac:dyDescent="0.25">
      <c r="A4050" s="11"/>
    </row>
    <row r="4051" spans="1:1" ht="15.75" x14ac:dyDescent="0.25">
      <c r="A4051" s="11"/>
    </row>
    <row r="4052" spans="1:1" ht="15.75" x14ac:dyDescent="0.25">
      <c r="A4052" s="11"/>
    </row>
    <row r="4053" spans="1:1" ht="15.75" x14ac:dyDescent="0.25">
      <c r="A4053" s="11"/>
    </row>
    <row r="4054" spans="1:1" ht="15.75" x14ac:dyDescent="0.25">
      <c r="A4054" s="11"/>
    </row>
    <row r="4055" spans="1:1" ht="15.75" x14ac:dyDescent="0.25">
      <c r="A4055" s="11"/>
    </row>
    <row r="4056" spans="1:1" ht="15.75" x14ac:dyDescent="0.25">
      <c r="A4056" s="11"/>
    </row>
    <row r="4057" spans="1:1" ht="15.75" x14ac:dyDescent="0.25">
      <c r="A4057" s="11"/>
    </row>
    <row r="4058" spans="1:1" ht="15.75" x14ac:dyDescent="0.25">
      <c r="A4058" s="11"/>
    </row>
    <row r="4059" spans="1:1" ht="15.75" x14ac:dyDescent="0.25">
      <c r="A4059" s="11"/>
    </row>
    <row r="4060" spans="1:1" ht="15.75" x14ac:dyDescent="0.25">
      <c r="A4060" s="11"/>
    </row>
    <row r="4061" spans="1:1" ht="15.75" x14ac:dyDescent="0.25">
      <c r="A4061" s="11"/>
    </row>
    <row r="4062" spans="1:1" ht="15.75" x14ac:dyDescent="0.25">
      <c r="A4062" s="11"/>
    </row>
    <row r="4063" spans="1:1" ht="15.75" x14ac:dyDescent="0.25">
      <c r="A4063" s="11"/>
    </row>
    <row r="4064" spans="1:1" ht="15.75" x14ac:dyDescent="0.25">
      <c r="A4064" s="11"/>
    </row>
    <row r="4065" spans="1:1" ht="15.75" x14ac:dyDescent="0.25">
      <c r="A4065" s="11"/>
    </row>
    <row r="4066" spans="1:1" ht="15.75" x14ac:dyDescent="0.25">
      <c r="A4066" s="11"/>
    </row>
    <row r="4067" spans="1:1" ht="15.75" x14ac:dyDescent="0.25">
      <c r="A4067" s="11"/>
    </row>
    <row r="4068" spans="1:1" ht="15.75" x14ac:dyDescent="0.25">
      <c r="A4068" s="11"/>
    </row>
    <row r="4069" spans="1:1" ht="15.75" x14ac:dyDescent="0.25">
      <c r="A4069" s="11"/>
    </row>
    <row r="4070" spans="1:1" ht="15.75" x14ac:dyDescent="0.25">
      <c r="A4070" s="11"/>
    </row>
    <row r="4071" spans="1:1" ht="15.75" x14ac:dyDescent="0.25">
      <c r="A4071" s="11"/>
    </row>
    <row r="4072" spans="1:1" ht="15.75" x14ac:dyDescent="0.25">
      <c r="A4072" s="11"/>
    </row>
    <row r="4073" spans="1:1" ht="15.75" x14ac:dyDescent="0.25">
      <c r="A4073" s="11"/>
    </row>
    <row r="4074" spans="1:1" ht="15.75" x14ac:dyDescent="0.25">
      <c r="A4074" s="11"/>
    </row>
    <row r="4075" spans="1:1" ht="15.75" x14ac:dyDescent="0.25">
      <c r="A4075" s="11"/>
    </row>
    <row r="4076" spans="1:1" ht="15.75" x14ac:dyDescent="0.25">
      <c r="A4076" s="11"/>
    </row>
    <row r="4077" spans="1:1" ht="15.75" x14ac:dyDescent="0.25">
      <c r="A4077" s="11"/>
    </row>
    <row r="4078" spans="1:1" ht="15.75" x14ac:dyDescent="0.25">
      <c r="A4078" s="11"/>
    </row>
    <row r="4079" spans="1:1" ht="15.75" x14ac:dyDescent="0.25">
      <c r="A4079" s="11"/>
    </row>
    <row r="4080" spans="1:1" ht="15.75" x14ac:dyDescent="0.25">
      <c r="A4080" s="11"/>
    </row>
    <row r="4081" spans="1:1" ht="15.75" x14ac:dyDescent="0.25">
      <c r="A4081" s="11"/>
    </row>
    <row r="4082" spans="1:1" ht="15.75" x14ac:dyDescent="0.25">
      <c r="A4082" s="11"/>
    </row>
    <row r="4083" spans="1:1" ht="15.75" x14ac:dyDescent="0.25">
      <c r="A4083" s="11"/>
    </row>
    <row r="4084" spans="1:1" ht="15.75" x14ac:dyDescent="0.25">
      <c r="A4084" s="11"/>
    </row>
    <row r="4085" spans="1:1" ht="15.75" x14ac:dyDescent="0.25">
      <c r="A4085" s="11"/>
    </row>
    <row r="4086" spans="1:1" ht="15.75" x14ac:dyDescent="0.25">
      <c r="A4086" s="11"/>
    </row>
    <row r="4087" spans="1:1" ht="15.75" x14ac:dyDescent="0.25">
      <c r="A4087" s="11"/>
    </row>
    <row r="4088" spans="1:1" ht="15.75" x14ac:dyDescent="0.25">
      <c r="A4088" s="11"/>
    </row>
    <row r="4089" spans="1:1" ht="15.75" x14ac:dyDescent="0.25">
      <c r="A4089" s="11"/>
    </row>
    <row r="4090" spans="1:1" ht="15.75" x14ac:dyDescent="0.25">
      <c r="A4090" s="11"/>
    </row>
    <row r="4091" spans="1:1" ht="15.75" x14ac:dyDescent="0.25">
      <c r="A4091" s="11"/>
    </row>
    <row r="4092" spans="1:1" ht="15.75" x14ac:dyDescent="0.25">
      <c r="A4092" s="11"/>
    </row>
    <row r="4093" spans="1:1" ht="15.75" x14ac:dyDescent="0.25">
      <c r="A4093" s="11"/>
    </row>
    <row r="4094" spans="1:1" ht="15.75" x14ac:dyDescent="0.25">
      <c r="A4094" s="11"/>
    </row>
    <row r="4095" spans="1:1" ht="15.75" x14ac:dyDescent="0.25">
      <c r="A4095" s="11"/>
    </row>
    <row r="4096" spans="1:1" ht="15.75" x14ac:dyDescent="0.25">
      <c r="A4096" s="11"/>
    </row>
    <row r="4097" spans="1:1" ht="15.75" x14ac:dyDescent="0.25">
      <c r="A4097" s="11"/>
    </row>
    <row r="4098" spans="1:1" ht="15.75" x14ac:dyDescent="0.25">
      <c r="A4098" s="11"/>
    </row>
    <row r="4099" spans="1:1" ht="15.75" x14ac:dyDescent="0.25">
      <c r="A4099" s="11"/>
    </row>
    <row r="4100" spans="1:1" ht="15.75" x14ac:dyDescent="0.25">
      <c r="A4100" s="11"/>
    </row>
    <row r="4101" spans="1:1" ht="15.75" x14ac:dyDescent="0.25">
      <c r="A4101" s="11"/>
    </row>
    <row r="4102" spans="1:1" ht="15.75" x14ac:dyDescent="0.25">
      <c r="A4102" s="11"/>
    </row>
    <row r="4103" spans="1:1" ht="15.75" x14ac:dyDescent="0.25">
      <c r="A4103" s="11"/>
    </row>
    <row r="4104" spans="1:1" ht="15.75" x14ac:dyDescent="0.25">
      <c r="A4104" s="11"/>
    </row>
    <row r="4105" spans="1:1" ht="15.75" x14ac:dyDescent="0.25">
      <c r="A4105" s="11"/>
    </row>
    <row r="4106" spans="1:1" ht="15.75" x14ac:dyDescent="0.25">
      <c r="A4106" s="11"/>
    </row>
    <row r="4107" spans="1:1" ht="15.75" x14ac:dyDescent="0.25">
      <c r="A4107" s="11"/>
    </row>
    <row r="4108" spans="1:1" ht="15.75" x14ac:dyDescent="0.25">
      <c r="A4108" s="11"/>
    </row>
    <row r="4109" spans="1:1" ht="15.75" x14ac:dyDescent="0.25">
      <c r="A4109" s="11"/>
    </row>
    <row r="4110" spans="1:1" ht="15.75" x14ac:dyDescent="0.25">
      <c r="A4110" s="11"/>
    </row>
    <row r="4111" spans="1:1" ht="15.75" x14ac:dyDescent="0.25">
      <c r="A4111" s="11"/>
    </row>
    <row r="4112" spans="1:1" ht="15.75" x14ac:dyDescent="0.25">
      <c r="A4112" s="11"/>
    </row>
    <row r="4113" spans="1:1" ht="15.75" x14ac:dyDescent="0.25">
      <c r="A4113" s="11"/>
    </row>
    <row r="4114" spans="1:1" ht="15.75" x14ac:dyDescent="0.25">
      <c r="A4114" s="11"/>
    </row>
    <row r="4115" spans="1:1" ht="15.75" x14ac:dyDescent="0.25">
      <c r="A4115" s="11"/>
    </row>
    <row r="4116" spans="1:1" ht="15.75" x14ac:dyDescent="0.25">
      <c r="A4116" s="11"/>
    </row>
    <row r="4117" spans="1:1" ht="15.75" x14ac:dyDescent="0.25">
      <c r="A4117" s="11"/>
    </row>
    <row r="4118" spans="1:1" ht="15.75" x14ac:dyDescent="0.25">
      <c r="A4118" s="11"/>
    </row>
    <row r="4119" spans="1:1" ht="15.75" x14ac:dyDescent="0.25">
      <c r="A4119" s="11"/>
    </row>
    <row r="4120" spans="1:1" ht="15.75" x14ac:dyDescent="0.25">
      <c r="A4120" s="11"/>
    </row>
    <row r="4121" spans="1:1" ht="15.75" x14ac:dyDescent="0.25">
      <c r="A4121" s="11"/>
    </row>
    <row r="4122" spans="1:1" ht="15.75" x14ac:dyDescent="0.25">
      <c r="A4122" s="11"/>
    </row>
    <row r="4123" spans="1:1" ht="15.75" x14ac:dyDescent="0.25">
      <c r="A4123" s="11"/>
    </row>
    <row r="4124" spans="1:1" ht="15.75" x14ac:dyDescent="0.25">
      <c r="A4124" s="11"/>
    </row>
    <row r="4125" spans="1:1" ht="15.75" x14ac:dyDescent="0.25">
      <c r="A4125" s="11"/>
    </row>
    <row r="4126" spans="1:1" ht="15.75" x14ac:dyDescent="0.25">
      <c r="A4126" s="11"/>
    </row>
    <row r="4127" spans="1:1" ht="15.75" x14ac:dyDescent="0.25">
      <c r="A4127" s="11"/>
    </row>
    <row r="4128" spans="1:1" ht="15.75" x14ac:dyDescent="0.25">
      <c r="A4128" s="11"/>
    </row>
    <row r="4129" spans="1:1" ht="15.75" x14ac:dyDescent="0.25">
      <c r="A4129" s="11"/>
    </row>
    <row r="4130" spans="1:1" ht="15.75" x14ac:dyDescent="0.25">
      <c r="A4130" s="11"/>
    </row>
    <row r="4131" spans="1:1" ht="15.75" x14ac:dyDescent="0.25">
      <c r="A4131" s="11"/>
    </row>
    <row r="4132" spans="1:1" ht="15.75" x14ac:dyDescent="0.25">
      <c r="A4132" s="11"/>
    </row>
    <row r="4133" spans="1:1" ht="15.75" x14ac:dyDescent="0.25">
      <c r="A4133" s="11"/>
    </row>
    <row r="4134" spans="1:1" ht="15.75" x14ac:dyDescent="0.25">
      <c r="A4134" s="11"/>
    </row>
    <row r="4135" spans="1:1" ht="15.75" x14ac:dyDescent="0.25">
      <c r="A4135" s="11"/>
    </row>
    <row r="4136" spans="1:1" ht="15.75" x14ac:dyDescent="0.25">
      <c r="A4136" s="11"/>
    </row>
    <row r="4137" spans="1:1" ht="15.75" x14ac:dyDescent="0.25">
      <c r="A4137" s="11"/>
    </row>
    <row r="4138" spans="1:1" ht="15.75" x14ac:dyDescent="0.25">
      <c r="A4138" s="11"/>
    </row>
    <row r="4139" spans="1:1" ht="15.75" x14ac:dyDescent="0.25">
      <c r="A4139" s="11"/>
    </row>
    <row r="4140" spans="1:1" ht="15.75" x14ac:dyDescent="0.25">
      <c r="A4140" s="11"/>
    </row>
    <row r="4141" spans="1:1" ht="15.75" x14ac:dyDescent="0.25">
      <c r="A4141" s="11"/>
    </row>
    <row r="4142" spans="1:1" ht="15.75" x14ac:dyDescent="0.25">
      <c r="A4142" s="11"/>
    </row>
    <row r="4143" spans="1:1" ht="15.75" x14ac:dyDescent="0.25">
      <c r="A4143" s="11"/>
    </row>
    <row r="4144" spans="1:1" ht="15.75" x14ac:dyDescent="0.25">
      <c r="A4144" s="11"/>
    </row>
    <row r="4145" spans="1:1" ht="15.75" x14ac:dyDescent="0.25">
      <c r="A4145" s="11"/>
    </row>
    <row r="4146" spans="1:1" ht="15.75" x14ac:dyDescent="0.25">
      <c r="A4146" s="11"/>
    </row>
    <row r="4147" spans="1:1" ht="15.75" x14ac:dyDescent="0.25">
      <c r="A4147" s="11"/>
    </row>
    <row r="4148" spans="1:1" ht="15.75" x14ac:dyDescent="0.25">
      <c r="A4148" s="11"/>
    </row>
    <row r="4149" spans="1:1" ht="15.75" x14ac:dyDescent="0.25">
      <c r="A4149" s="11"/>
    </row>
    <row r="4150" spans="1:1" ht="15.75" x14ac:dyDescent="0.25">
      <c r="A4150" s="11"/>
    </row>
    <row r="4151" spans="1:1" ht="15.75" x14ac:dyDescent="0.25">
      <c r="A4151" s="11"/>
    </row>
    <row r="4152" spans="1:1" ht="15.75" x14ac:dyDescent="0.25">
      <c r="A4152" s="11"/>
    </row>
    <row r="4153" spans="1:1" ht="15.75" x14ac:dyDescent="0.25">
      <c r="A4153" s="11"/>
    </row>
    <row r="4154" spans="1:1" ht="15.75" x14ac:dyDescent="0.25">
      <c r="A4154" s="11"/>
    </row>
    <row r="4155" spans="1:1" ht="15.75" x14ac:dyDescent="0.25">
      <c r="A4155" s="11"/>
    </row>
    <row r="4156" spans="1:1" ht="15.75" x14ac:dyDescent="0.25">
      <c r="A4156" s="11"/>
    </row>
    <row r="4157" spans="1:1" ht="15.75" x14ac:dyDescent="0.25">
      <c r="A4157" s="11"/>
    </row>
    <row r="4158" spans="1:1" ht="15.75" x14ac:dyDescent="0.25">
      <c r="A4158" s="11"/>
    </row>
    <row r="4159" spans="1:1" ht="15.75" x14ac:dyDescent="0.25">
      <c r="A4159" s="11"/>
    </row>
    <row r="4160" spans="1:1" ht="15.75" x14ac:dyDescent="0.25">
      <c r="A4160" s="11"/>
    </row>
    <row r="4161" spans="1:1" ht="15.75" x14ac:dyDescent="0.25">
      <c r="A4161" s="11"/>
    </row>
    <row r="4162" spans="1:1" ht="15.75" x14ac:dyDescent="0.25">
      <c r="A4162" s="11"/>
    </row>
    <row r="4163" spans="1:1" ht="15.75" x14ac:dyDescent="0.25">
      <c r="A4163" s="11"/>
    </row>
    <row r="4164" spans="1:1" ht="15.75" x14ac:dyDescent="0.25">
      <c r="A4164" s="11"/>
    </row>
    <row r="4165" spans="1:1" ht="15.75" x14ac:dyDescent="0.25">
      <c r="A4165" s="11"/>
    </row>
    <row r="4166" spans="1:1" ht="15.75" x14ac:dyDescent="0.25">
      <c r="A4166" s="11"/>
    </row>
    <row r="4167" spans="1:1" ht="15.75" x14ac:dyDescent="0.25">
      <c r="A4167" s="11"/>
    </row>
    <row r="4168" spans="1:1" ht="15.75" x14ac:dyDescent="0.25">
      <c r="A4168" s="11"/>
    </row>
    <row r="4169" spans="1:1" ht="15.75" x14ac:dyDescent="0.25">
      <c r="A4169" s="11"/>
    </row>
    <row r="4170" spans="1:1" ht="15.75" x14ac:dyDescent="0.25">
      <c r="A4170" s="11"/>
    </row>
    <row r="4171" spans="1:1" ht="15.75" x14ac:dyDescent="0.25">
      <c r="A4171" s="11"/>
    </row>
    <row r="4172" spans="1:1" ht="15.75" x14ac:dyDescent="0.25">
      <c r="A4172" s="11"/>
    </row>
    <row r="4173" spans="1:1" ht="15.75" x14ac:dyDescent="0.25">
      <c r="A4173" s="11"/>
    </row>
    <row r="4174" spans="1:1" ht="15.75" x14ac:dyDescent="0.25">
      <c r="A4174" s="11"/>
    </row>
    <row r="4175" spans="1:1" ht="15.75" x14ac:dyDescent="0.25">
      <c r="A4175" s="11"/>
    </row>
    <row r="4176" spans="1:1" ht="15.75" x14ac:dyDescent="0.25">
      <c r="A4176" s="11"/>
    </row>
    <row r="4177" spans="1:1" ht="15.75" x14ac:dyDescent="0.25">
      <c r="A4177" s="11"/>
    </row>
    <row r="4178" spans="1:1" ht="15.75" x14ac:dyDescent="0.25">
      <c r="A4178" s="11"/>
    </row>
    <row r="4179" spans="1:1" ht="15.75" x14ac:dyDescent="0.25">
      <c r="A4179" s="11"/>
    </row>
    <row r="4180" spans="1:1" ht="15.75" x14ac:dyDescent="0.25">
      <c r="A4180" s="11"/>
    </row>
    <row r="4181" spans="1:1" ht="15.75" x14ac:dyDescent="0.25">
      <c r="A4181" s="11"/>
    </row>
    <row r="4182" spans="1:1" ht="15.75" x14ac:dyDescent="0.25">
      <c r="A4182" s="11"/>
    </row>
    <row r="4183" spans="1:1" ht="15.75" x14ac:dyDescent="0.25">
      <c r="A4183" s="11"/>
    </row>
    <row r="4184" spans="1:1" ht="15.75" x14ac:dyDescent="0.25">
      <c r="A4184" s="11"/>
    </row>
    <row r="4185" spans="1:1" ht="15.75" x14ac:dyDescent="0.25">
      <c r="A4185" s="11"/>
    </row>
    <row r="4186" spans="1:1" ht="15.75" x14ac:dyDescent="0.25">
      <c r="A4186" s="11"/>
    </row>
    <row r="4187" spans="1:1" ht="15.75" x14ac:dyDescent="0.25">
      <c r="A4187" s="11"/>
    </row>
    <row r="4188" spans="1:1" ht="15.75" x14ac:dyDescent="0.25">
      <c r="A4188" s="11"/>
    </row>
    <row r="4189" spans="1:1" ht="15.75" x14ac:dyDescent="0.25">
      <c r="A4189" s="11"/>
    </row>
    <row r="4190" spans="1:1" ht="15.75" x14ac:dyDescent="0.25">
      <c r="A4190" s="11"/>
    </row>
    <row r="4191" spans="1:1" ht="15.75" x14ac:dyDescent="0.25">
      <c r="A4191" s="11"/>
    </row>
    <row r="4192" spans="1:1" ht="15.75" x14ac:dyDescent="0.25">
      <c r="A4192" s="11"/>
    </row>
    <row r="4193" spans="1:1" ht="15.75" x14ac:dyDescent="0.25">
      <c r="A4193" s="11"/>
    </row>
    <row r="4194" spans="1:1" ht="15.75" x14ac:dyDescent="0.25">
      <c r="A4194" s="11"/>
    </row>
    <row r="4195" spans="1:1" ht="15.75" x14ac:dyDescent="0.25">
      <c r="A4195" s="11"/>
    </row>
    <row r="4196" spans="1:1" ht="15.75" x14ac:dyDescent="0.25">
      <c r="A4196" s="11"/>
    </row>
    <row r="4197" spans="1:1" ht="15.75" x14ac:dyDescent="0.25">
      <c r="A4197" s="11"/>
    </row>
    <row r="4198" spans="1:1" ht="15.75" x14ac:dyDescent="0.25">
      <c r="A4198" s="11"/>
    </row>
    <row r="4199" spans="1:1" ht="15.75" x14ac:dyDescent="0.25">
      <c r="A4199" s="11"/>
    </row>
    <row r="4200" spans="1:1" ht="15.75" x14ac:dyDescent="0.25">
      <c r="A4200" s="11"/>
    </row>
    <row r="4201" spans="1:1" ht="15.75" x14ac:dyDescent="0.25">
      <c r="A4201" s="11"/>
    </row>
    <row r="4202" spans="1:1" ht="15.75" x14ac:dyDescent="0.25">
      <c r="A4202" s="11"/>
    </row>
    <row r="4203" spans="1:1" ht="15.75" x14ac:dyDescent="0.25">
      <c r="A4203" s="11"/>
    </row>
    <row r="4204" spans="1:1" ht="15.75" x14ac:dyDescent="0.25">
      <c r="A4204" s="11"/>
    </row>
    <row r="4205" spans="1:1" ht="15.75" x14ac:dyDescent="0.25">
      <c r="A4205" s="11"/>
    </row>
    <row r="4206" spans="1:1" ht="15.75" x14ac:dyDescent="0.25">
      <c r="A4206" s="11"/>
    </row>
    <row r="4207" spans="1:1" ht="15.75" x14ac:dyDescent="0.25">
      <c r="A4207" s="11"/>
    </row>
    <row r="4208" spans="1:1" ht="15.75" x14ac:dyDescent="0.25">
      <c r="A4208" s="11"/>
    </row>
    <row r="4209" spans="1:1" ht="15.75" x14ac:dyDescent="0.25">
      <c r="A4209" s="11"/>
    </row>
    <row r="4210" spans="1:1" ht="15.75" x14ac:dyDescent="0.25">
      <c r="A4210" s="11"/>
    </row>
    <row r="4211" spans="1:1" ht="15.75" x14ac:dyDescent="0.25">
      <c r="A4211" s="11"/>
    </row>
    <row r="4212" spans="1:1" ht="15.75" x14ac:dyDescent="0.25">
      <c r="A4212" s="11"/>
    </row>
    <row r="4213" spans="1:1" ht="15.75" x14ac:dyDescent="0.25">
      <c r="A4213" s="11"/>
    </row>
    <row r="4214" spans="1:1" ht="15.75" x14ac:dyDescent="0.25">
      <c r="A4214" s="11"/>
    </row>
    <row r="4215" spans="1:1" ht="15.75" x14ac:dyDescent="0.25">
      <c r="A4215" s="11"/>
    </row>
    <row r="4216" spans="1:1" ht="15.75" x14ac:dyDescent="0.25">
      <c r="A4216" s="11"/>
    </row>
    <row r="4217" spans="1:1" ht="15.75" x14ac:dyDescent="0.25">
      <c r="A4217" s="11"/>
    </row>
    <row r="4218" spans="1:1" ht="15.75" x14ac:dyDescent="0.25">
      <c r="A4218" s="11"/>
    </row>
    <row r="4219" spans="1:1" ht="15.75" x14ac:dyDescent="0.25">
      <c r="A4219" s="11"/>
    </row>
    <row r="4220" spans="1:1" ht="15.75" x14ac:dyDescent="0.25">
      <c r="A4220" s="11"/>
    </row>
    <row r="4221" spans="1:1" ht="15.75" x14ac:dyDescent="0.25">
      <c r="A4221" s="11"/>
    </row>
    <row r="4222" spans="1:1" ht="15.75" x14ac:dyDescent="0.25">
      <c r="A4222" s="11"/>
    </row>
    <row r="4223" spans="1:1" ht="15.75" x14ac:dyDescent="0.25">
      <c r="A4223" s="11"/>
    </row>
    <row r="4224" spans="1:1" ht="15.75" x14ac:dyDescent="0.25">
      <c r="A4224" s="11"/>
    </row>
    <row r="4225" spans="1:1" ht="15.75" x14ac:dyDescent="0.25">
      <c r="A4225" s="11"/>
    </row>
    <row r="4226" spans="1:1" ht="15.75" x14ac:dyDescent="0.25">
      <c r="A4226" s="11"/>
    </row>
    <row r="4227" spans="1:1" ht="15.75" x14ac:dyDescent="0.25">
      <c r="A4227" s="11"/>
    </row>
    <row r="4228" spans="1:1" ht="15.75" x14ac:dyDescent="0.25">
      <c r="A4228" s="11"/>
    </row>
    <row r="4229" spans="1:1" ht="15.75" x14ac:dyDescent="0.25">
      <c r="A4229" s="11"/>
    </row>
    <row r="4230" spans="1:1" ht="15.75" x14ac:dyDescent="0.25">
      <c r="A4230" s="11"/>
    </row>
    <row r="4231" spans="1:1" ht="15.75" x14ac:dyDescent="0.25">
      <c r="A4231" s="11"/>
    </row>
    <row r="4232" spans="1:1" ht="15.75" x14ac:dyDescent="0.25">
      <c r="A4232" s="11"/>
    </row>
    <row r="4233" spans="1:1" ht="15.75" x14ac:dyDescent="0.25">
      <c r="A4233" s="11"/>
    </row>
    <row r="4234" spans="1:1" ht="15.75" x14ac:dyDescent="0.25">
      <c r="A4234" s="11"/>
    </row>
    <row r="4235" spans="1:1" ht="15.75" x14ac:dyDescent="0.25">
      <c r="A4235" s="11"/>
    </row>
    <row r="4236" spans="1:1" ht="15.75" x14ac:dyDescent="0.25">
      <c r="A4236" s="11"/>
    </row>
    <row r="4237" spans="1:1" ht="15.75" x14ac:dyDescent="0.25">
      <c r="A4237" s="11"/>
    </row>
    <row r="4238" spans="1:1" ht="15.75" x14ac:dyDescent="0.25">
      <c r="A4238" s="11"/>
    </row>
    <row r="4239" spans="1:1" ht="15.75" x14ac:dyDescent="0.25">
      <c r="A4239" s="11"/>
    </row>
    <row r="4240" spans="1:1" ht="15.75" x14ac:dyDescent="0.25">
      <c r="A4240" s="11"/>
    </row>
    <row r="4241" spans="1:1" ht="15.75" x14ac:dyDescent="0.25">
      <c r="A4241" s="11"/>
    </row>
    <row r="4242" spans="1:1" ht="15.75" x14ac:dyDescent="0.25">
      <c r="A4242" s="11"/>
    </row>
    <row r="4243" spans="1:1" ht="15.75" x14ac:dyDescent="0.25">
      <c r="A4243" s="11"/>
    </row>
    <row r="4244" spans="1:1" ht="15.75" x14ac:dyDescent="0.25">
      <c r="A4244" s="11"/>
    </row>
    <row r="4245" spans="1:1" ht="15.75" x14ac:dyDescent="0.25">
      <c r="A4245" s="11"/>
    </row>
    <row r="4246" spans="1:1" ht="15.75" x14ac:dyDescent="0.25">
      <c r="A4246" s="11"/>
    </row>
    <row r="4247" spans="1:1" ht="15.75" x14ac:dyDescent="0.25">
      <c r="A4247" s="11"/>
    </row>
    <row r="4248" spans="1:1" ht="15.75" x14ac:dyDescent="0.25">
      <c r="A4248" s="11"/>
    </row>
    <row r="4249" spans="1:1" ht="15.75" x14ac:dyDescent="0.25">
      <c r="A4249" s="11"/>
    </row>
    <row r="4250" spans="1:1" ht="15.75" x14ac:dyDescent="0.25">
      <c r="A4250" s="11"/>
    </row>
    <row r="4251" spans="1:1" ht="15.75" x14ac:dyDescent="0.25">
      <c r="A4251" s="11"/>
    </row>
    <row r="4252" spans="1:1" ht="15.75" x14ac:dyDescent="0.25">
      <c r="A4252" s="11"/>
    </row>
    <row r="4253" spans="1:1" ht="15.75" x14ac:dyDescent="0.25">
      <c r="A4253" s="11"/>
    </row>
    <row r="4254" spans="1:1" ht="15.75" x14ac:dyDescent="0.25">
      <c r="A4254" s="11"/>
    </row>
    <row r="4255" spans="1:1" ht="15.75" x14ac:dyDescent="0.25">
      <c r="A4255" s="11"/>
    </row>
    <row r="4256" spans="1:1" ht="15.75" x14ac:dyDescent="0.25">
      <c r="A4256" s="11"/>
    </row>
    <row r="4257" spans="1:1" ht="15.75" x14ac:dyDescent="0.25">
      <c r="A4257" s="11"/>
    </row>
    <row r="4258" spans="1:1" ht="15.75" x14ac:dyDescent="0.25">
      <c r="A4258" s="11"/>
    </row>
    <row r="4259" spans="1:1" ht="15.75" x14ac:dyDescent="0.25">
      <c r="A4259" s="11"/>
    </row>
    <row r="4260" spans="1:1" ht="15.75" x14ac:dyDescent="0.25">
      <c r="A4260" s="11"/>
    </row>
    <row r="4261" spans="1:1" ht="15.75" x14ac:dyDescent="0.25">
      <c r="A4261" s="11"/>
    </row>
    <row r="4262" spans="1:1" ht="15.75" x14ac:dyDescent="0.25">
      <c r="A4262" s="11"/>
    </row>
    <row r="4263" spans="1:1" ht="15.75" x14ac:dyDescent="0.25">
      <c r="A4263" s="11"/>
    </row>
    <row r="4264" spans="1:1" ht="15.75" x14ac:dyDescent="0.25">
      <c r="A4264" s="11"/>
    </row>
    <row r="4265" spans="1:1" ht="15.75" x14ac:dyDescent="0.25">
      <c r="A4265" s="11"/>
    </row>
    <row r="4266" spans="1:1" ht="15.75" x14ac:dyDescent="0.25">
      <c r="A4266" s="11"/>
    </row>
    <row r="4267" spans="1:1" ht="15.75" x14ac:dyDescent="0.25">
      <c r="A4267" s="11"/>
    </row>
    <row r="4268" spans="1:1" ht="15.75" x14ac:dyDescent="0.25">
      <c r="A4268" s="11"/>
    </row>
    <row r="4269" spans="1:1" ht="15.75" x14ac:dyDescent="0.25">
      <c r="A4269" s="11"/>
    </row>
    <row r="4270" spans="1:1" ht="15.75" x14ac:dyDescent="0.25">
      <c r="A4270" s="11"/>
    </row>
    <row r="4271" spans="1:1" ht="15.75" x14ac:dyDescent="0.25">
      <c r="A4271" s="11"/>
    </row>
    <row r="4272" spans="1:1" ht="15.75" x14ac:dyDescent="0.25">
      <c r="A4272" s="11"/>
    </row>
    <row r="4273" spans="1:1" ht="15.75" x14ac:dyDescent="0.25">
      <c r="A4273" s="11"/>
    </row>
    <row r="4274" spans="1:1" ht="15.75" x14ac:dyDescent="0.25">
      <c r="A4274" s="11"/>
    </row>
    <row r="4275" spans="1:1" ht="15.75" x14ac:dyDescent="0.25">
      <c r="A4275" s="11"/>
    </row>
    <row r="4276" spans="1:1" ht="15.75" x14ac:dyDescent="0.25">
      <c r="A4276" s="11"/>
    </row>
    <row r="4277" spans="1:1" ht="15.75" x14ac:dyDescent="0.25">
      <c r="A4277" s="11"/>
    </row>
    <row r="4278" spans="1:1" ht="15.75" x14ac:dyDescent="0.25">
      <c r="A4278" s="11"/>
    </row>
    <row r="4279" spans="1:1" ht="15.75" x14ac:dyDescent="0.25">
      <c r="A4279" s="11"/>
    </row>
    <row r="4280" spans="1:1" ht="15.75" x14ac:dyDescent="0.25">
      <c r="A4280" s="11"/>
    </row>
    <row r="4281" spans="1:1" ht="15.75" x14ac:dyDescent="0.25">
      <c r="A4281" s="11"/>
    </row>
    <row r="4282" spans="1:1" ht="15.75" x14ac:dyDescent="0.25">
      <c r="A4282" s="11"/>
    </row>
    <row r="4283" spans="1:1" ht="15.75" x14ac:dyDescent="0.25">
      <c r="A4283" s="11"/>
    </row>
    <row r="4284" spans="1:1" ht="15.75" x14ac:dyDescent="0.25">
      <c r="A4284" s="11"/>
    </row>
    <row r="4285" spans="1:1" ht="15.75" x14ac:dyDescent="0.25">
      <c r="A4285" s="11"/>
    </row>
    <row r="4286" spans="1:1" ht="15.75" x14ac:dyDescent="0.25">
      <c r="A4286" s="11"/>
    </row>
    <row r="4287" spans="1:1" ht="15.75" x14ac:dyDescent="0.25">
      <c r="A4287" s="11"/>
    </row>
    <row r="4288" spans="1:1" ht="15.75" x14ac:dyDescent="0.25">
      <c r="A4288" s="11"/>
    </row>
    <row r="4289" spans="1:1" ht="15.75" x14ac:dyDescent="0.25">
      <c r="A4289" s="11"/>
    </row>
    <row r="4290" spans="1:1" ht="15.75" x14ac:dyDescent="0.25">
      <c r="A4290" s="11"/>
    </row>
    <row r="4291" spans="1:1" ht="15.75" x14ac:dyDescent="0.25">
      <c r="A4291" s="11"/>
    </row>
    <row r="4292" spans="1:1" ht="15.75" x14ac:dyDescent="0.25">
      <c r="A4292" s="11"/>
    </row>
    <row r="4293" spans="1:1" ht="15.75" x14ac:dyDescent="0.25">
      <c r="A4293" s="11"/>
    </row>
    <row r="4294" spans="1:1" ht="15.75" x14ac:dyDescent="0.25">
      <c r="A4294" s="11"/>
    </row>
    <row r="4295" spans="1:1" ht="15.75" x14ac:dyDescent="0.25">
      <c r="A4295" s="11"/>
    </row>
    <row r="4296" spans="1:1" ht="15.75" x14ac:dyDescent="0.25">
      <c r="A4296" s="11"/>
    </row>
    <row r="4297" spans="1:1" ht="15.75" x14ac:dyDescent="0.25">
      <c r="A4297" s="11"/>
    </row>
    <row r="4298" spans="1:1" ht="15.75" x14ac:dyDescent="0.25">
      <c r="A4298" s="11"/>
    </row>
    <row r="4299" spans="1:1" ht="15.75" x14ac:dyDescent="0.25">
      <c r="A4299" s="11"/>
    </row>
    <row r="4300" spans="1:1" ht="15.75" x14ac:dyDescent="0.25">
      <c r="A4300" s="11"/>
    </row>
    <row r="4301" spans="1:1" ht="15.75" x14ac:dyDescent="0.25">
      <c r="A4301" s="11"/>
    </row>
    <row r="4302" spans="1:1" ht="15.75" x14ac:dyDescent="0.25">
      <c r="A4302" s="11"/>
    </row>
    <row r="4303" spans="1:1" ht="15.75" x14ac:dyDescent="0.25">
      <c r="A4303" s="11"/>
    </row>
    <row r="4304" spans="1:1" ht="15.75" x14ac:dyDescent="0.25">
      <c r="A4304" s="11"/>
    </row>
    <row r="4305" spans="1:1" ht="15.75" x14ac:dyDescent="0.25">
      <c r="A4305" s="11"/>
    </row>
    <row r="4306" spans="1:1" ht="15.75" x14ac:dyDescent="0.25">
      <c r="A4306" s="11"/>
    </row>
    <row r="4307" spans="1:1" ht="15.75" x14ac:dyDescent="0.25">
      <c r="A4307" s="11"/>
    </row>
    <row r="4308" spans="1:1" ht="15.75" x14ac:dyDescent="0.25">
      <c r="A4308" s="11"/>
    </row>
    <row r="4309" spans="1:1" ht="15.75" x14ac:dyDescent="0.25">
      <c r="A4309" s="11"/>
    </row>
    <row r="4310" spans="1:1" ht="15.75" x14ac:dyDescent="0.25">
      <c r="A4310" s="11"/>
    </row>
    <row r="4311" spans="1:1" ht="15.75" x14ac:dyDescent="0.25">
      <c r="A4311" s="11"/>
    </row>
    <row r="4312" spans="1:1" ht="15.75" x14ac:dyDescent="0.25">
      <c r="A4312" s="11"/>
    </row>
    <row r="4313" spans="1:1" ht="15.75" x14ac:dyDescent="0.25">
      <c r="A4313" s="11"/>
    </row>
    <row r="4314" spans="1:1" ht="15.75" x14ac:dyDescent="0.25">
      <c r="A4314" s="11"/>
    </row>
    <row r="4315" spans="1:1" ht="15.75" x14ac:dyDescent="0.25">
      <c r="A4315" s="11"/>
    </row>
    <row r="4316" spans="1:1" ht="15.75" x14ac:dyDescent="0.25">
      <c r="A4316" s="11"/>
    </row>
    <row r="4317" spans="1:1" ht="15.75" x14ac:dyDescent="0.25">
      <c r="A4317" s="11"/>
    </row>
    <row r="4318" spans="1:1" ht="15.75" x14ac:dyDescent="0.25">
      <c r="A4318" s="11"/>
    </row>
    <row r="4319" spans="1:1" ht="15.75" x14ac:dyDescent="0.25">
      <c r="A4319" s="11"/>
    </row>
    <row r="4320" spans="1:1" ht="15.75" x14ac:dyDescent="0.25">
      <c r="A4320" s="11"/>
    </row>
    <row r="4321" spans="1:1" ht="15.75" x14ac:dyDescent="0.25">
      <c r="A4321" s="11"/>
    </row>
    <row r="4322" spans="1:1" ht="15.75" x14ac:dyDescent="0.25">
      <c r="A4322" s="11"/>
    </row>
    <row r="4323" spans="1:1" ht="15.75" x14ac:dyDescent="0.25">
      <c r="A4323" s="11"/>
    </row>
    <row r="4324" spans="1:1" ht="15.75" x14ac:dyDescent="0.25">
      <c r="A4324" s="11"/>
    </row>
    <row r="4325" spans="1:1" ht="15.75" x14ac:dyDescent="0.25">
      <c r="A4325" s="11"/>
    </row>
    <row r="4326" spans="1:1" ht="15.75" x14ac:dyDescent="0.25">
      <c r="A4326" s="11"/>
    </row>
    <row r="4327" spans="1:1" ht="15.75" x14ac:dyDescent="0.25">
      <c r="A4327" s="11"/>
    </row>
    <row r="4328" spans="1:1" ht="15.75" x14ac:dyDescent="0.25">
      <c r="A4328" s="11"/>
    </row>
    <row r="4329" spans="1:1" ht="15.75" x14ac:dyDescent="0.25">
      <c r="A4329" s="11"/>
    </row>
    <row r="4330" spans="1:1" ht="15.75" x14ac:dyDescent="0.25">
      <c r="A4330" s="11"/>
    </row>
    <row r="4331" spans="1:1" ht="15.75" x14ac:dyDescent="0.25">
      <c r="A4331" s="11"/>
    </row>
    <row r="4332" spans="1:1" ht="15.75" x14ac:dyDescent="0.25">
      <c r="A4332" s="11"/>
    </row>
    <row r="4333" spans="1:1" ht="15.75" x14ac:dyDescent="0.25">
      <c r="A4333" s="11"/>
    </row>
    <row r="4334" spans="1:1" ht="15.75" x14ac:dyDescent="0.25">
      <c r="A4334" s="11"/>
    </row>
    <row r="4335" spans="1:1" ht="15.75" x14ac:dyDescent="0.25">
      <c r="A4335" s="11"/>
    </row>
    <row r="4336" spans="1:1" ht="15.75" x14ac:dyDescent="0.25">
      <c r="A4336" s="11"/>
    </row>
    <row r="4337" spans="1:1" ht="15.75" x14ac:dyDescent="0.25">
      <c r="A4337" s="11"/>
    </row>
    <row r="4338" spans="1:1" ht="15.75" x14ac:dyDescent="0.25">
      <c r="A4338" s="11"/>
    </row>
    <row r="4339" spans="1:1" ht="15.75" x14ac:dyDescent="0.25">
      <c r="A4339" s="11"/>
    </row>
    <row r="4340" spans="1:1" ht="15.75" x14ac:dyDescent="0.25">
      <c r="A4340" s="11"/>
    </row>
    <row r="4341" spans="1:1" ht="15.75" x14ac:dyDescent="0.25">
      <c r="A4341" s="11"/>
    </row>
    <row r="4342" spans="1:1" ht="15.75" x14ac:dyDescent="0.25">
      <c r="A4342" s="11"/>
    </row>
    <row r="4343" spans="1:1" ht="15.75" x14ac:dyDescent="0.25">
      <c r="A4343" s="11"/>
    </row>
    <row r="4344" spans="1:1" ht="15.75" x14ac:dyDescent="0.25">
      <c r="A4344" s="11"/>
    </row>
    <row r="4345" spans="1:1" ht="15.75" x14ac:dyDescent="0.25">
      <c r="A4345" s="11"/>
    </row>
    <row r="4346" spans="1:1" ht="15.75" x14ac:dyDescent="0.25">
      <c r="A4346" s="11"/>
    </row>
    <row r="4347" spans="1:1" ht="15.75" x14ac:dyDescent="0.25">
      <c r="A4347" s="11"/>
    </row>
    <row r="4348" spans="1:1" ht="15.75" x14ac:dyDescent="0.25">
      <c r="A4348" s="11"/>
    </row>
    <row r="4349" spans="1:1" ht="15.75" x14ac:dyDescent="0.25">
      <c r="A4349" s="11"/>
    </row>
    <row r="4350" spans="1:1" ht="15.75" x14ac:dyDescent="0.25">
      <c r="A4350" s="11"/>
    </row>
    <row r="4351" spans="1:1" ht="15.75" x14ac:dyDescent="0.25">
      <c r="A4351" s="11"/>
    </row>
    <row r="4352" spans="1:1" ht="15.75" x14ac:dyDescent="0.25">
      <c r="A4352" s="11"/>
    </row>
    <row r="4353" spans="1:1" ht="15.75" x14ac:dyDescent="0.25">
      <c r="A4353" s="11"/>
    </row>
    <row r="4354" spans="1:1" ht="15.75" x14ac:dyDescent="0.25">
      <c r="A4354" s="11"/>
    </row>
    <row r="4355" spans="1:1" ht="15.75" x14ac:dyDescent="0.25">
      <c r="A4355" s="11"/>
    </row>
    <row r="4356" spans="1:1" ht="15.75" x14ac:dyDescent="0.25">
      <c r="A4356" s="11"/>
    </row>
    <row r="4357" spans="1:1" ht="15.75" x14ac:dyDescent="0.25">
      <c r="A4357" s="11"/>
    </row>
    <row r="4358" spans="1:1" ht="15.75" x14ac:dyDescent="0.25">
      <c r="A4358" s="11"/>
    </row>
    <row r="4359" spans="1:1" ht="15.75" x14ac:dyDescent="0.25">
      <c r="A4359" s="11"/>
    </row>
    <row r="4360" spans="1:1" ht="15.75" x14ac:dyDescent="0.25">
      <c r="A4360" s="11"/>
    </row>
    <row r="4361" spans="1:1" ht="15.75" x14ac:dyDescent="0.25">
      <c r="A4361" s="11"/>
    </row>
    <row r="4362" spans="1:1" ht="15.75" x14ac:dyDescent="0.25">
      <c r="A4362" s="11"/>
    </row>
    <row r="4363" spans="1:1" ht="15.75" x14ac:dyDescent="0.25">
      <c r="A4363" s="11"/>
    </row>
    <row r="4364" spans="1:1" ht="15.75" x14ac:dyDescent="0.25">
      <c r="A4364" s="11"/>
    </row>
    <row r="4365" spans="1:1" ht="15.75" x14ac:dyDescent="0.25">
      <c r="A4365" s="11"/>
    </row>
    <row r="4366" spans="1:1" ht="15.75" x14ac:dyDescent="0.25">
      <c r="A4366" s="11"/>
    </row>
    <row r="4367" spans="1:1" ht="15.75" x14ac:dyDescent="0.25">
      <c r="A4367" s="11"/>
    </row>
    <row r="4368" spans="1:1" ht="15.75" x14ac:dyDescent="0.25">
      <c r="A4368" s="11"/>
    </row>
    <row r="4369" spans="1:1" ht="15.75" x14ac:dyDescent="0.25">
      <c r="A4369" s="11"/>
    </row>
    <row r="4370" spans="1:1" ht="15.75" x14ac:dyDescent="0.25">
      <c r="A4370" s="11"/>
    </row>
    <row r="4371" spans="1:1" ht="15.75" x14ac:dyDescent="0.25">
      <c r="A4371" s="11"/>
    </row>
    <row r="4372" spans="1:1" ht="15.75" x14ac:dyDescent="0.25">
      <c r="A4372" s="11"/>
    </row>
    <row r="4373" spans="1:1" ht="15.75" x14ac:dyDescent="0.25">
      <c r="A4373" s="11"/>
    </row>
    <row r="4374" spans="1:1" ht="15.75" x14ac:dyDescent="0.25">
      <c r="A4374" s="11"/>
    </row>
    <row r="4375" spans="1:1" ht="15.75" x14ac:dyDescent="0.25">
      <c r="A4375" s="11"/>
    </row>
    <row r="4376" spans="1:1" ht="15.75" x14ac:dyDescent="0.25">
      <c r="A4376" s="11"/>
    </row>
    <row r="4377" spans="1:1" ht="15.75" x14ac:dyDescent="0.25">
      <c r="A4377" s="11"/>
    </row>
    <row r="4378" spans="1:1" ht="15.75" x14ac:dyDescent="0.25">
      <c r="A4378" s="11"/>
    </row>
    <row r="4379" spans="1:1" ht="15.75" x14ac:dyDescent="0.25">
      <c r="A4379" s="11"/>
    </row>
    <row r="4380" spans="1:1" ht="15.75" x14ac:dyDescent="0.25">
      <c r="A4380" s="11"/>
    </row>
    <row r="4381" spans="1:1" ht="15.75" x14ac:dyDescent="0.25">
      <c r="A4381" s="11"/>
    </row>
    <row r="4382" spans="1:1" ht="15.75" x14ac:dyDescent="0.25">
      <c r="A4382" s="11"/>
    </row>
    <row r="4383" spans="1:1" ht="15.75" x14ac:dyDescent="0.25">
      <c r="A4383" s="11"/>
    </row>
    <row r="4384" spans="1:1" ht="15.75" x14ac:dyDescent="0.25">
      <c r="A4384" s="11"/>
    </row>
    <row r="4385" spans="1:1" ht="15.75" x14ac:dyDescent="0.25">
      <c r="A4385" s="11"/>
    </row>
    <row r="4386" spans="1:1" ht="15.75" x14ac:dyDescent="0.25">
      <c r="A4386" s="11"/>
    </row>
    <row r="4387" spans="1:1" ht="15.75" x14ac:dyDescent="0.25">
      <c r="A4387" s="11"/>
    </row>
    <row r="4388" spans="1:1" ht="15.75" x14ac:dyDescent="0.25">
      <c r="A4388" s="11"/>
    </row>
    <row r="4389" spans="1:1" ht="15.75" x14ac:dyDescent="0.25">
      <c r="A4389" s="11"/>
    </row>
    <row r="4390" spans="1:1" ht="15.75" x14ac:dyDescent="0.25">
      <c r="A4390" s="11"/>
    </row>
    <row r="4391" spans="1:1" ht="15.75" x14ac:dyDescent="0.25">
      <c r="A4391" s="11"/>
    </row>
    <row r="4392" spans="1:1" ht="15.75" x14ac:dyDescent="0.25">
      <c r="A4392" s="11"/>
    </row>
    <row r="4393" spans="1:1" ht="15.75" x14ac:dyDescent="0.25">
      <c r="A4393" s="11"/>
    </row>
    <row r="4394" spans="1:1" ht="15.75" x14ac:dyDescent="0.25">
      <c r="A4394" s="11"/>
    </row>
    <row r="4395" spans="1:1" ht="15.75" x14ac:dyDescent="0.25">
      <c r="A4395" s="11"/>
    </row>
    <row r="4396" spans="1:1" ht="15.75" x14ac:dyDescent="0.25">
      <c r="A4396" s="11"/>
    </row>
    <row r="4397" spans="1:1" ht="15.75" x14ac:dyDescent="0.25">
      <c r="A4397" s="11"/>
    </row>
    <row r="4398" spans="1:1" ht="15.75" x14ac:dyDescent="0.25">
      <c r="A4398" s="11"/>
    </row>
    <row r="4399" spans="1:1" ht="15.75" x14ac:dyDescent="0.25">
      <c r="A4399" s="11"/>
    </row>
    <row r="4400" spans="1:1" ht="15.75" x14ac:dyDescent="0.25">
      <c r="A4400" s="11"/>
    </row>
    <row r="4401" spans="1:1" ht="15.75" x14ac:dyDescent="0.25">
      <c r="A4401" s="11"/>
    </row>
    <row r="4402" spans="1:1" ht="15.75" x14ac:dyDescent="0.25">
      <c r="A4402" s="11"/>
    </row>
    <row r="4403" spans="1:1" ht="15.75" x14ac:dyDescent="0.25">
      <c r="A4403" s="11"/>
    </row>
    <row r="4404" spans="1:1" ht="15.75" x14ac:dyDescent="0.25">
      <c r="A4404" s="11"/>
    </row>
    <row r="4405" spans="1:1" ht="15.75" x14ac:dyDescent="0.25">
      <c r="A4405" s="11"/>
    </row>
    <row r="4406" spans="1:1" ht="15.75" x14ac:dyDescent="0.25">
      <c r="A4406" s="11"/>
    </row>
    <row r="4407" spans="1:1" ht="15.75" x14ac:dyDescent="0.25">
      <c r="A4407" s="11"/>
    </row>
    <row r="4408" spans="1:1" ht="15.75" x14ac:dyDescent="0.25">
      <c r="A4408" s="11"/>
    </row>
    <row r="4409" spans="1:1" ht="15.75" x14ac:dyDescent="0.25">
      <c r="A4409" s="11"/>
    </row>
    <row r="4410" spans="1:1" ht="15.75" x14ac:dyDescent="0.25">
      <c r="A4410" s="11"/>
    </row>
    <row r="4411" spans="1:1" ht="15.75" x14ac:dyDescent="0.25">
      <c r="A4411" s="11"/>
    </row>
    <row r="4412" spans="1:1" ht="15.75" x14ac:dyDescent="0.25">
      <c r="A4412" s="11"/>
    </row>
    <row r="4413" spans="1:1" ht="15.75" x14ac:dyDescent="0.25">
      <c r="A4413" s="11"/>
    </row>
    <row r="4414" spans="1:1" ht="15.75" x14ac:dyDescent="0.25">
      <c r="A4414" s="11"/>
    </row>
    <row r="4415" spans="1:1" ht="15.75" x14ac:dyDescent="0.25">
      <c r="A4415" s="11"/>
    </row>
    <row r="4416" spans="1:1" ht="15.75" x14ac:dyDescent="0.25">
      <c r="A4416" s="11"/>
    </row>
    <row r="4417" spans="1:1" ht="15.75" x14ac:dyDescent="0.25">
      <c r="A4417" s="11"/>
    </row>
    <row r="4418" spans="1:1" ht="15.75" x14ac:dyDescent="0.25">
      <c r="A4418" s="11"/>
    </row>
    <row r="4419" spans="1:1" ht="15.75" x14ac:dyDescent="0.25">
      <c r="A4419" s="11"/>
    </row>
    <row r="4420" spans="1:1" ht="15.75" x14ac:dyDescent="0.25">
      <c r="A4420" s="11"/>
    </row>
    <row r="4421" spans="1:1" ht="15.75" x14ac:dyDescent="0.25">
      <c r="A4421" s="11"/>
    </row>
    <row r="4422" spans="1:1" ht="15.75" x14ac:dyDescent="0.25">
      <c r="A4422" s="11"/>
    </row>
    <row r="4423" spans="1:1" ht="15.75" x14ac:dyDescent="0.25">
      <c r="A4423" s="11"/>
    </row>
    <row r="4424" spans="1:1" ht="15.75" x14ac:dyDescent="0.25">
      <c r="A4424" s="11"/>
    </row>
    <row r="4425" spans="1:1" ht="15.75" x14ac:dyDescent="0.25">
      <c r="A4425" s="11"/>
    </row>
    <row r="4426" spans="1:1" ht="15.75" x14ac:dyDescent="0.25">
      <c r="A4426" s="11"/>
    </row>
    <row r="4427" spans="1:1" ht="15.75" x14ac:dyDescent="0.25">
      <c r="A4427" s="11"/>
    </row>
    <row r="4428" spans="1:1" ht="15.75" x14ac:dyDescent="0.25">
      <c r="A4428" s="11"/>
    </row>
    <row r="4429" spans="1:1" ht="15.75" x14ac:dyDescent="0.25">
      <c r="A4429" s="11"/>
    </row>
    <row r="4430" spans="1:1" ht="15.75" x14ac:dyDescent="0.25">
      <c r="A4430" s="11"/>
    </row>
    <row r="4431" spans="1:1" ht="15.75" x14ac:dyDescent="0.25">
      <c r="A4431" s="11"/>
    </row>
    <row r="4432" spans="1:1" ht="15.75" x14ac:dyDescent="0.25">
      <c r="A4432" s="11"/>
    </row>
    <row r="4433" spans="1:1" ht="15.75" x14ac:dyDescent="0.25">
      <c r="A4433" s="11"/>
    </row>
    <row r="4434" spans="1:1" ht="15.75" x14ac:dyDescent="0.25">
      <c r="A4434" s="11"/>
    </row>
    <row r="4435" spans="1:1" ht="15.75" x14ac:dyDescent="0.25">
      <c r="A4435" s="11"/>
    </row>
    <row r="4436" spans="1:1" ht="15.75" x14ac:dyDescent="0.25">
      <c r="A4436" s="11"/>
    </row>
    <row r="4437" spans="1:1" ht="15.75" x14ac:dyDescent="0.25">
      <c r="A4437" s="11"/>
    </row>
    <row r="4438" spans="1:1" ht="15.75" x14ac:dyDescent="0.25">
      <c r="A4438" s="11"/>
    </row>
    <row r="4439" spans="1:1" ht="15.75" x14ac:dyDescent="0.25">
      <c r="A4439" s="11"/>
    </row>
    <row r="4440" spans="1:1" ht="15.75" x14ac:dyDescent="0.25">
      <c r="A4440" s="11"/>
    </row>
    <row r="4441" spans="1:1" ht="15.75" x14ac:dyDescent="0.25">
      <c r="A4441" s="11"/>
    </row>
    <row r="4442" spans="1:1" ht="15.75" x14ac:dyDescent="0.25">
      <c r="A4442" s="11"/>
    </row>
    <row r="4443" spans="1:1" ht="15.75" x14ac:dyDescent="0.25">
      <c r="A4443" s="11"/>
    </row>
    <row r="4444" spans="1:1" ht="15.75" x14ac:dyDescent="0.25">
      <c r="A4444" s="11"/>
    </row>
    <row r="4445" spans="1:1" ht="15.75" x14ac:dyDescent="0.25">
      <c r="A4445" s="11"/>
    </row>
    <row r="4446" spans="1:1" ht="15.75" x14ac:dyDescent="0.25">
      <c r="A4446" s="11"/>
    </row>
    <row r="4447" spans="1:1" ht="15.75" x14ac:dyDescent="0.25">
      <c r="A4447" s="11"/>
    </row>
    <row r="4448" spans="1:1" ht="15.75" x14ac:dyDescent="0.25">
      <c r="A4448" s="11"/>
    </row>
    <row r="4449" spans="1:1" ht="15.75" x14ac:dyDescent="0.25">
      <c r="A4449" s="11"/>
    </row>
    <row r="4450" spans="1:1" ht="15.75" x14ac:dyDescent="0.25">
      <c r="A4450" s="11"/>
    </row>
    <row r="4451" spans="1:1" ht="15.75" x14ac:dyDescent="0.25">
      <c r="A4451" s="11"/>
    </row>
    <row r="4452" spans="1:1" ht="15.75" x14ac:dyDescent="0.25">
      <c r="A4452" s="11"/>
    </row>
    <row r="4453" spans="1:1" ht="15.75" x14ac:dyDescent="0.25">
      <c r="A4453" s="11"/>
    </row>
    <row r="4454" spans="1:1" ht="15.75" x14ac:dyDescent="0.25">
      <c r="A4454" s="11"/>
    </row>
    <row r="4455" spans="1:1" ht="15.75" x14ac:dyDescent="0.25">
      <c r="A4455" s="11"/>
    </row>
    <row r="4456" spans="1:1" ht="15.75" x14ac:dyDescent="0.25">
      <c r="A4456" s="11"/>
    </row>
    <row r="4457" spans="1:1" ht="15.75" x14ac:dyDescent="0.25">
      <c r="A4457" s="11"/>
    </row>
    <row r="4458" spans="1:1" ht="15.75" x14ac:dyDescent="0.25">
      <c r="A4458" s="11"/>
    </row>
    <row r="4459" spans="1:1" ht="15.75" x14ac:dyDescent="0.25">
      <c r="A4459" s="11"/>
    </row>
    <row r="4460" spans="1:1" ht="15.75" x14ac:dyDescent="0.25">
      <c r="A4460" s="11"/>
    </row>
    <row r="4461" spans="1:1" ht="15.75" x14ac:dyDescent="0.25">
      <c r="A4461" s="11"/>
    </row>
    <row r="4462" spans="1:1" ht="15.75" x14ac:dyDescent="0.25">
      <c r="A4462" s="11"/>
    </row>
    <row r="4463" spans="1:1" ht="15.75" x14ac:dyDescent="0.25">
      <c r="A4463" s="11"/>
    </row>
    <row r="4464" spans="1:1" ht="15.75" x14ac:dyDescent="0.25">
      <c r="A4464" s="11"/>
    </row>
    <row r="4465" spans="1:1" ht="15.75" x14ac:dyDescent="0.25">
      <c r="A4465" s="11"/>
    </row>
    <row r="4466" spans="1:1" ht="15.75" x14ac:dyDescent="0.25">
      <c r="A4466" s="11"/>
    </row>
    <row r="4467" spans="1:1" ht="15.75" x14ac:dyDescent="0.25">
      <c r="A4467" s="11"/>
    </row>
    <row r="4468" spans="1:1" ht="15.75" x14ac:dyDescent="0.25">
      <c r="A4468" s="11"/>
    </row>
    <row r="4469" spans="1:1" ht="15.75" x14ac:dyDescent="0.25">
      <c r="A4469" s="11"/>
    </row>
    <row r="4470" spans="1:1" ht="15.75" x14ac:dyDescent="0.25">
      <c r="A4470" s="11"/>
    </row>
    <row r="4471" spans="1:1" ht="15.75" x14ac:dyDescent="0.25">
      <c r="A4471" s="11"/>
    </row>
    <row r="4472" spans="1:1" ht="15.75" x14ac:dyDescent="0.25">
      <c r="A4472" s="11"/>
    </row>
    <row r="4473" spans="1:1" ht="15.75" x14ac:dyDescent="0.25">
      <c r="A4473" s="11"/>
    </row>
    <row r="4474" spans="1:1" ht="15.75" x14ac:dyDescent="0.25">
      <c r="A4474" s="11"/>
    </row>
    <row r="4475" spans="1:1" ht="15.75" x14ac:dyDescent="0.25">
      <c r="A4475" s="11"/>
    </row>
    <row r="4476" spans="1:1" ht="15.75" x14ac:dyDescent="0.25">
      <c r="A4476" s="11"/>
    </row>
    <row r="4477" spans="1:1" ht="15.75" x14ac:dyDescent="0.25">
      <c r="A4477" s="11"/>
    </row>
    <row r="4478" spans="1:1" ht="15.75" x14ac:dyDescent="0.25">
      <c r="A4478" s="11"/>
    </row>
    <row r="4479" spans="1:1" ht="15.75" x14ac:dyDescent="0.25">
      <c r="A4479" s="11"/>
    </row>
    <row r="4480" spans="1:1" ht="15.75" x14ac:dyDescent="0.25">
      <c r="A4480" s="11"/>
    </row>
    <row r="4481" spans="1:1" ht="15.75" x14ac:dyDescent="0.25">
      <c r="A4481" s="11"/>
    </row>
    <row r="4482" spans="1:1" ht="15.75" x14ac:dyDescent="0.25">
      <c r="A4482" s="11"/>
    </row>
    <row r="4483" spans="1:1" ht="15.75" x14ac:dyDescent="0.25">
      <c r="A4483" s="11"/>
    </row>
    <row r="4484" spans="1:1" ht="15.75" x14ac:dyDescent="0.25">
      <c r="A4484" s="11"/>
    </row>
    <row r="4485" spans="1:1" ht="15.75" x14ac:dyDescent="0.25">
      <c r="A4485" s="11"/>
    </row>
    <row r="4486" spans="1:1" ht="15.75" x14ac:dyDescent="0.25">
      <c r="A4486" s="11"/>
    </row>
    <row r="4487" spans="1:1" ht="15.75" x14ac:dyDescent="0.25">
      <c r="A4487" s="11"/>
    </row>
    <row r="4488" spans="1:1" ht="15.75" x14ac:dyDescent="0.25">
      <c r="A4488" s="11"/>
    </row>
    <row r="4489" spans="1:1" ht="15.75" x14ac:dyDescent="0.25">
      <c r="A4489" s="11"/>
    </row>
    <row r="4490" spans="1:1" ht="15.75" x14ac:dyDescent="0.25">
      <c r="A4490" s="11"/>
    </row>
    <row r="4491" spans="1:1" ht="15.75" x14ac:dyDescent="0.25">
      <c r="A4491" s="11"/>
    </row>
    <row r="4492" spans="1:1" ht="15.75" x14ac:dyDescent="0.25">
      <c r="A4492" s="11"/>
    </row>
    <row r="4493" spans="1:1" ht="15.75" x14ac:dyDescent="0.25">
      <c r="A4493" s="11"/>
    </row>
    <row r="4494" spans="1:1" ht="15.75" x14ac:dyDescent="0.25">
      <c r="A4494" s="11"/>
    </row>
    <row r="4495" spans="1:1" ht="15.75" x14ac:dyDescent="0.25">
      <c r="A4495" s="11"/>
    </row>
    <row r="4496" spans="1:1" ht="15.75" x14ac:dyDescent="0.25">
      <c r="A4496" s="11"/>
    </row>
    <row r="4497" spans="1:1" ht="15.75" x14ac:dyDescent="0.25">
      <c r="A4497" s="11"/>
    </row>
    <row r="4498" spans="1:1" ht="15.75" x14ac:dyDescent="0.25">
      <c r="A4498" s="11"/>
    </row>
    <row r="4499" spans="1:1" ht="15.75" x14ac:dyDescent="0.25">
      <c r="A4499" s="11"/>
    </row>
    <row r="4500" spans="1:1" ht="15.75" x14ac:dyDescent="0.25">
      <c r="A4500" s="11"/>
    </row>
    <row r="4501" spans="1:1" ht="15.75" x14ac:dyDescent="0.25">
      <c r="A4501" s="11"/>
    </row>
    <row r="4502" spans="1:1" ht="15.75" x14ac:dyDescent="0.25">
      <c r="A4502" s="11"/>
    </row>
    <row r="4503" spans="1:1" ht="15.75" x14ac:dyDescent="0.25">
      <c r="A4503" s="11"/>
    </row>
    <row r="4504" spans="1:1" ht="15.75" x14ac:dyDescent="0.25">
      <c r="A4504" s="11"/>
    </row>
    <row r="4505" spans="1:1" ht="15.75" x14ac:dyDescent="0.25">
      <c r="A4505" s="11"/>
    </row>
    <row r="4506" spans="1:1" ht="15.75" x14ac:dyDescent="0.25">
      <c r="A4506" s="11"/>
    </row>
    <row r="4507" spans="1:1" ht="15.75" x14ac:dyDescent="0.25">
      <c r="A4507" s="11"/>
    </row>
    <row r="4508" spans="1:1" ht="15.75" x14ac:dyDescent="0.25">
      <c r="A4508" s="11"/>
    </row>
    <row r="4509" spans="1:1" ht="15.75" x14ac:dyDescent="0.25">
      <c r="A4509" s="11"/>
    </row>
    <row r="4510" spans="1:1" ht="15.75" x14ac:dyDescent="0.25">
      <c r="A4510" s="11"/>
    </row>
    <row r="4511" spans="1:1" ht="15.75" x14ac:dyDescent="0.25">
      <c r="A4511" s="11"/>
    </row>
    <row r="4512" spans="1:1" ht="15.75" x14ac:dyDescent="0.25">
      <c r="A4512" s="11"/>
    </row>
    <row r="4513" spans="1:1" ht="15.75" x14ac:dyDescent="0.25">
      <c r="A4513" s="11"/>
    </row>
    <row r="4514" spans="1:1" ht="15.75" x14ac:dyDescent="0.25">
      <c r="A4514" s="11"/>
    </row>
    <row r="4515" spans="1:1" ht="15.75" x14ac:dyDescent="0.25">
      <c r="A4515" s="11"/>
    </row>
    <row r="4516" spans="1:1" ht="15.75" x14ac:dyDescent="0.25">
      <c r="A4516" s="11"/>
    </row>
    <row r="4517" spans="1:1" ht="15.75" x14ac:dyDescent="0.25">
      <c r="A4517" s="11"/>
    </row>
    <row r="4518" spans="1:1" ht="15.75" x14ac:dyDescent="0.25">
      <c r="A4518" s="11"/>
    </row>
    <row r="4519" spans="1:1" ht="15.75" x14ac:dyDescent="0.25">
      <c r="A4519" s="11"/>
    </row>
    <row r="4520" spans="1:1" ht="15.75" x14ac:dyDescent="0.25">
      <c r="A4520" s="11"/>
    </row>
    <row r="4521" spans="1:1" ht="15.75" x14ac:dyDescent="0.25">
      <c r="A4521" s="11"/>
    </row>
    <row r="4522" spans="1:1" ht="15.75" x14ac:dyDescent="0.25">
      <c r="A4522" s="11"/>
    </row>
    <row r="4523" spans="1:1" ht="15.75" x14ac:dyDescent="0.25">
      <c r="A4523" s="11"/>
    </row>
    <row r="4524" spans="1:1" ht="15.75" x14ac:dyDescent="0.25">
      <c r="A4524" s="11"/>
    </row>
    <row r="4525" spans="1:1" ht="15.75" x14ac:dyDescent="0.25">
      <c r="A4525" s="11"/>
    </row>
    <row r="4526" spans="1:1" ht="15.75" x14ac:dyDescent="0.25">
      <c r="A4526" s="11"/>
    </row>
    <row r="4527" spans="1:1" ht="15.75" x14ac:dyDescent="0.25">
      <c r="A4527" s="11"/>
    </row>
    <row r="4528" spans="1:1" ht="15.75" x14ac:dyDescent="0.25">
      <c r="A4528" s="11"/>
    </row>
    <row r="4529" spans="1:1" ht="15.75" x14ac:dyDescent="0.25">
      <c r="A4529" s="11"/>
    </row>
    <row r="4530" spans="1:1" ht="15.75" x14ac:dyDescent="0.25">
      <c r="A4530" s="11"/>
    </row>
    <row r="4531" spans="1:1" ht="15.75" x14ac:dyDescent="0.25">
      <c r="A4531" s="11"/>
    </row>
    <row r="4532" spans="1:1" ht="15.75" x14ac:dyDescent="0.25">
      <c r="A4532" s="11"/>
    </row>
    <row r="4533" spans="1:1" ht="15.75" x14ac:dyDescent="0.25">
      <c r="A4533" s="11"/>
    </row>
    <row r="4534" spans="1:1" ht="15.75" x14ac:dyDescent="0.25">
      <c r="A4534" s="11"/>
    </row>
    <row r="4535" spans="1:1" ht="15.75" x14ac:dyDescent="0.25">
      <c r="A4535" s="11"/>
    </row>
    <row r="4536" spans="1:1" ht="15.75" x14ac:dyDescent="0.25">
      <c r="A4536" s="11"/>
    </row>
    <row r="4537" spans="1:1" ht="15.75" x14ac:dyDescent="0.25">
      <c r="A4537" s="11"/>
    </row>
    <row r="4538" spans="1:1" ht="15.75" x14ac:dyDescent="0.25">
      <c r="A4538" s="11"/>
    </row>
    <row r="4539" spans="1:1" ht="15.75" x14ac:dyDescent="0.25">
      <c r="A4539" s="11"/>
    </row>
    <row r="4540" spans="1:1" ht="15.75" x14ac:dyDescent="0.25">
      <c r="A4540" s="11"/>
    </row>
    <row r="4541" spans="1:1" ht="15.75" x14ac:dyDescent="0.25">
      <c r="A4541" s="11"/>
    </row>
    <row r="4542" spans="1:1" ht="15.75" x14ac:dyDescent="0.25">
      <c r="A4542" s="11"/>
    </row>
    <row r="4543" spans="1:1" ht="15.75" x14ac:dyDescent="0.25">
      <c r="A4543" s="11"/>
    </row>
    <row r="4544" spans="1:1" ht="15.75" x14ac:dyDescent="0.25">
      <c r="A4544" s="11"/>
    </row>
    <row r="4545" spans="1:1" ht="15.75" x14ac:dyDescent="0.25">
      <c r="A4545" s="11"/>
    </row>
    <row r="4546" spans="1:1" ht="15.75" x14ac:dyDescent="0.25">
      <c r="A4546" s="11"/>
    </row>
    <row r="4547" spans="1:1" ht="15.75" x14ac:dyDescent="0.25">
      <c r="A4547" s="11"/>
    </row>
    <row r="4548" spans="1:1" ht="15.75" x14ac:dyDescent="0.25">
      <c r="A4548" s="11"/>
    </row>
    <row r="4549" spans="1:1" ht="15.75" x14ac:dyDescent="0.25">
      <c r="A4549" s="11"/>
    </row>
    <row r="4550" spans="1:1" ht="15.75" x14ac:dyDescent="0.25">
      <c r="A4550" s="11"/>
    </row>
    <row r="4551" spans="1:1" ht="15.75" x14ac:dyDescent="0.25">
      <c r="A4551" s="11"/>
    </row>
    <row r="4552" spans="1:1" ht="15.75" x14ac:dyDescent="0.25">
      <c r="A4552" s="11"/>
    </row>
    <row r="4553" spans="1:1" ht="15.75" x14ac:dyDescent="0.25">
      <c r="A4553" s="11"/>
    </row>
    <row r="4554" spans="1:1" ht="15.75" x14ac:dyDescent="0.25">
      <c r="A4554" s="11"/>
    </row>
    <row r="4555" spans="1:1" ht="15.75" x14ac:dyDescent="0.25">
      <c r="A4555" s="11"/>
    </row>
    <row r="4556" spans="1:1" ht="15.75" x14ac:dyDescent="0.25">
      <c r="A4556" s="11"/>
    </row>
    <row r="4557" spans="1:1" ht="15.75" x14ac:dyDescent="0.25">
      <c r="A4557" s="11"/>
    </row>
    <row r="4558" spans="1:1" ht="15.75" x14ac:dyDescent="0.25">
      <c r="A4558" s="11"/>
    </row>
    <row r="4559" spans="1:1" ht="15.75" x14ac:dyDescent="0.25">
      <c r="A4559" s="11"/>
    </row>
    <row r="4560" spans="1:1" ht="15.75" x14ac:dyDescent="0.25">
      <c r="A4560" s="11"/>
    </row>
    <row r="4561" spans="1:1" ht="15.75" x14ac:dyDescent="0.25">
      <c r="A4561" s="11"/>
    </row>
    <row r="4562" spans="1:1" ht="15.75" x14ac:dyDescent="0.25">
      <c r="A4562" s="11"/>
    </row>
    <row r="4563" spans="1:1" ht="15.75" x14ac:dyDescent="0.25">
      <c r="A4563" s="11"/>
    </row>
    <row r="4564" spans="1:1" ht="15.75" x14ac:dyDescent="0.25">
      <c r="A4564" s="11"/>
    </row>
    <row r="4565" spans="1:1" ht="15.75" x14ac:dyDescent="0.25">
      <c r="A4565" s="11"/>
    </row>
    <row r="4566" spans="1:1" ht="15.75" x14ac:dyDescent="0.25">
      <c r="A4566" s="11"/>
    </row>
    <row r="4567" spans="1:1" ht="15.75" x14ac:dyDescent="0.25">
      <c r="A4567" s="11"/>
    </row>
    <row r="4568" spans="1:1" ht="15.75" x14ac:dyDescent="0.25">
      <c r="A4568" s="11"/>
    </row>
    <row r="4569" spans="1:1" ht="15.75" x14ac:dyDescent="0.25">
      <c r="A4569" s="11"/>
    </row>
    <row r="4570" spans="1:1" ht="15.75" x14ac:dyDescent="0.25">
      <c r="A4570" s="11"/>
    </row>
    <row r="4571" spans="1:1" ht="15.75" x14ac:dyDescent="0.25">
      <c r="A4571" s="11"/>
    </row>
    <row r="4572" spans="1:1" ht="15.75" x14ac:dyDescent="0.25">
      <c r="A4572" s="11"/>
    </row>
    <row r="4573" spans="1:1" ht="15.75" x14ac:dyDescent="0.25">
      <c r="A4573" s="11"/>
    </row>
    <row r="4574" spans="1:1" ht="15.75" x14ac:dyDescent="0.25">
      <c r="A4574" s="11"/>
    </row>
    <row r="4575" spans="1:1" ht="15.75" x14ac:dyDescent="0.25">
      <c r="A4575" s="11"/>
    </row>
    <row r="4576" spans="1:1" ht="15.75" x14ac:dyDescent="0.25">
      <c r="A4576" s="11"/>
    </row>
    <row r="4577" spans="1:1" ht="15.75" x14ac:dyDescent="0.25">
      <c r="A4577" s="11"/>
    </row>
    <row r="4578" spans="1:1" ht="15.75" x14ac:dyDescent="0.25">
      <c r="A4578" s="11"/>
    </row>
    <row r="4579" spans="1:1" ht="15.75" x14ac:dyDescent="0.25">
      <c r="A4579" s="11"/>
    </row>
    <row r="4580" spans="1:1" ht="15.75" x14ac:dyDescent="0.25">
      <c r="A4580" s="11"/>
    </row>
    <row r="4581" spans="1:1" ht="15.75" x14ac:dyDescent="0.25">
      <c r="A4581" s="11"/>
    </row>
    <row r="4582" spans="1:1" ht="15.75" x14ac:dyDescent="0.25">
      <c r="A4582" s="11"/>
    </row>
    <row r="4583" spans="1:1" ht="15.75" x14ac:dyDescent="0.25">
      <c r="A4583" s="11"/>
    </row>
    <row r="4584" spans="1:1" ht="15.75" x14ac:dyDescent="0.25">
      <c r="A4584" s="11"/>
    </row>
    <row r="4585" spans="1:1" ht="15.75" x14ac:dyDescent="0.25">
      <c r="A4585" s="11"/>
    </row>
    <row r="4586" spans="1:1" ht="15.75" x14ac:dyDescent="0.25">
      <c r="A4586" s="11"/>
    </row>
    <row r="4587" spans="1:1" ht="15.75" x14ac:dyDescent="0.25">
      <c r="A4587" s="11"/>
    </row>
    <row r="4588" spans="1:1" ht="15.75" x14ac:dyDescent="0.25">
      <c r="A4588" s="11"/>
    </row>
    <row r="4589" spans="1:1" ht="15.75" x14ac:dyDescent="0.25">
      <c r="A4589" s="11"/>
    </row>
    <row r="4590" spans="1:1" ht="15.75" x14ac:dyDescent="0.25">
      <c r="A4590" s="11"/>
    </row>
    <row r="4591" spans="1:1" ht="15.75" x14ac:dyDescent="0.25">
      <c r="A4591" s="11"/>
    </row>
    <row r="4592" spans="1:1" ht="15.75" x14ac:dyDescent="0.25">
      <c r="A4592" s="11"/>
    </row>
    <row r="4593" spans="1:1" ht="15.75" x14ac:dyDescent="0.25">
      <c r="A4593" s="11"/>
    </row>
    <row r="4594" spans="1:1" ht="15.75" x14ac:dyDescent="0.25">
      <c r="A4594" s="11"/>
    </row>
    <row r="4595" spans="1:1" ht="15.75" x14ac:dyDescent="0.25">
      <c r="A4595" s="11"/>
    </row>
    <row r="4596" spans="1:1" ht="15.75" x14ac:dyDescent="0.25">
      <c r="A4596" s="11"/>
    </row>
    <row r="4597" spans="1:1" ht="15.75" x14ac:dyDescent="0.25">
      <c r="A4597" s="11"/>
    </row>
    <row r="4598" spans="1:1" ht="15.75" x14ac:dyDescent="0.25">
      <c r="A4598" s="11"/>
    </row>
    <row r="4599" spans="1:1" ht="15.75" x14ac:dyDescent="0.25">
      <c r="A4599" s="11"/>
    </row>
    <row r="4600" spans="1:1" ht="15.75" x14ac:dyDescent="0.25">
      <c r="A4600" s="11"/>
    </row>
    <row r="4601" spans="1:1" ht="15.75" x14ac:dyDescent="0.25">
      <c r="A4601" s="11"/>
    </row>
    <row r="4602" spans="1:1" ht="15.75" x14ac:dyDescent="0.25">
      <c r="A4602" s="11"/>
    </row>
    <row r="4603" spans="1:1" ht="15.75" x14ac:dyDescent="0.25">
      <c r="A4603" s="11"/>
    </row>
    <row r="4604" spans="1:1" ht="15.75" x14ac:dyDescent="0.25">
      <c r="A4604" s="11"/>
    </row>
    <row r="4605" spans="1:1" ht="15.75" x14ac:dyDescent="0.25">
      <c r="A4605" s="11"/>
    </row>
    <row r="4606" spans="1:1" ht="15.75" x14ac:dyDescent="0.25">
      <c r="A4606" s="11"/>
    </row>
    <row r="4607" spans="1:1" ht="15.75" x14ac:dyDescent="0.25">
      <c r="A4607" s="11"/>
    </row>
    <row r="4608" spans="1:1" ht="15.75" x14ac:dyDescent="0.25">
      <c r="A4608" s="11"/>
    </row>
    <row r="4609" spans="1:1" ht="15.75" x14ac:dyDescent="0.25">
      <c r="A4609" s="11"/>
    </row>
    <row r="4610" spans="1:1" ht="15.75" x14ac:dyDescent="0.25">
      <c r="A4610" s="11"/>
    </row>
    <row r="4611" spans="1:1" ht="15.75" x14ac:dyDescent="0.25">
      <c r="A4611" s="11"/>
    </row>
    <row r="4612" spans="1:1" ht="15.75" x14ac:dyDescent="0.25">
      <c r="A4612" s="11"/>
    </row>
    <row r="4613" spans="1:1" ht="15.75" x14ac:dyDescent="0.25">
      <c r="A4613" s="11"/>
    </row>
    <row r="4614" spans="1:1" ht="15.75" x14ac:dyDescent="0.25">
      <c r="A4614" s="11"/>
    </row>
    <row r="4615" spans="1:1" ht="15.75" x14ac:dyDescent="0.25">
      <c r="A4615" s="11"/>
    </row>
    <row r="4616" spans="1:1" ht="15.75" x14ac:dyDescent="0.25">
      <c r="A4616" s="11"/>
    </row>
    <row r="4617" spans="1:1" ht="15.75" x14ac:dyDescent="0.25">
      <c r="A4617" s="11"/>
    </row>
    <row r="4618" spans="1:1" ht="15.75" x14ac:dyDescent="0.25">
      <c r="A4618" s="11"/>
    </row>
    <row r="4619" spans="1:1" ht="15.75" x14ac:dyDescent="0.25">
      <c r="A4619" s="11"/>
    </row>
    <row r="4620" spans="1:1" ht="15.75" x14ac:dyDescent="0.25">
      <c r="A4620" s="11"/>
    </row>
    <row r="4621" spans="1:1" ht="15.75" x14ac:dyDescent="0.25">
      <c r="A4621" s="11"/>
    </row>
    <row r="4622" spans="1:1" ht="15.75" x14ac:dyDescent="0.25">
      <c r="A4622" s="11"/>
    </row>
    <row r="4623" spans="1:1" ht="15.75" x14ac:dyDescent="0.25">
      <c r="A4623" s="11"/>
    </row>
    <row r="4624" spans="1:1" ht="15.75" x14ac:dyDescent="0.25">
      <c r="A4624" s="11"/>
    </row>
    <row r="4625" spans="1:1" ht="15.75" x14ac:dyDescent="0.25">
      <c r="A4625" s="11"/>
    </row>
    <row r="4626" spans="1:1" ht="15.75" x14ac:dyDescent="0.25">
      <c r="A4626" s="11"/>
    </row>
    <row r="4627" spans="1:1" ht="15.75" x14ac:dyDescent="0.25">
      <c r="A4627" s="11"/>
    </row>
    <row r="4628" spans="1:1" ht="15.75" x14ac:dyDescent="0.25">
      <c r="A4628" s="11"/>
    </row>
    <row r="4629" spans="1:1" ht="15.75" x14ac:dyDescent="0.25">
      <c r="A4629" s="11"/>
    </row>
    <row r="4630" spans="1:1" ht="15.75" x14ac:dyDescent="0.25">
      <c r="A4630" s="11"/>
    </row>
    <row r="4631" spans="1:1" ht="15.75" x14ac:dyDescent="0.25">
      <c r="A4631" s="11"/>
    </row>
    <row r="4632" spans="1:1" ht="15.75" x14ac:dyDescent="0.25">
      <c r="A4632" s="11"/>
    </row>
    <row r="4633" spans="1:1" ht="15.75" x14ac:dyDescent="0.25">
      <c r="A4633" s="11"/>
    </row>
    <row r="4634" spans="1:1" ht="15.75" x14ac:dyDescent="0.25">
      <c r="A4634" s="11"/>
    </row>
    <row r="4635" spans="1:1" ht="15.75" x14ac:dyDescent="0.25">
      <c r="A4635" s="11"/>
    </row>
    <row r="4636" spans="1:1" ht="15.75" x14ac:dyDescent="0.25">
      <c r="A4636" s="11"/>
    </row>
    <row r="4637" spans="1:1" ht="15.75" x14ac:dyDescent="0.25">
      <c r="A4637" s="11"/>
    </row>
    <row r="4638" spans="1:1" ht="15.75" x14ac:dyDescent="0.25">
      <c r="A4638" s="11"/>
    </row>
    <row r="4639" spans="1:1" ht="15.75" x14ac:dyDescent="0.25">
      <c r="A4639" s="11"/>
    </row>
    <row r="4640" spans="1:1" ht="15.75" x14ac:dyDescent="0.25">
      <c r="A4640" s="11"/>
    </row>
    <row r="4641" spans="1:1" ht="15.75" x14ac:dyDescent="0.25">
      <c r="A4641" s="11"/>
    </row>
    <row r="4642" spans="1:1" ht="15.75" x14ac:dyDescent="0.25">
      <c r="A4642" s="11"/>
    </row>
    <row r="4643" spans="1:1" ht="15.75" x14ac:dyDescent="0.25">
      <c r="A4643" s="11"/>
    </row>
    <row r="4644" spans="1:1" ht="15.75" x14ac:dyDescent="0.25">
      <c r="A4644" s="11"/>
    </row>
    <row r="4645" spans="1:1" ht="15.75" x14ac:dyDescent="0.25">
      <c r="A4645" s="11"/>
    </row>
    <row r="4646" spans="1:1" ht="15.75" x14ac:dyDescent="0.25">
      <c r="A4646" s="11"/>
    </row>
    <row r="4647" spans="1:1" ht="15.75" x14ac:dyDescent="0.25">
      <c r="A4647" s="11"/>
    </row>
    <row r="4648" spans="1:1" ht="15.75" x14ac:dyDescent="0.25">
      <c r="A4648" s="11"/>
    </row>
    <row r="4649" spans="1:1" ht="15.75" x14ac:dyDescent="0.25">
      <c r="A4649" s="11"/>
    </row>
    <row r="4650" spans="1:1" ht="15.75" x14ac:dyDescent="0.25">
      <c r="A4650" s="11"/>
    </row>
    <row r="4651" spans="1:1" ht="15.75" x14ac:dyDescent="0.25">
      <c r="A4651" s="11"/>
    </row>
    <row r="4652" spans="1:1" ht="15.75" x14ac:dyDescent="0.25">
      <c r="A4652" s="11"/>
    </row>
    <row r="4653" spans="1:1" ht="15.75" x14ac:dyDescent="0.25">
      <c r="A4653" s="11"/>
    </row>
    <row r="4654" spans="1:1" ht="15.75" x14ac:dyDescent="0.25">
      <c r="A4654" s="11"/>
    </row>
    <row r="4655" spans="1:1" ht="15.75" x14ac:dyDescent="0.25">
      <c r="A4655" s="11"/>
    </row>
    <row r="4656" spans="1:1" ht="15.75" x14ac:dyDescent="0.25">
      <c r="A4656" s="11"/>
    </row>
    <row r="4657" spans="1:1" ht="15.75" x14ac:dyDescent="0.25">
      <c r="A4657" s="11"/>
    </row>
    <row r="4658" spans="1:1" ht="15.75" x14ac:dyDescent="0.25">
      <c r="A4658" s="11"/>
    </row>
    <row r="4659" spans="1:1" ht="15.75" x14ac:dyDescent="0.25">
      <c r="A4659" s="11"/>
    </row>
    <row r="4660" spans="1:1" ht="15.75" x14ac:dyDescent="0.25">
      <c r="A4660" s="11"/>
    </row>
    <row r="4661" spans="1:1" ht="15.75" x14ac:dyDescent="0.25">
      <c r="A4661" s="11"/>
    </row>
    <row r="4662" spans="1:1" ht="15.75" x14ac:dyDescent="0.25">
      <c r="A4662" s="11"/>
    </row>
    <row r="4663" spans="1:1" ht="15.75" x14ac:dyDescent="0.25">
      <c r="A4663" s="11"/>
    </row>
    <row r="4664" spans="1:1" ht="15.75" x14ac:dyDescent="0.25">
      <c r="A4664" s="11"/>
    </row>
    <row r="4665" spans="1:1" ht="15.75" x14ac:dyDescent="0.25">
      <c r="A4665" s="11"/>
    </row>
    <row r="4666" spans="1:1" ht="15.75" x14ac:dyDescent="0.25">
      <c r="A4666" s="11"/>
    </row>
    <row r="4667" spans="1:1" ht="15.75" x14ac:dyDescent="0.25">
      <c r="A4667" s="11"/>
    </row>
    <row r="4668" spans="1:1" ht="15.75" x14ac:dyDescent="0.25">
      <c r="A4668" s="11"/>
    </row>
    <row r="4669" spans="1:1" ht="15.75" x14ac:dyDescent="0.25">
      <c r="A4669" s="11"/>
    </row>
    <row r="4670" spans="1:1" ht="15.75" x14ac:dyDescent="0.25">
      <c r="A4670" s="11"/>
    </row>
    <row r="4671" spans="1:1" ht="15.75" x14ac:dyDescent="0.25">
      <c r="A4671" s="11"/>
    </row>
    <row r="4672" spans="1:1" ht="15.75" x14ac:dyDescent="0.25">
      <c r="A4672" s="11"/>
    </row>
    <row r="4673" spans="1:1" ht="15.75" x14ac:dyDescent="0.25">
      <c r="A4673" s="11"/>
    </row>
    <row r="4674" spans="1:1" ht="15.75" x14ac:dyDescent="0.25">
      <c r="A4674" s="11"/>
    </row>
    <row r="4675" spans="1:1" ht="15.75" x14ac:dyDescent="0.25">
      <c r="A4675" s="11"/>
    </row>
    <row r="4676" spans="1:1" ht="15.75" x14ac:dyDescent="0.25">
      <c r="A4676" s="11"/>
    </row>
    <row r="4677" spans="1:1" ht="15.75" x14ac:dyDescent="0.25">
      <c r="A4677" s="11"/>
    </row>
    <row r="4678" spans="1:1" ht="15.75" x14ac:dyDescent="0.25">
      <c r="A4678" s="11"/>
    </row>
    <row r="4679" spans="1:1" ht="15.75" x14ac:dyDescent="0.25">
      <c r="A4679" s="11"/>
    </row>
    <row r="4680" spans="1:1" ht="15.75" x14ac:dyDescent="0.25">
      <c r="A4680" s="11"/>
    </row>
    <row r="4681" spans="1:1" ht="15.75" x14ac:dyDescent="0.25">
      <c r="A4681" s="11"/>
    </row>
    <row r="4682" spans="1:1" ht="15.75" x14ac:dyDescent="0.25">
      <c r="A4682" s="11"/>
    </row>
    <row r="4683" spans="1:1" ht="15.75" x14ac:dyDescent="0.25">
      <c r="A4683" s="11"/>
    </row>
    <row r="4684" spans="1:1" ht="15.75" x14ac:dyDescent="0.25">
      <c r="A4684" s="11"/>
    </row>
    <row r="4685" spans="1:1" ht="15.75" x14ac:dyDescent="0.25">
      <c r="A4685" s="11"/>
    </row>
    <row r="4686" spans="1:1" ht="15.75" x14ac:dyDescent="0.25">
      <c r="A4686" s="11"/>
    </row>
    <row r="4687" spans="1:1" ht="15.75" x14ac:dyDescent="0.25">
      <c r="A4687" s="11"/>
    </row>
    <row r="4688" spans="1:1" ht="15.75" x14ac:dyDescent="0.25">
      <c r="A4688" s="11"/>
    </row>
    <row r="4689" spans="1:1" ht="15.75" x14ac:dyDescent="0.25">
      <c r="A4689" s="11"/>
    </row>
    <row r="4690" spans="1:1" ht="15.75" x14ac:dyDescent="0.25">
      <c r="A4690" s="11"/>
    </row>
    <row r="4691" spans="1:1" ht="15.75" x14ac:dyDescent="0.25">
      <c r="A4691" s="11"/>
    </row>
    <row r="4692" spans="1:1" ht="15.75" x14ac:dyDescent="0.25">
      <c r="A4692" s="11"/>
    </row>
    <row r="4693" spans="1:1" ht="15.75" x14ac:dyDescent="0.25">
      <c r="A4693" s="11"/>
    </row>
    <row r="4694" spans="1:1" ht="15.75" x14ac:dyDescent="0.25">
      <c r="A4694" s="11"/>
    </row>
    <row r="4695" spans="1:1" ht="15.75" x14ac:dyDescent="0.25">
      <c r="A4695" s="11"/>
    </row>
    <row r="4696" spans="1:1" ht="15.75" x14ac:dyDescent="0.25">
      <c r="A4696" s="11"/>
    </row>
    <row r="4697" spans="1:1" ht="15.75" x14ac:dyDescent="0.25">
      <c r="A4697" s="11"/>
    </row>
    <row r="4698" spans="1:1" ht="15.75" x14ac:dyDescent="0.25">
      <c r="A4698" s="11"/>
    </row>
    <row r="4699" spans="1:1" ht="15.75" x14ac:dyDescent="0.25">
      <c r="A4699" s="11"/>
    </row>
    <row r="4700" spans="1:1" ht="15.75" x14ac:dyDescent="0.25">
      <c r="A4700" s="11"/>
    </row>
    <row r="4701" spans="1:1" ht="15.75" x14ac:dyDescent="0.25">
      <c r="A4701" s="11"/>
    </row>
    <row r="4702" spans="1:1" ht="15.75" x14ac:dyDescent="0.25">
      <c r="A4702" s="11"/>
    </row>
    <row r="4703" spans="1:1" ht="15.75" x14ac:dyDescent="0.25">
      <c r="A4703" s="11"/>
    </row>
    <row r="4704" spans="1:1" ht="15.75" x14ac:dyDescent="0.25">
      <c r="A4704" s="11"/>
    </row>
    <row r="4705" spans="1:1" ht="15.75" x14ac:dyDescent="0.25">
      <c r="A4705" s="11"/>
    </row>
    <row r="4706" spans="1:1" ht="15.75" x14ac:dyDescent="0.25">
      <c r="A4706" s="11"/>
    </row>
    <row r="4707" spans="1:1" ht="15.75" x14ac:dyDescent="0.25">
      <c r="A4707" s="11"/>
    </row>
    <row r="4708" spans="1:1" ht="15.75" x14ac:dyDescent="0.25">
      <c r="A4708" s="11"/>
    </row>
    <row r="4709" spans="1:1" ht="15.75" x14ac:dyDescent="0.25">
      <c r="A4709" s="11"/>
    </row>
    <row r="4710" spans="1:1" ht="15.75" x14ac:dyDescent="0.25">
      <c r="A4710" s="11"/>
    </row>
    <row r="4711" spans="1:1" ht="15.75" x14ac:dyDescent="0.25">
      <c r="A4711" s="11"/>
    </row>
    <row r="4712" spans="1:1" ht="15.75" x14ac:dyDescent="0.25">
      <c r="A4712" s="11"/>
    </row>
    <row r="4713" spans="1:1" ht="15.75" x14ac:dyDescent="0.25">
      <c r="A4713" s="11"/>
    </row>
    <row r="4714" spans="1:1" ht="15.75" x14ac:dyDescent="0.25">
      <c r="A4714" s="11"/>
    </row>
    <row r="4715" spans="1:1" ht="15.75" x14ac:dyDescent="0.25">
      <c r="A4715" s="11"/>
    </row>
    <row r="4716" spans="1:1" ht="15.75" x14ac:dyDescent="0.25">
      <c r="A4716" s="11"/>
    </row>
    <row r="4717" spans="1:1" ht="15.75" x14ac:dyDescent="0.25">
      <c r="A4717" s="11"/>
    </row>
    <row r="4718" spans="1:1" ht="15.75" x14ac:dyDescent="0.25">
      <c r="A4718" s="11"/>
    </row>
    <row r="4719" spans="1:1" ht="15.75" x14ac:dyDescent="0.25">
      <c r="A4719" s="11"/>
    </row>
    <row r="4720" spans="1:1" ht="15.75" x14ac:dyDescent="0.25">
      <c r="A4720" s="11"/>
    </row>
    <row r="4721" spans="1:1" ht="15.75" x14ac:dyDescent="0.25">
      <c r="A4721" s="11"/>
    </row>
    <row r="4722" spans="1:1" ht="15.75" x14ac:dyDescent="0.25">
      <c r="A4722" s="11"/>
    </row>
    <row r="4723" spans="1:1" ht="15.75" x14ac:dyDescent="0.25">
      <c r="A4723" s="11"/>
    </row>
    <row r="4724" spans="1:1" ht="15.75" x14ac:dyDescent="0.25">
      <c r="A4724" s="11"/>
    </row>
    <row r="4725" spans="1:1" ht="15.75" x14ac:dyDescent="0.25">
      <c r="A4725" s="11"/>
    </row>
    <row r="4726" spans="1:1" ht="15.75" x14ac:dyDescent="0.25">
      <c r="A4726" s="11"/>
    </row>
    <row r="4727" spans="1:1" ht="15.75" x14ac:dyDescent="0.25">
      <c r="A4727" s="11"/>
    </row>
    <row r="4728" spans="1:1" ht="15.75" x14ac:dyDescent="0.25">
      <c r="A4728" s="11"/>
    </row>
    <row r="4729" spans="1:1" ht="15.75" x14ac:dyDescent="0.25">
      <c r="A4729" s="11"/>
    </row>
    <row r="4730" spans="1:1" ht="15.75" x14ac:dyDescent="0.25">
      <c r="A4730" s="11"/>
    </row>
    <row r="4731" spans="1:1" ht="15.75" x14ac:dyDescent="0.25">
      <c r="A4731" s="11"/>
    </row>
    <row r="4732" spans="1:1" ht="15.75" x14ac:dyDescent="0.25">
      <c r="A4732" s="11"/>
    </row>
    <row r="4733" spans="1:1" ht="15.75" x14ac:dyDescent="0.25">
      <c r="A4733" s="11"/>
    </row>
    <row r="4734" spans="1:1" ht="15.75" x14ac:dyDescent="0.25">
      <c r="A4734" s="11"/>
    </row>
    <row r="4735" spans="1:1" ht="15.75" x14ac:dyDescent="0.25">
      <c r="A4735" s="11"/>
    </row>
    <row r="4736" spans="1:1" ht="15.75" x14ac:dyDescent="0.25">
      <c r="A4736" s="11"/>
    </row>
    <row r="4737" spans="1:1" ht="15.75" x14ac:dyDescent="0.25">
      <c r="A4737" s="11"/>
    </row>
    <row r="4738" spans="1:1" ht="15.75" x14ac:dyDescent="0.25">
      <c r="A4738" s="11"/>
    </row>
    <row r="4739" spans="1:1" ht="15.75" x14ac:dyDescent="0.25">
      <c r="A4739" s="11"/>
    </row>
    <row r="4740" spans="1:1" ht="15.75" x14ac:dyDescent="0.25">
      <c r="A4740" s="11"/>
    </row>
    <row r="4741" spans="1:1" ht="15.75" x14ac:dyDescent="0.25">
      <c r="A4741" s="11"/>
    </row>
    <row r="4742" spans="1:1" ht="15.75" x14ac:dyDescent="0.25">
      <c r="A4742" s="11"/>
    </row>
    <row r="4743" spans="1:1" ht="15.75" x14ac:dyDescent="0.25">
      <c r="A4743" s="11"/>
    </row>
    <row r="4744" spans="1:1" ht="15.75" x14ac:dyDescent="0.25">
      <c r="A4744" s="11"/>
    </row>
    <row r="4745" spans="1:1" ht="15.75" x14ac:dyDescent="0.25">
      <c r="A4745" s="11"/>
    </row>
    <row r="4746" spans="1:1" ht="15.75" x14ac:dyDescent="0.25">
      <c r="A4746" s="11"/>
    </row>
    <row r="4747" spans="1:1" ht="15.75" x14ac:dyDescent="0.25">
      <c r="A4747" s="11"/>
    </row>
    <row r="4748" spans="1:1" ht="15.75" x14ac:dyDescent="0.25">
      <c r="A4748" s="11"/>
    </row>
    <row r="4749" spans="1:1" ht="15.75" x14ac:dyDescent="0.25">
      <c r="A4749" s="11"/>
    </row>
    <row r="4750" spans="1:1" ht="15.75" x14ac:dyDescent="0.25">
      <c r="A4750" s="11"/>
    </row>
    <row r="4751" spans="1:1" ht="15.75" x14ac:dyDescent="0.25">
      <c r="A4751" s="11"/>
    </row>
    <row r="4752" spans="1:1" ht="15.75" x14ac:dyDescent="0.25">
      <c r="A4752" s="11"/>
    </row>
    <row r="4753" spans="1:1" ht="15.75" x14ac:dyDescent="0.25">
      <c r="A4753" s="11"/>
    </row>
    <row r="4754" spans="1:1" ht="15.75" x14ac:dyDescent="0.25">
      <c r="A4754" s="11"/>
    </row>
    <row r="4755" spans="1:1" ht="15.75" x14ac:dyDescent="0.25">
      <c r="A4755" s="11"/>
    </row>
    <row r="4756" spans="1:1" ht="15.75" x14ac:dyDescent="0.25">
      <c r="A4756" s="11"/>
    </row>
    <row r="4757" spans="1:1" ht="15.75" x14ac:dyDescent="0.25">
      <c r="A4757" s="11"/>
    </row>
    <row r="4758" spans="1:1" ht="15.75" x14ac:dyDescent="0.25">
      <c r="A4758" s="11"/>
    </row>
    <row r="4759" spans="1:1" ht="15.75" x14ac:dyDescent="0.25">
      <c r="A4759" s="11"/>
    </row>
    <row r="4760" spans="1:1" ht="15.75" x14ac:dyDescent="0.25">
      <c r="A4760" s="11"/>
    </row>
    <row r="4761" spans="1:1" ht="15.75" x14ac:dyDescent="0.25">
      <c r="A4761" s="11"/>
    </row>
    <row r="4762" spans="1:1" ht="15.75" x14ac:dyDescent="0.25">
      <c r="A4762" s="11"/>
    </row>
    <row r="4763" spans="1:1" ht="15.75" x14ac:dyDescent="0.25">
      <c r="A4763" s="11"/>
    </row>
    <row r="4764" spans="1:1" ht="15.75" x14ac:dyDescent="0.25">
      <c r="A4764" s="11"/>
    </row>
    <row r="4765" spans="1:1" ht="15.75" x14ac:dyDescent="0.25">
      <c r="A4765" s="11"/>
    </row>
    <row r="4766" spans="1:1" ht="15.75" x14ac:dyDescent="0.25">
      <c r="A4766" s="11"/>
    </row>
    <row r="4767" spans="1:1" ht="15.75" x14ac:dyDescent="0.25">
      <c r="A4767" s="11"/>
    </row>
    <row r="4768" spans="1:1" ht="15.75" x14ac:dyDescent="0.25">
      <c r="A4768" s="11"/>
    </row>
    <row r="4769" spans="1:1" ht="15.75" x14ac:dyDescent="0.25">
      <c r="A4769" s="11"/>
    </row>
    <row r="4770" spans="1:1" ht="15.75" x14ac:dyDescent="0.25">
      <c r="A4770" s="11"/>
    </row>
    <row r="4771" spans="1:1" ht="15.75" x14ac:dyDescent="0.25">
      <c r="A4771" s="11"/>
    </row>
    <row r="4772" spans="1:1" ht="15.75" x14ac:dyDescent="0.25">
      <c r="A4772" s="11"/>
    </row>
    <row r="4773" spans="1:1" ht="15.75" x14ac:dyDescent="0.25">
      <c r="A4773" s="11"/>
    </row>
    <row r="4774" spans="1:1" ht="15.75" x14ac:dyDescent="0.25">
      <c r="A4774" s="11"/>
    </row>
    <row r="4775" spans="1:1" ht="15.75" x14ac:dyDescent="0.25">
      <c r="A4775" s="11"/>
    </row>
    <row r="4776" spans="1:1" ht="15.75" x14ac:dyDescent="0.25">
      <c r="A4776" s="11"/>
    </row>
    <row r="4777" spans="1:1" ht="15.75" x14ac:dyDescent="0.25">
      <c r="A4777" s="11"/>
    </row>
    <row r="4778" spans="1:1" ht="15.75" x14ac:dyDescent="0.25">
      <c r="A4778" s="11"/>
    </row>
    <row r="4779" spans="1:1" ht="15.75" x14ac:dyDescent="0.25">
      <c r="A4779" s="11"/>
    </row>
    <row r="4780" spans="1:1" ht="15.75" x14ac:dyDescent="0.25">
      <c r="A4780" s="11"/>
    </row>
    <row r="4781" spans="1:1" ht="15.75" x14ac:dyDescent="0.25">
      <c r="A4781" s="11"/>
    </row>
    <row r="4782" spans="1:1" ht="15.75" x14ac:dyDescent="0.25">
      <c r="A4782" s="11"/>
    </row>
    <row r="4783" spans="1:1" ht="15.75" x14ac:dyDescent="0.25">
      <c r="A4783" s="11"/>
    </row>
    <row r="4784" spans="1:1" ht="15.75" x14ac:dyDescent="0.25">
      <c r="A4784" s="11"/>
    </row>
    <row r="4785" spans="1:1" ht="15.75" x14ac:dyDescent="0.25">
      <c r="A4785" s="11"/>
    </row>
    <row r="4786" spans="1:1" ht="15.75" x14ac:dyDescent="0.25">
      <c r="A4786" s="11"/>
    </row>
    <row r="4787" spans="1:1" ht="15.75" x14ac:dyDescent="0.25">
      <c r="A4787" s="11"/>
    </row>
    <row r="4788" spans="1:1" ht="15.75" x14ac:dyDescent="0.25">
      <c r="A4788" s="11"/>
    </row>
    <row r="4789" spans="1:1" ht="15.75" x14ac:dyDescent="0.25">
      <c r="A4789" s="11"/>
    </row>
    <row r="4790" spans="1:1" ht="15.75" x14ac:dyDescent="0.25">
      <c r="A4790" s="11"/>
    </row>
    <row r="4791" spans="1:1" ht="15.75" x14ac:dyDescent="0.25">
      <c r="A4791" s="11"/>
    </row>
    <row r="4792" spans="1:1" ht="15.75" x14ac:dyDescent="0.25">
      <c r="A4792" s="11"/>
    </row>
    <row r="4793" spans="1:1" ht="15.75" x14ac:dyDescent="0.25">
      <c r="A4793" s="11"/>
    </row>
    <row r="4794" spans="1:1" ht="15.75" x14ac:dyDescent="0.25">
      <c r="A4794" s="11"/>
    </row>
    <row r="4795" spans="1:1" ht="15.75" x14ac:dyDescent="0.25">
      <c r="A4795" s="11"/>
    </row>
    <row r="4796" spans="1:1" ht="15.75" x14ac:dyDescent="0.25">
      <c r="A4796" s="11"/>
    </row>
    <row r="4797" spans="1:1" ht="15.75" x14ac:dyDescent="0.25">
      <c r="A4797" s="11"/>
    </row>
    <row r="4798" spans="1:1" ht="15.75" x14ac:dyDescent="0.25">
      <c r="A4798" s="11"/>
    </row>
    <row r="4799" spans="1:1" ht="15.75" x14ac:dyDescent="0.25">
      <c r="A4799" s="11"/>
    </row>
    <row r="4800" spans="1:1" ht="15.75" x14ac:dyDescent="0.25">
      <c r="A4800" s="11"/>
    </row>
    <row r="4801" spans="1:1" ht="15.75" x14ac:dyDescent="0.25">
      <c r="A4801" s="11"/>
    </row>
    <row r="4802" spans="1:1" ht="15.75" x14ac:dyDescent="0.25">
      <c r="A4802" s="11"/>
    </row>
    <row r="4803" spans="1:1" ht="15.75" x14ac:dyDescent="0.25">
      <c r="A4803" s="11"/>
    </row>
    <row r="4804" spans="1:1" ht="15.75" x14ac:dyDescent="0.25">
      <c r="A4804" s="11"/>
    </row>
    <row r="4805" spans="1:1" ht="15.75" x14ac:dyDescent="0.25">
      <c r="A4805" s="11"/>
    </row>
    <row r="4806" spans="1:1" ht="15.75" x14ac:dyDescent="0.25">
      <c r="A4806" s="11"/>
    </row>
    <row r="4807" spans="1:1" ht="15.75" x14ac:dyDescent="0.25">
      <c r="A4807" s="11"/>
    </row>
    <row r="4808" spans="1:1" ht="15.75" x14ac:dyDescent="0.25">
      <c r="A4808" s="11"/>
    </row>
    <row r="4809" spans="1:1" ht="15.75" x14ac:dyDescent="0.25">
      <c r="A4809" s="11"/>
    </row>
    <row r="4810" spans="1:1" ht="15.75" x14ac:dyDescent="0.25">
      <c r="A4810" s="11"/>
    </row>
    <row r="4811" spans="1:1" ht="15.75" x14ac:dyDescent="0.25">
      <c r="A4811" s="11"/>
    </row>
    <row r="4812" spans="1:1" ht="15.75" x14ac:dyDescent="0.25">
      <c r="A4812" s="11"/>
    </row>
    <row r="4813" spans="1:1" ht="15.75" x14ac:dyDescent="0.25">
      <c r="A4813" s="11"/>
    </row>
    <row r="4814" spans="1:1" ht="15.75" x14ac:dyDescent="0.25">
      <c r="A4814" s="11"/>
    </row>
    <row r="4815" spans="1:1" ht="15.75" x14ac:dyDescent="0.25">
      <c r="A4815" s="11"/>
    </row>
    <row r="4816" spans="1:1" ht="15.75" x14ac:dyDescent="0.25">
      <c r="A4816" s="11"/>
    </row>
    <row r="4817" spans="1:1" ht="15.75" x14ac:dyDescent="0.25">
      <c r="A4817" s="11"/>
    </row>
    <row r="4818" spans="1:1" ht="15.75" x14ac:dyDescent="0.25">
      <c r="A4818" s="11"/>
    </row>
    <row r="4819" spans="1:1" ht="15.75" x14ac:dyDescent="0.25">
      <c r="A4819" s="11"/>
    </row>
    <row r="4820" spans="1:1" ht="15.75" x14ac:dyDescent="0.25">
      <c r="A4820" s="11"/>
    </row>
    <row r="4821" spans="1:1" ht="15.75" x14ac:dyDescent="0.25">
      <c r="A4821" s="11"/>
    </row>
    <row r="4822" spans="1:1" ht="15.75" x14ac:dyDescent="0.25">
      <c r="A4822" s="11"/>
    </row>
    <row r="4823" spans="1:1" ht="15.75" x14ac:dyDescent="0.25">
      <c r="A4823" s="11"/>
    </row>
    <row r="4824" spans="1:1" ht="15.75" x14ac:dyDescent="0.25">
      <c r="A4824" s="11"/>
    </row>
    <row r="4825" spans="1:1" ht="15.75" x14ac:dyDescent="0.25">
      <c r="A4825" s="11"/>
    </row>
    <row r="4826" spans="1:1" ht="15.75" x14ac:dyDescent="0.25">
      <c r="A4826" s="11"/>
    </row>
    <row r="4827" spans="1:1" ht="15.75" x14ac:dyDescent="0.25">
      <c r="A4827" s="11"/>
    </row>
    <row r="4828" spans="1:1" ht="15.75" x14ac:dyDescent="0.25">
      <c r="A4828" s="11"/>
    </row>
    <row r="4829" spans="1:1" ht="15.75" x14ac:dyDescent="0.25">
      <c r="A4829" s="11"/>
    </row>
    <row r="4830" spans="1:1" ht="15.75" x14ac:dyDescent="0.25">
      <c r="A4830" s="11"/>
    </row>
    <row r="4831" spans="1:1" ht="15.75" x14ac:dyDescent="0.25">
      <c r="A4831" s="11"/>
    </row>
    <row r="4832" spans="1:1" ht="15.75" x14ac:dyDescent="0.25">
      <c r="A4832" s="11"/>
    </row>
    <row r="4833" spans="1:1" ht="15.75" x14ac:dyDescent="0.25">
      <c r="A4833" s="11"/>
    </row>
    <row r="4834" spans="1:1" ht="15.75" x14ac:dyDescent="0.25">
      <c r="A4834" s="11"/>
    </row>
    <row r="4835" spans="1:1" ht="15.75" x14ac:dyDescent="0.25">
      <c r="A4835" s="11"/>
    </row>
    <row r="4836" spans="1:1" ht="15.75" x14ac:dyDescent="0.25">
      <c r="A4836" s="11"/>
    </row>
    <row r="4837" spans="1:1" ht="15.75" x14ac:dyDescent="0.25">
      <c r="A4837" s="11"/>
    </row>
    <row r="4838" spans="1:1" ht="15.75" x14ac:dyDescent="0.25">
      <c r="A4838" s="11"/>
    </row>
    <row r="4839" spans="1:1" ht="15.75" x14ac:dyDescent="0.25">
      <c r="A4839" s="11"/>
    </row>
    <row r="4840" spans="1:1" ht="15.75" x14ac:dyDescent="0.25">
      <c r="A4840" s="11"/>
    </row>
    <row r="4841" spans="1:1" ht="15.75" x14ac:dyDescent="0.25">
      <c r="A4841" s="11"/>
    </row>
    <row r="4842" spans="1:1" ht="15.75" x14ac:dyDescent="0.25">
      <c r="A4842" s="11"/>
    </row>
    <row r="4843" spans="1:1" ht="15.75" x14ac:dyDescent="0.25">
      <c r="A4843" s="11"/>
    </row>
    <row r="4844" spans="1:1" ht="15.75" x14ac:dyDescent="0.25">
      <c r="A4844" s="11"/>
    </row>
    <row r="4845" spans="1:1" ht="15.75" x14ac:dyDescent="0.25">
      <c r="A4845" s="11"/>
    </row>
    <row r="4846" spans="1:1" ht="15.75" x14ac:dyDescent="0.25">
      <c r="A4846" s="11"/>
    </row>
    <row r="4847" spans="1:1" ht="15.75" x14ac:dyDescent="0.25">
      <c r="A4847" s="11"/>
    </row>
    <row r="4848" spans="1:1" ht="15.75" x14ac:dyDescent="0.25">
      <c r="A4848" s="11"/>
    </row>
    <row r="4849" spans="1:1" ht="15.75" x14ac:dyDescent="0.25">
      <c r="A4849" s="11"/>
    </row>
    <row r="4850" spans="1:1" ht="15.75" x14ac:dyDescent="0.25">
      <c r="A4850" s="11"/>
    </row>
    <row r="4851" spans="1:1" ht="15.75" x14ac:dyDescent="0.25">
      <c r="A4851" s="11"/>
    </row>
    <row r="4852" spans="1:1" ht="15.75" x14ac:dyDescent="0.25">
      <c r="A4852" s="11"/>
    </row>
    <row r="4853" spans="1:1" ht="15.75" x14ac:dyDescent="0.25">
      <c r="A4853" s="11"/>
    </row>
    <row r="4854" spans="1:1" ht="15.75" x14ac:dyDescent="0.25">
      <c r="A4854" s="11"/>
    </row>
    <row r="4855" spans="1:1" ht="15.75" x14ac:dyDescent="0.25">
      <c r="A4855" s="11"/>
    </row>
    <row r="4856" spans="1:1" ht="15.75" x14ac:dyDescent="0.25">
      <c r="A4856" s="11"/>
    </row>
    <row r="4857" spans="1:1" ht="15.75" x14ac:dyDescent="0.25">
      <c r="A4857" s="11"/>
    </row>
    <row r="4858" spans="1:1" ht="15.75" x14ac:dyDescent="0.25">
      <c r="A4858" s="11"/>
    </row>
    <row r="4859" spans="1:1" ht="15.75" x14ac:dyDescent="0.25">
      <c r="A4859" s="11"/>
    </row>
    <row r="4860" spans="1:1" ht="15.75" x14ac:dyDescent="0.25">
      <c r="A4860" s="11"/>
    </row>
    <row r="4861" spans="1:1" ht="15.75" x14ac:dyDescent="0.25">
      <c r="A4861" s="11"/>
    </row>
    <row r="4862" spans="1:1" ht="15.75" x14ac:dyDescent="0.25">
      <c r="A4862" s="11"/>
    </row>
    <row r="4863" spans="1:1" ht="15.75" x14ac:dyDescent="0.25">
      <c r="A4863" s="11"/>
    </row>
    <row r="4864" spans="1:1" ht="15.75" x14ac:dyDescent="0.25">
      <c r="A4864" s="11"/>
    </row>
    <row r="4865" spans="1:1" ht="15.75" x14ac:dyDescent="0.25">
      <c r="A4865" s="11"/>
    </row>
    <row r="4866" spans="1:1" ht="15.75" x14ac:dyDescent="0.25">
      <c r="A4866" s="11"/>
    </row>
    <row r="4867" spans="1:1" ht="15.75" x14ac:dyDescent="0.25">
      <c r="A4867" s="11"/>
    </row>
    <row r="4868" spans="1:1" ht="15.75" x14ac:dyDescent="0.25">
      <c r="A4868" s="11"/>
    </row>
    <row r="4869" spans="1:1" ht="15.75" x14ac:dyDescent="0.25">
      <c r="A4869" s="11"/>
    </row>
    <row r="4870" spans="1:1" ht="15.75" x14ac:dyDescent="0.25">
      <c r="A4870" s="11"/>
    </row>
    <row r="4871" spans="1:1" ht="15.75" x14ac:dyDescent="0.25">
      <c r="A4871" s="11"/>
    </row>
    <row r="4872" spans="1:1" ht="15.75" x14ac:dyDescent="0.25">
      <c r="A4872" s="11"/>
    </row>
    <row r="4873" spans="1:1" ht="15.75" x14ac:dyDescent="0.25">
      <c r="A4873" s="11"/>
    </row>
    <row r="4874" spans="1:1" ht="15.75" x14ac:dyDescent="0.25">
      <c r="A4874" s="11"/>
    </row>
    <row r="4875" spans="1:1" ht="15.75" x14ac:dyDescent="0.25">
      <c r="A4875" s="11"/>
    </row>
    <row r="4876" spans="1:1" ht="15.75" x14ac:dyDescent="0.25">
      <c r="A4876" s="11"/>
    </row>
    <row r="4877" spans="1:1" ht="15.75" x14ac:dyDescent="0.25">
      <c r="A4877" s="11"/>
    </row>
    <row r="4878" spans="1:1" ht="15.75" x14ac:dyDescent="0.25">
      <c r="A4878" s="11"/>
    </row>
    <row r="4879" spans="1:1" ht="15.75" x14ac:dyDescent="0.25">
      <c r="A4879" s="11"/>
    </row>
    <row r="4880" spans="1:1" ht="15.75" x14ac:dyDescent="0.25">
      <c r="A4880" s="11"/>
    </row>
    <row r="4881" spans="1:1" ht="15.75" x14ac:dyDescent="0.25">
      <c r="A4881" s="11"/>
    </row>
    <row r="4882" spans="1:1" ht="15.75" x14ac:dyDescent="0.25">
      <c r="A4882" s="11"/>
    </row>
    <row r="4883" spans="1:1" ht="15.75" x14ac:dyDescent="0.25">
      <c r="A4883" s="11"/>
    </row>
    <row r="4884" spans="1:1" ht="15.75" x14ac:dyDescent="0.25">
      <c r="A4884" s="11"/>
    </row>
    <row r="4885" spans="1:1" ht="15.75" x14ac:dyDescent="0.25">
      <c r="A4885" s="11"/>
    </row>
    <row r="4886" spans="1:1" ht="15.75" x14ac:dyDescent="0.25">
      <c r="A4886" s="11"/>
    </row>
    <row r="4887" spans="1:1" ht="15.75" x14ac:dyDescent="0.25">
      <c r="A4887" s="11"/>
    </row>
    <row r="4888" spans="1:1" ht="15.75" x14ac:dyDescent="0.25">
      <c r="A4888" s="11"/>
    </row>
    <row r="4889" spans="1:1" ht="15.75" x14ac:dyDescent="0.25">
      <c r="A4889" s="11"/>
    </row>
    <row r="4890" spans="1:1" ht="15.75" x14ac:dyDescent="0.25">
      <c r="A4890" s="11"/>
    </row>
    <row r="4891" spans="1:1" ht="15.75" x14ac:dyDescent="0.25">
      <c r="A4891" s="11"/>
    </row>
    <row r="4892" spans="1:1" ht="15.75" x14ac:dyDescent="0.25">
      <c r="A4892" s="11"/>
    </row>
    <row r="4893" spans="1:1" ht="15.75" x14ac:dyDescent="0.25">
      <c r="A4893" s="11"/>
    </row>
    <row r="4894" spans="1:1" ht="15.75" x14ac:dyDescent="0.25">
      <c r="A4894" s="11"/>
    </row>
    <row r="4895" spans="1:1" ht="15.75" x14ac:dyDescent="0.25">
      <c r="A4895" s="11"/>
    </row>
    <row r="4896" spans="1:1" ht="15.75" x14ac:dyDescent="0.25">
      <c r="A4896" s="11"/>
    </row>
    <row r="4897" spans="1:1" ht="15.75" x14ac:dyDescent="0.25">
      <c r="A4897" s="11"/>
    </row>
    <row r="4898" spans="1:1" ht="15.75" x14ac:dyDescent="0.25">
      <c r="A4898" s="11"/>
    </row>
    <row r="4899" spans="1:1" ht="15.75" x14ac:dyDescent="0.25">
      <c r="A4899" s="11"/>
    </row>
    <row r="4900" spans="1:1" ht="15.75" x14ac:dyDescent="0.25">
      <c r="A4900" s="11"/>
    </row>
    <row r="4901" spans="1:1" ht="15.75" x14ac:dyDescent="0.25">
      <c r="A4901" s="11"/>
    </row>
    <row r="4902" spans="1:1" ht="15.75" x14ac:dyDescent="0.25">
      <c r="A4902" s="11"/>
    </row>
    <row r="4903" spans="1:1" ht="15.75" x14ac:dyDescent="0.25">
      <c r="A4903" s="11"/>
    </row>
    <row r="4904" spans="1:1" ht="15.75" x14ac:dyDescent="0.25">
      <c r="A4904" s="11"/>
    </row>
    <row r="4905" spans="1:1" ht="15.75" x14ac:dyDescent="0.25">
      <c r="A4905" s="11"/>
    </row>
    <row r="4906" spans="1:1" ht="15.75" x14ac:dyDescent="0.25">
      <c r="A4906" s="11"/>
    </row>
    <row r="4907" spans="1:1" ht="15.75" x14ac:dyDescent="0.25">
      <c r="A4907" s="11"/>
    </row>
    <row r="4908" spans="1:1" ht="15.75" x14ac:dyDescent="0.25">
      <c r="A4908" s="11"/>
    </row>
    <row r="4909" spans="1:1" ht="15.75" x14ac:dyDescent="0.25">
      <c r="A4909" s="11"/>
    </row>
    <row r="4910" spans="1:1" ht="15.75" x14ac:dyDescent="0.25">
      <c r="A4910" s="11"/>
    </row>
    <row r="4911" spans="1:1" ht="15.75" x14ac:dyDescent="0.25">
      <c r="A4911" s="11"/>
    </row>
    <row r="4912" spans="1:1" ht="15.75" x14ac:dyDescent="0.25">
      <c r="A4912" s="11"/>
    </row>
    <row r="4913" spans="1:1" ht="15.75" x14ac:dyDescent="0.25">
      <c r="A4913" s="11"/>
    </row>
    <row r="4914" spans="1:1" ht="15.75" x14ac:dyDescent="0.25">
      <c r="A4914" s="11"/>
    </row>
    <row r="4915" spans="1:1" ht="15.75" x14ac:dyDescent="0.25">
      <c r="A4915" s="11"/>
    </row>
    <row r="4916" spans="1:1" ht="15.75" x14ac:dyDescent="0.25">
      <c r="A4916" s="11"/>
    </row>
    <row r="4917" spans="1:1" ht="15.75" x14ac:dyDescent="0.25">
      <c r="A4917" s="11"/>
    </row>
    <row r="4918" spans="1:1" ht="15.75" x14ac:dyDescent="0.25">
      <c r="A4918" s="11"/>
    </row>
    <row r="4919" spans="1:1" ht="15.75" x14ac:dyDescent="0.25">
      <c r="A4919" s="11"/>
    </row>
    <row r="4920" spans="1:1" ht="15.75" x14ac:dyDescent="0.25">
      <c r="A4920" s="11"/>
    </row>
    <row r="4921" spans="1:1" ht="15.75" x14ac:dyDescent="0.25">
      <c r="A4921" s="11"/>
    </row>
    <row r="4922" spans="1:1" ht="15.75" x14ac:dyDescent="0.25">
      <c r="A4922" s="11"/>
    </row>
    <row r="4923" spans="1:1" ht="15.75" x14ac:dyDescent="0.25">
      <c r="A4923" s="11"/>
    </row>
    <row r="4924" spans="1:1" ht="15.75" x14ac:dyDescent="0.25">
      <c r="A4924" s="11"/>
    </row>
    <row r="4925" spans="1:1" ht="15.75" x14ac:dyDescent="0.25">
      <c r="A4925" s="11"/>
    </row>
    <row r="4926" spans="1:1" ht="15.75" x14ac:dyDescent="0.25">
      <c r="A4926" s="11"/>
    </row>
    <row r="4927" spans="1:1" ht="15.75" x14ac:dyDescent="0.25">
      <c r="A4927" s="11"/>
    </row>
    <row r="4928" spans="1:1" ht="15.75" x14ac:dyDescent="0.25">
      <c r="A4928" s="11"/>
    </row>
    <row r="4929" spans="1:1" ht="15.75" x14ac:dyDescent="0.25">
      <c r="A4929" s="11"/>
    </row>
    <row r="4930" spans="1:1" ht="15.75" x14ac:dyDescent="0.25">
      <c r="A4930" s="11"/>
    </row>
    <row r="4931" spans="1:1" ht="15.75" x14ac:dyDescent="0.25">
      <c r="A4931" s="11"/>
    </row>
    <row r="4932" spans="1:1" ht="15.75" x14ac:dyDescent="0.25">
      <c r="A4932" s="11"/>
    </row>
    <row r="4933" spans="1:1" ht="15.75" x14ac:dyDescent="0.25">
      <c r="A4933" s="11"/>
    </row>
    <row r="4934" spans="1:1" ht="15.75" x14ac:dyDescent="0.25">
      <c r="A4934" s="11"/>
    </row>
    <row r="4935" spans="1:1" ht="15.75" x14ac:dyDescent="0.25">
      <c r="A4935" s="11"/>
    </row>
    <row r="4936" spans="1:1" ht="15.75" x14ac:dyDescent="0.25">
      <c r="A4936" s="11"/>
    </row>
    <row r="4937" spans="1:1" ht="15.75" x14ac:dyDescent="0.25">
      <c r="A4937" s="11"/>
    </row>
    <row r="4938" spans="1:1" ht="15.75" x14ac:dyDescent="0.25">
      <c r="A4938" s="11"/>
    </row>
    <row r="4939" spans="1:1" ht="15.75" x14ac:dyDescent="0.25">
      <c r="A4939" s="11"/>
    </row>
    <row r="4940" spans="1:1" ht="15.75" x14ac:dyDescent="0.25">
      <c r="A4940" s="11"/>
    </row>
    <row r="4941" spans="1:1" ht="15.75" x14ac:dyDescent="0.25">
      <c r="A4941" s="11"/>
    </row>
    <row r="4942" spans="1:1" ht="15.75" x14ac:dyDescent="0.25">
      <c r="A4942" s="11"/>
    </row>
    <row r="4943" spans="1:1" ht="15.75" x14ac:dyDescent="0.25">
      <c r="A4943" s="11"/>
    </row>
    <row r="4944" spans="1:1" ht="15.75" x14ac:dyDescent="0.25">
      <c r="A4944" s="11"/>
    </row>
    <row r="4945" spans="1:1" ht="15.75" x14ac:dyDescent="0.25">
      <c r="A4945" s="11"/>
    </row>
    <row r="4946" spans="1:1" ht="15.75" x14ac:dyDescent="0.25">
      <c r="A4946" s="11"/>
    </row>
    <row r="4947" spans="1:1" ht="15.75" x14ac:dyDescent="0.25">
      <c r="A4947" s="11"/>
    </row>
    <row r="4948" spans="1:1" ht="15.75" x14ac:dyDescent="0.25">
      <c r="A4948" s="11"/>
    </row>
    <row r="4949" spans="1:1" ht="15.75" x14ac:dyDescent="0.25">
      <c r="A4949" s="11"/>
    </row>
    <row r="4950" spans="1:1" ht="15.75" x14ac:dyDescent="0.25">
      <c r="A4950" s="11"/>
    </row>
    <row r="4951" spans="1:1" ht="15.75" x14ac:dyDescent="0.25">
      <c r="A4951" s="11"/>
    </row>
    <row r="4952" spans="1:1" ht="15.75" x14ac:dyDescent="0.25">
      <c r="A4952" s="11"/>
    </row>
    <row r="4953" spans="1:1" ht="15.75" x14ac:dyDescent="0.25">
      <c r="A4953" s="11"/>
    </row>
    <row r="4954" spans="1:1" ht="15.75" x14ac:dyDescent="0.25">
      <c r="A4954" s="11"/>
    </row>
    <row r="4955" spans="1:1" ht="15.75" x14ac:dyDescent="0.25">
      <c r="A4955" s="11"/>
    </row>
    <row r="4956" spans="1:1" ht="15.75" x14ac:dyDescent="0.25">
      <c r="A4956" s="11"/>
    </row>
    <row r="4957" spans="1:1" ht="15.75" x14ac:dyDescent="0.25">
      <c r="A4957" s="11"/>
    </row>
    <row r="4958" spans="1:1" ht="15.75" x14ac:dyDescent="0.25">
      <c r="A4958" s="11"/>
    </row>
    <row r="4959" spans="1:1" ht="15.75" x14ac:dyDescent="0.25">
      <c r="A4959" s="11"/>
    </row>
    <row r="4960" spans="1:1" ht="15.75" x14ac:dyDescent="0.25">
      <c r="A4960" s="11"/>
    </row>
    <row r="4961" spans="1:1" ht="15.75" x14ac:dyDescent="0.25">
      <c r="A4961" s="11"/>
    </row>
    <row r="4962" spans="1:1" ht="15.75" x14ac:dyDescent="0.25">
      <c r="A4962" s="11"/>
    </row>
    <row r="4963" spans="1:1" ht="15.75" x14ac:dyDescent="0.25">
      <c r="A4963" s="11"/>
    </row>
    <row r="4964" spans="1:1" ht="15.75" x14ac:dyDescent="0.25">
      <c r="A4964" s="11"/>
    </row>
    <row r="4965" spans="1:1" ht="15.75" x14ac:dyDescent="0.25">
      <c r="A4965" s="11"/>
    </row>
    <row r="4966" spans="1:1" ht="15.75" x14ac:dyDescent="0.25">
      <c r="A4966" s="11"/>
    </row>
    <row r="4967" spans="1:1" ht="15.75" x14ac:dyDescent="0.25">
      <c r="A4967" s="11"/>
    </row>
    <row r="4968" spans="1:1" ht="15.75" x14ac:dyDescent="0.25">
      <c r="A4968" s="11"/>
    </row>
    <row r="4969" spans="1:1" ht="15.75" x14ac:dyDescent="0.25">
      <c r="A4969" s="11"/>
    </row>
    <row r="4970" spans="1:1" ht="15.75" x14ac:dyDescent="0.25">
      <c r="A4970" s="11"/>
    </row>
    <row r="4971" spans="1:1" ht="15.75" x14ac:dyDescent="0.25">
      <c r="A4971" s="11"/>
    </row>
    <row r="4972" spans="1:1" ht="15.75" x14ac:dyDescent="0.25">
      <c r="A4972" s="11"/>
    </row>
    <row r="4973" spans="1:1" ht="15.75" x14ac:dyDescent="0.25">
      <c r="A4973" s="11"/>
    </row>
    <row r="4974" spans="1:1" ht="15.75" x14ac:dyDescent="0.25">
      <c r="A4974" s="11"/>
    </row>
    <row r="4975" spans="1:1" ht="15.75" x14ac:dyDescent="0.25">
      <c r="A4975" s="11"/>
    </row>
    <row r="4976" spans="1:1" ht="15.75" x14ac:dyDescent="0.25">
      <c r="A4976" s="11"/>
    </row>
    <row r="4977" spans="1:1" ht="15.75" x14ac:dyDescent="0.25">
      <c r="A4977" s="11"/>
    </row>
    <row r="4978" spans="1:1" ht="15.75" x14ac:dyDescent="0.25">
      <c r="A4978" s="11"/>
    </row>
    <row r="4979" spans="1:1" ht="15.75" x14ac:dyDescent="0.25">
      <c r="A4979" s="11"/>
    </row>
    <row r="4980" spans="1:1" ht="15.75" x14ac:dyDescent="0.25">
      <c r="A4980" s="11"/>
    </row>
    <row r="4981" spans="1:1" ht="15.75" x14ac:dyDescent="0.25">
      <c r="A4981" s="11"/>
    </row>
    <row r="4982" spans="1:1" ht="15.75" x14ac:dyDescent="0.25">
      <c r="A4982" s="11"/>
    </row>
    <row r="4983" spans="1:1" ht="15.75" x14ac:dyDescent="0.25">
      <c r="A4983" s="11"/>
    </row>
    <row r="4984" spans="1:1" ht="15.75" x14ac:dyDescent="0.25">
      <c r="A4984" s="11"/>
    </row>
    <row r="4985" spans="1:1" ht="15.75" x14ac:dyDescent="0.25">
      <c r="A4985" s="11"/>
    </row>
    <row r="4986" spans="1:1" ht="15.75" x14ac:dyDescent="0.25">
      <c r="A4986" s="11"/>
    </row>
    <row r="4987" spans="1:1" ht="15.75" x14ac:dyDescent="0.25">
      <c r="A4987" s="11"/>
    </row>
    <row r="4988" spans="1:1" ht="15.75" x14ac:dyDescent="0.25">
      <c r="A4988" s="11"/>
    </row>
    <row r="4989" spans="1:1" ht="15.75" x14ac:dyDescent="0.25">
      <c r="A4989" s="11"/>
    </row>
    <row r="4990" spans="1:1" ht="15.75" x14ac:dyDescent="0.25">
      <c r="A4990" s="11"/>
    </row>
    <row r="4991" spans="1:1" ht="15.75" x14ac:dyDescent="0.25">
      <c r="A4991" s="11"/>
    </row>
    <row r="4992" spans="1:1" ht="15.75" x14ac:dyDescent="0.25">
      <c r="A4992" s="11"/>
    </row>
    <row r="4993" spans="1:1" ht="15.75" x14ac:dyDescent="0.25">
      <c r="A4993" s="11"/>
    </row>
    <row r="4994" spans="1:1" ht="15.75" x14ac:dyDescent="0.25">
      <c r="A4994" s="11"/>
    </row>
    <row r="4995" spans="1:1" ht="15.75" x14ac:dyDescent="0.25">
      <c r="A4995" s="11"/>
    </row>
    <row r="4996" spans="1:1" ht="15.75" x14ac:dyDescent="0.25">
      <c r="A4996" s="11"/>
    </row>
    <row r="4997" spans="1:1" ht="15.75" x14ac:dyDescent="0.25">
      <c r="A4997" s="11"/>
    </row>
    <row r="4998" spans="1:1" ht="15.75" x14ac:dyDescent="0.25">
      <c r="A4998" s="11"/>
    </row>
    <row r="4999" spans="1:1" ht="15.75" x14ac:dyDescent="0.25">
      <c r="A4999" s="11"/>
    </row>
    <row r="5000" spans="1:1" ht="15.75" x14ac:dyDescent="0.25">
      <c r="A5000" s="11"/>
    </row>
    <row r="5001" spans="1:1" ht="15.75" x14ac:dyDescent="0.25">
      <c r="A5001" s="11"/>
    </row>
    <row r="5002" spans="1:1" ht="15.75" x14ac:dyDescent="0.25">
      <c r="A5002" s="11"/>
    </row>
    <row r="5003" spans="1:1" ht="15.75" x14ac:dyDescent="0.25">
      <c r="A5003" s="11"/>
    </row>
    <row r="5004" spans="1:1" ht="15.75" x14ac:dyDescent="0.25">
      <c r="A5004" s="11"/>
    </row>
    <row r="5005" spans="1:1" ht="15.75" x14ac:dyDescent="0.25">
      <c r="A5005" s="11"/>
    </row>
    <row r="5006" spans="1:1" ht="15.75" x14ac:dyDescent="0.25">
      <c r="A5006" s="11"/>
    </row>
    <row r="5007" spans="1:1" ht="15.75" x14ac:dyDescent="0.25">
      <c r="A5007" s="11"/>
    </row>
    <row r="5008" spans="1:1" ht="15.75" x14ac:dyDescent="0.25">
      <c r="A5008" s="11"/>
    </row>
    <row r="5009" spans="1:1" ht="15.75" x14ac:dyDescent="0.25">
      <c r="A5009" s="11"/>
    </row>
    <row r="5010" spans="1:1" ht="15.75" x14ac:dyDescent="0.25">
      <c r="A5010" s="11"/>
    </row>
    <row r="5011" spans="1:1" ht="15.75" x14ac:dyDescent="0.25">
      <c r="A5011" s="11"/>
    </row>
    <row r="5012" spans="1:1" ht="15.75" x14ac:dyDescent="0.25">
      <c r="A5012" s="11"/>
    </row>
    <row r="5013" spans="1:1" ht="15.75" x14ac:dyDescent="0.25">
      <c r="A5013" s="11"/>
    </row>
    <row r="5014" spans="1:1" ht="15.75" x14ac:dyDescent="0.25">
      <c r="A5014" s="11"/>
    </row>
    <row r="5015" spans="1:1" ht="15.75" x14ac:dyDescent="0.25">
      <c r="A5015" s="11"/>
    </row>
    <row r="5016" spans="1:1" ht="15.75" x14ac:dyDescent="0.25">
      <c r="A5016" s="11"/>
    </row>
    <row r="5017" spans="1:1" ht="15.75" x14ac:dyDescent="0.25">
      <c r="A5017" s="11"/>
    </row>
    <row r="5018" spans="1:1" ht="15.75" x14ac:dyDescent="0.25">
      <c r="A5018" s="11"/>
    </row>
    <row r="5019" spans="1:1" ht="15.75" x14ac:dyDescent="0.25">
      <c r="A5019" s="11"/>
    </row>
    <row r="5020" spans="1:1" ht="15.75" x14ac:dyDescent="0.25">
      <c r="A5020" s="11"/>
    </row>
    <row r="5021" spans="1:1" ht="15.75" x14ac:dyDescent="0.25">
      <c r="A5021" s="11"/>
    </row>
    <row r="5022" spans="1:1" ht="15.75" x14ac:dyDescent="0.25">
      <c r="A5022" s="11"/>
    </row>
    <row r="5023" spans="1:1" ht="15.75" x14ac:dyDescent="0.25">
      <c r="A5023" s="11"/>
    </row>
    <row r="5024" spans="1:1" ht="15.75" x14ac:dyDescent="0.25">
      <c r="A5024" s="11"/>
    </row>
    <row r="5025" spans="1:1" ht="15.75" x14ac:dyDescent="0.25">
      <c r="A5025" s="11"/>
    </row>
    <row r="5026" spans="1:1" ht="15.75" x14ac:dyDescent="0.25">
      <c r="A5026" s="11"/>
    </row>
    <row r="5027" spans="1:1" ht="15.75" x14ac:dyDescent="0.25">
      <c r="A5027" s="11"/>
    </row>
    <row r="5028" spans="1:1" ht="15.75" x14ac:dyDescent="0.25">
      <c r="A5028" s="11"/>
    </row>
    <row r="5029" spans="1:1" ht="15.75" x14ac:dyDescent="0.25">
      <c r="A5029" s="11"/>
    </row>
    <row r="5030" spans="1:1" ht="15.75" x14ac:dyDescent="0.25">
      <c r="A5030" s="11"/>
    </row>
    <row r="5031" spans="1:1" ht="15.75" x14ac:dyDescent="0.25">
      <c r="A5031" s="11"/>
    </row>
    <row r="5032" spans="1:1" ht="15.75" x14ac:dyDescent="0.25">
      <c r="A5032" s="11"/>
    </row>
    <row r="5033" spans="1:1" ht="15.75" x14ac:dyDescent="0.25">
      <c r="A5033" s="11"/>
    </row>
    <row r="5034" spans="1:1" ht="15.75" x14ac:dyDescent="0.25">
      <c r="A5034" s="11"/>
    </row>
    <row r="5035" spans="1:1" ht="15.75" x14ac:dyDescent="0.25">
      <c r="A5035" s="11"/>
    </row>
    <row r="5036" spans="1:1" ht="15.75" x14ac:dyDescent="0.25">
      <c r="A5036" s="11"/>
    </row>
    <row r="5037" spans="1:1" ht="15.75" x14ac:dyDescent="0.25">
      <c r="A5037" s="11"/>
    </row>
    <row r="5038" spans="1:1" ht="15.75" x14ac:dyDescent="0.25">
      <c r="A5038" s="11"/>
    </row>
    <row r="5039" spans="1:1" ht="15.75" x14ac:dyDescent="0.25">
      <c r="A5039" s="11"/>
    </row>
    <row r="5040" spans="1:1" ht="15.75" x14ac:dyDescent="0.25">
      <c r="A5040" s="11"/>
    </row>
    <row r="5041" spans="1:1" ht="15.75" x14ac:dyDescent="0.25">
      <c r="A5041" s="11"/>
    </row>
    <row r="5042" spans="1:1" ht="15.75" x14ac:dyDescent="0.25">
      <c r="A5042" s="11"/>
    </row>
    <row r="5043" spans="1:1" ht="15.75" x14ac:dyDescent="0.25">
      <c r="A5043" s="11"/>
    </row>
    <row r="5044" spans="1:1" ht="15.75" x14ac:dyDescent="0.25">
      <c r="A5044" s="11"/>
    </row>
    <row r="5045" spans="1:1" ht="15.75" x14ac:dyDescent="0.25">
      <c r="A5045" s="11"/>
    </row>
    <row r="5046" spans="1:1" ht="15.75" x14ac:dyDescent="0.25">
      <c r="A5046" s="11"/>
    </row>
    <row r="5047" spans="1:1" ht="15.75" x14ac:dyDescent="0.25">
      <c r="A5047" s="11"/>
    </row>
    <row r="5048" spans="1:1" ht="15.75" x14ac:dyDescent="0.25">
      <c r="A5048" s="11"/>
    </row>
    <row r="5049" spans="1:1" ht="15.75" x14ac:dyDescent="0.25">
      <c r="A5049" s="11"/>
    </row>
    <row r="5050" spans="1:1" ht="15.75" x14ac:dyDescent="0.25">
      <c r="A5050" s="11"/>
    </row>
    <row r="5051" spans="1:1" ht="15.75" x14ac:dyDescent="0.25">
      <c r="A5051" s="11"/>
    </row>
    <row r="5052" spans="1:1" ht="15.75" x14ac:dyDescent="0.25">
      <c r="A5052" s="11"/>
    </row>
    <row r="5053" spans="1:1" ht="15.75" x14ac:dyDescent="0.25">
      <c r="A5053" s="11"/>
    </row>
    <row r="5054" spans="1:1" ht="15.75" x14ac:dyDescent="0.25">
      <c r="A5054" s="11"/>
    </row>
    <row r="5055" spans="1:1" ht="15.75" x14ac:dyDescent="0.25">
      <c r="A5055" s="11"/>
    </row>
    <row r="5056" spans="1:1" ht="15.75" x14ac:dyDescent="0.25">
      <c r="A5056" s="11"/>
    </row>
    <row r="5057" spans="1:1" ht="15.75" x14ac:dyDescent="0.25">
      <c r="A5057" s="11"/>
    </row>
    <row r="5058" spans="1:1" ht="15.75" x14ac:dyDescent="0.25">
      <c r="A5058" s="11"/>
    </row>
    <row r="5059" spans="1:1" ht="15.75" x14ac:dyDescent="0.25">
      <c r="A5059" s="11"/>
    </row>
    <row r="5060" spans="1:1" ht="15.75" x14ac:dyDescent="0.25">
      <c r="A5060" s="11"/>
    </row>
    <row r="5061" spans="1:1" ht="15.75" x14ac:dyDescent="0.25">
      <c r="A5061" s="11"/>
    </row>
    <row r="5062" spans="1:1" ht="15.75" x14ac:dyDescent="0.25">
      <c r="A5062" s="11"/>
    </row>
    <row r="5063" spans="1:1" ht="15.75" x14ac:dyDescent="0.25">
      <c r="A5063" s="11"/>
    </row>
    <row r="5064" spans="1:1" ht="15.75" x14ac:dyDescent="0.25">
      <c r="A5064" s="11"/>
    </row>
    <row r="5065" spans="1:1" ht="15.75" x14ac:dyDescent="0.25">
      <c r="A5065" s="11"/>
    </row>
    <row r="5066" spans="1:1" ht="15.75" x14ac:dyDescent="0.25">
      <c r="A5066" s="11"/>
    </row>
    <row r="5067" spans="1:1" ht="15.75" x14ac:dyDescent="0.25">
      <c r="A5067" s="11"/>
    </row>
    <row r="5068" spans="1:1" ht="15.75" x14ac:dyDescent="0.25">
      <c r="A5068" s="11"/>
    </row>
    <row r="5069" spans="1:1" ht="15.75" x14ac:dyDescent="0.25">
      <c r="A5069" s="11"/>
    </row>
    <row r="5070" spans="1:1" ht="15.75" x14ac:dyDescent="0.25">
      <c r="A5070" s="11"/>
    </row>
    <row r="5071" spans="1:1" ht="15.75" x14ac:dyDescent="0.25">
      <c r="A5071" s="11"/>
    </row>
    <row r="5072" spans="1:1" ht="15.75" x14ac:dyDescent="0.25">
      <c r="A5072" s="11"/>
    </row>
    <row r="5073" spans="1:1" ht="15.75" x14ac:dyDescent="0.25">
      <c r="A5073" s="11"/>
    </row>
    <row r="5074" spans="1:1" ht="15.75" x14ac:dyDescent="0.25">
      <c r="A5074" s="11"/>
    </row>
    <row r="5075" spans="1:1" ht="15.75" x14ac:dyDescent="0.25">
      <c r="A5075" s="11"/>
    </row>
    <row r="5076" spans="1:1" ht="15.75" x14ac:dyDescent="0.25">
      <c r="A5076" s="11"/>
    </row>
    <row r="5077" spans="1:1" ht="15.75" x14ac:dyDescent="0.25">
      <c r="A5077" s="11"/>
    </row>
    <row r="5078" spans="1:1" ht="15.75" x14ac:dyDescent="0.25">
      <c r="A5078" s="11"/>
    </row>
    <row r="5079" spans="1:1" ht="15.75" x14ac:dyDescent="0.25">
      <c r="A5079" s="11"/>
    </row>
    <row r="5080" spans="1:1" ht="15.75" x14ac:dyDescent="0.25">
      <c r="A5080" s="11"/>
    </row>
    <row r="5081" spans="1:1" ht="15.75" x14ac:dyDescent="0.25">
      <c r="A5081" s="11"/>
    </row>
    <row r="5082" spans="1:1" ht="15.75" x14ac:dyDescent="0.25">
      <c r="A5082" s="11"/>
    </row>
    <row r="5083" spans="1:1" ht="15.75" x14ac:dyDescent="0.25">
      <c r="A5083" s="11"/>
    </row>
    <row r="5084" spans="1:1" ht="15.75" x14ac:dyDescent="0.25">
      <c r="A5084" s="11"/>
    </row>
    <row r="5085" spans="1:1" ht="15.75" x14ac:dyDescent="0.25">
      <c r="A5085" s="11"/>
    </row>
    <row r="5086" spans="1:1" ht="15.75" x14ac:dyDescent="0.25">
      <c r="A5086" s="11"/>
    </row>
    <row r="5087" spans="1:1" ht="15.75" x14ac:dyDescent="0.25">
      <c r="A5087" s="11"/>
    </row>
    <row r="5088" spans="1:1" ht="15.75" x14ac:dyDescent="0.25">
      <c r="A5088" s="11"/>
    </row>
    <row r="5089" spans="1:1" ht="15.75" x14ac:dyDescent="0.25">
      <c r="A5089" s="11"/>
    </row>
    <row r="5090" spans="1:1" ht="15.75" x14ac:dyDescent="0.25">
      <c r="A5090" s="11"/>
    </row>
    <row r="5091" spans="1:1" ht="15.75" x14ac:dyDescent="0.25">
      <c r="A5091" s="11"/>
    </row>
    <row r="5092" spans="1:1" ht="15.75" x14ac:dyDescent="0.25">
      <c r="A5092" s="11"/>
    </row>
    <row r="5093" spans="1:1" ht="15.75" x14ac:dyDescent="0.25">
      <c r="A5093" s="11"/>
    </row>
    <row r="5094" spans="1:1" ht="15.75" x14ac:dyDescent="0.25">
      <c r="A5094" s="11"/>
    </row>
    <row r="5095" spans="1:1" ht="15.75" x14ac:dyDescent="0.25">
      <c r="A5095" s="11"/>
    </row>
    <row r="5096" spans="1:1" ht="15.75" x14ac:dyDescent="0.25">
      <c r="A5096" s="11"/>
    </row>
    <row r="5097" spans="1:1" ht="15.75" x14ac:dyDescent="0.25">
      <c r="A5097" s="11"/>
    </row>
    <row r="5098" spans="1:1" ht="15.75" x14ac:dyDescent="0.25">
      <c r="A5098" s="11"/>
    </row>
    <row r="5099" spans="1:1" ht="15.75" x14ac:dyDescent="0.25">
      <c r="A5099" s="11"/>
    </row>
    <row r="5100" spans="1:1" ht="15.75" x14ac:dyDescent="0.25">
      <c r="A5100" s="11"/>
    </row>
    <row r="5101" spans="1:1" ht="15.75" x14ac:dyDescent="0.25">
      <c r="A5101" s="11"/>
    </row>
    <row r="5102" spans="1:1" ht="15.75" x14ac:dyDescent="0.25">
      <c r="A5102" s="11"/>
    </row>
    <row r="5103" spans="1:1" ht="15.75" x14ac:dyDescent="0.25">
      <c r="A5103" s="11"/>
    </row>
    <row r="5104" spans="1:1" ht="15.75" x14ac:dyDescent="0.25">
      <c r="A5104" s="11"/>
    </row>
    <row r="5105" spans="1:1" ht="15.75" x14ac:dyDescent="0.25">
      <c r="A5105" s="11"/>
    </row>
    <row r="5106" spans="1:1" ht="15.75" x14ac:dyDescent="0.25">
      <c r="A5106" s="11"/>
    </row>
    <row r="5107" spans="1:1" ht="15.75" x14ac:dyDescent="0.25">
      <c r="A5107" s="11"/>
    </row>
    <row r="5108" spans="1:1" ht="15.75" x14ac:dyDescent="0.25">
      <c r="A5108" s="11"/>
    </row>
    <row r="5109" spans="1:1" ht="15.75" x14ac:dyDescent="0.25">
      <c r="A5109" s="11"/>
    </row>
    <row r="5110" spans="1:1" ht="15.75" x14ac:dyDescent="0.25">
      <c r="A5110" s="11"/>
    </row>
    <row r="5111" spans="1:1" ht="15.75" x14ac:dyDescent="0.25">
      <c r="A5111" s="11"/>
    </row>
    <row r="5112" spans="1:1" ht="15.75" x14ac:dyDescent="0.25">
      <c r="A5112" s="11"/>
    </row>
    <row r="5113" spans="1:1" ht="15.75" x14ac:dyDescent="0.25">
      <c r="A5113" s="11"/>
    </row>
    <row r="5114" spans="1:1" ht="15.75" x14ac:dyDescent="0.25">
      <c r="A5114" s="11"/>
    </row>
    <row r="5115" spans="1:1" ht="15.75" x14ac:dyDescent="0.25">
      <c r="A5115" s="11"/>
    </row>
    <row r="5116" spans="1:1" ht="15.75" x14ac:dyDescent="0.25">
      <c r="A5116" s="11"/>
    </row>
    <row r="5117" spans="1:1" ht="15.75" x14ac:dyDescent="0.25">
      <c r="A5117" s="11"/>
    </row>
    <row r="5118" spans="1:1" ht="15.75" x14ac:dyDescent="0.25">
      <c r="A5118" s="11"/>
    </row>
    <row r="5119" spans="1:1" ht="15.75" x14ac:dyDescent="0.25">
      <c r="A5119" s="11"/>
    </row>
    <row r="5120" spans="1:1" ht="15.75" x14ac:dyDescent="0.25">
      <c r="A5120" s="11"/>
    </row>
    <row r="5121" spans="1:1" ht="15.75" x14ac:dyDescent="0.25">
      <c r="A5121" s="11"/>
    </row>
    <row r="5122" spans="1:1" ht="15.75" x14ac:dyDescent="0.25">
      <c r="A5122" s="11"/>
    </row>
    <row r="5123" spans="1:1" ht="15.75" x14ac:dyDescent="0.25">
      <c r="A5123" s="11"/>
    </row>
    <row r="5124" spans="1:1" ht="15.75" x14ac:dyDescent="0.25">
      <c r="A5124" s="11"/>
    </row>
    <row r="5125" spans="1:1" ht="15.75" x14ac:dyDescent="0.25">
      <c r="A5125" s="11"/>
    </row>
    <row r="5126" spans="1:1" ht="15.75" x14ac:dyDescent="0.25">
      <c r="A5126" s="11"/>
    </row>
    <row r="5127" spans="1:1" ht="15.75" x14ac:dyDescent="0.25">
      <c r="A5127" s="11"/>
    </row>
    <row r="5128" spans="1:1" ht="15.75" x14ac:dyDescent="0.25">
      <c r="A5128" s="11"/>
    </row>
    <row r="5129" spans="1:1" ht="15.75" x14ac:dyDescent="0.25">
      <c r="A5129" s="11"/>
    </row>
    <row r="5130" spans="1:1" ht="15.75" x14ac:dyDescent="0.25">
      <c r="A5130" s="11"/>
    </row>
    <row r="5131" spans="1:1" ht="15.75" x14ac:dyDescent="0.25">
      <c r="A5131" s="11"/>
    </row>
    <row r="5132" spans="1:1" ht="15.75" x14ac:dyDescent="0.25">
      <c r="A5132" s="11"/>
    </row>
    <row r="5133" spans="1:1" ht="15.75" x14ac:dyDescent="0.25">
      <c r="A5133" s="11"/>
    </row>
    <row r="5134" spans="1:1" ht="15.75" x14ac:dyDescent="0.25">
      <c r="A5134" s="11"/>
    </row>
    <row r="5135" spans="1:1" ht="15.75" x14ac:dyDescent="0.25">
      <c r="A5135" s="11"/>
    </row>
    <row r="5136" spans="1:1" ht="15.75" x14ac:dyDescent="0.25">
      <c r="A5136" s="11"/>
    </row>
    <row r="5137" spans="1:1" ht="15.75" x14ac:dyDescent="0.25">
      <c r="A5137" s="11"/>
    </row>
    <row r="5138" spans="1:1" ht="15.75" x14ac:dyDescent="0.25">
      <c r="A5138" s="11"/>
    </row>
    <row r="5139" spans="1:1" ht="15.75" x14ac:dyDescent="0.25">
      <c r="A5139" s="11"/>
    </row>
    <row r="5140" spans="1:1" ht="15.75" x14ac:dyDescent="0.25">
      <c r="A5140" s="11"/>
    </row>
    <row r="5141" spans="1:1" ht="15.75" x14ac:dyDescent="0.25">
      <c r="A5141" s="11"/>
    </row>
    <row r="5142" spans="1:1" ht="15.75" x14ac:dyDescent="0.25">
      <c r="A5142" s="11"/>
    </row>
    <row r="5143" spans="1:1" ht="15.75" x14ac:dyDescent="0.25">
      <c r="A5143" s="11"/>
    </row>
    <row r="5144" spans="1:1" ht="15.75" x14ac:dyDescent="0.25">
      <c r="A5144" s="11"/>
    </row>
    <row r="5145" spans="1:1" ht="15.75" x14ac:dyDescent="0.25">
      <c r="A5145" s="11"/>
    </row>
    <row r="5146" spans="1:1" ht="15.75" x14ac:dyDescent="0.25">
      <c r="A5146" s="11"/>
    </row>
    <row r="5147" spans="1:1" ht="15.75" x14ac:dyDescent="0.25">
      <c r="A5147" s="11"/>
    </row>
    <row r="5148" spans="1:1" ht="15.75" x14ac:dyDescent="0.25">
      <c r="A5148" s="11"/>
    </row>
    <row r="5149" spans="1:1" ht="15.75" x14ac:dyDescent="0.25">
      <c r="A5149" s="11"/>
    </row>
    <row r="5150" spans="1:1" ht="15.75" x14ac:dyDescent="0.25">
      <c r="A5150" s="11"/>
    </row>
    <row r="5151" spans="1:1" ht="15.75" x14ac:dyDescent="0.25">
      <c r="A5151" s="11"/>
    </row>
    <row r="5152" spans="1:1" ht="15.75" x14ac:dyDescent="0.25">
      <c r="A5152" s="11"/>
    </row>
    <row r="5153" spans="1:1" ht="15.75" x14ac:dyDescent="0.25">
      <c r="A5153" s="11"/>
    </row>
    <row r="5154" spans="1:1" ht="15.75" x14ac:dyDescent="0.25">
      <c r="A5154" s="11"/>
    </row>
    <row r="5155" spans="1:1" ht="15.75" x14ac:dyDescent="0.25">
      <c r="A5155" s="11"/>
    </row>
    <row r="5156" spans="1:1" ht="15.75" x14ac:dyDescent="0.25">
      <c r="A5156" s="11"/>
    </row>
    <row r="5157" spans="1:1" ht="15.75" x14ac:dyDescent="0.25">
      <c r="A5157" s="11"/>
    </row>
    <row r="5158" spans="1:1" ht="15.75" x14ac:dyDescent="0.25">
      <c r="A5158" s="11"/>
    </row>
    <row r="5159" spans="1:1" ht="15.75" x14ac:dyDescent="0.25">
      <c r="A5159" s="11"/>
    </row>
    <row r="5160" spans="1:1" ht="15.75" x14ac:dyDescent="0.25">
      <c r="A5160" s="11"/>
    </row>
    <row r="5161" spans="1:1" ht="15.75" x14ac:dyDescent="0.25">
      <c r="A5161" s="11"/>
    </row>
    <row r="5162" spans="1:1" ht="15.75" x14ac:dyDescent="0.25">
      <c r="A5162" s="11"/>
    </row>
    <row r="5163" spans="1:1" ht="15.75" x14ac:dyDescent="0.25">
      <c r="A5163" s="11"/>
    </row>
    <row r="5164" spans="1:1" ht="15.75" x14ac:dyDescent="0.25">
      <c r="A5164" s="11"/>
    </row>
    <row r="5165" spans="1:1" ht="15.75" x14ac:dyDescent="0.25">
      <c r="A5165" s="11"/>
    </row>
    <row r="5166" spans="1:1" ht="15.75" x14ac:dyDescent="0.25">
      <c r="A5166" s="11"/>
    </row>
    <row r="5167" spans="1:1" ht="15.75" x14ac:dyDescent="0.25">
      <c r="A5167" s="11"/>
    </row>
    <row r="5168" spans="1:1" ht="15.75" x14ac:dyDescent="0.25">
      <c r="A5168" s="11"/>
    </row>
    <row r="5169" spans="1:1" ht="15.75" x14ac:dyDescent="0.25">
      <c r="A5169" s="11"/>
    </row>
    <row r="5170" spans="1:1" ht="15.75" x14ac:dyDescent="0.25">
      <c r="A5170" s="11"/>
    </row>
    <row r="5171" spans="1:1" ht="15.75" x14ac:dyDescent="0.25">
      <c r="A5171" s="11"/>
    </row>
    <row r="5172" spans="1:1" ht="15.75" x14ac:dyDescent="0.25">
      <c r="A5172" s="11"/>
    </row>
    <row r="5173" spans="1:1" ht="15.75" x14ac:dyDescent="0.25">
      <c r="A5173" s="11"/>
    </row>
    <row r="5174" spans="1:1" ht="15.75" x14ac:dyDescent="0.25">
      <c r="A5174" s="11"/>
    </row>
    <row r="5175" spans="1:1" ht="15.75" x14ac:dyDescent="0.25">
      <c r="A5175" s="11"/>
    </row>
    <row r="5176" spans="1:1" ht="15.75" x14ac:dyDescent="0.25">
      <c r="A5176" s="11"/>
    </row>
    <row r="5177" spans="1:1" ht="15.75" x14ac:dyDescent="0.25">
      <c r="A5177" s="11"/>
    </row>
    <row r="5178" spans="1:1" ht="15.75" x14ac:dyDescent="0.25">
      <c r="A5178" s="11"/>
    </row>
    <row r="5179" spans="1:1" ht="15.75" x14ac:dyDescent="0.25">
      <c r="A5179" s="11"/>
    </row>
    <row r="5180" spans="1:1" ht="15.75" x14ac:dyDescent="0.25">
      <c r="A5180" s="11"/>
    </row>
    <row r="5181" spans="1:1" ht="15.75" x14ac:dyDescent="0.25">
      <c r="A5181" s="11"/>
    </row>
    <row r="5182" spans="1:1" ht="15.75" x14ac:dyDescent="0.25">
      <c r="A5182" s="11"/>
    </row>
    <row r="5183" spans="1:1" ht="15.75" x14ac:dyDescent="0.25">
      <c r="A5183" s="11"/>
    </row>
    <row r="5184" spans="1:1" ht="15.75" x14ac:dyDescent="0.25">
      <c r="A5184" s="11"/>
    </row>
    <row r="5185" spans="1:1" ht="15.75" x14ac:dyDescent="0.25">
      <c r="A5185" s="11"/>
    </row>
    <row r="5186" spans="1:1" ht="15.75" x14ac:dyDescent="0.25">
      <c r="A5186" s="11"/>
    </row>
    <row r="5187" spans="1:1" ht="15.75" x14ac:dyDescent="0.25">
      <c r="A5187" s="11"/>
    </row>
    <row r="5188" spans="1:1" ht="15.75" x14ac:dyDescent="0.25">
      <c r="A5188" s="11"/>
    </row>
    <row r="5189" spans="1:1" ht="15.75" x14ac:dyDescent="0.25">
      <c r="A5189" s="11"/>
    </row>
    <row r="5190" spans="1:1" ht="15.75" x14ac:dyDescent="0.25">
      <c r="A5190" s="11"/>
    </row>
    <row r="5191" spans="1:1" ht="15.75" x14ac:dyDescent="0.25">
      <c r="A5191" s="11"/>
    </row>
    <row r="5192" spans="1:1" ht="15.75" x14ac:dyDescent="0.25">
      <c r="A5192" s="11"/>
    </row>
    <row r="5193" spans="1:1" ht="15.75" x14ac:dyDescent="0.25">
      <c r="A5193" s="11"/>
    </row>
    <row r="5194" spans="1:1" ht="15.75" x14ac:dyDescent="0.25">
      <c r="A5194" s="11"/>
    </row>
    <row r="5195" spans="1:1" ht="15.75" x14ac:dyDescent="0.25">
      <c r="A5195" s="11"/>
    </row>
    <row r="5196" spans="1:1" ht="15.75" x14ac:dyDescent="0.25">
      <c r="A5196" s="11"/>
    </row>
    <row r="5197" spans="1:1" ht="15.75" x14ac:dyDescent="0.25">
      <c r="A5197" s="11"/>
    </row>
    <row r="5198" spans="1:1" ht="15.75" x14ac:dyDescent="0.25">
      <c r="A5198" s="11"/>
    </row>
    <row r="5199" spans="1:1" ht="15.75" x14ac:dyDescent="0.25">
      <c r="A5199" s="11"/>
    </row>
    <row r="5200" spans="1:1" ht="15.75" x14ac:dyDescent="0.25">
      <c r="A5200" s="11"/>
    </row>
    <row r="5201" spans="1:1" ht="15.75" x14ac:dyDescent="0.25">
      <c r="A5201" s="11"/>
    </row>
    <row r="5202" spans="1:1" ht="15.75" x14ac:dyDescent="0.25">
      <c r="A5202" s="11"/>
    </row>
    <row r="5203" spans="1:1" ht="15.75" x14ac:dyDescent="0.25">
      <c r="A5203" s="11"/>
    </row>
    <row r="5204" spans="1:1" ht="15.75" x14ac:dyDescent="0.25">
      <c r="A5204" s="11"/>
    </row>
    <row r="5205" spans="1:1" ht="15.75" x14ac:dyDescent="0.25">
      <c r="A5205" s="11"/>
    </row>
    <row r="5206" spans="1:1" ht="15.75" x14ac:dyDescent="0.25">
      <c r="A5206" s="11"/>
    </row>
    <row r="5207" spans="1:1" ht="15.75" x14ac:dyDescent="0.25">
      <c r="A5207" s="11"/>
    </row>
    <row r="5208" spans="1:1" ht="15.75" x14ac:dyDescent="0.25">
      <c r="A5208" s="11"/>
    </row>
    <row r="5209" spans="1:1" ht="15.75" x14ac:dyDescent="0.25">
      <c r="A5209" s="11"/>
    </row>
    <row r="5210" spans="1:1" ht="15.75" x14ac:dyDescent="0.25">
      <c r="A5210" s="11"/>
    </row>
    <row r="5211" spans="1:1" ht="15.75" x14ac:dyDescent="0.25">
      <c r="A5211" s="11"/>
    </row>
    <row r="5212" spans="1:1" ht="15.75" x14ac:dyDescent="0.25">
      <c r="A5212" s="11"/>
    </row>
    <row r="5213" spans="1:1" ht="15.75" x14ac:dyDescent="0.25">
      <c r="A5213" s="11"/>
    </row>
    <row r="5214" spans="1:1" ht="15.75" x14ac:dyDescent="0.25">
      <c r="A5214" s="11"/>
    </row>
    <row r="5215" spans="1:1" ht="15.75" x14ac:dyDescent="0.25">
      <c r="A5215" s="11"/>
    </row>
    <row r="5216" spans="1:1" ht="15.75" x14ac:dyDescent="0.25">
      <c r="A5216" s="11"/>
    </row>
    <row r="5217" spans="1:1" ht="15.75" x14ac:dyDescent="0.25">
      <c r="A5217" s="11"/>
    </row>
    <row r="5218" spans="1:1" ht="15.75" x14ac:dyDescent="0.25">
      <c r="A5218" s="11"/>
    </row>
    <row r="5219" spans="1:1" ht="15.75" x14ac:dyDescent="0.25">
      <c r="A5219" s="11"/>
    </row>
    <row r="5220" spans="1:1" ht="15.75" x14ac:dyDescent="0.25">
      <c r="A5220" s="11"/>
    </row>
    <row r="5221" spans="1:1" ht="15.75" x14ac:dyDescent="0.25">
      <c r="A5221" s="11"/>
    </row>
    <row r="5222" spans="1:1" ht="15.75" x14ac:dyDescent="0.25">
      <c r="A5222" s="11"/>
    </row>
    <row r="5223" spans="1:1" ht="15.75" x14ac:dyDescent="0.25">
      <c r="A5223" s="11"/>
    </row>
    <row r="5224" spans="1:1" ht="15.75" x14ac:dyDescent="0.25">
      <c r="A5224" s="11"/>
    </row>
    <row r="5225" spans="1:1" ht="15.75" x14ac:dyDescent="0.25">
      <c r="A5225" s="11"/>
    </row>
    <row r="5226" spans="1:1" ht="15.75" x14ac:dyDescent="0.25">
      <c r="A5226" s="11"/>
    </row>
    <row r="5227" spans="1:1" ht="15.75" x14ac:dyDescent="0.25">
      <c r="A5227" s="11"/>
    </row>
    <row r="5228" spans="1:1" ht="15.75" x14ac:dyDescent="0.25">
      <c r="A5228" s="11"/>
    </row>
    <row r="5229" spans="1:1" ht="15.75" x14ac:dyDescent="0.25">
      <c r="A5229" s="11"/>
    </row>
    <row r="5230" spans="1:1" ht="15.75" x14ac:dyDescent="0.25">
      <c r="A5230" s="11"/>
    </row>
    <row r="5231" spans="1:1" ht="15.75" x14ac:dyDescent="0.25">
      <c r="A5231" s="11"/>
    </row>
    <row r="5232" spans="1:1" ht="15.75" x14ac:dyDescent="0.25">
      <c r="A5232" s="11"/>
    </row>
    <row r="5233" spans="1:1" ht="15.75" x14ac:dyDescent="0.25">
      <c r="A5233" s="11"/>
    </row>
    <row r="5234" spans="1:1" ht="15.75" x14ac:dyDescent="0.25">
      <c r="A5234" s="11"/>
    </row>
    <row r="5235" spans="1:1" ht="15.75" x14ac:dyDescent="0.25">
      <c r="A5235" s="11"/>
    </row>
    <row r="5236" spans="1:1" ht="15.75" x14ac:dyDescent="0.25">
      <c r="A5236" s="11"/>
    </row>
    <row r="5237" spans="1:1" ht="15.75" x14ac:dyDescent="0.25">
      <c r="A5237" s="11"/>
    </row>
    <row r="5238" spans="1:1" ht="15.75" x14ac:dyDescent="0.25">
      <c r="A5238" s="11"/>
    </row>
    <row r="5239" spans="1:1" ht="15.75" x14ac:dyDescent="0.25">
      <c r="A5239" s="11"/>
    </row>
    <row r="5240" spans="1:1" ht="15.75" x14ac:dyDescent="0.25">
      <c r="A5240" s="11"/>
    </row>
    <row r="5241" spans="1:1" ht="15.75" x14ac:dyDescent="0.25">
      <c r="A5241" s="11"/>
    </row>
    <row r="5242" spans="1:1" ht="15.75" x14ac:dyDescent="0.25">
      <c r="A5242" s="11"/>
    </row>
    <row r="5243" spans="1:1" ht="15.75" x14ac:dyDescent="0.25">
      <c r="A5243" s="11"/>
    </row>
    <row r="5244" spans="1:1" ht="15.75" x14ac:dyDescent="0.25">
      <c r="A5244" s="11"/>
    </row>
    <row r="5245" spans="1:1" ht="15.75" x14ac:dyDescent="0.25">
      <c r="A5245" s="11"/>
    </row>
    <row r="5246" spans="1:1" ht="15.75" x14ac:dyDescent="0.25">
      <c r="A5246" s="11"/>
    </row>
    <row r="5247" spans="1:1" ht="15.75" x14ac:dyDescent="0.25">
      <c r="A5247" s="11"/>
    </row>
    <row r="5248" spans="1:1" ht="15.75" x14ac:dyDescent="0.25">
      <c r="A5248" s="11"/>
    </row>
    <row r="5249" spans="1:1" ht="15.75" x14ac:dyDescent="0.25">
      <c r="A5249" s="11"/>
    </row>
    <row r="5250" spans="1:1" ht="15.75" x14ac:dyDescent="0.25">
      <c r="A5250" s="11"/>
    </row>
    <row r="5251" spans="1:1" ht="15.75" x14ac:dyDescent="0.25">
      <c r="A5251" s="11"/>
    </row>
    <row r="5252" spans="1:1" ht="15.75" x14ac:dyDescent="0.25">
      <c r="A5252" s="11"/>
    </row>
    <row r="5253" spans="1:1" ht="15.75" x14ac:dyDescent="0.25">
      <c r="A5253" s="11"/>
    </row>
    <row r="5254" spans="1:1" ht="15.75" x14ac:dyDescent="0.25">
      <c r="A5254" s="11"/>
    </row>
    <row r="5255" spans="1:1" ht="15.75" x14ac:dyDescent="0.25">
      <c r="A5255" s="11"/>
    </row>
    <row r="5256" spans="1:1" ht="15.75" x14ac:dyDescent="0.25">
      <c r="A5256" s="11"/>
    </row>
    <row r="5257" spans="1:1" ht="15.75" x14ac:dyDescent="0.25">
      <c r="A5257" s="11"/>
    </row>
    <row r="5258" spans="1:1" ht="15.75" x14ac:dyDescent="0.25">
      <c r="A5258" s="11"/>
    </row>
    <row r="5259" spans="1:1" ht="15.75" x14ac:dyDescent="0.25">
      <c r="A5259" s="11"/>
    </row>
    <row r="5260" spans="1:1" ht="15.75" x14ac:dyDescent="0.25">
      <c r="A5260" s="11"/>
    </row>
    <row r="5261" spans="1:1" ht="15.75" x14ac:dyDescent="0.25">
      <c r="A5261" s="11"/>
    </row>
    <row r="5262" spans="1:1" ht="15.75" x14ac:dyDescent="0.25">
      <c r="A5262" s="11"/>
    </row>
    <row r="5263" spans="1:1" ht="15.75" x14ac:dyDescent="0.25">
      <c r="A5263" s="11"/>
    </row>
    <row r="5264" spans="1:1" ht="15.75" x14ac:dyDescent="0.25">
      <c r="A5264" s="11"/>
    </row>
    <row r="5265" spans="1:1" ht="15.75" x14ac:dyDescent="0.25">
      <c r="A5265" s="11"/>
    </row>
    <row r="5266" spans="1:1" ht="15.75" x14ac:dyDescent="0.25">
      <c r="A5266" s="11"/>
    </row>
    <row r="5267" spans="1:1" ht="15.75" x14ac:dyDescent="0.25">
      <c r="A5267" s="11"/>
    </row>
    <row r="5268" spans="1:1" ht="15.75" x14ac:dyDescent="0.25">
      <c r="A5268" s="11"/>
    </row>
    <row r="5269" spans="1:1" ht="15.75" x14ac:dyDescent="0.25">
      <c r="A5269" s="11"/>
    </row>
    <row r="5270" spans="1:1" ht="15.75" x14ac:dyDescent="0.25">
      <c r="A5270" s="11"/>
    </row>
    <row r="5271" spans="1:1" ht="15.75" x14ac:dyDescent="0.25">
      <c r="A5271" s="11"/>
    </row>
    <row r="5272" spans="1:1" ht="15.75" x14ac:dyDescent="0.25">
      <c r="A5272" s="11"/>
    </row>
    <row r="5273" spans="1:1" ht="15.75" x14ac:dyDescent="0.25">
      <c r="A5273" s="11"/>
    </row>
    <row r="5274" spans="1:1" ht="15.75" x14ac:dyDescent="0.25">
      <c r="A5274" s="11"/>
    </row>
    <row r="5275" spans="1:1" ht="15.75" x14ac:dyDescent="0.25">
      <c r="A5275" s="11"/>
    </row>
    <row r="5276" spans="1:1" ht="15.75" x14ac:dyDescent="0.25">
      <c r="A5276" s="11"/>
    </row>
    <row r="5277" spans="1:1" ht="15.75" x14ac:dyDescent="0.25">
      <c r="A5277" s="11"/>
    </row>
    <row r="5278" spans="1:1" ht="15.75" x14ac:dyDescent="0.25">
      <c r="A5278" s="11"/>
    </row>
    <row r="5279" spans="1:1" ht="15.75" x14ac:dyDescent="0.25">
      <c r="A5279" s="11"/>
    </row>
    <row r="5280" spans="1:1" ht="15.75" x14ac:dyDescent="0.25">
      <c r="A5280" s="11"/>
    </row>
    <row r="5281" spans="1:1" ht="15.75" x14ac:dyDescent="0.25">
      <c r="A5281" s="11"/>
    </row>
    <row r="5282" spans="1:1" ht="15.75" x14ac:dyDescent="0.25">
      <c r="A5282" s="11"/>
    </row>
    <row r="5283" spans="1:1" ht="15.75" x14ac:dyDescent="0.25">
      <c r="A5283" s="11"/>
    </row>
    <row r="5284" spans="1:1" ht="15.75" x14ac:dyDescent="0.25">
      <c r="A5284" s="11"/>
    </row>
    <row r="5285" spans="1:1" ht="15.75" x14ac:dyDescent="0.25">
      <c r="A5285" s="11"/>
    </row>
    <row r="5286" spans="1:1" ht="15.75" x14ac:dyDescent="0.25">
      <c r="A5286" s="11"/>
    </row>
    <row r="5287" spans="1:1" ht="15.75" x14ac:dyDescent="0.25">
      <c r="A5287" s="11"/>
    </row>
    <row r="5288" spans="1:1" ht="15.75" x14ac:dyDescent="0.25">
      <c r="A5288" s="11"/>
    </row>
    <row r="5289" spans="1:1" ht="15.75" x14ac:dyDescent="0.25">
      <c r="A5289" s="11"/>
    </row>
    <row r="5290" spans="1:1" ht="15.75" x14ac:dyDescent="0.25">
      <c r="A5290" s="11"/>
    </row>
    <row r="5291" spans="1:1" ht="15.75" x14ac:dyDescent="0.25">
      <c r="A5291" s="11"/>
    </row>
    <row r="5292" spans="1:1" ht="15.75" x14ac:dyDescent="0.25">
      <c r="A5292" s="11"/>
    </row>
    <row r="5293" spans="1:1" ht="15.75" x14ac:dyDescent="0.25">
      <c r="A5293" s="11"/>
    </row>
    <row r="5294" spans="1:1" ht="15.75" x14ac:dyDescent="0.25">
      <c r="A5294" s="11"/>
    </row>
    <row r="5295" spans="1:1" ht="15.75" x14ac:dyDescent="0.25">
      <c r="A5295" s="11"/>
    </row>
    <row r="5296" spans="1:1" ht="15.75" x14ac:dyDescent="0.25">
      <c r="A5296" s="11"/>
    </row>
    <row r="5297" spans="1:1" ht="15.75" x14ac:dyDescent="0.25">
      <c r="A5297" s="11"/>
    </row>
    <row r="5298" spans="1:1" ht="15.75" x14ac:dyDescent="0.25">
      <c r="A5298" s="11"/>
    </row>
    <row r="5299" spans="1:1" ht="15.75" x14ac:dyDescent="0.25">
      <c r="A5299" s="11"/>
    </row>
    <row r="5300" spans="1:1" ht="15.75" x14ac:dyDescent="0.25">
      <c r="A5300" s="11"/>
    </row>
    <row r="5301" spans="1:1" ht="15.75" x14ac:dyDescent="0.25">
      <c r="A5301" s="11"/>
    </row>
    <row r="5302" spans="1:1" ht="15.75" x14ac:dyDescent="0.25">
      <c r="A5302" s="11"/>
    </row>
    <row r="5303" spans="1:1" ht="15.75" x14ac:dyDescent="0.25">
      <c r="A5303" s="11"/>
    </row>
    <row r="5304" spans="1:1" ht="15.75" x14ac:dyDescent="0.25">
      <c r="A5304" s="11"/>
    </row>
    <row r="5305" spans="1:1" ht="15.75" x14ac:dyDescent="0.25">
      <c r="A5305" s="11"/>
    </row>
    <row r="5306" spans="1:1" ht="15.75" x14ac:dyDescent="0.25">
      <c r="A5306" s="11"/>
    </row>
    <row r="5307" spans="1:1" ht="15.75" x14ac:dyDescent="0.25">
      <c r="A5307" s="11"/>
    </row>
    <row r="5308" spans="1:1" ht="15.75" x14ac:dyDescent="0.25">
      <c r="A5308" s="11"/>
    </row>
    <row r="5309" spans="1:1" ht="15.75" x14ac:dyDescent="0.25">
      <c r="A5309" s="11"/>
    </row>
    <row r="5310" spans="1:1" ht="15.75" x14ac:dyDescent="0.25">
      <c r="A5310" s="11"/>
    </row>
    <row r="5311" spans="1:1" ht="15.75" x14ac:dyDescent="0.25">
      <c r="A5311" s="11"/>
    </row>
    <row r="5312" spans="1:1" ht="15.75" x14ac:dyDescent="0.25">
      <c r="A5312" s="11"/>
    </row>
    <row r="5313" spans="1:1" ht="15.75" x14ac:dyDescent="0.25">
      <c r="A5313" s="11"/>
    </row>
    <row r="5314" spans="1:1" ht="15.75" x14ac:dyDescent="0.25">
      <c r="A5314" s="11"/>
    </row>
    <row r="5315" spans="1:1" ht="15.75" x14ac:dyDescent="0.25">
      <c r="A5315" s="11"/>
    </row>
    <row r="5316" spans="1:1" ht="15.75" x14ac:dyDescent="0.25">
      <c r="A5316" s="11"/>
    </row>
    <row r="5317" spans="1:1" ht="15.75" x14ac:dyDescent="0.25">
      <c r="A5317" s="11"/>
    </row>
    <row r="5318" spans="1:1" ht="15.75" x14ac:dyDescent="0.25">
      <c r="A5318" s="11"/>
    </row>
    <row r="5319" spans="1:1" ht="15.75" x14ac:dyDescent="0.25">
      <c r="A5319" s="11"/>
    </row>
    <row r="5320" spans="1:1" ht="15.75" x14ac:dyDescent="0.25">
      <c r="A5320" s="11"/>
    </row>
    <row r="5321" spans="1:1" ht="15.75" x14ac:dyDescent="0.25">
      <c r="A5321" s="11"/>
    </row>
    <row r="5322" spans="1:1" ht="15.75" x14ac:dyDescent="0.25">
      <c r="A5322" s="11"/>
    </row>
    <row r="5323" spans="1:1" ht="15.75" x14ac:dyDescent="0.25">
      <c r="A5323" s="11"/>
    </row>
    <row r="5324" spans="1:1" ht="15.75" x14ac:dyDescent="0.25">
      <c r="A5324" s="11"/>
    </row>
    <row r="5325" spans="1:1" ht="15.75" x14ac:dyDescent="0.25">
      <c r="A5325" s="11"/>
    </row>
    <row r="5326" spans="1:1" ht="15.75" x14ac:dyDescent="0.25">
      <c r="A5326" s="11"/>
    </row>
    <row r="5327" spans="1:1" ht="15.75" x14ac:dyDescent="0.25">
      <c r="A5327" s="11"/>
    </row>
    <row r="5328" spans="1:1" ht="15.75" x14ac:dyDescent="0.25">
      <c r="A5328" s="11"/>
    </row>
    <row r="5329" spans="1:1" ht="15.75" x14ac:dyDescent="0.25">
      <c r="A5329" s="11"/>
    </row>
    <row r="5330" spans="1:1" ht="15.75" x14ac:dyDescent="0.25">
      <c r="A5330" s="11"/>
    </row>
    <row r="5331" spans="1:1" ht="15.75" x14ac:dyDescent="0.25">
      <c r="A5331" s="11"/>
    </row>
    <row r="5332" spans="1:1" ht="15.75" x14ac:dyDescent="0.25">
      <c r="A5332" s="11"/>
    </row>
    <row r="5333" spans="1:1" ht="15.75" x14ac:dyDescent="0.25">
      <c r="A5333" s="11"/>
    </row>
    <row r="5334" spans="1:1" ht="15.75" x14ac:dyDescent="0.25">
      <c r="A5334" s="11"/>
    </row>
    <row r="5335" spans="1:1" ht="15.75" x14ac:dyDescent="0.25">
      <c r="A5335" s="11"/>
    </row>
    <row r="5336" spans="1:1" ht="15.75" x14ac:dyDescent="0.25">
      <c r="A5336" s="11"/>
    </row>
    <row r="5337" spans="1:1" ht="15.75" x14ac:dyDescent="0.25">
      <c r="A5337" s="11"/>
    </row>
    <row r="5338" spans="1:1" ht="15.75" x14ac:dyDescent="0.25">
      <c r="A5338" s="11"/>
    </row>
    <row r="5339" spans="1:1" ht="15.75" x14ac:dyDescent="0.25">
      <c r="A5339" s="11"/>
    </row>
    <row r="5340" spans="1:1" ht="15.75" x14ac:dyDescent="0.25">
      <c r="A5340" s="11"/>
    </row>
    <row r="5341" spans="1:1" ht="15.75" x14ac:dyDescent="0.25">
      <c r="A5341" s="11"/>
    </row>
    <row r="5342" spans="1:1" ht="15.75" x14ac:dyDescent="0.25">
      <c r="A5342" s="11"/>
    </row>
    <row r="5343" spans="1:1" ht="15.75" x14ac:dyDescent="0.25">
      <c r="A5343" s="11"/>
    </row>
    <row r="5344" spans="1:1" ht="15.75" x14ac:dyDescent="0.25">
      <c r="A5344" s="11"/>
    </row>
    <row r="5345" spans="1:1" ht="15.75" x14ac:dyDescent="0.25">
      <c r="A5345" s="11"/>
    </row>
    <row r="5346" spans="1:1" ht="15.75" x14ac:dyDescent="0.25">
      <c r="A5346" s="11"/>
    </row>
    <row r="5347" spans="1:1" ht="15.75" x14ac:dyDescent="0.25">
      <c r="A5347" s="11"/>
    </row>
    <row r="5348" spans="1:1" ht="15.75" x14ac:dyDescent="0.25">
      <c r="A5348" s="11"/>
    </row>
    <row r="5349" spans="1:1" ht="15.75" x14ac:dyDescent="0.25">
      <c r="A5349" s="11"/>
    </row>
    <row r="5350" spans="1:1" ht="15.75" x14ac:dyDescent="0.25">
      <c r="A5350" s="11"/>
    </row>
    <row r="5351" spans="1:1" ht="15.75" x14ac:dyDescent="0.25">
      <c r="A5351" s="11"/>
    </row>
    <row r="5352" spans="1:1" ht="15.75" x14ac:dyDescent="0.25">
      <c r="A5352" s="11"/>
    </row>
    <row r="5353" spans="1:1" ht="15.75" x14ac:dyDescent="0.25">
      <c r="A5353" s="11"/>
    </row>
    <row r="5354" spans="1:1" ht="15.75" x14ac:dyDescent="0.25">
      <c r="A5354" s="11"/>
    </row>
    <row r="5355" spans="1:1" ht="15.75" x14ac:dyDescent="0.25">
      <c r="A5355" s="11"/>
    </row>
    <row r="5356" spans="1:1" ht="15.75" x14ac:dyDescent="0.25">
      <c r="A5356" s="11"/>
    </row>
    <row r="5357" spans="1:1" ht="15.75" x14ac:dyDescent="0.25">
      <c r="A5357" s="11"/>
    </row>
    <row r="5358" spans="1:1" ht="15.75" x14ac:dyDescent="0.25">
      <c r="A5358" s="11"/>
    </row>
    <row r="5359" spans="1:1" ht="15.75" x14ac:dyDescent="0.25">
      <c r="A5359" s="11"/>
    </row>
    <row r="5360" spans="1:1" ht="15.75" x14ac:dyDescent="0.25">
      <c r="A5360" s="11"/>
    </row>
    <row r="5361" spans="1:1" ht="15.75" x14ac:dyDescent="0.25">
      <c r="A5361" s="11"/>
    </row>
    <row r="5362" spans="1:1" ht="15.75" x14ac:dyDescent="0.25">
      <c r="A5362" s="11"/>
    </row>
    <row r="5363" spans="1:1" ht="15.75" x14ac:dyDescent="0.25">
      <c r="A5363" s="11"/>
    </row>
    <row r="5364" spans="1:1" ht="15.75" x14ac:dyDescent="0.25">
      <c r="A5364" s="11"/>
    </row>
    <row r="5365" spans="1:1" ht="15.75" x14ac:dyDescent="0.25">
      <c r="A5365" s="11"/>
    </row>
    <row r="5366" spans="1:1" ht="15.75" x14ac:dyDescent="0.25">
      <c r="A5366" s="11"/>
    </row>
    <row r="5367" spans="1:1" ht="15.75" x14ac:dyDescent="0.25">
      <c r="A5367" s="11"/>
    </row>
    <row r="5368" spans="1:1" ht="15.75" x14ac:dyDescent="0.25">
      <c r="A5368" s="11"/>
    </row>
    <row r="5369" spans="1:1" ht="15.75" x14ac:dyDescent="0.25">
      <c r="A5369" s="11"/>
    </row>
    <row r="5370" spans="1:1" ht="15.75" x14ac:dyDescent="0.25">
      <c r="A5370" s="11"/>
    </row>
    <row r="5371" spans="1:1" ht="15.75" x14ac:dyDescent="0.25">
      <c r="A5371" s="11"/>
    </row>
    <row r="5372" spans="1:1" ht="15.75" x14ac:dyDescent="0.25">
      <c r="A5372" s="11"/>
    </row>
    <row r="5373" spans="1:1" ht="15.75" x14ac:dyDescent="0.25">
      <c r="A5373" s="11"/>
    </row>
    <row r="5374" spans="1:1" ht="15.75" x14ac:dyDescent="0.25">
      <c r="A5374" s="11"/>
    </row>
    <row r="5375" spans="1:1" ht="15.75" x14ac:dyDescent="0.25">
      <c r="A5375" s="11"/>
    </row>
    <row r="5376" spans="1:1" ht="15.75" x14ac:dyDescent="0.25">
      <c r="A5376" s="11"/>
    </row>
    <row r="5377" spans="1:1" ht="15.75" x14ac:dyDescent="0.25">
      <c r="A5377" s="11"/>
    </row>
    <row r="5378" spans="1:1" ht="15.75" x14ac:dyDescent="0.25">
      <c r="A5378" s="11"/>
    </row>
    <row r="5379" spans="1:1" ht="15.75" x14ac:dyDescent="0.25">
      <c r="A5379" s="11"/>
    </row>
    <row r="5380" spans="1:1" ht="15.75" x14ac:dyDescent="0.25">
      <c r="A5380" s="11"/>
    </row>
    <row r="5381" spans="1:1" ht="15.75" x14ac:dyDescent="0.25">
      <c r="A5381" s="11"/>
    </row>
    <row r="5382" spans="1:1" ht="15.75" x14ac:dyDescent="0.25">
      <c r="A5382" s="11"/>
    </row>
    <row r="5383" spans="1:1" ht="15.75" x14ac:dyDescent="0.25">
      <c r="A5383" s="11"/>
    </row>
    <row r="5384" spans="1:1" ht="15.75" x14ac:dyDescent="0.25">
      <c r="A5384" s="11"/>
    </row>
    <row r="5385" spans="1:1" ht="15.75" x14ac:dyDescent="0.25">
      <c r="A5385" s="11"/>
    </row>
    <row r="5386" spans="1:1" ht="15.75" x14ac:dyDescent="0.25">
      <c r="A5386" s="11"/>
    </row>
    <row r="5387" spans="1:1" ht="15.75" x14ac:dyDescent="0.25">
      <c r="A5387" s="11"/>
    </row>
    <row r="5388" spans="1:1" ht="15.75" x14ac:dyDescent="0.25">
      <c r="A5388" s="11"/>
    </row>
    <row r="5389" spans="1:1" ht="15.75" x14ac:dyDescent="0.25">
      <c r="A5389" s="11"/>
    </row>
    <row r="5390" spans="1:1" ht="15.75" x14ac:dyDescent="0.25">
      <c r="A5390" s="11"/>
    </row>
    <row r="5391" spans="1:1" ht="15.75" x14ac:dyDescent="0.25">
      <c r="A5391" s="11"/>
    </row>
    <row r="5392" spans="1:1" ht="15.75" x14ac:dyDescent="0.25">
      <c r="A5392" s="11"/>
    </row>
    <row r="5393" spans="1:1" ht="15.75" x14ac:dyDescent="0.25">
      <c r="A5393" s="11"/>
    </row>
    <row r="5394" spans="1:1" ht="15.75" x14ac:dyDescent="0.25">
      <c r="A5394" s="11"/>
    </row>
    <row r="5395" spans="1:1" ht="15.75" x14ac:dyDescent="0.25">
      <c r="A5395" s="11"/>
    </row>
    <row r="5396" spans="1:1" ht="15.75" x14ac:dyDescent="0.25">
      <c r="A5396" s="11"/>
    </row>
    <row r="5397" spans="1:1" ht="15.75" x14ac:dyDescent="0.25">
      <c r="A5397" s="11"/>
    </row>
    <row r="5398" spans="1:1" ht="15.75" x14ac:dyDescent="0.25">
      <c r="A5398" s="11"/>
    </row>
    <row r="5399" spans="1:1" ht="15.75" x14ac:dyDescent="0.25">
      <c r="A5399" s="11"/>
    </row>
    <row r="5400" spans="1:1" ht="15.75" x14ac:dyDescent="0.25">
      <c r="A5400" s="11"/>
    </row>
    <row r="5401" spans="1:1" ht="15.75" x14ac:dyDescent="0.25">
      <c r="A5401" s="11"/>
    </row>
    <row r="5402" spans="1:1" ht="15.75" x14ac:dyDescent="0.25">
      <c r="A5402" s="11"/>
    </row>
    <row r="5403" spans="1:1" ht="15.75" x14ac:dyDescent="0.25">
      <c r="A5403" s="11"/>
    </row>
    <row r="5404" spans="1:1" ht="15.75" x14ac:dyDescent="0.25">
      <c r="A5404" s="11"/>
    </row>
    <row r="5405" spans="1:1" ht="15.75" x14ac:dyDescent="0.25">
      <c r="A5405" s="11"/>
    </row>
    <row r="5406" spans="1:1" ht="15.75" x14ac:dyDescent="0.25">
      <c r="A5406" s="11"/>
    </row>
    <row r="5407" spans="1:1" ht="15.75" x14ac:dyDescent="0.25">
      <c r="A5407" s="11"/>
    </row>
    <row r="5408" spans="1:1" ht="15.75" x14ac:dyDescent="0.25">
      <c r="A5408" s="11"/>
    </row>
    <row r="5409" spans="1:1" ht="15.75" x14ac:dyDescent="0.25">
      <c r="A5409" s="11"/>
    </row>
    <row r="5410" spans="1:1" ht="15.75" x14ac:dyDescent="0.25">
      <c r="A5410" s="11"/>
    </row>
    <row r="5411" spans="1:1" ht="15.75" x14ac:dyDescent="0.25">
      <c r="A5411" s="11"/>
    </row>
    <row r="5412" spans="1:1" ht="15.75" x14ac:dyDescent="0.25">
      <c r="A5412" s="11"/>
    </row>
    <row r="5413" spans="1:1" ht="15.75" x14ac:dyDescent="0.25">
      <c r="A5413" s="11"/>
    </row>
    <row r="5414" spans="1:1" ht="15.75" x14ac:dyDescent="0.25">
      <c r="A5414" s="11"/>
    </row>
    <row r="5415" spans="1:1" ht="15.75" x14ac:dyDescent="0.25">
      <c r="A5415" s="11"/>
    </row>
    <row r="5416" spans="1:1" ht="15.75" x14ac:dyDescent="0.25">
      <c r="A5416" s="11"/>
    </row>
    <row r="5417" spans="1:1" ht="15.75" x14ac:dyDescent="0.25">
      <c r="A5417" s="11"/>
    </row>
    <row r="5418" spans="1:1" ht="15.75" x14ac:dyDescent="0.25">
      <c r="A5418" s="11"/>
    </row>
    <row r="5419" spans="1:1" ht="15.75" x14ac:dyDescent="0.25">
      <c r="A5419" s="11"/>
    </row>
    <row r="5420" spans="1:1" ht="15.75" x14ac:dyDescent="0.25">
      <c r="A5420" s="11"/>
    </row>
    <row r="5421" spans="1:1" ht="15.75" x14ac:dyDescent="0.25">
      <c r="A5421" s="11"/>
    </row>
    <row r="5422" spans="1:1" ht="15.75" x14ac:dyDescent="0.25">
      <c r="A5422" s="11"/>
    </row>
    <row r="5423" spans="1:1" ht="15.75" x14ac:dyDescent="0.25">
      <c r="A5423" s="11"/>
    </row>
    <row r="5424" spans="1:1" ht="15.75" x14ac:dyDescent="0.25">
      <c r="A5424" s="11"/>
    </row>
    <row r="5425" spans="1:1" ht="15.75" x14ac:dyDescent="0.25">
      <c r="A5425" s="11"/>
    </row>
    <row r="5426" spans="1:1" ht="15.75" x14ac:dyDescent="0.25">
      <c r="A5426" s="11"/>
    </row>
    <row r="5427" spans="1:1" ht="15.75" x14ac:dyDescent="0.25">
      <c r="A5427" s="11"/>
    </row>
    <row r="5428" spans="1:1" ht="15.75" x14ac:dyDescent="0.25">
      <c r="A5428" s="11"/>
    </row>
    <row r="5429" spans="1:1" ht="15.75" x14ac:dyDescent="0.25">
      <c r="A5429" s="11"/>
    </row>
    <row r="5430" spans="1:1" ht="15.75" x14ac:dyDescent="0.25">
      <c r="A5430" s="11"/>
    </row>
    <row r="5431" spans="1:1" ht="15.75" x14ac:dyDescent="0.25">
      <c r="A5431" s="11"/>
    </row>
    <row r="5432" spans="1:1" ht="15.75" x14ac:dyDescent="0.25">
      <c r="A5432" s="11"/>
    </row>
    <row r="5433" spans="1:1" ht="15.75" x14ac:dyDescent="0.25">
      <c r="A5433" s="11"/>
    </row>
    <row r="5434" spans="1:1" ht="15.75" x14ac:dyDescent="0.25">
      <c r="A5434" s="11"/>
    </row>
    <row r="5435" spans="1:1" ht="15.75" x14ac:dyDescent="0.25">
      <c r="A5435" s="11"/>
    </row>
    <row r="5436" spans="1:1" ht="15.75" x14ac:dyDescent="0.25">
      <c r="A5436" s="11"/>
    </row>
    <row r="5437" spans="1:1" ht="15.75" x14ac:dyDescent="0.25">
      <c r="A5437" s="11"/>
    </row>
    <row r="5438" spans="1:1" ht="15.75" x14ac:dyDescent="0.25">
      <c r="A5438" s="11"/>
    </row>
    <row r="5439" spans="1:1" ht="15.75" x14ac:dyDescent="0.25">
      <c r="A5439" s="11"/>
    </row>
    <row r="5440" spans="1:1" ht="15.75" x14ac:dyDescent="0.25">
      <c r="A5440" s="11"/>
    </row>
    <row r="5441" spans="1:1" ht="15.75" x14ac:dyDescent="0.25">
      <c r="A5441" s="11"/>
    </row>
    <row r="5442" spans="1:1" ht="15.75" x14ac:dyDescent="0.25">
      <c r="A5442" s="11"/>
    </row>
    <row r="5443" spans="1:1" ht="15.75" x14ac:dyDescent="0.25">
      <c r="A5443" s="11"/>
    </row>
    <row r="5444" spans="1:1" ht="15.75" x14ac:dyDescent="0.25">
      <c r="A5444" s="11"/>
    </row>
    <row r="5445" spans="1:1" ht="15.75" x14ac:dyDescent="0.25">
      <c r="A5445" s="11"/>
    </row>
    <row r="5446" spans="1:1" ht="15.75" x14ac:dyDescent="0.25">
      <c r="A5446" s="11"/>
    </row>
    <row r="5447" spans="1:1" ht="15.75" x14ac:dyDescent="0.25">
      <c r="A5447" s="11"/>
    </row>
    <row r="5448" spans="1:1" ht="15.75" x14ac:dyDescent="0.25">
      <c r="A5448" s="11"/>
    </row>
    <row r="5449" spans="1:1" ht="15.75" x14ac:dyDescent="0.25">
      <c r="A5449" s="11"/>
    </row>
    <row r="5450" spans="1:1" ht="15.75" x14ac:dyDescent="0.25">
      <c r="A5450" s="11"/>
    </row>
    <row r="5451" spans="1:1" ht="15.75" x14ac:dyDescent="0.25">
      <c r="A5451" s="11"/>
    </row>
    <row r="5452" spans="1:1" ht="15.75" x14ac:dyDescent="0.25">
      <c r="A5452" s="11"/>
    </row>
    <row r="5453" spans="1:1" ht="15.75" x14ac:dyDescent="0.25">
      <c r="A5453" s="11"/>
    </row>
    <row r="5454" spans="1:1" ht="15.75" x14ac:dyDescent="0.25">
      <c r="A5454" s="11"/>
    </row>
    <row r="5455" spans="1:1" ht="15.75" x14ac:dyDescent="0.25">
      <c r="A5455" s="11"/>
    </row>
    <row r="5456" spans="1:1" ht="15.75" x14ac:dyDescent="0.25">
      <c r="A5456" s="11"/>
    </row>
    <row r="5457" spans="1:1" ht="15.75" x14ac:dyDescent="0.25">
      <c r="A5457" s="11"/>
    </row>
    <row r="5458" spans="1:1" ht="15.75" x14ac:dyDescent="0.25">
      <c r="A5458" s="11"/>
    </row>
    <row r="5459" spans="1:1" ht="15.75" x14ac:dyDescent="0.25">
      <c r="A5459" s="11"/>
    </row>
    <row r="5460" spans="1:1" ht="15.75" x14ac:dyDescent="0.25">
      <c r="A5460" s="11"/>
    </row>
    <row r="5461" spans="1:1" ht="15.75" x14ac:dyDescent="0.25">
      <c r="A5461" s="11"/>
    </row>
    <row r="5462" spans="1:1" ht="15.75" x14ac:dyDescent="0.25">
      <c r="A5462" s="11"/>
    </row>
    <row r="5463" spans="1:1" ht="15.75" x14ac:dyDescent="0.25">
      <c r="A5463" s="11"/>
    </row>
    <row r="5464" spans="1:1" ht="15.75" x14ac:dyDescent="0.25">
      <c r="A5464" s="11"/>
    </row>
    <row r="5465" spans="1:1" ht="15.75" x14ac:dyDescent="0.25">
      <c r="A5465" s="11"/>
    </row>
    <row r="5466" spans="1:1" ht="15.75" x14ac:dyDescent="0.25">
      <c r="A5466" s="11"/>
    </row>
    <row r="5467" spans="1:1" ht="15.75" x14ac:dyDescent="0.25">
      <c r="A5467" s="11"/>
    </row>
    <row r="5468" spans="1:1" ht="15.75" x14ac:dyDescent="0.25">
      <c r="A5468" s="11"/>
    </row>
    <row r="5469" spans="1:1" ht="15.75" x14ac:dyDescent="0.25">
      <c r="A5469" s="11"/>
    </row>
    <row r="5470" spans="1:1" ht="15.75" x14ac:dyDescent="0.25">
      <c r="A5470" s="11"/>
    </row>
    <row r="5471" spans="1:1" ht="15.75" x14ac:dyDescent="0.25">
      <c r="A5471" s="11"/>
    </row>
    <row r="5472" spans="1:1" ht="15.75" x14ac:dyDescent="0.25">
      <c r="A5472" s="11"/>
    </row>
    <row r="5473" spans="1:1" ht="15.75" x14ac:dyDescent="0.25">
      <c r="A5473" s="11"/>
    </row>
    <row r="5474" spans="1:1" ht="15.75" x14ac:dyDescent="0.25">
      <c r="A5474" s="11"/>
    </row>
    <row r="5475" spans="1:1" ht="15.75" x14ac:dyDescent="0.25">
      <c r="A5475" s="11"/>
    </row>
    <row r="5476" spans="1:1" ht="15.75" x14ac:dyDescent="0.25">
      <c r="A5476" s="11"/>
    </row>
    <row r="5477" spans="1:1" ht="15.75" x14ac:dyDescent="0.25">
      <c r="A5477" s="11"/>
    </row>
    <row r="5478" spans="1:1" ht="15.75" x14ac:dyDescent="0.25">
      <c r="A5478" s="11"/>
    </row>
    <row r="5479" spans="1:1" ht="15.75" x14ac:dyDescent="0.25">
      <c r="A5479" s="11"/>
    </row>
    <row r="5480" spans="1:1" ht="15.75" x14ac:dyDescent="0.25">
      <c r="A5480" s="11"/>
    </row>
    <row r="5481" spans="1:1" ht="15.75" x14ac:dyDescent="0.25">
      <c r="A5481" s="11"/>
    </row>
    <row r="5482" spans="1:1" ht="15.75" x14ac:dyDescent="0.25">
      <c r="A5482" s="11"/>
    </row>
    <row r="5483" spans="1:1" ht="15.75" x14ac:dyDescent="0.25">
      <c r="A5483" s="11"/>
    </row>
    <row r="5484" spans="1:1" ht="15.75" x14ac:dyDescent="0.25">
      <c r="A5484" s="11"/>
    </row>
    <row r="5485" spans="1:1" ht="15.75" x14ac:dyDescent="0.25">
      <c r="A5485" s="11"/>
    </row>
    <row r="5486" spans="1:1" ht="15.75" x14ac:dyDescent="0.25">
      <c r="A5486" s="11"/>
    </row>
    <row r="5487" spans="1:1" ht="15.75" x14ac:dyDescent="0.25">
      <c r="A5487" s="11"/>
    </row>
    <row r="5488" spans="1:1" ht="15.75" x14ac:dyDescent="0.25">
      <c r="A5488" s="11"/>
    </row>
    <row r="5489" spans="1:1" ht="15.75" x14ac:dyDescent="0.25">
      <c r="A5489" s="11"/>
    </row>
    <row r="5490" spans="1:1" ht="15.75" x14ac:dyDescent="0.25">
      <c r="A5490" s="11"/>
    </row>
    <row r="5491" spans="1:1" ht="15.75" x14ac:dyDescent="0.25">
      <c r="A5491" s="11"/>
    </row>
    <row r="5492" spans="1:1" ht="15.75" x14ac:dyDescent="0.25">
      <c r="A5492" s="11"/>
    </row>
    <row r="5493" spans="1:1" ht="15.75" x14ac:dyDescent="0.25">
      <c r="A5493" s="11"/>
    </row>
    <row r="5494" spans="1:1" ht="15.75" x14ac:dyDescent="0.25">
      <c r="A5494" s="11"/>
    </row>
    <row r="5495" spans="1:1" ht="15.75" x14ac:dyDescent="0.25">
      <c r="A5495" s="11"/>
    </row>
    <row r="5496" spans="1:1" ht="15.75" x14ac:dyDescent="0.25">
      <c r="A5496" s="11"/>
    </row>
    <row r="5497" spans="1:1" ht="15.75" x14ac:dyDescent="0.25">
      <c r="A5497" s="11"/>
    </row>
    <row r="5498" spans="1:1" ht="15.75" x14ac:dyDescent="0.25">
      <c r="A5498" s="11"/>
    </row>
    <row r="5499" spans="1:1" ht="15.75" x14ac:dyDescent="0.25">
      <c r="A5499" s="11"/>
    </row>
    <row r="5500" spans="1:1" ht="15.75" x14ac:dyDescent="0.25">
      <c r="A5500" s="11"/>
    </row>
    <row r="5501" spans="1:1" ht="15.75" x14ac:dyDescent="0.25">
      <c r="A5501" s="11"/>
    </row>
    <row r="5502" spans="1:1" ht="15.75" x14ac:dyDescent="0.25">
      <c r="A5502" s="11"/>
    </row>
    <row r="5503" spans="1:1" ht="15.75" x14ac:dyDescent="0.25">
      <c r="A5503" s="11"/>
    </row>
    <row r="5504" spans="1:1" ht="15.75" x14ac:dyDescent="0.25">
      <c r="A5504" s="11"/>
    </row>
    <row r="5505" spans="1:1" ht="15.75" x14ac:dyDescent="0.25">
      <c r="A5505" s="11"/>
    </row>
    <row r="5506" spans="1:1" ht="15.75" x14ac:dyDescent="0.25">
      <c r="A5506" s="11"/>
    </row>
    <row r="5507" spans="1:1" ht="15.75" x14ac:dyDescent="0.25">
      <c r="A5507" s="11"/>
    </row>
    <row r="5508" spans="1:1" ht="15.75" x14ac:dyDescent="0.25">
      <c r="A5508" s="11"/>
    </row>
    <row r="5509" spans="1:1" ht="15.75" x14ac:dyDescent="0.25">
      <c r="A5509" s="11"/>
    </row>
    <row r="5510" spans="1:1" ht="15.75" x14ac:dyDescent="0.25">
      <c r="A5510" s="11"/>
    </row>
    <row r="5511" spans="1:1" ht="15.75" x14ac:dyDescent="0.25">
      <c r="A5511" s="11"/>
    </row>
    <row r="5512" spans="1:1" ht="15.75" x14ac:dyDescent="0.25">
      <c r="A5512" s="11"/>
    </row>
    <row r="5513" spans="1:1" ht="15.75" x14ac:dyDescent="0.25">
      <c r="A5513" s="11"/>
    </row>
    <row r="5514" spans="1:1" ht="15.75" x14ac:dyDescent="0.25">
      <c r="A5514" s="11"/>
    </row>
    <row r="5515" spans="1:1" ht="15.75" x14ac:dyDescent="0.25">
      <c r="A5515" s="11"/>
    </row>
    <row r="5516" spans="1:1" ht="15.75" x14ac:dyDescent="0.25">
      <c r="A5516" s="11"/>
    </row>
    <row r="5517" spans="1:1" ht="15.75" x14ac:dyDescent="0.25">
      <c r="A5517" s="11"/>
    </row>
    <row r="5518" spans="1:1" ht="15.75" x14ac:dyDescent="0.25">
      <c r="A5518" s="11"/>
    </row>
    <row r="5519" spans="1:1" ht="15.75" x14ac:dyDescent="0.25">
      <c r="A5519" s="11"/>
    </row>
    <row r="5520" spans="1:1" ht="15.75" x14ac:dyDescent="0.25">
      <c r="A5520" s="11"/>
    </row>
    <row r="5521" spans="1:1" ht="15.75" x14ac:dyDescent="0.25">
      <c r="A5521" s="11"/>
    </row>
    <row r="5522" spans="1:1" ht="15.75" x14ac:dyDescent="0.25">
      <c r="A5522" s="11"/>
    </row>
    <row r="5523" spans="1:1" ht="15.75" x14ac:dyDescent="0.25">
      <c r="A5523" s="11"/>
    </row>
    <row r="5524" spans="1:1" ht="15.75" x14ac:dyDescent="0.25">
      <c r="A5524" s="11"/>
    </row>
    <row r="5525" spans="1:1" ht="15.75" x14ac:dyDescent="0.25">
      <c r="A5525" s="11"/>
    </row>
    <row r="5526" spans="1:1" ht="15.75" x14ac:dyDescent="0.25">
      <c r="A5526" s="11"/>
    </row>
    <row r="5527" spans="1:1" ht="15.75" x14ac:dyDescent="0.25">
      <c r="A5527" s="11"/>
    </row>
    <row r="5528" spans="1:1" ht="15.75" x14ac:dyDescent="0.25">
      <c r="A5528" s="11"/>
    </row>
    <row r="5529" spans="1:1" ht="15.75" x14ac:dyDescent="0.25">
      <c r="A5529" s="11"/>
    </row>
    <row r="5530" spans="1:1" ht="15.75" x14ac:dyDescent="0.25">
      <c r="A5530" s="11"/>
    </row>
    <row r="5531" spans="1:1" ht="15.75" x14ac:dyDescent="0.25">
      <c r="A5531" s="11"/>
    </row>
    <row r="5532" spans="1:1" ht="15.75" x14ac:dyDescent="0.25">
      <c r="A5532" s="11"/>
    </row>
    <row r="5533" spans="1:1" ht="15.75" x14ac:dyDescent="0.25">
      <c r="A5533" s="11"/>
    </row>
    <row r="5534" spans="1:1" ht="15.75" x14ac:dyDescent="0.25">
      <c r="A5534" s="11"/>
    </row>
    <row r="5535" spans="1:1" ht="15.75" x14ac:dyDescent="0.25">
      <c r="A5535" s="11"/>
    </row>
    <row r="5536" spans="1:1" ht="15.75" x14ac:dyDescent="0.25">
      <c r="A5536" s="11"/>
    </row>
    <row r="5537" spans="1:1" ht="15.75" x14ac:dyDescent="0.25">
      <c r="A5537" s="11"/>
    </row>
    <row r="5538" spans="1:1" ht="15.75" x14ac:dyDescent="0.25">
      <c r="A5538" s="11"/>
    </row>
    <row r="5539" spans="1:1" ht="15.75" x14ac:dyDescent="0.25">
      <c r="A5539" s="11"/>
    </row>
    <row r="5540" spans="1:1" ht="15.75" x14ac:dyDescent="0.25">
      <c r="A5540" s="11"/>
    </row>
    <row r="5541" spans="1:1" ht="15.75" x14ac:dyDescent="0.25">
      <c r="A5541" s="11"/>
    </row>
    <row r="5542" spans="1:1" ht="15.75" x14ac:dyDescent="0.25">
      <c r="A5542" s="11"/>
    </row>
    <row r="5543" spans="1:1" ht="15.75" x14ac:dyDescent="0.25">
      <c r="A5543" s="11"/>
    </row>
    <row r="5544" spans="1:1" ht="15.75" x14ac:dyDescent="0.25">
      <c r="A5544" s="11"/>
    </row>
    <row r="5545" spans="1:1" ht="15.75" x14ac:dyDescent="0.25">
      <c r="A5545" s="11"/>
    </row>
    <row r="5546" spans="1:1" ht="15.75" x14ac:dyDescent="0.25">
      <c r="A5546" s="11"/>
    </row>
    <row r="5547" spans="1:1" ht="15.75" x14ac:dyDescent="0.25">
      <c r="A5547" s="11"/>
    </row>
    <row r="5548" spans="1:1" ht="15.75" x14ac:dyDescent="0.25">
      <c r="A5548" s="11"/>
    </row>
    <row r="5549" spans="1:1" ht="15.75" x14ac:dyDescent="0.25">
      <c r="A5549" s="11"/>
    </row>
    <row r="5550" spans="1:1" ht="15.75" x14ac:dyDescent="0.25">
      <c r="A5550" s="11"/>
    </row>
    <row r="5551" spans="1:1" ht="15.75" x14ac:dyDescent="0.25">
      <c r="A5551" s="11"/>
    </row>
    <row r="5552" spans="1:1" ht="15.75" x14ac:dyDescent="0.25">
      <c r="A5552" s="11"/>
    </row>
    <row r="5553" spans="1:1" ht="15.75" x14ac:dyDescent="0.25">
      <c r="A5553" s="11"/>
    </row>
    <row r="5554" spans="1:1" ht="15.75" x14ac:dyDescent="0.25">
      <c r="A5554" s="11"/>
    </row>
    <row r="5555" spans="1:1" ht="15.75" x14ac:dyDescent="0.25">
      <c r="A5555" s="11"/>
    </row>
    <row r="5556" spans="1:1" ht="15.75" x14ac:dyDescent="0.25">
      <c r="A5556" s="11"/>
    </row>
    <row r="5557" spans="1:1" ht="15.75" x14ac:dyDescent="0.25">
      <c r="A5557" s="11"/>
    </row>
    <row r="5558" spans="1:1" ht="15.75" x14ac:dyDescent="0.25">
      <c r="A5558" s="11"/>
    </row>
    <row r="5559" spans="1:1" ht="15.75" x14ac:dyDescent="0.25">
      <c r="A5559" s="11"/>
    </row>
    <row r="5560" spans="1:1" ht="15.75" x14ac:dyDescent="0.25">
      <c r="A5560" s="11"/>
    </row>
    <row r="5561" spans="1:1" ht="15.75" x14ac:dyDescent="0.25">
      <c r="A5561" s="11"/>
    </row>
    <row r="5562" spans="1:1" ht="15.75" x14ac:dyDescent="0.25">
      <c r="A5562" s="11"/>
    </row>
    <row r="5563" spans="1:1" ht="15.75" x14ac:dyDescent="0.25">
      <c r="A5563" s="11"/>
    </row>
    <row r="5564" spans="1:1" ht="15.75" x14ac:dyDescent="0.25">
      <c r="A5564" s="11"/>
    </row>
    <row r="5565" spans="1:1" ht="15.75" x14ac:dyDescent="0.25">
      <c r="A5565" s="11"/>
    </row>
    <row r="5566" spans="1:1" ht="15.75" x14ac:dyDescent="0.25">
      <c r="A5566" s="11"/>
    </row>
    <row r="5567" spans="1:1" ht="15.75" x14ac:dyDescent="0.25">
      <c r="A5567" s="11"/>
    </row>
    <row r="5568" spans="1:1" ht="15.75" x14ac:dyDescent="0.25">
      <c r="A5568" s="11"/>
    </row>
    <row r="5569" spans="1:1" ht="15.75" x14ac:dyDescent="0.25">
      <c r="A5569" s="11"/>
    </row>
    <row r="5570" spans="1:1" ht="15.75" x14ac:dyDescent="0.25">
      <c r="A5570" s="11"/>
    </row>
    <row r="5571" spans="1:1" ht="15.75" x14ac:dyDescent="0.25">
      <c r="A5571" s="11"/>
    </row>
    <row r="5572" spans="1:1" ht="15.75" x14ac:dyDescent="0.25">
      <c r="A5572" s="11"/>
    </row>
    <row r="5573" spans="1:1" ht="15.75" x14ac:dyDescent="0.25">
      <c r="A5573" s="11"/>
    </row>
    <row r="5574" spans="1:1" ht="15.75" x14ac:dyDescent="0.25">
      <c r="A5574" s="11"/>
    </row>
    <row r="5575" spans="1:1" ht="15.75" x14ac:dyDescent="0.25">
      <c r="A5575" s="11"/>
    </row>
    <row r="5576" spans="1:1" ht="15.75" x14ac:dyDescent="0.25">
      <c r="A5576" s="11"/>
    </row>
    <row r="5577" spans="1:1" ht="15.75" x14ac:dyDescent="0.25">
      <c r="A5577" s="11"/>
    </row>
    <row r="5578" spans="1:1" ht="15.75" x14ac:dyDescent="0.25">
      <c r="A5578" s="11"/>
    </row>
    <row r="5579" spans="1:1" ht="15.75" x14ac:dyDescent="0.25">
      <c r="A5579" s="11"/>
    </row>
    <row r="5580" spans="1:1" ht="15.75" x14ac:dyDescent="0.25">
      <c r="A5580" s="11"/>
    </row>
    <row r="5581" spans="1:1" ht="15.75" x14ac:dyDescent="0.25">
      <c r="A5581" s="11"/>
    </row>
    <row r="5582" spans="1:1" ht="15.75" x14ac:dyDescent="0.25">
      <c r="A5582" s="11"/>
    </row>
    <row r="5583" spans="1:1" ht="15.75" x14ac:dyDescent="0.25">
      <c r="A5583" s="11"/>
    </row>
    <row r="5584" spans="1:1" ht="15.75" x14ac:dyDescent="0.25">
      <c r="A5584" s="11"/>
    </row>
    <row r="5585" spans="1:1" ht="15.75" x14ac:dyDescent="0.25">
      <c r="A5585" s="11"/>
    </row>
    <row r="5586" spans="1:1" ht="15.75" x14ac:dyDescent="0.25">
      <c r="A5586" s="11"/>
    </row>
    <row r="5587" spans="1:1" ht="15.75" x14ac:dyDescent="0.25">
      <c r="A5587" s="11"/>
    </row>
    <row r="5588" spans="1:1" ht="15.75" x14ac:dyDescent="0.25">
      <c r="A5588" s="11"/>
    </row>
    <row r="5589" spans="1:1" ht="15.75" x14ac:dyDescent="0.25">
      <c r="A5589" s="11"/>
    </row>
    <row r="5590" spans="1:1" ht="15.75" x14ac:dyDescent="0.25">
      <c r="A5590" s="11"/>
    </row>
    <row r="5591" spans="1:1" ht="15.75" x14ac:dyDescent="0.25">
      <c r="A5591" s="11"/>
    </row>
    <row r="5592" spans="1:1" ht="15.75" x14ac:dyDescent="0.25">
      <c r="A5592" s="11"/>
    </row>
    <row r="5593" spans="1:1" ht="15.75" x14ac:dyDescent="0.25">
      <c r="A5593" s="11"/>
    </row>
    <row r="5594" spans="1:1" ht="15.75" x14ac:dyDescent="0.25">
      <c r="A5594" s="11"/>
    </row>
    <row r="5595" spans="1:1" ht="15.75" x14ac:dyDescent="0.25">
      <c r="A5595" s="11"/>
    </row>
    <row r="5596" spans="1:1" ht="15.75" x14ac:dyDescent="0.25">
      <c r="A5596" s="11"/>
    </row>
    <row r="5597" spans="1:1" ht="15.75" x14ac:dyDescent="0.25">
      <c r="A5597" s="11"/>
    </row>
    <row r="5598" spans="1:1" ht="15.75" x14ac:dyDescent="0.25">
      <c r="A5598" s="11"/>
    </row>
    <row r="5599" spans="1:1" ht="15.75" x14ac:dyDescent="0.25">
      <c r="A5599" s="11"/>
    </row>
    <row r="5600" spans="1:1" ht="15.75" x14ac:dyDescent="0.25">
      <c r="A5600" s="11"/>
    </row>
    <row r="5601" spans="1:1" ht="15.75" x14ac:dyDescent="0.25">
      <c r="A5601" s="11"/>
    </row>
    <row r="5602" spans="1:1" ht="15.75" x14ac:dyDescent="0.25">
      <c r="A5602" s="11"/>
    </row>
    <row r="5603" spans="1:1" ht="15.75" x14ac:dyDescent="0.25">
      <c r="A5603" s="11"/>
    </row>
    <row r="5604" spans="1:1" ht="15.75" x14ac:dyDescent="0.25">
      <c r="A5604" s="11"/>
    </row>
    <row r="5605" spans="1:1" ht="15.75" x14ac:dyDescent="0.25">
      <c r="A5605" s="11"/>
    </row>
    <row r="5606" spans="1:1" ht="15.75" x14ac:dyDescent="0.25">
      <c r="A5606" s="11"/>
    </row>
    <row r="5607" spans="1:1" ht="15.75" x14ac:dyDescent="0.25">
      <c r="A5607" s="11"/>
    </row>
    <row r="5608" spans="1:1" ht="15.75" x14ac:dyDescent="0.25">
      <c r="A5608" s="11"/>
    </row>
    <row r="5609" spans="1:1" ht="15.75" x14ac:dyDescent="0.25">
      <c r="A5609" s="11"/>
    </row>
    <row r="5610" spans="1:1" ht="15.75" x14ac:dyDescent="0.25">
      <c r="A5610" s="11"/>
    </row>
    <row r="5611" spans="1:1" ht="15.75" x14ac:dyDescent="0.25">
      <c r="A5611" s="11"/>
    </row>
    <row r="5612" spans="1:1" ht="15.75" x14ac:dyDescent="0.25">
      <c r="A5612" s="11"/>
    </row>
    <row r="5613" spans="1:1" ht="15.75" x14ac:dyDescent="0.25">
      <c r="A5613" s="11"/>
    </row>
    <row r="5614" spans="1:1" ht="15.75" x14ac:dyDescent="0.25">
      <c r="A5614" s="11"/>
    </row>
    <row r="5615" spans="1:1" ht="15.75" x14ac:dyDescent="0.25">
      <c r="A5615" s="11"/>
    </row>
    <row r="5616" spans="1:1" ht="15.75" x14ac:dyDescent="0.25">
      <c r="A5616" s="11"/>
    </row>
    <row r="5617" spans="1:1" ht="15.75" x14ac:dyDescent="0.25">
      <c r="A5617" s="11"/>
    </row>
    <row r="5618" spans="1:1" ht="15.75" x14ac:dyDescent="0.25">
      <c r="A5618" s="11"/>
    </row>
    <row r="5619" spans="1:1" ht="15.75" x14ac:dyDescent="0.25">
      <c r="A5619" s="11"/>
    </row>
    <row r="5620" spans="1:1" ht="15.75" x14ac:dyDescent="0.25">
      <c r="A5620" s="11"/>
    </row>
    <row r="5621" spans="1:1" ht="15.75" x14ac:dyDescent="0.25">
      <c r="A5621" s="11"/>
    </row>
    <row r="5622" spans="1:1" ht="15.75" x14ac:dyDescent="0.25">
      <c r="A5622" s="11"/>
    </row>
    <row r="5623" spans="1:1" ht="15.75" x14ac:dyDescent="0.25">
      <c r="A5623" s="11"/>
    </row>
    <row r="5624" spans="1:1" ht="15.75" x14ac:dyDescent="0.25">
      <c r="A5624" s="11"/>
    </row>
    <row r="5625" spans="1:1" ht="15.75" x14ac:dyDescent="0.25">
      <c r="A5625" s="11"/>
    </row>
    <row r="5626" spans="1:1" ht="15.75" x14ac:dyDescent="0.25">
      <c r="A5626" s="11"/>
    </row>
    <row r="5627" spans="1:1" ht="15.75" x14ac:dyDescent="0.25">
      <c r="A5627" s="11"/>
    </row>
    <row r="5628" spans="1:1" ht="15.75" x14ac:dyDescent="0.25">
      <c r="A5628" s="11"/>
    </row>
    <row r="5629" spans="1:1" ht="15.75" x14ac:dyDescent="0.25">
      <c r="A5629" s="11"/>
    </row>
    <row r="5630" spans="1:1" ht="15.75" x14ac:dyDescent="0.25">
      <c r="A5630" s="11"/>
    </row>
    <row r="5631" spans="1:1" ht="15.75" x14ac:dyDescent="0.25">
      <c r="A5631" s="11"/>
    </row>
    <row r="5632" spans="1:1" ht="15.75" x14ac:dyDescent="0.25">
      <c r="A5632" s="11"/>
    </row>
    <row r="5633" spans="1:1" ht="15.75" x14ac:dyDescent="0.25">
      <c r="A5633" s="11"/>
    </row>
    <row r="5634" spans="1:1" ht="15.75" x14ac:dyDescent="0.25">
      <c r="A5634" s="11"/>
    </row>
    <row r="5635" spans="1:1" ht="15.75" x14ac:dyDescent="0.25">
      <c r="A5635" s="11"/>
    </row>
    <row r="5636" spans="1:1" ht="15.75" x14ac:dyDescent="0.25">
      <c r="A5636" s="11"/>
    </row>
    <row r="5637" spans="1:1" ht="15.75" x14ac:dyDescent="0.25">
      <c r="A5637" s="11"/>
    </row>
    <row r="5638" spans="1:1" ht="15.75" x14ac:dyDescent="0.25">
      <c r="A5638" s="11"/>
    </row>
    <row r="5639" spans="1:1" ht="15.75" x14ac:dyDescent="0.25">
      <c r="A5639" s="11"/>
    </row>
    <row r="5640" spans="1:1" ht="15.75" x14ac:dyDescent="0.25">
      <c r="A5640" s="11"/>
    </row>
    <row r="5641" spans="1:1" ht="15.75" x14ac:dyDescent="0.25">
      <c r="A5641" s="11"/>
    </row>
    <row r="5642" spans="1:1" ht="15.75" x14ac:dyDescent="0.25">
      <c r="A5642" s="11"/>
    </row>
    <row r="5643" spans="1:1" ht="15.75" x14ac:dyDescent="0.25">
      <c r="A5643" s="11"/>
    </row>
    <row r="5644" spans="1:1" ht="15.75" x14ac:dyDescent="0.25">
      <c r="A5644" s="11"/>
    </row>
    <row r="5645" spans="1:1" ht="15.75" x14ac:dyDescent="0.25">
      <c r="A5645" s="11"/>
    </row>
    <row r="5646" spans="1:1" ht="15.75" x14ac:dyDescent="0.25">
      <c r="A5646" s="11"/>
    </row>
    <row r="5647" spans="1:1" ht="15.75" x14ac:dyDescent="0.25">
      <c r="A5647" s="11"/>
    </row>
    <row r="5648" spans="1:1" ht="15.75" x14ac:dyDescent="0.25">
      <c r="A5648" s="11"/>
    </row>
    <row r="5649" spans="1:1" ht="15.75" x14ac:dyDescent="0.25">
      <c r="A5649" s="11"/>
    </row>
    <row r="5650" spans="1:1" ht="15.75" x14ac:dyDescent="0.25">
      <c r="A5650" s="11"/>
    </row>
    <row r="5651" spans="1:1" ht="15.75" x14ac:dyDescent="0.25">
      <c r="A5651" s="11"/>
    </row>
    <row r="5652" spans="1:1" ht="15.75" x14ac:dyDescent="0.25">
      <c r="A5652" s="11"/>
    </row>
    <row r="5653" spans="1:1" ht="15.75" x14ac:dyDescent="0.25">
      <c r="A5653" s="11"/>
    </row>
    <row r="5654" spans="1:1" ht="15.75" x14ac:dyDescent="0.25">
      <c r="A5654" s="11"/>
    </row>
    <row r="5655" spans="1:1" ht="15.75" x14ac:dyDescent="0.25">
      <c r="A5655" s="11"/>
    </row>
    <row r="5656" spans="1:1" ht="15.75" x14ac:dyDescent="0.25">
      <c r="A5656" s="11"/>
    </row>
    <row r="5657" spans="1:1" ht="15.75" x14ac:dyDescent="0.25">
      <c r="A5657" s="11"/>
    </row>
    <row r="5658" spans="1:1" ht="15.75" x14ac:dyDescent="0.25">
      <c r="A5658" s="11"/>
    </row>
    <row r="5659" spans="1:1" ht="15.75" x14ac:dyDescent="0.25">
      <c r="A5659" s="11"/>
    </row>
    <row r="5660" spans="1:1" ht="15.75" x14ac:dyDescent="0.25">
      <c r="A5660" s="11"/>
    </row>
    <row r="5661" spans="1:1" ht="15.75" x14ac:dyDescent="0.25">
      <c r="A5661" s="11"/>
    </row>
    <row r="5662" spans="1:1" ht="15.75" x14ac:dyDescent="0.25">
      <c r="A5662" s="11"/>
    </row>
    <row r="5663" spans="1:1" ht="15.75" x14ac:dyDescent="0.25">
      <c r="A5663" s="11"/>
    </row>
    <row r="5664" spans="1:1" ht="15.75" x14ac:dyDescent="0.25">
      <c r="A5664" s="11"/>
    </row>
    <row r="5665" spans="1:1" ht="15.75" x14ac:dyDescent="0.25">
      <c r="A5665" s="11"/>
    </row>
    <row r="5666" spans="1:1" ht="15.75" x14ac:dyDescent="0.25">
      <c r="A5666" s="11"/>
    </row>
    <row r="5667" spans="1:1" ht="15.75" x14ac:dyDescent="0.25">
      <c r="A5667" s="11"/>
    </row>
    <row r="5668" spans="1:1" ht="15.75" x14ac:dyDescent="0.25">
      <c r="A5668" s="11"/>
    </row>
    <row r="5669" spans="1:1" ht="15.75" x14ac:dyDescent="0.25">
      <c r="A5669" s="11"/>
    </row>
    <row r="5670" spans="1:1" ht="15.75" x14ac:dyDescent="0.25">
      <c r="A5670" s="11"/>
    </row>
    <row r="5671" spans="1:1" ht="15.75" x14ac:dyDescent="0.25">
      <c r="A5671" s="11"/>
    </row>
    <row r="5672" spans="1:1" ht="15.75" x14ac:dyDescent="0.25">
      <c r="A5672" s="11"/>
    </row>
    <row r="5673" spans="1:1" ht="15.75" x14ac:dyDescent="0.25">
      <c r="A5673" s="11"/>
    </row>
    <row r="5674" spans="1:1" ht="15.75" x14ac:dyDescent="0.25">
      <c r="A5674" s="11"/>
    </row>
    <row r="5675" spans="1:1" ht="15.75" x14ac:dyDescent="0.25">
      <c r="A5675" s="11"/>
    </row>
    <row r="5676" spans="1:1" ht="15.75" x14ac:dyDescent="0.25">
      <c r="A5676" s="11"/>
    </row>
    <row r="5677" spans="1:1" ht="15.75" x14ac:dyDescent="0.25">
      <c r="A5677" s="11"/>
    </row>
    <row r="5678" spans="1:1" ht="15.75" x14ac:dyDescent="0.25">
      <c r="A5678" s="11"/>
    </row>
    <row r="5679" spans="1:1" ht="15.75" x14ac:dyDescent="0.25">
      <c r="A5679" s="11"/>
    </row>
    <row r="5680" spans="1:1" ht="15.75" x14ac:dyDescent="0.25">
      <c r="A5680" s="11"/>
    </row>
    <row r="5681" spans="1:1" ht="15.75" x14ac:dyDescent="0.25">
      <c r="A5681" s="11"/>
    </row>
    <row r="5682" spans="1:1" ht="15.75" x14ac:dyDescent="0.25">
      <c r="A5682" s="11"/>
    </row>
    <row r="5683" spans="1:1" ht="15.75" x14ac:dyDescent="0.25">
      <c r="A5683" s="11"/>
    </row>
    <row r="5684" spans="1:1" ht="15.75" x14ac:dyDescent="0.25">
      <c r="A5684" s="11"/>
    </row>
    <row r="5685" spans="1:1" ht="15.75" x14ac:dyDescent="0.25">
      <c r="A5685" s="11"/>
    </row>
    <row r="5686" spans="1:1" ht="15.75" x14ac:dyDescent="0.25">
      <c r="A5686" s="11"/>
    </row>
    <row r="5687" spans="1:1" ht="15.75" x14ac:dyDescent="0.25">
      <c r="A5687" s="11"/>
    </row>
    <row r="5688" spans="1:1" ht="15.75" x14ac:dyDescent="0.25">
      <c r="A5688" s="11"/>
    </row>
    <row r="5689" spans="1:1" ht="15.75" x14ac:dyDescent="0.25">
      <c r="A5689" s="11"/>
    </row>
    <row r="5690" spans="1:1" ht="15.75" x14ac:dyDescent="0.25">
      <c r="A5690" s="11"/>
    </row>
    <row r="5691" spans="1:1" ht="15.75" x14ac:dyDescent="0.25">
      <c r="A5691" s="11"/>
    </row>
    <row r="5692" spans="1:1" ht="15.75" x14ac:dyDescent="0.25">
      <c r="A5692" s="11"/>
    </row>
    <row r="5693" spans="1:1" ht="15.75" x14ac:dyDescent="0.25">
      <c r="A5693" s="11"/>
    </row>
    <row r="5694" spans="1:1" ht="15.75" x14ac:dyDescent="0.25">
      <c r="A5694" s="11"/>
    </row>
    <row r="5695" spans="1:1" ht="15.75" x14ac:dyDescent="0.25">
      <c r="A5695" s="11"/>
    </row>
    <row r="5696" spans="1:1" ht="15.75" x14ac:dyDescent="0.25">
      <c r="A5696" s="11"/>
    </row>
    <row r="5697" spans="1:1" ht="15.75" x14ac:dyDescent="0.25">
      <c r="A5697" s="11"/>
    </row>
    <row r="5698" spans="1:1" ht="15.75" x14ac:dyDescent="0.25">
      <c r="A5698" s="11"/>
    </row>
    <row r="5699" spans="1:1" ht="15.75" x14ac:dyDescent="0.25">
      <c r="A5699" s="11"/>
    </row>
    <row r="5700" spans="1:1" ht="15.75" x14ac:dyDescent="0.25">
      <c r="A5700" s="11"/>
    </row>
    <row r="5701" spans="1:1" ht="15.75" x14ac:dyDescent="0.25">
      <c r="A5701" s="11"/>
    </row>
    <row r="5702" spans="1:1" ht="15.75" x14ac:dyDescent="0.25">
      <c r="A5702" s="11"/>
    </row>
    <row r="5703" spans="1:1" ht="15.75" x14ac:dyDescent="0.25">
      <c r="A5703" s="11"/>
    </row>
    <row r="5704" spans="1:1" ht="15.75" x14ac:dyDescent="0.25">
      <c r="A5704" s="11"/>
    </row>
    <row r="5705" spans="1:1" ht="15.75" x14ac:dyDescent="0.25">
      <c r="A5705" s="11"/>
    </row>
    <row r="5706" spans="1:1" ht="15.75" x14ac:dyDescent="0.25">
      <c r="A5706" s="11"/>
    </row>
    <row r="5707" spans="1:1" ht="15.75" x14ac:dyDescent="0.25">
      <c r="A5707" s="11"/>
    </row>
    <row r="5708" spans="1:1" ht="15.75" x14ac:dyDescent="0.25">
      <c r="A5708" s="11"/>
    </row>
    <row r="5709" spans="1:1" ht="15.75" x14ac:dyDescent="0.25">
      <c r="A5709" s="11"/>
    </row>
    <row r="5710" spans="1:1" ht="15.75" x14ac:dyDescent="0.25">
      <c r="A5710" s="11"/>
    </row>
    <row r="5711" spans="1:1" ht="15.75" x14ac:dyDescent="0.25">
      <c r="A5711" s="11"/>
    </row>
    <row r="5712" spans="1:1" ht="15.75" x14ac:dyDescent="0.25">
      <c r="A5712" s="11"/>
    </row>
    <row r="5713" spans="1:1" ht="15.75" x14ac:dyDescent="0.25">
      <c r="A5713" s="11"/>
    </row>
    <row r="5714" spans="1:1" ht="15.75" x14ac:dyDescent="0.25">
      <c r="A5714" s="11"/>
    </row>
    <row r="5715" spans="1:1" ht="15.75" x14ac:dyDescent="0.25">
      <c r="A5715" s="11"/>
    </row>
    <row r="5716" spans="1:1" ht="15.75" x14ac:dyDescent="0.25">
      <c r="A5716" s="11"/>
    </row>
    <row r="5717" spans="1:1" ht="15.75" x14ac:dyDescent="0.25">
      <c r="A5717" s="11"/>
    </row>
    <row r="5718" spans="1:1" ht="15.75" x14ac:dyDescent="0.25">
      <c r="A5718" s="11"/>
    </row>
    <row r="5719" spans="1:1" ht="15.75" x14ac:dyDescent="0.25">
      <c r="A5719" s="11"/>
    </row>
    <row r="5720" spans="1:1" ht="15.75" x14ac:dyDescent="0.25">
      <c r="A5720" s="11"/>
    </row>
    <row r="5721" spans="1:1" ht="15.75" x14ac:dyDescent="0.25">
      <c r="A5721" s="11"/>
    </row>
    <row r="5722" spans="1:1" ht="15.75" x14ac:dyDescent="0.25">
      <c r="A5722" s="11"/>
    </row>
    <row r="5723" spans="1:1" ht="15.75" x14ac:dyDescent="0.25">
      <c r="A5723" s="11"/>
    </row>
    <row r="5724" spans="1:1" ht="15.75" x14ac:dyDescent="0.25">
      <c r="A5724" s="11"/>
    </row>
    <row r="5725" spans="1:1" ht="15.75" x14ac:dyDescent="0.25">
      <c r="A5725" s="11"/>
    </row>
    <row r="5726" spans="1:1" ht="15.75" x14ac:dyDescent="0.25">
      <c r="A5726" s="11"/>
    </row>
    <row r="5727" spans="1:1" ht="15.75" x14ac:dyDescent="0.25">
      <c r="A5727" s="11"/>
    </row>
    <row r="5728" spans="1:1" ht="15.75" x14ac:dyDescent="0.25">
      <c r="A5728" s="11"/>
    </row>
    <row r="5729" spans="1:1" ht="15.75" x14ac:dyDescent="0.25">
      <c r="A5729" s="11"/>
    </row>
    <row r="5730" spans="1:1" ht="15.75" x14ac:dyDescent="0.25">
      <c r="A5730" s="11"/>
    </row>
    <row r="5731" spans="1:1" ht="15.75" x14ac:dyDescent="0.25">
      <c r="A5731" s="11"/>
    </row>
    <row r="5732" spans="1:1" ht="15.75" x14ac:dyDescent="0.25">
      <c r="A5732" s="11"/>
    </row>
    <row r="5733" spans="1:1" ht="15.75" x14ac:dyDescent="0.25">
      <c r="A5733" s="11"/>
    </row>
    <row r="5734" spans="1:1" ht="15.75" x14ac:dyDescent="0.25">
      <c r="A5734" s="11"/>
    </row>
    <row r="5735" spans="1:1" ht="15.75" x14ac:dyDescent="0.25">
      <c r="A5735" s="11"/>
    </row>
    <row r="5736" spans="1:1" ht="15.75" x14ac:dyDescent="0.25">
      <c r="A5736" s="11"/>
    </row>
    <row r="5737" spans="1:1" ht="15.75" x14ac:dyDescent="0.25">
      <c r="A5737" s="11"/>
    </row>
    <row r="5738" spans="1:1" ht="15.75" x14ac:dyDescent="0.25">
      <c r="A5738" s="11"/>
    </row>
    <row r="5739" spans="1:1" ht="15.75" x14ac:dyDescent="0.25">
      <c r="A5739" s="11"/>
    </row>
    <row r="5740" spans="1:1" ht="15.75" x14ac:dyDescent="0.25">
      <c r="A5740" s="11"/>
    </row>
    <row r="5741" spans="1:1" ht="15.75" x14ac:dyDescent="0.25">
      <c r="A5741" s="11"/>
    </row>
    <row r="5742" spans="1:1" ht="15.75" x14ac:dyDescent="0.25">
      <c r="A5742" s="11"/>
    </row>
    <row r="5743" spans="1:1" ht="15.75" x14ac:dyDescent="0.25">
      <c r="A5743" s="11"/>
    </row>
    <row r="5744" spans="1:1" ht="15.75" x14ac:dyDescent="0.25">
      <c r="A5744" s="11"/>
    </row>
    <row r="5745" spans="1:1" ht="15.75" x14ac:dyDescent="0.25">
      <c r="A5745" s="11"/>
    </row>
    <row r="5746" spans="1:1" ht="15.75" x14ac:dyDescent="0.25">
      <c r="A5746" s="11"/>
    </row>
    <row r="5747" spans="1:1" ht="15.75" x14ac:dyDescent="0.25">
      <c r="A5747" s="11"/>
    </row>
    <row r="5748" spans="1:1" ht="15.75" x14ac:dyDescent="0.25">
      <c r="A5748" s="11"/>
    </row>
    <row r="5749" spans="1:1" ht="15.75" x14ac:dyDescent="0.25">
      <c r="A5749" s="11"/>
    </row>
    <row r="5750" spans="1:1" ht="15.75" x14ac:dyDescent="0.25">
      <c r="A5750" s="11"/>
    </row>
    <row r="5751" spans="1:1" ht="15.75" x14ac:dyDescent="0.25">
      <c r="A5751" s="11"/>
    </row>
    <row r="5752" spans="1:1" ht="15.75" x14ac:dyDescent="0.25">
      <c r="A5752" s="11"/>
    </row>
    <row r="5753" spans="1:1" ht="15.75" x14ac:dyDescent="0.25">
      <c r="A5753" s="11"/>
    </row>
    <row r="5754" spans="1:1" ht="15.75" x14ac:dyDescent="0.25">
      <c r="A5754" s="11"/>
    </row>
    <row r="5755" spans="1:1" ht="15.75" x14ac:dyDescent="0.25">
      <c r="A5755" s="11"/>
    </row>
    <row r="5756" spans="1:1" ht="15.75" x14ac:dyDescent="0.25">
      <c r="A5756" s="11"/>
    </row>
    <row r="5757" spans="1:1" ht="15.75" x14ac:dyDescent="0.25">
      <c r="A5757" s="11"/>
    </row>
    <row r="5758" spans="1:1" ht="15.75" x14ac:dyDescent="0.25">
      <c r="A5758" s="11"/>
    </row>
    <row r="5759" spans="1:1" ht="15.75" x14ac:dyDescent="0.25">
      <c r="A5759" s="11"/>
    </row>
    <row r="5760" spans="1:1" ht="15.75" x14ac:dyDescent="0.25">
      <c r="A5760" s="11"/>
    </row>
    <row r="5761" spans="1:1" ht="15.75" x14ac:dyDescent="0.25">
      <c r="A5761" s="11"/>
    </row>
    <row r="5762" spans="1:1" ht="15.75" x14ac:dyDescent="0.25">
      <c r="A5762" s="11"/>
    </row>
    <row r="5763" spans="1:1" ht="15.75" x14ac:dyDescent="0.25">
      <c r="A5763" s="11"/>
    </row>
    <row r="5764" spans="1:1" ht="15.75" x14ac:dyDescent="0.25">
      <c r="A5764" s="11"/>
    </row>
    <row r="5765" spans="1:1" ht="15.75" x14ac:dyDescent="0.25">
      <c r="A5765" s="11"/>
    </row>
    <row r="5766" spans="1:1" ht="15.75" x14ac:dyDescent="0.25">
      <c r="A5766" s="11"/>
    </row>
    <row r="5767" spans="1:1" ht="15.75" x14ac:dyDescent="0.25">
      <c r="A5767" s="11"/>
    </row>
    <row r="5768" spans="1:1" ht="15.75" x14ac:dyDescent="0.25">
      <c r="A5768" s="11"/>
    </row>
    <row r="5769" spans="1:1" ht="15.75" x14ac:dyDescent="0.25">
      <c r="A5769" s="11"/>
    </row>
    <row r="5770" spans="1:1" ht="15.75" x14ac:dyDescent="0.25">
      <c r="A5770" s="11"/>
    </row>
    <row r="5771" spans="1:1" ht="15.75" x14ac:dyDescent="0.25">
      <c r="A5771" s="11"/>
    </row>
    <row r="5772" spans="1:1" ht="15.75" x14ac:dyDescent="0.25">
      <c r="A5772" s="11"/>
    </row>
    <row r="5773" spans="1:1" ht="15.75" x14ac:dyDescent="0.25">
      <c r="A5773" s="11"/>
    </row>
    <row r="5774" spans="1:1" ht="15.75" x14ac:dyDescent="0.25">
      <c r="A5774" s="11"/>
    </row>
    <row r="5775" spans="1:1" ht="15.75" x14ac:dyDescent="0.25">
      <c r="A5775" s="11"/>
    </row>
    <row r="5776" spans="1:1" ht="15.75" x14ac:dyDescent="0.25">
      <c r="A5776" s="11"/>
    </row>
    <row r="5777" spans="1:1" ht="15.75" x14ac:dyDescent="0.25">
      <c r="A5777" s="11"/>
    </row>
    <row r="5778" spans="1:1" ht="15.75" x14ac:dyDescent="0.25">
      <c r="A5778" s="11"/>
    </row>
    <row r="5779" spans="1:1" ht="15.75" x14ac:dyDescent="0.25">
      <c r="A5779" s="11"/>
    </row>
    <row r="5780" spans="1:1" ht="15.75" x14ac:dyDescent="0.25">
      <c r="A5780" s="11"/>
    </row>
    <row r="5781" spans="1:1" ht="15.75" x14ac:dyDescent="0.25">
      <c r="A5781" s="11"/>
    </row>
    <row r="5782" spans="1:1" ht="15.75" x14ac:dyDescent="0.25">
      <c r="A5782" s="11"/>
    </row>
    <row r="5783" spans="1:1" ht="15.75" x14ac:dyDescent="0.25">
      <c r="A5783" s="11"/>
    </row>
    <row r="5784" spans="1:1" ht="15.75" x14ac:dyDescent="0.25">
      <c r="A5784" s="11"/>
    </row>
    <row r="5785" spans="1:1" ht="15.75" x14ac:dyDescent="0.25">
      <c r="A5785" s="11"/>
    </row>
    <row r="5786" spans="1:1" ht="15.75" x14ac:dyDescent="0.25">
      <c r="A5786" s="11"/>
    </row>
    <row r="5787" spans="1:1" ht="15.75" x14ac:dyDescent="0.25">
      <c r="A5787" s="11"/>
    </row>
    <row r="5788" spans="1:1" ht="15.75" x14ac:dyDescent="0.25">
      <c r="A5788" s="11"/>
    </row>
    <row r="5789" spans="1:1" ht="15.75" x14ac:dyDescent="0.25">
      <c r="A5789" s="11"/>
    </row>
    <row r="5790" spans="1:1" ht="15.75" x14ac:dyDescent="0.25">
      <c r="A5790" s="11"/>
    </row>
    <row r="5791" spans="1:1" ht="15.75" x14ac:dyDescent="0.25">
      <c r="A5791" s="11"/>
    </row>
    <row r="5792" spans="1:1" ht="15.75" x14ac:dyDescent="0.25">
      <c r="A5792" s="11"/>
    </row>
    <row r="5793" spans="1:1" ht="15.75" x14ac:dyDescent="0.25">
      <c r="A5793" s="11"/>
    </row>
    <row r="5794" spans="1:1" ht="15.75" x14ac:dyDescent="0.25">
      <c r="A5794" s="11"/>
    </row>
    <row r="5795" spans="1:1" ht="15.75" x14ac:dyDescent="0.25">
      <c r="A5795" s="11"/>
    </row>
    <row r="5796" spans="1:1" ht="15.75" x14ac:dyDescent="0.25">
      <c r="A5796" s="11"/>
    </row>
    <row r="5797" spans="1:1" ht="15.75" x14ac:dyDescent="0.25">
      <c r="A5797" s="11"/>
    </row>
    <row r="5798" spans="1:1" ht="15.75" x14ac:dyDescent="0.25">
      <c r="A5798" s="11"/>
    </row>
    <row r="5799" spans="1:1" ht="15.75" x14ac:dyDescent="0.25">
      <c r="A5799" s="11"/>
    </row>
    <row r="5800" spans="1:1" ht="15.75" x14ac:dyDescent="0.25">
      <c r="A5800" s="11"/>
    </row>
    <row r="5801" spans="1:1" ht="15.75" x14ac:dyDescent="0.25">
      <c r="A5801" s="11"/>
    </row>
    <row r="5802" spans="1:1" ht="15.75" x14ac:dyDescent="0.25">
      <c r="A5802" s="11"/>
    </row>
    <row r="5803" spans="1:1" ht="15.75" x14ac:dyDescent="0.25">
      <c r="A5803" s="11"/>
    </row>
    <row r="5804" spans="1:1" ht="15.75" x14ac:dyDescent="0.25">
      <c r="A5804" s="11"/>
    </row>
    <row r="5805" spans="1:1" ht="15.75" x14ac:dyDescent="0.25">
      <c r="A5805" s="11"/>
    </row>
    <row r="5806" spans="1:1" ht="15.75" x14ac:dyDescent="0.25">
      <c r="A5806" s="11"/>
    </row>
    <row r="5807" spans="1:1" ht="15.75" x14ac:dyDescent="0.25">
      <c r="A5807" s="11"/>
    </row>
    <row r="5808" spans="1:1" ht="15.75" x14ac:dyDescent="0.25">
      <c r="A5808" s="11"/>
    </row>
    <row r="5809" spans="1:1" ht="15.75" x14ac:dyDescent="0.25">
      <c r="A5809" s="11"/>
    </row>
    <row r="5810" spans="1:1" ht="15.75" x14ac:dyDescent="0.25">
      <c r="A5810" s="11"/>
    </row>
    <row r="5811" spans="1:1" ht="15.75" x14ac:dyDescent="0.25">
      <c r="A5811" s="11"/>
    </row>
    <row r="5812" spans="1:1" ht="15.75" x14ac:dyDescent="0.25">
      <c r="A5812" s="11"/>
    </row>
    <row r="5813" spans="1:1" ht="15.75" x14ac:dyDescent="0.25">
      <c r="A5813" s="11"/>
    </row>
    <row r="5814" spans="1:1" ht="15.75" x14ac:dyDescent="0.25">
      <c r="A5814" s="11"/>
    </row>
    <row r="5815" spans="1:1" ht="15.75" x14ac:dyDescent="0.25">
      <c r="A5815" s="11"/>
    </row>
    <row r="5816" spans="1:1" ht="15.75" x14ac:dyDescent="0.25">
      <c r="A5816" s="11"/>
    </row>
    <row r="5817" spans="1:1" ht="15.75" x14ac:dyDescent="0.25">
      <c r="A5817" s="11"/>
    </row>
    <row r="5818" spans="1:1" ht="15.75" x14ac:dyDescent="0.25">
      <c r="A5818" s="11"/>
    </row>
    <row r="5819" spans="1:1" ht="15.75" x14ac:dyDescent="0.25">
      <c r="A5819" s="11"/>
    </row>
    <row r="5820" spans="1:1" ht="15.75" x14ac:dyDescent="0.25">
      <c r="A5820" s="11"/>
    </row>
    <row r="5821" spans="1:1" ht="15.75" x14ac:dyDescent="0.25">
      <c r="A5821" s="11"/>
    </row>
    <row r="5822" spans="1:1" ht="15.75" x14ac:dyDescent="0.25">
      <c r="A5822" s="11"/>
    </row>
    <row r="5823" spans="1:1" ht="15.75" x14ac:dyDescent="0.25">
      <c r="A5823" s="11"/>
    </row>
    <row r="5824" spans="1:1" ht="15.75" x14ac:dyDescent="0.25">
      <c r="A5824" s="11"/>
    </row>
    <row r="5825" spans="1:1" ht="15.75" x14ac:dyDescent="0.25">
      <c r="A5825" s="11"/>
    </row>
    <row r="5826" spans="1:1" ht="15.75" x14ac:dyDescent="0.25">
      <c r="A5826" s="11"/>
    </row>
    <row r="5827" spans="1:1" ht="15.75" x14ac:dyDescent="0.25">
      <c r="A5827" s="11"/>
    </row>
    <row r="5828" spans="1:1" ht="15.75" x14ac:dyDescent="0.25">
      <c r="A5828" s="11"/>
    </row>
    <row r="5829" spans="1:1" ht="15.75" x14ac:dyDescent="0.25">
      <c r="A5829" s="11"/>
    </row>
    <row r="5830" spans="1:1" ht="15.75" x14ac:dyDescent="0.25">
      <c r="A5830" s="11"/>
    </row>
    <row r="5831" spans="1:1" ht="15.75" x14ac:dyDescent="0.25">
      <c r="A5831" s="11"/>
    </row>
    <row r="5832" spans="1:1" ht="15.75" x14ac:dyDescent="0.25">
      <c r="A5832" s="11"/>
    </row>
    <row r="5833" spans="1:1" ht="15.75" x14ac:dyDescent="0.25">
      <c r="A5833" s="11"/>
    </row>
    <row r="5834" spans="1:1" ht="15.75" x14ac:dyDescent="0.25">
      <c r="A5834" s="11"/>
    </row>
    <row r="5835" spans="1:1" ht="15.75" x14ac:dyDescent="0.25">
      <c r="A5835" s="11"/>
    </row>
    <row r="5836" spans="1:1" ht="15.75" x14ac:dyDescent="0.25">
      <c r="A5836" s="11"/>
    </row>
    <row r="5837" spans="1:1" ht="15.75" x14ac:dyDescent="0.25">
      <c r="A5837" s="11"/>
    </row>
    <row r="5838" spans="1:1" ht="15.75" x14ac:dyDescent="0.25">
      <c r="A5838" s="11"/>
    </row>
    <row r="5839" spans="1:1" ht="15.75" x14ac:dyDescent="0.25">
      <c r="A5839" s="11"/>
    </row>
    <row r="5840" spans="1:1" ht="15.75" x14ac:dyDescent="0.25">
      <c r="A5840" s="11"/>
    </row>
    <row r="5841" spans="1:1" ht="15.75" x14ac:dyDescent="0.25">
      <c r="A5841" s="11"/>
    </row>
    <row r="5842" spans="1:1" ht="15.75" x14ac:dyDescent="0.25">
      <c r="A5842" s="11"/>
    </row>
    <row r="5843" spans="1:1" ht="15.75" x14ac:dyDescent="0.25">
      <c r="A5843" s="11"/>
    </row>
    <row r="5844" spans="1:1" ht="15.75" x14ac:dyDescent="0.25">
      <c r="A5844" s="11"/>
    </row>
    <row r="5845" spans="1:1" ht="15.75" x14ac:dyDescent="0.25">
      <c r="A5845" s="11"/>
    </row>
    <row r="5846" spans="1:1" ht="15.75" x14ac:dyDescent="0.25">
      <c r="A5846" s="11"/>
    </row>
    <row r="5847" spans="1:1" ht="15.75" x14ac:dyDescent="0.25">
      <c r="A5847" s="11"/>
    </row>
    <row r="5848" spans="1:1" ht="15.75" x14ac:dyDescent="0.25">
      <c r="A5848" s="11"/>
    </row>
    <row r="5849" spans="1:1" ht="15.75" x14ac:dyDescent="0.25">
      <c r="A5849" s="11"/>
    </row>
    <row r="5850" spans="1:1" ht="15.75" x14ac:dyDescent="0.25">
      <c r="A5850" s="11"/>
    </row>
    <row r="5851" spans="1:1" ht="15.75" x14ac:dyDescent="0.25">
      <c r="A5851" s="11"/>
    </row>
    <row r="5852" spans="1:1" ht="15.75" x14ac:dyDescent="0.25">
      <c r="A5852" s="11"/>
    </row>
    <row r="5853" spans="1:1" ht="15.75" x14ac:dyDescent="0.25">
      <c r="A5853" s="11"/>
    </row>
    <row r="5854" spans="1:1" ht="15.75" x14ac:dyDescent="0.25">
      <c r="A5854" s="11"/>
    </row>
    <row r="5855" spans="1:1" ht="15.75" x14ac:dyDescent="0.25">
      <c r="A5855" s="11"/>
    </row>
    <row r="5856" spans="1:1" ht="15.75" x14ac:dyDescent="0.25">
      <c r="A5856" s="11"/>
    </row>
    <row r="5857" spans="1:1" ht="15.75" x14ac:dyDescent="0.25">
      <c r="A5857" s="11"/>
    </row>
    <row r="5858" spans="1:1" ht="15.75" x14ac:dyDescent="0.25">
      <c r="A5858" s="11"/>
    </row>
    <row r="5859" spans="1:1" ht="15.75" x14ac:dyDescent="0.25">
      <c r="A5859" s="11"/>
    </row>
    <row r="5860" spans="1:1" ht="15.75" x14ac:dyDescent="0.25">
      <c r="A5860" s="11"/>
    </row>
    <row r="5861" spans="1:1" ht="15.75" x14ac:dyDescent="0.25">
      <c r="A5861" s="11"/>
    </row>
    <row r="5862" spans="1:1" ht="15.75" x14ac:dyDescent="0.25">
      <c r="A5862" s="11"/>
    </row>
    <row r="5863" spans="1:1" ht="15.75" x14ac:dyDescent="0.25">
      <c r="A5863" s="11"/>
    </row>
    <row r="5864" spans="1:1" ht="15.75" x14ac:dyDescent="0.25">
      <c r="A5864" s="11"/>
    </row>
    <row r="5865" spans="1:1" ht="15.75" x14ac:dyDescent="0.25">
      <c r="A5865" s="11"/>
    </row>
    <row r="5866" spans="1:1" ht="15.75" x14ac:dyDescent="0.25">
      <c r="A5866" s="11"/>
    </row>
    <row r="5867" spans="1:1" ht="15.75" x14ac:dyDescent="0.25">
      <c r="A5867" s="11"/>
    </row>
    <row r="5868" spans="1:1" ht="15.75" x14ac:dyDescent="0.25">
      <c r="A5868" s="11"/>
    </row>
    <row r="5869" spans="1:1" ht="15.75" x14ac:dyDescent="0.25">
      <c r="A5869" s="11"/>
    </row>
    <row r="5870" spans="1:1" ht="15.75" x14ac:dyDescent="0.25">
      <c r="A5870" s="11"/>
    </row>
    <row r="5871" spans="1:1" ht="15.75" x14ac:dyDescent="0.25">
      <c r="A5871" s="11"/>
    </row>
    <row r="5872" spans="1:1" ht="15.75" x14ac:dyDescent="0.25">
      <c r="A5872" s="11"/>
    </row>
    <row r="5873" spans="1:1" ht="15.75" x14ac:dyDescent="0.25">
      <c r="A5873" s="11"/>
    </row>
    <row r="5874" spans="1:1" ht="15.75" x14ac:dyDescent="0.25">
      <c r="A5874" s="11"/>
    </row>
    <row r="5875" spans="1:1" ht="15.75" x14ac:dyDescent="0.25">
      <c r="A5875" s="11"/>
    </row>
    <row r="5876" spans="1:1" ht="15.75" x14ac:dyDescent="0.25">
      <c r="A5876" s="11"/>
    </row>
    <row r="5877" spans="1:1" ht="15.75" x14ac:dyDescent="0.25">
      <c r="A5877" s="11"/>
    </row>
    <row r="5878" spans="1:1" ht="15.75" x14ac:dyDescent="0.25">
      <c r="A5878" s="11"/>
    </row>
    <row r="5879" spans="1:1" ht="15.75" x14ac:dyDescent="0.25">
      <c r="A5879" s="11"/>
    </row>
    <row r="5880" spans="1:1" ht="15.75" x14ac:dyDescent="0.25">
      <c r="A5880" s="11"/>
    </row>
    <row r="5881" spans="1:1" ht="15.75" x14ac:dyDescent="0.25">
      <c r="A5881" s="11"/>
    </row>
    <row r="5882" spans="1:1" ht="15.75" x14ac:dyDescent="0.25">
      <c r="A5882" s="11"/>
    </row>
    <row r="5883" spans="1:1" ht="15.75" x14ac:dyDescent="0.25">
      <c r="A5883" s="11"/>
    </row>
    <row r="5884" spans="1:1" ht="15.75" x14ac:dyDescent="0.25">
      <c r="A5884" s="11"/>
    </row>
    <row r="5885" spans="1:1" ht="15.75" x14ac:dyDescent="0.25">
      <c r="A5885" s="11"/>
    </row>
    <row r="5886" spans="1:1" ht="15.75" x14ac:dyDescent="0.25">
      <c r="A5886" s="11"/>
    </row>
    <row r="5887" spans="1:1" ht="15.75" x14ac:dyDescent="0.25">
      <c r="A5887" s="11"/>
    </row>
    <row r="5888" spans="1:1" ht="15.75" x14ac:dyDescent="0.25">
      <c r="A5888" s="11"/>
    </row>
    <row r="5889" spans="1:1" ht="15.75" x14ac:dyDescent="0.25">
      <c r="A5889" s="11"/>
    </row>
    <row r="5890" spans="1:1" ht="15.75" x14ac:dyDescent="0.25">
      <c r="A5890" s="11"/>
    </row>
    <row r="5891" spans="1:1" ht="15.75" x14ac:dyDescent="0.25">
      <c r="A5891" s="11"/>
    </row>
    <row r="5892" spans="1:1" ht="15.75" x14ac:dyDescent="0.25">
      <c r="A5892" s="11"/>
    </row>
    <row r="5893" spans="1:1" ht="15.75" x14ac:dyDescent="0.25">
      <c r="A5893" s="11"/>
    </row>
    <row r="5894" spans="1:1" ht="15.75" x14ac:dyDescent="0.25">
      <c r="A5894" s="11"/>
    </row>
    <row r="5895" spans="1:1" ht="15.75" x14ac:dyDescent="0.25">
      <c r="A5895" s="11"/>
    </row>
    <row r="5896" spans="1:1" ht="15.75" x14ac:dyDescent="0.25">
      <c r="A5896" s="11"/>
    </row>
    <row r="5897" spans="1:1" ht="15.75" x14ac:dyDescent="0.25">
      <c r="A5897" s="11"/>
    </row>
    <row r="5898" spans="1:1" ht="15.75" x14ac:dyDescent="0.25">
      <c r="A5898" s="11"/>
    </row>
    <row r="5899" spans="1:1" ht="15.75" x14ac:dyDescent="0.25">
      <c r="A5899" s="11"/>
    </row>
    <row r="5900" spans="1:1" ht="15.75" x14ac:dyDescent="0.25">
      <c r="A5900" s="11"/>
    </row>
    <row r="5901" spans="1:1" ht="15.75" x14ac:dyDescent="0.25">
      <c r="A5901" s="11"/>
    </row>
    <row r="5902" spans="1:1" ht="15.75" x14ac:dyDescent="0.25">
      <c r="A5902" s="11"/>
    </row>
    <row r="5903" spans="1:1" ht="15.75" x14ac:dyDescent="0.25">
      <c r="A5903" s="11"/>
    </row>
    <row r="5904" spans="1:1" ht="15.75" x14ac:dyDescent="0.25">
      <c r="A5904" s="11"/>
    </row>
    <row r="5905" spans="1:1" ht="15.75" x14ac:dyDescent="0.25">
      <c r="A5905" s="11"/>
    </row>
    <row r="5906" spans="1:1" ht="15.75" x14ac:dyDescent="0.25">
      <c r="A5906" s="11"/>
    </row>
    <row r="5907" spans="1:1" ht="15.75" x14ac:dyDescent="0.25">
      <c r="A5907" s="11"/>
    </row>
    <row r="5908" spans="1:1" ht="15.75" x14ac:dyDescent="0.25">
      <c r="A5908" s="11"/>
    </row>
    <row r="5909" spans="1:1" ht="15.75" x14ac:dyDescent="0.25">
      <c r="A5909" s="11"/>
    </row>
    <row r="5910" spans="1:1" ht="15.75" x14ac:dyDescent="0.25">
      <c r="A5910" s="11"/>
    </row>
    <row r="5911" spans="1:1" ht="15.75" x14ac:dyDescent="0.25">
      <c r="A5911" s="11"/>
    </row>
    <row r="5912" spans="1:1" ht="15.75" x14ac:dyDescent="0.25">
      <c r="A5912" s="11"/>
    </row>
    <row r="5913" spans="1:1" ht="15.75" x14ac:dyDescent="0.25">
      <c r="A5913" s="11"/>
    </row>
    <row r="5914" spans="1:1" ht="15.75" x14ac:dyDescent="0.25">
      <c r="A5914" s="11"/>
    </row>
    <row r="5915" spans="1:1" ht="15.75" x14ac:dyDescent="0.25">
      <c r="A5915" s="11"/>
    </row>
    <row r="5916" spans="1:1" ht="15.75" x14ac:dyDescent="0.25">
      <c r="A5916" s="11"/>
    </row>
    <row r="5917" spans="1:1" ht="15.75" x14ac:dyDescent="0.25">
      <c r="A5917" s="11"/>
    </row>
    <row r="5918" spans="1:1" ht="15.75" x14ac:dyDescent="0.25">
      <c r="A5918" s="11"/>
    </row>
    <row r="5919" spans="1:1" ht="15.75" x14ac:dyDescent="0.25">
      <c r="A5919" s="11"/>
    </row>
    <row r="5920" spans="1:1" ht="15.75" x14ac:dyDescent="0.25">
      <c r="A5920" s="11"/>
    </row>
    <row r="5921" spans="1:1" ht="15.75" x14ac:dyDescent="0.25">
      <c r="A5921" s="11"/>
    </row>
    <row r="5922" spans="1:1" ht="15.75" x14ac:dyDescent="0.25">
      <c r="A5922" s="11"/>
    </row>
    <row r="5923" spans="1:1" ht="15.75" x14ac:dyDescent="0.25">
      <c r="A5923" s="11"/>
    </row>
    <row r="5924" spans="1:1" ht="15.75" x14ac:dyDescent="0.25">
      <c r="A5924" s="11"/>
    </row>
    <row r="5925" spans="1:1" ht="15.75" x14ac:dyDescent="0.25">
      <c r="A5925" s="11"/>
    </row>
    <row r="5926" spans="1:1" ht="15.75" x14ac:dyDescent="0.25">
      <c r="A5926" s="11"/>
    </row>
    <row r="5927" spans="1:1" ht="15.75" x14ac:dyDescent="0.25">
      <c r="A5927" s="11"/>
    </row>
    <row r="5928" spans="1:1" ht="15.75" x14ac:dyDescent="0.25">
      <c r="A5928" s="11"/>
    </row>
    <row r="5929" spans="1:1" ht="15.75" x14ac:dyDescent="0.25">
      <c r="A5929" s="11"/>
    </row>
    <row r="5930" spans="1:1" ht="15.75" x14ac:dyDescent="0.25">
      <c r="A5930" s="11"/>
    </row>
    <row r="5931" spans="1:1" ht="15.75" x14ac:dyDescent="0.25">
      <c r="A5931" s="11"/>
    </row>
    <row r="5932" spans="1:1" ht="15.75" x14ac:dyDescent="0.25">
      <c r="A5932" s="11"/>
    </row>
    <row r="5933" spans="1:1" ht="15.75" x14ac:dyDescent="0.25">
      <c r="A5933" s="11"/>
    </row>
    <row r="5934" spans="1:1" ht="15.75" x14ac:dyDescent="0.25">
      <c r="A5934" s="11"/>
    </row>
    <row r="5935" spans="1:1" ht="15.75" x14ac:dyDescent="0.25">
      <c r="A5935" s="11"/>
    </row>
    <row r="5936" spans="1:1" ht="15.75" x14ac:dyDescent="0.25">
      <c r="A5936" s="11"/>
    </row>
    <row r="5937" spans="1:1" ht="15.75" x14ac:dyDescent="0.25">
      <c r="A5937" s="11"/>
    </row>
    <row r="5938" spans="1:1" ht="15.75" x14ac:dyDescent="0.25">
      <c r="A5938" s="11"/>
    </row>
    <row r="5939" spans="1:1" ht="15.75" x14ac:dyDescent="0.25">
      <c r="A5939" s="11"/>
    </row>
    <row r="5940" spans="1:1" ht="15.75" x14ac:dyDescent="0.25">
      <c r="A5940" s="11"/>
    </row>
    <row r="5941" spans="1:1" ht="15.75" x14ac:dyDescent="0.25">
      <c r="A5941" s="11"/>
    </row>
    <row r="5942" spans="1:1" ht="15.75" x14ac:dyDescent="0.25">
      <c r="A5942" s="11"/>
    </row>
    <row r="5943" spans="1:1" ht="15.75" x14ac:dyDescent="0.25">
      <c r="A5943" s="11"/>
    </row>
    <row r="5944" spans="1:1" ht="15.75" x14ac:dyDescent="0.25">
      <c r="A5944" s="11"/>
    </row>
    <row r="5945" spans="1:1" ht="15.75" x14ac:dyDescent="0.25">
      <c r="A5945" s="11"/>
    </row>
    <row r="5946" spans="1:1" ht="15.75" x14ac:dyDescent="0.25">
      <c r="A5946" s="11"/>
    </row>
    <row r="5947" spans="1:1" ht="15.75" x14ac:dyDescent="0.25">
      <c r="A5947" s="11"/>
    </row>
    <row r="5948" spans="1:1" ht="15.75" x14ac:dyDescent="0.25">
      <c r="A5948" s="11"/>
    </row>
    <row r="5949" spans="1:1" ht="15.75" x14ac:dyDescent="0.25">
      <c r="A5949" s="11"/>
    </row>
    <row r="5950" spans="1:1" ht="15.75" x14ac:dyDescent="0.25">
      <c r="A5950" s="11"/>
    </row>
    <row r="5951" spans="1:1" ht="15.75" x14ac:dyDescent="0.25">
      <c r="A5951" s="11"/>
    </row>
    <row r="5952" spans="1:1" ht="15.75" x14ac:dyDescent="0.25">
      <c r="A5952" s="11"/>
    </row>
    <row r="5953" spans="1:1" ht="15.75" x14ac:dyDescent="0.25">
      <c r="A5953" s="11"/>
    </row>
    <row r="5954" spans="1:1" ht="15.75" x14ac:dyDescent="0.25">
      <c r="A5954" s="11"/>
    </row>
    <row r="5955" spans="1:1" ht="15.75" x14ac:dyDescent="0.25">
      <c r="A5955" s="11"/>
    </row>
    <row r="5956" spans="1:1" ht="15.75" x14ac:dyDescent="0.25">
      <c r="A5956" s="11"/>
    </row>
    <row r="5957" spans="1:1" ht="15.75" x14ac:dyDescent="0.25">
      <c r="A5957" s="11"/>
    </row>
    <row r="5958" spans="1:1" ht="15.75" x14ac:dyDescent="0.25">
      <c r="A5958" s="11"/>
    </row>
    <row r="5959" spans="1:1" ht="15.75" x14ac:dyDescent="0.25">
      <c r="A5959" s="11"/>
    </row>
    <row r="5960" spans="1:1" ht="15.75" x14ac:dyDescent="0.25">
      <c r="A5960" s="11"/>
    </row>
    <row r="5961" spans="1:1" ht="15.75" x14ac:dyDescent="0.25">
      <c r="A5961" s="11"/>
    </row>
    <row r="5962" spans="1:1" ht="15.75" x14ac:dyDescent="0.25">
      <c r="A5962" s="11"/>
    </row>
    <row r="5963" spans="1:1" ht="15.75" x14ac:dyDescent="0.25">
      <c r="A5963" s="11"/>
    </row>
    <row r="5964" spans="1:1" ht="15.75" x14ac:dyDescent="0.25">
      <c r="A5964" s="11"/>
    </row>
    <row r="5965" spans="1:1" ht="15.75" x14ac:dyDescent="0.25">
      <c r="A5965" s="11"/>
    </row>
    <row r="5966" spans="1:1" ht="15.75" x14ac:dyDescent="0.25">
      <c r="A5966" s="11"/>
    </row>
    <row r="5967" spans="1:1" ht="15.75" x14ac:dyDescent="0.25">
      <c r="A5967" s="11"/>
    </row>
    <row r="5968" spans="1:1" ht="15.75" x14ac:dyDescent="0.25">
      <c r="A5968" s="11"/>
    </row>
    <row r="5969" spans="1:1" ht="15.75" x14ac:dyDescent="0.25">
      <c r="A5969" s="11"/>
    </row>
    <row r="5970" spans="1:1" ht="15.75" x14ac:dyDescent="0.25">
      <c r="A5970" s="11"/>
    </row>
    <row r="5971" spans="1:1" ht="15.75" x14ac:dyDescent="0.25">
      <c r="A5971" s="11"/>
    </row>
    <row r="5972" spans="1:1" ht="15.75" x14ac:dyDescent="0.25">
      <c r="A5972" s="11"/>
    </row>
    <row r="5973" spans="1:1" ht="15.75" x14ac:dyDescent="0.25">
      <c r="A5973" s="11"/>
    </row>
    <row r="5974" spans="1:1" ht="15.75" x14ac:dyDescent="0.25">
      <c r="A5974" s="11"/>
    </row>
    <row r="5975" spans="1:1" ht="15.75" x14ac:dyDescent="0.25">
      <c r="A5975" s="11"/>
    </row>
    <row r="5976" spans="1:1" ht="15.75" x14ac:dyDescent="0.25">
      <c r="A5976" s="11"/>
    </row>
    <row r="5977" spans="1:1" ht="15.75" x14ac:dyDescent="0.25">
      <c r="A5977" s="11"/>
    </row>
    <row r="5978" spans="1:1" ht="15.75" x14ac:dyDescent="0.25">
      <c r="A5978" s="11"/>
    </row>
    <row r="5979" spans="1:1" ht="15.75" x14ac:dyDescent="0.25">
      <c r="A5979" s="11"/>
    </row>
    <row r="5980" spans="1:1" ht="15.75" x14ac:dyDescent="0.25">
      <c r="A5980" s="11"/>
    </row>
    <row r="5981" spans="1:1" ht="15.75" x14ac:dyDescent="0.25">
      <c r="A5981" s="11"/>
    </row>
    <row r="5982" spans="1:1" ht="15.75" x14ac:dyDescent="0.25">
      <c r="A5982" s="11"/>
    </row>
    <row r="5983" spans="1:1" ht="15.75" x14ac:dyDescent="0.25">
      <c r="A5983" s="11"/>
    </row>
    <row r="5984" spans="1:1" ht="15.75" x14ac:dyDescent="0.25">
      <c r="A5984" s="11"/>
    </row>
    <row r="5985" spans="1:1" ht="15.75" x14ac:dyDescent="0.25">
      <c r="A5985" s="11"/>
    </row>
    <row r="5986" spans="1:1" ht="15.75" x14ac:dyDescent="0.25">
      <c r="A5986" s="11"/>
    </row>
    <row r="5987" spans="1:1" ht="15.75" x14ac:dyDescent="0.25">
      <c r="A5987" s="11"/>
    </row>
    <row r="5988" spans="1:1" ht="15.75" x14ac:dyDescent="0.25">
      <c r="A5988" s="11"/>
    </row>
    <row r="5989" spans="1:1" ht="15.75" x14ac:dyDescent="0.25">
      <c r="A5989" s="11"/>
    </row>
    <row r="5990" spans="1:1" ht="15.75" x14ac:dyDescent="0.25">
      <c r="A5990" s="11"/>
    </row>
    <row r="5991" spans="1:1" ht="15.75" x14ac:dyDescent="0.25">
      <c r="A5991" s="11"/>
    </row>
    <row r="5992" spans="1:1" ht="15.75" x14ac:dyDescent="0.25">
      <c r="A5992" s="11"/>
    </row>
    <row r="5993" spans="1:1" ht="15.75" x14ac:dyDescent="0.25">
      <c r="A5993" s="11"/>
    </row>
    <row r="5994" spans="1:1" ht="15.75" x14ac:dyDescent="0.25">
      <c r="A5994" s="11"/>
    </row>
    <row r="5995" spans="1:1" ht="15.75" x14ac:dyDescent="0.25">
      <c r="A5995" s="11"/>
    </row>
    <row r="5996" spans="1:1" ht="15.75" x14ac:dyDescent="0.25">
      <c r="A5996" s="11"/>
    </row>
    <row r="5997" spans="1:1" ht="15.75" x14ac:dyDescent="0.25">
      <c r="A5997" s="11"/>
    </row>
    <row r="5998" spans="1:1" ht="15.75" x14ac:dyDescent="0.25">
      <c r="A5998" s="11"/>
    </row>
    <row r="5999" spans="1:1" ht="15.75" x14ac:dyDescent="0.25">
      <c r="A5999" s="11"/>
    </row>
    <row r="6000" spans="1:1" ht="15.75" x14ac:dyDescent="0.25">
      <c r="A6000" s="11"/>
    </row>
    <row r="6001" spans="1:1" ht="15.75" x14ac:dyDescent="0.25">
      <c r="A6001" s="11"/>
    </row>
    <row r="6002" spans="1:1" ht="15.75" x14ac:dyDescent="0.25">
      <c r="A6002" s="11"/>
    </row>
    <row r="6003" spans="1:1" ht="15.75" x14ac:dyDescent="0.25">
      <c r="A6003" s="11"/>
    </row>
    <row r="6004" spans="1:1" ht="15.75" x14ac:dyDescent="0.25">
      <c r="A6004" s="11"/>
    </row>
    <row r="6005" spans="1:1" ht="15.75" x14ac:dyDescent="0.25">
      <c r="A6005" s="11"/>
    </row>
    <row r="6006" spans="1:1" ht="15.75" x14ac:dyDescent="0.25">
      <c r="A6006" s="11"/>
    </row>
    <row r="6007" spans="1:1" ht="15.75" x14ac:dyDescent="0.25">
      <c r="A6007" s="11"/>
    </row>
    <row r="6008" spans="1:1" ht="15.75" x14ac:dyDescent="0.25">
      <c r="A6008" s="11"/>
    </row>
    <row r="6009" spans="1:1" ht="15.75" x14ac:dyDescent="0.25">
      <c r="A6009" s="11"/>
    </row>
    <row r="6010" spans="1:1" ht="15.75" x14ac:dyDescent="0.25">
      <c r="A6010" s="11"/>
    </row>
    <row r="6011" spans="1:1" ht="15.75" x14ac:dyDescent="0.25">
      <c r="A6011" s="11"/>
    </row>
    <row r="6012" spans="1:1" ht="15.75" x14ac:dyDescent="0.25">
      <c r="A6012" s="11"/>
    </row>
    <row r="6013" spans="1:1" ht="15.75" x14ac:dyDescent="0.25">
      <c r="A6013" s="11"/>
    </row>
    <row r="6014" spans="1:1" ht="15.75" x14ac:dyDescent="0.25">
      <c r="A6014" s="11"/>
    </row>
    <row r="6015" spans="1:1" ht="15.75" x14ac:dyDescent="0.25">
      <c r="A6015" s="11"/>
    </row>
    <row r="6016" spans="1:1" ht="15.75" x14ac:dyDescent="0.25">
      <c r="A6016" s="11"/>
    </row>
    <row r="6017" spans="1:1" ht="15.75" x14ac:dyDescent="0.25">
      <c r="A6017" s="11"/>
    </row>
    <row r="6018" spans="1:1" ht="15.75" x14ac:dyDescent="0.25">
      <c r="A6018" s="11"/>
    </row>
    <row r="6019" spans="1:1" ht="15.75" x14ac:dyDescent="0.25">
      <c r="A6019" s="11"/>
    </row>
    <row r="6020" spans="1:1" ht="15.75" x14ac:dyDescent="0.25">
      <c r="A6020" s="11"/>
    </row>
    <row r="6021" spans="1:1" ht="15.75" x14ac:dyDescent="0.25">
      <c r="A6021" s="11"/>
    </row>
    <row r="6022" spans="1:1" ht="15.75" x14ac:dyDescent="0.25">
      <c r="A6022" s="11"/>
    </row>
    <row r="6023" spans="1:1" ht="15.75" x14ac:dyDescent="0.25">
      <c r="A6023" s="11"/>
    </row>
    <row r="6024" spans="1:1" ht="15.75" x14ac:dyDescent="0.25">
      <c r="A6024" s="11"/>
    </row>
    <row r="6025" spans="1:1" ht="15.75" x14ac:dyDescent="0.25">
      <c r="A6025" s="11"/>
    </row>
    <row r="6026" spans="1:1" ht="15.75" x14ac:dyDescent="0.25">
      <c r="A6026" s="11"/>
    </row>
    <row r="6027" spans="1:1" ht="15.75" x14ac:dyDescent="0.25">
      <c r="A6027" s="11"/>
    </row>
    <row r="6028" spans="1:1" ht="15.75" x14ac:dyDescent="0.25">
      <c r="A6028" s="11"/>
    </row>
    <row r="6029" spans="1:1" ht="15.75" x14ac:dyDescent="0.25">
      <c r="A6029" s="11"/>
    </row>
    <row r="6030" spans="1:1" ht="15.75" x14ac:dyDescent="0.25">
      <c r="A6030" s="11"/>
    </row>
    <row r="6031" spans="1:1" ht="15.75" x14ac:dyDescent="0.25">
      <c r="A6031" s="11"/>
    </row>
    <row r="6032" spans="1:1" ht="15.75" x14ac:dyDescent="0.25">
      <c r="A6032" s="11"/>
    </row>
    <row r="6033" spans="1:1" ht="15.75" x14ac:dyDescent="0.25">
      <c r="A6033" s="11"/>
    </row>
    <row r="6034" spans="1:1" ht="15.75" x14ac:dyDescent="0.25">
      <c r="A6034" s="11"/>
    </row>
    <row r="6035" spans="1:1" ht="15.75" x14ac:dyDescent="0.25">
      <c r="A6035" s="11"/>
    </row>
    <row r="6036" spans="1:1" ht="15.75" x14ac:dyDescent="0.25">
      <c r="A6036" s="11"/>
    </row>
    <row r="6037" spans="1:1" ht="15.75" x14ac:dyDescent="0.25">
      <c r="A6037" s="11"/>
    </row>
    <row r="6038" spans="1:1" ht="15.75" x14ac:dyDescent="0.25">
      <c r="A6038" s="11"/>
    </row>
    <row r="6039" spans="1:1" ht="15.75" x14ac:dyDescent="0.25">
      <c r="A6039" s="11"/>
    </row>
    <row r="6040" spans="1:1" ht="15.75" x14ac:dyDescent="0.25">
      <c r="A6040" s="11"/>
    </row>
    <row r="6041" spans="1:1" ht="15.75" x14ac:dyDescent="0.25">
      <c r="A6041" s="11"/>
    </row>
    <row r="6042" spans="1:1" ht="15.75" x14ac:dyDescent="0.25">
      <c r="A6042" s="11"/>
    </row>
    <row r="6043" spans="1:1" ht="15.75" x14ac:dyDescent="0.25">
      <c r="A6043" s="11"/>
    </row>
    <row r="6044" spans="1:1" ht="15.75" x14ac:dyDescent="0.25">
      <c r="A6044" s="11"/>
    </row>
    <row r="6045" spans="1:1" ht="15.75" x14ac:dyDescent="0.25">
      <c r="A6045" s="11"/>
    </row>
    <row r="6046" spans="1:1" ht="15.75" x14ac:dyDescent="0.25">
      <c r="A6046" s="11"/>
    </row>
    <row r="6047" spans="1:1" ht="15.75" x14ac:dyDescent="0.25">
      <c r="A6047" s="11"/>
    </row>
    <row r="6048" spans="1:1" ht="15.75" x14ac:dyDescent="0.25">
      <c r="A6048" s="11"/>
    </row>
    <row r="6049" spans="1:1" ht="15.75" x14ac:dyDescent="0.25">
      <c r="A6049" s="11"/>
    </row>
    <row r="6050" spans="1:1" ht="15.75" x14ac:dyDescent="0.25">
      <c r="A6050" s="11"/>
    </row>
    <row r="6051" spans="1:1" ht="15.75" x14ac:dyDescent="0.25">
      <c r="A6051" s="11"/>
    </row>
    <row r="6052" spans="1:1" ht="15.75" x14ac:dyDescent="0.25">
      <c r="A6052" s="11"/>
    </row>
    <row r="6053" spans="1:1" ht="15.75" x14ac:dyDescent="0.25">
      <c r="A6053" s="11"/>
    </row>
    <row r="6054" spans="1:1" ht="15.75" x14ac:dyDescent="0.25">
      <c r="A6054" s="11"/>
    </row>
    <row r="6055" spans="1:1" ht="15.75" x14ac:dyDescent="0.25">
      <c r="A6055" s="11"/>
    </row>
    <row r="6056" spans="1:1" ht="15.75" x14ac:dyDescent="0.25">
      <c r="A6056" s="11"/>
    </row>
    <row r="6057" spans="1:1" ht="15.75" x14ac:dyDescent="0.25">
      <c r="A6057" s="11"/>
    </row>
    <row r="6058" spans="1:1" ht="15.75" x14ac:dyDescent="0.25">
      <c r="A6058" s="11"/>
    </row>
    <row r="6059" spans="1:1" ht="15.75" x14ac:dyDescent="0.25">
      <c r="A6059" s="11"/>
    </row>
    <row r="6060" spans="1:1" ht="15.75" x14ac:dyDescent="0.25">
      <c r="A6060" s="11"/>
    </row>
    <row r="6061" spans="1:1" ht="15.75" x14ac:dyDescent="0.25">
      <c r="A6061" s="11"/>
    </row>
    <row r="6062" spans="1:1" ht="15.75" x14ac:dyDescent="0.25">
      <c r="A6062" s="11"/>
    </row>
    <row r="6063" spans="1:1" ht="15.75" x14ac:dyDescent="0.25">
      <c r="A6063" s="11"/>
    </row>
    <row r="6064" spans="1:1" ht="15.75" x14ac:dyDescent="0.25">
      <c r="A6064" s="11"/>
    </row>
    <row r="6065" spans="1:1" ht="15.75" x14ac:dyDescent="0.25">
      <c r="A6065" s="11"/>
    </row>
    <row r="6066" spans="1:1" ht="15.75" x14ac:dyDescent="0.25">
      <c r="A6066" s="11"/>
    </row>
    <row r="6067" spans="1:1" ht="15.75" x14ac:dyDescent="0.25">
      <c r="A6067" s="11"/>
    </row>
    <row r="6068" spans="1:1" ht="15.75" x14ac:dyDescent="0.25">
      <c r="A6068" s="11"/>
    </row>
    <row r="6069" spans="1:1" ht="15.75" x14ac:dyDescent="0.25">
      <c r="A6069" s="11"/>
    </row>
    <row r="6070" spans="1:1" ht="15.75" x14ac:dyDescent="0.25">
      <c r="A6070" s="11"/>
    </row>
    <row r="6071" spans="1:1" ht="15.75" x14ac:dyDescent="0.25">
      <c r="A6071" s="11"/>
    </row>
    <row r="6072" spans="1:1" ht="15.75" x14ac:dyDescent="0.25">
      <c r="A6072" s="11"/>
    </row>
    <row r="6073" spans="1:1" ht="15.75" x14ac:dyDescent="0.25">
      <c r="A6073" s="11"/>
    </row>
    <row r="6074" spans="1:1" ht="15.75" x14ac:dyDescent="0.25">
      <c r="A6074" s="11"/>
    </row>
    <row r="6075" spans="1:1" ht="15.75" x14ac:dyDescent="0.25">
      <c r="A6075" s="11"/>
    </row>
    <row r="6076" spans="1:1" ht="15.75" x14ac:dyDescent="0.25">
      <c r="A6076" s="11"/>
    </row>
    <row r="6077" spans="1:1" ht="15.75" x14ac:dyDescent="0.25">
      <c r="A6077" s="11"/>
    </row>
    <row r="6078" spans="1:1" ht="15.75" x14ac:dyDescent="0.25">
      <c r="A6078" s="11"/>
    </row>
    <row r="6079" spans="1:1" ht="15.75" x14ac:dyDescent="0.25">
      <c r="A6079" s="11"/>
    </row>
    <row r="6080" spans="1:1" ht="15.75" x14ac:dyDescent="0.25">
      <c r="A6080" s="11"/>
    </row>
    <row r="6081" spans="1:1" ht="15.75" x14ac:dyDescent="0.25">
      <c r="A6081" s="11"/>
    </row>
    <row r="6082" spans="1:1" ht="15.75" x14ac:dyDescent="0.25">
      <c r="A6082" s="11"/>
    </row>
    <row r="6083" spans="1:1" ht="15.75" x14ac:dyDescent="0.25">
      <c r="A6083" s="11"/>
    </row>
    <row r="6084" spans="1:1" ht="15.75" x14ac:dyDescent="0.25">
      <c r="A6084" s="11"/>
    </row>
    <row r="6085" spans="1:1" ht="15.75" x14ac:dyDescent="0.25">
      <c r="A6085" s="11"/>
    </row>
    <row r="6086" spans="1:1" ht="15.75" x14ac:dyDescent="0.25">
      <c r="A6086" s="11"/>
    </row>
    <row r="6087" spans="1:1" ht="15.75" x14ac:dyDescent="0.25">
      <c r="A6087" s="11"/>
    </row>
    <row r="6088" spans="1:1" ht="15.75" x14ac:dyDescent="0.25">
      <c r="A6088" s="11"/>
    </row>
    <row r="6089" spans="1:1" ht="15.75" x14ac:dyDescent="0.25">
      <c r="A6089" s="11"/>
    </row>
    <row r="6090" spans="1:1" ht="15.75" x14ac:dyDescent="0.25">
      <c r="A6090" s="11"/>
    </row>
    <row r="6091" spans="1:1" ht="15.75" x14ac:dyDescent="0.25">
      <c r="A6091" s="11"/>
    </row>
    <row r="6092" spans="1:1" ht="15.75" x14ac:dyDescent="0.25">
      <c r="A6092" s="11"/>
    </row>
    <row r="6093" spans="1:1" ht="15.75" x14ac:dyDescent="0.25">
      <c r="A6093" s="11"/>
    </row>
    <row r="6094" spans="1:1" ht="15.75" x14ac:dyDescent="0.25">
      <c r="A6094" s="11"/>
    </row>
    <row r="6095" spans="1:1" ht="15.75" x14ac:dyDescent="0.25">
      <c r="A6095" s="11"/>
    </row>
    <row r="6096" spans="1:1" ht="15.75" x14ac:dyDescent="0.25">
      <c r="A6096" s="11"/>
    </row>
    <row r="6097" spans="1:1" ht="15.75" x14ac:dyDescent="0.25">
      <c r="A6097" s="11"/>
    </row>
    <row r="6098" spans="1:1" ht="15.75" x14ac:dyDescent="0.25">
      <c r="A6098" s="11"/>
    </row>
    <row r="6099" spans="1:1" ht="15.75" x14ac:dyDescent="0.25">
      <c r="A6099" s="11"/>
    </row>
    <row r="6100" spans="1:1" ht="15.75" x14ac:dyDescent="0.25">
      <c r="A6100" s="11"/>
    </row>
    <row r="6101" spans="1:1" ht="15.75" x14ac:dyDescent="0.25">
      <c r="A6101" s="11"/>
    </row>
    <row r="6102" spans="1:1" ht="15.75" x14ac:dyDescent="0.25">
      <c r="A6102" s="11"/>
    </row>
    <row r="6103" spans="1:1" ht="15.75" x14ac:dyDescent="0.25">
      <c r="A6103" s="11"/>
    </row>
    <row r="6104" spans="1:1" ht="15.75" x14ac:dyDescent="0.25">
      <c r="A6104" s="11"/>
    </row>
    <row r="6105" spans="1:1" ht="15.75" x14ac:dyDescent="0.25">
      <c r="A6105" s="11"/>
    </row>
    <row r="6106" spans="1:1" ht="15.75" x14ac:dyDescent="0.25">
      <c r="A6106" s="11"/>
    </row>
    <row r="6107" spans="1:1" ht="15.75" x14ac:dyDescent="0.25">
      <c r="A6107" s="11"/>
    </row>
    <row r="6108" spans="1:1" ht="15.75" x14ac:dyDescent="0.25">
      <c r="A6108" s="11"/>
    </row>
    <row r="6109" spans="1:1" ht="15.75" x14ac:dyDescent="0.25">
      <c r="A6109" s="11"/>
    </row>
    <row r="6110" spans="1:1" ht="15.75" x14ac:dyDescent="0.25">
      <c r="A6110" s="11"/>
    </row>
    <row r="6111" spans="1:1" ht="15.75" x14ac:dyDescent="0.25">
      <c r="A6111" s="11"/>
    </row>
    <row r="6112" spans="1:1" ht="15.75" x14ac:dyDescent="0.25">
      <c r="A6112" s="11"/>
    </row>
    <row r="6113" spans="1:1" ht="15.75" x14ac:dyDescent="0.25">
      <c r="A6113" s="11"/>
    </row>
    <row r="6114" spans="1:1" ht="15.75" x14ac:dyDescent="0.25">
      <c r="A6114" s="11"/>
    </row>
    <row r="6115" spans="1:1" ht="15.75" x14ac:dyDescent="0.25">
      <c r="A6115" s="11"/>
    </row>
    <row r="6116" spans="1:1" ht="15.75" x14ac:dyDescent="0.25">
      <c r="A6116" s="11"/>
    </row>
    <row r="6117" spans="1:1" ht="15.75" x14ac:dyDescent="0.25">
      <c r="A6117" s="11"/>
    </row>
    <row r="6118" spans="1:1" ht="15.75" x14ac:dyDescent="0.25">
      <c r="A6118" s="11"/>
    </row>
    <row r="6119" spans="1:1" ht="15.75" x14ac:dyDescent="0.25">
      <c r="A6119" s="11"/>
    </row>
    <row r="6120" spans="1:1" ht="15.75" x14ac:dyDescent="0.25">
      <c r="A6120" s="11"/>
    </row>
    <row r="6121" spans="1:1" ht="15.75" x14ac:dyDescent="0.25">
      <c r="A6121" s="11"/>
    </row>
    <row r="6122" spans="1:1" ht="15.75" x14ac:dyDescent="0.25">
      <c r="A6122" s="11"/>
    </row>
    <row r="6123" spans="1:1" ht="15.75" x14ac:dyDescent="0.25">
      <c r="A6123" s="11"/>
    </row>
    <row r="6124" spans="1:1" ht="15.75" x14ac:dyDescent="0.25">
      <c r="A6124" s="11"/>
    </row>
    <row r="6125" spans="1:1" ht="15.75" x14ac:dyDescent="0.25">
      <c r="A6125" s="11"/>
    </row>
    <row r="6126" spans="1:1" ht="15.75" x14ac:dyDescent="0.25">
      <c r="A6126" s="11"/>
    </row>
    <row r="6127" spans="1:1" ht="15.75" x14ac:dyDescent="0.25">
      <c r="A6127" s="11"/>
    </row>
    <row r="6128" spans="1:1" ht="15.75" x14ac:dyDescent="0.25">
      <c r="A6128" s="11"/>
    </row>
    <row r="6129" spans="1:1" ht="15.75" x14ac:dyDescent="0.25">
      <c r="A6129" s="11"/>
    </row>
    <row r="6130" spans="1:1" ht="15.75" x14ac:dyDescent="0.25">
      <c r="A6130" s="11"/>
    </row>
    <row r="6131" spans="1:1" ht="15.75" x14ac:dyDescent="0.25">
      <c r="A6131" s="11"/>
    </row>
    <row r="6132" spans="1:1" ht="15.75" x14ac:dyDescent="0.25">
      <c r="A6132" s="11"/>
    </row>
    <row r="6133" spans="1:1" ht="15.75" x14ac:dyDescent="0.25">
      <c r="A6133" s="11"/>
    </row>
    <row r="6134" spans="1:1" ht="15.75" x14ac:dyDescent="0.25">
      <c r="A6134" s="11"/>
    </row>
    <row r="6135" spans="1:1" ht="15.75" x14ac:dyDescent="0.25">
      <c r="A6135" s="11"/>
    </row>
    <row r="6136" spans="1:1" ht="15.75" x14ac:dyDescent="0.25">
      <c r="A6136" s="11"/>
    </row>
    <row r="6137" spans="1:1" ht="15.75" x14ac:dyDescent="0.25">
      <c r="A6137" s="11"/>
    </row>
    <row r="6138" spans="1:1" ht="15.75" x14ac:dyDescent="0.25">
      <c r="A6138" s="11"/>
    </row>
    <row r="6139" spans="1:1" ht="15.75" x14ac:dyDescent="0.25">
      <c r="A6139" s="11"/>
    </row>
    <row r="6140" spans="1:1" ht="15.75" x14ac:dyDescent="0.25">
      <c r="A6140" s="11"/>
    </row>
    <row r="6141" spans="1:1" ht="15.75" x14ac:dyDescent="0.25">
      <c r="A6141" s="11"/>
    </row>
    <row r="6142" spans="1:1" ht="15.75" x14ac:dyDescent="0.25">
      <c r="A6142" s="11"/>
    </row>
    <row r="6143" spans="1:1" ht="15.75" x14ac:dyDescent="0.25">
      <c r="A6143" s="11"/>
    </row>
    <row r="6144" spans="1:1" ht="15.75" x14ac:dyDescent="0.25">
      <c r="A6144" s="11"/>
    </row>
    <row r="6145" spans="1:1" ht="15.75" x14ac:dyDescent="0.25">
      <c r="A6145" s="11"/>
    </row>
    <row r="6146" spans="1:1" ht="15.75" x14ac:dyDescent="0.25">
      <c r="A6146" s="11"/>
    </row>
    <row r="6147" spans="1:1" ht="15.75" x14ac:dyDescent="0.25">
      <c r="A6147" s="11"/>
    </row>
    <row r="6148" spans="1:1" ht="15.75" x14ac:dyDescent="0.25">
      <c r="A6148" s="11"/>
    </row>
    <row r="6149" spans="1:1" ht="15.75" x14ac:dyDescent="0.25">
      <c r="A6149" s="11"/>
    </row>
    <row r="6150" spans="1:1" ht="15.75" x14ac:dyDescent="0.25">
      <c r="A6150" s="11"/>
    </row>
    <row r="6151" spans="1:1" ht="15.75" x14ac:dyDescent="0.25">
      <c r="A6151" s="11"/>
    </row>
    <row r="6152" spans="1:1" ht="15.75" x14ac:dyDescent="0.25">
      <c r="A6152" s="11"/>
    </row>
    <row r="6153" spans="1:1" ht="15.75" x14ac:dyDescent="0.25">
      <c r="A6153" s="11"/>
    </row>
    <row r="6154" spans="1:1" ht="15.75" x14ac:dyDescent="0.25">
      <c r="A6154" s="11"/>
    </row>
    <row r="6155" spans="1:1" ht="15.75" x14ac:dyDescent="0.25">
      <c r="A6155" s="11"/>
    </row>
    <row r="6156" spans="1:1" ht="15.75" x14ac:dyDescent="0.25">
      <c r="A6156" s="11"/>
    </row>
    <row r="6157" spans="1:1" ht="15.75" x14ac:dyDescent="0.25">
      <c r="A6157" s="11"/>
    </row>
    <row r="6158" spans="1:1" ht="15.75" x14ac:dyDescent="0.25">
      <c r="A6158" s="11"/>
    </row>
    <row r="6159" spans="1:1" ht="15.75" x14ac:dyDescent="0.25">
      <c r="A6159" s="11"/>
    </row>
    <row r="6160" spans="1:1" ht="15.75" x14ac:dyDescent="0.25">
      <c r="A6160" s="11"/>
    </row>
    <row r="6161" spans="1:1" ht="15.75" x14ac:dyDescent="0.25">
      <c r="A6161" s="11"/>
    </row>
    <row r="6162" spans="1:1" ht="15.75" x14ac:dyDescent="0.25">
      <c r="A6162" s="11"/>
    </row>
    <row r="6163" spans="1:1" ht="15.75" x14ac:dyDescent="0.25">
      <c r="A6163" s="11"/>
    </row>
    <row r="6164" spans="1:1" ht="15.75" x14ac:dyDescent="0.25">
      <c r="A6164" s="11"/>
    </row>
    <row r="6165" spans="1:1" ht="15.75" x14ac:dyDescent="0.25">
      <c r="A6165" s="11"/>
    </row>
    <row r="6166" spans="1:1" ht="15.75" x14ac:dyDescent="0.25">
      <c r="A6166" s="11"/>
    </row>
    <row r="6167" spans="1:1" ht="15.75" x14ac:dyDescent="0.25">
      <c r="A6167" s="11"/>
    </row>
    <row r="6168" spans="1:1" ht="15.75" x14ac:dyDescent="0.25">
      <c r="A6168" s="11"/>
    </row>
    <row r="6169" spans="1:1" ht="15.75" x14ac:dyDescent="0.25">
      <c r="A6169" s="11"/>
    </row>
    <row r="6170" spans="1:1" ht="15.75" x14ac:dyDescent="0.25">
      <c r="A6170" s="11"/>
    </row>
    <row r="6171" spans="1:1" ht="15.75" x14ac:dyDescent="0.25">
      <c r="A6171" s="11"/>
    </row>
    <row r="6172" spans="1:1" ht="15.75" x14ac:dyDescent="0.25">
      <c r="A6172" s="11"/>
    </row>
    <row r="6173" spans="1:1" ht="15.75" x14ac:dyDescent="0.25">
      <c r="A6173" s="11"/>
    </row>
    <row r="6174" spans="1:1" ht="15.75" x14ac:dyDescent="0.25">
      <c r="A6174" s="11"/>
    </row>
    <row r="6175" spans="1:1" ht="15.75" x14ac:dyDescent="0.25">
      <c r="A6175" s="11"/>
    </row>
    <row r="6176" spans="1:1" ht="15.75" x14ac:dyDescent="0.25">
      <c r="A6176" s="11"/>
    </row>
    <row r="6177" spans="1:1" ht="15.75" x14ac:dyDescent="0.25">
      <c r="A6177" s="11"/>
    </row>
    <row r="6178" spans="1:1" ht="15.75" x14ac:dyDescent="0.25">
      <c r="A6178" s="11"/>
    </row>
    <row r="6179" spans="1:1" ht="15.75" x14ac:dyDescent="0.25">
      <c r="A6179" s="11"/>
    </row>
    <row r="6180" spans="1:1" ht="15.75" x14ac:dyDescent="0.25">
      <c r="A6180" s="11"/>
    </row>
    <row r="6181" spans="1:1" ht="15.75" x14ac:dyDescent="0.25">
      <c r="A6181" s="11"/>
    </row>
    <row r="6182" spans="1:1" ht="15.75" x14ac:dyDescent="0.25">
      <c r="A6182" s="11"/>
    </row>
    <row r="6183" spans="1:1" ht="15.75" x14ac:dyDescent="0.25">
      <c r="A6183" s="11"/>
    </row>
    <row r="6184" spans="1:1" ht="15.75" x14ac:dyDescent="0.25">
      <c r="A6184" s="11"/>
    </row>
    <row r="6185" spans="1:1" ht="15.75" x14ac:dyDescent="0.25">
      <c r="A6185" s="11"/>
    </row>
    <row r="6186" spans="1:1" ht="15.75" x14ac:dyDescent="0.25">
      <c r="A6186" s="11"/>
    </row>
    <row r="6187" spans="1:1" ht="15.75" x14ac:dyDescent="0.25">
      <c r="A6187" s="11"/>
    </row>
    <row r="6188" spans="1:1" ht="15.75" x14ac:dyDescent="0.25">
      <c r="A6188" s="11"/>
    </row>
    <row r="6189" spans="1:1" ht="15.75" x14ac:dyDescent="0.25">
      <c r="A6189" s="11"/>
    </row>
    <row r="6190" spans="1:1" ht="15.75" x14ac:dyDescent="0.25">
      <c r="A6190" s="11"/>
    </row>
    <row r="6191" spans="1:1" ht="15.75" x14ac:dyDescent="0.25">
      <c r="A6191" s="11"/>
    </row>
    <row r="6192" spans="1:1" ht="15.75" x14ac:dyDescent="0.25">
      <c r="A6192" s="11"/>
    </row>
    <row r="6193" spans="1:1" ht="15.75" x14ac:dyDescent="0.25">
      <c r="A6193" s="11"/>
    </row>
    <row r="6194" spans="1:1" ht="15.75" x14ac:dyDescent="0.25">
      <c r="A6194" s="11"/>
    </row>
    <row r="6195" spans="1:1" ht="15.75" x14ac:dyDescent="0.25">
      <c r="A6195" s="11"/>
    </row>
    <row r="6196" spans="1:1" ht="15.75" x14ac:dyDescent="0.25">
      <c r="A6196" s="11"/>
    </row>
    <row r="6197" spans="1:1" ht="15.75" x14ac:dyDescent="0.25">
      <c r="A6197" s="11"/>
    </row>
    <row r="6198" spans="1:1" ht="15.75" x14ac:dyDescent="0.25">
      <c r="A6198" s="11"/>
    </row>
    <row r="6199" spans="1:1" ht="15.75" x14ac:dyDescent="0.25">
      <c r="A6199" s="11"/>
    </row>
    <row r="6200" spans="1:1" ht="15.75" x14ac:dyDescent="0.25">
      <c r="A6200" s="11"/>
    </row>
    <row r="6201" spans="1:1" ht="15.75" x14ac:dyDescent="0.25">
      <c r="A6201" s="11"/>
    </row>
    <row r="6202" spans="1:1" ht="15.75" x14ac:dyDescent="0.25">
      <c r="A6202" s="11"/>
    </row>
    <row r="6203" spans="1:1" ht="15.75" x14ac:dyDescent="0.25">
      <c r="A6203" s="11"/>
    </row>
    <row r="6204" spans="1:1" ht="15.75" x14ac:dyDescent="0.25">
      <c r="A6204" s="11"/>
    </row>
    <row r="6205" spans="1:1" ht="15.75" x14ac:dyDescent="0.25">
      <c r="A6205" s="11"/>
    </row>
    <row r="6206" spans="1:1" ht="15.75" x14ac:dyDescent="0.25">
      <c r="A6206" s="11"/>
    </row>
    <row r="6207" spans="1:1" ht="15.75" x14ac:dyDescent="0.25">
      <c r="A6207" s="11"/>
    </row>
    <row r="6208" spans="1:1" ht="15.75" x14ac:dyDescent="0.25">
      <c r="A6208" s="11"/>
    </row>
    <row r="6209" spans="1:1" ht="15.75" x14ac:dyDescent="0.25">
      <c r="A6209" s="11"/>
    </row>
    <row r="6210" spans="1:1" ht="15.75" x14ac:dyDescent="0.25">
      <c r="A6210" s="11"/>
    </row>
    <row r="6211" spans="1:1" ht="15.75" x14ac:dyDescent="0.25">
      <c r="A6211" s="11"/>
    </row>
    <row r="6212" spans="1:1" ht="15.75" x14ac:dyDescent="0.25">
      <c r="A6212" s="11"/>
    </row>
    <row r="6213" spans="1:1" ht="15.75" x14ac:dyDescent="0.25">
      <c r="A6213" s="11"/>
    </row>
    <row r="6214" spans="1:1" ht="15.75" x14ac:dyDescent="0.25">
      <c r="A6214" s="11"/>
    </row>
    <row r="6215" spans="1:1" ht="15.75" x14ac:dyDescent="0.25">
      <c r="A6215" s="11"/>
    </row>
    <row r="6216" spans="1:1" ht="15.75" x14ac:dyDescent="0.25">
      <c r="A6216" s="11"/>
    </row>
    <row r="6217" spans="1:1" ht="15.75" x14ac:dyDescent="0.25">
      <c r="A6217" s="11"/>
    </row>
    <row r="6218" spans="1:1" ht="15.75" x14ac:dyDescent="0.25">
      <c r="A6218" s="11"/>
    </row>
    <row r="6219" spans="1:1" ht="15.75" x14ac:dyDescent="0.25">
      <c r="A6219" s="11"/>
    </row>
    <row r="6220" spans="1:1" ht="15.75" x14ac:dyDescent="0.25">
      <c r="A6220" s="11"/>
    </row>
    <row r="6221" spans="1:1" ht="15.75" x14ac:dyDescent="0.25">
      <c r="A6221" s="11"/>
    </row>
    <row r="6222" spans="1:1" ht="15.75" x14ac:dyDescent="0.25">
      <c r="A6222" s="11"/>
    </row>
    <row r="6223" spans="1:1" ht="15.75" x14ac:dyDescent="0.25">
      <c r="A6223" s="11"/>
    </row>
    <row r="6224" spans="1:1" ht="15.75" x14ac:dyDescent="0.25">
      <c r="A6224" s="11"/>
    </row>
    <row r="6225" spans="1:1" ht="15.75" x14ac:dyDescent="0.25">
      <c r="A6225" s="11"/>
    </row>
    <row r="6226" spans="1:1" ht="15.75" x14ac:dyDescent="0.25">
      <c r="A6226" s="11"/>
    </row>
    <row r="6227" spans="1:1" ht="15.75" x14ac:dyDescent="0.25">
      <c r="A6227" s="11"/>
    </row>
    <row r="6228" spans="1:1" ht="15.75" x14ac:dyDescent="0.25">
      <c r="A6228" s="11"/>
    </row>
    <row r="6229" spans="1:1" ht="15.75" x14ac:dyDescent="0.25">
      <c r="A6229" s="11"/>
    </row>
    <row r="6230" spans="1:1" ht="15.75" x14ac:dyDescent="0.25">
      <c r="A6230" s="11"/>
    </row>
    <row r="6231" spans="1:1" ht="15.75" x14ac:dyDescent="0.25">
      <c r="A6231" s="11"/>
    </row>
    <row r="6232" spans="1:1" ht="15.75" x14ac:dyDescent="0.25">
      <c r="A6232" s="11"/>
    </row>
    <row r="6233" spans="1:1" ht="15.75" x14ac:dyDescent="0.25">
      <c r="A6233" s="11"/>
    </row>
    <row r="6234" spans="1:1" ht="15.75" x14ac:dyDescent="0.25">
      <c r="A6234" s="11"/>
    </row>
    <row r="6235" spans="1:1" ht="15.75" x14ac:dyDescent="0.25">
      <c r="A6235" s="11"/>
    </row>
    <row r="6236" spans="1:1" ht="15.75" x14ac:dyDescent="0.25">
      <c r="A6236" s="11"/>
    </row>
    <row r="6237" spans="1:1" ht="15.75" x14ac:dyDescent="0.25">
      <c r="A6237" s="11"/>
    </row>
    <row r="6238" spans="1:1" ht="15.75" x14ac:dyDescent="0.25">
      <c r="A6238" s="11"/>
    </row>
    <row r="6239" spans="1:1" ht="15.75" x14ac:dyDescent="0.25">
      <c r="A6239" s="11"/>
    </row>
    <row r="6240" spans="1:1" ht="15.75" x14ac:dyDescent="0.25">
      <c r="A6240" s="11"/>
    </row>
    <row r="6241" spans="1:1" ht="15.75" x14ac:dyDescent="0.25">
      <c r="A6241" s="11"/>
    </row>
    <row r="6242" spans="1:1" ht="15.75" x14ac:dyDescent="0.25">
      <c r="A6242" s="11"/>
    </row>
    <row r="6243" spans="1:1" ht="15.75" x14ac:dyDescent="0.25">
      <c r="A6243" s="11"/>
    </row>
    <row r="6244" spans="1:1" ht="15.75" x14ac:dyDescent="0.25">
      <c r="A6244" s="11"/>
    </row>
    <row r="6245" spans="1:1" ht="15.75" x14ac:dyDescent="0.25">
      <c r="A6245" s="11"/>
    </row>
    <row r="6246" spans="1:1" ht="15.75" x14ac:dyDescent="0.25">
      <c r="A6246" s="11"/>
    </row>
    <row r="6247" spans="1:1" ht="15.75" x14ac:dyDescent="0.25">
      <c r="A6247" s="11"/>
    </row>
    <row r="6248" spans="1:1" ht="15.75" x14ac:dyDescent="0.25">
      <c r="A6248" s="11"/>
    </row>
    <row r="6249" spans="1:1" ht="15.75" x14ac:dyDescent="0.25">
      <c r="A6249" s="11"/>
    </row>
    <row r="6250" spans="1:1" ht="15.75" x14ac:dyDescent="0.25">
      <c r="A6250" s="11"/>
    </row>
    <row r="6251" spans="1:1" ht="15.75" x14ac:dyDescent="0.25">
      <c r="A6251" s="11"/>
    </row>
    <row r="6252" spans="1:1" ht="15.75" x14ac:dyDescent="0.25">
      <c r="A6252" s="11"/>
    </row>
    <row r="6253" spans="1:1" ht="15.75" x14ac:dyDescent="0.25">
      <c r="A6253" s="11"/>
    </row>
    <row r="6254" spans="1:1" ht="15.75" x14ac:dyDescent="0.25">
      <c r="A6254" s="11"/>
    </row>
    <row r="6255" spans="1:1" ht="15.75" x14ac:dyDescent="0.25">
      <c r="A6255" s="11"/>
    </row>
    <row r="6256" spans="1:1" ht="15.75" x14ac:dyDescent="0.25">
      <c r="A6256" s="11"/>
    </row>
    <row r="6257" spans="1:1" ht="15.75" x14ac:dyDescent="0.25">
      <c r="A6257" s="11"/>
    </row>
    <row r="6258" spans="1:1" ht="15.75" x14ac:dyDescent="0.25">
      <c r="A6258" s="11"/>
    </row>
    <row r="6259" spans="1:1" ht="15.75" x14ac:dyDescent="0.25">
      <c r="A6259" s="11"/>
    </row>
    <row r="6260" spans="1:1" ht="15.75" x14ac:dyDescent="0.25">
      <c r="A6260" s="11"/>
    </row>
    <row r="6261" spans="1:1" ht="15.75" x14ac:dyDescent="0.25">
      <c r="A6261" s="11"/>
    </row>
    <row r="6262" spans="1:1" ht="15.75" x14ac:dyDescent="0.25">
      <c r="A6262" s="11"/>
    </row>
    <row r="6263" spans="1:1" ht="15.75" x14ac:dyDescent="0.25">
      <c r="A6263" s="11"/>
    </row>
    <row r="6264" spans="1:1" ht="15.75" x14ac:dyDescent="0.25">
      <c r="A6264" s="11"/>
    </row>
    <row r="6265" spans="1:1" ht="15.75" x14ac:dyDescent="0.25">
      <c r="A6265" s="11"/>
    </row>
    <row r="6266" spans="1:1" ht="15.75" x14ac:dyDescent="0.25">
      <c r="A6266" s="11"/>
    </row>
    <row r="6267" spans="1:1" ht="15.75" x14ac:dyDescent="0.25">
      <c r="A6267" s="11"/>
    </row>
    <row r="6268" spans="1:1" ht="15.75" x14ac:dyDescent="0.25">
      <c r="A6268" s="11"/>
    </row>
    <row r="6269" spans="1:1" ht="15.75" x14ac:dyDescent="0.25">
      <c r="A6269" s="11"/>
    </row>
    <row r="6270" spans="1:1" ht="15.75" x14ac:dyDescent="0.25">
      <c r="A6270" s="11"/>
    </row>
    <row r="6271" spans="1:1" ht="15.75" x14ac:dyDescent="0.25">
      <c r="A6271" s="11"/>
    </row>
    <row r="6272" spans="1:1" ht="15.75" x14ac:dyDescent="0.25">
      <c r="A6272" s="11"/>
    </row>
    <row r="6273" spans="1:1" ht="15.75" x14ac:dyDescent="0.25">
      <c r="A6273" s="11"/>
    </row>
    <row r="6274" spans="1:1" ht="15.75" x14ac:dyDescent="0.25">
      <c r="A6274" s="11"/>
    </row>
    <row r="6275" spans="1:1" ht="15.75" x14ac:dyDescent="0.25">
      <c r="A6275" s="11"/>
    </row>
    <row r="6276" spans="1:1" ht="15.75" x14ac:dyDescent="0.25">
      <c r="A6276" s="11"/>
    </row>
    <row r="6277" spans="1:1" ht="15.75" x14ac:dyDescent="0.25">
      <c r="A6277" s="11"/>
    </row>
    <row r="6278" spans="1:1" ht="15.75" x14ac:dyDescent="0.25">
      <c r="A6278" s="11"/>
    </row>
    <row r="6279" spans="1:1" ht="15.75" x14ac:dyDescent="0.25">
      <c r="A6279" s="11"/>
    </row>
    <row r="6280" spans="1:1" ht="15.75" x14ac:dyDescent="0.25">
      <c r="A6280" s="11"/>
    </row>
    <row r="6281" spans="1:1" ht="15.75" x14ac:dyDescent="0.25">
      <c r="A6281" s="11"/>
    </row>
    <row r="6282" spans="1:1" ht="15.75" x14ac:dyDescent="0.25">
      <c r="A6282" s="11"/>
    </row>
    <row r="6283" spans="1:1" ht="15.75" x14ac:dyDescent="0.25">
      <c r="A6283" s="11"/>
    </row>
    <row r="6284" spans="1:1" ht="15.75" x14ac:dyDescent="0.25">
      <c r="A6284" s="11"/>
    </row>
    <row r="6285" spans="1:1" ht="15.75" x14ac:dyDescent="0.25">
      <c r="A6285" s="11"/>
    </row>
    <row r="6286" spans="1:1" ht="15.75" x14ac:dyDescent="0.25">
      <c r="A6286" s="11"/>
    </row>
    <row r="6287" spans="1:1" ht="15.75" x14ac:dyDescent="0.25">
      <c r="A6287" s="11"/>
    </row>
    <row r="6288" spans="1:1" ht="15.75" x14ac:dyDescent="0.25">
      <c r="A6288" s="11"/>
    </row>
    <row r="6289" spans="1:1" ht="15.75" x14ac:dyDescent="0.25">
      <c r="A6289" s="11"/>
    </row>
    <row r="6290" spans="1:1" ht="15.75" x14ac:dyDescent="0.25">
      <c r="A6290" s="11"/>
    </row>
    <row r="6291" spans="1:1" ht="15.75" x14ac:dyDescent="0.25">
      <c r="A6291" s="11"/>
    </row>
    <row r="6292" spans="1:1" ht="15.75" x14ac:dyDescent="0.25">
      <c r="A6292" s="11"/>
    </row>
    <row r="6293" spans="1:1" ht="15.75" x14ac:dyDescent="0.25">
      <c r="A6293" s="11"/>
    </row>
    <row r="6294" spans="1:1" ht="15.75" x14ac:dyDescent="0.25">
      <c r="A6294" s="11"/>
    </row>
    <row r="6295" spans="1:1" ht="15.75" x14ac:dyDescent="0.25">
      <c r="A6295" s="11"/>
    </row>
    <row r="6296" spans="1:1" ht="15.75" x14ac:dyDescent="0.25">
      <c r="A6296" s="11"/>
    </row>
    <row r="6297" spans="1:1" ht="15.75" x14ac:dyDescent="0.25">
      <c r="A6297" s="11"/>
    </row>
    <row r="6298" spans="1:1" ht="15.75" x14ac:dyDescent="0.25">
      <c r="A6298" s="11"/>
    </row>
    <row r="6299" spans="1:1" ht="15.75" x14ac:dyDescent="0.25">
      <c r="A6299" s="11"/>
    </row>
    <row r="6300" spans="1:1" ht="15.75" x14ac:dyDescent="0.25">
      <c r="A6300" s="11"/>
    </row>
    <row r="6301" spans="1:1" ht="15.75" x14ac:dyDescent="0.25">
      <c r="A6301" s="11"/>
    </row>
    <row r="6302" spans="1:1" ht="15.75" x14ac:dyDescent="0.25">
      <c r="A6302" s="11"/>
    </row>
    <row r="6303" spans="1:1" ht="15.75" x14ac:dyDescent="0.25">
      <c r="A6303" s="11"/>
    </row>
    <row r="6304" spans="1:1" ht="15.75" x14ac:dyDescent="0.25">
      <c r="A6304" s="11"/>
    </row>
    <row r="6305" spans="1:1" ht="15.75" x14ac:dyDescent="0.25">
      <c r="A6305" s="11"/>
    </row>
    <row r="6306" spans="1:1" ht="15.75" x14ac:dyDescent="0.25">
      <c r="A6306" s="11"/>
    </row>
    <row r="6307" spans="1:1" ht="15.75" x14ac:dyDescent="0.25">
      <c r="A6307" s="11"/>
    </row>
    <row r="6308" spans="1:1" ht="15.75" x14ac:dyDescent="0.25">
      <c r="A6308" s="11"/>
    </row>
    <row r="6309" spans="1:1" ht="15.75" x14ac:dyDescent="0.25">
      <c r="A6309" s="11"/>
    </row>
    <row r="6310" spans="1:1" ht="15.75" x14ac:dyDescent="0.25">
      <c r="A6310" s="11"/>
    </row>
    <row r="6311" spans="1:1" ht="15.75" x14ac:dyDescent="0.25">
      <c r="A6311" s="11"/>
    </row>
    <row r="6312" spans="1:1" ht="15.75" x14ac:dyDescent="0.25">
      <c r="A6312" s="11"/>
    </row>
    <row r="6313" spans="1:1" ht="15.75" x14ac:dyDescent="0.25">
      <c r="A6313" s="11"/>
    </row>
    <row r="6314" spans="1:1" ht="15.75" x14ac:dyDescent="0.25">
      <c r="A6314" s="11"/>
    </row>
    <row r="6315" spans="1:1" ht="15.75" x14ac:dyDescent="0.25">
      <c r="A6315" s="11"/>
    </row>
    <row r="6316" spans="1:1" ht="15.75" x14ac:dyDescent="0.25">
      <c r="A6316" s="11"/>
    </row>
    <row r="6317" spans="1:1" ht="15.75" x14ac:dyDescent="0.25">
      <c r="A6317" s="11"/>
    </row>
    <row r="6318" spans="1:1" ht="15.75" x14ac:dyDescent="0.25">
      <c r="A6318" s="11"/>
    </row>
    <row r="6319" spans="1:1" ht="15.75" x14ac:dyDescent="0.25">
      <c r="A6319" s="11"/>
    </row>
    <row r="6320" spans="1:1" ht="15.75" x14ac:dyDescent="0.25">
      <c r="A6320" s="11"/>
    </row>
    <row r="6321" spans="1:1" ht="15.75" x14ac:dyDescent="0.25">
      <c r="A6321" s="11"/>
    </row>
    <row r="6322" spans="1:1" ht="15.75" x14ac:dyDescent="0.25">
      <c r="A6322" s="11"/>
    </row>
    <row r="6323" spans="1:1" ht="15.75" x14ac:dyDescent="0.25">
      <c r="A6323" s="11"/>
    </row>
    <row r="6324" spans="1:1" ht="15.75" x14ac:dyDescent="0.25">
      <c r="A6324" s="11"/>
    </row>
    <row r="6325" spans="1:1" ht="15.75" x14ac:dyDescent="0.25">
      <c r="A6325" s="11"/>
    </row>
    <row r="6326" spans="1:1" ht="15.75" x14ac:dyDescent="0.25">
      <c r="A6326" s="11"/>
    </row>
    <row r="6327" spans="1:1" ht="15.75" x14ac:dyDescent="0.25">
      <c r="A6327" s="11"/>
    </row>
    <row r="6328" spans="1:1" ht="15.75" x14ac:dyDescent="0.25">
      <c r="A6328" s="11"/>
    </row>
    <row r="6329" spans="1:1" ht="15.75" x14ac:dyDescent="0.25">
      <c r="A6329" s="11"/>
    </row>
    <row r="6330" spans="1:1" ht="15.75" x14ac:dyDescent="0.25">
      <c r="A6330" s="11"/>
    </row>
    <row r="6331" spans="1:1" ht="15.75" x14ac:dyDescent="0.25">
      <c r="A6331" s="11"/>
    </row>
    <row r="6332" spans="1:1" ht="15.75" x14ac:dyDescent="0.25">
      <c r="A6332" s="11"/>
    </row>
    <row r="6333" spans="1:1" ht="15.75" x14ac:dyDescent="0.25">
      <c r="A6333" s="11"/>
    </row>
    <row r="6334" spans="1:1" ht="15.75" x14ac:dyDescent="0.25">
      <c r="A6334" s="11"/>
    </row>
    <row r="6335" spans="1:1" ht="15.75" x14ac:dyDescent="0.25">
      <c r="A6335" s="11"/>
    </row>
    <row r="6336" spans="1:1" ht="15.75" x14ac:dyDescent="0.25">
      <c r="A6336" s="11"/>
    </row>
    <row r="6337" spans="1:1" ht="15.75" x14ac:dyDescent="0.25">
      <c r="A6337" s="11"/>
    </row>
    <row r="6338" spans="1:1" ht="15.75" x14ac:dyDescent="0.25">
      <c r="A6338" s="11"/>
    </row>
    <row r="6339" spans="1:1" ht="15.75" x14ac:dyDescent="0.25">
      <c r="A6339" s="11"/>
    </row>
    <row r="6340" spans="1:1" ht="15.75" x14ac:dyDescent="0.25">
      <c r="A6340" s="11"/>
    </row>
    <row r="6341" spans="1:1" ht="15.75" x14ac:dyDescent="0.25">
      <c r="A6341" s="11"/>
    </row>
    <row r="6342" spans="1:1" ht="15.75" x14ac:dyDescent="0.25">
      <c r="A6342" s="11"/>
    </row>
    <row r="6343" spans="1:1" ht="15.75" x14ac:dyDescent="0.25">
      <c r="A6343" s="11"/>
    </row>
    <row r="6344" spans="1:1" ht="15.75" x14ac:dyDescent="0.25">
      <c r="A6344" s="11"/>
    </row>
    <row r="6345" spans="1:1" ht="15.75" x14ac:dyDescent="0.25">
      <c r="A6345" s="11"/>
    </row>
    <row r="6346" spans="1:1" ht="15.75" x14ac:dyDescent="0.25">
      <c r="A6346" s="11"/>
    </row>
    <row r="6347" spans="1:1" ht="15.75" x14ac:dyDescent="0.25">
      <c r="A6347" s="11"/>
    </row>
    <row r="6348" spans="1:1" ht="15.75" x14ac:dyDescent="0.25">
      <c r="A6348" s="11"/>
    </row>
    <row r="6349" spans="1:1" ht="15.75" x14ac:dyDescent="0.25">
      <c r="A6349" s="11"/>
    </row>
    <row r="6350" spans="1:1" ht="15.75" x14ac:dyDescent="0.25">
      <c r="A6350" s="11"/>
    </row>
    <row r="6351" spans="1:1" ht="15.75" x14ac:dyDescent="0.25">
      <c r="A6351" s="11"/>
    </row>
    <row r="6352" spans="1:1" ht="15.75" x14ac:dyDescent="0.25">
      <c r="A6352" s="11"/>
    </row>
    <row r="6353" spans="1:1" ht="15.75" x14ac:dyDescent="0.25">
      <c r="A6353" s="11"/>
    </row>
    <row r="6354" spans="1:1" ht="15.75" x14ac:dyDescent="0.25">
      <c r="A6354" s="11"/>
    </row>
    <row r="6355" spans="1:1" ht="15.75" x14ac:dyDescent="0.25">
      <c r="A6355" s="11"/>
    </row>
    <row r="6356" spans="1:1" ht="15.75" x14ac:dyDescent="0.25">
      <c r="A6356" s="11"/>
    </row>
    <row r="6357" spans="1:1" ht="15.75" x14ac:dyDescent="0.25">
      <c r="A6357" s="11"/>
    </row>
    <row r="6358" spans="1:1" ht="15.75" x14ac:dyDescent="0.25">
      <c r="A6358" s="11"/>
    </row>
    <row r="6359" spans="1:1" ht="15.75" x14ac:dyDescent="0.25">
      <c r="A6359" s="11"/>
    </row>
    <row r="6360" spans="1:1" ht="15.75" x14ac:dyDescent="0.25">
      <c r="A6360" s="11"/>
    </row>
    <row r="6361" spans="1:1" ht="15.75" x14ac:dyDescent="0.25">
      <c r="A6361" s="11"/>
    </row>
    <row r="6362" spans="1:1" ht="15.75" x14ac:dyDescent="0.25">
      <c r="A6362" s="11"/>
    </row>
    <row r="6363" spans="1:1" ht="15.75" x14ac:dyDescent="0.25">
      <c r="A6363" s="11"/>
    </row>
    <row r="6364" spans="1:1" ht="15.75" x14ac:dyDescent="0.25">
      <c r="A6364" s="11"/>
    </row>
    <row r="6365" spans="1:1" ht="15.75" x14ac:dyDescent="0.25">
      <c r="A6365" s="11"/>
    </row>
    <row r="6366" spans="1:1" ht="15.75" x14ac:dyDescent="0.25">
      <c r="A6366" s="11"/>
    </row>
    <row r="6367" spans="1:1" ht="15.75" x14ac:dyDescent="0.25">
      <c r="A6367" s="11"/>
    </row>
    <row r="6368" spans="1:1" ht="15.75" x14ac:dyDescent="0.25">
      <c r="A6368" s="11"/>
    </row>
    <row r="6369" spans="1:1" ht="15.75" x14ac:dyDescent="0.25">
      <c r="A6369" s="11"/>
    </row>
    <row r="6370" spans="1:1" ht="15.75" x14ac:dyDescent="0.25">
      <c r="A6370" s="11"/>
    </row>
    <row r="6371" spans="1:1" ht="15.75" x14ac:dyDescent="0.25">
      <c r="A6371" s="11"/>
    </row>
    <row r="6372" spans="1:1" ht="15.75" x14ac:dyDescent="0.25">
      <c r="A6372" s="11"/>
    </row>
    <row r="6373" spans="1:1" ht="15.75" x14ac:dyDescent="0.25">
      <c r="A6373" s="11"/>
    </row>
    <row r="6374" spans="1:1" ht="15.75" x14ac:dyDescent="0.25">
      <c r="A6374" s="11"/>
    </row>
    <row r="6375" spans="1:1" ht="15.75" x14ac:dyDescent="0.25">
      <c r="A6375" s="11"/>
    </row>
    <row r="6376" spans="1:1" ht="15.75" x14ac:dyDescent="0.25">
      <c r="A6376" s="11"/>
    </row>
    <row r="6377" spans="1:1" ht="15.75" x14ac:dyDescent="0.25">
      <c r="A6377" s="11"/>
    </row>
    <row r="6378" spans="1:1" ht="15.75" x14ac:dyDescent="0.25">
      <c r="A6378" s="11"/>
    </row>
    <row r="6379" spans="1:1" ht="15.75" x14ac:dyDescent="0.25">
      <c r="A6379" s="11"/>
    </row>
    <row r="6380" spans="1:1" ht="15.75" x14ac:dyDescent="0.25">
      <c r="A6380" s="11"/>
    </row>
    <row r="6381" spans="1:1" ht="15.75" x14ac:dyDescent="0.25">
      <c r="A6381" s="11"/>
    </row>
    <row r="6382" spans="1:1" ht="15.75" x14ac:dyDescent="0.25">
      <c r="A6382" s="11"/>
    </row>
    <row r="6383" spans="1:1" ht="15.75" x14ac:dyDescent="0.25">
      <c r="A6383" s="11"/>
    </row>
    <row r="6384" spans="1:1" ht="15.75" x14ac:dyDescent="0.25">
      <c r="A6384" s="11"/>
    </row>
    <row r="6385" spans="1:1" ht="15.75" x14ac:dyDescent="0.25">
      <c r="A6385" s="11"/>
    </row>
    <row r="6386" spans="1:1" ht="15.75" x14ac:dyDescent="0.25">
      <c r="A6386" s="11"/>
    </row>
    <row r="6387" spans="1:1" ht="15.75" x14ac:dyDescent="0.25">
      <c r="A6387" s="11"/>
    </row>
    <row r="6388" spans="1:1" ht="15.75" x14ac:dyDescent="0.25">
      <c r="A6388" s="11"/>
    </row>
    <row r="6389" spans="1:1" ht="15.75" x14ac:dyDescent="0.25">
      <c r="A6389" s="11"/>
    </row>
    <row r="6390" spans="1:1" ht="15.75" x14ac:dyDescent="0.25">
      <c r="A6390" s="11"/>
    </row>
    <row r="6391" spans="1:1" ht="15.75" x14ac:dyDescent="0.25">
      <c r="A6391" s="11"/>
    </row>
    <row r="6392" spans="1:1" ht="15.75" x14ac:dyDescent="0.25">
      <c r="A6392" s="11"/>
    </row>
    <row r="6393" spans="1:1" ht="15.75" x14ac:dyDescent="0.25">
      <c r="A6393" s="11"/>
    </row>
    <row r="6394" spans="1:1" ht="15.75" x14ac:dyDescent="0.25">
      <c r="A6394" s="11"/>
    </row>
    <row r="6395" spans="1:1" ht="15.75" x14ac:dyDescent="0.25">
      <c r="A6395" s="11"/>
    </row>
    <row r="6396" spans="1:1" ht="15.75" x14ac:dyDescent="0.25">
      <c r="A6396" s="11"/>
    </row>
    <row r="6397" spans="1:1" ht="15.75" x14ac:dyDescent="0.25">
      <c r="A6397" s="11"/>
    </row>
    <row r="6398" spans="1:1" ht="15.75" x14ac:dyDescent="0.25">
      <c r="A6398" s="11"/>
    </row>
    <row r="6399" spans="1:1" ht="15.75" x14ac:dyDescent="0.25">
      <c r="A6399" s="11"/>
    </row>
    <row r="6400" spans="1:1" ht="15.75" x14ac:dyDescent="0.25">
      <c r="A6400" s="11"/>
    </row>
    <row r="6401" spans="1:1" ht="15.75" x14ac:dyDescent="0.25">
      <c r="A6401" s="11"/>
    </row>
    <row r="6402" spans="1:1" ht="15.75" x14ac:dyDescent="0.25">
      <c r="A6402" s="11"/>
    </row>
    <row r="6403" spans="1:1" ht="15.75" x14ac:dyDescent="0.25">
      <c r="A6403" s="11"/>
    </row>
    <row r="6404" spans="1:1" ht="15.75" x14ac:dyDescent="0.25">
      <c r="A6404" s="11"/>
    </row>
    <row r="6405" spans="1:1" ht="15.75" x14ac:dyDescent="0.25">
      <c r="A6405" s="11"/>
    </row>
    <row r="6406" spans="1:1" ht="15.75" x14ac:dyDescent="0.25">
      <c r="A6406" s="11"/>
    </row>
    <row r="6407" spans="1:1" ht="15.75" x14ac:dyDescent="0.25">
      <c r="A6407" s="11"/>
    </row>
    <row r="6408" spans="1:1" ht="15.75" x14ac:dyDescent="0.25">
      <c r="A6408" s="11"/>
    </row>
    <row r="6409" spans="1:1" ht="15.75" x14ac:dyDescent="0.25">
      <c r="A6409" s="11"/>
    </row>
    <row r="6410" spans="1:1" ht="15.75" x14ac:dyDescent="0.25">
      <c r="A6410" s="11"/>
    </row>
    <row r="6411" spans="1:1" ht="15.75" x14ac:dyDescent="0.25">
      <c r="A6411" s="11"/>
    </row>
    <row r="6412" spans="1:1" ht="15.75" x14ac:dyDescent="0.25">
      <c r="A6412" s="11"/>
    </row>
    <row r="6413" spans="1:1" ht="15.75" x14ac:dyDescent="0.25">
      <c r="A6413" s="11"/>
    </row>
    <row r="6414" spans="1:1" ht="15.75" x14ac:dyDescent="0.25">
      <c r="A6414" s="11"/>
    </row>
    <row r="6415" spans="1:1" ht="15.75" x14ac:dyDescent="0.25">
      <c r="A6415" s="11"/>
    </row>
    <row r="6416" spans="1:1" ht="15.75" x14ac:dyDescent="0.25">
      <c r="A6416" s="11"/>
    </row>
    <row r="6417" spans="1:1" ht="15.75" x14ac:dyDescent="0.25">
      <c r="A6417" s="11"/>
    </row>
    <row r="6418" spans="1:1" ht="15.75" x14ac:dyDescent="0.25">
      <c r="A6418" s="11"/>
    </row>
    <row r="6419" spans="1:1" ht="15.75" x14ac:dyDescent="0.25">
      <c r="A6419" s="11"/>
    </row>
    <row r="6420" spans="1:1" ht="15.75" x14ac:dyDescent="0.25">
      <c r="A6420" s="11"/>
    </row>
    <row r="6421" spans="1:1" ht="15.75" x14ac:dyDescent="0.25">
      <c r="A6421" s="11"/>
    </row>
    <row r="6422" spans="1:1" ht="15.75" x14ac:dyDescent="0.25">
      <c r="A6422" s="11"/>
    </row>
    <row r="6423" spans="1:1" ht="15.75" x14ac:dyDescent="0.25">
      <c r="A6423" s="11"/>
    </row>
    <row r="6424" spans="1:1" ht="15.75" x14ac:dyDescent="0.25">
      <c r="A6424" s="11"/>
    </row>
    <row r="6425" spans="1:1" ht="15.75" x14ac:dyDescent="0.25">
      <c r="A6425" s="11"/>
    </row>
    <row r="6426" spans="1:1" ht="15.75" x14ac:dyDescent="0.25">
      <c r="A6426" s="11"/>
    </row>
    <row r="6427" spans="1:1" ht="15.75" x14ac:dyDescent="0.25">
      <c r="A6427" s="11"/>
    </row>
    <row r="6428" spans="1:1" ht="15.75" x14ac:dyDescent="0.25">
      <c r="A6428" s="11"/>
    </row>
    <row r="6429" spans="1:1" ht="15.75" x14ac:dyDescent="0.25">
      <c r="A6429" s="11"/>
    </row>
    <row r="6430" spans="1:1" ht="15.75" x14ac:dyDescent="0.25">
      <c r="A6430" s="11"/>
    </row>
    <row r="6431" spans="1:1" ht="15.75" x14ac:dyDescent="0.25">
      <c r="A6431" s="11"/>
    </row>
    <row r="6432" spans="1:1" ht="15.75" x14ac:dyDescent="0.25">
      <c r="A6432" s="11"/>
    </row>
    <row r="6433" spans="1:1" ht="15.75" x14ac:dyDescent="0.25">
      <c r="A6433" s="11"/>
    </row>
    <row r="6434" spans="1:1" ht="15.75" x14ac:dyDescent="0.25">
      <c r="A6434" s="11"/>
    </row>
    <row r="6435" spans="1:1" ht="15.75" x14ac:dyDescent="0.25">
      <c r="A6435" s="11"/>
    </row>
    <row r="6436" spans="1:1" ht="15.75" x14ac:dyDescent="0.25">
      <c r="A6436" s="11"/>
    </row>
    <row r="6437" spans="1:1" ht="15.75" x14ac:dyDescent="0.25">
      <c r="A6437" s="11"/>
    </row>
    <row r="6438" spans="1:1" ht="15.75" x14ac:dyDescent="0.25">
      <c r="A6438" s="11"/>
    </row>
    <row r="6439" spans="1:1" ht="15.75" x14ac:dyDescent="0.25">
      <c r="A6439" s="11"/>
    </row>
    <row r="6440" spans="1:1" ht="15.75" x14ac:dyDescent="0.25">
      <c r="A6440" s="11"/>
    </row>
    <row r="6441" spans="1:1" ht="15.75" x14ac:dyDescent="0.25">
      <c r="A6441" s="11"/>
    </row>
    <row r="6442" spans="1:1" ht="15.75" x14ac:dyDescent="0.25">
      <c r="A6442" s="11"/>
    </row>
    <row r="6443" spans="1:1" ht="15.75" x14ac:dyDescent="0.25">
      <c r="A6443" s="11"/>
    </row>
    <row r="6444" spans="1:1" ht="15.75" x14ac:dyDescent="0.25">
      <c r="A6444" s="11"/>
    </row>
    <row r="6445" spans="1:1" ht="15.75" x14ac:dyDescent="0.25">
      <c r="A6445" s="11"/>
    </row>
    <row r="6446" spans="1:1" ht="15.75" x14ac:dyDescent="0.25">
      <c r="A6446" s="11"/>
    </row>
    <row r="6447" spans="1:1" ht="15.75" x14ac:dyDescent="0.25">
      <c r="A6447" s="11"/>
    </row>
    <row r="6448" spans="1:1" ht="15.75" x14ac:dyDescent="0.25">
      <c r="A6448" s="11"/>
    </row>
    <row r="6449" spans="1:1" ht="15.75" x14ac:dyDescent="0.25">
      <c r="A6449" s="11"/>
    </row>
    <row r="6450" spans="1:1" ht="15.75" x14ac:dyDescent="0.25">
      <c r="A6450" s="11"/>
    </row>
    <row r="6451" spans="1:1" ht="15.75" x14ac:dyDescent="0.25">
      <c r="A6451" s="11"/>
    </row>
    <row r="6452" spans="1:1" ht="15.75" x14ac:dyDescent="0.25">
      <c r="A6452" s="11"/>
    </row>
    <row r="6453" spans="1:1" ht="15.75" x14ac:dyDescent="0.25">
      <c r="A6453" s="11"/>
    </row>
    <row r="6454" spans="1:1" ht="15.75" x14ac:dyDescent="0.25">
      <c r="A6454" s="11"/>
    </row>
    <row r="6455" spans="1:1" ht="15.75" x14ac:dyDescent="0.25">
      <c r="A6455" s="11"/>
    </row>
    <row r="6456" spans="1:1" ht="15.75" x14ac:dyDescent="0.25">
      <c r="A6456" s="11"/>
    </row>
    <row r="6457" spans="1:1" ht="15.75" x14ac:dyDescent="0.25">
      <c r="A6457" s="11"/>
    </row>
    <row r="6458" spans="1:1" ht="15.75" x14ac:dyDescent="0.25">
      <c r="A6458" s="11"/>
    </row>
    <row r="6459" spans="1:1" ht="15.75" x14ac:dyDescent="0.25">
      <c r="A6459" s="11"/>
    </row>
    <row r="6460" spans="1:1" ht="15.75" x14ac:dyDescent="0.25">
      <c r="A6460" s="11"/>
    </row>
    <row r="6461" spans="1:1" ht="15.75" x14ac:dyDescent="0.25">
      <c r="A6461" s="11"/>
    </row>
    <row r="6462" spans="1:1" ht="15.75" x14ac:dyDescent="0.25">
      <c r="A6462" s="11"/>
    </row>
    <row r="6463" spans="1:1" ht="15.75" x14ac:dyDescent="0.25">
      <c r="A6463" s="11"/>
    </row>
    <row r="6464" spans="1:1" ht="15.75" x14ac:dyDescent="0.25">
      <c r="A6464" s="11"/>
    </row>
    <row r="6465" spans="1:1" ht="15.75" x14ac:dyDescent="0.25">
      <c r="A6465" s="11"/>
    </row>
    <row r="6466" spans="1:1" ht="15.75" x14ac:dyDescent="0.25">
      <c r="A6466" s="11"/>
    </row>
    <row r="6467" spans="1:1" ht="15.75" x14ac:dyDescent="0.25">
      <c r="A6467" s="11"/>
    </row>
    <row r="6468" spans="1:1" ht="15.75" x14ac:dyDescent="0.25">
      <c r="A6468" s="11"/>
    </row>
    <row r="6469" spans="1:1" ht="15.75" x14ac:dyDescent="0.25">
      <c r="A6469" s="11"/>
    </row>
    <row r="6470" spans="1:1" ht="15.75" x14ac:dyDescent="0.25">
      <c r="A6470" s="11"/>
    </row>
    <row r="6471" spans="1:1" ht="15.75" x14ac:dyDescent="0.25">
      <c r="A6471" s="11"/>
    </row>
    <row r="6472" spans="1:1" ht="15.75" x14ac:dyDescent="0.25">
      <c r="A6472" s="11"/>
    </row>
    <row r="6473" spans="1:1" ht="15.75" x14ac:dyDescent="0.25">
      <c r="A6473" s="11"/>
    </row>
    <row r="6474" spans="1:1" ht="15.75" x14ac:dyDescent="0.25">
      <c r="A6474" s="11"/>
    </row>
    <row r="6475" spans="1:1" ht="15.75" x14ac:dyDescent="0.25">
      <c r="A6475" s="11"/>
    </row>
    <row r="6476" spans="1:1" ht="15.75" x14ac:dyDescent="0.25">
      <c r="A6476" s="11"/>
    </row>
    <row r="6477" spans="1:1" ht="15.75" x14ac:dyDescent="0.25">
      <c r="A6477" s="11"/>
    </row>
    <row r="6478" spans="1:1" ht="15.75" x14ac:dyDescent="0.25">
      <c r="A6478" s="11"/>
    </row>
    <row r="6479" spans="1:1" ht="15.75" x14ac:dyDescent="0.25">
      <c r="A6479" s="11"/>
    </row>
    <row r="6480" spans="1:1" ht="15.75" x14ac:dyDescent="0.25">
      <c r="A6480" s="11"/>
    </row>
    <row r="6481" spans="1:1" ht="15.75" x14ac:dyDescent="0.25">
      <c r="A6481" s="11"/>
    </row>
    <row r="6482" spans="1:1" ht="15.75" x14ac:dyDescent="0.25">
      <c r="A6482" s="11"/>
    </row>
    <row r="6483" spans="1:1" ht="15.75" x14ac:dyDescent="0.25">
      <c r="A6483" s="11"/>
    </row>
    <row r="6484" spans="1:1" ht="15.75" x14ac:dyDescent="0.25">
      <c r="A6484" s="11"/>
    </row>
    <row r="6485" spans="1:1" ht="15.75" x14ac:dyDescent="0.25">
      <c r="A6485" s="11"/>
    </row>
    <row r="6486" spans="1:1" ht="15.75" x14ac:dyDescent="0.25">
      <c r="A6486" s="11"/>
    </row>
    <row r="6487" spans="1:1" ht="15.75" x14ac:dyDescent="0.25">
      <c r="A6487" s="11"/>
    </row>
    <row r="6488" spans="1:1" ht="15.75" x14ac:dyDescent="0.25">
      <c r="A6488" s="11"/>
    </row>
    <row r="6489" spans="1:1" ht="15.75" x14ac:dyDescent="0.25">
      <c r="A6489" s="11"/>
    </row>
    <row r="6490" spans="1:1" ht="15.75" x14ac:dyDescent="0.25">
      <c r="A6490" s="11"/>
    </row>
    <row r="6491" spans="1:1" ht="15.75" x14ac:dyDescent="0.25">
      <c r="A6491" s="11"/>
    </row>
    <row r="6492" spans="1:1" ht="15.75" x14ac:dyDescent="0.25">
      <c r="A6492" s="11"/>
    </row>
    <row r="6493" spans="1:1" ht="15.75" x14ac:dyDescent="0.25">
      <c r="A6493" s="11"/>
    </row>
    <row r="6494" spans="1:1" ht="15.75" x14ac:dyDescent="0.25">
      <c r="A6494" s="11"/>
    </row>
    <row r="6495" spans="1:1" ht="15.75" x14ac:dyDescent="0.25">
      <c r="A6495" s="11"/>
    </row>
    <row r="6496" spans="1:1" ht="15.75" x14ac:dyDescent="0.25">
      <c r="A6496" s="11"/>
    </row>
    <row r="6497" spans="1:1" ht="15.75" x14ac:dyDescent="0.25">
      <c r="A6497" s="11"/>
    </row>
    <row r="6498" spans="1:1" ht="15.75" x14ac:dyDescent="0.25">
      <c r="A6498" s="11"/>
    </row>
    <row r="6499" spans="1:1" ht="15.75" x14ac:dyDescent="0.25">
      <c r="A6499" s="11"/>
    </row>
    <row r="6500" spans="1:1" ht="15.75" x14ac:dyDescent="0.25">
      <c r="A6500" s="11"/>
    </row>
    <row r="6501" spans="1:1" ht="15.75" x14ac:dyDescent="0.25">
      <c r="A6501" s="11"/>
    </row>
    <row r="6502" spans="1:1" ht="15.75" x14ac:dyDescent="0.25">
      <c r="A6502" s="11"/>
    </row>
    <row r="6503" spans="1:1" ht="15.75" x14ac:dyDescent="0.25">
      <c r="A6503" s="11"/>
    </row>
    <row r="6504" spans="1:1" ht="15.75" x14ac:dyDescent="0.25">
      <c r="A6504" s="11"/>
    </row>
    <row r="6505" spans="1:1" ht="15.75" x14ac:dyDescent="0.25">
      <c r="A6505" s="11"/>
    </row>
    <row r="6506" spans="1:1" ht="15.75" x14ac:dyDescent="0.25">
      <c r="A6506" s="11"/>
    </row>
    <row r="6507" spans="1:1" ht="15.75" x14ac:dyDescent="0.25">
      <c r="A6507" s="11"/>
    </row>
    <row r="6508" spans="1:1" ht="15.75" x14ac:dyDescent="0.25">
      <c r="A6508" s="11"/>
    </row>
    <row r="6509" spans="1:1" ht="15.75" x14ac:dyDescent="0.25">
      <c r="A6509" s="11"/>
    </row>
    <row r="6510" spans="1:1" ht="15.75" x14ac:dyDescent="0.25">
      <c r="A6510" s="11"/>
    </row>
    <row r="6511" spans="1:1" ht="15.75" x14ac:dyDescent="0.25">
      <c r="A6511" s="11"/>
    </row>
    <row r="6512" spans="1:1" ht="15.75" x14ac:dyDescent="0.25">
      <c r="A6512" s="11"/>
    </row>
    <row r="6513" spans="1:1" ht="15.75" x14ac:dyDescent="0.25">
      <c r="A6513" s="11"/>
    </row>
    <row r="6514" spans="1:1" ht="15.75" x14ac:dyDescent="0.25">
      <c r="A6514" s="11"/>
    </row>
    <row r="6515" spans="1:1" ht="15.75" x14ac:dyDescent="0.25">
      <c r="A6515" s="11"/>
    </row>
    <row r="6516" spans="1:1" ht="15.75" x14ac:dyDescent="0.25">
      <c r="A6516" s="11"/>
    </row>
    <row r="6517" spans="1:1" ht="15.75" x14ac:dyDescent="0.25">
      <c r="A6517" s="11"/>
    </row>
    <row r="6518" spans="1:1" ht="15.75" x14ac:dyDescent="0.25">
      <c r="A6518" s="11"/>
    </row>
    <row r="6519" spans="1:1" ht="15.75" x14ac:dyDescent="0.25">
      <c r="A6519" s="11"/>
    </row>
    <row r="6520" spans="1:1" ht="15.75" x14ac:dyDescent="0.25">
      <c r="A6520" s="11"/>
    </row>
    <row r="6521" spans="1:1" ht="15.75" x14ac:dyDescent="0.25">
      <c r="A6521" s="11"/>
    </row>
    <row r="6522" spans="1:1" ht="15.75" x14ac:dyDescent="0.25">
      <c r="A6522" s="11"/>
    </row>
    <row r="6523" spans="1:1" ht="15.75" x14ac:dyDescent="0.25">
      <c r="A6523" s="11"/>
    </row>
    <row r="6524" spans="1:1" ht="15.75" x14ac:dyDescent="0.25">
      <c r="A6524" s="11"/>
    </row>
    <row r="6525" spans="1:1" ht="15.75" x14ac:dyDescent="0.25">
      <c r="A6525" s="11"/>
    </row>
    <row r="6526" spans="1:1" ht="15.75" x14ac:dyDescent="0.25">
      <c r="A6526" s="11"/>
    </row>
    <row r="6527" spans="1:1" ht="15.75" x14ac:dyDescent="0.25">
      <c r="A6527" s="11"/>
    </row>
    <row r="6528" spans="1:1" ht="15.75" x14ac:dyDescent="0.25">
      <c r="A6528" s="11"/>
    </row>
    <row r="6529" spans="1:1" ht="15.75" x14ac:dyDescent="0.25">
      <c r="A6529" s="11"/>
    </row>
    <row r="6530" spans="1:1" ht="15.75" x14ac:dyDescent="0.25">
      <c r="A6530" s="11"/>
    </row>
    <row r="6531" spans="1:1" ht="15.75" x14ac:dyDescent="0.25">
      <c r="A6531" s="11"/>
    </row>
    <row r="6532" spans="1:1" ht="15.75" x14ac:dyDescent="0.25">
      <c r="A6532" s="11"/>
    </row>
    <row r="6533" spans="1:1" ht="15.75" x14ac:dyDescent="0.25">
      <c r="A6533" s="11"/>
    </row>
    <row r="6534" spans="1:1" ht="15.75" x14ac:dyDescent="0.25">
      <c r="A6534" s="11"/>
    </row>
    <row r="6535" spans="1:1" ht="15.75" x14ac:dyDescent="0.25">
      <c r="A6535" s="11"/>
    </row>
    <row r="6536" spans="1:1" ht="15.75" x14ac:dyDescent="0.25">
      <c r="A6536" s="11"/>
    </row>
    <row r="6537" spans="1:1" ht="15.75" x14ac:dyDescent="0.25">
      <c r="A6537" s="11"/>
    </row>
    <row r="6538" spans="1:1" ht="15.75" x14ac:dyDescent="0.25">
      <c r="A6538" s="11"/>
    </row>
    <row r="6539" spans="1:1" ht="15.75" x14ac:dyDescent="0.25">
      <c r="A6539" s="11"/>
    </row>
    <row r="6540" spans="1:1" ht="15.75" x14ac:dyDescent="0.25">
      <c r="A6540" s="11"/>
    </row>
    <row r="6541" spans="1:1" ht="15.75" x14ac:dyDescent="0.25">
      <c r="A6541" s="11"/>
    </row>
    <row r="6542" spans="1:1" ht="15.75" x14ac:dyDescent="0.25">
      <c r="A6542" s="11"/>
    </row>
    <row r="6543" spans="1:1" ht="15.75" x14ac:dyDescent="0.25">
      <c r="A6543" s="11"/>
    </row>
    <row r="6544" spans="1:1" ht="15.75" x14ac:dyDescent="0.25">
      <c r="A6544" s="11"/>
    </row>
    <row r="6545" spans="1:1" ht="15.75" x14ac:dyDescent="0.25">
      <c r="A6545" s="11"/>
    </row>
    <row r="6546" spans="1:1" ht="15.75" x14ac:dyDescent="0.25">
      <c r="A6546" s="11"/>
    </row>
    <row r="6547" spans="1:1" ht="15.75" x14ac:dyDescent="0.25">
      <c r="A6547" s="11"/>
    </row>
    <row r="6548" spans="1:1" ht="15.75" x14ac:dyDescent="0.25">
      <c r="A6548" s="11"/>
    </row>
    <row r="6549" spans="1:1" ht="15.75" x14ac:dyDescent="0.25">
      <c r="A6549" s="11"/>
    </row>
    <row r="6550" spans="1:1" ht="15.75" x14ac:dyDescent="0.25">
      <c r="A6550" s="11"/>
    </row>
    <row r="6551" spans="1:1" ht="15.75" x14ac:dyDescent="0.25">
      <c r="A6551" s="11"/>
    </row>
    <row r="6552" spans="1:1" ht="15.75" x14ac:dyDescent="0.25">
      <c r="A6552" s="11"/>
    </row>
    <row r="6553" spans="1:1" ht="15.75" x14ac:dyDescent="0.25">
      <c r="A6553" s="11"/>
    </row>
    <row r="6554" spans="1:1" ht="15.75" x14ac:dyDescent="0.25">
      <c r="A6554" s="11"/>
    </row>
    <row r="6555" spans="1:1" ht="15.75" x14ac:dyDescent="0.25">
      <c r="A6555" s="11"/>
    </row>
    <row r="6556" spans="1:1" ht="15.75" x14ac:dyDescent="0.25">
      <c r="A6556" s="11"/>
    </row>
    <row r="6557" spans="1:1" ht="15.75" x14ac:dyDescent="0.25">
      <c r="A6557" s="11"/>
    </row>
    <row r="6558" spans="1:1" ht="15.75" x14ac:dyDescent="0.25">
      <c r="A6558" s="11"/>
    </row>
    <row r="6559" spans="1:1" ht="15.75" x14ac:dyDescent="0.25">
      <c r="A6559" s="11"/>
    </row>
    <row r="6560" spans="1:1" ht="15.75" x14ac:dyDescent="0.25">
      <c r="A6560" s="11"/>
    </row>
    <row r="6561" spans="1:1" ht="15.75" x14ac:dyDescent="0.25">
      <c r="A6561" s="11"/>
    </row>
    <row r="6562" spans="1:1" ht="15.75" x14ac:dyDescent="0.25">
      <c r="A6562" s="11"/>
    </row>
    <row r="6563" spans="1:1" ht="15.75" x14ac:dyDescent="0.25">
      <c r="A6563" s="11"/>
    </row>
    <row r="6564" spans="1:1" ht="15.75" x14ac:dyDescent="0.25">
      <c r="A6564" s="11"/>
    </row>
    <row r="6565" spans="1:1" ht="15.75" x14ac:dyDescent="0.25">
      <c r="A6565" s="11"/>
    </row>
    <row r="6566" spans="1:1" ht="15.75" x14ac:dyDescent="0.25">
      <c r="A6566" s="11"/>
    </row>
    <row r="6567" spans="1:1" ht="15.75" x14ac:dyDescent="0.25">
      <c r="A6567" s="11"/>
    </row>
    <row r="6568" spans="1:1" ht="15.75" x14ac:dyDescent="0.25">
      <c r="A6568" s="11"/>
    </row>
    <row r="6569" spans="1:1" ht="15.75" x14ac:dyDescent="0.25">
      <c r="A6569" s="11"/>
    </row>
    <row r="6570" spans="1:1" ht="15.75" x14ac:dyDescent="0.25">
      <c r="A6570" s="11"/>
    </row>
    <row r="6571" spans="1:1" ht="15.75" x14ac:dyDescent="0.25">
      <c r="A6571" s="11"/>
    </row>
    <row r="6572" spans="1:1" ht="15.75" x14ac:dyDescent="0.25">
      <c r="A6572" s="11"/>
    </row>
    <row r="6573" spans="1:1" ht="15.75" x14ac:dyDescent="0.25">
      <c r="A6573" s="11"/>
    </row>
    <row r="6574" spans="1:1" ht="15.75" x14ac:dyDescent="0.25">
      <c r="A6574" s="11"/>
    </row>
    <row r="6575" spans="1:1" ht="15.75" x14ac:dyDescent="0.25">
      <c r="A6575" s="11"/>
    </row>
    <row r="6576" spans="1:1" ht="15.75" x14ac:dyDescent="0.25">
      <c r="A6576" s="11"/>
    </row>
    <row r="6577" spans="1:1" ht="15.75" x14ac:dyDescent="0.25">
      <c r="A6577" s="11"/>
    </row>
    <row r="6578" spans="1:1" ht="15.75" x14ac:dyDescent="0.25">
      <c r="A6578" s="11"/>
    </row>
    <row r="6579" spans="1:1" ht="15.75" x14ac:dyDescent="0.25">
      <c r="A6579" s="11"/>
    </row>
    <row r="6580" spans="1:1" ht="15.75" x14ac:dyDescent="0.25">
      <c r="A6580" s="11"/>
    </row>
    <row r="6581" spans="1:1" ht="15.75" x14ac:dyDescent="0.25">
      <c r="A6581" s="11"/>
    </row>
    <row r="6582" spans="1:1" ht="15.75" x14ac:dyDescent="0.25">
      <c r="A6582" s="11"/>
    </row>
    <row r="6583" spans="1:1" ht="15.75" x14ac:dyDescent="0.25">
      <c r="A6583" s="11"/>
    </row>
    <row r="6584" spans="1:1" ht="15.75" x14ac:dyDescent="0.25">
      <c r="A6584" s="11"/>
    </row>
    <row r="6585" spans="1:1" ht="15.75" x14ac:dyDescent="0.25">
      <c r="A6585" s="11"/>
    </row>
    <row r="6586" spans="1:1" ht="15.75" x14ac:dyDescent="0.25">
      <c r="A6586" s="11"/>
    </row>
    <row r="6587" spans="1:1" ht="15.75" x14ac:dyDescent="0.25">
      <c r="A6587" s="11"/>
    </row>
    <row r="6588" spans="1:1" ht="15.75" x14ac:dyDescent="0.25">
      <c r="A6588" s="11"/>
    </row>
    <row r="6589" spans="1:1" ht="15.75" x14ac:dyDescent="0.25">
      <c r="A6589" s="11"/>
    </row>
    <row r="6590" spans="1:1" ht="15.75" x14ac:dyDescent="0.25">
      <c r="A6590" s="11"/>
    </row>
    <row r="6591" spans="1:1" ht="15.75" x14ac:dyDescent="0.25">
      <c r="A6591" s="11"/>
    </row>
    <row r="6592" spans="1:1" ht="15.75" x14ac:dyDescent="0.25">
      <c r="A6592" s="11"/>
    </row>
    <row r="6593" spans="1:1" ht="15.75" x14ac:dyDescent="0.25">
      <c r="A6593" s="11"/>
    </row>
    <row r="6594" spans="1:1" ht="15.75" x14ac:dyDescent="0.25">
      <c r="A6594" s="11"/>
    </row>
    <row r="6595" spans="1:1" ht="15.75" x14ac:dyDescent="0.25">
      <c r="A6595" s="11"/>
    </row>
    <row r="6596" spans="1:1" ht="15.75" x14ac:dyDescent="0.25">
      <c r="A6596" s="11"/>
    </row>
    <row r="6597" spans="1:1" ht="15.75" x14ac:dyDescent="0.25">
      <c r="A6597" s="11"/>
    </row>
    <row r="6598" spans="1:1" ht="15.75" x14ac:dyDescent="0.25">
      <c r="A6598" s="11"/>
    </row>
    <row r="6599" spans="1:1" ht="15.75" x14ac:dyDescent="0.25">
      <c r="A6599" s="11"/>
    </row>
    <row r="6600" spans="1:1" ht="15.75" x14ac:dyDescent="0.25">
      <c r="A6600" s="11"/>
    </row>
    <row r="6601" spans="1:1" ht="15.75" x14ac:dyDescent="0.25">
      <c r="A6601" s="11"/>
    </row>
    <row r="6602" spans="1:1" ht="15.75" x14ac:dyDescent="0.25">
      <c r="A6602" s="11"/>
    </row>
    <row r="6603" spans="1:1" ht="15.75" x14ac:dyDescent="0.25">
      <c r="A6603" s="11"/>
    </row>
    <row r="6604" spans="1:1" ht="15.75" x14ac:dyDescent="0.25">
      <c r="A6604" s="11"/>
    </row>
    <row r="6605" spans="1:1" ht="15.75" x14ac:dyDescent="0.25">
      <c r="A6605" s="11"/>
    </row>
    <row r="6606" spans="1:1" ht="15.75" x14ac:dyDescent="0.25">
      <c r="A6606" s="11"/>
    </row>
    <row r="6607" spans="1:1" ht="15.75" x14ac:dyDescent="0.25">
      <c r="A6607" s="11"/>
    </row>
    <row r="6608" spans="1:1" ht="15.75" x14ac:dyDescent="0.25">
      <c r="A6608" s="11"/>
    </row>
    <row r="6609" spans="1:1" ht="15.75" x14ac:dyDescent="0.25">
      <c r="A6609" s="11"/>
    </row>
    <row r="6610" spans="1:1" ht="15.75" x14ac:dyDescent="0.25">
      <c r="A6610" s="11"/>
    </row>
    <row r="6611" spans="1:1" ht="15.75" x14ac:dyDescent="0.25">
      <c r="A6611" s="11"/>
    </row>
    <row r="6612" spans="1:1" ht="15.75" x14ac:dyDescent="0.25">
      <c r="A6612" s="11"/>
    </row>
    <row r="6613" spans="1:1" ht="15.75" x14ac:dyDescent="0.25">
      <c r="A6613" s="11"/>
    </row>
    <row r="6614" spans="1:1" ht="15.75" x14ac:dyDescent="0.25">
      <c r="A6614" s="11"/>
    </row>
    <row r="6615" spans="1:1" ht="15.75" x14ac:dyDescent="0.25">
      <c r="A6615" s="11"/>
    </row>
    <row r="6616" spans="1:1" ht="15.75" x14ac:dyDescent="0.25">
      <c r="A6616" s="11"/>
    </row>
    <row r="6617" spans="1:1" ht="15.75" x14ac:dyDescent="0.25">
      <c r="A6617" s="11"/>
    </row>
    <row r="6618" spans="1:1" ht="15.75" x14ac:dyDescent="0.25">
      <c r="A6618" s="11"/>
    </row>
    <row r="6619" spans="1:1" ht="15.75" x14ac:dyDescent="0.25">
      <c r="A6619" s="11"/>
    </row>
    <row r="6620" spans="1:1" ht="15.75" x14ac:dyDescent="0.25">
      <c r="A6620" s="11"/>
    </row>
    <row r="6621" spans="1:1" ht="15.75" x14ac:dyDescent="0.25">
      <c r="A6621" s="11"/>
    </row>
    <row r="6622" spans="1:1" ht="15.75" x14ac:dyDescent="0.25">
      <c r="A6622" s="11"/>
    </row>
    <row r="6623" spans="1:1" ht="15.75" x14ac:dyDescent="0.25">
      <c r="A6623" s="11"/>
    </row>
    <row r="6624" spans="1:1" ht="15.75" x14ac:dyDescent="0.25">
      <c r="A6624" s="11"/>
    </row>
    <row r="6625" spans="1:1" ht="15.75" x14ac:dyDescent="0.25">
      <c r="A6625" s="11"/>
    </row>
    <row r="6626" spans="1:1" ht="15.75" x14ac:dyDescent="0.25">
      <c r="A6626" s="11"/>
    </row>
    <row r="6627" spans="1:1" ht="15.75" x14ac:dyDescent="0.25">
      <c r="A6627" s="11"/>
    </row>
    <row r="6628" spans="1:1" ht="15.75" x14ac:dyDescent="0.25">
      <c r="A6628" s="11"/>
    </row>
    <row r="6629" spans="1:1" ht="15.75" x14ac:dyDescent="0.25">
      <c r="A6629" s="11"/>
    </row>
    <row r="6630" spans="1:1" ht="15.75" x14ac:dyDescent="0.25">
      <c r="A6630" s="11"/>
    </row>
    <row r="6631" spans="1:1" ht="15.75" x14ac:dyDescent="0.25">
      <c r="A6631" s="11"/>
    </row>
    <row r="6632" spans="1:1" ht="15.75" x14ac:dyDescent="0.25">
      <c r="A6632" s="11"/>
    </row>
    <row r="6633" spans="1:1" ht="15.75" x14ac:dyDescent="0.25">
      <c r="A6633" s="11"/>
    </row>
    <row r="6634" spans="1:1" ht="15.75" x14ac:dyDescent="0.25">
      <c r="A6634" s="11"/>
    </row>
    <row r="6635" spans="1:1" ht="15.75" x14ac:dyDescent="0.25">
      <c r="A6635" s="11"/>
    </row>
    <row r="6636" spans="1:1" ht="15.75" x14ac:dyDescent="0.25">
      <c r="A6636" s="11"/>
    </row>
    <row r="6637" spans="1:1" ht="15.75" x14ac:dyDescent="0.25">
      <c r="A6637" s="11"/>
    </row>
    <row r="6638" spans="1:1" ht="15.75" x14ac:dyDescent="0.25">
      <c r="A6638" s="11"/>
    </row>
    <row r="6639" spans="1:1" ht="15.75" x14ac:dyDescent="0.25">
      <c r="A6639" s="11"/>
    </row>
    <row r="6640" spans="1:1" ht="15.75" x14ac:dyDescent="0.25">
      <c r="A6640" s="11"/>
    </row>
    <row r="6641" spans="1:1" ht="15.75" x14ac:dyDescent="0.25">
      <c r="A6641" s="11"/>
    </row>
    <row r="6642" spans="1:1" ht="15.75" x14ac:dyDescent="0.25">
      <c r="A6642" s="11"/>
    </row>
    <row r="6643" spans="1:1" ht="15.75" x14ac:dyDescent="0.25">
      <c r="A6643" s="11"/>
    </row>
    <row r="6644" spans="1:1" ht="15.75" x14ac:dyDescent="0.25">
      <c r="A6644" s="11"/>
    </row>
    <row r="6645" spans="1:1" ht="15.75" x14ac:dyDescent="0.25">
      <c r="A6645" s="11"/>
    </row>
    <row r="6646" spans="1:1" ht="15.75" x14ac:dyDescent="0.25">
      <c r="A6646" s="11"/>
    </row>
    <row r="6647" spans="1:1" ht="15.75" x14ac:dyDescent="0.25">
      <c r="A6647" s="11"/>
    </row>
    <row r="6648" spans="1:1" ht="15.75" x14ac:dyDescent="0.25">
      <c r="A6648" s="11"/>
    </row>
    <row r="6649" spans="1:1" ht="15.75" x14ac:dyDescent="0.25">
      <c r="A6649" s="11"/>
    </row>
    <row r="6650" spans="1:1" ht="15.75" x14ac:dyDescent="0.25">
      <c r="A6650" s="11"/>
    </row>
    <row r="6651" spans="1:1" ht="15.75" x14ac:dyDescent="0.25">
      <c r="A6651" s="11"/>
    </row>
    <row r="6652" spans="1:1" ht="15.75" x14ac:dyDescent="0.25">
      <c r="A6652" s="11"/>
    </row>
    <row r="6653" spans="1:1" ht="15.75" x14ac:dyDescent="0.25">
      <c r="A6653" s="11"/>
    </row>
    <row r="6654" spans="1:1" ht="15.75" x14ac:dyDescent="0.25">
      <c r="A6654" s="11"/>
    </row>
    <row r="6655" spans="1:1" ht="15.75" x14ac:dyDescent="0.25">
      <c r="A6655" s="11"/>
    </row>
    <row r="6656" spans="1:1" ht="15.75" x14ac:dyDescent="0.25">
      <c r="A6656" s="11"/>
    </row>
    <row r="6657" spans="1:1" ht="15.75" x14ac:dyDescent="0.25">
      <c r="A6657" s="11"/>
    </row>
    <row r="6658" spans="1:1" ht="15.75" x14ac:dyDescent="0.25">
      <c r="A6658" s="11"/>
    </row>
    <row r="6659" spans="1:1" ht="15.75" x14ac:dyDescent="0.25">
      <c r="A6659" s="11"/>
    </row>
    <row r="6660" spans="1:1" ht="15.75" x14ac:dyDescent="0.25">
      <c r="A6660" s="11"/>
    </row>
    <row r="6661" spans="1:1" ht="15.75" x14ac:dyDescent="0.25">
      <c r="A6661" s="11"/>
    </row>
    <row r="6662" spans="1:1" ht="15.75" x14ac:dyDescent="0.25">
      <c r="A6662" s="11"/>
    </row>
    <row r="6663" spans="1:1" ht="15.75" x14ac:dyDescent="0.25">
      <c r="A6663" s="11"/>
    </row>
    <row r="6664" spans="1:1" ht="15.75" x14ac:dyDescent="0.25">
      <c r="A6664" s="11"/>
    </row>
    <row r="6665" spans="1:1" ht="15.75" x14ac:dyDescent="0.25">
      <c r="A6665" s="11"/>
    </row>
    <row r="6666" spans="1:1" ht="15.75" x14ac:dyDescent="0.25">
      <c r="A6666" s="11"/>
    </row>
    <row r="6667" spans="1:1" ht="15.75" x14ac:dyDescent="0.25">
      <c r="A6667" s="11"/>
    </row>
    <row r="6668" spans="1:1" ht="15.75" x14ac:dyDescent="0.25">
      <c r="A6668" s="11"/>
    </row>
    <row r="6669" spans="1:1" ht="15.75" x14ac:dyDescent="0.25">
      <c r="A6669" s="11"/>
    </row>
    <row r="6670" spans="1:1" ht="15.75" x14ac:dyDescent="0.25">
      <c r="A6670" s="11"/>
    </row>
    <row r="6671" spans="1:1" ht="15.75" x14ac:dyDescent="0.25">
      <c r="A6671" s="11"/>
    </row>
    <row r="6672" spans="1:1" ht="15.75" x14ac:dyDescent="0.25">
      <c r="A6672" s="11"/>
    </row>
    <row r="6673" spans="1:1" ht="15.75" x14ac:dyDescent="0.25">
      <c r="A6673" s="11"/>
    </row>
    <row r="6674" spans="1:1" ht="15.75" x14ac:dyDescent="0.25">
      <c r="A6674" s="11"/>
    </row>
    <row r="6675" spans="1:1" ht="15.75" x14ac:dyDescent="0.25">
      <c r="A6675" s="11"/>
    </row>
    <row r="6676" spans="1:1" ht="15.75" x14ac:dyDescent="0.25">
      <c r="A6676" s="11"/>
    </row>
    <row r="6677" spans="1:1" ht="15.75" x14ac:dyDescent="0.25">
      <c r="A6677" s="11"/>
    </row>
    <row r="6678" spans="1:1" ht="15.75" x14ac:dyDescent="0.25">
      <c r="A6678" s="11"/>
    </row>
    <row r="6679" spans="1:1" ht="15.75" x14ac:dyDescent="0.25">
      <c r="A6679" s="11"/>
    </row>
    <row r="6680" spans="1:1" ht="15.75" x14ac:dyDescent="0.25">
      <c r="A6680" s="11"/>
    </row>
    <row r="6681" spans="1:1" ht="15.75" x14ac:dyDescent="0.25">
      <c r="A6681" s="11"/>
    </row>
    <row r="6682" spans="1:1" ht="15.75" x14ac:dyDescent="0.25">
      <c r="A6682" s="11"/>
    </row>
    <row r="6683" spans="1:1" ht="15.75" x14ac:dyDescent="0.25">
      <c r="A6683" s="11"/>
    </row>
    <row r="6684" spans="1:1" ht="15.75" x14ac:dyDescent="0.25">
      <c r="A6684" s="11"/>
    </row>
    <row r="6685" spans="1:1" ht="15.75" x14ac:dyDescent="0.25">
      <c r="A6685" s="11"/>
    </row>
    <row r="6686" spans="1:1" ht="15.75" x14ac:dyDescent="0.25">
      <c r="A6686" s="11"/>
    </row>
    <row r="6687" spans="1:1" ht="15.75" x14ac:dyDescent="0.25">
      <c r="A6687" s="11"/>
    </row>
    <row r="6688" spans="1:1" ht="15.75" x14ac:dyDescent="0.25">
      <c r="A6688" s="11"/>
    </row>
    <row r="6689" spans="1:1" ht="15.75" x14ac:dyDescent="0.25">
      <c r="A6689" s="11"/>
    </row>
    <row r="6690" spans="1:1" ht="15.75" x14ac:dyDescent="0.25">
      <c r="A6690" s="11"/>
    </row>
    <row r="6691" spans="1:1" ht="15.75" x14ac:dyDescent="0.25">
      <c r="A6691" s="11"/>
    </row>
    <row r="6692" spans="1:1" ht="15.75" x14ac:dyDescent="0.25">
      <c r="A6692" s="11"/>
    </row>
    <row r="6693" spans="1:1" ht="15.75" x14ac:dyDescent="0.25">
      <c r="A6693" s="11"/>
    </row>
    <row r="6694" spans="1:1" ht="15.75" x14ac:dyDescent="0.25">
      <c r="A6694" s="11"/>
    </row>
    <row r="6695" spans="1:1" ht="15.75" x14ac:dyDescent="0.25">
      <c r="A6695" s="11"/>
    </row>
    <row r="6696" spans="1:1" ht="15.75" x14ac:dyDescent="0.25">
      <c r="A6696" s="11"/>
    </row>
    <row r="6697" spans="1:1" ht="15.75" x14ac:dyDescent="0.25">
      <c r="A6697" s="11"/>
    </row>
    <row r="6698" spans="1:1" ht="15.75" x14ac:dyDescent="0.25">
      <c r="A6698" s="11"/>
    </row>
    <row r="6699" spans="1:1" ht="15.75" x14ac:dyDescent="0.25">
      <c r="A6699" s="11"/>
    </row>
    <row r="6700" spans="1:1" ht="15.75" x14ac:dyDescent="0.25">
      <c r="A6700" s="11"/>
    </row>
    <row r="6701" spans="1:1" ht="15.75" x14ac:dyDescent="0.25">
      <c r="A6701" s="11"/>
    </row>
    <row r="6702" spans="1:1" ht="15.75" x14ac:dyDescent="0.25">
      <c r="A6702" s="11"/>
    </row>
    <row r="6703" spans="1:1" ht="15.75" x14ac:dyDescent="0.25">
      <c r="A6703" s="11"/>
    </row>
    <row r="6704" spans="1:1" ht="15.75" x14ac:dyDescent="0.25">
      <c r="A6704" s="11"/>
    </row>
    <row r="6705" spans="1:1" ht="15.75" x14ac:dyDescent="0.25">
      <c r="A6705" s="11"/>
    </row>
    <row r="6706" spans="1:1" ht="15.75" x14ac:dyDescent="0.25">
      <c r="A6706" s="11"/>
    </row>
    <row r="6707" spans="1:1" ht="15.75" x14ac:dyDescent="0.25">
      <c r="A6707" s="11"/>
    </row>
    <row r="6708" spans="1:1" ht="15.75" x14ac:dyDescent="0.25">
      <c r="A6708" s="11"/>
    </row>
    <row r="6709" spans="1:1" ht="15.75" x14ac:dyDescent="0.25">
      <c r="A6709" s="11"/>
    </row>
    <row r="6710" spans="1:1" ht="15.75" x14ac:dyDescent="0.25">
      <c r="A6710" s="11"/>
    </row>
    <row r="6711" spans="1:1" ht="15.75" x14ac:dyDescent="0.25">
      <c r="A6711" s="11"/>
    </row>
    <row r="6712" spans="1:1" ht="15.75" x14ac:dyDescent="0.25">
      <c r="A6712" s="11"/>
    </row>
    <row r="6713" spans="1:1" ht="15.75" x14ac:dyDescent="0.25">
      <c r="A6713" s="11"/>
    </row>
    <row r="6714" spans="1:1" ht="15.75" x14ac:dyDescent="0.25">
      <c r="A6714" s="11"/>
    </row>
    <row r="6715" spans="1:1" ht="15.75" x14ac:dyDescent="0.25">
      <c r="A6715" s="11"/>
    </row>
    <row r="6716" spans="1:1" ht="15.75" x14ac:dyDescent="0.25">
      <c r="A6716" s="11"/>
    </row>
    <row r="6717" spans="1:1" ht="15.75" x14ac:dyDescent="0.25">
      <c r="A6717" s="11"/>
    </row>
    <row r="6718" spans="1:1" ht="15.75" x14ac:dyDescent="0.25">
      <c r="A6718" s="11"/>
    </row>
    <row r="6719" spans="1:1" ht="15.75" x14ac:dyDescent="0.25">
      <c r="A6719" s="11"/>
    </row>
    <row r="6720" spans="1:1" ht="15.75" x14ac:dyDescent="0.25">
      <c r="A6720" s="11"/>
    </row>
    <row r="6721" spans="1:1" ht="15.75" x14ac:dyDescent="0.25">
      <c r="A6721" s="11"/>
    </row>
    <row r="6722" spans="1:1" ht="15.75" x14ac:dyDescent="0.25">
      <c r="A6722" s="11"/>
    </row>
    <row r="6723" spans="1:1" ht="15.75" x14ac:dyDescent="0.25">
      <c r="A6723" s="11"/>
    </row>
    <row r="6724" spans="1:1" ht="15.75" x14ac:dyDescent="0.25">
      <c r="A6724" s="11"/>
    </row>
    <row r="6725" spans="1:1" ht="15.75" x14ac:dyDescent="0.25">
      <c r="A6725" s="11"/>
    </row>
    <row r="6726" spans="1:1" ht="15.75" x14ac:dyDescent="0.25">
      <c r="A6726" s="11"/>
    </row>
    <row r="6727" spans="1:1" ht="15.75" x14ac:dyDescent="0.25">
      <c r="A6727" s="11"/>
    </row>
    <row r="6728" spans="1:1" ht="15.75" x14ac:dyDescent="0.25">
      <c r="A6728" s="11"/>
    </row>
    <row r="6729" spans="1:1" ht="15.75" x14ac:dyDescent="0.25">
      <c r="A6729" s="11"/>
    </row>
    <row r="6730" spans="1:1" ht="15.75" x14ac:dyDescent="0.25">
      <c r="A6730" s="11"/>
    </row>
    <row r="6731" spans="1:1" ht="15.75" x14ac:dyDescent="0.25">
      <c r="A6731" s="11"/>
    </row>
    <row r="6732" spans="1:1" ht="15.75" x14ac:dyDescent="0.25">
      <c r="A6732" s="11"/>
    </row>
    <row r="6733" spans="1:1" ht="15.75" x14ac:dyDescent="0.25">
      <c r="A6733" s="11"/>
    </row>
    <row r="6734" spans="1:1" ht="15.75" x14ac:dyDescent="0.25">
      <c r="A6734" s="11"/>
    </row>
    <row r="6735" spans="1:1" ht="15.75" x14ac:dyDescent="0.25">
      <c r="A6735" s="11"/>
    </row>
    <row r="6736" spans="1:1" ht="15.75" x14ac:dyDescent="0.25">
      <c r="A6736" s="11"/>
    </row>
    <row r="6737" spans="1:1" ht="15.75" x14ac:dyDescent="0.25">
      <c r="A6737" s="11"/>
    </row>
    <row r="6738" spans="1:1" ht="15.75" x14ac:dyDescent="0.25">
      <c r="A6738" s="11"/>
    </row>
    <row r="6739" spans="1:1" ht="15.75" x14ac:dyDescent="0.25">
      <c r="A6739" s="11"/>
    </row>
    <row r="6740" spans="1:1" ht="15.75" x14ac:dyDescent="0.25">
      <c r="A6740" s="11"/>
    </row>
    <row r="6741" spans="1:1" ht="15.75" x14ac:dyDescent="0.25">
      <c r="A6741" s="11"/>
    </row>
    <row r="6742" spans="1:1" ht="15.75" x14ac:dyDescent="0.25">
      <c r="A6742" s="11"/>
    </row>
    <row r="6743" spans="1:1" ht="15.75" x14ac:dyDescent="0.25">
      <c r="A6743" s="11"/>
    </row>
    <row r="6744" spans="1:1" ht="15.75" x14ac:dyDescent="0.25">
      <c r="A6744" s="11"/>
    </row>
    <row r="6745" spans="1:1" ht="15.75" x14ac:dyDescent="0.25">
      <c r="A6745" s="11"/>
    </row>
    <row r="6746" spans="1:1" ht="15.75" x14ac:dyDescent="0.25">
      <c r="A6746" s="11"/>
    </row>
    <row r="6747" spans="1:1" ht="15.75" x14ac:dyDescent="0.25">
      <c r="A6747" s="11"/>
    </row>
    <row r="6748" spans="1:1" ht="15.75" x14ac:dyDescent="0.25">
      <c r="A6748" s="11"/>
    </row>
    <row r="6749" spans="1:1" ht="15.75" x14ac:dyDescent="0.25">
      <c r="A6749" s="11"/>
    </row>
    <row r="6750" spans="1:1" ht="15.75" x14ac:dyDescent="0.25">
      <c r="A6750" s="11"/>
    </row>
    <row r="6751" spans="1:1" ht="15.75" x14ac:dyDescent="0.25">
      <c r="A6751" s="11"/>
    </row>
    <row r="6752" spans="1:1" ht="15.75" x14ac:dyDescent="0.25">
      <c r="A6752" s="11"/>
    </row>
    <row r="6753" spans="1:1" ht="15.75" x14ac:dyDescent="0.25">
      <c r="A6753" s="11"/>
    </row>
    <row r="6754" spans="1:1" ht="15.75" x14ac:dyDescent="0.25">
      <c r="A6754" s="11"/>
    </row>
    <row r="6755" spans="1:1" ht="15.75" x14ac:dyDescent="0.25">
      <c r="A6755" s="11"/>
    </row>
    <row r="6756" spans="1:1" ht="15.75" x14ac:dyDescent="0.25">
      <c r="A6756" s="11"/>
    </row>
    <row r="6757" spans="1:1" ht="15.75" x14ac:dyDescent="0.25">
      <c r="A6757" s="11"/>
    </row>
    <row r="6758" spans="1:1" ht="15.75" x14ac:dyDescent="0.25">
      <c r="A6758" s="11"/>
    </row>
    <row r="6759" spans="1:1" ht="15.75" x14ac:dyDescent="0.25">
      <c r="A6759" s="11"/>
    </row>
    <row r="6760" spans="1:1" ht="15.75" x14ac:dyDescent="0.25">
      <c r="A6760" s="11"/>
    </row>
    <row r="6761" spans="1:1" ht="15.75" x14ac:dyDescent="0.25">
      <c r="A6761" s="11"/>
    </row>
    <row r="6762" spans="1:1" ht="15.75" x14ac:dyDescent="0.25">
      <c r="A6762" s="11"/>
    </row>
    <row r="6763" spans="1:1" ht="15.75" x14ac:dyDescent="0.25">
      <c r="A6763" s="11"/>
    </row>
    <row r="6764" spans="1:1" ht="15.75" x14ac:dyDescent="0.25">
      <c r="A6764" s="11"/>
    </row>
    <row r="6765" spans="1:1" ht="15.75" x14ac:dyDescent="0.25">
      <c r="A6765" s="11"/>
    </row>
    <row r="6766" spans="1:1" ht="15.75" x14ac:dyDescent="0.25">
      <c r="A6766" s="11"/>
    </row>
    <row r="6767" spans="1:1" ht="15.75" x14ac:dyDescent="0.25">
      <c r="A6767" s="11"/>
    </row>
    <row r="6768" spans="1:1" ht="15.75" x14ac:dyDescent="0.25">
      <c r="A6768" s="11"/>
    </row>
    <row r="6769" spans="1:1" ht="15.75" x14ac:dyDescent="0.25">
      <c r="A6769" s="11"/>
    </row>
    <row r="6770" spans="1:1" ht="15.75" x14ac:dyDescent="0.25">
      <c r="A6770" s="11"/>
    </row>
    <row r="6771" spans="1:1" ht="15.75" x14ac:dyDescent="0.25">
      <c r="A6771" s="11"/>
    </row>
    <row r="6772" spans="1:1" ht="15.75" x14ac:dyDescent="0.25">
      <c r="A6772" s="11"/>
    </row>
    <row r="6773" spans="1:1" ht="15.75" x14ac:dyDescent="0.25">
      <c r="A6773" s="11"/>
    </row>
    <row r="6774" spans="1:1" ht="15.75" x14ac:dyDescent="0.25">
      <c r="A6774" s="11"/>
    </row>
    <row r="6775" spans="1:1" ht="15.75" x14ac:dyDescent="0.25">
      <c r="A6775" s="11"/>
    </row>
    <row r="6776" spans="1:1" ht="15.75" x14ac:dyDescent="0.25">
      <c r="A6776" s="11"/>
    </row>
    <row r="6777" spans="1:1" ht="15.75" x14ac:dyDescent="0.25">
      <c r="A6777" s="11"/>
    </row>
    <row r="6778" spans="1:1" ht="15.75" x14ac:dyDescent="0.25">
      <c r="A6778" s="11"/>
    </row>
    <row r="6779" spans="1:1" ht="15.75" x14ac:dyDescent="0.25">
      <c r="A6779" s="11"/>
    </row>
    <row r="6780" spans="1:1" ht="15.75" x14ac:dyDescent="0.25">
      <c r="A6780" s="11"/>
    </row>
    <row r="6781" spans="1:1" ht="15.75" x14ac:dyDescent="0.25">
      <c r="A6781" s="11"/>
    </row>
    <row r="6782" spans="1:1" ht="15.75" x14ac:dyDescent="0.25">
      <c r="A6782" s="11"/>
    </row>
    <row r="6783" spans="1:1" ht="15.75" x14ac:dyDescent="0.25">
      <c r="A6783" s="11"/>
    </row>
    <row r="6784" spans="1:1" ht="15.75" x14ac:dyDescent="0.25">
      <c r="A6784" s="11"/>
    </row>
    <row r="6785" spans="1:1" ht="15.75" x14ac:dyDescent="0.25">
      <c r="A6785" s="11"/>
    </row>
    <row r="6786" spans="1:1" ht="15.75" x14ac:dyDescent="0.25">
      <c r="A6786" s="11"/>
    </row>
    <row r="6787" spans="1:1" ht="15.75" x14ac:dyDescent="0.25">
      <c r="A6787" s="11"/>
    </row>
    <row r="6788" spans="1:1" ht="15.75" x14ac:dyDescent="0.25">
      <c r="A6788" s="11"/>
    </row>
    <row r="6789" spans="1:1" ht="15.75" x14ac:dyDescent="0.25">
      <c r="A6789" s="11"/>
    </row>
    <row r="6790" spans="1:1" ht="15.75" x14ac:dyDescent="0.25">
      <c r="A6790" s="11"/>
    </row>
    <row r="6791" spans="1:1" ht="15.75" x14ac:dyDescent="0.25">
      <c r="A6791" s="11"/>
    </row>
    <row r="6792" spans="1:1" ht="15.75" x14ac:dyDescent="0.25">
      <c r="A6792" s="11"/>
    </row>
    <row r="6793" spans="1:1" ht="15.75" x14ac:dyDescent="0.25">
      <c r="A6793" s="11"/>
    </row>
    <row r="6794" spans="1:1" ht="15.75" x14ac:dyDescent="0.25">
      <c r="A6794" s="11"/>
    </row>
    <row r="6795" spans="1:1" ht="15.75" x14ac:dyDescent="0.25">
      <c r="A6795" s="11"/>
    </row>
    <row r="6796" spans="1:1" ht="15.75" x14ac:dyDescent="0.25">
      <c r="A6796" s="11"/>
    </row>
    <row r="6797" spans="1:1" ht="15.75" x14ac:dyDescent="0.25">
      <c r="A6797" s="11"/>
    </row>
    <row r="6798" spans="1:1" ht="15.75" x14ac:dyDescent="0.25">
      <c r="A6798" s="11"/>
    </row>
    <row r="6799" spans="1:1" ht="15.75" x14ac:dyDescent="0.25">
      <c r="A6799" s="11"/>
    </row>
    <row r="6800" spans="1:1" ht="15.75" x14ac:dyDescent="0.25">
      <c r="A6800" s="11"/>
    </row>
    <row r="6801" spans="1:1" ht="15.75" x14ac:dyDescent="0.25">
      <c r="A6801" s="11"/>
    </row>
    <row r="6802" spans="1:1" ht="15.75" x14ac:dyDescent="0.25">
      <c r="A6802" s="11"/>
    </row>
    <row r="6803" spans="1:1" ht="15.75" x14ac:dyDescent="0.25">
      <c r="A6803" s="11"/>
    </row>
    <row r="6804" spans="1:1" ht="15.75" x14ac:dyDescent="0.25">
      <c r="A6804" s="11"/>
    </row>
    <row r="6805" spans="1:1" ht="15.75" x14ac:dyDescent="0.25">
      <c r="A6805" s="11"/>
    </row>
    <row r="6806" spans="1:1" ht="15.75" x14ac:dyDescent="0.25">
      <c r="A6806" s="11"/>
    </row>
    <row r="6807" spans="1:1" ht="15.75" x14ac:dyDescent="0.25">
      <c r="A6807" s="11"/>
    </row>
    <row r="6808" spans="1:1" ht="15.75" x14ac:dyDescent="0.25">
      <c r="A6808" s="11"/>
    </row>
    <row r="6809" spans="1:1" ht="15.75" x14ac:dyDescent="0.25">
      <c r="A6809" s="11"/>
    </row>
    <row r="6810" spans="1:1" ht="15.75" x14ac:dyDescent="0.25">
      <c r="A6810" s="11"/>
    </row>
    <row r="6811" spans="1:1" ht="15.75" x14ac:dyDescent="0.25">
      <c r="A6811" s="11"/>
    </row>
    <row r="6812" spans="1:1" ht="15.75" x14ac:dyDescent="0.25">
      <c r="A6812" s="11"/>
    </row>
    <row r="6813" spans="1:1" ht="15.75" x14ac:dyDescent="0.25">
      <c r="A6813" s="11"/>
    </row>
    <row r="6814" spans="1:1" ht="15.75" x14ac:dyDescent="0.25">
      <c r="A6814" s="11"/>
    </row>
    <row r="6815" spans="1:1" ht="15.75" x14ac:dyDescent="0.25">
      <c r="A6815" s="11"/>
    </row>
    <row r="6816" spans="1:1" ht="15.75" x14ac:dyDescent="0.25">
      <c r="A6816" s="11"/>
    </row>
    <row r="6817" spans="1:1" ht="15.75" x14ac:dyDescent="0.25">
      <c r="A6817" s="11"/>
    </row>
    <row r="6818" spans="1:1" ht="15.75" x14ac:dyDescent="0.25">
      <c r="A6818" s="11"/>
    </row>
    <row r="6819" spans="1:1" ht="15.75" x14ac:dyDescent="0.25">
      <c r="A6819" s="11"/>
    </row>
    <row r="6820" spans="1:1" ht="15.75" x14ac:dyDescent="0.25">
      <c r="A6820" s="11"/>
    </row>
    <row r="6821" spans="1:1" ht="15.75" x14ac:dyDescent="0.25">
      <c r="A6821" s="11"/>
    </row>
    <row r="6822" spans="1:1" ht="15.75" x14ac:dyDescent="0.25">
      <c r="A6822" s="11"/>
    </row>
    <row r="6823" spans="1:1" ht="15.75" x14ac:dyDescent="0.25">
      <c r="A6823" s="11"/>
    </row>
    <row r="6824" spans="1:1" ht="15.75" x14ac:dyDescent="0.25">
      <c r="A6824" s="11"/>
    </row>
    <row r="6825" spans="1:1" ht="15.75" x14ac:dyDescent="0.25">
      <c r="A6825" s="11"/>
    </row>
    <row r="6826" spans="1:1" ht="15.75" x14ac:dyDescent="0.25">
      <c r="A6826" s="11"/>
    </row>
    <row r="6827" spans="1:1" ht="15.75" x14ac:dyDescent="0.25">
      <c r="A6827" s="11"/>
    </row>
    <row r="6828" spans="1:1" ht="15.75" x14ac:dyDescent="0.25">
      <c r="A6828" s="11"/>
    </row>
    <row r="6829" spans="1:1" ht="15.75" x14ac:dyDescent="0.25">
      <c r="A6829" s="11"/>
    </row>
    <row r="6830" spans="1:1" ht="15.75" x14ac:dyDescent="0.25">
      <c r="A6830" s="11"/>
    </row>
    <row r="6831" spans="1:1" ht="15.75" x14ac:dyDescent="0.25">
      <c r="A6831" s="11"/>
    </row>
    <row r="6832" spans="1:1" ht="15.75" x14ac:dyDescent="0.25">
      <c r="A6832" s="11"/>
    </row>
    <row r="6833" spans="1:1" ht="15.75" x14ac:dyDescent="0.25">
      <c r="A6833" s="11"/>
    </row>
    <row r="6834" spans="1:1" ht="15.75" x14ac:dyDescent="0.25">
      <c r="A6834" s="11"/>
    </row>
    <row r="6835" spans="1:1" ht="15.75" x14ac:dyDescent="0.25">
      <c r="A6835" s="11"/>
    </row>
    <row r="6836" spans="1:1" ht="15.75" x14ac:dyDescent="0.25">
      <c r="A6836" s="11"/>
    </row>
    <row r="6837" spans="1:1" ht="15.75" x14ac:dyDescent="0.25">
      <c r="A6837" s="11"/>
    </row>
    <row r="6838" spans="1:1" ht="15.75" x14ac:dyDescent="0.25">
      <c r="A6838" s="11"/>
    </row>
    <row r="6839" spans="1:1" ht="15.75" x14ac:dyDescent="0.25">
      <c r="A6839" s="11"/>
    </row>
    <row r="6840" spans="1:1" ht="15.75" x14ac:dyDescent="0.25">
      <c r="A6840" s="11"/>
    </row>
    <row r="6841" spans="1:1" ht="15.75" x14ac:dyDescent="0.25">
      <c r="A6841" s="11"/>
    </row>
    <row r="6842" spans="1:1" ht="15.75" x14ac:dyDescent="0.25">
      <c r="A6842" s="11"/>
    </row>
    <row r="6843" spans="1:1" ht="15.75" x14ac:dyDescent="0.25">
      <c r="A6843" s="11"/>
    </row>
    <row r="6844" spans="1:1" ht="15.75" x14ac:dyDescent="0.25">
      <c r="A6844" s="11"/>
    </row>
    <row r="6845" spans="1:1" ht="15.75" x14ac:dyDescent="0.25">
      <c r="A6845" s="11"/>
    </row>
    <row r="6846" spans="1:1" ht="15.75" x14ac:dyDescent="0.25">
      <c r="A6846" s="11"/>
    </row>
    <row r="6847" spans="1:1" ht="15.75" x14ac:dyDescent="0.25">
      <c r="A6847" s="11"/>
    </row>
    <row r="6848" spans="1:1" ht="15.75" x14ac:dyDescent="0.25">
      <c r="A6848" s="11"/>
    </row>
    <row r="6849" spans="1:1" ht="15.75" x14ac:dyDescent="0.25">
      <c r="A6849" s="11"/>
    </row>
    <row r="6850" spans="1:1" ht="15.75" x14ac:dyDescent="0.25">
      <c r="A6850" s="11"/>
    </row>
    <row r="6851" spans="1:1" ht="15.75" x14ac:dyDescent="0.25">
      <c r="A6851" s="11"/>
    </row>
    <row r="6852" spans="1:1" ht="15.75" x14ac:dyDescent="0.25">
      <c r="A6852" s="11"/>
    </row>
    <row r="6853" spans="1:1" ht="15.75" x14ac:dyDescent="0.25">
      <c r="A6853" s="11"/>
    </row>
    <row r="6854" spans="1:1" ht="15.75" x14ac:dyDescent="0.25">
      <c r="A6854" s="11"/>
    </row>
    <row r="6855" spans="1:1" ht="15.75" x14ac:dyDescent="0.25">
      <c r="A6855" s="11"/>
    </row>
    <row r="6856" spans="1:1" ht="15.75" x14ac:dyDescent="0.25">
      <c r="A6856" s="11"/>
    </row>
    <row r="6857" spans="1:1" ht="15.75" x14ac:dyDescent="0.25">
      <c r="A6857" s="11"/>
    </row>
    <row r="6858" spans="1:1" ht="15.75" x14ac:dyDescent="0.25">
      <c r="A6858" s="11"/>
    </row>
    <row r="6859" spans="1:1" ht="15.75" x14ac:dyDescent="0.25">
      <c r="A6859" s="11"/>
    </row>
    <row r="6860" spans="1:1" ht="15.75" x14ac:dyDescent="0.25">
      <c r="A6860" s="11"/>
    </row>
    <row r="6861" spans="1:1" ht="15.75" x14ac:dyDescent="0.25">
      <c r="A6861" s="11"/>
    </row>
    <row r="6862" spans="1:1" ht="15.75" x14ac:dyDescent="0.25">
      <c r="A6862" s="11"/>
    </row>
    <row r="6863" spans="1:1" ht="15.75" x14ac:dyDescent="0.25">
      <c r="A6863" s="11"/>
    </row>
    <row r="6864" spans="1:1" ht="15.75" x14ac:dyDescent="0.25">
      <c r="A6864" s="11"/>
    </row>
    <row r="6865" spans="1:1" ht="15.75" x14ac:dyDescent="0.25">
      <c r="A6865" s="11"/>
    </row>
    <row r="6866" spans="1:1" ht="15.75" x14ac:dyDescent="0.25">
      <c r="A6866" s="11"/>
    </row>
    <row r="6867" spans="1:1" ht="15.75" x14ac:dyDescent="0.25">
      <c r="A6867" s="11"/>
    </row>
    <row r="6868" spans="1:1" ht="15.75" x14ac:dyDescent="0.25">
      <c r="A6868" s="11"/>
    </row>
    <row r="6869" spans="1:1" ht="15.75" x14ac:dyDescent="0.25">
      <c r="A6869" s="11"/>
    </row>
    <row r="6870" spans="1:1" ht="15.75" x14ac:dyDescent="0.25">
      <c r="A6870" s="11"/>
    </row>
    <row r="6871" spans="1:1" ht="15.75" x14ac:dyDescent="0.25">
      <c r="A6871" s="11"/>
    </row>
    <row r="6872" spans="1:1" ht="15.75" x14ac:dyDescent="0.25">
      <c r="A6872" s="11"/>
    </row>
    <row r="6873" spans="1:1" ht="15.75" x14ac:dyDescent="0.25">
      <c r="A6873" s="11"/>
    </row>
    <row r="6874" spans="1:1" ht="15.75" x14ac:dyDescent="0.25">
      <c r="A6874" s="11"/>
    </row>
    <row r="6875" spans="1:1" ht="15.75" x14ac:dyDescent="0.25">
      <c r="A6875" s="11"/>
    </row>
    <row r="6876" spans="1:1" ht="15.75" x14ac:dyDescent="0.25">
      <c r="A6876" s="11"/>
    </row>
    <row r="6877" spans="1:1" ht="15.75" x14ac:dyDescent="0.25">
      <c r="A6877" s="11"/>
    </row>
    <row r="6878" spans="1:1" ht="15.75" x14ac:dyDescent="0.25">
      <c r="A6878" s="11"/>
    </row>
    <row r="6879" spans="1:1" ht="15.75" x14ac:dyDescent="0.25">
      <c r="A6879" s="11"/>
    </row>
    <row r="6880" spans="1:1" ht="15.75" x14ac:dyDescent="0.25">
      <c r="A6880" s="11"/>
    </row>
    <row r="6881" spans="1:1" ht="15.75" x14ac:dyDescent="0.25">
      <c r="A6881" s="11"/>
    </row>
    <row r="6882" spans="1:1" ht="15.75" x14ac:dyDescent="0.25">
      <c r="A6882" s="11"/>
    </row>
    <row r="6883" spans="1:1" ht="15.75" x14ac:dyDescent="0.25">
      <c r="A6883" s="11"/>
    </row>
    <row r="6884" spans="1:1" ht="15.75" x14ac:dyDescent="0.25">
      <c r="A6884" s="11"/>
    </row>
    <row r="6885" spans="1:1" ht="15.75" x14ac:dyDescent="0.25">
      <c r="A6885" s="11"/>
    </row>
    <row r="6886" spans="1:1" ht="15.75" x14ac:dyDescent="0.25">
      <c r="A6886" s="11"/>
    </row>
    <row r="6887" spans="1:1" ht="15.75" x14ac:dyDescent="0.25">
      <c r="A6887" s="11"/>
    </row>
    <row r="6888" spans="1:1" ht="15.75" x14ac:dyDescent="0.25">
      <c r="A6888" s="11"/>
    </row>
    <row r="6889" spans="1:1" ht="15.75" x14ac:dyDescent="0.25">
      <c r="A6889" s="11"/>
    </row>
    <row r="6890" spans="1:1" ht="15.75" x14ac:dyDescent="0.25">
      <c r="A6890" s="11"/>
    </row>
    <row r="6891" spans="1:1" ht="15.75" x14ac:dyDescent="0.25">
      <c r="A6891" s="11"/>
    </row>
    <row r="6892" spans="1:1" ht="15.75" x14ac:dyDescent="0.25">
      <c r="A6892" s="11"/>
    </row>
    <row r="6893" spans="1:1" ht="15.75" x14ac:dyDescent="0.25">
      <c r="A6893" s="11"/>
    </row>
    <row r="6894" spans="1:1" ht="15.75" x14ac:dyDescent="0.25">
      <c r="A6894" s="11"/>
    </row>
    <row r="6895" spans="1:1" ht="15.75" x14ac:dyDescent="0.25">
      <c r="A6895" s="11"/>
    </row>
    <row r="6896" spans="1:1" ht="15.75" x14ac:dyDescent="0.25">
      <c r="A6896" s="11"/>
    </row>
    <row r="6897" spans="1:1" ht="15.75" x14ac:dyDescent="0.25">
      <c r="A6897" s="11"/>
    </row>
    <row r="6898" spans="1:1" ht="15.75" x14ac:dyDescent="0.25">
      <c r="A6898" s="11"/>
    </row>
    <row r="6899" spans="1:1" ht="15.75" x14ac:dyDescent="0.25">
      <c r="A6899" s="11"/>
    </row>
    <row r="6900" spans="1:1" ht="15.75" x14ac:dyDescent="0.25">
      <c r="A6900" s="11"/>
    </row>
    <row r="6901" spans="1:1" ht="15.75" x14ac:dyDescent="0.25">
      <c r="A6901" s="11"/>
    </row>
    <row r="6902" spans="1:1" ht="15.75" x14ac:dyDescent="0.25">
      <c r="A6902" s="11"/>
    </row>
    <row r="6903" spans="1:1" ht="15.75" x14ac:dyDescent="0.25">
      <c r="A6903" s="11"/>
    </row>
    <row r="6904" spans="1:1" ht="15.75" x14ac:dyDescent="0.25">
      <c r="A6904" s="11"/>
    </row>
    <row r="6905" spans="1:1" ht="15.75" x14ac:dyDescent="0.25">
      <c r="A6905" s="11"/>
    </row>
    <row r="6906" spans="1:1" ht="15.75" x14ac:dyDescent="0.25">
      <c r="A6906" s="11"/>
    </row>
    <row r="6907" spans="1:1" ht="15.75" x14ac:dyDescent="0.25">
      <c r="A6907" s="11"/>
    </row>
    <row r="6908" spans="1:1" ht="15.75" x14ac:dyDescent="0.25">
      <c r="A6908" s="11"/>
    </row>
    <row r="6909" spans="1:1" ht="15.75" x14ac:dyDescent="0.25">
      <c r="A6909" s="11"/>
    </row>
    <row r="6910" spans="1:1" ht="15.75" x14ac:dyDescent="0.25">
      <c r="A6910" s="11"/>
    </row>
    <row r="6911" spans="1:1" ht="15.75" x14ac:dyDescent="0.25">
      <c r="A6911" s="11"/>
    </row>
    <row r="6912" spans="1:1" ht="15.75" x14ac:dyDescent="0.25">
      <c r="A6912" s="11"/>
    </row>
    <row r="6913" spans="1:1" ht="15.75" x14ac:dyDescent="0.25">
      <c r="A6913" s="11"/>
    </row>
    <row r="6914" spans="1:1" ht="15.75" x14ac:dyDescent="0.25">
      <c r="A6914" s="11"/>
    </row>
    <row r="6915" spans="1:1" ht="15.75" x14ac:dyDescent="0.25">
      <c r="A6915" s="11"/>
    </row>
    <row r="6916" spans="1:1" ht="15.75" x14ac:dyDescent="0.25">
      <c r="A6916" s="11"/>
    </row>
    <row r="6917" spans="1:1" ht="15.75" x14ac:dyDescent="0.25">
      <c r="A6917" s="11"/>
    </row>
    <row r="6918" spans="1:1" ht="15.75" x14ac:dyDescent="0.25">
      <c r="A6918" s="11"/>
    </row>
    <row r="6919" spans="1:1" ht="15.75" x14ac:dyDescent="0.25">
      <c r="A6919" s="11"/>
    </row>
    <row r="6920" spans="1:1" ht="15.75" x14ac:dyDescent="0.25">
      <c r="A6920" s="11"/>
    </row>
    <row r="6921" spans="1:1" ht="15.75" x14ac:dyDescent="0.25">
      <c r="A6921" s="11"/>
    </row>
    <row r="6922" spans="1:1" ht="15.75" x14ac:dyDescent="0.25">
      <c r="A6922" s="11"/>
    </row>
    <row r="6923" spans="1:1" ht="15.75" x14ac:dyDescent="0.25">
      <c r="A6923" s="11"/>
    </row>
    <row r="6924" spans="1:1" ht="15.75" x14ac:dyDescent="0.25">
      <c r="A6924" s="11"/>
    </row>
    <row r="6925" spans="1:1" ht="15.75" x14ac:dyDescent="0.25">
      <c r="A6925" s="11"/>
    </row>
    <row r="6926" spans="1:1" ht="15.75" x14ac:dyDescent="0.25">
      <c r="A6926" s="11"/>
    </row>
    <row r="6927" spans="1:1" ht="15.75" x14ac:dyDescent="0.25">
      <c r="A6927" s="11"/>
    </row>
    <row r="6928" spans="1:1" ht="15.75" x14ac:dyDescent="0.25">
      <c r="A6928" s="11"/>
    </row>
    <row r="6929" spans="1:1" ht="15.75" x14ac:dyDescent="0.25">
      <c r="A6929" s="11"/>
    </row>
    <row r="6930" spans="1:1" ht="15.75" x14ac:dyDescent="0.25">
      <c r="A6930" s="11"/>
    </row>
    <row r="6931" spans="1:1" ht="15.75" x14ac:dyDescent="0.25">
      <c r="A6931" s="11"/>
    </row>
    <row r="6932" spans="1:1" ht="15.75" x14ac:dyDescent="0.25">
      <c r="A6932" s="11"/>
    </row>
    <row r="6933" spans="1:1" ht="15.75" x14ac:dyDescent="0.25">
      <c r="A6933" s="11"/>
    </row>
    <row r="6934" spans="1:1" ht="15.75" x14ac:dyDescent="0.25">
      <c r="A6934" s="11"/>
    </row>
    <row r="6935" spans="1:1" ht="15.75" x14ac:dyDescent="0.25">
      <c r="A6935" s="11"/>
    </row>
    <row r="6936" spans="1:1" ht="15.75" x14ac:dyDescent="0.25">
      <c r="A6936" s="11"/>
    </row>
    <row r="6937" spans="1:1" ht="15.75" x14ac:dyDescent="0.25">
      <c r="A6937" s="11"/>
    </row>
    <row r="6938" spans="1:1" ht="15.75" x14ac:dyDescent="0.25">
      <c r="A6938" s="11"/>
    </row>
    <row r="6939" spans="1:1" ht="15.75" x14ac:dyDescent="0.25">
      <c r="A6939" s="11"/>
    </row>
    <row r="6940" spans="1:1" ht="15.75" x14ac:dyDescent="0.25">
      <c r="A6940" s="11"/>
    </row>
    <row r="6941" spans="1:1" ht="15.75" x14ac:dyDescent="0.25">
      <c r="A6941" s="11"/>
    </row>
    <row r="6942" spans="1:1" ht="15.75" x14ac:dyDescent="0.25">
      <c r="A6942" s="11"/>
    </row>
    <row r="6943" spans="1:1" ht="15.75" x14ac:dyDescent="0.25">
      <c r="A6943" s="11"/>
    </row>
    <row r="6944" spans="1:1" ht="15.75" x14ac:dyDescent="0.25">
      <c r="A6944" s="11"/>
    </row>
    <row r="6945" spans="1:1" ht="15.75" x14ac:dyDescent="0.25">
      <c r="A6945" s="11"/>
    </row>
    <row r="6946" spans="1:1" ht="15.75" x14ac:dyDescent="0.25">
      <c r="A6946" s="11"/>
    </row>
    <row r="6947" spans="1:1" ht="15.75" x14ac:dyDescent="0.25">
      <c r="A6947" s="11"/>
    </row>
    <row r="6948" spans="1:1" ht="15.75" x14ac:dyDescent="0.25">
      <c r="A6948" s="11"/>
    </row>
    <row r="6949" spans="1:1" ht="15.75" x14ac:dyDescent="0.25">
      <c r="A6949" s="11"/>
    </row>
    <row r="6950" spans="1:1" ht="15.75" x14ac:dyDescent="0.25">
      <c r="A6950" s="11"/>
    </row>
    <row r="6951" spans="1:1" ht="15.75" x14ac:dyDescent="0.25">
      <c r="A6951" s="11"/>
    </row>
    <row r="6952" spans="1:1" ht="15.75" x14ac:dyDescent="0.25">
      <c r="A6952" s="11"/>
    </row>
    <row r="6953" spans="1:1" ht="15.75" x14ac:dyDescent="0.25">
      <c r="A6953" s="11"/>
    </row>
    <row r="6954" spans="1:1" ht="15.75" x14ac:dyDescent="0.25">
      <c r="A6954" s="11"/>
    </row>
    <row r="6955" spans="1:1" ht="15.75" x14ac:dyDescent="0.25">
      <c r="A6955" s="11"/>
    </row>
    <row r="6956" spans="1:1" ht="15.75" x14ac:dyDescent="0.25">
      <c r="A6956" s="11"/>
    </row>
    <row r="6957" spans="1:1" ht="15.75" x14ac:dyDescent="0.25">
      <c r="A6957" s="11"/>
    </row>
    <row r="6958" spans="1:1" ht="15.75" x14ac:dyDescent="0.25">
      <c r="A6958" s="11"/>
    </row>
    <row r="6959" spans="1:1" ht="15.75" x14ac:dyDescent="0.25">
      <c r="A6959" s="11"/>
    </row>
    <row r="6960" spans="1:1" ht="15.75" x14ac:dyDescent="0.25">
      <c r="A6960" s="11"/>
    </row>
    <row r="6961" spans="1:1" ht="15.75" x14ac:dyDescent="0.25">
      <c r="A6961" s="11"/>
    </row>
    <row r="6962" spans="1:1" ht="15.75" x14ac:dyDescent="0.25">
      <c r="A6962" s="11"/>
    </row>
    <row r="6963" spans="1:1" ht="15.75" x14ac:dyDescent="0.25">
      <c r="A6963" s="11"/>
    </row>
    <row r="6964" spans="1:1" ht="15.75" x14ac:dyDescent="0.25">
      <c r="A6964" s="11"/>
    </row>
    <row r="6965" spans="1:1" ht="15.75" x14ac:dyDescent="0.25">
      <c r="A6965" s="11"/>
    </row>
    <row r="6966" spans="1:1" ht="15.75" x14ac:dyDescent="0.25">
      <c r="A6966" s="11"/>
    </row>
    <row r="6967" spans="1:1" ht="15.75" x14ac:dyDescent="0.25">
      <c r="A6967" s="11"/>
    </row>
    <row r="6968" spans="1:1" ht="15.75" x14ac:dyDescent="0.25">
      <c r="A6968" s="11"/>
    </row>
    <row r="6969" spans="1:1" ht="15.75" x14ac:dyDescent="0.25">
      <c r="A6969" s="11"/>
    </row>
    <row r="6970" spans="1:1" ht="15.75" x14ac:dyDescent="0.25">
      <c r="A6970" s="11"/>
    </row>
    <row r="6971" spans="1:1" ht="15.75" x14ac:dyDescent="0.25">
      <c r="A6971" s="11"/>
    </row>
    <row r="6972" spans="1:1" ht="15.75" x14ac:dyDescent="0.25">
      <c r="A6972" s="11"/>
    </row>
    <row r="6973" spans="1:1" ht="15.75" x14ac:dyDescent="0.25">
      <c r="A6973" s="11"/>
    </row>
    <row r="6974" spans="1:1" ht="15.75" x14ac:dyDescent="0.25">
      <c r="A6974" s="11"/>
    </row>
    <row r="6975" spans="1:1" ht="15.75" x14ac:dyDescent="0.25">
      <c r="A6975" s="11"/>
    </row>
    <row r="6976" spans="1:1" ht="15.75" x14ac:dyDescent="0.25">
      <c r="A6976" s="11"/>
    </row>
    <row r="6977" spans="1:1" ht="15.75" x14ac:dyDescent="0.25">
      <c r="A6977" s="11"/>
    </row>
    <row r="6978" spans="1:1" ht="15.75" x14ac:dyDescent="0.25">
      <c r="A6978" s="11"/>
    </row>
    <row r="6979" spans="1:1" ht="15.75" x14ac:dyDescent="0.25">
      <c r="A6979" s="11"/>
    </row>
    <row r="6980" spans="1:1" ht="15.75" x14ac:dyDescent="0.25">
      <c r="A6980" s="11"/>
    </row>
    <row r="6981" spans="1:1" ht="15.75" x14ac:dyDescent="0.25">
      <c r="A6981" s="11"/>
    </row>
    <row r="6982" spans="1:1" ht="15.75" x14ac:dyDescent="0.25">
      <c r="A6982" s="11"/>
    </row>
    <row r="6983" spans="1:1" ht="15.75" x14ac:dyDescent="0.25">
      <c r="A6983" s="11"/>
    </row>
    <row r="6984" spans="1:1" ht="15.75" x14ac:dyDescent="0.25">
      <c r="A6984" s="11"/>
    </row>
    <row r="6985" spans="1:1" ht="15.75" x14ac:dyDescent="0.25">
      <c r="A6985" s="11"/>
    </row>
    <row r="6986" spans="1:1" ht="15.75" x14ac:dyDescent="0.25">
      <c r="A6986" s="11"/>
    </row>
    <row r="6987" spans="1:1" ht="15.75" x14ac:dyDescent="0.25">
      <c r="A6987" s="11"/>
    </row>
    <row r="6988" spans="1:1" ht="15.75" x14ac:dyDescent="0.25">
      <c r="A6988" s="11"/>
    </row>
    <row r="6989" spans="1:1" ht="15.75" x14ac:dyDescent="0.25">
      <c r="A6989" s="11"/>
    </row>
    <row r="6990" spans="1:1" ht="15.75" x14ac:dyDescent="0.25">
      <c r="A6990" s="11"/>
    </row>
    <row r="6991" spans="1:1" ht="15.75" x14ac:dyDescent="0.25">
      <c r="A6991" s="11"/>
    </row>
    <row r="6992" spans="1:1" ht="15.75" x14ac:dyDescent="0.25">
      <c r="A6992" s="11"/>
    </row>
    <row r="6993" spans="1:1" ht="15.75" x14ac:dyDescent="0.25">
      <c r="A6993" s="11"/>
    </row>
    <row r="6994" spans="1:1" ht="15.75" x14ac:dyDescent="0.25">
      <c r="A6994" s="11"/>
    </row>
    <row r="6995" spans="1:1" ht="15.75" x14ac:dyDescent="0.25">
      <c r="A6995" s="11"/>
    </row>
    <row r="6996" spans="1:1" ht="15.75" x14ac:dyDescent="0.25">
      <c r="A6996" s="11"/>
    </row>
    <row r="6997" spans="1:1" ht="15.75" x14ac:dyDescent="0.25">
      <c r="A6997" s="11"/>
    </row>
    <row r="6998" spans="1:1" ht="15.75" x14ac:dyDescent="0.25">
      <c r="A6998" s="11"/>
    </row>
    <row r="6999" spans="1:1" ht="15.75" x14ac:dyDescent="0.25">
      <c r="A6999" s="11"/>
    </row>
    <row r="7000" spans="1:1" ht="15.75" x14ac:dyDescent="0.25">
      <c r="A7000" s="11"/>
    </row>
    <row r="7001" spans="1:1" ht="15.75" x14ac:dyDescent="0.25">
      <c r="A7001" s="11"/>
    </row>
    <row r="7002" spans="1:1" ht="15.75" x14ac:dyDescent="0.25">
      <c r="A7002" s="11"/>
    </row>
    <row r="7003" spans="1:1" ht="15.75" x14ac:dyDescent="0.25">
      <c r="A7003" s="11"/>
    </row>
    <row r="7004" spans="1:1" ht="15.75" x14ac:dyDescent="0.25">
      <c r="A7004" s="11"/>
    </row>
    <row r="7005" spans="1:1" ht="15.75" x14ac:dyDescent="0.25">
      <c r="A7005" s="11"/>
    </row>
    <row r="7006" spans="1:1" ht="15.75" x14ac:dyDescent="0.25">
      <c r="A7006" s="11"/>
    </row>
    <row r="7007" spans="1:1" ht="15.75" x14ac:dyDescent="0.25">
      <c r="A7007" s="11"/>
    </row>
    <row r="7008" spans="1:1" ht="15.75" x14ac:dyDescent="0.25">
      <c r="A7008" s="11"/>
    </row>
    <row r="7009" spans="1:1" ht="15.75" x14ac:dyDescent="0.25">
      <c r="A7009" s="11"/>
    </row>
    <row r="7010" spans="1:1" ht="15.75" x14ac:dyDescent="0.25">
      <c r="A7010" s="11"/>
    </row>
    <row r="7011" spans="1:1" ht="15.75" x14ac:dyDescent="0.25">
      <c r="A7011" s="11"/>
    </row>
    <row r="7012" spans="1:1" ht="15.75" x14ac:dyDescent="0.25">
      <c r="A7012" s="11"/>
    </row>
    <row r="7013" spans="1:1" ht="15.75" x14ac:dyDescent="0.25">
      <c r="A7013" s="11"/>
    </row>
    <row r="7014" spans="1:1" ht="15.75" x14ac:dyDescent="0.25">
      <c r="A7014" s="11"/>
    </row>
    <row r="7015" spans="1:1" ht="15.75" x14ac:dyDescent="0.25">
      <c r="A7015" s="11"/>
    </row>
    <row r="7016" spans="1:1" ht="15.75" x14ac:dyDescent="0.25">
      <c r="A7016" s="11"/>
    </row>
    <row r="7017" spans="1:1" ht="15.75" x14ac:dyDescent="0.25">
      <c r="A7017" s="11"/>
    </row>
    <row r="7018" spans="1:1" ht="15.75" x14ac:dyDescent="0.25">
      <c r="A7018" s="11"/>
    </row>
    <row r="7019" spans="1:1" ht="15.75" x14ac:dyDescent="0.25">
      <c r="A7019" s="11"/>
    </row>
    <row r="7020" spans="1:1" ht="15.75" x14ac:dyDescent="0.25">
      <c r="A7020" s="11"/>
    </row>
    <row r="7021" spans="1:1" ht="15.75" x14ac:dyDescent="0.25">
      <c r="A7021" s="11"/>
    </row>
    <row r="7022" spans="1:1" ht="15.75" x14ac:dyDescent="0.25">
      <c r="A7022" s="11"/>
    </row>
    <row r="7023" spans="1:1" ht="15.75" x14ac:dyDescent="0.25">
      <c r="A7023" s="11"/>
    </row>
    <row r="7024" spans="1:1" ht="15.75" x14ac:dyDescent="0.25">
      <c r="A7024" s="11"/>
    </row>
    <row r="7025" spans="1:1" ht="15.75" x14ac:dyDescent="0.25">
      <c r="A7025" s="11"/>
    </row>
    <row r="7026" spans="1:1" ht="15.75" x14ac:dyDescent="0.25">
      <c r="A7026" s="11"/>
    </row>
    <row r="7027" spans="1:1" ht="15.75" x14ac:dyDescent="0.25">
      <c r="A7027" s="11"/>
    </row>
    <row r="7028" spans="1:1" ht="15.75" x14ac:dyDescent="0.25">
      <c r="A7028" s="11"/>
    </row>
    <row r="7029" spans="1:1" ht="15.75" x14ac:dyDescent="0.25">
      <c r="A7029" s="11"/>
    </row>
    <row r="7030" spans="1:1" ht="15.75" x14ac:dyDescent="0.25">
      <c r="A7030" s="11"/>
    </row>
    <row r="7031" spans="1:1" ht="15.75" x14ac:dyDescent="0.25">
      <c r="A7031" s="11"/>
    </row>
    <row r="7032" spans="1:1" ht="15.75" x14ac:dyDescent="0.25">
      <c r="A7032" s="11"/>
    </row>
    <row r="7033" spans="1:1" ht="15.75" x14ac:dyDescent="0.25">
      <c r="A7033" s="11"/>
    </row>
    <row r="7034" spans="1:1" ht="15.75" x14ac:dyDescent="0.25">
      <c r="A7034" s="11"/>
    </row>
    <row r="7035" spans="1:1" ht="15.75" x14ac:dyDescent="0.25">
      <c r="A7035" s="11"/>
    </row>
    <row r="7036" spans="1:1" ht="15.75" x14ac:dyDescent="0.25">
      <c r="A7036" s="11"/>
    </row>
    <row r="7037" spans="1:1" ht="15.75" x14ac:dyDescent="0.25">
      <c r="A7037" s="11"/>
    </row>
    <row r="7038" spans="1:1" ht="15.75" x14ac:dyDescent="0.25">
      <c r="A7038" s="11"/>
    </row>
    <row r="7039" spans="1:1" ht="15.75" x14ac:dyDescent="0.25">
      <c r="A7039" s="11"/>
    </row>
    <row r="7040" spans="1:1" ht="15.75" x14ac:dyDescent="0.25">
      <c r="A7040" s="11"/>
    </row>
    <row r="7041" spans="1:1" ht="15.75" x14ac:dyDescent="0.25">
      <c r="A7041" s="11"/>
    </row>
    <row r="7042" spans="1:1" ht="15.75" x14ac:dyDescent="0.25">
      <c r="A7042" s="11"/>
    </row>
    <row r="7043" spans="1:1" ht="15.75" x14ac:dyDescent="0.25">
      <c r="A7043" s="11"/>
    </row>
    <row r="7044" spans="1:1" ht="15.75" x14ac:dyDescent="0.25">
      <c r="A7044" s="11"/>
    </row>
    <row r="7045" spans="1:1" ht="15.75" x14ac:dyDescent="0.25">
      <c r="A7045" s="11"/>
    </row>
    <row r="7046" spans="1:1" ht="15.75" x14ac:dyDescent="0.25">
      <c r="A7046" s="11"/>
    </row>
    <row r="7047" spans="1:1" ht="15.75" x14ac:dyDescent="0.25">
      <c r="A7047" s="11"/>
    </row>
    <row r="7048" spans="1:1" ht="15.75" x14ac:dyDescent="0.25">
      <c r="A7048" s="11"/>
    </row>
    <row r="7049" spans="1:1" ht="15.75" x14ac:dyDescent="0.25">
      <c r="A7049" s="11"/>
    </row>
    <row r="7050" spans="1:1" ht="15.75" x14ac:dyDescent="0.25">
      <c r="A7050" s="11"/>
    </row>
    <row r="7051" spans="1:1" ht="15.75" x14ac:dyDescent="0.25">
      <c r="A7051" s="11"/>
    </row>
    <row r="7052" spans="1:1" ht="15.75" x14ac:dyDescent="0.25">
      <c r="A7052" s="11"/>
    </row>
    <row r="7053" spans="1:1" ht="15.75" x14ac:dyDescent="0.25">
      <c r="A7053" s="11"/>
    </row>
    <row r="7054" spans="1:1" ht="15.75" x14ac:dyDescent="0.25">
      <c r="A7054" s="11"/>
    </row>
    <row r="7055" spans="1:1" ht="15.75" x14ac:dyDescent="0.25">
      <c r="A7055" s="11"/>
    </row>
    <row r="7056" spans="1:1" ht="15.75" x14ac:dyDescent="0.25">
      <c r="A7056" s="11"/>
    </row>
    <row r="7057" spans="1:1" ht="15.75" x14ac:dyDescent="0.25">
      <c r="A7057" s="11"/>
    </row>
    <row r="7058" spans="1:1" ht="15.75" x14ac:dyDescent="0.25">
      <c r="A7058" s="11"/>
    </row>
    <row r="7059" spans="1:1" ht="15.75" x14ac:dyDescent="0.25">
      <c r="A7059" s="11"/>
    </row>
    <row r="7060" spans="1:1" ht="15.75" x14ac:dyDescent="0.25">
      <c r="A7060" s="11"/>
    </row>
    <row r="7061" spans="1:1" ht="15.75" x14ac:dyDescent="0.25">
      <c r="A7061" s="11"/>
    </row>
    <row r="7062" spans="1:1" ht="15.75" x14ac:dyDescent="0.25">
      <c r="A7062" s="11"/>
    </row>
    <row r="7063" spans="1:1" ht="15.75" x14ac:dyDescent="0.25">
      <c r="A7063" s="11"/>
    </row>
    <row r="7064" spans="1:1" ht="15.75" x14ac:dyDescent="0.25">
      <c r="A7064" s="11"/>
    </row>
    <row r="7065" spans="1:1" ht="15.75" x14ac:dyDescent="0.25">
      <c r="A7065" s="11"/>
    </row>
    <row r="7066" spans="1:1" ht="15.75" x14ac:dyDescent="0.25">
      <c r="A7066" s="11"/>
    </row>
    <row r="7067" spans="1:1" ht="15.75" x14ac:dyDescent="0.25">
      <c r="A7067" s="11"/>
    </row>
    <row r="7068" spans="1:1" ht="15.75" x14ac:dyDescent="0.25">
      <c r="A7068" s="11"/>
    </row>
    <row r="7069" spans="1:1" ht="15.75" x14ac:dyDescent="0.25">
      <c r="A7069" s="11"/>
    </row>
    <row r="7070" spans="1:1" ht="15.75" x14ac:dyDescent="0.25">
      <c r="A7070" s="11"/>
    </row>
    <row r="7071" spans="1:1" ht="15.75" x14ac:dyDescent="0.25">
      <c r="A7071" s="11"/>
    </row>
    <row r="7072" spans="1:1" ht="15.75" x14ac:dyDescent="0.25">
      <c r="A7072" s="11"/>
    </row>
    <row r="7073" spans="1:1" ht="15.75" x14ac:dyDescent="0.25">
      <c r="A7073" s="11"/>
    </row>
    <row r="7074" spans="1:1" ht="15.75" x14ac:dyDescent="0.25">
      <c r="A7074" s="11"/>
    </row>
    <row r="7075" spans="1:1" ht="15.75" x14ac:dyDescent="0.25">
      <c r="A7075" s="11"/>
    </row>
    <row r="7076" spans="1:1" ht="15.75" x14ac:dyDescent="0.25">
      <c r="A7076" s="11"/>
    </row>
    <row r="7077" spans="1:1" ht="15.75" x14ac:dyDescent="0.25">
      <c r="A7077" s="11"/>
    </row>
    <row r="7078" spans="1:1" ht="15.75" x14ac:dyDescent="0.25">
      <c r="A7078" s="11"/>
    </row>
    <row r="7079" spans="1:1" ht="15.75" x14ac:dyDescent="0.25">
      <c r="A7079" s="11"/>
    </row>
    <row r="7080" spans="1:1" ht="15.75" x14ac:dyDescent="0.25">
      <c r="A7080" s="11"/>
    </row>
    <row r="7081" spans="1:1" ht="15.75" x14ac:dyDescent="0.25">
      <c r="A7081" s="11"/>
    </row>
    <row r="7082" spans="1:1" ht="15.75" x14ac:dyDescent="0.25">
      <c r="A7082" s="11"/>
    </row>
    <row r="7083" spans="1:1" ht="15.75" x14ac:dyDescent="0.25">
      <c r="A7083" s="11"/>
    </row>
    <row r="7084" spans="1:1" ht="15.75" x14ac:dyDescent="0.25">
      <c r="A7084" s="11"/>
    </row>
    <row r="7085" spans="1:1" ht="15.75" x14ac:dyDescent="0.25">
      <c r="A7085" s="11"/>
    </row>
    <row r="7086" spans="1:1" ht="15.75" x14ac:dyDescent="0.25">
      <c r="A7086" s="11"/>
    </row>
    <row r="7087" spans="1:1" ht="15.75" x14ac:dyDescent="0.25">
      <c r="A7087" s="11"/>
    </row>
    <row r="7088" spans="1:1" ht="15.75" x14ac:dyDescent="0.25">
      <c r="A7088" s="11"/>
    </row>
    <row r="7089" spans="1:1" ht="15.75" x14ac:dyDescent="0.25">
      <c r="A7089" s="11"/>
    </row>
    <row r="7090" spans="1:1" ht="15.75" x14ac:dyDescent="0.25">
      <c r="A7090" s="11"/>
    </row>
    <row r="7091" spans="1:1" ht="15.75" x14ac:dyDescent="0.25">
      <c r="A7091" s="11"/>
    </row>
    <row r="7092" spans="1:1" ht="15.75" x14ac:dyDescent="0.25">
      <c r="A7092" s="11"/>
    </row>
    <row r="7093" spans="1:1" ht="15.75" x14ac:dyDescent="0.25">
      <c r="A7093" s="11"/>
    </row>
    <row r="7094" spans="1:1" ht="15.75" x14ac:dyDescent="0.25">
      <c r="A7094" s="11"/>
    </row>
    <row r="7095" spans="1:1" ht="15.75" x14ac:dyDescent="0.25">
      <c r="A7095" s="11"/>
    </row>
    <row r="7096" spans="1:1" ht="15.75" x14ac:dyDescent="0.25">
      <c r="A7096" s="11"/>
    </row>
    <row r="7097" spans="1:1" ht="15.75" x14ac:dyDescent="0.25">
      <c r="A7097" s="11"/>
    </row>
    <row r="7098" spans="1:1" ht="15.75" x14ac:dyDescent="0.25">
      <c r="A7098" s="11"/>
    </row>
    <row r="7099" spans="1:1" ht="15.75" x14ac:dyDescent="0.25">
      <c r="A7099" s="11"/>
    </row>
    <row r="7100" spans="1:1" ht="15.75" x14ac:dyDescent="0.25">
      <c r="A7100" s="11"/>
    </row>
    <row r="7101" spans="1:1" ht="15.75" x14ac:dyDescent="0.25">
      <c r="A7101" s="11"/>
    </row>
    <row r="7102" spans="1:1" ht="15.75" x14ac:dyDescent="0.25">
      <c r="A7102" s="11"/>
    </row>
    <row r="7103" spans="1:1" ht="15.75" x14ac:dyDescent="0.25">
      <c r="A7103" s="11"/>
    </row>
    <row r="7104" spans="1:1" ht="15.75" x14ac:dyDescent="0.25">
      <c r="A7104" s="11"/>
    </row>
    <row r="7105" spans="1:1" ht="15.75" x14ac:dyDescent="0.25">
      <c r="A7105" s="11"/>
    </row>
    <row r="7106" spans="1:1" ht="15.75" x14ac:dyDescent="0.25">
      <c r="A7106" s="11"/>
    </row>
    <row r="7107" spans="1:1" ht="15.75" x14ac:dyDescent="0.25">
      <c r="A7107" s="11"/>
    </row>
    <row r="7108" spans="1:1" ht="15.75" x14ac:dyDescent="0.25">
      <c r="A7108" s="11"/>
    </row>
    <row r="7109" spans="1:1" ht="15.75" x14ac:dyDescent="0.25">
      <c r="A7109" s="11"/>
    </row>
    <row r="7110" spans="1:1" ht="15.75" x14ac:dyDescent="0.25">
      <c r="A7110" s="11"/>
    </row>
    <row r="7111" spans="1:1" ht="15.75" x14ac:dyDescent="0.25">
      <c r="A7111" s="11"/>
    </row>
    <row r="7112" spans="1:1" ht="15.75" x14ac:dyDescent="0.25">
      <c r="A7112" s="11"/>
    </row>
    <row r="7113" spans="1:1" ht="15.75" x14ac:dyDescent="0.25">
      <c r="A7113" s="11"/>
    </row>
    <row r="7114" spans="1:1" ht="15.75" x14ac:dyDescent="0.25">
      <c r="A7114" s="11"/>
    </row>
    <row r="7115" spans="1:1" ht="15.75" x14ac:dyDescent="0.25">
      <c r="A7115" s="11"/>
    </row>
    <row r="7116" spans="1:1" ht="15.75" x14ac:dyDescent="0.25">
      <c r="A7116" s="11"/>
    </row>
    <row r="7117" spans="1:1" ht="15.75" x14ac:dyDescent="0.25">
      <c r="A7117" s="11"/>
    </row>
    <row r="7118" spans="1:1" ht="15.75" x14ac:dyDescent="0.25">
      <c r="A7118" s="11"/>
    </row>
    <row r="7119" spans="1:1" ht="15.75" x14ac:dyDescent="0.25">
      <c r="A7119" s="11"/>
    </row>
    <row r="7120" spans="1:1" ht="15.75" x14ac:dyDescent="0.25">
      <c r="A7120" s="11"/>
    </row>
    <row r="7121" spans="1:1" ht="15.75" x14ac:dyDescent="0.25">
      <c r="A7121" s="11"/>
    </row>
    <row r="7122" spans="1:1" ht="15.75" x14ac:dyDescent="0.25">
      <c r="A7122" s="11"/>
    </row>
    <row r="7123" spans="1:1" ht="15.75" x14ac:dyDescent="0.25">
      <c r="A7123" s="11"/>
    </row>
    <row r="7124" spans="1:1" ht="15.75" x14ac:dyDescent="0.25">
      <c r="A7124" s="11"/>
    </row>
    <row r="7125" spans="1:1" ht="15.75" x14ac:dyDescent="0.25">
      <c r="A7125" s="11"/>
    </row>
    <row r="7126" spans="1:1" ht="15.75" x14ac:dyDescent="0.25">
      <c r="A7126" s="11"/>
    </row>
    <row r="7127" spans="1:1" ht="15.75" x14ac:dyDescent="0.25">
      <c r="A7127" s="11"/>
    </row>
    <row r="7128" spans="1:1" ht="15.75" x14ac:dyDescent="0.25">
      <c r="A7128" s="11"/>
    </row>
    <row r="7129" spans="1:1" ht="15.75" x14ac:dyDescent="0.25">
      <c r="A7129" s="11"/>
    </row>
    <row r="7130" spans="1:1" ht="15.75" x14ac:dyDescent="0.25">
      <c r="A7130" s="11"/>
    </row>
    <row r="7131" spans="1:1" ht="15.75" x14ac:dyDescent="0.25">
      <c r="A7131" s="11"/>
    </row>
    <row r="7132" spans="1:1" ht="15.75" x14ac:dyDescent="0.25">
      <c r="A7132" s="11"/>
    </row>
    <row r="7133" spans="1:1" ht="15.75" x14ac:dyDescent="0.25">
      <c r="A7133" s="11"/>
    </row>
    <row r="7134" spans="1:1" ht="15.75" x14ac:dyDescent="0.25">
      <c r="A7134" s="11"/>
    </row>
    <row r="7135" spans="1:1" ht="15.75" x14ac:dyDescent="0.25">
      <c r="A7135" s="11"/>
    </row>
    <row r="7136" spans="1:1" ht="15.75" x14ac:dyDescent="0.25">
      <c r="A7136" s="11"/>
    </row>
    <row r="7137" spans="1:1" ht="15.75" x14ac:dyDescent="0.25">
      <c r="A7137" s="11"/>
    </row>
    <row r="7138" spans="1:1" ht="15.75" x14ac:dyDescent="0.25">
      <c r="A7138" s="11"/>
    </row>
    <row r="7139" spans="1:1" ht="15.75" x14ac:dyDescent="0.25">
      <c r="A7139" s="11"/>
    </row>
    <row r="7140" spans="1:1" ht="15.75" x14ac:dyDescent="0.25">
      <c r="A7140" s="11"/>
    </row>
    <row r="7141" spans="1:1" ht="15.75" x14ac:dyDescent="0.25">
      <c r="A7141" s="11"/>
    </row>
    <row r="7142" spans="1:1" ht="15.75" x14ac:dyDescent="0.25">
      <c r="A7142" s="11"/>
    </row>
    <row r="7143" spans="1:1" ht="15.75" x14ac:dyDescent="0.25">
      <c r="A7143" s="11"/>
    </row>
    <row r="7144" spans="1:1" ht="15.75" x14ac:dyDescent="0.25">
      <c r="A7144" s="11"/>
    </row>
    <row r="7145" spans="1:1" ht="15.75" x14ac:dyDescent="0.25">
      <c r="A7145" s="11"/>
    </row>
    <row r="7146" spans="1:1" ht="15.75" x14ac:dyDescent="0.25">
      <c r="A7146" s="11"/>
    </row>
    <row r="7147" spans="1:1" ht="15.75" x14ac:dyDescent="0.25">
      <c r="A7147" s="11"/>
    </row>
    <row r="7148" spans="1:1" ht="15.75" x14ac:dyDescent="0.25">
      <c r="A7148" s="11"/>
    </row>
    <row r="7149" spans="1:1" ht="15.75" x14ac:dyDescent="0.25">
      <c r="A7149" s="11"/>
    </row>
    <row r="7150" spans="1:1" ht="15.75" x14ac:dyDescent="0.25">
      <c r="A7150" s="11"/>
    </row>
    <row r="7151" spans="1:1" ht="15.75" x14ac:dyDescent="0.25">
      <c r="A7151" s="11"/>
    </row>
    <row r="7152" spans="1:1" ht="15.75" x14ac:dyDescent="0.25">
      <c r="A7152" s="11"/>
    </row>
    <row r="7153" spans="1:1" ht="15.75" x14ac:dyDescent="0.25">
      <c r="A7153" s="11"/>
    </row>
    <row r="7154" spans="1:1" ht="15.75" x14ac:dyDescent="0.25">
      <c r="A7154" s="11"/>
    </row>
    <row r="7155" spans="1:1" ht="15.75" x14ac:dyDescent="0.25">
      <c r="A7155" s="11"/>
    </row>
    <row r="7156" spans="1:1" ht="15.75" x14ac:dyDescent="0.25">
      <c r="A7156" s="11"/>
    </row>
    <row r="7157" spans="1:1" ht="15.75" x14ac:dyDescent="0.25">
      <c r="A7157" s="11"/>
    </row>
    <row r="7158" spans="1:1" ht="15.75" x14ac:dyDescent="0.25">
      <c r="A7158" s="11"/>
    </row>
    <row r="7159" spans="1:1" ht="15.75" x14ac:dyDescent="0.25">
      <c r="A7159" s="11"/>
    </row>
    <row r="7160" spans="1:1" ht="15.75" x14ac:dyDescent="0.25">
      <c r="A7160" s="11"/>
    </row>
    <row r="7161" spans="1:1" ht="15.75" x14ac:dyDescent="0.25">
      <c r="A7161" s="11"/>
    </row>
    <row r="7162" spans="1:1" ht="15.75" x14ac:dyDescent="0.25">
      <c r="A7162" s="11"/>
    </row>
    <row r="7163" spans="1:1" ht="15.75" x14ac:dyDescent="0.25">
      <c r="A7163" s="11"/>
    </row>
    <row r="7164" spans="1:1" ht="15.75" x14ac:dyDescent="0.25">
      <c r="A7164" s="11"/>
    </row>
    <row r="7165" spans="1:1" ht="15.75" x14ac:dyDescent="0.25">
      <c r="A7165" s="11"/>
    </row>
    <row r="7166" spans="1:1" ht="15.75" x14ac:dyDescent="0.25">
      <c r="A7166" s="11"/>
    </row>
    <row r="7167" spans="1:1" ht="15.75" x14ac:dyDescent="0.25">
      <c r="A7167" s="11"/>
    </row>
    <row r="7168" spans="1:1" ht="15.75" x14ac:dyDescent="0.25">
      <c r="A7168" s="11"/>
    </row>
    <row r="7169" spans="1:1" ht="15.75" x14ac:dyDescent="0.25">
      <c r="A7169" s="11"/>
    </row>
    <row r="7170" spans="1:1" ht="15.75" x14ac:dyDescent="0.25">
      <c r="A7170" s="11"/>
    </row>
    <row r="7171" spans="1:1" ht="15.75" x14ac:dyDescent="0.25">
      <c r="A7171" s="11"/>
    </row>
    <row r="7172" spans="1:1" ht="15.75" x14ac:dyDescent="0.25">
      <c r="A7172" s="11"/>
    </row>
    <row r="7173" spans="1:1" ht="15.75" x14ac:dyDescent="0.25">
      <c r="A7173" s="11"/>
    </row>
    <row r="7174" spans="1:1" ht="15.75" x14ac:dyDescent="0.25">
      <c r="A7174" s="11"/>
    </row>
    <row r="7175" spans="1:1" ht="15.75" x14ac:dyDescent="0.25">
      <c r="A7175" s="11"/>
    </row>
    <row r="7176" spans="1:1" ht="15.75" x14ac:dyDescent="0.25">
      <c r="A7176" s="11"/>
    </row>
    <row r="7177" spans="1:1" ht="15.75" x14ac:dyDescent="0.25">
      <c r="A7177" s="11"/>
    </row>
    <row r="7178" spans="1:1" ht="15.75" x14ac:dyDescent="0.25">
      <c r="A7178" s="11"/>
    </row>
    <row r="7179" spans="1:1" ht="15.75" x14ac:dyDescent="0.25">
      <c r="A7179" s="11"/>
    </row>
    <row r="7180" spans="1:1" ht="15.75" x14ac:dyDescent="0.25">
      <c r="A7180" s="11"/>
    </row>
    <row r="7181" spans="1:1" ht="15.75" x14ac:dyDescent="0.25">
      <c r="A7181" s="11"/>
    </row>
    <row r="7182" spans="1:1" ht="15.75" x14ac:dyDescent="0.25">
      <c r="A7182" s="11"/>
    </row>
    <row r="7183" spans="1:1" ht="15.75" x14ac:dyDescent="0.25">
      <c r="A7183" s="11"/>
    </row>
    <row r="7184" spans="1:1" ht="15.75" x14ac:dyDescent="0.25">
      <c r="A7184" s="11"/>
    </row>
    <row r="7185" spans="1:1" ht="15.75" x14ac:dyDescent="0.25">
      <c r="A7185" s="11"/>
    </row>
    <row r="7186" spans="1:1" ht="15.75" x14ac:dyDescent="0.25">
      <c r="A7186" s="11"/>
    </row>
    <row r="7187" spans="1:1" ht="15.75" x14ac:dyDescent="0.25">
      <c r="A7187" s="11"/>
    </row>
    <row r="7188" spans="1:1" ht="15.75" x14ac:dyDescent="0.25">
      <c r="A7188" s="11"/>
    </row>
    <row r="7189" spans="1:1" ht="15.75" x14ac:dyDescent="0.25">
      <c r="A7189" s="11"/>
    </row>
    <row r="7190" spans="1:1" ht="15.75" x14ac:dyDescent="0.25">
      <c r="A7190" s="11"/>
    </row>
    <row r="7191" spans="1:1" ht="15.75" x14ac:dyDescent="0.25">
      <c r="A7191" s="11"/>
    </row>
    <row r="7192" spans="1:1" ht="15.75" x14ac:dyDescent="0.25">
      <c r="A7192" s="11"/>
    </row>
    <row r="7193" spans="1:1" ht="15.75" x14ac:dyDescent="0.25">
      <c r="A7193" s="11"/>
    </row>
    <row r="7194" spans="1:1" ht="15.75" x14ac:dyDescent="0.25">
      <c r="A7194" s="11"/>
    </row>
    <row r="7195" spans="1:1" ht="15.75" x14ac:dyDescent="0.25">
      <c r="A7195" s="11"/>
    </row>
    <row r="7196" spans="1:1" ht="15.75" x14ac:dyDescent="0.25">
      <c r="A7196" s="11"/>
    </row>
    <row r="7197" spans="1:1" ht="15.75" x14ac:dyDescent="0.25">
      <c r="A7197" s="11"/>
    </row>
    <row r="7198" spans="1:1" ht="15.75" x14ac:dyDescent="0.25">
      <c r="A7198" s="11"/>
    </row>
    <row r="7199" spans="1:1" ht="15.75" x14ac:dyDescent="0.25">
      <c r="A7199" s="11"/>
    </row>
    <row r="7200" spans="1:1" ht="15.75" x14ac:dyDescent="0.25">
      <c r="A7200" s="11"/>
    </row>
    <row r="7201" spans="1:1" ht="15.75" x14ac:dyDescent="0.25">
      <c r="A7201" s="11"/>
    </row>
    <row r="7202" spans="1:1" ht="15.75" x14ac:dyDescent="0.25">
      <c r="A7202" s="11"/>
    </row>
    <row r="7203" spans="1:1" ht="15.75" x14ac:dyDescent="0.25">
      <c r="A7203" s="11"/>
    </row>
    <row r="7204" spans="1:1" ht="15.75" x14ac:dyDescent="0.25">
      <c r="A7204" s="11"/>
    </row>
    <row r="7205" spans="1:1" ht="15.75" x14ac:dyDescent="0.25">
      <c r="A7205" s="11"/>
    </row>
    <row r="7206" spans="1:1" ht="15.75" x14ac:dyDescent="0.25">
      <c r="A7206" s="11"/>
    </row>
    <row r="7207" spans="1:1" ht="15.75" x14ac:dyDescent="0.25">
      <c r="A7207" s="11"/>
    </row>
    <row r="7208" spans="1:1" ht="15.75" x14ac:dyDescent="0.25">
      <c r="A7208" s="11"/>
    </row>
    <row r="7209" spans="1:1" ht="15.75" x14ac:dyDescent="0.25">
      <c r="A7209" s="11"/>
    </row>
    <row r="7210" spans="1:1" ht="15.75" x14ac:dyDescent="0.25">
      <c r="A7210" s="11"/>
    </row>
    <row r="7211" spans="1:1" ht="15.75" x14ac:dyDescent="0.25">
      <c r="A7211" s="11"/>
    </row>
    <row r="7212" spans="1:1" ht="15.75" x14ac:dyDescent="0.25">
      <c r="A7212" s="11"/>
    </row>
    <row r="7213" spans="1:1" ht="15.75" x14ac:dyDescent="0.25">
      <c r="A7213" s="11"/>
    </row>
    <row r="7214" spans="1:1" ht="15.75" x14ac:dyDescent="0.25">
      <c r="A7214" s="11"/>
    </row>
    <row r="7215" spans="1:1" ht="15.75" x14ac:dyDescent="0.25">
      <c r="A7215" s="11"/>
    </row>
    <row r="7216" spans="1:1" ht="15.75" x14ac:dyDescent="0.25">
      <c r="A7216" s="11"/>
    </row>
    <row r="7217" spans="1:1" ht="15.75" x14ac:dyDescent="0.25">
      <c r="A7217" s="11"/>
    </row>
    <row r="7218" spans="1:1" ht="15.75" x14ac:dyDescent="0.25">
      <c r="A7218" s="11"/>
    </row>
    <row r="7219" spans="1:1" ht="15.75" x14ac:dyDescent="0.25">
      <c r="A7219" s="11"/>
    </row>
    <row r="7220" spans="1:1" ht="15.75" x14ac:dyDescent="0.25">
      <c r="A7220" s="11"/>
    </row>
    <row r="7221" spans="1:1" ht="15.75" x14ac:dyDescent="0.25">
      <c r="A7221" s="11"/>
    </row>
    <row r="7222" spans="1:1" ht="15.75" x14ac:dyDescent="0.25">
      <c r="A7222" s="11"/>
    </row>
    <row r="7223" spans="1:1" ht="15.75" x14ac:dyDescent="0.25">
      <c r="A7223" s="11"/>
    </row>
    <row r="7224" spans="1:1" ht="15.75" x14ac:dyDescent="0.25">
      <c r="A7224" s="11"/>
    </row>
    <row r="7225" spans="1:1" ht="15.75" x14ac:dyDescent="0.25">
      <c r="A7225" s="11"/>
    </row>
    <row r="7226" spans="1:1" ht="15.75" x14ac:dyDescent="0.25">
      <c r="A7226" s="11"/>
    </row>
    <row r="7227" spans="1:1" ht="15.75" x14ac:dyDescent="0.25">
      <c r="A7227" s="11"/>
    </row>
    <row r="7228" spans="1:1" ht="15.75" x14ac:dyDescent="0.25">
      <c r="A7228" s="11"/>
    </row>
    <row r="7229" spans="1:1" ht="15.75" x14ac:dyDescent="0.25">
      <c r="A7229" s="11"/>
    </row>
    <row r="7230" spans="1:1" ht="15.75" x14ac:dyDescent="0.25">
      <c r="A7230" s="11"/>
    </row>
    <row r="7231" spans="1:1" ht="15.75" x14ac:dyDescent="0.25">
      <c r="A7231" s="11"/>
    </row>
    <row r="7232" spans="1:1" ht="15.75" x14ac:dyDescent="0.25">
      <c r="A7232" s="11"/>
    </row>
    <row r="7233" spans="1:1" ht="15.75" x14ac:dyDescent="0.25">
      <c r="A7233" s="11"/>
    </row>
    <row r="7234" spans="1:1" ht="15.75" x14ac:dyDescent="0.25">
      <c r="A7234" s="11"/>
    </row>
    <row r="7235" spans="1:1" ht="15.75" x14ac:dyDescent="0.25">
      <c r="A7235" s="11"/>
    </row>
    <row r="7236" spans="1:1" ht="15.75" x14ac:dyDescent="0.25">
      <c r="A7236" s="11"/>
    </row>
    <row r="7237" spans="1:1" ht="15.75" x14ac:dyDescent="0.25">
      <c r="A7237" s="11"/>
    </row>
    <row r="7238" spans="1:1" ht="15.75" x14ac:dyDescent="0.25">
      <c r="A7238" s="11"/>
    </row>
    <row r="7239" spans="1:1" ht="15.75" x14ac:dyDescent="0.25">
      <c r="A7239" s="11"/>
    </row>
    <row r="7240" spans="1:1" ht="15.75" x14ac:dyDescent="0.25">
      <c r="A7240" s="11"/>
    </row>
    <row r="7241" spans="1:1" ht="15.75" x14ac:dyDescent="0.25">
      <c r="A7241" s="11"/>
    </row>
    <row r="7242" spans="1:1" ht="15.75" x14ac:dyDescent="0.25">
      <c r="A7242" s="11"/>
    </row>
    <row r="7243" spans="1:1" ht="15.75" x14ac:dyDescent="0.25">
      <c r="A7243" s="11"/>
    </row>
    <row r="7244" spans="1:1" ht="15.75" x14ac:dyDescent="0.25">
      <c r="A7244" s="11"/>
    </row>
    <row r="7245" spans="1:1" ht="15.75" x14ac:dyDescent="0.25">
      <c r="A7245" s="11"/>
    </row>
    <row r="7246" spans="1:1" ht="15.75" x14ac:dyDescent="0.25">
      <c r="A7246" s="11"/>
    </row>
    <row r="7247" spans="1:1" ht="15.75" x14ac:dyDescent="0.25">
      <c r="A7247" s="11"/>
    </row>
    <row r="7248" spans="1:1" ht="15.75" x14ac:dyDescent="0.25">
      <c r="A7248" s="11"/>
    </row>
    <row r="7249" spans="1:1" ht="15.75" x14ac:dyDescent="0.25">
      <c r="A7249" s="11"/>
    </row>
    <row r="7250" spans="1:1" ht="15.75" x14ac:dyDescent="0.25">
      <c r="A7250" s="11"/>
    </row>
    <row r="7251" spans="1:1" ht="15.75" x14ac:dyDescent="0.25">
      <c r="A7251" s="11"/>
    </row>
    <row r="7252" spans="1:1" ht="15.75" x14ac:dyDescent="0.25">
      <c r="A7252" s="11"/>
    </row>
    <row r="7253" spans="1:1" ht="15.75" x14ac:dyDescent="0.25">
      <c r="A7253" s="11"/>
    </row>
    <row r="7254" spans="1:1" ht="15.75" x14ac:dyDescent="0.25">
      <c r="A7254" s="11"/>
    </row>
    <row r="7255" spans="1:1" ht="15.75" x14ac:dyDescent="0.25">
      <c r="A7255" s="11"/>
    </row>
    <row r="7256" spans="1:1" ht="15.75" x14ac:dyDescent="0.25">
      <c r="A7256" s="11"/>
    </row>
    <row r="7257" spans="1:1" ht="15.75" x14ac:dyDescent="0.25">
      <c r="A7257" s="11"/>
    </row>
    <row r="7258" spans="1:1" ht="15.75" x14ac:dyDescent="0.25">
      <c r="A7258" s="11"/>
    </row>
    <row r="7259" spans="1:1" ht="15.75" x14ac:dyDescent="0.25">
      <c r="A7259" s="11"/>
    </row>
    <row r="7260" spans="1:1" ht="15.75" x14ac:dyDescent="0.25">
      <c r="A7260" s="11"/>
    </row>
    <row r="7261" spans="1:1" ht="15.75" x14ac:dyDescent="0.25">
      <c r="A7261" s="11"/>
    </row>
    <row r="7262" spans="1:1" ht="15.75" x14ac:dyDescent="0.25">
      <c r="A7262" s="11"/>
    </row>
    <row r="7263" spans="1:1" ht="15.75" x14ac:dyDescent="0.25">
      <c r="A7263" s="11"/>
    </row>
    <row r="7264" spans="1:1" ht="15.75" x14ac:dyDescent="0.25">
      <c r="A7264" s="11"/>
    </row>
    <row r="7265" spans="1:1" ht="15.75" x14ac:dyDescent="0.25">
      <c r="A7265" s="11"/>
    </row>
    <row r="7266" spans="1:1" ht="15.75" x14ac:dyDescent="0.25">
      <c r="A7266" s="11"/>
    </row>
    <row r="7267" spans="1:1" ht="15.75" x14ac:dyDescent="0.25">
      <c r="A7267" s="11"/>
    </row>
    <row r="7268" spans="1:1" ht="15.75" x14ac:dyDescent="0.25">
      <c r="A7268" s="11"/>
    </row>
    <row r="7269" spans="1:1" ht="15.75" x14ac:dyDescent="0.25">
      <c r="A7269" s="11"/>
    </row>
    <row r="7270" spans="1:1" ht="15.75" x14ac:dyDescent="0.25">
      <c r="A7270" s="11"/>
    </row>
    <row r="7271" spans="1:1" ht="15.75" x14ac:dyDescent="0.25">
      <c r="A7271" s="11"/>
    </row>
    <row r="7272" spans="1:1" ht="15.75" x14ac:dyDescent="0.25">
      <c r="A7272" s="11"/>
    </row>
    <row r="7273" spans="1:1" ht="15.75" x14ac:dyDescent="0.25">
      <c r="A7273" s="11"/>
    </row>
    <row r="7274" spans="1:1" ht="15.75" x14ac:dyDescent="0.25">
      <c r="A7274" s="11"/>
    </row>
    <row r="7275" spans="1:1" ht="15.75" x14ac:dyDescent="0.25">
      <c r="A7275" s="11"/>
    </row>
    <row r="7276" spans="1:1" ht="15.75" x14ac:dyDescent="0.25">
      <c r="A7276" s="11"/>
    </row>
    <row r="7277" spans="1:1" ht="15.75" x14ac:dyDescent="0.25">
      <c r="A7277" s="11"/>
    </row>
    <row r="7278" spans="1:1" ht="15.75" x14ac:dyDescent="0.25">
      <c r="A7278" s="11"/>
    </row>
    <row r="7279" spans="1:1" ht="15.75" x14ac:dyDescent="0.25">
      <c r="A7279" s="11"/>
    </row>
    <row r="7280" spans="1:1" ht="15.75" x14ac:dyDescent="0.25">
      <c r="A7280" s="11"/>
    </row>
    <row r="7281" spans="1:1" ht="15.75" x14ac:dyDescent="0.25">
      <c r="A7281" s="11"/>
    </row>
    <row r="7282" spans="1:1" ht="15.75" x14ac:dyDescent="0.25">
      <c r="A7282" s="11"/>
    </row>
    <row r="7283" spans="1:1" ht="15.75" x14ac:dyDescent="0.25">
      <c r="A7283" s="11"/>
    </row>
    <row r="7284" spans="1:1" ht="15.75" x14ac:dyDescent="0.25">
      <c r="A7284" s="11"/>
    </row>
    <row r="7285" spans="1:1" ht="15.75" x14ac:dyDescent="0.25">
      <c r="A7285" s="11"/>
    </row>
    <row r="7286" spans="1:1" ht="15.75" x14ac:dyDescent="0.25">
      <c r="A7286" s="11"/>
    </row>
    <row r="7287" spans="1:1" ht="15.75" x14ac:dyDescent="0.25">
      <c r="A7287" s="11"/>
    </row>
    <row r="7288" spans="1:1" ht="15.75" x14ac:dyDescent="0.25">
      <c r="A7288" s="11"/>
    </row>
    <row r="7289" spans="1:1" ht="15.75" x14ac:dyDescent="0.25">
      <c r="A7289" s="11"/>
    </row>
    <row r="7290" spans="1:1" ht="15.75" x14ac:dyDescent="0.25">
      <c r="A7290" s="11"/>
    </row>
    <row r="7291" spans="1:1" ht="15.75" x14ac:dyDescent="0.25">
      <c r="A7291" s="11"/>
    </row>
    <row r="7292" spans="1:1" ht="15.75" x14ac:dyDescent="0.25">
      <c r="A7292" s="11"/>
    </row>
    <row r="7293" spans="1:1" ht="15.75" x14ac:dyDescent="0.25">
      <c r="A7293" s="11"/>
    </row>
    <row r="7294" spans="1:1" ht="15.75" x14ac:dyDescent="0.25">
      <c r="A7294" s="11"/>
    </row>
    <row r="7295" spans="1:1" ht="15.75" x14ac:dyDescent="0.25">
      <c r="A7295" s="11"/>
    </row>
    <row r="7296" spans="1:1" ht="15.75" x14ac:dyDescent="0.25">
      <c r="A7296" s="11"/>
    </row>
    <row r="7297" spans="1:1" ht="15.75" x14ac:dyDescent="0.25">
      <c r="A7297" s="11"/>
    </row>
    <row r="7298" spans="1:1" ht="15.75" x14ac:dyDescent="0.25">
      <c r="A7298" s="11"/>
    </row>
    <row r="7299" spans="1:1" ht="15.75" x14ac:dyDescent="0.25">
      <c r="A7299" s="11"/>
    </row>
    <row r="7300" spans="1:1" ht="15.75" x14ac:dyDescent="0.25">
      <c r="A7300" s="11"/>
    </row>
    <row r="7301" spans="1:1" ht="15.75" x14ac:dyDescent="0.25">
      <c r="A7301" s="11"/>
    </row>
    <row r="7302" spans="1:1" ht="15.75" x14ac:dyDescent="0.25">
      <c r="A7302" s="11"/>
    </row>
    <row r="7303" spans="1:1" ht="15.75" x14ac:dyDescent="0.25">
      <c r="A7303" s="11"/>
    </row>
    <row r="7304" spans="1:1" ht="15.75" x14ac:dyDescent="0.25">
      <c r="A7304" s="11"/>
    </row>
    <row r="7305" spans="1:1" ht="15.75" x14ac:dyDescent="0.25">
      <c r="A7305" s="11"/>
    </row>
    <row r="7306" spans="1:1" ht="15.75" x14ac:dyDescent="0.25">
      <c r="A7306" s="11"/>
    </row>
    <row r="7307" spans="1:1" ht="15.75" x14ac:dyDescent="0.25">
      <c r="A7307" s="11"/>
    </row>
    <row r="7308" spans="1:1" ht="15.75" x14ac:dyDescent="0.25">
      <c r="A7308" s="11"/>
    </row>
    <row r="7309" spans="1:1" ht="15.75" x14ac:dyDescent="0.25">
      <c r="A7309" s="11"/>
    </row>
    <row r="7310" spans="1:1" ht="15.75" x14ac:dyDescent="0.25">
      <c r="A7310" s="11"/>
    </row>
    <row r="7311" spans="1:1" ht="15.75" x14ac:dyDescent="0.25">
      <c r="A7311" s="11"/>
    </row>
    <row r="7312" spans="1:1" ht="15.75" x14ac:dyDescent="0.25">
      <c r="A7312" s="11"/>
    </row>
    <row r="7313" spans="1:1" ht="15.75" x14ac:dyDescent="0.25">
      <c r="A7313" s="11"/>
    </row>
    <row r="7314" spans="1:1" ht="15.75" x14ac:dyDescent="0.25">
      <c r="A7314" s="11"/>
    </row>
    <row r="7315" spans="1:1" ht="15.75" x14ac:dyDescent="0.25">
      <c r="A7315" s="11"/>
    </row>
    <row r="7316" spans="1:1" ht="15.75" x14ac:dyDescent="0.25">
      <c r="A7316" s="11"/>
    </row>
    <row r="7317" spans="1:1" ht="15.75" x14ac:dyDescent="0.25">
      <c r="A7317" s="11"/>
    </row>
    <row r="7318" spans="1:1" ht="15.75" x14ac:dyDescent="0.25">
      <c r="A7318" s="11"/>
    </row>
    <row r="7319" spans="1:1" ht="15.75" x14ac:dyDescent="0.25">
      <c r="A7319" s="11"/>
    </row>
    <row r="7320" spans="1:1" ht="15.75" x14ac:dyDescent="0.25">
      <c r="A7320" s="11"/>
    </row>
    <row r="7321" spans="1:1" ht="15.75" x14ac:dyDescent="0.25">
      <c r="A7321" s="11"/>
    </row>
    <row r="7322" spans="1:1" ht="15.75" x14ac:dyDescent="0.25">
      <c r="A7322" s="11"/>
    </row>
    <row r="7323" spans="1:1" ht="15.75" x14ac:dyDescent="0.25">
      <c r="A7323" s="11"/>
    </row>
    <row r="7324" spans="1:1" ht="15.75" x14ac:dyDescent="0.25">
      <c r="A7324" s="11"/>
    </row>
    <row r="7325" spans="1:1" ht="15.75" x14ac:dyDescent="0.25">
      <c r="A7325" s="11"/>
    </row>
    <row r="7326" spans="1:1" ht="15.75" x14ac:dyDescent="0.25">
      <c r="A7326" s="11"/>
    </row>
    <row r="7327" spans="1:1" ht="15.75" x14ac:dyDescent="0.25">
      <c r="A7327" s="11"/>
    </row>
    <row r="7328" spans="1:1" ht="15.75" x14ac:dyDescent="0.25">
      <c r="A7328" s="11"/>
    </row>
    <row r="7329" spans="1:1" ht="15.75" x14ac:dyDescent="0.25">
      <c r="A7329" s="11"/>
    </row>
    <row r="7330" spans="1:1" ht="15.75" x14ac:dyDescent="0.25">
      <c r="A7330" s="11"/>
    </row>
    <row r="7331" spans="1:1" ht="15.75" x14ac:dyDescent="0.25">
      <c r="A7331" s="11"/>
    </row>
    <row r="7332" spans="1:1" ht="15.75" x14ac:dyDescent="0.25">
      <c r="A7332" s="11"/>
    </row>
    <row r="7333" spans="1:1" ht="15.75" x14ac:dyDescent="0.25">
      <c r="A7333" s="11"/>
    </row>
    <row r="7334" spans="1:1" ht="15.75" x14ac:dyDescent="0.25">
      <c r="A7334" s="11"/>
    </row>
    <row r="7335" spans="1:1" ht="15.75" x14ac:dyDescent="0.25">
      <c r="A7335" s="11"/>
    </row>
    <row r="7336" spans="1:1" ht="15.75" x14ac:dyDescent="0.25">
      <c r="A7336" s="11"/>
    </row>
    <row r="7337" spans="1:1" ht="15.75" x14ac:dyDescent="0.25">
      <c r="A7337" s="11"/>
    </row>
    <row r="7338" spans="1:1" ht="15.75" x14ac:dyDescent="0.25">
      <c r="A7338" s="11"/>
    </row>
    <row r="7339" spans="1:1" ht="15.75" x14ac:dyDescent="0.25">
      <c r="A7339" s="11"/>
    </row>
    <row r="7340" spans="1:1" ht="15.75" x14ac:dyDescent="0.25">
      <c r="A7340" s="11"/>
    </row>
    <row r="7341" spans="1:1" ht="15.75" x14ac:dyDescent="0.25">
      <c r="A7341" s="11"/>
    </row>
    <row r="7342" spans="1:1" ht="15.75" x14ac:dyDescent="0.25">
      <c r="A7342" s="11"/>
    </row>
    <row r="7343" spans="1:1" ht="15.75" x14ac:dyDescent="0.25">
      <c r="A7343" s="11"/>
    </row>
    <row r="7344" spans="1:1" ht="15.75" x14ac:dyDescent="0.25">
      <c r="A7344" s="11"/>
    </row>
    <row r="7345" spans="1:1" ht="15.75" x14ac:dyDescent="0.25">
      <c r="A7345" s="11"/>
    </row>
    <row r="7346" spans="1:1" ht="15.75" x14ac:dyDescent="0.25">
      <c r="A7346" s="11"/>
    </row>
    <row r="7347" spans="1:1" ht="15.75" x14ac:dyDescent="0.25">
      <c r="A7347" s="11"/>
    </row>
    <row r="7348" spans="1:1" ht="15.75" x14ac:dyDescent="0.25">
      <c r="A7348" s="11"/>
    </row>
    <row r="7349" spans="1:1" ht="15.75" x14ac:dyDescent="0.25">
      <c r="A7349" s="11"/>
    </row>
    <row r="7350" spans="1:1" ht="15.75" x14ac:dyDescent="0.25">
      <c r="A7350" s="11"/>
    </row>
    <row r="7351" spans="1:1" ht="15.75" x14ac:dyDescent="0.25">
      <c r="A7351" s="11"/>
    </row>
    <row r="7352" spans="1:1" ht="15.75" x14ac:dyDescent="0.25">
      <c r="A7352" s="11"/>
    </row>
    <row r="7353" spans="1:1" ht="15.75" x14ac:dyDescent="0.25">
      <c r="A7353" s="11"/>
    </row>
    <row r="7354" spans="1:1" ht="15.75" x14ac:dyDescent="0.25">
      <c r="A7354" s="11"/>
    </row>
    <row r="7355" spans="1:1" ht="15.75" x14ac:dyDescent="0.25">
      <c r="A7355" s="11"/>
    </row>
    <row r="7356" spans="1:1" ht="15.75" x14ac:dyDescent="0.25">
      <c r="A7356" s="11"/>
    </row>
    <row r="7357" spans="1:1" ht="15.75" x14ac:dyDescent="0.25">
      <c r="A7357" s="11"/>
    </row>
    <row r="7358" spans="1:1" ht="15.75" x14ac:dyDescent="0.25">
      <c r="A7358" s="11"/>
    </row>
    <row r="7359" spans="1:1" ht="15.75" x14ac:dyDescent="0.25">
      <c r="A7359" s="11"/>
    </row>
    <row r="7360" spans="1:1" ht="15.75" x14ac:dyDescent="0.25">
      <c r="A7360" s="11"/>
    </row>
    <row r="7361" spans="1:1" ht="15.75" x14ac:dyDescent="0.25">
      <c r="A7361" s="11"/>
    </row>
    <row r="7362" spans="1:1" ht="15.75" x14ac:dyDescent="0.25">
      <c r="A7362" s="11"/>
    </row>
    <row r="7363" spans="1:1" ht="15.75" x14ac:dyDescent="0.25">
      <c r="A7363" s="11"/>
    </row>
    <row r="7364" spans="1:1" ht="15.75" x14ac:dyDescent="0.25">
      <c r="A7364" s="11"/>
    </row>
    <row r="7365" spans="1:1" ht="15.75" x14ac:dyDescent="0.25">
      <c r="A7365" s="11"/>
    </row>
    <row r="7366" spans="1:1" ht="15.75" x14ac:dyDescent="0.25">
      <c r="A7366" s="11"/>
    </row>
    <row r="7367" spans="1:1" ht="15.75" x14ac:dyDescent="0.25">
      <c r="A7367" s="11"/>
    </row>
    <row r="7368" spans="1:1" ht="15.75" x14ac:dyDescent="0.25">
      <c r="A7368" s="11"/>
    </row>
    <row r="7369" spans="1:1" ht="15.75" x14ac:dyDescent="0.25">
      <c r="A7369" s="11"/>
    </row>
    <row r="7370" spans="1:1" ht="15.75" x14ac:dyDescent="0.25">
      <c r="A7370" s="11"/>
    </row>
    <row r="7371" spans="1:1" ht="15.75" x14ac:dyDescent="0.25">
      <c r="A7371" s="11"/>
    </row>
    <row r="7372" spans="1:1" ht="15.75" x14ac:dyDescent="0.25">
      <c r="A7372" s="11"/>
    </row>
    <row r="7373" spans="1:1" ht="15.75" x14ac:dyDescent="0.25">
      <c r="A7373" s="11"/>
    </row>
    <row r="7374" spans="1:1" ht="15.75" x14ac:dyDescent="0.25">
      <c r="A7374" s="11"/>
    </row>
    <row r="7375" spans="1:1" ht="15.75" x14ac:dyDescent="0.25">
      <c r="A7375" s="11"/>
    </row>
    <row r="7376" spans="1:1" ht="15.75" x14ac:dyDescent="0.25">
      <c r="A7376" s="11"/>
    </row>
    <row r="7377" spans="1:1" ht="15.75" x14ac:dyDescent="0.25">
      <c r="A7377" s="11"/>
    </row>
    <row r="7378" spans="1:1" ht="15.75" x14ac:dyDescent="0.25">
      <c r="A7378" s="11"/>
    </row>
    <row r="7379" spans="1:1" ht="15.75" x14ac:dyDescent="0.25">
      <c r="A7379" s="11"/>
    </row>
    <row r="7380" spans="1:1" ht="15.75" x14ac:dyDescent="0.25">
      <c r="A7380" s="11"/>
    </row>
    <row r="7381" spans="1:1" ht="15.75" x14ac:dyDescent="0.25">
      <c r="A7381" s="11"/>
    </row>
    <row r="7382" spans="1:1" ht="15.75" x14ac:dyDescent="0.25">
      <c r="A7382" s="11"/>
    </row>
    <row r="7383" spans="1:1" ht="15.75" x14ac:dyDescent="0.25">
      <c r="A7383" s="11"/>
    </row>
    <row r="7384" spans="1:1" ht="15.75" x14ac:dyDescent="0.25">
      <c r="A7384" s="11"/>
    </row>
    <row r="7385" spans="1:1" ht="15.75" x14ac:dyDescent="0.25">
      <c r="A7385" s="11"/>
    </row>
    <row r="7386" spans="1:1" ht="15.75" x14ac:dyDescent="0.25">
      <c r="A7386" s="11"/>
    </row>
    <row r="7387" spans="1:1" ht="15.75" x14ac:dyDescent="0.25">
      <c r="A7387" s="11"/>
    </row>
    <row r="7388" spans="1:1" ht="15.75" x14ac:dyDescent="0.25">
      <c r="A7388" s="11"/>
    </row>
    <row r="7389" spans="1:1" ht="15.75" x14ac:dyDescent="0.25">
      <c r="A7389" s="11"/>
    </row>
    <row r="7390" spans="1:1" ht="15.75" x14ac:dyDescent="0.25">
      <c r="A7390" s="11"/>
    </row>
    <row r="7391" spans="1:1" ht="15.75" x14ac:dyDescent="0.25">
      <c r="A7391" s="11"/>
    </row>
    <row r="7392" spans="1:1" ht="15.75" x14ac:dyDescent="0.25">
      <c r="A7392" s="11"/>
    </row>
    <row r="7393" spans="1:1" ht="15.75" x14ac:dyDescent="0.25">
      <c r="A7393" s="11"/>
    </row>
    <row r="7394" spans="1:1" ht="15.75" x14ac:dyDescent="0.25">
      <c r="A7394" s="11"/>
    </row>
    <row r="7395" spans="1:1" ht="15.75" x14ac:dyDescent="0.25">
      <c r="A7395" s="11"/>
    </row>
    <row r="7396" spans="1:1" ht="15.75" x14ac:dyDescent="0.25">
      <c r="A7396" s="11"/>
    </row>
    <row r="7397" spans="1:1" ht="15.75" x14ac:dyDescent="0.25">
      <c r="A7397" s="11"/>
    </row>
    <row r="7398" spans="1:1" ht="15.75" x14ac:dyDescent="0.25">
      <c r="A7398" s="11"/>
    </row>
    <row r="7399" spans="1:1" ht="15.75" x14ac:dyDescent="0.25">
      <c r="A7399" s="11"/>
    </row>
    <row r="7400" spans="1:1" ht="15.75" x14ac:dyDescent="0.25">
      <c r="A7400" s="11"/>
    </row>
    <row r="7401" spans="1:1" ht="15.75" x14ac:dyDescent="0.25">
      <c r="A7401" s="11"/>
    </row>
    <row r="7402" spans="1:1" ht="15.75" x14ac:dyDescent="0.25">
      <c r="A7402" s="11"/>
    </row>
    <row r="7403" spans="1:1" ht="15.75" x14ac:dyDescent="0.25">
      <c r="A7403" s="11"/>
    </row>
    <row r="7404" spans="1:1" ht="15.75" x14ac:dyDescent="0.25">
      <c r="A7404" s="11"/>
    </row>
    <row r="7405" spans="1:1" ht="15.75" x14ac:dyDescent="0.25">
      <c r="A7405" s="11"/>
    </row>
    <row r="7406" spans="1:1" ht="15.75" x14ac:dyDescent="0.25">
      <c r="A7406" s="11"/>
    </row>
    <row r="7407" spans="1:1" ht="15.75" x14ac:dyDescent="0.25">
      <c r="A7407" s="11"/>
    </row>
    <row r="7408" spans="1:1" ht="15.75" x14ac:dyDescent="0.25">
      <c r="A7408" s="11"/>
    </row>
    <row r="7409" spans="1:1" ht="15.75" x14ac:dyDescent="0.25">
      <c r="A7409" s="11"/>
    </row>
    <row r="7410" spans="1:1" ht="15.75" x14ac:dyDescent="0.25">
      <c r="A7410" s="11"/>
    </row>
    <row r="7411" spans="1:1" ht="15.75" x14ac:dyDescent="0.25">
      <c r="A7411" s="11"/>
    </row>
    <row r="7412" spans="1:1" ht="15.75" x14ac:dyDescent="0.25">
      <c r="A7412" s="11"/>
    </row>
    <row r="7413" spans="1:1" ht="15.75" x14ac:dyDescent="0.25">
      <c r="A7413" s="11"/>
    </row>
    <row r="7414" spans="1:1" ht="15.75" x14ac:dyDescent="0.25">
      <c r="A7414" s="11"/>
    </row>
    <row r="7415" spans="1:1" ht="15.75" x14ac:dyDescent="0.25">
      <c r="A7415" s="11"/>
    </row>
    <row r="7416" spans="1:1" ht="15.75" x14ac:dyDescent="0.25">
      <c r="A7416" s="11"/>
    </row>
    <row r="7417" spans="1:1" ht="15.75" x14ac:dyDescent="0.25">
      <c r="A7417" s="11"/>
    </row>
    <row r="7418" spans="1:1" ht="15.75" x14ac:dyDescent="0.25">
      <c r="A7418" s="11"/>
    </row>
    <row r="7419" spans="1:1" ht="15.75" x14ac:dyDescent="0.25">
      <c r="A7419" s="11"/>
    </row>
    <row r="7420" spans="1:1" ht="15.75" x14ac:dyDescent="0.25">
      <c r="A7420" s="11"/>
    </row>
    <row r="7421" spans="1:1" ht="15.75" x14ac:dyDescent="0.25">
      <c r="A7421" s="11"/>
    </row>
    <row r="7422" spans="1:1" ht="15.75" x14ac:dyDescent="0.25">
      <c r="A7422" s="11"/>
    </row>
    <row r="7423" spans="1:1" ht="15.75" x14ac:dyDescent="0.25">
      <c r="A7423" s="11"/>
    </row>
    <row r="7424" spans="1:1" ht="15.75" x14ac:dyDescent="0.25">
      <c r="A7424" s="11"/>
    </row>
    <row r="7425" spans="1:1" ht="15.75" x14ac:dyDescent="0.25">
      <c r="A7425" s="11"/>
    </row>
    <row r="7426" spans="1:1" ht="15.75" x14ac:dyDescent="0.25">
      <c r="A7426" s="11"/>
    </row>
    <row r="7427" spans="1:1" ht="15.75" x14ac:dyDescent="0.25">
      <c r="A7427" s="11"/>
    </row>
    <row r="7428" spans="1:1" ht="15.75" x14ac:dyDescent="0.25">
      <c r="A7428" s="11"/>
    </row>
    <row r="7429" spans="1:1" ht="15.75" x14ac:dyDescent="0.25">
      <c r="A7429" s="11"/>
    </row>
    <row r="7430" spans="1:1" ht="15.75" x14ac:dyDescent="0.25">
      <c r="A7430" s="11"/>
    </row>
    <row r="7431" spans="1:1" ht="15.75" x14ac:dyDescent="0.25">
      <c r="A7431" s="11"/>
    </row>
    <row r="7432" spans="1:1" ht="15.75" x14ac:dyDescent="0.25">
      <c r="A7432" s="11"/>
    </row>
    <row r="7433" spans="1:1" ht="15.75" x14ac:dyDescent="0.25">
      <c r="A7433" s="11"/>
    </row>
    <row r="7434" spans="1:1" ht="15.75" x14ac:dyDescent="0.25">
      <c r="A7434" s="11"/>
    </row>
    <row r="7435" spans="1:1" ht="15.75" x14ac:dyDescent="0.25">
      <c r="A7435" s="11"/>
    </row>
    <row r="7436" spans="1:1" ht="15.75" x14ac:dyDescent="0.25">
      <c r="A7436" s="11"/>
    </row>
    <row r="7437" spans="1:1" ht="15.75" x14ac:dyDescent="0.25">
      <c r="A7437" s="11"/>
    </row>
    <row r="7438" spans="1:1" ht="15.75" x14ac:dyDescent="0.25">
      <c r="A7438" s="11"/>
    </row>
    <row r="7439" spans="1:1" ht="15.75" x14ac:dyDescent="0.25">
      <c r="A7439" s="11"/>
    </row>
    <row r="7440" spans="1:1" ht="15.75" x14ac:dyDescent="0.25">
      <c r="A7440" s="11"/>
    </row>
    <row r="7441" spans="1:1" ht="15.75" x14ac:dyDescent="0.25">
      <c r="A7441" s="11"/>
    </row>
    <row r="7442" spans="1:1" ht="15.75" x14ac:dyDescent="0.25">
      <c r="A7442" s="11"/>
    </row>
    <row r="7443" spans="1:1" ht="15.75" x14ac:dyDescent="0.25">
      <c r="A7443" s="11"/>
    </row>
    <row r="7444" spans="1:1" ht="15.75" x14ac:dyDescent="0.25">
      <c r="A7444" s="11"/>
    </row>
    <row r="7445" spans="1:1" ht="15.75" x14ac:dyDescent="0.25">
      <c r="A7445" s="11"/>
    </row>
    <row r="7446" spans="1:1" ht="15.75" x14ac:dyDescent="0.25">
      <c r="A7446" s="11"/>
    </row>
    <row r="7447" spans="1:1" ht="15.75" x14ac:dyDescent="0.25">
      <c r="A7447" s="11"/>
    </row>
    <row r="7448" spans="1:1" ht="15.75" x14ac:dyDescent="0.25">
      <c r="A7448" s="11"/>
    </row>
    <row r="7449" spans="1:1" ht="15.75" x14ac:dyDescent="0.25">
      <c r="A7449" s="11"/>
    </row>
    <row r="7450" spans="1:1" ht="15.75" x14ac:dyDescent="0.25">
      <c r="A7450" s="11"/>
    </row>
    <row r="7451" spans="1:1" ht="15.75" x14ac:dyDescent="0.25">
      <c r="A7451" s="11"/>
    </row>
    <row r="7452" spans="1:1" ht="15.75" x14ac:dyDescent="0.25">
      <c r="A7452" s="11"/>
    </row>
    <row r="7453" spans="1:1" ht="15.75" x14ac:dyDescent="0.25">
      <c r="A7453" s="11"/>
    </row>
    <row r="7454" spans="1:1" ht="15.75" x14ac:dyDescent="0.25">
      <c r="A7454" s="11"/>
    </row>
    <row r="7455" spans="1:1" ht="15.75" x14ac:dyDescent="0.25">
      <c r="A7455" s="11"/>
    </row>
    <row r="7456" spans="1:1" ht="15.75" x14ac:dyDescent="0.25">
      <c r="A7456" s="11"/>
    </row>
    <row r="7457" spans="1:1" ht="15.75" x14ac:dyDescent="0.25">
      <c r="A7457" s="11"/>
    </row>
    <row r="7458" spans="1:1" ht="15.75" x14ac:dyDescent="0.25">
      <c r="A7458" s="11"/>
    </row>
    <row r="7459" spans="1:1" ht="15.75" x14ac:dyDescent="0.25">
      <c r="A7459" s="11"/>
    </row>
    <row r="7460" spans="1:1" ht="15.75" x14ac:dyDescent="0.25">
      <c r="A7460" s="11"/>
    </row>
    <row r="7461" spans="1:1" ht="15.75" x14ac:dyDescent="0.25">
      <c r="A7461" s="11"/>
    </row>
    <row r="7462" spans="1:1" ht="15.75" x14ac:dyDescent="0.25">
      <c r="A7462" s="11"/>
    </row>
    <row r="7463" spans="1:1" ht="15.75" x14ac:dyDescent="0.25">
      <c r="A7463" s="11"/>
    </row>
    <row r="7464" spans="1:1" ht="15.75" x14ac:dyDescent="0.25">
      <c r="A7464" s="11"/>
    </row>
    <row r="7465" spans="1:1" ht="15.75" x14ac:dyDescent="0.25">
      <c r="A7465" s="11"/>
    </row>
    <row r="7466" spans="1:1" ht="15.75" x14ac:dyDescent="0.25">
      <c r="A7466" s="11"/>
    </row>
    <row r="7467" spans="1:1" ht="15.75" x14ac:dyDescent="0.25">
      <c r="A7467" s="11"/>
    </row>
    <row r="7468" spans="1:1" ht="15.75" x14ac:dyDescent="0.25">
      <c r="A7468" s="11"/>
    </row>
    <row r="7469" spans="1:1" ht="15.75" x14ac:dyDescent="0.25">
      <c r="A7469" s="11"/>
    </row>
    <row r="7470" spans="1:1" ht="15.75" x14ac:dyDescent="0.25">
      <c r="A7470" s="11"/>
    </row>
    <row r="7471" spans="1:1" ht="15.75" x14ac:dyDescent="0.25">
      <c r="A7471" s="11"/>
    </row>
    <row r="7472" spans="1:1" ht="15.75" x14ac:dyDescent="0.25">
      <c r="A7472" s="11"/>
    </row>
    <row r="7473" spans="1:1" ht="15.75" x14ac:dyDescent="0.25">
      <c r="A7473" s="11"/>
    </row>
    <row r="7474" spans="1:1" ht="15.75" x14ac:dyDescent="0.25">
      <c r="A7474" s="11"/>
    </row>
    <row r="7475" spans="1:1" ht="15.75" x14ac:dyDescent="0.25">
      <c r="A7475" s="11"/>
    </row>
    <row r="7476" spans="1:1" ht="15.75" x14ac:dyDescent="0.25">
      <c r="A7476" s="11"/>
    </row>
    <row r="7477" spans="1:1" ht="15.75" x14ac:dyDescent="0.25">
      <c r="A7477" s="11"/>
    </row>
    <row r="7478" spans="1:1" ht="15.75" x14ac:dyDescent="0.25">
      <c r="A7478" s="11"/>
    </row>
    <row r="7479" spans="1:1" ht="15.75" x14ac:dyDescent="0.25">
      <c r="A7479" s="11"/>
    </row>
    <row r="7480" spans="1:1" ht="15.75" x14ac:dyDescent="0.25">
      <c r="A7480" s="11"/>
    </row>
    <row r="7481" spans="1:1" ht="15.75" x14ac:dyDescent="0.25">
      <c r="A7481" s="11"/>
    </row>
    <row r="7482" spans="1:1" ht="15.75" x14ac:dyDescent="0.25">
      <c r="A7482" s="11"/>
    </row>
    <row r="7483" spans="1:1" ht="15.75" x14ac:dyDescent="0.25">
      <c r="A7483" s="11"/>
    </row>
    <row r="7484" spans="1:1" ht="15.75" x14ac:dyDescent="0.25">
      <c r="A7484" s="11"/>
    </row>
    <row r="7485" spans="1:1" ht="15.75" x14ac:dyDescent="0.25">
      <c r="A7485" s="11"/>
    </row>
    <row r="7486" spans="1:1" ht="15.75" x14ac:dyDescent="0.25">
      <c r="A7486" s="11"/>
    </row>
    <row r="7487" spans="1:1" ht="15.75" x14ac:dyDescent="0.25">
      <c r="A7487" s="11"/>
    </row>
    <row r="7488" spans="1:1" ht="15.75" x14ac:dyDescent="0.25">
      <c r="A7488" s="11"/>
    </row>
    <row r="7489" spans="1:1" ht="15.75" x14ac:dyDescent="0.25">
      <c r="A7489" s="11"/>
    </row>
    <row r="7490" spans="1:1" ht="15.75" x14ac:dyDescent="0.25">
      <c r="A7490" s="11"/>
    </row>
    <row r="7491" spans="1:1" ht="15.75" x14ac:dyDescent="0.25">
      <c r="A7491" s="11"/>
    </row>
    <row r="7492" spans="1:1" ht="15.75" x14ac:dyDescent="0.25">
      <c r="A7492" s="11"/>
    </row>
    <row r="7493" spans="1:1" ht="15.75" x14ac:dyDescent="0.25">
      <c r="A7493" s="11"/>
    </row>
    <row r="7494" spans="1:1" ht="15.75" x14ac:dyDescent="0.25">
      <c r="A7494" s="11"/>
    </row>
    <row r="7495" spans="1:1" ht="15.75" x14ac:dyDescent="0.25">
      <c r="A7495" s="11"/>
    </row>
    <row r="7496" spans="1:1" ht="15.75" x14ac:dyDescent="0.25">
      <c r="A7496" s="11"/>
    </row>
    <row r="7497" spans="1:1" ht="15.75" x14ac:dyDescent="0.25">
      <c r="A7497" s="11"/>
    </row>
    <row r="7498" spans="1:1" ht="15.75" x14ac:dyDescent="0.25">
      <c r="A7498" s="11"/>
    </row>
    <row r="7499" spans="1:1" ht="15.75" x14ac:dyDescent="0.25">
      <c r="A7499" s="11"/>
    </row>
    <row r="7500" spans="1:1" ht="15.75" x14ac:dyDescent="0.25">
      <c r="A7500" s="11"/>
    </row>
    <row r="7501" spans="1:1" ht="15.75" x14ac:dyDescent="0.25">
      <c r="A7501" s="11"/>
    </row>
    <row r="7502" spans="1:1" ht="15.75" x14ac:dyDescent="0.25">
      <c r="A7502" s="11"/>
    </row>
    <row r="7503" spans="1:1" ht="15.75" x14ac:dyDescent="0.25">
      <c r="A7503" s="11"/>
    </row>
    <row r="7504" spans="1:1" ht="15.75" x14ac:dyDescent="0.25">
      <c r="A7504" s="11"/>
    </row>
    <row r="7505" spans="1:1" ht="15.75" x14ac:dyDescent="0.25">
      <c r="A7505" s="11"/>
    </row>
    <row r="7506" spans="1:1" ht="15.75" x14ac:dyDescent="0.25">
      <c r="A7506" s="11"/>
    </row>
    <row r="7507" spans="1:1" ht="15.75" x14ac:dyDescent="0.25">
      <c r="A7507" s="11"/>
    </row>
    <row r="7508" spans="1:1" ht="15.75" x14ac:dyDescent="0.25">
      <c r="A7508" s="11"/>
    </row>
    <row r="7509" spans="1:1" ht="15.75" x14ac:dyDescent="0.25">
      <c r="A7509" s="11"/>
    </row>
    <row r="7510" spans="1:1" ht="15.75" x14ac:dyDescent="0.25">
      <c r="A7510" s="11"/>
    </row>
    <row r="7511" spans="1:1" ht="15.75" x14ac:dyDescent="0.25">
      <c r="A7511" s="11"/>
    </row>
    <row r="7512" spans="1:1" ht="15.75" x14ac:dyDescent="0.25">
      <c r="A7512" s="11"/>
    </row>
    <row r="7513" spans="1:1" ht="15.75" x14ac:dyDescent="0.25">
      <c r="A7513" s="11"/>
    </row>
    <row r="7514" spans="1:1" ht="15.75" x14ac:dyDescent="0.25">
      <c r="A7514" s="11"/>
    </row>
    <row r="7515" spans="1:1" ht="15.75" x14ac:dyDescent="0.25">
      <c r="A7515" s="11"/>
    </row>
    <row r="7516" spans="1:1" ht="15.75" x14ac:dyDescent="0.25">
      <c r="A7516" s="11"/>
    </row>
    <row r="7517" spans="1:1" ht="15.75" x14ac:dyDescent="0.25">
      <c r="A7517" s="11"/>
    </row>
    <row r="7518" spans="1:1" ht="15.75" x14ac:dyDescent="0.25">
      <c r="A7518" s="11"/>
    </row>
    <row r="7519" spans="1:1" ht="15.75" x14ac:dyDescent="0.25">
      <c r="A7519" s="11"/>
    </row>
    <row r="7520" spans="1:1" ht="15.75" x14ac:dyDescent="0.25">
      <c r="A7520" s="11"/>
    </row>
    <row r="7521" spans="1:1" ht="15.75" x14ac:dyDescent="0.25">
      <c r="A7521" s="11"/>
    </row>
    <row r="7522" spans="1:1" ht="15.75" x14ac:dyDescent="0.25">
      <c r="A7522" s="11"/>
    </row>
    <row r="7523" spans="1:1" ht="15.75" x14ac:dyDescent="0.25">
      <c r="A7523" s="11"/>
    </row>
    <row r="7524" spans="1:1" ht="15.75" x14ac:dyDescent="0.25">
      <c r="A7524" s="11"/>
    </row>
    <row r="7525" spans="1:1" ht="15.75" x14ac:dyDescent="0.25">
      <c r="A7525" s="11"/>
    </row>
    <row r="7526" spans="1:1" ht="15.75" x14ac:dyDescent="0.25">
      <c r="A7526" s="11"/>
    </row>
    <row r="7527" spans="1:1" ht="15.75" x14ac:dyDescent="0.25">
      <c r="A7527" s="11"/>
    </row>
    <row r="7528" spans="1:1" ht="15.75" x14ac:dyDescent="0.25">
      <c r="A7528" s="11"/>
    </row>
    <row r="7529" spans="1:1" ht="15.75" x14ac:dyDescent="0.25">
      <c r="A7529" s="11"/>
    </row>
    <row r="7530" spans="1:1" ht="15.75" x14ac:dyDescent="0.25">
      <c r="A7530" s="11"/>
    </row>
    <row r="7531" spans="1:1" ht="15.75" x14ac:dyDescent="0.25">
      <c r="A7531" s="11"/>
    </row>
    <row r="7532" spans="1:1" ht="15.75" x14ac:dyDescent="0.25">
      <c r="A7532" s="11"/>
    </row>
    <row r="7533" spans="1:1" ht="15.75" x14ac:dyDescent="0.25">
      <c r="A7533" s="11"/>
    </row>
    <row r="7534" spans="1:1" ht="15.75" x14ac:dyDescent="0.25">
      <c r="A7534" s="11"/>
    </row>
    <row r="7535" spans="1:1" ht="15.75" x14ac:dyDescent="0.25">
      <c r="A7535" s="11"/>
    </row>
    <row r="7536" spans="1:1" ht="15.75" x14ac:dyDescent="0.25">
      <c r="A7536" s="11"/>
    </row>
    <row r="7537" spans="1:1" ht="15.75" x14ac:dyDescent="0.25">
      <c r="A7537" s="11"/>
    </row>
    <row r="7538" spans="1:1" ht="15.75" x14ac:dyDescent="0.25">
      <c r="A7538" s="11"/>
    </row>
    <row r="7539" spans="1:1" ht="15.75" x14ac:dyDescent="0.25">
      <c r="A7539" s="11"/>
    </row>
    <row r="7540" spans="1:1" ht="15.75" x14ac:dyDescent="0.25">
      <c r="A7540" s="11"/>
    </row>
    <row r="7541" spans="1:1" ht="15.75" x14ac:dyDescent="0.25">
      <c r="A7541" s="11"/>
    </row>
    <row r="7542" spans="1:1" ht="15.75" x14ac:dyDescent="0.25">
      <c r="A7542" s="11"/>
    </row>
    <row r="7543" spans="1:1" ht="15.75" x14ac:dyDescent="0.25">
      <c r="A7543" s="11"/>
    </row>
    <row r="7544" spans="1:1" ht="15.75" x14ac:dyDescent="0.25">
      <c r="A7544" s="11"/>
    </row>
    <row r="7545" spans="1:1" ht="15.75" x14ac:dyDescent="0.25">
      <c r="A7545" s="11"/>
    </row>
    <row r="7546" spans="1:1" ht="15.75" x14ac:dyDescent="0.25">
      <c r="A7546" s="11"/>
    </row>
    <row r="7547" spans="1:1" ht="15.75" x14ac:dyDescent="0.25">
      <c r="A7547" s="11"/>
    </row>
    <row r="7548" spans="1:1" ht="15.75" x14ac:dyDescent="0.25">
      <c r="A7548" s="11"/>
    </row>
    <row r="7549" spans="1:1" ht="15.75" x14ac:dyDescent="0.25">
      <c r="A7549" s="11"/>
    </row>
    <row r="7550" spans="1:1" ht="15.75" x14ac:dyDescent="0.25">
      <c r="A7550" s="11"/>
    </row>
    <row r="7551" spans="1:1" ht="15.75" x14ac:dyDescent="0.25">
      <c r="A7551" s="11"/>
    </row>
    <row r="7552" spans="1:1" ht="15.75" x14ac:dyDescent="0.25">
      <c r="A7552" s="11"/>
    </row>
    <row r="7553" spans="1:1" ht="15.75" x14ac:dyDescent="0.25">
      <c r="A7553" s="11"/>
    </row>
    <row r="7554" spans="1:1" ht="15.75" x14ac:dyDescent="0.25">
      <c r="A7554" s="11"/>
    </row>
    <row r="7555" spans="1:1" ht="15.75" x14ac:dyDescent="0.25">
      <c r="A7555" s="11"/>
    </row>
    <row r="7556" spans="1:1" ht="15.75" x14ac:dyDescent="0.25">
      <c r="A7556" s="11"/>
    </row>
    <row r="7557" spans="1:1" ht="15.75" x14ac:dyDescent="0.25">
      <c r="A7557" s="11"/>
    </row>
    <row r="7558" spans="1:1" ht="15.75" x14ac:dyDescent="0.25">
      <c r="A7558" s="11"/>
    </row>
    <row r="7559" spans="1:1" ht="15.75" x14ac:dyDescent="0.25">
      <c r="A7559" s="11"/>
    </row>
    <row r="7560" spans="1:1" ht="15.75" x14ac:dyDescent="0.25">
      <c r="A7560" s="11"/>
    </row>
    <row r="7561" spans="1:1" ht="15.75" x14ac:dyDescent="0.25">
      <c r="A7561" s="11"/>
    </row>
    <row r="7562" spans="1:1" ht="15.75" x14ac:dyDescent="0.25">
      <c r="A7562" s="11"/>
    </row>
    <row r="7563" spans="1:1" ht="15.75" x14ac:dyDescent="0.25">
      <c r="A7563" s="11"/>
    </row>
    <row r="7564" spans="1:1" ht="15.75" x14ac:dyDescent="0.25">
      <c r="A7564" s="11"/>
    </row>
    <row r="7565" spans="1:1" ht="15.75" x14ac:dyDescent="0.25">
      <c r="A7565" s="11"/>
    </row>
    <row r="7566" spans="1:1" ht="15.75" x14ac:dyDescent="0.25">
      <c r="A7566" s="11"/>
    </row>
    <row r="7567" spans="1:1" ht="15.75" x14ac:dyDescent="0.25">
      <c r="A7567" s="11"/>
    </row>
    <row r="7568" spans="1:1" ht="15.75" x14ac:dyDescent="0.25">
      <c r="A7568" s="11"/>
    </row>
    <row r="7569" spans="1:1" ht="15.75" x14ac:dyDescent="0.25">
      <c r="A7569" s="11"/>
    </row>
    <row r="7570" spans="1:1" ht="15.75" x14ac:dyDescent="0.25">
      <c r="A7570" s="11"/>
    </row>
    <row r="7571" spans="1:1" ht="15.75" x14ac:dyDescent="0.25">
      <c r="A7571" s="11"/>
    </row>
    <row r="7572" spans="1:1" ht="15.75" x14ac:dyDescent="0.25">
      <c r="A7572" s="11"/>
    </row>
    <row r="7573" spans="1:1" ht="15.75" x14ac:dyDescent="0.25">
      <c r="A7573" s="11"/>
    </row>
    <row r="7574" spans="1:1" ht="15.75" x14ac:dyDescent="0.25">
      <c r="A7574" s="11"/>
    </row>
    <row r="7575" spans="1:1" ht="15.75" x14ac:dyDescent="0.25">
      <c r="A7575" s="11"/>
    </row>
    <row r="7576" spans="1:1" ht="15.75" x14ac:dyDescent="0.25">
      <c r="A7576" s="11"/>
    </row>
    <row r="7577" spans="1:1" ht="15.75" x14ac:dyDescent="0.25">
      <c r="A7577" s="11"/>
    </row>
    <row r="7578" spans="1:1" ht="15.75" x14ac:dyDescent="0.25">
      <c r="A7578" s="11"/>
    </row>
    <row r="7579" spans="1:1" ht="15.75" x14ac:dyDescent="0.25">
      <c r="A7579" s="11"/>
    </row>
    <row r="7580" spans="1:1" ht="15.75" x14ac:dyDescent="0.25">
      <c r="A7580" s="11"/>
    </row>
    <row r="7581" spans="1:1" ht="15.75" x14ac:dyDescent="0.25">
      <c r="A7581" s="11"/>
    </row>
    <row r="7582" spans="1:1" ht="15.75" x14ac:dyDescent="0.25">
      <c r="A7582" s="11"/>
    </row>
    <row r="7583" spans="1:1" ht="15.75" x14ac:dyDescent="0.25">
      <c r="A7583" s="11"/>
    </row>
    <row r="7584" spans="1:1" ht="15.75" x14ac:dyDescent="0.25">
      <c r="A7584" s="11"/>
    </row>
    <row r="7585" spans="1:1" ht="15.75" x14ac:dyDescent="0.25">
      <c r="A7585" s="11"/>
    </row>
    <row r="7586" spans="1:1" ht="15.75" x14ac:dyDescent="0.25">
      <c r="A7586" s="11"/>
    </row>
    <row r="7587" spans="1:1" ht="15.75" x14ac:dyDescent="0.25">
      <c r="A7587" s="11"/>
    </row>
    <row r="7588" spans="1:1" ht="15.75" x14ac:dyDescent="0.25">
      <c r="A7588" s="11"/>
    </row>
    <row r="7589" spans="1:1" ht="15.75" x14ac:dyDescent="0.25">
      <c r="A7589" s="11"/>
    </row>
    <row r="7590" spans="1:1" ht="15.75" x14ac:dyDescent="0.25">
      <c r="A7590" s="11"/>
    </row>
    <row r="7591" spans="1:1" ht="15.75" x14ac:dyDescent="0.25">
      <c r="A7591" s="11"/>
    </row>
    <row r="7592" spans="1:1" ht="15.75" x14ac:dyDescent="0.25">
      <c r="A7592" s="11"/>
    </row>
    <row r="7593" spans="1:1" ht="15.75" x14ac:dyDescent="0.25">
      <c r="A7593" s="11"/>
    </row>
    <row r="7594" spans="1:1" ht="15.75" x14ac:dyDescent="0.25">
      <c r="A7594" s="11"/>
    </row>
    <row r="7595" spans="1:1" ht="15.75" x14ac:dyDescent="0.25">
      <c r="A7595" s="11"/>
    </row>
    <row r="7596" spans="1:1" ht="15.75" x14ac:dyDescent="0.25">
      <c r="A7596" s="11"/>
    </row>
    <row r="7597" spans="1:1" ht="15.75" x14ac:dyDescent="0.25">
      <c r="A7597" s="11"/>
    </row>
    <row r="7598" spans="1:1" ht="15.75" x14ac:dyDescent="0.25">
      <c r="A7598" s="11"/>
    </row>
    <row r="7599" spans="1:1" ht="15.75" x14ac:dyDescent="0.25">
      <c r="A7599" s="11"/>
    </row>
    <row r="7600" spans="1:1" ht="15.75" x14ac:dyDescent="0.25">
      <c r="A7600" s="11"/>
    </row>
    <row r="7601" spans="1:1" ht="15.75" x14ac:dyDescent="0.25">
      <c r="A7601" s="11"/>
    </row>
    <row r="7602" spans="1:1" ht="15.75" x14ac:dyDescent="0.25">
      <c r="A7602" s="11"/>
    </row>
    <row r="7603" spans="1:1" ht="15.75" x14ac:dyDescent="0.25">
      <c r="A7603" s="11"/>
    </row>
    <row r="7604" spans="1:1" ht="15.75" x14ac:dyDescent="0.25">
      <c r="A7604" s="11"/>
    </row>
    <row r="7605" spans="1:1" ht="15.75" x14ac:dyDescent="0.25">
      <c r="A7605" s="11"/>
    </row>
    <row r="7606" spans="1:1" ht="15.75" x14ac:dyDescent="0.25">
      <c r="A7606" s="11"/>
    </row>
    <row r="7607" spans="1:1" ht="15.75" x14ac:dyDescent="0.25">
      <c r="A7607" s="11"/>
    </row>
    <row r="7608" spans="1:1" ht="15.75" x14ac:dyDescent="0.25">
      <c r="A7608" s="11"/>
    </row>
    <row r="7609" spans="1:1" ht="15.75" x14ac:dyDescent="0.25">
      <c r="A7609" s="11"/>
    </row>
    <row r="7610" spans="1:1" ht="15.75" x14ac:dyDescent="0.25">
      <c r="A7610" s="11"/>
    </row>
    <row r="7611" spans="1:1" ht="15.75" x14ac:dyDescent="0.25">
      <c r="A7611" s="11"/>
    </row>
    <row r="7612" spans="1:1" ht="15.75" x14ac:dyDescent="0.25">
      <c r="A7612" s="11"/>
    </row>
    <row r="7613" spans="1:1" ht="15.75" x14ac:dyDescent="0.25">
      <c r="A7613" s="11"/>
    </row>
    <row r="7614" spans="1:1" ht="15.75" x14ac:dyDescent="0.25">
      <c r="A7614" s="11"/>
    </row>
    <row r="7615" spans="1:1" ht="15.75" x14ac:dyDescent="0.25">
      <c r="A7615" s="11"/>
    </row>
    <row r="7616" spans="1:1" ht="15.75" x14ac:dyDescent="0.25">
      <c r="A7616" s="11"/>
    </row>
    <row r="7617" spans="1:1" ht="15.75" x14ac:dyDescent="0.25">
      <c r="A7617" s="11"/>
    </row>
    <row r="7618" spans="1:1" ht="15.75" x14ac:dyDescent="0.25">
      <c r="A7618" s="11"/>
    </row>
    <row r="7619" spans="1:1" ht="15.75" x14ac:dyDescent="0.25">
      <c r="A7619" s="11"/>
    </row>
    <row r="7620" spans="1:1" ht="15.75" x14ac:dyDescent="0.25">
      <c r="A7620" s="11"/>
    </row>
    <row r="7621" spans="1:1" ht="15.75" x14ac:dyDescent="0.25">
      <c r="A7621" s="11"/>
    </row>
    <row r="7622" spans="1:1" ht="15.75" x14ac:dyDescent="0.25">
      <c r="A7622" s="11"/>
    </row>
    <row r="7623" spans="1:1" ht="15.75" x14ac:dyDescent="0.25">
      <c r="A7623" s="11"/>
    </row>
    <row r="7624" spans="1:1" ht="15.75" x14ac:dyDescent="0.25">
      <c r="A7624" s="11"/>
    </row>
    <row r="7625" spans="1:1" ht="15.75" x14ac:dyDescent="0.25">
      <c r="A7625" s="11"/>
    </row>
    <row r="7626" spans="1:1" ht="15.75" x14ac:dyDescent="0.25">
      <c r="A7626" s="11"/>
    </row>
    <row r="7627" spans="1:1" ht="15.75" x14ac:dyDescent="0.25">
      <c r="A7627" s="11"/>
    </row>
    <row r="7628" spans="1:1" ht="15.75" x14ac:dyDescent="0.25">
      <c r="A7628" s="11"/>
    </row>
    <row r="7629" spans="1:1" ht="15.75" x14ac:dyDescent="0.25">
      <c r="A7629" s="11"/>
    </row>
    <row r="7630" spans="1:1" ht="15.75" x14ac:dyDescent="0.25">
      <c r="A7630" s="11"/>
    </row>
    <row r="7631" spans="1:1" ht="15.75" x14ac:dyDescent="0.25">
      <c r="A7631" s="11"/>
    </row>
    <row r="7632" spans="1:1" ht="15.75" x14ac:dyDescent="0.25">
      <c r="A7632" s="11"/>
    </row>
    <row r="7633" spans="1:1" ht="15.75" x14ac:dyDescent="0.25">
      <c r="A7633" s="11"/>
    </row>
    <row r="7634" spans="1:1" ht="15.75" x14ac:dyDescent="0.25">
      <c r="A7634" s="11"/>
    </row>
    <row r="7635" spans="1:1" ht="15.75" x14ac:dyDescent="0.25">
      <c r="A7635" s="11"/>
    </row>
    <row r="7636" spans="1:1" ht="15.75" x14ac:dyDescent="0.25">
      <c r="A7636" s="11"/>
    </row>
    <row r="7637" spans="1:1" ht="15.75" x14ac:dyDescent="0.25">
      <c r="A7637" s="11"/>
    </row>
    <row r="7638" spans="1:1" ht="15.75" x14ac:dyDescent="0.25">
      <c r="A7638" s="11"/>
    </row>
    <row r="7639" spans="1:1" ht="15.75" x14ac:dyDescent="0.25">
      <c r="A7639" s="11"/>
    </row>
    <row r="7640" spans="1:1" ht="15.75" x14ac:dyDescent="0.25">
      <c r="A7640" s="11"/>
    </row>
    <row r="7641" spans="1:1" ht="15.75" x14ac:dyDescent="0.25">
      <c r="A7641" s="11"/>
    </row>
    <row r="7642" spans="1:1" ht="15.75" x14ac:dyDescent="0.25">
      <c r="A7642" s="11"/>
    </row>
    <row r="7643" spans="1:1" ht="15.75" x14ac:dyDescent="0.25">
      <c r="A7643" s="11"/>
    </row>
    <row r="7644" spans="1:1" ht="15.75" x14ac:dyDescent="0.25">
      <c r="A7644" s="11"/>
    </row>
    <row r="7645" spans="1:1" ht="15.75" x14ac:dyDescent="0.25">
      <c r="A7645" s="11"/>
    </row>
    <row r="7646" spans="1:1" ht="15.75" x14ac:dyDescent="0.25">
      <c r="A7646" s="11"/>
    </row>
    <row r="7647" spans="1:1" ht="15.75" x14ac:dyDescent="0.25">
      <c r="A7647" s="11"/>
    </row>
    <row r="7648" spans="1:1" ht="15.75" x14ac:dyDescent="0.25">
      <c r="A7648" s="11"/>
    </row>
    <row r="7649" spans="1:1" ht="15.75" x14ac:dyDescent="0.25">
      <c r="A7649" s="11"/>
    </row>
    <row r="7650" spans="1:1" ht="15.75" x14ac:dyDescent="0.25">
      <c r="A7650" s="11"/>
    </row>
    <row r="7651" spans="1:1" ht="15.75" x14ac:dyDescent="0.25">
      <c r="A7651" s="11"/>
    </row>
    <row r="7652" spans="1:1" ht="15.75" x14ac:dyDescent="0.25">
      <c r="A7652" s="11"/>
    </row>
    <row r="7653" spans="1:1" ht="15.75" x14ac:dyDescent="0.25">
      <c r="A7653" s="11"/>
    </row>
    <row r="7654" spans="1:1" ht="15.75" x14ac:dyDescent="0.25">
      <c r="A7654" s="11"/>
    </row>
    <row r="7655" spans="1:1" ht="15.75" x14ac:dyDescent="0.25">
      <c r="A7655" s="11"/>
    </row>
    <row r="7656" spans="1:1" ht="15.75" x14ac:dyDescent="0.25">
      <c r="A7656" s="11"/>
    </row>
    <row r="7657" spans="1:1" ht="15.75" x14ac:dyDescent="0.25">
      <c r="A7657" s="11"/>
    </row>
    <row r="7658" spans="1:1" ht="15.75" x14ac:dyDescent="0.25">
      <c r="A7658" s="11"/>
    </row>
    <row r="7659" spans="1:1" ht="15.75" x14ac:dyDescent="0.25">
      <c r="A7659" s="11"/>
    </row>
    <row r="7660" spans="1:1" ht="15.75" x14ac:dyDescent="0.25">
      <c r="A7660" s="11"/>
    </row>
    <row r="7661" spans="1:1" ht="15.75" x14ac:dyDescent="0.25">
      <c r="A7661" s="11"/>
    </row>
    <row r="7662" spans="1:1" ht="15.75" x14ac:dyDescent="0.25">
      <c r="A7662" s="11"/>
    </row>
    <row r="7663" spans="1:1" ht="15.75" x14ac:dyDescent="0.25">
      <c r="A7663" s="11"/>
    </row>
    <row r="7664" spans="1:1" ht="15.75" x14ac:dyDescent="0.25">
      <c r="A7664" s="11"/>
    </row>
    <row r="7665" spans="1:1" ht="15.75" x14ac:dyDescent="0.25">
      <c r="A7665" s="11"/>
    </row>
    <row r="7666" spans="1:1" ht="15.75" x14ac:dyDescent="0.25">
      <c r="A7666" s="11"/>
    </row>
    <row r="7667" spans="1:1" ht="15.75" x14ac:dyDescent="0.25">
      <c r="A7667" s="11"/>
    </row>
    <row r="7668" spans="1:1" ht="15.75" x14ac:dyDescent="0.25">
      <c r="A7668" s="11"/>
    </row>
    <row r="7669" spans="1:1" ht="15.75" x14ac:dyDescent="0.25">
      <c r="A7669" s="11"/>
    </row>
    <row r="7670" spans="1:1" ht="15.75" x14ac:dyDescent="0.25">
      <c r="A7670" s="11"/>
    </row>
    <row r="7671" spans="1:1" ht="15.75" x14ac:dyDescent="0.25">
      <c r="A7671" s="11"/>
    </row>
    <row r="7672" spans="1:1" ht="15.75" x14ac:dyDescent="0.25">
      <c r="A7672" s="11"/>
    </row>
    <row r="7673" spans="1:1" ht="15.75" x14ac:dyDescent="0.25">
      <c r="A7673" s="11"/>
    </row>
    <row r="7674" spans="1:1" ht="15.75" x14ac:dyDescent="0.25">
      <c r="A7674" s="11"/>
    </row>
    <row r="7675" spans="1:1" ht="15.75" x14ac:dyDescent="0.25">
      <c r="A7675" s="11"/>
    </row>
    <row r="7676" spans="1:1" ht="15.75" x14ac:dyDescent="0.25">
      <c r="A7676" s="11"/>
    </row>
    <row r="7677" spans="1:1" ht="15.75" x14ac:dyDescent="0.25">
      <c r="A7677" s="11"/>
    </row>
    <row r="7678" spans="1:1" ht="15.75" x14ac:dyDescent="0.25">
      <c r="A7678" s="11"/>
    </row>
    <row r="7679" spans="1:1" ht="15.75" x14ac:dyDescent="0.25">
      <c r="A7679" s="11"/>
    </row>
    <row r="7680" spans="1:1" ht="15.75" x14ac:dyDescent="0.25">
      <c r="A7680" s="11"/>
    </row>
    <row r="7681" spans="1:1" ht="15.75" x14ac:dyDescent="0.25">
      <c r="A7681" s="11"/>
    </row>
    <row r="7682" spans="1:1" ht="15.75" x14ac:dyDescent="0.25">
      <c r="A7682" s="11"/>
    </row>
    <row r="7683" spans="1:1" ht="15.75" x14ac:dyDescent="0.25">
      <c r="A7683" s="11"/>
    </row>
    <row r="7684" spans="1:1" ht="15.75" x14ac:dyDescent="0.25">
      <c r="A7684" s="11"/>
    </row>
    <row r="7685" spans="1:1" ht="15.75" x14ac:dyDescent="0.25">
      <c r="A7685" s="11"/>
    </row>
    <row r="7686" spans="1:1" ht="15.75" x14ac:dyDescent="0.25">
      <c r="A7686" s="11"/>
    </row>
    <row r="7687" spans="1:1" ht="15.75" x14ac:dyDescent="0.25">
      <c r="A7687" s="11"/>
    </row>
    <row r="7688" spans="1:1" ht="15.75" x14ac:dyDescent="0.25">
      <c r="A7688" s="11"/>
    </row>
    <row r="7689" spans="1:1" ht="15.75" x14ac:dyDescent="0.25">
      <c r="A7689" s="11"/>
    </row>
    <row r="7690" spans="1:1" ht="15.75" x14ac:dyDescent="0.25">
      <c r="A7690" s="11"/>
    </row>
    <row r="7691" spans="1:1" ht="15.75" x14ac:dyDescent="0.25">
      <c r="A7691" s="11"/>
    </row>
    <row r="7692" spans="1:1" ht="15.75" x14ac:dyDescent="0.25">
      <c r="A7692" s="11"/>
    </row>
    <row r="7693" spans="1:1" ht="15.75" x14ac:dyDescent="0.25">
      <c r="A7693" s="11"/>
    </row>
    <row r="7694" spans="1:1" ht="15.75" x14ac:dyDescent="0.25">
      <c r="A7694" s="11"/>
    </row>
    <row r="7695" spans="1:1" ht="15.75" x14ac:dyDescent="0.25">
      <c r="A7695" s="11"/>
    </row>
    <row r="7696" spans="1:1" ht="15.75" x14ac:dyDescent="0.25">
      <c r="A7696" s="11"/>
    </row>
    <row r="7697" spans="1:1" ht="15.75" x14ac:dyDescent="0.25">
      <c r="A7697" s="11"/>
    </row>
    <row r="7698" spans="1:1" ht="15.75" x14ac:dyDescent="0.25">
      <c r="A7698" s="11"/>
    </row>
    <row r="7699" spans="1:1" ht="15.75" x14ac:dyDescent="0.25">
      <c r="A7699" s="11"/>
    </row>
    <row r="7700" spans="1:1" ht="15.75" x14ac:dyDescent="0.25">
      <c r="A7700" s="11"/>
    </row>
    <row r="7701" spans="1:1" ht="15.75" x14ac:dyDescent="0.25">
      <c r="A7701" s="11"/>
    </row>
    <row r="7702" spans="1:1" ht="15.75" x14ac:dyDescent="0.25">
      <c r="A7702" s="11"/>
    </row>
    <row r="7703" spans="1:1" ht="15.75" x14ac:dyDescent="0.25">
      <c r="A7703" s="11"/>
    </row>
    <row r="7704" spans="1:1" ht="15.75" x14ac:dyDescent="0.25">
      <c r="A7704" s="11"/>
    </row>
    <row r="7705" spans="1:1" ht="15.75" x14ac:dyDescent="0.25">
      <c r="A7705" s="11"/>
    </row>
    <row r="7706" spans="1:1" ht="15.75" x14ac:dyDescent="0.25">
      <c r="A7706" s="11"/>
    </row>
    <row r="7707" spans="1:1" ht="15.75" x14ac:dyDescent="0.25">
      <c r="A7707" s="11"/>
    </row>
    <row r="7708" spans="1:1" ht="15.75" x14ac:dyDescent="0.25">
      <c r="A7708" s="11"/>
    </row>
    <row r="7709" spans="1:1" ht="15.75" x14ac:dyDescent="0.25">
      <c r="A7709" s="11"/>
    </row>
    <row r="7710" spans="1:1" ht="15.75" x14ac:dyDescent="0.25">
      <c r="A7710" s="11"/>
    </row>
    <row r="7711" spans="1:1" ht="15.75" x14ac:dyDescent="0.25">
      <c r="A7711" s="11"/>
    </row>
    <row r="7712" spans="1:1" ht="15.75" x14ac:dyDescent="0.25">
      <c r="A7712" s="11"/>
    </row>
    <row r="7713" spans="1:1" ht="15.75" x14ac:dyDescent="0.25">
      <c r="A7713" s="11"/>
    </row>
    <row r="7714" spans="1:1" ht="15.75" x14ac:dyDescent="0.25">
      <c r="A7714" s="11"/>
    </row>
    <row r="7715" spans="1:1" ht="15.75" x14ac:dyDescent="0.25">
      <c r="A7715" s="11"/>
    </row>
    <row r="7716" spans="1:1" ht="15.75" x14ac:dyDescent="0.25">
      <c r="A7716" s="11"/>
    </row>
    <row r="7717" spans="1:1" ht="15.75" x14ac:dyDescent="0.25">
      <c r="A7717" s="11"/>
    </row>
    <row r="7718" spans="1:1" ht="15.75" x14ac:dyDescent="0.25">
      <c r="A7718" s="11"/>
    </row>
    <row r="7719" spans="1:1" ht="15.75" x14ac:dyDescent="0.25">
      <c r="A7719" s="11"/>
    </row>
    <row r="7720" spans="1:1" ht="15.75" x14ac:dyDescent="0.25">
      <c r="A7720" s="11"/>
    </row>
    <row r="7721" spans="1:1" ht="15.75" x14ac:dyDescent="0.25">
      <c r="A7721" s="11"/>
    </row>
    <row r="7722" spans="1:1" ht="15.75" x14ac:dyDescent="0.25">
      <c r="A7722" s="11"/>
    </row>
    <row r="7723" spans="1:1" ht="15.75" x14ac:dyDescent="0.25">
      <c r="A7723" s="11"/>
    </row>
    <row r="7724" spans="1:1" ht="15.75" x14ac:dyDescent="0.25">
      <c r="A7724" s="11"/>
    </row>
    <row r="7725" spans="1:1" ht="15.75" x14ac:dyDescent="0.25">
      <c r="A7725" s="11"/>
    </row>
    <row r="7726" spans="1:1" ht="15.75" x14ac:dyDescent="0.25">
      <c r="A7726" s="11"/>
    </row>
    <row r="7727" spans="1:1" ht="15.75" x14ac:dyDescent="0.25">
      <c r="A7727" s="11"/>
    </row>
    <row r="7728" spans="1:1" ht="15.75" x14ac:dyDescent="0.25">
      <c r="A7728" s="11"/>
    </row>
    <row r="7729" spans="1:1" ht="15.75" x14ac:dyDescent="0.25">
      <c r="A7729" s="11"/>
    </row>
    <row r="7730" spans="1:1" ht="15.75" x14ac:dyDescent="0.25">
      <c r="A7730" s="11"/>
    </row>
    <row r="7731" spans="1:1" ht="15.75" x14ac:dyDescent="0.25">
      <c r="A7731" s="11"/>
    </row>
    <row r="7732" spans="1:1" ht="15.75" x14ac:dyDescent="0.25">
      <c r="A7732" s="11"/>
    </row>
    <row r="7733" spans="1:1" ht="15.75" x14ac:dyDescent="0.25">
      <c r="A7733" s="11"/>
    </row>
    <row r="7734" spans="1:1" ht="15.75" x14ac:dyDescent="0.25">
      <c r="A7734" s="11"/>
    </row>
    <row r="7735" spans="1:1" ht="15.75" x14ac:dyDescent="0.25">
      <c r="A7735" s="11"/>
    </row>
    <row r="7736" spans="1:1" ht="15.75" x14ac:dyDescent="0.25">
      <c r="A7736" s="11"/>
    </row>
    <row r="7737" spans="1:1" ht="15.75" x14ac:dyDescent="0.25">
      <c r="A7737" s="11"/>
    </row>
    <row r="7738" spans="1:1" ht="15.75" x14ac:dyDescent="0.25">
      <c r="A7738" s="11"/>
    </row>
    <row r="7739" spans="1:1" ht="15.75" x14ac:dyDescent="0.25">
      <c r="A7739" s="11"/>
    </row>
    <row r="7740" spans="1:1" ht="15.75" x14ac:dyDescent="0.25">
      <c r="A7740" s="11"/>
    </row>
    <row r="7741" spans="1:1" ht="15.75" x14ac:dyDescent="0.25">
      <c r="A7741" s="11"/>
    </row>
    <row r="7742" spans="1:1" ht="15.75" x14ac:dyDescent="0.25">
      <c r="A7742" s="11"/>
    </row>
    <row r="7743" spans="1:1" ht="15.75" x14ac:dyDescent="0.25">
      <c r="A7743" s="11"/>
    </row>
    <row r="7744" spans="1:1" ht="15.75" x14ac:dyDescent="0.25">
      <c r="A7744" s="11"/>
    </row>
    <row r="7745" spans="1:1" ht="15.75" x14ac:dyDescent="0.25">
      <c r="A7745" s="11"/>
    </row>
    <row r="7746" spans="1:1" ht="15.75" x14ac:dyDescent="0.25">
      <c r="A7746" s="11"/>
    </row>
    <row r="7747" spans="1:1" ht="15.75" x14ac:dyDescent="0.25">
      <c r="A7747" s="11"/>
    </row>
    <row r="7748" spans="1:1" ht="15.75" x14ac:dyDescent="0.25">
      <c r="A7748" s="11"/>
    </row>
    <row r="7749" spans="1:1" ht="15.75" x14ac:dyDescent="0.25">
      <c r="A7749" s="11"/>
    </row>
    <row r="7750" spans="1:1" ht="15.75" x14ac:dyDescent="0.25">
      <c r="A7750" s="11"/>
    </row>
    <row r="7751" spans="1:1" ht="15.75" x14ac:dyDescent="0.25">
      <c r="A7751" s="11"/>
    </row>
    <row r="7752" spans="1:1" ht="15.75" x14ac:dyDescent="0.25">
      <c r="A7752" s="11"/>
    </row>
    <row r="7753" spans="1:1" ht="15.75" x14ac:dyDescent="0.25">
      <c r="A7753" s="11"/>
    </row>
    <row r="7754" spans="1:1" ht="15.75" x14ac:dyDescent="0.25">
      <c r="A7754" s="11"/>
    </row>
    <row r="7755" spans="1:1" ht="15.75" x14ac:dyDescent="0.25">
      <c r="A7755" s="11"/>
    </row>
    <row r="7756" spans="1:1" ht="15.75" x14ac:dyDescent="0.25">
      <c r="A7756" s="11"/>
    </row>
    <row r="7757" spans="1:1" ht="15.75" x14ac:dyDescent="0.25">
      <c r="A7757" s="11"/>
    </row>
    <row r="7758" spans="1:1" ht="15.75" x14ac:dyDescent="0.25">
      <c r="A7758" s="11"/>
    </row>
    <row r="7759" spans="1:1" ht="15.75" x14ac:dyDescent="0.25">
      <c r="A7759" s="11"/>
    </row>
    <row r="7760" spans="1:1" ht="15.75" x14ac:dyDescent="0.25">
      <c r="A7760" s="11"/>
    </row>
    <row r="7761" spans="1:1" ht="15.75" x14ac:dyDescent="0.25">
      <c r="A7761" s="11"/>
    </row>
    <row r="7762" spans="1:1" ht="15.75" x14ac:dyDescent="0.25">
      <c r="A7762" s="11"/>
    </row>
    <row r="7763" spans="1:1" ht="15.75" x14ac:dyDescent="0.25">
      <c r="A7763" s="11"/>
    </row>
    <row r="7764" spans="1:1" ht="15.75" x14ac:dyDescent="0.25">
      <c r="A7764" s="11"/>
    </row>
    <row r="7765" spans="1:1" ht="15.75" x14ac:dyDescent="0.25">
      <c r="A7765" s="11"/>
    </row>
    <row r="7766" spans="1:1" ht="15.75" x14ac:dyDescent="0.25">
      <c r="A7766" s="11"/>
    </row>
    <row r="7767" spans="1:1" ht="15.75" x14ac:dyDescent="0.25">
      <c r="A7767" s="11"/>
    </row>
    <row r="7768" spans="1:1" ht="15.75" x14ac:dyDescent="0.25">
      <c r="A7768" s="11"/>
    </row>
    <row r="7769" spans="1:1" ht="15.75" x14ac:dyDescent="0.25">
      <c r="A7769" s="11"/>
    </row>
    <row r="7770" spans="1:1" ht="15.75" x14ac:dyDescent="0.25">
      <c r="A7770" s="11"/>
    </row>
    <row r="7771" spans="1:1" ht="15.75" x14ac:dyDescent="0.25">
      <c r="A7771" s="11"/>
    </row>
    <row r="7772" spans="1:1" ht="15.75" x14ac:dyDescent="0.25">
      <c r="A7772" s="11"/>
    </row>
    <row r="7773" spans="1:1" ht="15.75" x14ac:dyDescent="0.25">
      <c r="A7773" s="11"/>
    </row>
    <row r="7774" spans="1:1" ht="15.75" x14ac:dyDescent="0.25">
      <c r="A7774" s="11"/>
    </row>
    <row r="7775" spans="1:1" ht="15.75" x14ac:dyDescent="0.25">
      <c r="A7775" s="11"/>
    </row>
    <row r="7776" spans="1:1" ht="15.75" x14ac:dyDescent="0.25">
      <c r="A7776" s="11"/>
    </row>
    <row r="7777" spans="1:1" ht="15.75" x14ac:dyDescent="0.25">
      <c r="A7777" s="11"/>
    </row>
    <row r="7778" spans="1:1" ht="15.75" x14ac:dyDescent="0.25">
      <c r="A7778" s="11"/>
    </row>
    <row r="7779" spans="1:1" ht="15.75" x14ac:dyDescent="0.25">
      <c r="A7779" s="11"/>
    </row>
    <row r="7780" spans="1:1" ht="15.75" x14ac:dyDescent="0.25">
      <c r="A7780" s="11"/>
    </row>
    <row r="7781" spans="1:1" ht="15.75" x14ac:dyDescent="0.25">
      <c r="A7781" s="11"/>
    </row>
    <row r="7782" spans="1:1" ht="15.75" x14ac:dyDescent="0.25">
      <c r="A7782" s="11"/>
    </row>
    <row r="7783" spans="1:1" ht="15.75" x14ac:dyDescent="0.25">
      <c r="A7783" s="11"/>
    </row>
    <row r="7784" spans="1:1" ht="15.75" x14ac:dyDescent="0.25">
      <c r="A7784" s="11"/>
    </row>
    <row r="7785" spans="1:1" ht="15.75" x14ac:dyDescent="0.25">
      <c r="A7785" s="11"/>
    </row>
    <row r="7786" spans="1:1" ht="15.75" x14ac:dyDescent="0.25">
      <c r="A7786" s="11"/>
    </row>
    <row r="7787" spans="1:1" ht="15.75" x14ac:dyDescent="0.25">
      <c r="A7787" s="11"/>
    </row>
    <row r="7788" spans="1:1" ht="15.75" x14ac:dyDescent="0.25">
      <c r="A7788" s="11"/>
    </row>
    <row r="7789" spans="1:1" ht="15.75" x14ac:dyDescent="0.25">
      <c r="A7789" s="11"/>
    </row>
    <row r="7790" spans="1:1" ht="15.75" x14ac:dyDescent="0.25">
      <c r="A7790" s="11"/>
    </row>
    <row r="7791" spans="1:1" ht="15.75" x14ac:dyDescent="0.25">
      <c r="A7791" s="11"/>
    </row>
    <row r="7792" spans="1:1" ht="15.75" x14ac:dyDescent="0.25">
      <c r="A7792" s="11"/>
    </row>
    <row r="7793" spans="1:1" ht="15.75" x14ac:dyDescent="0.25">
      <c r="A7793" s="11"/>
    </row>
    <row r="7794" spans="1:1" ht="15.75" x14ac:dyDescent="0.25">
      <c r="A7794" s="11"/>
    </row>
    <row r="7795" spans="1:1" ht="15.75" x14ac:dyDescent="0.25">
      <c r="A7795" s="11"/>
    </row>
    <row r="7796" spans="1:1" ht="15.75" x14ac:dyDescent="0.25">
      <c r="A7796" s="11"/>
    </row>
    <row r="7797" spans="1:1" ht="15.75" x14ac:dyDescent="0.25">
      <c r="A7797" s="11"/>
    </row>
    <row r="7798" spans="1:1" ht="15.75" x14ac:dyDescent="0.25">
      <c r="A7798" s="11"/>
    </row>
    <row r="7799" spans="1:1" ht="15.75" x14ac:dyDescent="0.25">
      <c r="A7799" s="11"/>
    </row>
    <row r="7800" spans="1:1" ht="15.75" x14ac:dyDescent="0.25">
      <c r="A7800" s="11"/>
    </row>
    <row r="7801" spans="1:1" ht="15.75" x14ac:dyDescent="0.25">
      <c r="A7801" s="11"/>
    </row>
    <row r="7802" spans="1:1" ht="15.75" x14ac:dyDescent="0.25">
      <c r="A7802" s="11"/>
    </row>
    <row r="7803" spans="1:1" ht="15.75" x14ac:dyDescent="0.25">
      <c r="A7803" s="11"/>
    </row>
    <row r="7804" spans="1:1" ht="15.75" x14ac:dyDescent="0.25">
      <c r="A7804" s="11"/>
    </row>
    <row r="7805" spans="1:1" ht="15.75" x14ac:dyDescent="0.25">
      <c r="A7805" s="11"/>
    </row>
    <row r="7806" spans="1:1" ht="15.75" x14ac:dyDescent="0.25">
      <c r="A7806" s="11"/>
    </row>
    <row r="7807" spans="1:1" ht="15.75" x14ac:dyDescent="0.25">
      <c r="A7807" s="11"/>
    </row>
    <row r="7808" spans="1:1" ht="15.75" x14ac:dyDescent="0.25">
      <c r="A7808" s="11"/>
    </row>
    <row r="7809" spans="1:1" ht="15.75" x14ac:dyDescent="0.25">
      <c r="A7809" s="11"/>
    </row>
    <row r="7810" spans="1:1" ht="15.75" x14ac:dyDescent="0.25">
      <c r="A7810" s="11"/>
    </row>
    <row r="7811" spans="1:1" ht="15.75" x14ac:dyDescent="0.25">
      <c r="A7811" s="11"/>
    </row>
    <row r="7812" spans="1:1" ht="15.75" x14ac:dyDescent="0.25">
      <c r="A7812" s="11"/>
    </row>
    <row r="7813" spans="1:1" ht="15.75" x14ac:dyDescent="0.25">
      <c r="A7813" s="11"/>
    </row>
    <row r="7814" spans="1:1" ht="15.75" x14ac:dyDescent="0.25">
      <c r="A7814" s="11"/>
    </row>
    <row r="7815" spans="1:1" ht="15.75" x14ac:dyDescent="0.25">
      <c r="A7815" s="11"/>
    </row>
    <row r="7816" spans="1:1" ht="15.75" x14ac:dyDescent="0.25">
      <c r="A7816" s="11"/>
    </row>
    <row r="7817" spans="1:1" ht="15.75" x14ac:dyDescent="0.25">
      <c r="A7817" s="11"/>
    </row>
    <row r="7818" spans="1:1" ht="15.75" x14ac:dyDescent="0.25">
      <c r="A7818" s="11"/>
    </row>
    <row r="7819" spans="1:1" ht="15.75" x14ac:dyDescent="0.25">
      <c r="A7819" s="11"/>
    </row>
    <row r="7820" spans="1:1" ht="15.75" x14ac:dyDescent="0.25">
      <c r="A7820" s="11"/>
    </row>
    <row r="7821" spans="1:1" ht="15.75" x14ac:dyDescent="0.25">
      <c r="A7821" s="11"/>
    </row>
    <row r="7822" spans="1:1" ht="15.75" x14ac:dyDescent="0.25">
      <c r="A7822" s="11"/>
    </row>
    <row r="7823" spans="1:1" ht="15.75" x14ac:dyDescent="0.25">
      <c r="A7823" s="11"/>
    </row>
    <row r="7824" spans="1:1" ht="15.75" x14ac:dyDescent="0.25">
      <c r="A7824" s="11"/>
    </row>
    <row r="7825" spans="1:1" ht="15.75" x14ac:dyDescent="0.25">
      <c r="A7825" s="11"/>
    </row>
    <row r="7826" spans="1:1" ht="15.75" x14ac:dyDescent="0.25">
      <c r="A7826" s="11"/>
    </row>
    <row r="7827" spans="1:1" ht="15.75" x14ac:dyDescent="0.25">
      <c r="A7827" s="11"/>
    </row>
    <row r="7828" spans="1:1" ht="15.75" x14ac:dyDescent="0.25">
      <c r="A7828" s="11"/>
    </row>
    <row r="7829" spans="1:1" ht="15.75" x14ac:dyDescent="0.25">
      <c r="A7829" s="11"/>
    </row>
    <row r="7830" spans="1:1" ht="15.75" x14ac:dyDescent="0.25">
      <c r="A7830" s="11"/>
    </row>
    <row r="7831" spans="1:1" ht="15.75" x14ac:dyDescent="0.25">
      <c r="A7831" s="11"/>
    </row>
    <row r="7832" spans="1:1" ht="15.75" x14ac:dyDescent="0.25">
      <c r="A7832" s="11"/>
    </row>
    <row r="7833" spans="1:1" ht="15.75" x14ac:dyDescent="0.25">
      <c r="A7833" s="11"/>
    </row>
    <row r="7834" spans="1:1" ht="15.75" x14ac:dyDescent="0.25">
      <c r="A7834" s="11"/>
    </row>
    <row r="7835" spans="1:1" ht="15.75" x14ac:dyDescent="0.25">
      <c r="A7835" s="11"/>
    </row>
    <row r="7836" spans="1:1" ht="15.75" x14ac:dyDescent="0.25">
      <c r="A7836" s="11"/>
    </row>
    <row r="7837" spans="1:1" ht="15.75" x14ac:dyDescent="0.25">
      <c r="A7837" s="11"/>
    </row>
    <row r="7838" spans="1:1" ht="15.75" x14ac:dyDescent="0.25">
      <c r="A7838" s="11"/>
    </row>
    <row r="7839" spans="1:1" ht="15.75" x14ac:dyDescent="0.25">
      <c r="A7839" s="11"/>
    </row>
    <row r="7840" spans="1:1" ht="15.75" x14ac:dyDescent="0.25">
      <c r="A7840" s="11"/>
    </row>
    <row r="7841" spans="1:1" ht="15.75" x14ac:dyDescent="0.25">
      <c r="A7841" s="11"/>
    </row>
    <row r="7842" spans="1:1" ht="15.75" x14ac:dyDescent="0.25">
      <c r="A7842" s="11"/>
    </row>
    <row r="7843" spans="1:1" ht="15.75" x14ac:dyDescent="0.25">
      <c r="A7843" s="11"/>
    </row>
    <row r="7844" spans="1:1" ht="15.75" x14ac:dyDescent="0.25">
      <c r="A7844" s="11"/>
    </row>
    <row r="7845" spans="1:1" ht="15.75" x14ac:dyDescent="0.25">
      <c r="A7845" s="11"/>
    </row>
    <row r="7846" spans="1:1" ht="15.75" x14ac:dyDescent="0.25">
      <c r="A7846" s="11"/>
    </row>
    <row r="7847" spans="1:1" ht="15.75" x14ac:dyDescent="0.25">
      <c r="A7847" s="11"/>
    </row>
    <row r="7848" spans="1:1" ht="15.75" x14ac:dyDescent="0.25">
      <c r="A7848" s="11"/>
    </row>
    <row r="7849" spans="1:1" ht="15.75" x14ac:dyDescent="0.25">
      <c r="A7849" s="11"/>
    </row>
    <row r="7850" spans="1:1" ht="15.75" x14ac:dyDescent="0.25">
      <c r="A7850" s="11"/>
    </row>
    <row r="7851" spans="1:1" ht="15.75" x14ac:dyDescent="0.25">
      <c r="A7851" s="11"/>
    </row>
    <row r="7852" spans="1:1" ht="15.75" x14ac:dyDescent="0.25">
      <c r="A7852" s="11"/>
    </row>
    <row r="7853" spans="1:1" ht="15.75" x14ac:dyDescent="0.25">
      <c r="A7853" s="11"/>
    </row>
    <row r="7854" spans="1:1" ht="15.75" x14ac:dyDescent="0.25">
      <c r="A7854" s="11"/>
    </row>
    <row r="7855" spans="1:1" ht="15.75" x14ac:dyDescent="0.25">
      <c r="A7855" s="11"/>
    </row>
    <row r="7856" spans="1:1" ht="15.75" x14ac:dyDescent="0.25">
      <c r="A7856" s="11"/>
    </row>
    <row r="7857" spans="1:1" ht="15.75" x14ac:dyDescent="0.25">
      <c r="A7857" s="11"/>
    </row>
    <row r="7858" spans="1:1" ht="15.75" x14ac:dyDescent="0.25">
      <c r="A7858" s="11"/>
    </row>
    <row r="7859" spans="1:1" ht="15.75" x14ac:dyDescent="0.25">
      <c r="A7859" s="11"/>
    </row>
    <row r="7860" spans="1:1" ht="15.75" x14ac:dyDescent="0.25">
      <c r="A7860" s="11"/>
    </row>
    <row r="7861" spans="1:1" ht="15.75" x14ac:dyDescent="0.25">
      <c r="A7861" s="11"/>
    </row>
    <row r="7862" spans="1:1" ht="15.75" x14ac:dyDescent="0.25">
      <c r="A7862" s="11"/>
    </row>
    <row r="7863" spans="1:1" ht="15.75" x14ac:dyDescent="0.25">
      <c r="A7863" s="11"/>
    </row>
    <row r="7864" spans="1:1" ht="15.75" x14ac:dyDescent="0.25">
      <c r="A7864" s="11"/>
    </row>
    <row r="7865" spans="1:1" ht="15.75" x14ac:dyDescent="0.25">
      <c r="A7865" s="11"/>
    </row>
    <row r="7866" spans="1:1" ht="15.75" x14ac:dyDescent="0.25">
      <c r="A7866" s="11"/>
    </row>
    <row r="7867" spans="1:1" ht="15.75" x14ac:dyDescent="0.25">
      <c r="A7867" s="11"/>
    </row>
    <row r="7868" spans="1:1" ht="15.75" x14ac:dyDescent="0.25">
      <c r="A7868" s="11"/>
    </row>
    <row r="7869" spans="1:1" ht="15.75" x14ac:dyDescent="0.25">
      <c r="A7869" s="11"/>
    </row>
    <row r="7870" spans="1:1" ht="15.75" x14ac:dyDescent="0.25">
      <c r="A7870" s="11"/>
    </row>
    <row r="7871" spans="1:1" ht="15.75" x14ac:dyDescent="0.25">
      <c r="A7871" s="11"/>
    </row>
    <row r="7872" spans="1:1" ht="15.75" x14ac:dyDescent="0.25">
      <c r="A7872" s="11"/>
    </row>
    <row r="7873" spans="1:1" ht="15.75" x14ac:dyDescent="0.25">
      <c r="A7873" s="11"/>
    </row>
    <row r="7874" spans="1:1" ht="15.75" x14ac:dyDescent="0.25">
      <c r="A7874" s="11"/>
    </row>
    <row r="7875" spans="1:1" ht="15.75" x14ac:dyDescent="0.25">
      <c r="A7875" s="11"/>
    </row>
    <row r="7876" spans="1:1" ht="15.75" x14ac:dyDescent="0.25">
      <c r="A7876" s="11"/>
    </row>
    <row r="7877" spans="1:1" ht="15.75" x14ac:dyDescent="0.25">
      <c r="A7877" s="11"/>
    </row>
    <row r="7878" spans="1:1" ht="15.75" x14ac:dyDescent="0.25">
      <c r="A7878" s="11"/>
    </row>
    <row r="7879" spans="1:1" ht="15.75" x14ac:dyDescent="0.25">
      <c r="A7879" s="11"/>
    </row>
    <row r="7880" spans="1:1" ht="15.75" x14ac:dyDescent="0.25">
      <c r="A7880" s="11"/>
    </row>
    <row r="7881" spans="1:1" ht="15.75" x14ac:dyDescent="0.25">
      <c r="A7881" s="11"/>
    </row>
    <row r="7882" spans="1:1" ht="15.75" x14ac:dyDescent="0.25">
      <c r="A7882" s="11"/>
    </row>
    <row r="7883" spans="1:1" ht="15.75" x14ac:dyDescent="0.25">
      <c r="A7883" s="11"/>
    </row>
    <row r="7884" spans="1:1" ht="15.75" x14ac:dyDescent="0.25">
      <c r="A7884" s="11"/>
    </row>
    <row r="7885" spans="1:1" ht="15.75" x14ac:dyDescent="0.25">
      <c r="A7885" s="11"/>
    </row>
    <row r="7886" spans="1:1" ht="15.75" x14ac:dyDescent="0.25">
      <c r="A7886" s="11"/>
    </row>
    <row r="7887" spans="1:1" ht="15.75" x14ac:dyDescent="0.25">
      <c r="A7887" s="11"/>
    </row>
    <row r="7888" spans="1:1" ht="15.75" x14ac:dyDescent="0.25">
      <c r="A7888" s="11"/>
    </row>
    <row r="7889" spans="1:1" ht="15.75" x14ac:dyDescent="0.25">
      <c r="A7889" s="11"/>
    </row>
    <row r="7890" spans="1:1" ht="15.75" x14ac:dyDescent="0.25">
      <c r="A7890" s="11"/>
    </row>
    <row r="7891" spans="1:1" ht="15.75" x14ac:dyDescent="0.25">
      <c r="A7891" s="11"/>
    </row>
    <row r="7892" spans="1:1" ht="15.75" x14ac:dyDescent="0.25">
      <c r="A7892" s="11"/>
    </row>
    <row r="7893" spans="1:1" ht="15.75" x14ac:dyDescent="0.25">
      <c r="A7893" s="11"/>
    </row>
    <row r="7894" spans="1:1" ht="15.75" x14ac:dyDescent="0.25">
      <c r="A7894" s="11"/>
    </row>
    <row r="7895" spans="1:1" ht="15.75" x14ac:dyDescent="0.25">
      <c r="A7895" s="11"/>
    </row>
    <row r="7896" spans="1:1" ht="15.75" x14ac:dyDescent="0.25">
      <c r="A7896" s="11"/>
    </row>
    <row r="7897" spans="1:1" ht="15.75" x14ac:dyDescent="0.25">
      <c r="A7897" s="11"/>
    </row>
    <row r="7898" spans="1:1" ht="15.75" x14ac:dyDescent="0.25">
      <c r="A7898" s="11"/>
    </row>
    <row r="7899" spans="1:1" ht="15.75" x14ac:dyDescent="0.25">
      <c r="A7899" s="11"/>
    </row>
    <row r="7900" spans="1:1" ht="15.75" x14ac:dyDescent="0.25">
      <c r="A7900" s="11"/>
    </row>
    <row r="7901" spans="1:1" ht="15.75" x14ac:dyDescent="0.25">
      <c r="A7901" s="11"/>
    </row>
    <row r="7902" spans="1:1" ht="15.75" x14ac:dyDescent="0.25">
      <c r="A7902" s="11"/>
    </row>
    <row r="7903" spans="1:1" ht="15.75" x14ac:dyDescent="0.25">
      <c r="A7903" s="11"/>
    </row>
    <row r="7904" spans="1:1" ht="15.75" x14ac:dyDescent="0.25">
      <c r="A7904" s="11"/>
    </row>
    <row r="7905" spans="1:1" ht="15.75" x14ac:dyDescent="0.25">
      <c r="A7905" s="11"/>
    </row>
    <row r="7906" spans="1:1" ht="15.75" x14ac:dyDescent="0.25">
      <c r="A7906" s="11"/>
    </row>
    <row r="7907" spans="1:1" ht="15.75" x14ac:dyDescent="0.25">
      <c r="A7907" s="11"/>
    </row>
    <row r="7908" spans="1:1" ht="15.75" x14ac:dyDescent="0.25">
      <c r="A7908" s="11"/>
    </row>
    <row r="7909" spans="1:1" ht="15.75" x14ac:dyDescent="0.25">
      <c r="A7909" s="11"/>
    </row>
    <row r="7910" spans="1:1" ht="15.75" x14ac:dyDescent="0.25">
      <c r="A7910" s="11"/>
    </row>
    <row r="7911" spans="1:1" ht="15.75" x14ac:dyDescent="0.25">
      <c r="A7911" s="11"/>
    </row>
    <row r="7912" spans="1:1" ht="15.75" x14ac:dyDescent="0.25">
      <c r="A7912" s="11"/>
    </row>
    <row r="7913" spans="1:1" ht="15.75" x14ac:dyDescent="0.25">
      <c r="A7913" s="11"/>
    </row>
    <row r="7914" spans="1:1" ht="15.75" x14ac:dyDescent="0.25">
      <c r="A7914" s="11"/>
    </row>
    <row r="7915" spans="1:1" ht="15.75" x14ac:dyDescent="0.25">
      <c r="A7915" s="11"/>
    </row>
    <row r="7916" spans="1:1" ht="15.75" x14ac:dyDescent="0.25">
      <c r="A7916" s="11"/>
    </row>
    <row r="7917" spans="1:1" ht="15.75" x14ac:dyDescent="0.25">
      <c r="A7917" s="11"/>
    </row>
    <row r="7918" spans="1:1" ht="15.75" x14ac:dyDescent="0.25">
      <c r="A7918" s="11"/>
    </row>
    <row r="7919" spans="1:1" ht="15.75" x14ac:dyDescent="0.25">
      <c r="A7919" s="11"/>
    </row>
    <row r="7920" spans="1:1" ht="15.75" x14ac:dyDescent="0.25">
      <c r="A7920" s="11"/>
    </row>
    <row r="7921" spans="1:1" ht="15.75" x14ac:dyDescent="0.25">
      <c r="A7921" s="11"/>
    </row>
    <row r="7922" spans="1:1" ht="15.75" x14ac:dyDescent="0.25">
      <c r="A7922" s="11"/>
    </row>
    <row r="7923" spans="1:1" ht="15.75" x14ac:dyDescent="0.25">
      <c r="A7923" s="11"/>
    </row>
    <row r="7924" spans="1:1" ht="15.75" x14ac:dyDescent="0.25">
      <c r="A7924" s="11"/>
    </row>
    <row r="7925" spans="1:1" ht="15.75" x14ac:dyDescent="0.25">
      <c r="A7925" s="11"/>
    </row>
    <row r="7926" spans="1:1" ht="15.75" x14ac:dyDescent="0.25">
      <c r="A7926" s="11"/>
    </row>
    <row r="7927" spans="1:1" ht="15.75" x14ac:dyDescent="0.25">
      <c r="A7927" s="11"/>
    </row>
    <row r="7928" spans="1:1" ht="15.75" x14ac:dyDescent="0.25">
      <c r="A7928" s="11"/>
    </row>
    <row r="7929" spans="1:1" ht="15.75" x14ac:dyDescent="0.25">
      <c r="A7929" s="11"/>
    </row>
    <row r="7930" spans="1:1" ht="15.75" x14ac:dyDescent="0.25">
      <c r="A7930" s="11"/>
    </row>
    <row r="7931" spans="1:1" ht="15.75" x14ac:dyDescent="0.25">
      <c r="A7931" s="11"/>
    </row>
    <row r="7932" spans="1:1" ht="15.75" x14ac:dyDescent="0.25">
      <c r="A7932" s="11"/>
    </row>
    <row r="7933" spans="1:1" ht="15.75" x14ac:dyDescent="0.25">
      <c r="A7933" s="11"/>
    </row>
    <row r="7934" spans="1:1" ht="15.75" x14ac:dyDescent="0.25">
      <c r="A7934" s="11"/>
    </row>
    <row r="7935" spans="1:1" ht="15.75" x14ac:dyDescent="0.25">
      <c r="A7935" s="11"/>
    </row>
    <row r="7936" spans="1:1" ht="15.75" x14ac:dyDescent="0.25">
      <c r="A7936" s="11"/>
    </row>
    <row r="7937" spans="1:1" ht="15.75" x14ac:dyDescent="0.25">
      <c r="A7937" s="11"/>
    </row>
    <row r="7938" spans="1:1" ht="15.75" x14ac:dyDescent="0.25">
      <c r="A7938" s="11"/>
    </row>
    <row r="7939" spans="1:1" ht="15.75" x14ac:dyDescent="0.25">
      <c r="A7939" s="11"/>
    </row>
    <row r="7940" spans="1:1" ht="15.75" x14ac:dyDescent="0.25">
      <c r="A7940" s="11"/>
    </row>
    <row r="7941" spans="1:1" ht="15.75" x14ac:dyDescent="0.25">
      <c r="A7941" s="11"/>
    </row>
    <row r="7942" spans="1:1" ht="15.75" x14ac:dyDescent="0.25">
      <c r="A7942" s="11"/>
    </row>
    <row r="7943" spans="1:1" ht="15.75" x14ac:dyDescent="0.25">
      <c r="A7943" s="11"/>
    </row>
    <row r="7944" spans="1:1" ht="15.75" x14ac:dyDescent="0.25">
      <c r="A7944" s="11"/>
    </row>
    <row r="7945" spans="1:1" ht="15.75" x14ac:dyDescent="0.25">
      <c r="A7945" s="11"/>
    </row>
    <row r="7946" spans="1:1" ht="15.75" x14ac:dyDescent="0.25">
      <c r="A7946" s="11"/>
    </row>
    <row r="7947" spans="1:1" ht="15.75" x14ac:dyDescent="0.25">
      <c r="A7947" s="11"/>
    </row>
    <row r="7948" spans="1:1" ht="15.75" x14ac:dyDescent="0.25">
      <c r="A7948" s="11"/>
    </row>
    <row r="7949" spans="1:1" ht="15.75" x14ac:dyDescent="0.25">
      <c r="A7949" s="11"/>
    </row>
    <row r="7950" spans="1:1" ht="15.75" x14ac:dyDescent="0.25">
      <c r="A7950" s="11"/>
    </row>
    <row r="7951" spans="1:1" ht="15.75" x14ac:dyDescent="0.25">
      <c r="A7951" s="11"/>
    </row>
    <row r="7952" spans="1:1" ht="15.75" x14ac:dyDescent="0.25">
      <c r="A7952" s="11"/>
    </row>
    <row r="7953" spans="1:1" ht="15.75" x14ac:dyDescent="0.25">
      <c r="A7953" s="11"/>
    </row>
    <row r="7954" spans="1:1" ht="15.75" x14ac:dyDescent="0.25">
      <c r="A7954" s="11"/>
    </row>
    <row r="7955" spans="1:1" ht="15.75" x14ac:dyDescent="0.25">
      <c r="A7955" s="11"/>
    </row>
    <row r="7956" spans="1:1" ht="15.75" x14ac:dyDescent="0.25">
      <c r="A7956" s="11"/>
    </row>
    <row r="7957" spans="1:1" ht="15.75" x14ac:dyDescent="0.25">
      <c r="A7957" s="11"/>
    </row>
    <row r="7958" spans="1:1" ht="15.75" x14ac:dyDescent="0.25">
      <c r="A7958" s="11"/>
    </row>
    <row r="7959" spans="1:1" ht="15.75" x14ac:dyDescent="0.25">
      <c r="A7959" s="11"/>
    </row>
    <row r="7960" spans="1:1" ht="15.75" x14ac:dyDescent="0.25">
      <c r="A7960" s="11"/>
    </row>
    <row r="7961" spans="1:1" ht="15.75" x14ac:dyDescent="0.25">
      <c r="A7961" s="11"/>
    </row>
    <row r="7962" spans="1:1" ht="15.75" x14ac:dyDescent="0.25">
      <c r="A7962" s="11"/>
    </row>
    <row r="7963" spans="1:1" ht="15.75" x14ac:dyDescent="0.25">
      <c r="A7963" s="11"/>
    </row>
    <row r="7964" spans="1:1" ht="15.75" x14ac:dyDescent="0.25">
      <c r="A7964" s="11"/>
    </row>
    <row r="7965" spans="1:1" ht="15.75" x14ac:dyDescent="0.25">
      <c r="A7965" s="11"/>
    </row>
    <row r="7966" spans="1:1" ht="15.75" x14ac:dyDescent="0.25">
      <c r="A7966" s="11"/>
    </row>
    <row r="7967" spans="1:1" ht="15.75" x14ac:dyDescent="0.25">
      <c r="A7967" s="11"/>
    </row>
    <row r="7968" spans="1:1" ht="15.75" x14ac:dyDescent="0.25">
      <c r="A7968" s="11"/>
    </row>
    <row r="7969" spans="1:1" ht="15.75" x14ac:dyDescent="0.25">
      <c r="A7969" s="11"/>
    </row>
    <row r="7970" spans="1:1" ht="15.75" x14ac:dyDescent="0.25">
      <c r="A7970" s="11"/>
    </row>
    <row r="7971" spans="1:1" ht="15.75" x14ac:dyDescent="0.25">
      <c r="A7971" s="11"/>
    </row>
    <row r="7972" spans="1:1" ht="15.75" x14ac:dyDescent="0.25">
      <c r="A7972" s="11"/>
    </row>
    <row r="7973" spans="1:1" ht="15.75" x14ac:dyDescent="0.25">
      <c r="A7973" s="11"/>
    </row>
    <row r="7974" spans="1:1" ht="15.75" x14ac:dyDescent="0.25">
      <c r="A7974" s="11"/>
    </row>
    <row r="7975" spans="1:1" ht="15.75" x14ac:dyDescent="0.25">
      <c r="A7975" s="11"/>
    </row>
    <row r="7976" spans="1:1" ht="15.75" x14ac:dyDescent="0.25">
      <c r="A7976" s="11"/>
    </row>
    <row r="7977" spans="1:1" ht="15.75" x14ac:dyDescent="0.25">
      <c r="A7977" s="11"/>
    </row>
    <row r="7978" spans="1:1" ht="15.75" x14ac:dyDescent="0.25">
      <c r="A7978" s="11"/>
    </row>
    <row r="7979" spans="1:1" ht="15.75" x14ac:dyDescent="0.25">
      <c r="A7979" s="11"/>
    </row>
    <row r="7980" spans="1:1" ht="15.75" x14ac:dyDescent="0.25">
      <c r="A7980" s="11"/>
    </row>
    <row r="7981" spans="1:1" ht="15.75" x14ac:dyDescent="0.25">
      <c r="A7981" s="11"/>
    </row>
    <row r="7982" spans="1:1" ht="15.75" x14ac:dyDescent="0.25">
      <c r="A7982" s="11"/>
    </row>
    <row r="7983" spans="1:1" ht="15.75" x14ac:dyDescent="0.25">
      <c r="A7983" s="11"/>
    </row>
    <row r="7984" spans="1:1" ht="15.75" x14ac:dyDescent="0.25">
      <c r="A7984" s="11"/>
    </row>
    <row r="7985" spans="1:1" ht="15.75" x14ac:dyDescent="0.25">
      <c r="A7985" s="11"/>
    </row>
    <row r="7986" spans="1:1" ht="15.75" x14ac:dyDescent="0.25">
      <c r="A7986" s="11"/>
    </row>
    <row r="7987" spans="1:1" ht="15.75" x14ac:dyDescent="0.25">
      <c r="A7987" s="11"/>
    </row>
    <row r="7988" spans="1:1" ht="15.75" x14ac:dyDescent="0.25">
      <c r="A7988" s="11"/>
    </row>
    <row r="7989" spans="1:1" ht="15.75" x14ac:dyDescent="0.25">
      <c r="A7989" s="11"/>
    </row>
    <row r="7990" spans="1:1" ht="15.75" x14ac:dyDescent="0.25">
      <c r="A7990" s="11"/>
    </row>
    <row r="7991" spans="1:1" ht="15.75" x14ac:dyDescent="0.25">
      <c r="A7991" s="11"/>
    </row>
    <row r="7992" spans="1:1" ht="15.75" x14ac:dyDescent="0.25">
      <c r="A7992" s="11"/>
    </row>
    <row r="7993" spans="1:1" ht="15.75" x14ac:dyDescent="0.25">
      <c r="A7993" s="11"/>
    </row>
    <row r="7994" spans="1:1" ht="15.75" x14ac:dyDescent="0.25">
      <c r="A7994" s="11"/>
    </row>
    <row r="7995" spans="1:1" ht="15.75" x14ac:dyDescent="0.25">
      <c r="A7995" s="11"/>
    </row>
    <row r="7996" spans="1:1" ht="15.75" x14ac:dyDescent="0.25">
      <c r="A7996" s="11"/>
    </row>
    <row r="7997" spans="1:1" ht="15.75" x14ac:dyDescent="0.25">
      <c r="A7997" s="11"/>
    </row>
    <row r="7998" spans="1:1" ht="15.75" x14ac:dyDescent="0.25">
      <c r="A7998" s="11"/>
    </row>
    <row r="7999" spans="1:1" ht="15.75" x14ac:dyDescent="0.25">
      <c r="A7999" s="11"/>
    </row>
    <row r="8000" spans="1:1" ht="15.75" x14ac:dyDescent="0.25">
      <c r="A8000" s="11"/>
    </row>
    <row r="8001" spans="1:1" ht="15.75" x14ac:dyDescent="0.25">
      <c r="A8001" s="11"/>
    </row>
    <row r="8002" spans="1:1" ht="15.75" x14ac:dyDescent="0.25">
      <c r="A8002" s="11"/>
    </row>
    <row r="8003" spans="1:1" ht="15.75" x14ac:dyDescent="0.25">
      <c r="A8003" s="11"/>
    </row>
    <row r="8004" spans="1:1" ht="15.75" x14ac:dyDescent="0.25">
      <c r="A8004" s="11"/>
    </row>
    <row r="8005" spans="1:1" ht="15.75" x14ac:dyDescent="0.25">
      <c r="A8005" s="11"/>
    </row>
    <row r="8006" spans="1:1" ht="15.75" x14ac:dyDescent="0.25">
      <c r="A8006" s="11"/>
    </row>
    <row r="8007" spans="1:1" ht="15.75" x14ac:dyDescent="0.25">
      <c r="A8007" s="11"/>
    </row>
    <row r="8008" spans="1:1" ht="15.75" x14ac:dyDescent="0.25">
      <c r="A8008" s="11"/>
    </row>
    <row r="8009" spans="1:1" ht="15.75" x14ac:dyDescent="0.25">
      <c r="A8009" s="11"/>
    </row>
    <row r="8010" spans="1:1" ht="15.75" x14ac:dyDescent="0.25">
      <c r="A8010" s="11"/>
    </row>
    <row r="8011" spans="1:1" ht="15.75" x14ac:dyDescent="0.25">
      <c r="A8011" s="11"/>
    </row>
    <row r="8012" spans="1:1" ht="15.75" x14ac:dyDescent="0.25">
      <c r="A8012" s="11"/>
    </row>
    <row r="8013" spans="1:1" ht="15.75" x14ac:dyDescent="0.25">
      <c r="A8013" s="11"/>
    </row>
    <row r="8014" spans="1:1" ht="15.75" x14ac:dyDescent="0.25">
      <c r="A8014" s="11"/>
    </row>
    <row r="8015" spans="1:1" ht="15.75" x14ac:dyDescent="0.25">
      <c r="A8015" s="11"/>
    </row>
    <row r="8016" spans="1:1" ht="15.75" x14ac:dyDescent="0.25">
      <c r="A8016" s="11"/>
    </row>
    <row r="8017" spans="1:1" ht="15.75" x14ac:dyDescent="0.25">
      <c r="A8017" s="11"/>
    </row>
    <row r="8018" spans="1:1" ht="15.75" x14ac:dyDescent="0.25">
      <c r="A8018" s="11"/>
    </row>
    <row r="8019" spans="1:1" ht="15.75" x14ac:dyDescent="0.25">
      <c r="A8019" s="11"/>
    </row>
    <row r="8020" spans="1:1" ht="15.75" x14ac:dyDescent="0.25">
      <c r="A8020" s="11"/>
    </row>
    <row r="8021" spans="1:1" ht="15.75" x14ac:dyDescent="0.25">
      <c r="A8021" s="11"/>
    </row>
    <row r="8022" spans="1:1" ht="15.75" x14ac:dyDescent="0.25">
      <c r="A8022" s="11"/>
    </row>
    <row r="8023" spans="1:1" ht="15.75" x14ac:dyDescent="0.25">
      <c r="A8023" s="11"/>
    </row>
    <row r="8024" spans="1:1" ht="15.75" x14ac:dyDescent="0.25">
      <c r="A8024" s="11"/>
    </row>
    <row r="8025" spans="1:1" ht="15.75" x14ac:dyDescent="0.25">
      <c r="A8025" s="11"/>
    </row>
    <row r="8026" spans="1:1" ht="15.75" x14ac:dyDescent="0.25">
      <c r="A8026" s="11"/>
    </row>
    <row r="8027" spans="1:1" ht="15.75" x14ac:dyDescent="0.25">
      <c r="A8027" s="11"/>
    </row>
    <row r="8028" spans="1:1" ht="15.75" x14ac:dyDescent="0.25">
      <c r="A8028" s="11"/>
    </row>
    <row r="8029" spans="1:1" ht="15.75" x14ac:dyDescent="0.25">
      <c r="A8029" s="11"/>
    </row>
    <row r="8030" spans="1:1" ht="15.75" x14ac:dyDescent="0.25">
      <c r="A8030" s="11"/>
    </row>
    <row r="8031" spans="1:1" ht="15.75" x14ac:dyDescent="0.25">
      <c r="A8031" s="11"/>
    </row>
    <row r="8032" spans="1:1" ht="15.75" x14ac:dyDescent="0.25">
      <c r="A8032" s="11"/>
    </row>
    <row r="8033" spans="1:1" ht="15.75" x14ac:dyDescent="0.25">
      <c r="A8033" s="11"/>
    </row>
    <row r="8034" spans="1:1" ht="15.75" x14ac:dyDescent="0.25">
      <c r="A8034" s="11"/>
    </row>
    <row r="8035" spans="1:1" ht="15.75" x14ac:dyDescent="0.25">
      <c r="A8035" s="11"/>
    </row>
    <row r="8036" spans="1:1" ht="15.75" x14ac:dyDescent="0.25">
      <c r="A8036" s="11"/>
    </row>
    <row r="8037" spans="1:1" ht="15.75" x14ac:dyDescent="0.25">
      <c r="A8037" s="11"/>
    </row>
    <row r="8038" spans="1:1" ht="15.75" x14ac:dyDescent="0.25">
      <c r="A8038" s="11"/>
    </row>
    <row r="8039" spans="1:1" ht="15.75" x14ac:dyDescent="0.25">
      <c r="A8039" s="11"/>
    </row>
    <row r="8040" spans="1:1" ht="15.75" x14ac:dyDescent="0.25">
      <c r="A8040" s="11"/>
    </row>
    <row r="8041" spans="1:1" ht="15.75" x14ac:dyDescent="0.25">
      <c r="A8041" s="11"/>
    </row>
    <row r="8042" spans="1:1" ht="15.75" x14ac:dyDescent="0.25">
      <c r="A8042" s="11"/>
    </row>
    <row r="8043" spans="1:1" ht="15.75" x14ac:dyDescent="0.25">
      <c r="A8043" s="11"/>
    </row>
    <row r="8044" spans="1:1" ht="15.75" x14ac:dyDescent="0.25">
      <c r="A8044" s="11"/>
    </row>
    <row r="8045" spans="1:1" ht="15.75" x14ac:dyDescent="0.25">
      <c r="A8045" s="11"/>
    </row>
    <row r="8046" spans="1:1" ht="15.75" x14ac:dyDescent="0.25">
      <c r="A8046" s="11"/>
    </row>
    <row r="8047" spans="1:1" ht="15.75" x14ac:dyDescent="0.25">
      <c r="A8047" s="11"/>
    </row>
    <row r="8048" spans="1:1" ht="15.75" x14ac:dyDescent="0.25">
      <c r="A8048" s="11"/>
    </row>
    <row r="8049" spans="1:1" ht="15.75" x14ac:dyDescent="0.25">
      <c r="A8049" s="11"/>
    </row>
    <row r="8050" spans="1:1" ht="15.75" x14ac:dyDescent="0.25">
      <c r="A8050" s="11"/>
    </row>
    <row r="8051" spans="1:1" ht="15.75" x14ac:dyDescent="0.25">
      <c r="A8051" s="11"/>
    </row>
    <row r="8052" spans="1:1" ht="15.75" x14ac:dyDescent="0.25">
      <c r="A8052" s="11"/>
    </row>
    <row r="8053" spans="1:1" ht="15.75" x14ac:dyDescent="0.25">
      <c r="A8053" s="11"/>
    </row>
    <row r="8054" spans="1:1" ht="15.75" x14ac:dyDescent="0.25">
      <c r="A8054" s="11"/>
    </row>
    <row r="8055" spans="1:1" ht="15.75" x14ac:dyDescent="0.25">
      <c r="A8055" s="11"/>
    </row>
    <row r="8056" spans="1:1" ht="15.75" x14ac:dyDescent="0.25">
      <c r="A8056" s="11"/>
    </row>
    <row r="8057" spans="1:1" ht="15.75" x14ac:dyDescent="0.25">
      <c r="A8057" s="11"/>
    </row>
    <row r="8058" spans="1:1" ht="15.75" x14ac:dyDescent="0.25">
      <c r="A8058" s="11"/>
    </row>
    <row r="8059" spans="1:1" ht="15.75" x14ac:dyDescent="0.25">
      <c r="A8059" s="11"/>
    </row>
    <row r="8060" spans="1:1" ht="15.75" x14ac:dyDescent="0.25">
      <c r="A8060" s="11"/>
    </row>
    <row r="8061" spans="1:1" ht="15.75" x14ac:dyDescent="0.25">
      <c r="A8061" s="11"/>
    </row>
    <row r="8062" spans="1:1" ht="15.75" x14ac:dyDescent="0.25">
      <c r="A8062" s="11"/>
    </row>
    <row r="8063" spans="1:1" ht="15.75" x14ac:dyDescent="0.25">
      <c r="A8063" s="11"/>
    </row>
    <row r="8064" spans="1:1" ht="15.75" x14ac:dyDescent="0.25">
      <c r="A8064" s="11"/>
    </row>
    <row r="8065" spans="1:1" ht="15.75" x14ac:dyDescent="0.25">
      <c r="A8065" s="11"/>
    </row>
    <row r="8066" spans="1:1" ht="15.75" x14ac:dyDescent="0.25">
      <c r="A8066" s="11"/>
    </row>
    <row r="8067" spans="1:1" ht="15.75" x14ac:dyDescent="0.25">
      <c r="A8067" s="11"/>
    </row>
    <row r="8068" spans="1:1" ht="15.75" x14ac:dyDescent="0.25">
      <c r="A8068" s="11"/>
    </row>
    <row r="8069" spans="1:1" ht="15.75" x14ac:dyDescent="0.25">
      <c r="A8069" s="11"/>
    </row>
    <row r="8070" spans="1:1" ht="15.75" x14ac:dyDescent="0.25">
      <c r="A8070" s="11"/>
    </row>
    <row r="8071" spans="1:1" ht="15.75" x14ac:dyDescent="0.25">
      <c r="A8071" s="11"/>
    </row>
    <row r="8072" spans="1:1" ht="15.75" x14ac:dyDescent="0.25">
      <c r="A8072" s="11"/>
    </row>
    <row r="8073" spans="1:1" ht="15.75" x14ac:dyDescent="0.25">
      <c r="A8073" s="11"/>
    </row>
    <row r="8074" spans="1:1" ht="15.75" x14ac:dyDescent="0.25">
      <c r="A8074" s="11"/>
    </row>
    <row r="8075" spans="1:1" ht="15.75" x14ac:dyDescent="0.25">
      <c r="A8075" s="11"/>
    </row>
    <row r="8076" spans="1:1" ht="15.75" x14ac:dyDescent="0.25">
      <c r="A8076" s="11"/>
    </row>
    <row r="8077" spans="1:1" ht="15.75" x14ac:dyDescent="0.25">
      <c r="A8077" s="11"/>
    </row>
    <row r="8078" spans="1:1" ht="15.75" x14ac:dyDescent="0.25">
      <c r="A8078" s="11"/>
    </row>
    <row r="8079" spans="1:1" ht="15.75" x14ac:dyDescent="0.25">
      <c r="A8079" s="11"/>
    </row>
    <row r="8080" spans="1:1" ht="15.75" x14ac:dyDescent="0.25">
      <c r="A8080" s="11"/>
    </row>
    <row r="8081" spans="1:1" ht="15.75" x14ac:dyDescent="0.25">
      <c r="A8081" s="11"/>
    </row>
    <row r="8082" spans="1:1" ht="15.75" x14ac:dyDescent="0.25">
      <c r="A8082" s="11"/>
    </row>
    <row r="8083" spans="1:1" ht="15.75" x14ac:dyDescent="0.25">
      <c r="A8083" s="11"/>
    </row>
    <row r="8084" spans="1:1" ht="15.75" x14ac:dyDescent="0.25">
      <c r="A8084" s="11"/>
    </row>
    <row r="8085" spans="1:1" ht="15.75" x14ac:dyDescent="0.25">
      <c r="A8085" s="11"/>
    </row>
    <row r="8086" spans="1:1" ht="15.75" x14ac:dyDescent="0.25">
      <c r="A8086" s="11"/>
    </row>
    <row r="8087" spans="1:1" ht="15.75" x14ac:dyDescent="0.25">
      <c r="A8087" s="11"/>
    </row>
    <row r="8088" spans="1:1" ht="15.75" x14ac:dyDescent="0.25">
      <c r="A8088" s="11"/>
    </row>
    <row r="8089" spans="1:1" ht="15.75" x14ac:dyDescent="0.25">
      <c r="A8089" s="11"/>
    </row>
    <row r="8090" spans="1:1" ht="15.75" x14ac:dyDescent="0.25">
      <c r="A8090" s="11"/>
    </row>
    <row r="8091" spans="1:1" ht="15.75" x14ac:dyDescent="0.25">
      <c r="A8091" s="11"/>
    </row>
    <row r="8092" spans="1:1" ht="15.75" x14ac:dyDescent="0.25">
      <c r="A8092" s="11"/>
    </row>
    <row r="8093" spans="1:1" ht="15.75" x14ac:dyDescent="0.25">
      <c r="A8093" s="11"/>
    </row>
    <row r="8094" spans="1:1" ht="15.75" x14ac:dyDescent="0.25">
      <c r="A8094" s="11"/>
    </row>
    <row r="8095" spans="1:1" ht="15.75" x14ac:dyDescent="0.25">
      <c r="A8095" s="11"/>
    </row>
    <row r="8096" spans="1:1" ht="15.75" x14ac:dyDescent="0.25">
      <c r="A8096" s="11"/>
    </row>
    <row r="8097" spans="1:1" ht="15.75" x14ac:dyDescent="0.25">
      <c r="A8097" s="11"/>
    </row>
    <row r="8098" spans="1:1" ht="15.75" x14ac:dyDescent="0.25">
      <c r="A8098" s="11"/>
    </row>
    <row r="8099" spans="1:1" ht="15.75" x14ac:dyDescent="0.25">
      <c r="A8099" s="11"/>
    </row>
    <row r="8100" spans="1:1" ht="15.75" x14ac:dyDescent="0.25">
      <c r="A8100" s="11"/>
    </row>
    <row r="8101" spans="1:1" ht="15.75" x14ac:dyDescent="0.25">
      <c r="A8101" s="11"/>
    </row>
    <row r="8102" spans="1:1" ht="15.75" x14ac:dyDescent="0.25">
      <c r="A8102" s="11"/>
    </row>
    <row r="8103" spans="1:1" ht="15.75" x14ac:dyDescent="0.25">
      <c r="A8103" s="11"/>
    </row>
    <row r="8104" spans="1:1" ht="15.75" x14ac:dyDescent="0.25">
      <c r="A8104" s="11"/>
    </row>
    <row r="8105" spans="1:1" ht="15.75" x14ac:dyDescent="0.25">
      <c r="A8105" s="11"/>
    </row>
    <row r="8106" spans="1:1" ht="15.75" x14ac:dyDescent="0.25">
      <c r="A8106" s="11"/>
    </row>
    <row r="8107" spans="1:1" ht="15.75" x14ac:dyDescent="0.25">
      <c r="A8107" s="11"/>
    </row>
    <row r="8108" spans="1:1" ht="15.75" x14ac:dyDescent="0.25">
      <c r="A8108" s="11"/>
    </row>
    <row r="8109" spans="1:1" ht="15.75" x14ac:dyDescent="0.25">
      <c r="A8109" s="11"/>
    </row>
    <row r="8110" spans="1:1" ht="15.75" x14ac:dyDescent="0.25">
      <c r="A8110" s="11"/>
    </row>
    <row r="8111" spans="1:1" ht="15.75" x14ac:dyDescent="0.25">
      <c r="A8111" s="11"/>
    </row>
    <row r="8112" spans="1:1" ht="15.75" x14ac:dyDescent="0.25">
      <c r="A8112" s="11"/>
    </row>
    <row r="8113" spans="1:1" ht="15.75" x14ac:dyDescent="0.25">
      <c r="A8113" s="11"/>
    </row>
    <row r="8114" spans="1:1" ht="15.75" x14ac:dyDescent="0.25">
      <c r="A8114" s="11"/>
    </row>
    <row r="8115" spans="1:1" ht="15.75" x14ac:dyDescent="0.25">
      <c r="A8115" s="11"/>
    </row>
    <row r="8116" spans="1:1" ht="15.75" x14ac:dyDescent="0.25">
      <c r="A8116" s="11"/>
    </row>
    <row r="8117" spans="1:1" ht="15.75" x14ac:dyDescent="0.25">
      <c r="A8117" s="11"/>
    </row>
    <row r="8118" spans="1:1" ht="15.75" x14ac:dyDescent="0.25">
      <c r="A8118" s="11"/>
    </row>
    <row r="8119" spans="1:1" ht="15.75" x14ac:dyDescent="0.25">
      <c r="A8119" s="11"/>
    </row>
    <row r="8120" spans="1:1" ht="15.75" x14ac:dyDescent="0.25">
      <c r="A8120" s="11"/>
    </row>
    <row r="8121" spans="1:1" ht="15.75" x14ac:dyDescent="0.25">
      <c r="A8121" s="11"/>
    </row>
    <row r="8122" spans="1:1" ht="15.75" x14ac:dyDescent="0.25">
      <c r="A8122" s="11"/>
    </row>
    <row r="8123" spans="1:1" ht="15.75" x14ac:dyDescent="0.25">
      <c r="A8123" s="11"/>
    </row>
    <row r="8124" spans="1:1" ht="15.75" x14ac:dyDescent="0.25">
      <c r="A8124" s="11"/>
    </row>
    <row r="8125" spans="1:1" ht="15.75" x14ac:dyDescent="0.25">
      <c r="A8125" s="11"/>
    </row>
    <row r="8126" spans="1:1" ht="15.75" x14ac:dyDescent="0.25">
      <c r="A8126" s="11"/>
    </row>
    <row r="8127" spans="1:1" ht="15.75" x14ac:dyDescent="0.25">
      <c r="A8127" s="11"/>
    </row>
    <row r="8128" spans="1:1" ht="15.75" x14ac:dyDescent="0.25">
      <c r="A8128" s="11"/>
    </row>
    <row r="8129" spans="1:1" ht="15.75" x14ac:dyDescent="0.25">
      <c r="A8129" s="11"/>
    </row>
    <row r="8130" spans="1:1" ht="15.75" x14ac:dyDescent="0.25">
      <c r="A8130" s="11"/>
    </row>
    <row r="8131" spans="1:1" ht="15.75" x14ac:dyDescent="0.25">
      <c r="A8131" s="11"/>
    </row>
    <row r="8132" spans="1:1" ht="15.75" x14ac:dyDescent="0.25">
      <c r="A8132" s="11"/>
    </row>
    <row r="8133" spans="1:1" ht="15.75" x14ac:dyDescent="0.25">
      <c r="A8133" s="11"/>
    </row>
    <row r="8134" spans="1:1" ht="15.75" x14ac:dyDescent="0.25">
      <c r="A8134" s="11"/>
    </row>
    <row r="8135" spans="1:1" ht="15.75" x14ac:dyDescent="0.25">
      <c r="A8135" s="11"/>
    </row>
    <row r="8136" spans="1:1" ht="15.75" x14ac:dyDescent="0.25">
      <c r="A8136" s="11"/>
    </row>
    <row r="8137" spans="1:1" ht="15.75" x14ac:dyDescent="0.25">
      <c r="A8137" s="11"/>
    </row>
    <row r="8138" spans="1:1" ht="15.75" x14ac:dyDescent="0.25">
      <c r="A8138" s="11"/>
    </row>
    <row r="8139" spans="1:1" ht="15.75" x14ac:dyDescent="0.25">
      <c r="A8139" s="11"/>
    </row>
    <row r="8140" spans="1:1" ht="15.75" x14ac:dyDescent="0.25">
      <c r="A8140" s="11"/>
    </row>
    <row r="8141" spans="1:1" ht="15.75" x14ac:dyDescent="0.25">
      <c r="A8141" s="11"/>
    </row>
    <row r="8142" spans="1:1" ht="15.75" x14ac:dyDescent="0.25">
      <c r="A8142" s="11"/>
    </row>
    <row r="8143" spans="1:1" ht="15.75" x14ac:dyDescent="0.25">
      <c r="A8143" s="11"/>
    </row>
    <row r="8144" spans="1:1" ht="15.75" x14ac:dyDescent="0.25">
      <c r="A8144" s="11"/>
    </row>
    <row r="8145" spans="1:1" ht="15.75" x14ac:dyDescent="0.25">
      <c r="A8145" s="11"/>
    </row>
    <row r="8146" spans="1:1" ht="15.75" x14ac:dyDescent="0.25">
      <c r="A8146" s="11"/>
    </row>
    <row r="8147" spans="1:1" ht="15.75" x14ac:dyDescent="0.25">
      <c r="A8147" s="11"/>
    </row>
    <row r="8148" spans="1:1" ht="15.75" x14ac:dyDescent="0.25">
      <c r="A8148" s="11"/>
    </row>
    <row r="8149" spans="1:1" ht="15.75" x14ac:dyDescent="0.25">
      <c r="A8149" s="11"/>
    </row>
    <row r="8150" spans="1:1" ht="15.75" x14ac:dyDescent="0.25">
      <c r="A8150" s="11"/>
    </row>
    <row r="8151" spans="1:1" ht="15.75" x14ac:dyDescent="0.25">
      <c r="A8151" s="11"/>
    </row>
    <row r="8152" spans="1:1" ht="15.75" x14ac:dyDescent="0.25">
      <c r="A8152" s="11"/>
    </row>
    <row r="8153" spans="1:1" ht="15.75" x14ac:dyDescent="0.25">
      <c r="A8153" s="11"/>
    </row>
    <row r="8154" spans="1:1" ht="15.75" x14ac:dyDescent="0.25">
      <c r="A8154" s="11"/>
    </row>
    <row r="8155" spans="1:1" ht="15.75" x14ac:dyDescent="0.25">
      <c r="A8155" s="11"/>
    </row>
    <row r="8156" spans="1:1" ht="15.75" x14ac:dyDescent="0.25">
      <c r="A8156" s="11"/>
    </row>
    <row r="8157" spans="1:1" ht="15.75" x14ac:dyDescent="0.25">
      <c r="A8157" s="11"/>
    </row>
    <row r="8158" spans="1:1" ht="15.75" x14ac:dyDescent="0.25">
      <c r="A8158" s="11"/>
    </row>
    <row r="8159" spans="1:1" ht="15.75" x14ac:dyDescent="0.25">
      <c r="A8159" s="11"/>
    </row>
    <row r="8160" spans="1:1" ht="15.75" x14ac:dyDescent="0.25">
      <c r="A8160" s="11"/>
    </row>
    <row r="8161" spans="1:1" ht="15.75" x14ac:dyDescent="0.25">
      <c r="A8161" s="11"/>
    </row>
    <row r="8162" spans="1:1" ht="15.75" x14ac:dyDescent="0.25">
      <c r="A8162" s="11"/>
    </row>
    <row r="8163" spans="1:1" ht="15.75" x14ac:dyDescent="0.25">
      <c r="A8163" s="11"/>
    </row>
    <row r="8164" spans="1:1" ht="15.75" x14ac:dyDescent="0.25">
      <c r="A8164" s="11"/>
    </row>
    <row r="8165" spans="1:1" ht="15.75" x14ac:dyDescent="0.25">
      <c r="A8165" s="11"/>
    </row>
    <row r="8166" spans="1:1" ht="15.75" x14ac:dyDescent="0.25">
      <c r="A8166" s="11"/>
    </row>
    <row r="8167" spans="1:1" ht="15.75" x14ac:dyDescent="0.25">
      <c r="A8167" s="11"/>
    </row>
    <row r="8168" spans="1:1" ht="15.75" x14ac:dyDescent="0.25">
      <c r="A8168" s="11"/>
    </row>
    <row r="8169" spans="1:1" ht="15.75" x14ac:dyDescent="0.25">
      <c r="A8169" s="11"/>
    </row>
    <row r="8170" spans="1:1" ht="15.75" x14ac:dyDescent="0.25">
      <c r="A8170" s="11"/>
    </row>
    <row r="8171" spans="1:1" ht="15.75" x14ac:dyDescent="0.25">
      <c r="A8171" s="11"/>
    </row>
    <row r="8172" spans="1:1" ht="15.75" x14ac:dyDescent="0.25">
      <c r="A8172" s="11"/>
    </row>
    <row r="8173" spans="1:1" ht="15.75" x14ac:dyDescent="0.25">
      <c r="A8173" s="11"/>
    </row>
    <row r="8174" spans="1:1" ht="15.75" x14ac:dyDescent="0.25">
      <c r="A8174" s="11"/>
    </row>
    <row r="8175" spans="1:1" ht="15.75" x14ac:dyDescent="0.25">
      <c r="A8175" s="11"/>
    </row>
    <row r="8176" spans="1:1" ht="15.75" x14ac:dyDescent="0.25">
      <c r="A8176" s="11"/>
    </row>
    <row r="8177" spans="1:1" ht="15.75" x14ac:dyDescent="0.25">
      <c r="A8177" s="11"/>
    </row>
    <row r="8178" spans="1:1" ht="15.75" x14ac:dyDescent="0.25">
      <c r="A8178" s="11"/>
    </row>
    <row r="8179" spans="1:1" ht="15.75" x14ac:dyDescent="0.25">
      <c r="A8179" s="11"/>
    </row>
    <row r="8180" spans="1:1" ht="15.75" x14ac:dyDescent="0.25">
      <c r="A8180" s="11"/>
    </row>
    <row r="8181" spans="1:1" ht="15.75" x14ac:dyDescent="0.25">
      <c r="A8181" s="11"/>
    </row>
    <row r="8182" spans="1:1" ht="15.75" x14ac:dyDescent="0.25">
      <c r="A8182" s="11"/>
    </row>
    <row r="8183" spans="1:1" ht="15.75" x14ac:dyDescent="0.25">
      <c r="A8183" s="11"/>
    </row>
    <row r="8184" spans="1:1" ht="15.75" x14ac:dyDescent="0.25">
      <c r="A8184" s="11"/>
    </row>
    <row r="8185" spans="1:1" ht="15.75" x14ac:dyDescent="0.25">
      <c r="A8185" s="11"/>
    </row>
    <row r="8186" spans="1:1" ht="15.75" x14ac:dyDescent="0.25">
      <c r="A8186" s="11"/>
    </row>
    <row r="8187" spans="1:1" ht="15.75" x14ac:dyDescent="0.25">
      <c r="A8187" s="11"/>
    </row>
    <row r="8188" spans="1:1" ht="15.75" x14ac:dyDescent="0.25">
      <c r="A8188" s="11"/>
    </row>
    <row r="8189" spans="1:1" ht="15.75" x14ac:dyDescent="0.25">
      <c r="A8189" s="11"/>
    </row>
    <row r="8190" spans="1:1" ht="15.75" x14ac:dyDescent="0.25">
      <c r="A8190" s="11"/>
    </row>
    <row r="8191" spans="1:1" ht="15.75" x14ac:dyDescent="0.25">
      <c r="A8191" s="11"/>
    </row>
    <row r="8192" spans="1:1" ht="15.75" x14ac:dyDescent="0.25">
      <c r="A8192" s="11"/>
    </row>
    <row r="8193" spans="1:1" ht="15.75" x14ac:dyDescent="0.25">
      <c r="A8193" s="11"/>
    </row>
    <row r="8194" spans="1:1" ht="15.75" x14ac:dyDescent="0.25">
      <c r="A8194" s="11"/>
    </row>
    <row r="8195" spans="1:1" ht="15.75" x14ac:dyDescent="0.25">
      <c r="A8195" s="11"/>
    </row>
    <row r="8196" spans="1:1" ht="15.75" x14ac:dyDescent="0.25">
      <c r="A8196" s="11"/>
    </row>
    <row r="8197" spans="1:1" ht="15.75" x14ac:dyDescent="0.25">
      <c r="A8197" s="11"/>
    </row>
    <row r="8198" spans="1:1" ht="15.75" x14ac:dyDescent="0.25">
      <c r="A8198" s="11"/>
    </row>
    <row r="8199" spans="1:1" ht="15.75" x14ac:dyDescent="0.25">
      <c r="A8199" s="11"/>
    </row>
    <row r="8200" spans="1:1" ht="15.75" x14ac:dyDescent="0.25">
      <c r="A8200" s="11"/>
    </row>
    <row r="8201" spans="1:1" ht="15.75" x14ac:dyDescent="0.25">
      <c r="A8201" s="11"/>
    </row>
    <row r="8202" spans="1:1" ht="15.75" x14ac:dyDescent="0.25">
      <c r="A8202" s="11"/>
    </row>
    <row r="8203" spans="1:1" ht="15.75" x14ac:dyDescent="0.25">
      <c r="A8203" s="11"/>
    </row>
    <row r="8204" spans="1:1" ht="15.75" x14ac:dyDescent="0.25">
      <c r="A8204" s="11"/>
    </row>
    <row r="8205" spans="1:1" ht="15.75" x14ac:dyDescent="0.25">
      <c r="A8205" s="11"/>
    </row>
    <row r="8206" spans="1:1" ht="15.75" x14ac:dyDescent="0.25">
      <c r="A8206" s="11"/>
    </row>
    <row r="8207" spans="1:1" ht="15.75" x14ac:dyDescent="0.25">
      <c r="A8207" s="11"/>
    </row>
    <row r="8208" spans="1:1" ht="15.75" x14ac:dyDescent="0.25">
      <c r="A8208" s="11"/>
    </row>
    <row r="8209" spans="1:1" ht="15.75" x14ac:dyDescent="0.25">
      <c r="A8209" s="11"/>
    </row>
    <row r="8210" spans="1:1" ht="15.75" x14ac:dyDescent="0.25">
      <c r="A8210" s="11"/>
    </row>
    <row r="8211" spans="1:1" ht="15.75" x14ac:dyDescent="0.25">
      <c r="A8211" s="11"/>
    </row>
    <row r="8212" spans="1:1" ht="15.75" x14ac:dyDescent="0.25">
      <c r="A8212" s="11"/>
    </row>
    <row r="8213" spans="1:1" ht="15.75" x14ac:dyDescent="0.25">
      <c r="A8213" s="11"/>
    </row>
    <row r="8214" spans="1:1" ht="15.75" x14ac:dyDescent="0.25">
      <c r="A8214" s="11"/>
    </row>
    <row r="8215" spans="1:1" ht="15.75" x14ac:dyDescent="0.25">
      <c r="A8215" s="11"/>
    </row>
    <row r="8216" spans="1:1" ht="15.75" x14ac:dyDescent="0.25">
      <c r="A8216" s="11"/>
    </row>
    <row r="8217" spans="1:1" ht="15.75" x14ac:dyDescent="0.25">
      <c r="A8217" s="11"/>
    </row>
    <row r="8218" spans="1:1" ht="15.75" x14ac:dyDescent="0.25">
      <c r="A8218" s="11"/>
    </row>
    <row r="8219" spans="1:1" ht="15.75" x14ac:dyDescent="0.25">
      <c r="A8219" s="11"/>
    </row>
    <row r="8220" spans="1:1" ht="15.75" x14ac:dyDescent="0.25">
      <c r="A8220" s="11"/>
    </row>
    <row r="8221" spans="1:1" ht="15.75" x14ac:dyDescent="0.25">
      <c r="A8221" s="11"/>
    </row>
    <row r="8222" spans="1:1" ht="15.75" x14ac:dyDescent="0.25">
      <c r="A8222" s="11"/>
    </row>
    <row r="8223" spans="1:1" ht="15.75" x14ac:dyDescent="0.25">
      <c r="A8223" s="11"/>
    </row>
    <row r="8224" spans="1:1" ht="15.75" x14ac:dyDescent="0.25">
      <c r="A8224" s="11"/>
    </row>
    <row r="8225" spans="1:1" ht="15.75" x14ac:dyDescent="0.25">
      <c r="A8225" s="11"/>
    </row>
    <row r="8226" spans="1:1" ht="15.75" x14ac:dyDescent="0.25">
      <c r="A8226" s="11"/>
    </row>
    <row r="8227" spans="1:1" ht="15.75" x14ac:dyDescent="0.25">
      <c r="A8227" s="11"/>
    </row>
    <row r="8228" spans="1:1" ht="15.75" x14ac:dyDescent="0.25">
      <c r="A8228" s="11"/>
    </row>
    <row r="8229" spans="1:1" ht="15.75" x14ac:dyDescent="0.25">
      <c r="A8229" s="11"/>
    </row>
    <row r="8230" spans="1:1" ht="15.75" x14ac:dyDescent="0.25">
      <c r="A8230" s="11"/>
    </row>
    <row r="8231" spans="1:1" ht="15.75" x14ac:dyDescent="0.25">
      <c r="A8231" s="11"/>
    </row>
    <row r="8232" spans="1:1" ht="15.75" x14ac:dyDescent="0.25">
      <c r="A8232" s="11"/>
    </row>
    <row r="8233" spans="1:1" ht="15.75" x14ac:dyDescent="0.25">
      <c r="A8233" s="11"/>
    </row>
    <row r="8234" spans="1:1" ht="15.75" x14ac:dyDescent="0.25">
      <c r="A8234" s="11"/>
    </row>
    <row r="8235" spans="1:1" ht="15.75" x14ac:dyDescent="0.25">
      <c r="A8235" s="11"/>
    </row>
    <row r="8236" spans="1:1" ht="15.75" x14ac:dyDescent="0.25">
      <c r="A8236" s="11"/>
    </row>
    <row r="8237" spans="1:1" ht="15.75" x14ac:dyDescent="0.25">
      <c r="A8237" s="11"/>
    </row>
    <row r="8238" spans="1:1" ht="15.75" x14ac:dyDescent="0.25">
      <c r="A8238" s="11"/>
    </row>
    <row r="8239" spans="1:1" ht="15.75" x14ac:dyDescent="0.25">
      <c r="A8239" s="11"/>
    </row>
    <row r="8240" spans="1:1" ht="15.75" x14ac:dyDescent="0.25">
      <c r="A8240" s="11"/>
    </row>
    <row r="8241" spans="1:1" ht="15.75" x14ac:dyDescent="0.25">
      <c r="A8241" s="11"/>
    </row>
    <row r="8242" spans="1:1" ht="15.75" x14ac:dyDescent="0.25">
      <c r="A8242" s="11"/>
    </row>
    <row r="8243" spans="1:1" ht="15.75" x14ac:dyDescent="0.25">
      <c r="A8243" s="11"/>
    </row>
    <row r="8244" spans="1:1" ht="15.75" x14ac:dyDescent="0.25">
      <c r="A8244" s="11"/>
    </row>
    <row r="8245" spans="1:1" ht="15.75" x14ac:dyDescent="0.25">
      <c r="A8245" s="11"/>
    </row>
    <row r="8246" spans="1:1" ht="15.75" x14ac:dyDescent="0.25">
      <c r="A8246" s="11"/>
    </row>
    <row r="8247" spans="1:1" ht="15.75" x14ac:dyDescent="0.25">
      <c r="A8247" s="11"/>
    </row>
    <row r="8248" spans="1:1" ht="15.75" x14ac:dyDescent="0.25">
      <c r="A8248" s="11"/>
    </row>
    <row r="8249" spans="1:1" ht="15.75" x14ac:dyDescent="0.25">
      <c r="A8249" s="11"/>
    </row>
    <row r="8250" spans="1:1" ht="15.75" x14ac:dyDescent="0.25">
      <c r="A8250" s="11"/>
    </row>
    <row r="8251" spans="1:1" ht="15.75" x14ac:dyDescent="0.25">
      <c r="A8251" s="11"/>
    </row>
    <row r="8252" spans="1:1" ht="15.75" x14ac:dyDescent="0.25">
      <c r="A8252" s="11"/>
    </row>
    <row r="8253" spans="1:1" ht="15.75" x14ac:dyDescent="0.25">
      <c r="A8253" s="11"/>
    </row>
    <row r="8254" spans="1:1" ht="15.75" x14ac:dyDescent="0.25">
      <c r="A8254" s="11"/>
    </row>
    <row r="8255" spans="1:1" ht="15.75" x14ac:dyDescent="0.25">
      <c r="A8255" s="11"/>
    </row>
    <row r="8256" spans="1:1" ht="15.75" x14ac:dyDescent="0.25">
      <c r="A8256" s="11"/>
    </row>
    <row r="8257" spans="1:1" ht="15.75" x14ac:dyDescent="0.25">
      <c r="A8257" s="11"/>
    </row>
    <row r="8258" spans="1:1" ht="15.75" x14ac:dyDescent="0.25">
      <c r="A8258" s="11"/>
    </row>
    <row r="8259" spans="1:1" ht="15.75" x14ac:dyDescent="0.25">
      <c r="A8259" s="11"/>
    </row>
    <row r="8260" spans="1:1" ht="15.75" x14ac:dyDescent="0.25">
      <c r="A8260" s="11"/>
    </row>
    <row r="8261" spans="1:1" ht="15.75" x14ac:dyDescent="0.25">
      <c r="A8261" s="11"/>
    </row>
    <row r="8262" spans="1:1" ht="15.75" x14ac:dyDescent="0.25">
      <c r="A8262" s="11"/>
    </row>
    <row r="8263" spans="1:1" ht="15.75" x14ac:dyDescent="0.25">
      <c r="A8263" s="11"/>
    </row>
    <row r="8264" spans="1:1" ht="15.75" x14ac:dyDescent="0.25">
      <c r="A8264" s="11"/>
    </row>
    <row r="8265" spans="1:1" ht="15.75" x14ac:dyDescent="0.25">
      <c r="A8265" s="11"/>
    </row>
    <row r="8266" spans="1:1" ht="15.75" x14ac:dyDescent="0.25">
      <c r="A8266" s="11"/>
    </row>
    <row r="8267" spans="1:1" ht="15.75" x14ac:dyDescent="0.25">
      <c r="A8267" s="11"/>
    </row>
    <row r="8268" spans="1:1" ht="15.75" x14ac:dyDescent="0.25">
      <c r="A8268" s="11"/>
    </row>
    <row r="8269" spans="1:1" ht="15.75" x14ac:dyDescent="0.25">
      <c r="A8269" s="11"/>
    </row>
    <row r="8270" spans="1:1" ht="15.75" x14ac:dyDescent="0.25">
      <c r="A8270" s="11"/>
    </row>
    <row r="8271" spans="1:1" ht="15.75" x14ac:dyDescent="0.25">
      <c r="A8271" s="11"/>
    </row>
    <row r="8272" spans="1:1" ht="15.75" x14ac:dyDescent="0.25">
      <c r="A8272" s="11"/>
    </row>
    <row r="8273" spans="1:1" ht="15.75" x14ac:dyDescent="0.25">
      <c r="A8273" s="11"/>
    </row>
    <row r="8274" spans="1:1" ht="15.75" x14ac:dyDescent="0.25">
      <c r="A8274" s="11"/>
    </row>
    <row r="8275" spans="1:1" ht="15.75" x14ac:dyDescent="0.25">
      <c r="A8275" s="11"/>
    </row>
    <row r="8276" spans="1:1" ht="15.75" x14ac:dyDescent="0.25">
      <c r="A8276" s="11"/>
    </row>
    <row r="8277" spans="1:1" ht="15.75" x14ac:dyDescent="0.25">
      <c r="A8277" s="11"/>
    </row>
    <row r="8278" spans="1:1" ht="15.75" x14ac:dyDescent="0.25">
      <c r="A8278" s="11"/>
    </row>
    <row r="8279" spans="1:1" ht="15.75" x14ac:dyDescent="0.25">
      <c r="A8279" s="11"/>
    </row>
    <row r="8280" spans="1:1" ht="15.75" x14ac:dyDescent="0.25">
      <c r="A8280" s="11"/>
    </row>
    <row r="8281" spans="1:1" ht="15.75" x14ac:dyDescent="0.25">
      <c r="A8281" s="11"/>
    </row>
    <row r="8282" spans="1:1" ht="15.75" x14ac:dyDescent="0.25">
      <c r="A8282" s="11"/>
    </row>
    <row r="8283" spans="1:1" ht="15.75" x14ac:dyDescent="0.25">
      <c r="A8283" s="11"/>
    </row>
    <row r="8284" spans="1:1" ht="15.75" x14ac:dyDescent="0.25">
      <c r="A8284" s="11"/>
    </row>
    <row r="8285" spans="1:1" ht="15.75" x14ac:dyDescent="0.25">
      <c r="A8285" s="11"/>
    </row>
    <row r="8286" spans="1:1" ht="15.75" x14ac:dyDescent="0.25">
      <c r="A8286" s="11"/>
    </row>
    <row r="8287" spans="1:1" ht="15.75" x14ac:dyDescent="0.25">
      <c r="A8287" s="11"/>
    </row>
    <row r="8288" spans="1:1" ht="15.75" x14ac:dyDescent="0.25">
      <c r="A8288" s="11"/>
    </row>
    <row r="8289" spans="1:1" ht="15.75" x14ac:dyDescent="0.25">
      <c r="A8289" s="11"/>
    </row>
    <row r="8290" spans="1:1" ht="15.75" x14ac:dyDescent="0.25">
      <c r="A8290" s="11"/>
    </row>
    <row r="8291" spans="1:1" ht="15.75" x14ac:dyDescent="0.25">
      <c r="A8291" s="11"/>
    </row>
    <row r="8292" spans="1:1" ht="15.75" x14ac:dyDescent="0.25">
      <c r="A8292" s="11"/>
    </row>
    <row r="8293" spans="1:1" ht="15.75" x14ac:dyDescent="0.25">
      <c r="A8293" s="11"/>
    </row>
    <row r="8294" spans="1:1" ht="15.75" x14ac:dyDescent="0.25">
      <c r="A8294" s="11"/>
    </row>
    <row r="8295" spans="1:1" ht="15.75" x14ac:dyDescent="0.25">
      <c r="A8295" s="11"/>
    </row>
    <row r="8296" spans="1:1" ht="15.75" x14ac:dyDescent="0.25">
      <c r="A8296" s="11"/>
    </row>
    <row r="8297" spans="1:1" ht="15.75" x14ac:dyDescent="0.25">
      <c r="A8297" s="11"/>
    </row>
    <row r="8298" spans="1:1" ht="15.75" x14ac:dyDescent="0.25">
      <c r="A8298" s="11"/>
    </row>
    <row r="8299" spans="1:1" ht="15.75" x14ac:dyDescent="0.25">
      <c r="A8299" s="11"/>
    </row>
    <row r="8300" spans="1:1" ht="15.75" x14ac:dyDescent="0.25">
      <c r="A8300" s="11"/>
    </row>
    <row r="8301" spans="1:1" ht="15.75" x14ac:dyDescent="0.25">
      <c r="A8301" s="11"/>
    </row>
    <row r="8302" spans="1:1" ht="15.75" x14ac:dyDescent="0.25">
      <c r="A8302" s="11"/>
    </row>
    <row r="8303" spans="1:1" ht="15.75" x14ac:dyDescent="0.25">
      <c r="A8303" s="11"/>
    </row>
    <row r="8304" spans="1:1" ht="15.75" x14ac:dyDescent="0.25">
      <c r="A8304" s="11"/>
    </row>
    <row r="8305" spans="1:1" ht="15.75" x14ac:dyDescent="0.25">
      <c r="A8305" s="11"/>
    </row>
    <row r="8306" spans="1:1" ht="15.75" x14ac:dyDescent="0.25">
      <c r="A8306" s="11"/>
    </row>
    <row r="8307" spans="1:1" ht="15.75" x14ac:dyDescent="0.25">
      <c r="A8307" s="11"/>
    </row>
    <row r="8308" spans="1:1" ht="15.75" x14ac:dyDescent="0.25">
      <c r="A8308" s="11"/>
    </row>
    <row r="8309" spans="1:1" ht="15.75" x14ac:dyDescent="0.25">
      <c r="A8309" s="11"/>
    </row>
    <row r="8310" spans="1:1" ht="15.75" x14ac:dyDescent="0.25">
      <c r="A8310" s="11"/>
    </row>
    <row r="8311" spans="1:1" ht="15.75" x14ac:dyDescent="0.25">
      <c r="A8311" s="11"/>
    </row>
    <row r="8312" spans="1:1" ht="15.75" x14ac:dyDescent="0.25">
      <c r="A8312" s="11"/>
    </row>
    <row r="8313" spans="1:1" ht="15.75" x14ac:dyDescent="0.25">
      <c r="A8313" s="11"/>
    </row>
    <row r="8314" spans="1:1" ht="15.75" x14ac:dyDescent="0.25">
      <c r="A8314" s="11"/>
    </row>
    <row r="8315" spans="1:1" ht="15.75" x14ac:dyDescent="0.25">
      <c r="A8315" s="11"/>
    </row>
    <row r="8316" spans="1:1" ht="15.75" x14ac:dyDescent="0.25">
      <c r="A8316" s="11"/>
    </row>
    <row r="8317" spans="1:1" ht="15.75" x14ac:dyDescent="0.25">
      <c r="A8317" s="11"/>
    </row>
    <row r="8318" spans="1:1" ht="15.75" x14ac:dyDescent="0.25">
      <c r="A8318" s="11"/>
    </row>
    <row r="8319" spans="1:1" ht="15.75" x14ac:dyDescent="0.25">
      <c r="A8319" s="11"/>
    </row>
    <row r="8320" spans="1:1" ht="15.75" x14ac:dyDescent="0.25">
      <c r="A8320" s="11"/>
    </row>
    <row r="8321" spans="1:1" ht="15.75" x14ac:dyDescent="0.25">
      <c r="A8321" s="11"/>
    </row>
    <row r="8322" spans="1:1" ht="15.75" x14ac:dyDescent="0.25">
      <c r="A8322" s="11"/>
    </row>
    <row r="8323" spans="1:1" ht="15.75" x14ac:dyDescent="0.25">
      <c r="A8323" s="11"/>
    </row>
    <row r="8324" spans="1:1" ht="15.75" x14ac:dyDescent="0.25">
      <c r="A8324" s="11"/>
    </row>
    <row r="8325" spans="1:1" ht="15.75" x14ac:dyDescent="0.25">
      <c r="A8325" s="11"/>
    </row>
    <row r="8326" spans="1:1" ht="15.75" x14ac:dyDescent="0.25">
      <c r="A8326" s="11"/>
    </row>
    <row r="8327" spans="1:1" ht="15.75" x14ac:dyDescent="0.25">
      <c r="A8327" s="11"/>
    </row>
    <row r="8328" spans="1:1" ht="15.75" x14ac:dyDescent="0.25">
      <c r="A8328" s="11"/>
    </row>
    <row r="8329" spans="1:1" ht="15.75" x14ac:dyDescent="0.25">
      <c r="A8329" s="11"/>
    </row>
    <row r="8330" spans="1:1" ht="15.75" x14ac:dyDescent="0.25">
      <c r="A8330" s="11"/>
    </row>
    <row r="8331" spans="1:1" ht="15.75" x14ac:dyDescent="0.25">
      <c r="A8331" s="11"/>
    </row>
    <row r="8332" spans="1:1" ht="15.75" x14ac:dyDescent="0.25">
      <c r="A8332" s="11"/>
    </row>
    <row r="8333" spans="1:1" ht="15.75" x14ac:dyDescent="0.25">
      <c r="A8333" s="11"/>
    </row>
    <row r="8334" spans="1:1" ht="15.75" x14ac:dyDescent="0.25">
      <c r="A8334" s="11"/>
    </row>
    <row r="8335" spans="1:1" ht="15.75" x14ac:dyDescent="0.25">
      <c r="A8335" s="11"/>
    </row>
    <row r="8336" spans="1:1" ht="15.75" x14ac:dyDescent="0.25">
      <c r="A8336" s="11"/>
    </row>
    <row r="8337" spans="1:1" ht="15.75" x14ac:dyDescent="0.25">
      <c r="A8337" s="11"/>
    </row>
    <row r="8338" spans="1:1" ht="15.75" x14ac:dyDescent="0.25">
      <c r="A8338" s="11"/>
    </row>
    <row r="8339" spans="1:1" ht="15.75" x14ac:dyDescent="0.25">
      <c r="A8339" s="11"/>
    </row>
    <row r="8340" spans="1:1" ht="15.75" x14ac:dyDescent="0.25">
      <c r="A8340" s="11"/>
    </row>
    <row r="8341" spans="1:1" ht="15.75" x14ac:dyDescent="0.25">
      <c r="A8341" s="11"/>
    </row>
    <row r="8342" spans="1:1" ht="15.75" x14ac:dyDescent="0.25">
      <c r="A8342" s="11"/>
    </row>
    <row r="8343" spans="1:1" ht="15.75" x14ac:dyDescent="0.25">
      <c r="A8343" s="11"/>
    </row>
    <row r="8344" spans="1:1" ht="15.75" x14ac:dyDescent="0.25">
      <c r="A8344" s="11"/>
    </row>
    <row r="8345" spans="1:1" ht="15.75" x14ac:dyDescent="0.25">
      <c r="A8345" s="11"/>
    </row>
    <row r="8346" spans="1:1" ht="15.75" x14ac:dyDescent="0.25">
      <c r="A8346" s="11"/>
    </row>
    <row r="8347" spans="1:1" ht="15.75" x14ac:dyDescent="0.25">
      <c r="A8347" s="11"/>
    </row>
    <row r="8348" spans="1:1" ht="15.75" x14ac:dyDescent="0.25">
      <c r="A8348" s="11"/>
    </row>
    <row r="8349" spans="1:1" ht="15.75" x14ac:dyDescent="0.25">
      <c r="A8349" s="11"/>
    </row>
    <row r="8350" spans="1:1" ht="15.75" x14ac:dyDescent="0.25">
      <c r="A8350" s="11"/>
    </row>
    <row r="8351" spans="1:1" ht="15.75" x14ac:dyDescent="0.25">
      <c r="A8351" s="11"/>
    </row>
    <row r="8352" spans="1:1" ht="15.75" x14ac:dyDescent="0.25">
      <c r="A8352" s="11"/>
    </row>
    <row r="8353" spans="1:1" ht="15.75" x14ac:dyDescent="0.25">
      <c r="A8353" s="11"/>
    </row>
    <row r="8354" spans="1:1" ht="15.75" x14ac:dyDescent="0.25">
      <c r="A8354" s="11"/>
    </row>
    <row r="8355" spans="1:1" ht="15.75" x14ac:dyDescent="0.25">
      <c r="A8355" s="11"/>
    </row>
    <row r="8356" spans="1:1" ht="15.75" x14ac:dyDescent="0.25">
      <c r="A8356" s="11"/>
    </row>
    <row r="8357" spans="1:1" ht="15.75" x14ac:dyDescent="0.25">
      <c r="A8357" s="11"/>
    </row>
    <row r="8358" spans="1:1" ht="15.75" x14ac:dyDescent="0.25">
      <c r="A8358" s="11"/>
    </row>
    <row r="8359" spans="1:1" ht="15.75" x14ac:dyDescent="0.25">
      <c r="A8359" s="11"/>
    </row>
    <row r="8360" spans="1:1" ht="15.75" x14ac:dyDescent="0.25">
      <c r="A8360" s="11"/>
    </row>
    <row r="8361" spans="1:1" ht="15.75" x14ac:dyDescent="0.25">
      <c r="A8361" s="11"/>
    </row>
    <row r="8362" spans="1:1" ht="15.75" x14ac:dyDescent="0.25">
      <c r="A8362" s="11"/>
    </row>
    <row r="8363" spans="1:1" ht="15.75" x14ac:dyDescent="0.25">
      <c r="A8363" s="11"/>
    </row>
    <row r="8364" spans="1:1" ht="15.75" x14ac:dyDescent="0.25">
      <c r="A8364" s="11"/>
    </row>
    <row r="8365" spans="1:1" ht="15.75" x14ac:dyDescent="0.25">
      <c r="A8365" s="11"/>
    </row>
    <row r="8366" spans="1:1" ht="15.75" x14ac:dyDescent="0.25">
      <c r="A8366" s="11"/>
    </row>
    <row r="8367" spans="1:1" ht="15.75" x14ac:dyDescent="0.25">
      <c r="A8367" s="11"/>
    </row>
    <row r="8368" spans="1:1" ht="15.75" x14ac:dyDescent="0.25">
      <c r="A8368" s="11"/>
    </row>
    <row r="8369" spans="1:1" ht="15.75" x14ac:dyDescent="0.25">
      <c r="A8369" s="11"/>
    </row>
    <row r="8370" spans="1:1" ht="15.75" x14ac:dyDescent="0.25">
      <c r="A8370" s="11"/>
    </row>
    <row r="8371" spans="1:1" ht="15.75" x14ac:dyDescent="0.25">
      <c r="A8371" s="11"/>
    </row>
    <row r="8372" spans="1:1" ht="15.75" x14ac:dyDescent="0.25">
      <c r="A8372" s="11"/>
    </row>
    <row r="8373" spans="1:1" ht="15.75" x14ac:dyDescent="0.25">
      <c r="A8373" s="11"/>
    </row>
    <row r="8374" spans="1:1" ht="15.75" x14ac:dyDescent="0.25">
      <c r="A8374" s="11"/>
    </row>
    <row r="8375" spans="1:1" ht="15.75" x14ac:dyDescent="0.25">
      <c r="A8375" s="11"/>
    </row>
    <row r="8376" spans="1:1" ht="15.75" x14ac:dyDescent="0.25">
      <c r="A8376" s="11"/>
    </row>
    <row r="8377" spans="1:1" ht="15.75" x14ac:dyDescent="0.25">
      <c r="A8377" s="11"/>
    </row>
    <row r="8378" spans="1:1" ht="15.75" x14ac:dyDescent="0.25">
      <c r="A8378" s="11"/>
    </row>
    <row r="8379" spans="1:1" ht="15.75" x14ac:dyDescent="0.25">
      <c r="A8379" s="11"/>
    </row>
    <row r="8380" spans="1:1" ht="15.75" x14ac:dyDescent="0.25">
      <c r="A8380" s="11"/>
    </row>
    <row r="8381" spans="1:1" ht="15.75" x14ac:dyDescent="0.25">
      <c r="A8381" s="11"/>
    </row>
    <row r="8382" spans="1:1" ht="15.75" x14ac:dyDescent="0.25">
      <c r="A8382" s="11"/>
    </row>
    <row r="8383" spans="1:1" ht="15.75" x14ac:dyDescent="0.25">
      <c r="A8383" s="11"/>
    </row>
    <row r="8384" spans="1:1" ht="15.75" x14ac:dyDescent="0.25">
      <c r="A8384" s="11"/>
    </row>
    <row r="8385" spans="1:1" ht="15.75" x14ac:dyDescent="0.25">
      <c r="A8385" s="11"/>
    </row>
    <row r="8386" spans="1:1" ht="15.75" x14ac:dyDescent="0.25">
      <c r="A8386" s="11"/>
    </row>
    <row r="8387" spans="1:1" ht="15.75" x14ac:dyDescent="0.25">
      <c r="A8387" s="11"/>
    </row>
    <row r="8388" spans="1:1" ht="15.75" x14ac:dyDescent="0.25">
      <c r="A8388" s="11"/>
    </row>
    <row r="8389" spans="1:1" ht="15.75" x14ac:dyDescent="0.25">
      <c r="A8389" s="11"/>
    </row>
    <row r="8390" spans="1:1" ht="15.75" x14ac:dyDescent="0.25">
      <c r="A8390" s="11"/>
    </row>
    <row r="8391" spans="1:1" ht="15.75" x14ac:dyDescent="0.25">
      <c r="A8391" s="11"/>
    </row>
    <row r="8392" spans="1:1" ht="15.75" x14ac:dyDescent="0.25">
      <c r="A8392" s="11"/>
    </row>
    <row r="8393" spans="1:1" ht="15.75" x14ac:dyDescent="0.25">
      <c r="A8393" s="11"/>
    </row>
    <row r="8394" spans="1:1" ht="15.75" x14ac:dyDescent="0.25">
      <c r="A8394" s="11"/>
    </row>
    <row r="8395" spans="1:1" ht="15.75" x14ac:dyDescent="0.25">
      <c r="A8395" s="11"/>
    </row>
    <row r="8396" spans="1:1" ht="15.75" x14ac:dyDescent="0.25">
      <c r="A8396" s="11"/>
    </row>
    <row r="8397" spans="1:1" ht="15.75" x14ac:dyDescent="0.25">
      <c r="A8397" s="11"/>
    </row>
    <row r="8398" spans="1:1" ht="15.75" x14ac:dyDescent="0.25">
      <c r="A8398" s="11"/>
    </row>
    <row r="8399" spans="1:1" ht="15.75" x14ac:dyDescent="0.25">
      <c r="A8399" s="11"/>
    </row>
    <row r="8400" spans="1:1" ht="15.75" x14ac:dyDescent="0.25">
      <c r="A8400" s="11"/>
    </row>
    <row r="8401" spans="1:1" ht="15.75" x14ac:dyDescent="0.25">
      <c r="A8401" s="11"/>
    </row>
    <row r="8402" spans="1:1" ht="15.75" x14ac:dyDescent="0.25">
      <c r="A8402" s="11"/>
    </row>
    <row r="8403" spans="1:1" ht="15.75" x14ac:dyDescent="0.25">
      <c r="A8403" s="11"/>
    </row>
    <row r="8404" spans="1:1" ht="15.75" x14ac:dyDescent="0.25">
      <c r="A8404" s="11"/>
    </row>
    <row r="8405" spans="1:1" ht="15.75" x14ac:dyDescent="0.25">
      <c r="A8405" s="11"/>
    </row>
    <row r="8406" spans="1:1" ht="15.75" x14ac:dyDescent="0.25">
      <c r="A8406" s="11"/>
    </row>
    <row r="8407" spans="1:1" ht="15.75" x14ac:dyDescent="0.25">
      <c r="A8407" s="11"/>
    </row>
    <row r="8408" spans="1:1" ht="15.75" x14ac:dyDescent="0.25">
      <c r="A8408" s="11"/>
    </row>
    <row r="8409" spans="1:1" ht="15.75" x14ac:dyDescent="0.25">
      <c r="A8409" s="11"/>
    </row>
    <row r="8410" spans="1:1" ht="15.75" x14ac:dyDescent="0.25">
      <c r="A8410" s="11"/>
    </row>
    <row r="8411" spans="1:1" ht="15.75" x14ac:dyDescent="0.25">
      <c r="A8411" s="11"/>
    </row>
    <row r="8412" spans="1:1" ht="15.75" x14ac:dyDescent="0.25">
      <c r="A8412" s="11"/>
    </row>
    <row r="8413" spans="1:1" ht="15.75" x14ac:dyDescent="0.25">
      <c r="A8413" s="11"/>
    </row>
    <row r="8414" spans="1:1" ht="15.75" x14ac:dyDescent="0.25">
      <c r="A8414" s="11"/>
    </row>
    <row r="8415" spans="1:1" ht="15.75" x14ac:dyDescent="0.25">
      <c r="A8415" s="11"/>
    </row>
    <row r="8416" spans="1:1" ht="15.75" x14ac:dyDescent="0.25">
      <c r="A8416" s="11"/>
    </row>
    <row r="8417" spans="1:1" ht="15.75" x14ac:dyDescent="0.25">
      <c r="A8417" s="11"/>
    </row>
    <row r="8418" spans="1:1" ht="15.75" x14ac:dyDescent="0.25">
      <c r="A8418" s="11"/>
    </row>
    <row r="8419" spans="1:1" ht="15.75" x14ac:dyDescent="0.25">
      <c r="A8419" s="11"/>
    </row>
    <row r="8420" spans="1:1" ht="15.75" x14ac:dyDescent="0.25">
      <c r="A8420" s="11"/>
    </row>
    <row r="8421" spans="1:1" ht="15.75" x14ac:dyDescent="0.25">
      <c r="A8421" s="11"/>
    </row>
    <row r="8422" spans="1:1" ht="15.75" x14ac:dyDescent="0.25">
      <c r="A8422" s="11"/>
    </row>
    <row r="8423" spans="1:1" ht="15.75" x14ac:dyDescent="0.25">
      <c r="A8423" s="11"/>
    </row>
    <row r="8424" spans="1:1" ht="15.75" x14ac:dyDescent="0.25">
      <c r="A8424" s="11"/>
    </row>
    <row r="8425" spans="1:1" ht="15.75" x14ac:dyDescent="0.25">
      <c r="A8425" s="11"/>
    </row>
    <row r="8426" spans="1:1" ht="15.75" x14ac:dyDescent="0.25">
      <c r="A8426" s="11"/>
    </row>
    <row r="8427" spans="1:1" ht="15.75" x14ac:dyDescent="0.25">
      <c r="A8427" s="11"/>
    </row>
    <row r="8428" spans="1:1" ht="15.75" x14ac:dyDescent="0.25">
      <c r="A8428" s="11"/>
    </row>
    <row r="8429" spans="1:1" ht="15.75" x14ac:dyDescent="0.25">
      <c r="A8429" s="11"/>
    </row>
    <row r="8430" spans="1:1" ht="15.75" x14ac:dyDescent="0.25">
      <c r="A8430" s="11"/>
    </row>
    <row r="8431" spans="1:1" ht="15.75" x14ac:dyDescent="0.25">
      <c r="A8431" s="11"/>
    </row>
    <row r="8432" spans="1:1" ht="15.75" x14ac:dyDescent="0.25">
      <c r="A8432" s="11"/>
    </row>
    <row r="8433" spans="1:1" ht="15.75" x14ac:dyDescent="0.25">
      <c r="A8433" s="11"/>
    </row>
    <row r="8434" spans="1:1" ht="15.75" x14ac:dyDescent="0.25">
      <c r="A8434" s="11"/>
    </row>
    <row r="8435" spans="1:1" ht="15.75" x14ac:dyDescent="0.25">
      <c r="A8435" s="11"/>
    </row>
    <row r="8436" spans="1:1" ht="15.75" x14ac:dyDescent="0.25">
      <c r="A8436" s="11"/>
    </row>
    <row r="8437" spans="1:1" ht="15.75" x14ac:dyDescent="0.25">
      <c r="A8437" s="11"/>
    </row>
    <row r="8438" spans="1:1" ht="15.75" x14ac:dyDescent="0.25">
      <c r="A8438" s="11"/>
    </row>
    <row r="8439" spans="1:1" ht="15.75" x14ac:dyDescent="0.25">
      <c r="A8439" s="11"/>
    </row>
    <row r="8440" spans="1:1" ht="15.75" x14ac:dyDescent="0.25">
      <c r="A8440" s="11"/>
    </row>
    <row r="8441" spans="1:1" ht="15.75" x14ac:dyDescent="0.25">
      <c r="A8441" s="11"/>
    </row>
    <row r="8442" spans="1:1" ht="15.75" x14ac:dyDescent="0.25">
      <c r="A8442" s="11"/>
    </row>
    <row r="8443" spans="1:1" ht="15.75" x14ac:dyDescent="0.25">
      <c r="A8443" s="11"/>
    </row>
    <row r="8444" spans="1:1" ht="15.75" x14ac:dyDescent="0.25">
      <c r="A8444" s="11"/>
    </row>
    <row r="8445" spans="1:1" ht="15.75" x14ac:dyDescent="0.25">
      <c r="A8445" s="11"/>
    </row>
    <row r="8446" spans="1:1" ht="15.75" x14ac:dyDescent="0.25">
      <c r="A8446" s="11"/>
    </row>
    <row r="8447" spans="1:1" ht="15.75" x14ac:dyDescent="0.25">
      <c r="A8447" s="11"/>
    </row>
    <row r="8448" spans="1:1" ht="15.75" x14ac:dyDescent="0.25">
      <c r="A8448" s="11"/>
    </row>
    <row r="8449" spans="1:1" ht="15.75" x14ac:dyDescent="0.25">
      <c r="A8449" s="11"/>
    </row>
    <row r="8450" spans="1:1" ht="15.75" x14ac:dyDescent="0.25">
      <c r="A8450" s="11"/>
    </row>
    <row r="8451" spans="1:1" ht="15.75" x14ac:dyDescent="0.25">
      <c r="A8451" s="11"/>
    </row>
    <row r="8452" spans="1:1" ht="15.75" x14ac:dyDescent="0.25">
      <c r="A8452" s="11"/>
    </row>
    <row r="8453" spans="1:1" ht="15.75" x14ac:dyDescent="0.25">
      <c r="A8453" s="11"/>
    </row>
    <row r="8454" spans="1:1" ht="15.75" x14ac:dyDescent="0.25">
      <c r="A8454" s="11"/>
    </row>
    <row r="8455" spans="1:1" ht="15.75" x14ac:dyDescent="0.25">
      <c r="A8455" s="11"/>
    </row>
    <row r="8456" spans="1:1" ht="15.75" x14ac:dyDescent="0.25">
      <c r="A8456" s="11"/>
    </row>
    <row r="8457" spans="1:1" ht="15.75" x14ac:dyDescent="0.25">
      <c r="A8457" s="11"/>
    </row>
    <row r="8458" spans="1:1" ht="15.75" x14ac:dyDescent="0.25">
      <c r="A8458" s="11"/>
    </row>
    <row r="8459" spans="1:1" ht="15.75" x14ac:dyDescent="0.25">
      <c r="A8459" s="11"/>
    </row>
    <row r="8460" spans="1:1" ht="15.75" x14ac:dyDescent="0.25">
      <c r="A8460" s="11"/>
    </row>
    <row r="8461" spans="1:1" ht="15.75" x14ac:dyDescent="0.25">
      <c r="A8461" s="11"/>
    </row>
    <row r="8462" spans="1:1" ht="15.75" x14ac:dyDescent="0.25">
      <c r="A8462" s="11"/>
    </row>
    <row r="8463" spans="1:1" ht="15.75" x14ac:dyDescent="0.25">
      <c r="A8463" s="11"/>
    </row>
    <row r="8464" spans="1:1" ht="15.75" x14ac:dyDescent="0.25">
      <c r="A8464" s="11"/>
    </row>
    <row r="8465" spans="1:1" ht="15.75" x14ac:dyDescent="0.25">
      <c r="A8465" s="11"/>
    </row>
    <row r="8466" spans="1:1" ht="15.75" x14ac:dyDescent="0.25">
      <c r="A8466" s="11"/>
    </row>
    <row r="8467" spans="1:1" ht="15.75" x14ac:dyDescent="0.25">
      <c r="A8467" s="11"/>
    </row>
    <row r="8468" spans="1:1" ht="15.75" x14ac:dyDescent="0.25">
      <c r="A8468" s="11"/>
    </row>
    <row r="8469" spans="1:1" ht="15.75" x14ac:dyDescent="0.25">
      <c r="A8469" s="11"/>
    </row>
    <row r="8470" spans="1:1" ht="15.75" x14ac:dyDescent="0.25">
      <c r="A8470" s="11"/>
    </row>
    <row r="8471" spans="1:1" ht="15.75" x14ac:dyDescent="0.25">
      <c r="A8471" s="11"/>
    </row>
    <row r="8472" spans="1:1" ht="15.75" x14ac:dyDescent="0.25">
      <c r="A8472" s="11"/>
    </row>
    <row r="8473" spans="1:1" ht="15.75" x14ac:dyDescent="0.25">
      <c r="A8473" s="11"/>
    </row>
    <row r="8474" spans="1:1" ht="15.75" x14ac:dyDescent="0.25">
      <c r="A8474" s="11"/>
    </row>
    <row r="8475" spans="1:1" ht="15.75" x14ac:dyDescent="0.25">
      <c r="A8475" s="11"/>
    </row>
    <row r="8476" spans="1:1" ht="15.75" x14ac:dyDescent="0.25">
      <c r="A8476" s="11"/>
    </row>
    <row r="8477" spans="1:1" ht="15.75" x14ac:dyDescent="0.25">
      <c r="A8477" s="11"/>
    </row>
    <row r="8478" spans="1:1" ht="15.75" x14ac:dyDescent="0.25">
      <c r="A8478" s="11"/>
    </row>
    <row r="8479" spans="1:1" ht="15.75" x14ac:dyDescent="0.25">
      <c r="A8479" s="11"/>
    </row>
    <row r="8480" spans="1:1" ht="15.75" x14ac:dyDescent="0.25">
      <c r="A8480" s="11"/>
    </row>
    <row r="8481" spans="1:1" ht="15.75" x14ac:dyDescent="0.25">
      <c r="A8481" s="11"/>
    </row>
    <row r="8482" spans="1:1" ht="15.75" x14ac:dyDescent="0.25">
      <c r="A8482" s="11"/>
    </row>
    <row r="8483" spans="1:1" ht="15.75" x14ac:dyDescent="0.25">
      <c r="A8483" s="11"/>
    </row>
    <row r="8484" spans="1:1" ht="15.75" x14ac:dyDescent="0.25">
      <c r="A8484" s="11"/>
    </row>
    <row r="8485" spans="1:1" ht="15.75" x14ac:dyDescent="0.25">
      <c r="A8485" s="11"/>
    </row>
    <row r="8486" spans="1:1" ht="15.75" x14ac:dyDescent="0.25">
      <c r="A8486" s="11"/>
    </row>
    <row r="8487" spans="1:1" ht="15.75" x14ac:dyDescent="0.25">
      <c r="A8487" s="11"/>
    </row>
    <row r="8488" spans="1:1" ht="15.75" x14ac:dyDescent="0.25">
      <c r="A8488" s="11"/>
    </row>
    <row r="8489" spans="1:1" ht="15.75" x14ac:dyDescent="0.25">
      <c r="A8489" s="11"/>
    </row>
    <row r="8490" spans="1:1" ht="15.75" x14ac:dyDescent="0.25">
      <c r="A8490" s="11"/>
    </row>
    <row r="8491" spans="1:1" ht="15.75" x14ac:dyDescent="0.25">
      <c r="A8491" s="11"/>
    </row>
    <row r="8492" spans="1:1" ht="15.75" x14ac:dyDescent="0.25">
      <c r="A8492" s="11"/>
    </row>
    <row r="8493" spans="1:1" ht="15.75" x14ac:dyDescent="0.25">
      <c r="A8493" s="11"/>
    </row>
    <row r="8494" spans="1:1" ht="15.75" x14ac:dyDescent="0.25">
      <c r="A8494" s="11"/>
    </row>
    <row r="8495" spans="1:1" ht="15.75" x14ac:dyDescent="0.25">
      <c r="A8495" s="11"/>
    </row>
    <row r="8496" spans="1:1" ht="15.75" x14ac:dyDescent="0.25">
      <c r="A8496" s="11"/>
    </row>
    <row r="8497" spans="1:1" ht="15.75" x14ac:dyDescent="0.25">
      <c r="A8497" s="11"/>
    </row>
    <row r="8498" spans="1:1" ht="15.75" x14ac:dyDescent="0.25">
      <c r="A8498" s="11"/>
    </row>
    <row r="8499" spans="1:1" ht="15.75" x14ac:dyDescent="0.25">
      <c r="A8499" s="11"/>
    </row>
    <row r="8500" spans="1:1" ht="15.75" x14ac:dyDescent="0.25">
      <c r="A8500" s="11"/>
    </row>
    <row r="8501" spans="1:1" ht="15.75" x14ac:dyDescent="0.25">
      <c r="A8501" s="11"/>
    </row>
    <row r="8502" spans="1:1" ht="15.75" x14ac:dyDescent="0.25">
      <c r="A8502" s="11"/>
    </row>
    <row r="8503" spans="1:1" ht="15.75" x14ac:dyDescent="0.25">
      <c r="A8503" s="11"/>
    </row>
    <row r="8504" spans="1:1" ht="15.75" x14ac:dyDescent="0.25">
      <c r="A8504" s="11"/>
    </row>
    <row r="8505" spans="1:1" ht="15.75" x14ac:dyDescent="0.25">
      <c r="A8505" s="11"/>
    </row>
    <row r="8506" spans="1:1" ht="15.75" x14ac:dyDescent="0.25">
      <c r="A8506" s="11"/>
    </row>
    <row r="8507" spans="1:1" ht="15.75" x14ac:dyDescent="0.25">
      <c r="A8507" s="11"/>
    </row>
    <row r="8508" spans="1:1" ht="15.75" x14ac:dyDescent="0.25">
      <c r="A8508" s="11"/>
    </row>
    <row r="8509" spans="1:1" ht="15.75" x14ac:dyDescent="0.25">
      <c r="A8509" s="11"/>
    </row>
    <row r="8510" spans="1:1" ht="15.75" x14ac:dyDescent="0.25">
      <c r="A8510" s="11"/>
    </row>
    <row r="8511" spans="1:1" ht="15.75" x14ac:dyDescent="0.25">
      <c r="A8511" s="11"/>
    </row>
    <row r="8512" spans="1:1" ht="15.75" x14ac:dyDescent="0.25">
      <c r="A8512" s="11"/>
    </row>
    <row r="8513" spans="1:1" ht="15.75" x14ac:dyDescent="0.25">
      <c r="A8513" s="11"/>
    </row>
    <row r="8514" spans="1:1" ht="15.75" x14ac:dyDescent="0.25">
      <c r="A8514" s="11"/>
    </row>
    <row r="8515" spans="1:1" ht="15.75" x14ac:dyDescent="0.25">
      <c r="A8515" s="11"/>
    </row>
    <row r="8516" spans="1:1" ht="15.75" x14ac:dyDescent="0.25">
      <c r="A8516" s="11"/>
    </row>
    <row r="8517" spans="1:1" ht="15.75" x14ac:dyDescent="0.25">
      <c r="A8517" s="11"/>
    </row>
    <row r="8518" spans="1:1" ht="15.75" x14ac:dyDescent="0.25">
      <c r="A8518" s="11"/>
    </row>
    <row r="8519" spans="1:1" ht="15.75" x14ac:dyDescent="0.25">
      <c r="A8519" s="11"/>
    </row>
    <row r="8520" spans="1:1" ht="15.75" x14ac:dyDescent="0.25">
      <c r="A8520" s="11"/>
    </row>
    <row r="8521" spans="1:1" ht="15.75" x14ac:dyDescent="0.25">
      <c r="A8521" s="11"/>
    </row>
    <row r="8522" spans="1:1" ht="15.75" x14ac:dyDescent="0.25">
      <c r="A8522" s="11"/>
    </row>
    <row r="8523" spans="1:1" ht="15.75" x14ac:dyDescent="0.25">
      <c r="A8523" s="11"/>
    </row>
    <row r="8524" spans="1:1" ht="15.75" x14ac:dyDescent="0.25">
      <c r="A8524" s="11"/>
    </row>
    <row r="8525" spans="1:1" ht="15.75" x14ac:dyDescent="0.25">
      <c r="A8525" s="11"/>
    </row>
    <row r="8526" spans="1:1" ht="15.75" x14ac:dyDescent="0.25">
      <c r="A8526" s="11"/>
    </row>
    <row r="8527" spans="1:1" ht="15.75" x14ac:dyDescent="0.25">
      <c r="A8527" s="11"/>
    </row>
    <row r="8528" spans="1:1" ht="15.75" x14ac:dyDescent="0.25">
      <c r="A8528" s="11"/>
    </row>
    <row r="8529" spans="1:1" ht="15.75" x14ac:dyDescent="0.25">
      <c r="A8529" s="11"/>
    </row>
    <row r="8530" spans="1:1" ht="15.75" x14ac:dyDescent="0.25">
      <c r="A8530" s="11"/>
    </row>
    <row r="8531" spans="1:1" ht="15.75" x14ac:dyDescent="0.25">
      <c r="A8531" s="11"/>
    </row>
    <row r="8532" spans="1:1" ht="15.75" x14ac:dyDescent="0.25">
      <c r="A8532" s="11"/>
    </row>
    <row r="8533" spans="1:1" ht="15.75" x14ac:dyDescent="0.25">
      <c r="A8533" s="11"/>
    </row>
    <row r="8534" spans="1:1" ht="15.75" x14ac:dyDescent="0.25">
      <c r="A8534" s="11"/>
    </row>
    <row r="8535" spans="1:1" ht="15.75" x14ac:dyDescent="0.25">
      <c r="A8535" s="11"/>
    </row>
    <row r="8536" spans="1:1" ht="15.75" x14ac:dyDescent="0.25">
      <c r="A8536" s="11"/>
    </row>
    <row r="8537" spans="1:1" ht="15.75" x14ac:dyDescent="0.25">
      <c r="A8537" s="11"/>
    </row>
    <row r="8538" spans="1:1" ht="15.75" x14ac:dyDescent="0.25">
      <c r="A8538" s="11"/>
    </row>
    <row r="8539" spans="1:1" ht="15.75" x14ac:dyDescent="0.25">
      <c r="A8539" s="11"/>
    </row>
    <row r="8540" spans="1:1" ht="15.75" x14ac:dyDescent="0.25">
      <c r="A8540" s="11"/>
    </row>
    <row r="8541" spans="1:1" ht="15.75" x14ac:dyDescent="0.25">
      <c r="A8541" s="11"/>
    </row>
    <row r="8542" spans="1:1" ht="15.75" x14ac:dyDescent="0.25">
      <c r="A8542" s="11"/>
    </row>
    <row r="8543" spans="1:1" ht="15.75" x14ac:dyDescent="0.25">
      <c r="A8543" s="11"/>
    </row>
    <row r="8544" spans="1:1" ht="15.75" x14ac:dyDescent="0.25">
      <c r="A8544" s="11"/>
    </row>
    <row r="8545" spans="1:1" ht="15.75" x14ac:dyDescent="0.25">
      <c r="A8545" s="11"/>
    </row>
    <row r="8546" spans="1:1" ht="15.75" x14ac:dyDescent="0.25">
      <c r="A8546" s="11"/>
    </row>
    <row r="8547" spans="1:1" ht="15.75" x14ac:dyDescent="0.25">
      <c r="A8547" s="11"/>
    </row>
    <row r="8548" spans="1:1" ht="15.75" x14ac:dyDescent="0.25">
      <c r="A8548" s="11"/>
    </row>
    <row r="8549" spans="1:1" ht="15.75" x14ac:dyDescent="0.25">
      <c r="A8549" s="11"/>
    </row>
    <row r="8550" spans="1:1" ht="15.75" x14ac:dyDescent="0.25">
      <c r="A8550" s="11"/>
    </row>
    <row r="8551" spans="1:1" ht="15.75" x14ac:dyDescent="0.25">
      <c r="A8551" s="11"/>
    </row>
    <row r="8552" spans="1:1" ht="15.75" x14ac:dyDescent="0.25">
      <c r="A8552" s="11"/>
    </row>
    <row r="8553" spans="1:1" ht="15.75" x14ac:dyDescent="0.25">
      <c r="A8553" s="11"/>
    </row>
    <row r="8554" spans="1:1" ht="15.75" x14ac:dyDescent="0.25">
      <c r="A8554" s="11"/>
    </row>
    <row r="8555" spans="1:1" ht="15.75" x14ac:dyDescent="0.25">
      <c r="A8555" s="11"/>
    </row>
    <row r="8556" spans="1:1" ht="15.75" x14ac:dyDescent="0.25">
      <c r="A8556" s="11"/>
    </row>
    <row r="8557" spans="1:1" ht="15.75" x14ac:dyDescent="0.25">
      <c r="A8557" s="11"/>
    </row>
    <row r="8558" spans="1:1" ht="15.75" x14ac:dyDescent="0.25">
      <c r="A8558" s="11"/>
    </row>
    <row r="8559" spans="1:1" ht="15.75" x14ac:dyDescent="0.25">
      <c r="A8559" s="11"/>
    </row>
    <row r="8560" spans="1:1" ht="15.75" x14ac:dyDescent="0.25">
      <c r="A8560" s="11"/>
    </row>
    <row r="8561" spans="1:1" ht="15.75" x14ac:dyDescent="0.25">
      <c r="A8561" s="11"/>
    </row>
    <row r="8562" spans="1:1" ht="15.75" x14ac:dyDescent="0.25">
      <c r="A8562" s="11"/>
    </row>
    <row r="8563" spans="1:1" ht="15.75" x14ac:dyDescent="0.25">
      <c r="A8563" s="11"/>
    </row>
    <row r="8564" spans="1:1" ht="15.75" x14ac:dyDescent="0.25">
      <c r="A8564" s="11"/>
    </row>
    <row r="8565" spans="1:1" ht="15.75" x14ac:dyDescent="0.25">
      <c r="A8565" s="11"/>
    </row>
    <row r="8566" spans="1:1" ht="15.75" x14ac:dyDescent="0.25">
      <c r="A8566" s="11"/>
    </row>
    <row r="8567" spans="1:1" ht="15.75" x14ac:dyDescent="0.25">
      <c r="A8567" s="11"/>
    </row>
    <row r="8568" spans="1:1" ht="15.75" x14ac:dyDescent="0.25">
      <c r="A8568" s="11"/>
    </row>
    <row r="8569" spans="1:1" ht="15.75" x14ac:dyDescent="0.25">
      <c r="A8569" s="11"/>
    </row>
    <row r="8570" spans="1:1" ht="15.75" x14ac:dyDescent="0.25">
      <c r="A8570" s="11"/>
    </row>
    <row r="8571" spans="1:1" ht="15.75" x14ac:dyDescent="0.25">
      <c r="A8571" s="11"/>
    </row>
    <row r="8572" spans="1:1" ht="15.75" x14ac:dyDescent="0.25">
      <c r="A8572" s="11"/>
    </row>
    <row r="8573" spans="1:1" ht="15.75" x14ac:dyDescent="0.25">
      <c r="A8573" s="11"/>
    </row>
    <row r="8574" spans="1:1" ht="15.75" x14ac:dyDescent="0.25">
      <c r="A8574" s="11"/>
    </row>
    <row r="8575" spans="1:1" ht="15.75" x14ac:dyDescent="0.25">
      <c r="A8575" s="11"/>
    </row>
    <row r="8576" spans="1:1" ht="15.75" x14ac:dyDescent="0.25">
      <c r="A8576" s="11"/>
    </row>
    <row r="8577" spans="1:1" ht="15.75" x14ac:dyDescent="0.25">
      <c r="A8577" s="11"/>
    </row>
    <row r="8578" spans="1:1" ht="15.75" x14ac:dyDescent="0.25">
      <c r="A8578" s="11"/>
    </row>
    <row r="8579" spans="1:1" ht="15.75" x14ac:dyDescent="0.25">
      <c r="A8579" s="11"/>
    </row>
    <row r="8580" spans="1:1" ht="15.75" x14ac:dyDescent="0.25">
      <c r="A8580" s="11"/>
    </row>
    <row r="8581" spans="1:1" ht="15.75" x14ac:dyDescent="0.25">
      <c r="A8581" s="11"/>
    </row>
    <row r="8582" spans="1:1" ht="15.75" x14ac:dyDescent="0.25">
      <c r="A8582" s="11"/>
    </row>
    <row r="8583" spans="1:1" ht="15.75" x14ac:dyDescent="0.25">
      <c r="A8583" s="11"/>
    </row>
    <row r="8584" spans="1:1" ht="15.75" x14ac:dyDescent="0.25">
      <c r="A8584" s="11"/>
    </row>
    <row r="8585" spans="1:1" ht="15.75" x14ac:dyDescent="0.25">
      <c r="A8585" s="11"/>
    </row>
    <row r="8586" spans="1:1" ht="15.75" x14ac:dyDescent="0.25">
      <c r="A8586" s="11"/>
    </row>
    <row r="8587" spans="1:1" ht="15.75" x14ac:dyDescent="0.25">
      <c r="A8587" s="11"/>
    </row>
    <row r="8588" spans="1:1" ht="15.75" x14ac:dyDescent="0.25">
      <c r="A8588" s="11"/>
    </row>
    <row r="8589" spans="1:1" ht="15.75" x14ac:dyDescent="0.25">
      <c r="A8589" s="11"/>
    </row>
    <row r="8590" spans="1:1" ht="15.75" x14ac:dyDescent="0.25">
      <c r="A8590" s="11"/>
    </row>
    <row r="8591" spans="1:1" ht="15.75" x14ac:dyDescent="0.25">
      <c r="A8591" s="11"/>
    </row>
    <row r="8592" spans="1:1" ht="15.75" x14ac:dyDescent="0.25">
      <c r="A8592" s="11"/>
    </row>
    <row r="8593" spans="1:1" ht="15.75" x14ac:dyDescent="0.25">
      <c r="A8593" s="11"/>
    </row>
    <row r="8594" spans="1:1" ht="15.75" x14ac:dyDescent="0.25">
      <c r="A8594" s="11"/>
    </row>
    <row r="8595" spans="1:1" ht="15.75" x14ac:dyDescent="0.25">
      <c r="A8595" s="11"/>
    </row>
    <row r="8596" spans="1:1" ht="15.75" x14ac:dyDescent="0.25">
      <c r="A8596" s="11"/>
    </row>
    <row r="8597" spans="1:1" ht="15.75" x14ac:dyDescent="0.25">
      <c r="A8597" s="11"/>
    </row>
    <row r="8598" spans="1:1" ht="15.75" x14ac:dyDescent="0.25">
      <c r="A8598" s="11"/>
    </row>
    <row r="8599" spans="1:1" ht="15.75" x14ac:dyDescent="0.25">
      <c r="A8599" s="11"/>
    </row>
    <row r="8600" spans="1:1" ht="15.75" x14ac:dyDescent="0.25">
      <c r="A8600" s="11"/>
    </row>
    <row r="8601" spans="1:1" ht="15.75" x14ac:dyDescent="0.25">
      <c r="A8601" s="11"/>
    </row>
    <row r="8602" spans="1:1" ht="15.75" x14ac:dyDescent="0.25">
      <c r="A8602" s="11"/>
    </row>
    <row r="8603" spans="1:1" ht="15.75" x14ac:dyDescent="0.25">
      <c r="A8603" s="11"/>
    </row>
    <row r="8604" spans="1:1" ht="15.75" x14ac:dyDescent="0.25">
      <c r="A8604" s="11"/>
    </row>
    <row r="8605" spans="1:1" ht="15.75" x14ac:dyDescent="0.25">
      <c r="A8605" s="11"/>
    </row>
    <row r="8606" spans="1:1" ht="15.75" x14ac:dyDescent="0.25">
      <c r="A8606" s="11"/>
    </row>
    <row r="8607" spans="1:1" ht="15.75" x14ac:dyDescent="0.25">
      <c r="A8607" s="11"/>
    </row>
    <row r="8608" spans="1:1" ht="15.75" x14ac:dyDescent="0.25">
      <c r="A8608" s="11"/>
    </row>
    <row r="8609" spans="1:1" ht="15.75" x14ac:dyDescent="0.25">
      <c r="A8609" s="11"/>
    </row>
    <row r="8610" spans="1:1" ht="15.75" x14ac:dyDescent="0.25">
      <c r="A8610" s="11"/>
    </row>
    <row r="8611" spans="1:1" ht="15.75" x14ac:dyDescent="0.25">
      <c r="A8611" s="11"/>
    </row>
    <row r="8612" spans="1:1" ht="15.75" x14ac:dyDescent="0.25">
      <c r="A8612" s="11"/>
    </row>
    <row r="8613" spans="1:1" ht="15.75" x14ac:dyDescent="0.25">
      <c r="A8613" s="11"/>
    </row>
    <row r="8614" spans="1:1" ht="15.75" x14ac:dyDescent="0.25">
      <c r="A8614" s="11"/>
    </row>
    <row r="8615" spans="1:1" ht="15.75" x14ac:dyDescent="0.25">
      <c r="A8615" s="11"/>
    </row>
    <row r="8616" spans="1:1" ht="15.75" x14ac:dyDescent="0.25">
      <c r="A8616" s="11"/>
    </row>
    <row r="8617" spans="1:1" ht="15.75" x14ac:dyDescent="0.25">
      <c r="A8617" s="11"/>
    </row>
    <row r="8618" spans="1:1" ht="15.75" x14ac:dyDescent="0.25">
      <c r="A8618" s="11"/>
    </row>
    <row r="8619" spans="1:1" ht="15.75" x14ac:dyDescent="0.25">
      <c r="A8619" s="11"/>
    </row>
    <row r="8620" spans="1:1" ht="15.75" x14ac:dyDescent="0.25">
      <c r="A8620" s="11"/>
    </row>
    <row r="8621" spans="1:1" ht="15.75" x14ac:dyDescent="0.25">
      <c r="A8621" s="11"/>
    </row>
    <row r="8622" spans="1:1" ht="15.75" x14ac:dyDescent="0.25">
      <c r="A8622" s="11"/>
    </row>
    <row r="8623" spans="1:1" ht="15.75" x14ac:dyDescent="0.25">
      <c r="A8623" s="11"/>
    </row>
    <row r="8624" spans="1:1" ht="15.75" x14ac:dyDescent="0.25">
      <c r="A8624" s="11"/>
    </row>
    <row r="8625" spans="1:1" ht="15.75" x14ac:dyDescent="0.25">
      <c r="A8625" s="11"/>
    </row>
    <row r="8626" spans="1:1" ht="15.75" x14ac:dyDescent="0.25">
      <c r="A8626" s="11"/>
    </row>
    <row r="8627" spans="1:1" ht="15.75" x14ac:dyDescent="0.25">
      <c r="A8627" s="11"/>
    </row>
    <row r="8628" spans="1:1" ht="15.75" x14ac:dyDescent="0.25">
      <c r="A8628" s="11"/>
    </row>
    <row r="8629" spans="1:1" ht="15.75" x14ac:dyDescent="0.25">
      <c r="A8629" s="11"/>
    </row>
    <row r="8630" spans="1:1" ht="15.75" x14ac:dyDescent="0.25">
      <c r="A8630" s="11"/>
    </row>
    <row r="8631" spans="1:1" ht="15.75" x14ac:dyDescent="0.25">
      <c r="A8631" s="11"/>
    </row>
    <row r="8632" spans="1:1" ht="15.75" x14ac:dyDescent="0.25">
      <c r="A8632" s="11"/>
    </row>
    <row r="8633" spans="1:1" ht="15.75" x14ac:dyDescent="0.25">
      <c r="A8633" s="11"/>
    </row>
    <row r="8634" spans="1:1" ht="15.75" x14ac:dyDescent="0.25">
      <c r="A8634" s="11"/>
    </row>
    <row r="8635" spans="1:1" ht="15.75" x14ac:dyDescent="0.25">
      <c r="A8635" s="11"/>
    </row>
    <row r="8636" spans="1:1" ht="15.75" x14ac:dyDescent="0.25">
      <c r="A8636" s="11"/>
    </row>
    <row r="8637" spans="1:1" ht="15.75" x14ac:dyDescent="0.25">
      <c r="A8637" s="11"/>
    </row>
    <row r="8638" spans="1:1" ht="15.75" x14ac:dyDescent="0.25">
      <c r="A8638" s="11"/>
    </row>
    <row r="8639" spans="1:1" ht="15.75" x14ac:dyDescent="0.25">
      <c r="A8639" s="11"/>
    </row>
    <row r="8640" spans="1:1" ht="15.75" x14ac:dyDescent="0.25">
      <c r="A8640" s="11"/>
    </row>
    <row r="8641" spans="1:1" ht="15.75" x14ac:dyDescent="0.25">
      <c r="A8641" s="11"/>
    </row>
    <row r="8642" spans="1:1" ht="15.75" x14ac:dyDescent="0.25">
      <c r="A8642" s="11"/>
    </row>
    <row r="8643" spans="1:1" ht="15.75" x14ac:dyDescent="0.25">
      <c r="A8643" s="11"/>
    </row>
    <row r="8644" spans="1:1" ht="15.75" x14ac:dyDescent="0.25">
      <c r="A8644" s="11"/>
    </row>
    <row r="8645" spans="1:1" ht="15.75" x14ac:dyDescent="0.25">
      <c r="A8645" s="11"/>
    </row>
    <row r="8646" spans="1:1" ht="15.75" x14ac:dyDescent="0.25">
      <c r="A8646" s="11"/>
    </row>
    <row r="8647" spans="1:1" ht="15.75" x14ac:dyDescent="0.25">
      <c r="A8647" s="11"/>
    </row>
    <row r="8648" spans="1:1" ht="15.75" x14ac:dyDescent="0.25">
      <c r="A8648" s="11"/>
    </row>
    <row r="8649" spans="1:1" ht="15.75" x14ac:dyDescent="0.25">
      <c r="A8649" s="11"/>
    </row>
    <row r="8650" spans="1:1" ht="15.75" x14ac:dyDescent="0.25">
      <c r="A8650" s="11"/>
    </row>
    <row r="8651" spans="1:1" ht="15.75" x14ac:dyDescent="0.25">
      <c r="A8651" s="11"/>
    </row>
    <row r="8652" spans="1:1" ht="15.75" x14ac:dyDescent="0.25">
      <c r="A8652" s="11"/>
    </row>
    <row r="8653" spans="1:1" ht="15.75" x14ac:dyDescent="0.25">
      <c r="A8653" s="11"/>
    </row>
    <row r="8654" spans="1:1" ht="15.75" x14ac:dyDescent="0.25">
      <c r="A8654" s="11"/>
    </row>
    <row r="8655" spans="1:1" ht="15.75" x14ac:dyDescent="0.25">
      <c r="A8655" s="11"/>
    </row>
    <row r="8656" spans="1:1" ht="15.75" x14ac:dyDescent="0.25">
      <c r="A8656" s="11"/>
    </row>
    <row r="8657" spans="1:1" ht="15.75" x14ac:dyDescent="0.25">
      <c r="A8657" s="11"/>
    </row>
    <row r="8658" spans="1:1" ht="15.75" x14ac:dyDescent="0.25">
      <c r="A8658" s="11"/>
    </row>
    <row r="8659" spans="1:1" ht="15.75" x14ac:dyDescent="0.25">
      <c r="A8659" s="11"/>
    </row>
    <row r="8660" spans="1:1" ht="15.75" x14ac:dyDescent="0.25">
      <c r="A8660" s="11"/>
    </row>
    <row r="8661" spans="1:1" ht="15.75" x14ac:dyDescent="0.25">
      <c r="A8661" s="11"/>
    </row>
    <row r="8662" spans="1:1" ht="15.75" x14ac:dyDescent="0.25">
      <c r="A8662" s="11"/>
    </row>
    <row r="8663" spans="1:1" ht="15.75" x14ac:dyDescent="0.25">
      <c r="A8663" s="11"/>
    </row>
    <row r="8664" spans="1:1" ht="15.75" x14ac:dyDescent="0.25">
      <c r="A8664" s="11"/>
    </row>
    <row r="8665" spans="1:1" ht="15.75" x14ac:dyDescent="0.25">
      <c r="A8665" s="11"/>
    </row>
    <row r="8666" spans="1:1" ht="15.75" x14ac:dyDescent="0.25">
      <c r="A8666" s="11"/>
    </row>
    <row r="8667" spans="1:1" ht="15.75" x14ac:dyDescent="0.25">
      <c r="A8667" s="11"/>
    </row>
    <row r="8668" spans="1:1" ht="15.75" x14ac:dyDescent="0.25">
      <c r="A8668" s="11"/>
    </row>
    <row r="8669" spans="1:1" ht="15.75" x14ac:dyDescent="0.25">
      <c r="A8669" s="11"/>
    </row>
    <row r="8670" spans="1:1" ht="15.75" x14ac:dyDescent="0.25">
      <c r="A8670" s="11"/>
    </row>
    <row r="8671" spans="1:1" ht="15.75" x14ac:dyDescent="0.25">
      <c r="A8671" s="11"/>
    </row>
    <row r="8672" spans="1:1" ht="15.75" x14ac:dyDescent="0.25">
      <c r="A8672" s="11"/>
    </row>
    <row r="8673" spans="1:1" ht="15.75" x14ac:dyDescent="0.25">
      <c r="A8673" s="11"/>
    </row>
    <row r="8674" spans="1:1" ht="15.75" x14ac:dyDescent="0.25">
      <c r="A8674" s="11"/>
    </row>
    <row r="8675" spans="1:1" ht="15.75" x14ac:dyDescent="0.25">
      <c r="A8675" s="11"/>
    </row>
    <row r="8676" spans="1:1" ht="15.75" x14ac:dyDescent="0.25">
      <c r="A8676" s="11"/>
    </row>
    <row r="8677" spans="1:1" ht="15.75" x14ac:dyDescent="0.25">
      <c r="A8677" s="11"/>
    </row>
    <row r="8678" spans="1:1" ht="15.75" x14ac:dyDescent="0.25">
      <c r="A8678" s="11"/>
    </row>
    <row r="8679" spans="1:1" ht="15.75" x14ac:dyDescent="0.25">
      <c r="A8679" s="11"/>
    </row>
    <row r="8680" spans="1:1" ht="15.75" x14ac:dyDescent="0.25">
      <c r="A8680" s="11"/>
    </row>
    <row r="8681" spans="1:1" ht="15.75" x14ac:dyDescent="0.25">
      <c r="A8681" s="11"/>
    </row>
    <row r="8682" spans="1:1" ht="15.75" x14ac:dyDescent="0.25">
      <c r="A8682" s="11"/>
    </row>
    <row r="8683" spans="1:1" ht="15.75" x14ac:dyDescent="0.25">
      <c r="A8683" s="11"/>
    </row>
    <row r="8684" spans="1:1" ht="15.75" x14ac:dyDescent="0.25">
      <c r="A8684" s="11"/>
    </row>
    <row r="8685" spans="1:1" ht="15.75" x14ac:dyDescent="0.25">
      <c r="A8685" s="11"/>
    </row>
    <row r="8686" spans="1:1" ht="15.75" x14ac:dyDescent="0.25">
      <c r="A8686" s="11"/>
    </row>
    <row r="8687" spans="1:1" ht="15.75" x14ac:dyDescent="0.25">
      <c r="A8687" s="11"/>
    </row>
    <row r="8688" spans="1:1" ht="15.75" x14ac:dyDescent="0.25">
      <c r="A8688" s="11"/>
    </row>
    <row r="8689" spans="1:1" ht="15.75" x14ac:dyDescent="0.25">
      <c r="A8689" s="11"/>
    </row>
    <row r="8690" spans="1:1" ht="15.75" x14ac:dyDescent="0.25">
      <c r="A8690" s="11"/>
    </row>
    <row r="8691" spans="1:1" ht="15.75" x14ac:dyDescent="0.25">
      <c r="A8691" s="11"/>
    </row>
    <row r="8692" spans="1:1" ht="15.75" x14ac:dyDescent="0.25">
      <c r="A8692" s="11"/>
    </row>
    <row r="8693" spans="1:1" ht="15.75" x14ac:dyDescent="0.25">
      <c r="A8693" s="11"/>
    </row>
    <row r="8694" spans="1:1" ht="15.75" x14ac:dyDescent="0.25">
      <c r="A8694" s="11"/>
    </row>
    <row r="8695" spans="1:1" ht="15.75" x14ac:dyDescent="0.25">
      <c r="A8695" s="11"/>
    </row>
    <row r="8696" spans="1:1" ht="15.75" x14ac:dyDescent="0.25">
      <c r="A8696" s="11"/>
    </row>
    <row r="8697" spans="1:1" ht="15.75" x14ac:dyDescent="0.25">
      <c r="A8697" s="11"/>
    </row>
    <row r="8698" spans="1:1" ht="15.75" x14ac:dyDescent="0.25">
      <c r="A8698" s="11"/>
    </row>
    <row r="8699" spans="1:1" ht="15.75" x14ac:dyDescent="0.25">
      <c r="A8699" s="11"/>
    </row>
    <row r="8700" spans="1:1" ht="15.75" x14ac:dyDescent="0.25">
      <c r="A8700" s="11"/>
    </row>
    <row r="8701" spans="1:1" ht="15.75" x14ac:dyDescent="0.25">
      <c r="A8701" s="11"/>
    </row>
    <row r="8702" spans="1:1" ht="15.75" x14ac:dyDescent="0.25">
      <c r="A8702" s="11"/>
    </row>
    <row r="8703" spans="1:1" ht="15.75" x14ac:dyDescent="0.25">
      <c r="A8703" s="11"/>
    </row>
    <row r="8704" spans="1:1" ht="15.75" x14ac:dyDescent="0.25">
      <c r="A8704" s="11"/>
    </row>
    <row r="8705" spans="1:1" ht="15.75" x14ac:dyDescent="0.25">
      <c r="A8705" s="11"/>
    </row>
    <row r="8706" spans="1:1" ht="15.75" x14ac:dyDescent="0.25">
      <c r="A8706" s="11"/>
    </row>
    <row r="8707" spans="1:1" ht="15.75" x14ac:dyDescent="0.25">
      <c r="A8707" s="11"/>
    </row>
    <row r="8708" spans="1:1" ht="15.75" x14ac:dyDescent="0.25">
      <c r="A8708" s="11"/>
    </row>
    <row r="8709" spans="1:1" ht="15.75" x14ac:dyDescent="0.25">
      <c r="A8709" s="11"/>
    </row>
    <row r="8710" spans="1:1" ht="15.75" x14ac:dyDescent="0.25">
      <c r="A8710" s="11"/>
    </row>
    <row r="8711" spans="1:1" ht="15.75" x14ac:dyDescent="0.25">
      <c r="A8711" s="11"/>
    </row>
    <row r="8712" spans="1:1" ht="15.75" x14ac:dyDescent="0.25">
      <c r="A8712" s="11"/>
    </row>
    <row r="8713" spans="1:1" ht="15.75" x14ac:dyDescent="0.25">
      <c r="A8713" s="11"/>
    </row>
    <row r="8714" spans="1:1" ht="15.75" x14ac:dyDescent="0.25">
      <c r="A8714" s="11"/>
    </row>
    <row r="8715" spans="1:1" ht="15.75" x14ac:dyDescent="0.25">
      <c r="A8715" s="11"/>
    </row>
    <row r="8716" spans="1:1" ht="15.75" x14ac:dyDescent="0.25">
      <c r="A8716" s="11"/>
    </row>
    <row r="8717" spans="1:1" ht="15.75" x14ac:dyDescent="0.25">
      <c r="A8717" s="11"/>
    </row>
    <row r="8718" spans="1:1" ht="15.75" x14ac:dyDescent="0.25">
      <c r="A8718" s="11"/>
    </row>
    <row r="8719" spans="1:1" ht="15.75" x14ac:dyDescent="0.25">
      <c r="A8719" s="11"/>
    </row>
    <row r="8720" spans="1:1" ht="15.75" x14ac:dyDescent="0.25">
      <c r="A8720" s="11"/>
    </row>
    <row r="8721" spans="1:1" ht="15.75" x14ac:dyDescent="0.25">
      <c r="A8721" s="11"/>
    </row>
    <row r="8722" spans="1:1" ht="15.75" x14ac:dyDescent="0.25">
      <c r="A8722" s="11"/>
    </row>
    <row r="8723" spans="1:1" ht="15.75" x14ac:dyDescent="0.25">
      <c r="A8723" s="11"/>
    </row>
    <row r="8724" spans="1:1" ht="15.75" x14ac:dyDescent="0.25">
      <c r="A8724" s="11"/>
    </row>
    <row r="8725" spans="1:1" ht="15.75" x14ac:dyDescent="0.25">
      <c r="A8725" s="11"/>
    </row>
    <row r="8726" spans="1:1" ht="15.75" x14ac:dyDescent="0.25">
      <c r="A8726" s="11"/>
    </row>
    <row r="8727" spans="1:1" ht="15.75" x14ac:dyDescent="0.25">
      <c r="A8727" s="11"/>
    </row>
    <row r="8728" spans="1:1" ht="15.75" x14ac:dyDescent="0.25">
      <c r="A8728" s="11"/>
    </row>
    <row r="8729" spans="1:1" ht="15.75" x14ac:dyDescent="0.25">
      <c r="A8729" s="11"/>
    </row>
    <row r="8730" spans="1:1" ht="15.75" x14ac:dyDescent="0.25">
      <c r="A8730" s="11"/>
    </row>
    <row r="8731" spans="1:1" ht="15.75" x14ac:dyDescent="0.25">
      <c r="A8731" s="11"/>
    </row>
    <row r="8732" spans="1:1" ht="15.75" x14ac:dyDescent="0.25">
      <c r="A8732" s="11"/>
    </row>
    <row r="8733" spans="1:1" ht="15.75" x14ac:dyDescent="0.25">
      <c r="A8733" s="11"/>
    </row>
    <row r="8734" spans="1:1" ht="15.75" x14ac:dyDescent="0.25">
      <c r="A8734" s="11"/>
    </row>
    <row r="8735" spans="1:1" ht="15.75" x14ac:dyDescent="0.25">
      <c r="A8735" s="11"/>
    </row>
    <row r="8736" spans="1:1" ht="15.75" x14ac:dyDescent="0.25">
      <c r="A8736" s="11"/>
    </row>
    <row r="8737" spans="1:1" ht="15.75" x14ac:dyDescent="0.25">
      <c r="A8737" s="11"/>
    </row>
    <row r="8738" spans="1:1" ht="15.75" x14ac:dyDescent="0.25">
      <c r="A8738" s="11"/>
    </row>
    <row r="8739" spans="1:1" ht="15.75" x14ac:dyDescent="0.25">
      <c r="A8739" s="11"/>
    </row>
    <row r="8740" spans="1:1" ht="15.75" x14ac:dyDescent="0.25">
      <c r="A8740" s="11"/>
    </row>
    <row r="8741" spans="1:1" ht="15.75" x14ac:dyDescent="0.25">
      <c r="A8741" s="11"/>
    </row>
    <row r="8742" spans="1:1" ht="15.75" x14ac:dyDescent="0.25">
      <c r="A8742" s="11"/>
    </row>
    <row r="8743" spans="1:1" ht="15.75" x14ac:dyDescent="0.25">
      <c r="A8743" s="11"/>
    </row>
    <row r="8744" spans="1:1" ht="15.75" x14ac:dyDescent="0.25">
      <c r="A8744" s="11"/>
    </row>
    <row r="8745" spans="1:1" ht="15.75" x14ac:dyDescent="0.25">
      <c r="A8745" s="11"/>
    </row>
    <row r="8746" spans="1:1" ht="15.75" x14ac:dyDescent="0.25">
      <c r="A8746" s="11"/>
    </row>
    <row r="8747" spans="1:1" ht="15.75" x14ac:dyDescent="0.25">
      <c r="A8747" s="11"/>
    </row>
    <row r="8748" spans="1:1" ht="15.75" x14ac:dyDescent="0.25">
      <c r="A8748" s="11"/>
    </row>
    <row r="8749" spans="1:1" ht="15.75" x14ac:dyDescent="0.25">
      <c r="A8749" s="11"/>
    </row>
    <row r="8750" spans="1:1" ht="15.75" x14ac:dyDescent="0.25">
      <c r="A8750" s="11"/>
    </row>
    <row r="8751" spans="1:1" ht="15.75" x14ac:dyDescent="0.25">
      <c r="A8751" s="11"/>
    </row>
    <row r="8752" spans="1:1" ht="15.75" x14ac:dyDescent="0.25">
      <c r="A8752" s="11"/>
    </row>
    <row r="8753" spans="1:1" ht="15.75" x14ac:dyDescent="0.25">
      <c r="A8753" s="11"/>
    </row>
    <row r="8754" spans="1:1" ht="15.75" x14ac:dyDescent="0.25">
      <c r="A8754" s="11"/>
    </row>
    <row r="8755" spans="1:1" ht="15.75" x14ac:dyDescent="0.25">
      <c r="A8755" s="11"/>
    </row>
    <row r="8756" spans="1:1" ht="15.75" x14ac:dyDescent="0.25">
      <c r="A8756" s="11"/>
    </row>
    <row r="8757" spans="1:1" ht="15.75" x14ac:dyDescent="0.25">
      <c r="A8757" s="11"/>
    </row>
    <row r="8758" spans="1:1" ht="15.75" x14ac:dyDescent="0.25">
      <c r="A8758" s="11"/>
    </row>
    <row r="8759" spans="1:1" ht="15.75" x14ac:dyDescent="0.25">
      <c r="A8759" s="11"/>
    </row>
    <row r="8760" spans="1:1" ht="15.75" x14ac:dyDescent="0.25">
      <c r="A8760" s="11"/>
    </row>
    <row r="8761" spans="1:1" ht="15.75" x14ac:dyDescent="0.25">
      <c r="A8761" s="11"/>
    </row>
    <row r="8762" spans="1:1" ht="15.75" x14ac:dyDescent="0.25">
      <c r="A8762" s="11"/>
    </row>
    <row r="8763" spans="1:1" ht="15.75" x14ac:dyDescent="0.25">
      <c r="A8763" s="11"/>
    </row>
    <row r="8764" spans="1:1" ht="15.75" x14ac:dyDescent="0.25">
      <c r="A8764" s="11"/>
    </row>
    <row r="8765" spans="1:1" ht="15.75" x14ac:dyDescent="0.25">
      <c r="A8765" s="11"/>
    </row>
    <row r="8766" spans="1:1" ht="15.75" x14ac:dyDescent="0.25">
      <c r="A8766" s="11"/>
    </row>
    <row r="8767" spans="1:1" ht="15.75" x14ac:dyDescent="0.25">
      <c r="A8767" s="11"/>
    </row>
    <row r="8768" spans="1:1" ht="15.75" x14ac:dyDescent="0.25">
      <c r="A8768" s="11"/>
    </row>
    <row r="8769" spans="1:1" ht="15.75" x14ac:dyDescent="0.25">
      <c r="A8769" s="11"/>
    </row>
    <row r="8770" spans="1:1" ht="15.75" x14ac:dyDescent="0.25">
      <c r="A8770" s="11"/>
    </row>
    <row r="8771" spans="1:1" ht="15.75" x14ac:dyDescent="0.25">
      <c r="A8771" s="11"/>
    </row>
    <row r="8772" spans="1:1" ht="15.75" x14ac:dyDescent="0.25">
      <c r="A8772" s="11"/>
    </row>
    <row r="8773" spans="1:1" ht="15.75" x14ac:dyDescent="0.25">
      <c r="A8773" s="11"/>
    </row>
    <row r="8774" spans="1:1" ht="15.75" x14ac:dyDescent="0.25">
      <c r="A8774" s="11"/>
    </row>
    <row r="8775" spans="1:1" ht="15.75" x14ac:dyDescent="0.25">
      <c r="A8775" s="11"/>
    </row>
    <row r="8776" spans="1:1" ht="15.75" x14ac:dyDescent="0.25">
      <c r="A8776" s="11"/>
    </row>
    <row r="8777" spans="1:1" ht="15.75" x14ac:dyDescent="0.25">
      <c r="A8777" s="11"/>
    </row>
    <row r="8778" spans="1:1" ht="15.75" x14ac:dyDescent="0.25">
      <c r="A8778" s="11"/>
    </row>
    <row r="8779" spans="1:1" ht="15.75" x14ac:dyDescent="0.25">
      <c r="A8779" s="11"/>
    </row>
    <row r="8780" spans="1:1" ht="15.75" x14ac:dyDescent="0.25">
      <c r="A8780" s="11"/>
    </row>
    <row r="8781" spans="1:1" ht="15.75" x14ac:dyDescent="0.25">
      <c r="A8781" s="11"/>
    </row>
    <row r="8782" spans="1:1" ht="15.75" x14ac:dyDescent="0.25">
      <c r="A8782" s="11"/>
    </row>
    <row r="8783" spans="1:1" ht="15.75" x14ac:dyDescent="0.25">
      <c r="A8783" s="11"/>
    </row>
    <row r="8784" spans="1:1" ht="15.75" x14ac:dyDescent="0.25">
      <c r="A8784" s="11"/>
    </row>
    <row r="8785" spans="1:1" ht="15.75" x14ac:dyDescent="0.25">
      <c r="A8785" s="11"/>
    </row>
    <row r="8786" spans="1:1" ht="15.75" x14ac:dyDescent="0.25">
      <c r="A8786" s="11"/>
    </row>
    <row r="8787" spans="1:1" ht="15.75" x14ac:dyDescent="0.25">
      <c r="A8787" s="11"/>
    </row>
    <row r="8788" spans="1:1" ht="15.75" x14ac:dyDescent="0.25">
      <c r="A8788" s="11"/>
    </row>
    <row r="8789" spans="1:1" ht="15.75" x14ac:dyDescent="0.25">
      <c r="A8789" s="11"/>
    </row>
    <row r="8790" spans="1:1" ht="15.75" x14ac:dyDescent="0.25">
      <c r="A8790" s="11"/>
    </row>
    <row r="8791" spans="1:1" ht="15.75" x14ac:dyDescent="0.25">
      <c r="A8791" s="11"/>
    </row>
    <row r="8792" spans="1:1" ht="15.75" x14ac:dyDescent="0.25">
      <c r="A8792" s="11"/>
    </row>
    <row r="8793" spans="1:1" ht="15.75" x14ac:dyDescent="0.25">
      <c r="A8793" s="11"/>
    </row>
    <row r="8794" spans="1:1" ht="15.75" x14ac:dyDescent="0.25">
      <c r="A8794" s="11"/>
    </row>
    <row r="8795" spans="1:1" ht="15.75" x14ac:dyDescent="0.25">
      <c r="A8795" s="11"/>
    </row>
    <row r="8796" spans="1:1" ht="15.75" x14ac:dyDescent="0.25">
      <c r="A8796" s="11"/>
    </row>
    <row r="8797" spans="1:1" ht="15.75" x14ac:dyDescent="0.25">
      <c r="A8797" s="11"/>
    </row>
    <row r="8798" spans="1:1" ht="15.75" x14ac:dyDescent="0.25">
      <c r="A8798" s="11"/>
    </row>
    <row r="8799" spans="1:1" ht="15.75" x14ac:dyDescent="0.25">
      <c r="A8799" s="11"/>
    </row>
    <row r="8800" spans="1:1" ht="15.75" x14ac:dyDescent="0.25">
      <c r="A8800" s="11"/>
    </row>
    <row r="8801" spans="1:1" ht="15.75" x14ac:dyDescent="0.25">
      <c r="A8801" s="11"/>
    </row>
    <row r="8802" spans="1:1" ht="15.75" x14ac:dyDescent="0.25">
      <c r="A8802" s="11"/>
    </row>
    <row r="8803" spans="1:1" ht="15.75" x14ac:dyDescent="0.25">
      <c r="A8803" s="11"/>
    </row>
    <row r="8804" spans="1:1" ht="15.75" x14ac:dyDescent="0.25">
      <c r="A8804" s="11"/>
    </row>
    <row r="8805" spans="1:1" ht="15.75" x14ac:dyDescent="0.25">
      <c r="A8805" s="11"/>
    </row>
    <row r="8806" spans="1:1" ht="15.75" x14ac:dyDescent="0.25">
      <c r="A8806" s="11"/>
    </row>
    <row r="8807" spans="1:1" ht="15.75" x14ac:dyDescent="0.25">
      <c r="A8807" s="11"/>
    </row>
    <row r="8808" spans="1:1" ht="15.75" x14ac:dyDescent="0.25">
      <c r="A8808" s="11"/>
    </row>
    <row r="8809" spans="1:1" ht="15.75" x14ac:dyDescent="0.25">
      <c r="A8809" s="11"/>
    </row>
    <row r="8810" spans="1:1" ht="15.75" x14ac:dyDescent="0.25">
      <c r="A8810" s="11"/>
    </row>
    <row r="8811" spans="1:1" ht="15.75" x14ac:dyDescent="0.25">
      <c r="A8811" s="11"/>
    </row>
    <row r="8812" spans="1:1" ht="15.75" x14ac:dyDescent="0.25">
      <c r="A8812" s="11"/>
    </row>
    <row r="8813" spans="1:1" ht="15.75" x14ac:dyDescent="0.25">
      <c r="A8813" s="11"/>
    </row>
    <row r="8814" spans="1:1" ht="15.75" x14ac:dyDescent="0.25">
      <c r="A8814" s="11"/>
    </row>
    <row r="8815" spans="1:1" ht="15.75" x14ac:dyDescent="0.25">
      <c r="A8815" s="11"/>
    </row>
    <row r="8816" spans="1:1" ht="15.75" x14ac:dyDescent="0.25">
      <c r="A8816" s="11"/>
    </row>
    <row r="8817" spans="1:1" ht="15.75" x14ac:dyDescent="0.25">
      <c r="A8817" s="11"/>
    </row>
    <row r="8818" spans="1:1" ht="15.75" x14ac:dyDescent="0.25">
      <c r="A8818" s="11"/>
    </row>
    <row r="8819" spans="1:1" ht="15.75" x14ac:dyDescent="0.25">
      <c r="A8819" s="11"/>
    </row>
    <row r="8820" spans="1:1" ht="15.75" x14ac:dyDescent="0.25">
      <c r="A8820" s="11"/>
    </row>
    <row r="8821" spans="1:1" ht="15.75" x14ac:dyDescent="0.25">
      <c r="A8821" s="11"/>
    </row>
    <row r="8822" spans="1:1" ht="15.75" x14ac:dyDescent="0.25">
      <c r="A8822" s="11"/>
    </row>
    <row r="8823" spans="1:1" ht="15.75" x14ac:dyDescent="0.25">
      <c r="A8823" s="11"/>
    </row>
    <row r="8824" spans="1:1" ht="15.75" x14ac:dyDescent="0.25">
      <c r="A8824" s="11"/>
    </row>
    <row r="8825" spans="1:1" ht="15.75" x14ac:dyDescent="0.25">
      <c r="A8825" s="11"/>
    </row>
    <row r="8826" spans="1:1" ht="15.75" x14ac:dyDescent="0.25">
      <c r="A8826" s="11"/>
    </row>
    <row r="8827" spans="1:1" ht="15.75" x14ac:dyDescent="0.25">
      <c r="A8827" s="11"/>
    </row>
    <row r="8828" spans="1:1" ht="15.75" x14ac:dyDescent="0.25">
      <c r="A8828" s="11"/>
    </row>
    <row r="8829" spans="1:1" ht="15.75" x14ac:dyDescent="0.25">
      <c r="A8829" s="11"/>
    </row>
    <row r="8830" spans="1:1" ht="15.75" x14ac:dyDescent="0.25">
      <c r="A8830" s="11"/>
    </row>
    <row r="8831" spans="1:1" ht="15.75" x14ac:dyDescent="0.25">
      <c r="A8831" s="11"/>
    </row>
    <row r="8832" spans="1:1" ht="15.75" x14ac:dyDescent="0.25">
      <c r="A8832" s="11"/>
    </row>
    <row r="8833" spans="1:1" ht="15.75" x14ac:dyDescent="0.25">
      <c r="A8833" s="11"/>
    </row>
    <row r="8834" spans="1:1" ht="15.75" x14ac:dyDescent="0.25">
      <c r="A8834" s="11"/>
    </row>
    <row r="8835" spans="1:1" ht="15.75" x14ac:dyDescent="0.25">
      <c r="A8835" s="11"/>
    </row>
    <row r="8836" spans="1:1" ht="15.75" x14ac:dyDescent="0.25">
      <c r="A8836" s="11"/>
    </row>
    <row r="8837" spans="1:1" ht="15.75" x14ac:dyDescent="0.25">
      <c r="A8837" s="11"/>
    </row>
    <row r="8838" spans="1:1" ht="15.75" x14ac:dyDescent="0.25">
      <c r="A8838" s="11"/>
    </row>
    <row r="8839" spans="1:1" ht="15.75" x14ac:dyDescent="0.25">
      <c r="A8839" s="11"/>
    </row>
    <row r="8840" spans="1:1" ht="15.75" x14ac:dyDescent="0.25">
      <c r="A8840" s="11"/>
    </row>
    <row r="8841" spans="1:1" ht="15.75" x14ac:dyDescent="0.25">
      <c r="A8841" s="11"/>
    </row>
    <row r="8842" spans="1:1" ht="15.75" x14ac:dyDescent="0.25">
      <c r="A8842" s="11"/>
    </row>
    <row r="8843" spans="1:1" ht="15.75" x14ac:dyDescent="0.25">
      <c r="A8843" s="11"/>
    </row>
    <row r="8844" spans="1:1" ht="15.75" x14ac:dyDescent="0.25">
      <c r="A8844" s="11"/>
    </row>
    <row r="8845" spans="1:1" ht="15.75" x14ac:dyDescent="0.25">
      <c r="A8845" s="11"/>
    </row>
    <row r="8846" spans="1:1" ht="15.75" x14ac:dyDescent="0.25">
      <c r="A8846" s="11"/>
    </row>
    <row r="8847" spans="1:1" ht="15.75" x14ac:dyDescent="0.25">
      <c r="A8847" s="11"/>
    </row>
    <row r="8848" spans="1:1" ht="15.75" x14ac:dyDescent="0.25">
      <c r="A8848" s="11"/>
    </row>
    <row r="8849" spans="1:1" ht="15.75" x14ac:dyDescent="0.25">
      <c r="A8849" s="11"/>
    </row>
    <row r="8850" spans="1:1" ht="15.75" x14ac:dyDescent="0.25">
      <c r="A8850" s="11"/>
    </row>
    <row r="8851" spans="1:1" ht="15.75" x14ac:dyDescent="0.25">
      <c r="A8851" s="11"/>
    </row>
    <row r="8852" spans="1:1" ht="15.75" x14ac:dyDescent="0.25">
      <c r="A8852" s="11"/>
    </row>
    <row r="8853" spans="1:1" ht="15.75" x14ac:dyDescent="0.25">
      <c r="A8853" s="11"/>
    </row>
    <row r="8854" spans="1:1" ht="15.75" x14ac:dyDescent="0.25">
      <c r="A8854" s="11"/>
    </row>
    <row r="8855" spans="1:1" ht="15.75" x14ac:dyDescent="0.25">
      <c r="A8855" s="11"/>
    </row>
    <row r="8856" spans="1:1" ht="15.75" x14ac:dyDescent="0.25">
      <c r="A8856" s="11"/>
    </row>
    <row r="8857" spans="1:1" ht="15.75" x14ac:dyDescent="0.25">
      <c r="A8857" s="11"/>
    </row>
    <row r="8858" spans="1:1" ht="15.75" x14ac:dyDescent="0.25">
      <c r="A8858" s="11"/>
    </row>
    <row r="8859" spans="1:1" ht="15.75" x14ac:dyDescent="0.25">
      <c r="A8859" s="11"/>
    </row>
    <row r="8860" spans="1:1" ht="15.75" x14ac:dyDescent="0.25">
      <c r="A8860" s="11"/>
    </row>
    <row r="8861" spans="1:1" ht="15.75" x14ac:dyDescent="0.25">
      <c r="A8861" s="11"/>
    </row>
    <row r="8862" spans="1:1" ht="15.75" x14ac:dyDescent="0.25">
      <c r="A8862" s="11"/>
    </row>
    <row r="8863" spans="1:1" ht="15.75" x14ac:dyDescent="0.25">
      <c r="A8863" s="11"/>
    </row>
    <row r="8864" spans="1:1" ht="15.75" x14ac:dyDescent="0.25">
      <c r="A8864" s="11"/>
    </row>
    <row r="8865" spans="1:1" ht="15.75" x14ac:dyDescent="0.25">
      <c r="A8865" s="11"/>
    </row>
    <row r="8866" spans="1:1" ht="15.75" x14ac:dyDescent="0.25">
      <c r="A8866" s="11"/>
    </row>
    <row r="8867" spans="1:1" ht="15.75" x14ac:dyDescent="0.25">
      <c r="A8867" s="11"/>
    </row>
    <row r="8868" spans="1:1" ht="15.75" x14ac:dyDescent="0.25">
      <c r="A8868" s="11"/>
    </row>
    <row r="8869" spans="1:1" ht="15.75" x14ac:dyDescent="0.25">
      <c r="A8869" s="11"/>
    </row>
    <row r="8870" spans="1:1" ht="15.75" x14ac:dyDescent="0.25">
      <c r="A8870" s="11"/>
    </row>
    <row r="8871" spans="1:1" ht="15.75" x14ac:dyDescent="0.25">
      <c r="A8871" s="11"/>
    </row>
    <row r="8872" spans="1:1" ht="15.75" x14ac:dyDescent="0.25">
      <c r="A8872" s="11"/>
    </row>
    <row r="8873" spans="1:1" ht="15.75" x14ac:dyDescent="0.25">
      <c r="A8873" s="11"/>
    </row>
    <row r="8874" spans="1:1" ht="15.75" x14ac:dyDescent="0.25">
      <c r="A8874" s="11"/>
    </row>
    <row r="8875" spans="1:1" ht="15.75" x14ac:dyDescent="0.25">
      <c r="A8875" s="11"/>
    </row>
    <row r="8876" spans="1:1" ht="15.75" x14ac:dyDescent="0.25">
      <c r="A8876" s="11"/>
    </row>
    <row r="8877" spans="1:1" ht="15.75" x14ac:dyDescent="0.25">
      <c r="A8877" s="11"/>
    </row>
    <row r="8878" spans="1:1" ht="15.75" x14ac:dyDescent="0.25">
      <c r="A8878" s="11"/>
    </row>
    <row r="8879" spans="1:1" ht="15.75" x14ac:dyDescent="0.25">
      <c r="A8879" s="11"/>
    </row>
    <row r="8880" spans="1:1" ht="15.75" x14ac:dyDescent="0.25">
      <c r="A8880" s="11"/>
    </row>
    <row r="8881" spans="1:1" ht="15.75" x14ac:dyDescent="0.25">
      <c r="A8881" s="11"/>
    </row>
    <row r="8882" spans="1:1" ht="15.75" x14ac:dyDescent="0.25">
      <c r="A8882" s="11"/>
    </row>
    <row r="8883" spans="1:1" ht="15.75" x14ac:dyDescent="0.25">
      <c r="A8883" s="11"/>
    </row>
    <row r="8884" spans="1:1" ht="15.75" x14ac:dyDescent="0.25">
      <c r="A8884" s="11"/>
    </row>
    <row r="8885" spans="1:1" ht="15.75" x14ac:dyDescent="0.25">
      <c r="A8885" s="11"/>
    </row>
    <row r="8886" spans="1:1" ht="15.75" x14ac:dyDescent="0.25">
      <c r="A8886" s="11"/>
    </row>
    <row r="8887" spans="1:1" ht="15.75" x14ac:dyDescent="0.25">
      <c r="A8887" s="11"/>
    </row>
    <row r="8888" spans="1:1" ht="15.75" x14ac:dyDescent="0.25">
      <c r="A8888" s="11"/>
    </row>
    <row r="8889" spans="1:1" ht="15.75" x14ac:dyDescent="0.25">
      <c r="A8889" s="11"/>
    </row>
    <row r="8890" spans="1:1" ht="15.75" x14ac:dyDescent="0.25">
      <c r="A8890" s="11"/>
    </row>
    <row r="8891" spans="1:1" ht="15.75" x14ac:dyDescent="0.25">
      <c r="A8891" s="11"/>
    </row>
    <row r="8892" spans="1:1" ht="15.75" x14ac:dyDescent="0.25">
      <c r="A8892" s="11"/>
    </row>
    <row r="8893" spans="1:1" ht="15.75" x14ac:dyDescent="0.25">
      <c r="A8893" s="11"/>
    </row>
    <row r="8894" spans="1:1" ht="15.75" x14ac:dyDescent="0.25">
      <c r="A8894" s="11"/>
    </row>
    <row r="8895" spans="1:1" ht="15.75" x14ac:dyDescent="0.25">
      <c r="A8895" s="11"/>
    </row>
    <row r="8896" spans="1:1" ht="15.75" x14ac:dyDescent="0.25">
      <c r="A8896" s="11"/>
    </row>
    <row r="8897" spans="1:1" ht="15.75" x14ac:dyDescent="0.25">
      <c r="A8897" s="11"/>
    </row>
    <row r="8898" spans="1:1" ht="15.75" x14ac:dyDescent="0.25">
      <c r="A8898" s="11"/>
    </row>
    <row r="8899" spans="1:1" ht="15.75" x14ac:dyDescent="0.25">
      <c r="A8899" s="11"/>
    </row>
    <row r="8900" spans="1:1" ht="15.75" x14ac:dyDescent="0.25">
      <c r="A8900" s="11"/>
    </row>
    <row r="8901" spans="1:1" ht="15.75" x14ac:dyDescent="0.25">
      <c r="A8901" s="11"/>
    </row>
    <row r="8902" spans="1:1" ht="15.75" x14ac:dyDescent="0.25">
      <c r="A8902" s="11"/>
    </row>
    <row r="8903" spans="1:1" ht="15.75" x14ac:dyDescent="0.25">
      <c r="A8903" s="11"/>
    </row>
    <row r="8904" spans="1:1" ht="15.75" x14ac:dyDescent="0.25">
      <c r="A8904" s="11"/>
    </row>
    <row r="8905" spans="1:1" ht="15.75" x14ac:dyDescent="0.25">
      <c r="A8905" s="11"/>
    </row>
    <row r="8906" spans="1:1" ht="15.75" x14ac:dyDescent="0.25">
      <c r="A8906" s="11"/>
    </row>
    <row r="8907" spans="1:1" ht="15.75" x14ac:dyDescent="0.25">
      <c r="A8907" s="11"/>
    </row>
    <row r="8908" spans="1:1" ht="15.75" x14ac:dyDescent="0.25">
      <c r="A8908" s="11"/>
    </row>
    <row r="8909" spans="1:1" ht="15.75" x14ac:dyDescent="0.25">
      <c r="A8909" s="11"/>
    </row>
    <row r="8910" spans="1:1" ht="15.75" x14ac:dyDescent="0.25">
      <c r="A8910" s="11"/>
    </row>
    <row r="8911" spans="1:1" ht="15.75" x14ac:dyDescent="0.25">
      <c r="A8911" s="11"/>
    </row>
    <row r="8912" spans="1:1" ht="15.75" x14ac:dyDescent="0.25">
      <c r="A8912" s="11"/>
    </row>
    <row r="8913" spans="1:1" ht="15.75" x14ac:dyDescent="0.25">
      <c r="A8913" s="11"/>
    </row>
    <row r="8914" spans="1:1" ht="15.75" x14ac:dyDescent="0.25">
      <c r="A8914" s="11"/>
    </row>
    <row r="8915" spans="1:1" ht="15.75" x14ac:dyDescent="0.25">
      <c r="A8915" s="11"/>
    </row>
    <row r="8916" spans="1:1" ht="15.75" x14ac:dyDescent="0.25">
      <c r="A8916" s="11"/>
    </row>
    <row r="8917" spans="1:1" ht="15.75" x14ac:dyDescent="0.25">
      <c r="A8917" s="11"/>
    </row>
    <row r="8918" spans="1:1" ht="15.75" x14ac:dyDescent="0.25">
      <c r="A8918" s="11"/>
    </row>
    <row r="8919" spans="1:1" ht="15.75" x14ac:dyDescent="0.25">
      <c r="A8919" s="11"/>
    </row>
    <row r="8920" spans="1:1" ht="15.75" x14ac:dyDescent="0.25">
      <c r="A8920" s="11"/>
    </row>
    <row r="8921" spans="1:1" ht="15.75" x14ac:dyDescent="0.25">
      <c r="A8921" s="11"/>
    </row>
    <row r="8922" spans="1:1" ht="15.75" x14ac:dyDescent="0.25">
      <c r="A8922" s="11"/>
    </row>
    <row r="8923" spans="1:1" ht="15.75" x14ac:dyDescent="0.25">
      <c r="A8923" s="11"/>
    </row>
    <row r="8924" spans="1:1" ht="15.75" x14ac:dyDescent="0.25">
      <c r="A8924" s="11"/>
    </row>
    <row r="8925" spans="1:1" ht="15.75" x14ac:dyDescent="0.25">
      <c r="A8925" s="11"/>
    </row>
    <row r="8926" spans="1:1" ht="15.75" x14ac:dyDescent="0.25">
      <c r="A8926" s="11"/>
    </row>
    <row r="8927" spans="1:1" ht="15.75" x14ac:dyDescent="0.25">
      <c r="A8927" s="11"/>
    </row>
    <row r="8928" spans="1:1" ht="15.75" x14ac:dyDescent="0.25">
      <c r="A8928" s="11"/>
    </row>
    <row r="8929" spans="1:1" ht="15.75" x14ac:dyDescent="0.25">
      <c r="A8929" s="11"/>
    </row>
    <row r="8930" spans="1:1" ht="15.75" x14ac:dyDescent="0.25">
      <c r="A8930" s="11"/>
    </row>
    <row r="8931" spans="1:1" ht="15.75" x14ac:dyDescent="0.25">
      <c r="A8931" s="11"/>
    </row>
    <row r="8932" spans="1:1" ht="15.75" x14ac:dyDescent="0.25">
      <c r="A8932" s="11"/>
    </row>
    <row r="8933" spans="1:1" ht="15.75" x14ac:dyDescent="0.25">
      <c r="A8933" s="11"/>
    </row>
    <row r="8934" spans="1:1" ht="15.75" x14ac:dyDescent="0.25">
      <c r="A8934" s="11"/>
    </row>
    <row r="8935" spans="1:1" ht="15.75" x14ac:dyDescent="0.25">
      <c r="A8935" s="11"/>
    </row>
    <row r="8936" spans="1:1" ht="15.75" x14ac:dyDescent="0.25">
      <c r="A8936" s="11"/>
    </row>
    <row r="8937" spans="1:1" ht="15.75" x14ac:dyDescent="0.25">
      <c r="A8937" s="11"/>
    </row>
    <row r="8938" spans="1:1" ht="15.75" x14ac:dyDescent="0.25">
      <c r="A8938" s="11"/>
    </row>
    <row r="8939" spans="1:1" ht="15.75" x14ac:dyDescent="0.25">
      <c r="A8939" s="11"/>
    </row>
    <row r="8940" spans="1:1" ht="15.75" x14ac:dyDescent="0.25">
      <c r="A8940" s="11"/>
    </row>
    <row r="8941" spans="1:1" ht="15.75" x14ac:dyDescent="0.25">
      <c r="A8941" s="11"/>
    </row>
    <row r="8942" spans="1:1" ht="15.75" x14ac:dyDescent="0.25">
      <c r="A8942" s="11"/>
    </row>
    <row r="8943" spans="1:1" ht="15.75" x14ac:dyDescent="0.25">
      <c r="A8943" s="11"/>
    </row>
    <row r="8944" spans="1:1" ht="15.75" x14ac:dyDescent="0.25">
      <c r="A8944" s="11"/>
    </row>
    <row r="8945" spans="1:1" ht="15.75" x14ac:dyDescent="0.25">
      <c r="A8945" s="11"/>
    </row>
    <row r="8946" spans="1:1" ht="15.75" x14ac:dyDescent="0.25">
      <c r="A8946" s="11"/>
    </row>
    <row r="8947" spans="1:1" ht="15.75" x14ac:dyDescent="0.25">
      <c r="A8947" s="11"/>
    </row>
    <row r="8948" spans="1:1" ht="15.75" x14ac:dyDescent="0.25">
      <c r="A8948" s="11"/>
    </row>
    <row r="8949" spans="1:1" ht="15.75" x14ac:dyDescent="0.25">
      <c r="A8949" s="11"/>
    </row>
    <row r="8950" spans="1:1" ht="15.75" x14ac:dyDescent="0.25">
      <c r="A8950" s="11"/>
    </row>
    <row r="8951" spans="1:1" ht="15.75" x14ac:dyDescent="0.25">
      <c r="A8951" s="11"/>
    </row>
    <row r="8952" spans="1:1" ht="15.75" x14ac:dyDescent="0.25">
      <c r="A8952" s="11"/>
    </row>
    <row r="8953" spans="1:1" ht="15.75" x14ac:dyDescent="0.25">
      <c r="A8953" s="11"/>
    </row>
    <row r="8954" spans="1:1" ht="15.75" x14ac:dyDescent="0.25">
      <c r="A8954" s="11"/>
    </row>
    <row r="8955" spans="1:1" ht="15.75" x14ac:dyDescent="0.25">
      <c r="A8955" s="11"/>
    </row>
    <row r="8956" spans="1:1" ht="15.75" x14ac:dyDescent="0.25">
      <c r="A8956" s="11"/>
    </row>
    <row r="8957" spans="1:1" ht="15.75" x14ac:dyDescent="0.25">
      <c r="A8957" s="11"/>
    </row>
    <row r="8958" spans="1:1" ht="15.75" x14ac:dyDescent="0.25">
      <c r="A8958" s="11"/>
    </row>
    <row r="8959" spans="1:1" ht="15.75" x14ac:dyDescent="0.25">
      <c r="A8959" s="11"/>
    </row>
    <row r="8960" spans="1:1" ht="15.75" x14ac:dyDescent="0.25">
      <c r="A8960" s="11"/>
    </row>
    <row r="8961" spans="1:1" ht="15.75" x14ac:dyDescent="0.25">
      <c r="A8961" s="11"/>
    </row>
    <row r="8962" spans="1:1" ht="15.75" x14ac:dyDescent="0.25">
      <c r="A8962" s="11"/>
    </row>
    <row r="8963" spans="1:1" ht="15.75" x14ac:dyDescent="0.25">
      <c r="A8963" s="11"/>
    </row>
    <row r="8964" spans="1:1" ht="15.75" x14ac:dyDescent="0.25">
      <c r="A8964" s="11"/>
    </row>
    <row r="8965" spans="1:1" ht="15.75" x14ac:dyDescent="0.25">
      <c r="A8965" s="11"/>
    </row>
    <row r="8966" spans="1:1" ht="15.75" x14ac:dyDescent="0.25">
      <c r="A8966" s="11"/>
    </row>
    <row r="8967" spans="1:1" ht="15.75" x14ac:dyDescent="0.25">
      <c r="A8967" s="11"/>
    </row>
    <row r="8968" spans="1:1" ht="15.75" x14ac:dyDescent="0.25">
      <c r="A8968" s="11"/>
    </row>
    <row r="8969" spans="1:1" ht="15.75" x14ac:dyDescent="0.25">
      <c r="A8969" s="11"/>
    </row>
    <row r="8970" spans="1:1" ht="15.75" x14ac:dyDescent="0.25">
      <c r="A8970" s="11"/>
    </row>
    <row r="8971" spans="1:1" ht="15.75" x14ac:dyDescent="0.25">
      <c r="A8971" s="11"/>
    </row>
    <row r="8972" spans="1:1" ht="15.75" x14ac:dyDescent="0.25">
      <c r="A8972" s="11"/>
    </row>
    <row r="8973" spans="1:1" ht="15.75" x14ac:dyDescent="0.25">
      <c r="A8973" s="11"/>
    </row>
    <row r="8974" spans="1:1" ht="15.75" x14ac:dyDescent="0.25">
      <c r="A8974" s="11"/>
    </row>
    <row r="8975" spans="1:1" ht="15.75" x14ac:dyDescent="0.25">
      <c r="A8975" s="11"/>
    </row>
    <row r="8976" spans="1:1" ht="15.75" x14ac:dyDescent="0.25">
      <c r="A8976" s="11"/>
    </row>
    <row r="8977" spans="1:1" ht="15.75" x14ac:dyDescent="0.25">
      <c r="A8977" s="11"/>
    </row>
    <row r="8978" spans="1:1" ht="15.75" x14ac:dyDescent="0.25">
      <c r="A8978" s="11"/>
    </row>
    <row r="8979" spans="1:1" ht="15.75" x14ac:dyDescent="0.25">
      <c r="A8979" s="11"/>
    </row>
    <row r="8980" spans="1:1" ht="15.75" x14ac:dyDescent="0.25">
      <c r="A8980" s="11"/>
    </row>
    <row r="8981" spans="1:1" ht="15.75" x14ac:dyDescent="0.25">
      <c r="A8981" s="11"/>
    </row>
    <row r="8982" spans="1:1" ht="15.75" x14ac:dyDescent="0.25">
      <c r="A8982" s="11"/>
    </row>
    <row r="8983" spans="1:1" ht="15.75" x14ac:dyDescent="0.25">
      <c r="A8983" s="11"/>
    </row>
    <row r="8984" spans="1:1" ht="15.75" x14ac:dyDescent="0.25">
      <c r="A8984" s="11"/>
    </row>
    <row r="8985" spans="1:1" ht="15.75" x14ac:dyDescent="0.25">
      <c r="A8985" s="11"/>
    </row>
    <row r="8986" spans="1:1" ht="15.75" x14ac:dyDescent="0.25">
      <c r="A8986" s="11"/>
    </row>
    <row r="8987" spans="1:1" ht="15.75" x14ac:dyDescent="0.25">
      <c r="A8987" s="11"/>
    </row>
    <row r="8988" spans="1:1" ht="15.75" x14ac:dyDescent="0.25">
      <c r="A8988" s="11"/>
    </row>
    <row r="8989" spans="1:1" ht="15.75" x14ac:dyDescent="0.25">
      <c r="A8989" s="11"/>
    </row>
    <row r="8990" spans="1:1" ht="15.75" x14ac:dyDescent="0.25">
      <c r="A8990" s="11"/>
    </row>
    <row r="8991" spans="1:1" ht="15.75" x14ac:dyDescent="0.25">
      <c r="A8991" s="11"/>
    </row>
    <row r="8992" spans="1:1" ht="15.75" x14ac:dyDescent="0.25">
      <c r="A8992" s="11"/>
    </row>
    <row r="8993" spans="1:1" ht="15.75" x14ac:dyDescent="0.25">
      <c r="A8993" s="11"/>
    </row>
    <row r="8994" spans="1:1" ht="15.75" x14ac:dyDescent="0.25">
      <c r="A8994" s="11"/>
    </row>
    <row r="8995" spans="1:1" ht="15.75" x14ac:dyDescent="0.25">
      <c r="A8995" s="11"/>
    </row>
    <row r="8996" spans="1:1" ht="15.75" x14ac:dyDescent="0.25">
      <c r="A8996" s="11"/>
    </row>
    <row r="8997" spans="1:1" ht="15.75" x14ac:dyDescent="0.25">
      <c r="A8997" s="11"/>
    </row>
    <row r="8998" spans="1:1" ht="15.75" x14ac:dyDescent="0.25">
      <c r="A8998" s="11"/>
    </row>
    <row r="8999" spans="1:1" ht="15.75" x14ac:dyDescent="0.25">
      <c r="A8999" s="11"/>
    </row>
    <row r="9000" spans="1:1" ht="15.75" x14ac:dyDescent="0.25">
      <c r="A9000" s="11"/>
    </row>
    <row r="9001" spans="1:1" ht="15.75" x14ac:dyDescent="0.25">
      <c r="A9001" s="11"/>
    </row>
    <row r="9002" spans="1:1" ht="15.75" x14ac:dyDescent="0.25">
      <c r="A9002" s="11"/>
    </row>
    <row r="9003" spans="1:1" ht="15.75" x14ac:dyDescent="0.25">
      <c r="A9003" s="11"/>
    </row>
    <row r="9004" spans="1:1" ht="15.75" x14ac:dyDescent="0.25">
      <c r="A9004" s="11"/>
    </row>
    <row r="9005" spans="1:1" ht="15.75" x14ac:dyDescent="0.25">
      <c r="A9005" s="11"/>
    </row>
    <row r="9006" spans="1:1" ht="15.75" x14ac:dyDescent="0.25">
      <c r="A9006" s="11"/>
    </row>
    <row r="9007" spans="1:1" ht="15.75" x14ac:dyDescent="0.25">
      <c r="A9007" s="11"/>
    </row>
    <row r="9008" spans="1:1" ht="15.75" x14ac:dyDescent="0.25">
      <c r="A9008" s="11"/>
    </row>
    <row r="9009" spans="1:1" ht="15.75" x14ac:dyDescent="0.25">
      <c r="A9009" s="11"/>
    </row>
    <row r="9010" spans="1:1" ht="15.75" x14ac:dyDescent="0.25">
      <c r="A9010" s="11"/>
    </row>
    <row r="9011" spans="1:1" ht="15.75" x14ac:dyDescent="0.25">
      <c r="A9011" s="11"/>
    </row>
    <row r="9012" spans="1:1" ht="15.75" x14ac:dyDescent="0.25">
      <c r="A9012" s="11"/>
    </row>
    <row r="9013" spans="1:1" ht="15.75" x14ac:dyDescent="0.25">
      <c r="A9013" s="11"/>
    </row>
    <row r="9014" spans="1:1" ht="15.75" x14ac:dyDescent="0.25">
      <c r="A9014" s="11"/>
    </row>
    <row r="9015" spans="1:1" ht="15.75" x14ac:dyDescent="0.25">
      <c r="A9015" s="11"/>
    </row>
    <row r="9016" spans="1:1" ht="15.75" x14ac:dyDescent="0.25">
      <c r="A9016" s="11"/>
    </row>
    <row r="9017" spans="1:1" ht="15.75" x14ac:dyDescent="0.25">
      <c r="A9017" s="11"/>
    </row>
    <row r="9018" spans="1:1" ht="15.75" x14ac:dyDescent="0.25">
      <c r="A9018" s="11"/>
    </row>
    <row r="9019" spans="1:1" ht="15.75" x14ac:dyDescent="0.25">
      <c r="A9019" s="11"/>
    </row>
    <row r="9020" spans="1:1" ht="15.75" x14ac:dyDescent="0.25">
      <c r="A9020" s="11"/>
    </row>
    <row r="9021" spans="1:1" ht="15.75" x14ac:dyDescent="0.25">
      <c r="A9021" s="11"/>
    </row>
    <row r="9022" spans="1:1" ht="15.75" x14ac:dyDescent="0.25">
      <c r="A9022" s="11"/>
    </row>
    <row r="9023" spans="1:1" ht="15.75" x14ac:dyDescent="0.25">
      <c r="A9023" s="11"/>
    </row>
    <row r="9024" spans="1:1" ht="15.75" x14ac:dyDescent="0.25">
      <c r="A9024" s="11"/>
    </row>
    <row r="9025" spans="1:1" ht="15.75" x14ac:dyDescent="0.25">
      <c r="A9025" s="11"/>
    </row>
    <row r="9026" spans="1:1" ht="15.75" x14ac:dyDescent="0.25">
      <c r="A9026" s="11"/>
    </row>
    <row r="9027" spans="1:1" ht="15.75" x14ac:dyDescent="0.25">
      <c r="A9027" s="11"/>
    </row>
    <row r="9028" spans="1:1" ht="15.75" x14ac:dyDescent="0.25">
      <c r="A9028" s="11"/>
    </row>
    <row r="9029" spans="1:1" ht="15.75" x14ac:dyDescent="0.25">
      <c r="A9029" s="11"/>
    </row>
    <row r="9030" spans="1:1" ht="15.75" x14ac:dyDescent="0.25">
      <c r="A9030" s="11"/>
    </row>
    <row r="9031" spans="1:1" ht="15.75" x14ac:dyDescent="0.25">
      <c r="A9031" s="11"/>
    </row>
    <row r="9032" spans="1:1" ht="15.75" x14ac:dyDescent="0.25">
      <c r="A9032" s="11"/>
    </row>
    <row r="9033" spans="1:1" ht="15.75" x14ac:dyDescent="0.25">
      <c r="A9033" s="11"/>
    </row>
    <row r="9034" spans="1:1" ht="15.75" x14ac:dyDescent="0.25">
      <c r="A9034" s="11"/>
    </row>
    <row r="9035" spans="1:1" ht="15.75" x14ac:dyDescent="0.25">
      <c r="A9035" s="11"/>
    </row>
    <row r="9036" spans="1:1" ht="15.75" x14ac:dyDescent="0.25">
      <c r="A9036" s="11"/>
    </row>
    <row r="9037" spans="1:1" ht="15.75" x14ac:dyDescent="0.25">
      <c r="A9037" s="11"/>
    </row>
    <row r="9038" spans="1:1" ht="15.75" x14ac:dyDescent="0.25">
      <c r="A9038" s="11"/>
    </row>
    <row r="9039" spans="1:1" ht="15.75" x14ac:dyDescent="0.25">
      <c r="A9039" s="11"/>
    </row>
    <row r="9040" spans="1:1" ht="15.75" x14ac:dyDescent="0.25">
      <c r="A9040" s="11"/>
    </row>
    <row r="9041" spans="1:1" ht="15.75" x14ac:dyDescent="0.25">
      <c r="A9041" s="11"/>
    </row>
    <row r="9042" spans="1:1" ht="15.75" x14ac:dyDescent="0.25">
      <c r="A9042" s="11"/>
    </row>
    <row r="9043" spans="1:1" ht="15.75" x14ac:dyDescent="0.25">
      <c r="A9043" s="11"/>
    </row>
    <row r="9044" spans="1:1" ht="15.75" x14ac:dyDescent="0.25">
      <c r="A9044" s="11"/>
    </row>
    <row r="9045" spans="1:1" ht="15.75" x14ac:dyDescent="0.25">
      <c r="A9045" s="11"/>
    </row>
    <row r="9046" spans="1:1" ht="15.75" x14ac:dyDescent="0.25">
      <c r="A9046" s="11"/>
    </row>
    <row r="9047" spans="1:1" ht="15.75" x14ac:dyDescent="0.25">
      <c r="A9047" s="11"/>
    </row>
    <row r="9048" spans="1:1" ht="15.75" x14ac:dyDescent="0.25">
      <c r="A9048" s="11"/>
    </row>
    <row r="9049" spans="1:1" ht="15.75" x14ac:dyDescent="0.25">
      <c r="A9049" s="11"/>
    </row>
    <row r="9050" spans="1:1" ht="15.75" x14ac:dyDescent="0.25">
      <c r="A9050" s="11"/>
    </row>
    <row r="9051" spans="1:1" ht="15.75" x14ac:dyDescent="0.25">
      <c r="A9051" s="11"/>
    </row>
    <row r="9052" spans="1:1" ht="15.75" x14ac:dyDescent="0.25">
      <c r="A9052" s="11"/>
    </row>
    <row r="9053" spans="1:1" ht="15.75" x14ac:dyDescent="0.25">
      <c r="A9053" s="11"/>
    </row>
    <row r="9054" spans="1:1" ht="15.75" x14ac:dyDescent="0.25">
      <c r="A9054" s="11"/>
    </row>
    <row r="9055" spans="1:1" ht="15.75" x14ac:dyDescent="0.25">
      <c r="A9055" s="11"/>
    </row>
    <row r="9056" spans="1:1" ht="15.75" x14ac:dyDescent="0.25">
      <c r="A9056" s="11"/>
    </row>
    <row r="9057" spans="1:1" ht="15.75" x14ac:dyDescent="0.25">
      <c r="A9057" s="11"/>
    </row>
    <row r="9058" spans="1:1" ht="15.75" x14ac:dyDescent="0.25">
      <c r="A9058" s="11"/>
    </row>
    <row r="9059" spans="1:1" ht="15.75" x14ac:dyDescent="0.25">
      <c r="A9059" s="11"/>
    </row>
    <row r="9060" spans="1:1" ht="15.75" x14ac:dyDescent="0.25">
      <c r="A9060" s="11"/>
    </row>
    <row r="9061" spans="1:1" ht="15.75" x14ac:dyDescent="0.25">
      <c r="A9061" s="11"/>
    </row>
    <row r="9062" spans="1:1" ht="15.75" x14ac:dyDescent="0.25">
      <c r="A9062" s="11"/>
    </row>
    <row r="9063" spans="1:1" ht="15.75" x14ac:dyDescent="0.25">
      <c r="A9063" s="11"/>
    </row>
    <row r="9064" spans="1:1" ht="15.75" x14ac:dyDescent="0.25">
      <c r="A9064" s="11"/>
    </row>
    <row r="9065" spans="1:1" ht="15.75" x14ac:dyDescent="0.25">
      <c r="A9065" s="11"/>
    </row>
    <row r="9066" spans="1:1" ht="15.75" x14ac:dyDescent="0.25">
      <c r="A9066" s="11"/>
    </row>
    <row r="9067" spans="1:1" ht="15.75" x14ac:dyDescent="0.25">
      <c r="A9067" s="11"/>
    </row>
    <row r="9068" spans="1:1" ht="15.75" x14ac:dyDescent="0.25">
      <c r="A9068" s="11"/>
    </row>
    <row r="9069" spans="1:1" ht="15.75" x14ac:dyDescent="0.25">
      <c r="A9069" s="11"/>
    </row>
    <row r="9070" spans="1:1" ht="15.75" x14ac:dyDescent="0.25">
      <c r="A9070" s="11"/>
    </row>
    <row r="9071" spans="1:1" ht="15.75" x14ac:dyDescent="0.25">
      <c r="A9071" s="11"/>
    </row>
    <row r="9072" spans="1:1" ht="15.75" x14ac:dyDescent="0.25">
      <c r="A9072" s="11"/>
    </row>
    <row r="9073" spans="1:1" ht="15.75" x14ac:dyDescent="0.25">
      <c r="A9073" s="11"/>
    </row>
    <row r="9074" spans="1:1" ht="15.75" x14ac:dyDescent="0.25">
      <c r="A9074" s="11"/>
    </row>
    <row r="9075" spans="1:1" ht="15.75" x14ac:dyDescent="0.25">
      <c r="A9075" s="11"/>
    </row>
    <row r="9076" spans="1:1" ht="15.75" x14ac:dyDescent="0.25">
      <c r="A9076" s="11"/>
    </row>
    <row r="9077" spans="1:1" ht="15.75" x14ac:dyDescent="0.25">
      <c r="A9077" s="11"/>
    </row>
    <row r="9078" spans="1:1" ht="15.75" x14ac:dyDescent="0.25">
      <c r="A9078" s="11"/>
    </row>
    <row r="9079" spans="1:1" ht="15.75" x14ac:dyDescent="0.25">
      <c r="A9079" s="11"/>
    </row>
    <row r="9080" spans="1:1" ht="15.75" x14ac:dyDescent="0.25">
      <c r="A9080" s="11"/>
    </row>
    <row r="9081" spans="1:1" ht="15.75" x14ac:dyDescent="0.25">
      <c r="A9081" s="11"/>
    </row>
    <row r="9082" spans="1:1" ht="15.75" x14ac:dyDescent="0.25">
      <c r="A9082" s="11"/>
    </row>
    <row r="9083" spans="1:1" ht="15.75" x14ac:dyDescent="0.25">
      <c r="A9083" s="11"/>
    </row>
    <row r="9084" spans="1:1" ht="15.75" x14ac:dyDescent="0.25">
      <c r="A9084" s="11"/>
    </row>
    <row r="9085" spans="1:1" ht="15.75" x14ac:dyDescent="0.25">
      <c r="A9085" s="11"/>
    </row>
    <row r="9086" spans="1:1" ht="15.75" x14ac:dyDescent="0.25">
      <c r="A9086" s="11"/>
    </row>
    <row r="9087" spans="1:1" ht="15.75" x14ac:dyDescent="0.25">
      <c r="A9087" s="11"/>
    </row>
    <row r="9088" spans="1:1" ht="15.75" x14ac:dyDescent="0.25">
      <c r="A9088" s="11"/>
    </row>
    <row r="9089" spans="1:1" ht="15.75" x14ac:dyDescent="0.25">
      <c r="A9089" s="11"/>
    </row>
    <row r="9090" spans="1:1" ht="15.75" x14ac:dyDescent="0.25">
      <c r="A9090" s="11"/>
    </row>
    <row r="9091" spans="1:1" ht="15.75" x14ac:dyDescent="0.25">
      <c r="A9091" s="11"/>
    </row>
    <row r="9092" spans="1:1" ht="15.75" x14ac:dyDescent="0.25">
      <c r="A9092" s="11"/>
    </row>
    <row r="9093" spans="1:1" ht="15.75" x14ac:dyDescent="0.25">
      <c r="A9093" s="11"/>
    </row>
    <row r="9094" spans="1:1" ht="15.75" x14ac:dyDescent="0.25">
      <c r="A9094" s="11"/>
    </row>
    <row r="9095" spans="1:1" ht="15.75" x14ac:dyDescent="0.25">
      <c r="A9095" s="11"/>
    </row>
    <row r="9096" spans="1:1" ht="15.75" x14ac:dyDescent="0.25">
      <c r="A9096" s="11"/>
    </row>
    <row r="9097" spans="1:1" ht="15.75" x14ac:dyDescent="0.25">
      <c r="A9097" s="11"/>
    </row>
    <row r="9098" spans="1:1" ht="15.75" x14ac:dyDescent="0.25">
      <c r="A9098" s="11"/>
    </row>
    <row r="9099" spans="1:1" ht="15.75" x14ac:dyDescent="0.25">
      <c r="A9099" s="11"/>
    </row>
    <row r="9100" spans="1:1" ht="15.75" x14ac:dyDescent="0.25">
      <c r="A9100" s="11"/>
    </row>
    <row r="9101" spans="1:1" ht="15.75" x14ac:dyDescent="0.25">
      <c r="A9101" s="11"/>
    </row>
    <row r="9102" spans="1:1" ht="15.75" x14ac:dyDescent="0.25">
      <c r="A9102" s="11"/>
    </row>
    <row r="9103" spans="1:1" ht="15.75" x14ac:dyDescent="0.25">
      <c r="A9103" s="11"/>
    </row>
    <row r="9104" spans="1:1" ht="15.75" x14ac:dyDescent="0.25">
      <c r="A9104" s="11"/>
    </row>
    <row r="9105" spans="1:1" ht="15.75" x14ac:dyDescent="0.25">
      <c r="A9105" s="11"/>
    </row>
    <row r="9106" spans="1:1" ht="15.75" x14ac:dyDescent="0.25">
      <c r="A9106" s="11"/>
    </row>
    <row r="9107" spans="1:1" ht="15.75" x14ac:dyDescent="0.25">
      <c r="A9107" s="11"/>
    </row>
    <row r="9108" spans="1:1" ht="15.75" x14ac:dyDescent="0.25">
      <c r="A9108" s="11"/>
    </row>
    <row r="9109" spans="1:1" ht="15.75" x14ac:dyDescent="0.25">
      <c r="A9109" s="11"/>
    </row>
    <row r="9110" spans="1:1" ht="15.75" x14ac:dyDescent="0.25">
      <c r="A9110" s="11"/>
    </row>
    <row r="9111" spans="1:1" ht="15.75" x14ac:dyDescent="0.25">
      <c r="A9111" s="11"/>
    </row>
    <row r="9112" spans="1:1" ht="15.75" x14ac:dyDescent="0.25">
      <c r="A9112" s="11"/>
    </row>
    <row r="9113" spans="1:1" ht="15.75" x14ac:dyDescent="0.25">
      <c r="A9113" s="11"/>
    </row>
    <row r="9114" spans="1:1" ht="15.75" x14ac:dyDescent="0.25">
      <c r="A9114" s="11"/>
    </row>
    <row r="9115" spans="1:1" ht="15.75" x14ac:dyDescent="0.25">
      <c r="A9115" s="11"/>
    </row>
    <row r="9116" spans="1:1" ht="15.75" x14ac:dyDescent="0.25">
      <c r="A9116" s="11"/>
    </row>
    <row r="9117" spans="1:1" ht="15.75" x14ac:dyDescent="0.25">
      <c r="A9117" s="11"/>
    </row>
    <row r="9118" spans="1:1" ht="15.75" x14ac:dyDescent="0.25">
      <c r="A9118" s="11"/>
    </row>
    <row r="9119" spans="1:1" ht="15.75" x14ac:dyDescent="0.25">
      <c r="A9119" s="11"/>
    </row>
    <row r="9120" spans="1:1" ht="15.75" x14ac:dyDescent="0.25">
      <c r="A9120" s="11"/>
    </row>
    <row r="9121" spans="1:1" ht="15.75" x14ac:dyDescent="0.25">
      <c r="A9121" s="11"/>
    </row>
    <row r="9122" spans="1:1" ht="15.75" x14ac:dyDescent="0.25">
      <c r="A9122" s="11"/>
    </row>
    <row r="9123" spans="1:1" ht="15.75" x14ac:dyDescent="0.25">
      <c r="A9123" s="11"/>
    </row>
    <row r="9124" spans="1:1" ht="15.75" x14ac:dyDescent="0.25">
      <c r="A9124" s="11"/>
    </row>
    <row r="9125" spans="1:1" ht="15.75" x14ac:dyDescent="0.25">
      <c r="A9125" s="11"/>
    </row>
    <row r="9126" spans="1:1" ht="15.75" x14ac:dyDescent="0.25">
      <c r="A9126" s="11"/>
    </row>
    <row r="9127" spans="1:1" ht="15.75" x14ac:dyDescent="0.25">
      <c r="A9127" s="11"/>
    </row>
    <row r="9128" spans="1:1" ht="15.75" x14ac:dyDescent="0.25">
      <c r="A9128" s="11"/>
    </row>
    <row r="9129" spans="1:1" ht="15.75" x14ac:dyDescent="0.25">
      <c r="A9129" s="11"/>
    </row>
    <row r="9130" spans="1:1" ht="15.75" x14ac:dyDescent="0.25">
      <c r="A9130" s="11"/>
    </row>
    <row r="9131" spans="1:1" ht="15.75" x14ac:dyDescent="0.25">
      <c r="A9131" s="11"/>
    </row>
    <row r="9132" spans="1:1" ht="15.75" x14ac:dyDescent="0.25">
      <c r="A9132" s="11"/>
    </row>
    <row r="9133" spans="1:1" ht="15.75" x14ac:dyDescent="0.25">
      <c r="A9133" s="11"/>
    </row>
    <row r="9134" spans="1:1" ht="15.75" x14ac:dyDescent="0.25">
      <c r="A9134" s="11"/>
    </row>
    <row r="9135" spans="1:1" ht="15.75" x14ac:dyDescent="0.25">
      <c r="A9135" s="11"/>
    </row>
    <row r="9136" spans="1:1" ht="15.75" x14ac:dyDescent="0.25">
      <c r="A9136" s="11"/>
    </row>
    <row r="9137" spans="1:1" ht="15.75" x14ac:dyDescent="0.25">
      <c r="A9137" s="11"/>
    </row>
    <row r="9138" spans="1:1" ht="15.75" x14ac:dyDescent="0.25">
      <c r="A9138" s="11"/>
    </row>
    <row r="9139" spans="1:1" ht="15.75" x14ac:dyDescent="0.25">
      <c r="A9139" s="11"/>
    </row>
    <row r="9140" spans="1:1" ht="15.75" x14ac:dyDescent="0.25">
      <c r="A9140" s="11"/>
    </row>
    <row r="9141" spans="1:1" ht="15.75" x14ac:dyDescent="0.25">
      <c r="A9141" s="11"/>
    </row>
    <row r="9142" spans="1:1" ht="15.75" x14ac:dyDescent="0.25">
      <c r="A9142" s="11"/>
    </row>
    <row r="9143" spans="1:1" ht="15.75" x14ac:dyDescent="0.25">
      <c r="A9143" s="11"/>
    </row>
    <row r="9144" spans="1:1" ht="15.75" x14ac:dyDescent="0.25">
      <c r="A9144" s="11"/>
    </row>
    <row r="9145" spans="1:1" ht="15.75" x14ac:dyDescent="0.25">
      <c r="A9145" s="11"/>
    </row>
    <row r="9146" spans="1:1" ht="15.75" x14ac:dyDescent="0.25">
      <c r="A9146" s="11"/>
    </row>
    <row r="9147" spans="1:1" ht="15.75" x14ac:dyDescent="0.25">
      <c r="A9147" s="11"/>
    </row>
    <row r="9148" spans="1:1" ht="15.75" x14ac:dyDescent="0.25">
      <c r="A9148" s="11"/>
    </row>
    <row r="9149" spans="1:1" ht="15.75" x14ac:dyDescent="0.25">
      <c r="A9149" s="11"/>
    </row>
    <row r="9150" spans="1:1" ht="15.75" x14ac:dyDescent="0.25">
      <c r="A9150" s="11"/>
    </row>
    <row r="9151" spans="1:1" ht="15.75" x14ac:dyDescent="0.25">
      <c r="A9151" s="11"/>
    </row>
    <row r="9152" spans="1:1" ht="15.75" x14ac:dyDescent="0.25">
      <c r="A9152" s="11"/>
    </row>
    <row r="9153" spans="1:1" ht="15.75" x14ac:dyDescent="0.25">
      <c r="A9153" s="11"/>
    </row>
    <row r="9154" spans="1:1" ht="15.75" x14ac:dyDescent="0.25">
      <c r="A9154" s="11"/>
    </row>
    <row r="9155" spans="1:1" ht="15.75" x14ac:dyDescent="0.25">
      <c r="A9155" s="11"/>
    </row>
    <row r="9156" spans="1:1" ht="15.75" x14ac:dyDescent="0.25">
      <c r="A9156" s="11"/>
    </row>
    <row r="9157" spans="1:1" ht="15.75" x14ac:dyDescent="0.25">
      <c r="A9157" s="11"/>
    </row>
    <row r="9158" spans="1:1" ht="15.75" x14ac:dyDescent="0.25">
      <c r="A9158" s="11"/>
    </row>
    <row r="9159" spans="1:1" ht="15.75" x14ac:dyDescent="0.25">
      <c r="A9159" s="11"/>
    </row>
    <row r="9160" spans="1:1" ht="15.75" x14ac:dyDescent="0.25">
      <c r="A9160" s="11"/>
    </row>
    <row r="9161" spans="1:1" ht="15.75" x14ac:dyDescent="0.25">
      <c r="A9161" s="11"/>
    </row>
    <row r="9162" spans="1:1" ht="15.75" x14ac:dyDescent="0.25">
      <c r="A9162" s="11"/>
    </row>
    <row r="9163" spans="1:1" ht="15.75" x14ac:dyDescent="0.25">
      <c r="A9163" s="11"/>
    </row>
    <row r="9164" spans="1:1" ht="15.75" x14ac:dyDescent="0.25">
      <c r="A9164" s="11"/>
    </row>
    <row r="9165" spans="1:1" ht="15.75" x14ac:dyDescent="0.25">
      <c r="A9165" s="11"/>
    </row>
    <row r="9166" spans="1:1" ht="15.75" x14ac:dyDescent="0.25">
      <c r="A9166" s="11"/>
    </row>
    <row r="9167" spans="1:1" ht="15.75" x14ac:dyDescent="0.25">
      <c r="A9167" s="11"/>
    </row>
    <row r="9168" spans="1:1" ht="15.75" x14ac:dyDescent="0.25">
      <c r="A9168" s="11"/>
    </row>
    <row r="9169" spans="1:1" ht="15.75" x14ac:dyDescent="0.25">
      <c r="A9169" s="11"/>
    </row>
    <row r="9170" spans="1:1" ht="15.75" x14ac:dyDescent="0.25">
      <c r="A9170" s="11"/>
    </row>
    <row r="9171" spans="1:1" ht="15.75" x14ac:dyDescent="0.25">
      <c r="A9171" s="11"/>
    </row>
    <row r="9172" spans="1:1" ht="15.75" x14ac:dyDescent="0.25">
      <c r="A9172" s="11"/>
    </row>
    <row r="9173" spans="1:1" ht="15.75" x14ac:dyDescent="0.25">
      <c r="A9173" s="11"/>
    </row>
    <row r="9174" spans="1:1" ht="15.75" x14ac:dyDescent="0.25">
      <c r="A9174" s="11"/>
    </row>
    <row r="9175" spans="1:1" ht="15.75" x14ac:dyDescent="0.25">
      <c r="A9175" s="11"/>
    </row>
    <row r="9176" spans="1:1" ht="15.75" x14ac:dyDescent="0.25">
      <c r="A9176" s="11"/>
    </row>
    <row r="9177" spans="1:1" ht="15.75" x14ac:dyDescent="0.25">
      <c r="A9177" s="11"/>
    </row>
    <row r="9178" spans="1:1" ht="15.75" x14ac:dyDescent="0.25">
      <c r="A9178" s="11"/>
    </row>
    <row r="9179" spans="1:1" ht="15.75" x14ac:dyDescent="0.25">
      <c r="A9179" s="11"/>
    </row>
    <row r="9180" spans="1:1" ht="15.75" x14ac:dyDescent="0.25">
      <c r="A9180" s="11"/>
    </row>
    <row r="9181" spans="1:1" ht="15.75" x14ac:dyDescent="0.25">
      <c r="A9181" s="11"/>
    </row>
    <row r="9182" spans="1:1" ht="15.75" x14ac:dyDescent="0.25">
      <c r="A9182" s="11"/>
    </row>
    <row r="9183" spans="1:1" ht="15.75" x14ac:dyDescent="0.25">
      <c r="A9183" s="11"/>
    </row>
    <row r="9184" spans="1:1" ht="15.75" x14ac:dyDescent="0.25">
      <c r="A9184" s="11"/>
    </row>
    <row r="9185" spans="1:1" ht="15.75" x14ac:dyDescent="0.25">
      <c r="A9185" s="11"/>
    </row>
    <row r="9186" spans="1:1" ht="15.75" x14ac:dyDescent="0.25">
      <c r="A9186" s="11"/>
    </row>
    <row r="9187" spans="1:1" ht="15.75" x14ac:dyDescent="0.25">
      <c r="A9187" s="11"/>
    </row>
    <row r="9188" spans="1:1" ht="15.75" x14ac:dyDescent="0.25">
      <c r="A9188" s="11"/>
    </row>
    <row r="9189" spans="1:1" ht="15.75" x14ac:dyDescent="0.25">
      <c r="A9189" s="11"/>
    </row>
    <row r="9190" spans="1:1" ht="15.75" x14ac:dyDescent="0.25">
      <c r="A9190" s="11"/>
    </row>
    <row r="9191" spans="1:1" ht="15.75" x14ac:dyDescent="0.25">
      <c r="A9191" s="11"/>
    </row>
    <row r="9192" spans="1:1" ht="15.75" x14ac:dyDescent="0.25">
      <c r="A9192" s="11"/>
    </row>
    <row r="9193" spans="1:1" ht="15.75" x14ac:dyDescent="0.25">
      <c r="A9193" s="11"/>
    </row>
    <row r="9194" spans="1:1" ht="15.75" x14ac:dyDescent="0.25">
      <c r="A9194" s="11"/>
    </row>
    <row r="9195" spans="1:1" ht="15.75" x14ac:dyDescent="0.25">
      <c r="A9195" s="11"/>
    </row>
    <row r="9196" spans="1:1" ht="15.75" x14ac:dyDescent="0.25">
      <c r="A9196" s="11"/>
    </row>
    <row r="9197" spans="1:1" ht="15.75" x14ac:dyDescent="0.25">
      <c r="A9197" s="11"/>
    </row>
    <row r="9198" spans="1:1" ht="15.75" x14ac:dyDescent="0.25">
      <c r="A9198" s="11"/>
    </row>
    <row r="9199" spans="1:1" ht="15.75" x14ac:dyDescent="0.25">
      <c r="A9199" s="11"/>
    </row>
    <row r="9200" spans="1:1" ht="15.75" x14ac:dyDescent="0.25">
      <c r="A9200" s="11"/>
    </row>
    <row r="9201" spans="1:1" ht="15.75" x14ac:dyDescent="0.25">
      <c r="A9201" s="11"/>
    </row>
    <row r="9202" spans="1:1" ht="15.75" x14ac:dyDescent="0.25">
      <c r="A9202" s="11"/>
    </row>
    <row r="9203" spans="1:1" ht="15.75" x14ac:dyDescent="0.25">
      <c r="A9203" s="11"/>
    </row>
    <row r="9204" spans="1:1" ht="15.75" x14ac:dyDescent="0.25">
      <c r="A9204" s="11"/>
    </row>
    <row r="9205" spans="1:1" ht="15.75" x14ac:dyDescent="0.25">
      <c r="A9205" s="11"/>
    </row>
    <row r="9206" spans="1:1" ht="15.75" x14ac:dyDescent="0.25">
      <c r="A9206" s="11"/>
    </row>
    <row r="9207" spans="1:1" ht="15.75" x14ac:dyDescent="0.25">
      <c r="A9207" s="11"/>
    </row>
    <row r="9208" spans="1:1" ht="15.75" x14ac:dyDescent="0.25">
      <c r="A9208" s="11"/>
    </row>
    <row r="9209" spans="1:1" ht="15.75" x14ac:dyDescent="0.25">
      <c r="A9209" s="11"/>
    </row>
    <row r="9210" spans="1:1" ht="15.75" x14ac:dyDescent="0.25">
      <c r="A9210" s="11"/>
    </row>
    <row r="9211" spans="1:1" ht="15.75" x14ac:dyDescent="0.25">
      <c r="A9211" s="11"/>
    </row>
    <row r="9212" spans="1:1" ht="15.75" x14ac:dyDescent="0.25">
      <c r="A9212" s="11"/>
    </row>
    <row r="9213" spans="1:1" ht="15.75" x14ac:dyDescent="0.25">
      <c r="A9213" s="11"/>
    </row>
    <row r="9214" spans="1:1" ht="15.75" x14ac:dyDescent="0.25">
      <c r="A9214" s="11"/>
    </row>
    <row r="9215" spans="1:1" ht="15.75" x14ac:dyDescent="0.25">
      <c r="A9215" s="11"/>
    </row>
    <row r="9216" spans="1:1" ht="15.75" x14ac:dyDescent="0.25">
      <c r="A9216" s="11"/>
    </row>
    <row r="9217" spans="1:1" ht="15.75" x14ac:dyDescent="0.25">
      <c r="A9217" s="11"/>
    </row>
    <row r="9218" spans="1:1" ht="15.75" x14ac:dyDescent="0.25">
      <c r="A9218" s="11"/>
    </row>
    <row r="9219" spans="1:1" ht="15.75" x14ac:dyDescent="0.25">
      <c r="A9219" s="11"/>
    </row>
    <row r="9220" spans="1:1" ht="15.75" x14ac:dyDescent="0.25">
      <c r="A9220" s="11"/>
    </row>
    <row r="9221" spans="1:1" ht="15.75" x14ac:dyDescent="0.25">
      <c r="A9221" s="11"/>
    </row>
    <row r="9222" spans="1:1" ht="15.75" x14ac:dyDescent="0.25">
      <c r="A9222" s="11"/>
    </row>
    <row r="9223" spans="1:1" ht="15.75" x14ac:dyDescent="0.25">
      <c r="A9223" s="11"/>
    </row>
    <row r="9224" spans="1:1" ht="15.75" x14ac:dyDescent="0.25">
      <c r="A9224" s="11"/>
    </row>
    <row r="9225" spans="1:1" ht="15.75" x14ac:dyDescent="0.25">
      <c r="A9225" s="11"/>
    </row>
    <row r="9226" spans="1:1" ht="15.75" x14ac:dyDescent="0.25">
      <c r="A9226" s="11"/>
    </row>
    <row r="9227" spans="1:1" ht="15.75" x14ac:dyDescent="0.25">
      <c r="A9227" s="11"/>
    </row>
    <row r="9228" spans="1:1" ht="15.75" x14ac:dyDescent="0.25">
      <c r="A9228" s="11"/>
    </row>
    <row r="9229" spans="1:1" ht="15.75" x14ac:dyDescent="0.25">
      <c r="A9229" s="11"/>
    </row>
    <row r="9230" spans="1:1" ht="15.75" x14ac:dyDescent="0.25">
      <c r="A9230" s="11"/>
    </row>
    <row r="9231" spans="1:1" ht="15.75" x14ac:dyDescent="0.25">
      <c r="A9231" s="11"/>
    </row>
    <row r="9232" spans="1:1" ht="15.75" x14ac:dyDescent="0.25">
      <c r="A9232" s="11"/>
    </row>
    <row r="9233" spans="1:1" ht="15.75" x14ac:dyDescent="0.25">
      <c r="A9233" s="11"/>
    </row>
    <row r="9234" spans="1:1" ht="15.75" x14ac:dyDescent="0.25">
      <c r="A9234" s="11"/>
    </row>
    <row r="9235" spans="1:1" ht="15.75" x14ac:dyDescent="0.25">
      <c r="A9235" s="11"/>
    </row>
    <row r="9236" spans="1:1" ht="15.75" x14ac:dyDescent="0.25">
      <c r="A9236" s="11"/>
    </row>
    <row r="9237" spans="1:1" ht="15.75" x14ac:dyDescent="0.25">
      <c r="A9237" s="11"/>
    </row>
    <row r="9238" spans="1:1" ht="15.75" x14ac:dyDescent="0.25">
      <c r="A9238" s="11"/>
    </row>
    <row r="9239" spans="1:1" ht="15.75" x14ac:dyDescent="0.25">
      <c r="A9239" s="11"/>
    </row>
    <row r="9240" spans="1:1" ht="15.75" x14ac:dyDescent="0.25">
      <c r="A9240" s="11"/>
    </row>
    <row r="9241" spans="1:1" ht="15.75" x14ac:dyDescent="0.25">
      <c r="A9241" s="11"/>
    </row>
    <row r="9242" spans="1:1" ht="15.75" x14ac:dyDescent="0.25">
      <c r="A9242" s="11"/>
    </row>
    <row r="9243" spans="1:1" ht="15.75" x14ac:dyDescent="0.25">
      <c r="A9243" s="11"/>
    </row>
    <row r="9244" spans="1:1" ht="15.75" x14ac:dyDescent="0.25">
      <c r="A9244" s="11"/>
    </row>
    <row r="9245" spans="1:1" ht="15.75" x14ac:dyDescent="0.25">
      <c r="A9245" s="11"/>
    </row>
    <row r="9246" spans="1:1" ht="15.75" x14ac:dyDescent="0.25">
      <c r="A9246" s="11"/>
    </row>
    <row r="9247" spans="1:1" ht="15.75" x14ac:dyDescent="0.25">
      <c r="A9247" s="11"/>
    </row>
    <row r="9248" spans="1:1" ht="15.75" x14ac:dyDescent="0.25">
      <c r="A9248" s="11"/>
    </row>
    <row r="9249" spans="1:1" ht="15.75" x14ac:dyDescent="0.25">
      <c r="A9249" s="11"/>
    </row>
    <row r="9250" spans="1:1" ht="15.75" x14ac:dyDescent="0.25">
      <c r="A9250" s="11"/>
    </row>
    <row r="9251" spans="1:1" ht="15.75" x14ac:dyDescent="0.25">
      <c r="A9251" s="11"/>
    </row>
    <row r="9252" spans="1:1" ht="15.75" x14ac:dyDescent="0.25">
      <c r="A9252" s="11"/>
    </row>
    <row r="9253" spans="1:1" ht="15.75" x14ac:dyDescent="0.25">
      <c r="A9253" s="11"/>
    </row>
    <row r="9254" spans="1:1" ht="15.75" x14ac:dyDescent="0.25">
      <c r="A9254" s="11"/>
    </row>
    <row r="9255" spans="1:1" ht="15.75" x14ac:dyDescent="0.25">
      <c r="A9255" s="11"/>
    </row>
    <row r="9256" spans="1:1" ht="15.75" x14ac:dyDescent="0.25">
      <c r="A9256" s="11"/>
    </row>
    <row r="9257" spans="1:1" ht="15.75" x14ac:dyDescent="0.25">
      <c r="A9257" s="11"/>
    </row>
    <row r="9258" spans="1:1" ht="15.75" x14ac:dyDescent="0.25">
      <c r="A9258" s="11"/>
    </row>
    <row r="9259" spans="1:1" ht="15.75" x14ac:dyDescent="0.25">
      <c r="A9259" s="11"/>
    </row>
    <row r="9260" spans="1:1" ht="15.75" x14ac:dyDescent="0.25">
      <c r="A9260" s="11"/>
    </row>
    <row r="9261" spans="1:1" ht="15.75" x14ac:dyDescent="0.25">
      <c r="A9261" s="11"/>
    </row>
    <row r="9262" spans="1:1" ht="15.75" x14ac:dyDescent="0.25">
      <c r="A9262" s="11"/>
    </row>
    <row r="9263" spans="1:1" ht="15.75" x14ac:dyDescent="0.25">
      <c r="A9263" s="11"/>
    </row>
    <row r="9264" spans="1:1" ht="15.75" x14ac:dyDescent="0.25">
      <c r="A9264" s="11"/>
    </row>
    <row r="9265" spans="1:1" ht="15.75" x14ac:dyDescent="0.25">
      <c r="A9265" s="11"/>
    </row>
    <row r="9266" spans="1:1" ht="15.75" x14ac:dyDescent="0.25">
      <c r="A9266" s="11"/>
    </row>
    <row r="9267" spans="1:1" ht="15.75" x14ac:dyDescent="0.25">
      <c r="A9267" s="11"/>
    </row>
    <row r="9268" spans="1:1" ht="15.75" x14ac:dyDescent="0.25">
      <c r="A9268" s="11"/>
    </row>
    <row r="9269" spans="1:1" ht="15.75" x14ac:dyDescent="0.25">
      <c r="A9269" s="11"/>
    </row>
    <row r="9270" spans="1:1" ht="15.75" x14ac:dyDescent="0.25">
      <c r="A9270" s="11"/>
    </row>
    <row r="9271" spans="1:1" ht="15.75" x14ac:dyDescent="0.25">
      <c r="A9271" s="11"/>
    </row>
    <row r="9272" spans="1:1" ht="15.75" x14ac:dyDescent="0.25">
      <c r="A9272" s="11"/>
    </row>
    <row r="9273" spans="1:1" ht="15.75" x14ac:dyDescent="0.25">
      <c r="A9273" s="11"/>
    </row>
    <row r="9274" spans="1:1" ht="15.75" x14ac:dyDescent="0.25">
      <c r="A9274" s="11"/>
    </row>
    <row r="9275" spans="1:1" ht="15.75" x14ac:dyDescent="0.25">
      <c r="A9275" s="11"/>
    </row>
    <row r="9276" spans="1:1" ht="15.75" x14ac:dyDescent="0.25">
      <c r="A9276" s="11"/>
    </row>
    <row r="9277" spans="1:1" ht="15.75" x14ac:dyDescent="0.25">
      <c r="A9277" s="11"/>
    </row>
    <row r="9278" spans="1:1" ht="15.75" x14ac:dyDescent="0.25">
      <c r="A9278" s="11"/>
    </row>
    <row r="9279" spans="1:1" ht="15.75" x14ac:dyDescent="0.25">
      <c r="A9279" s="11"/>
    </row>
    <row r="9280" spans="1:1" ht="15.75" x14ac:dyDescent="0.25">
      <c r="A9280" s="11"/>
    </row>
    <row r="9281" spans="1:1" ht="15.75" x14ac:dyDescent="0.25">
      <c r="A9281" s="11"/>
    </row>
    <row r="9282" spans="1:1" ht="15.75" x14ac:dyDescent="0.25">
      <c r="A9282" s="11"/>
    </row>
    <row r="9283" spans="1:1" ht="15.75" x14ac:dyDescent="0.25">
      <c r="A9283" s="11"/>
    </row>
    <row r="9284" spans="1:1" ht="15.75" x14ac:dyDescent="0.25">
      <c r="A9284" s="11"/>
    </row>
    <row r="9285" spans="1:1" ht="15.75" x14ac:dyDescent="0.25">
      <c r="A9285" s="11"/>
    </row>
    <row r="9286" spans="1:1" ht="15.75" x14ac:dyDescent="0.25">
      <c r="A9286" s="11"/>
    </row>
    <row r="9287" spans="1:1" ht="15.75" x14ac:dyDescent="0.25">
      <c r="A9287" s="11"/>
    </row>
    <row r="9288" spans="1:1" ht="15.75" x14ac:dyDescent="0.25">
      <c r="A9288" s="11"/>
    </row>
    <row r="9289" spans="1:1" ht="15.75" x14ac:dyDescent="0.25">
      <c r="A9289" s="11"/>
    </row>
    <row r="9290" spans="1:1" ht="15.75" x14ac:dyDescent="0.25">
      <c r="A9290" s="11"/>
    </row>
    <row r="9291" spans="1:1" ht="15.75" x14ac:dyDescent="0.25">
      <c r="A9291" s="11"/>
    </row>
    <row r="9292" spans="1:1" ht="15.75" x14ac:dyDescent="0.25">
      <c r="A9292" s="11"/>
    </row>
    <row r="9293" spans="1:1" ht="15.75" x14ac:dyDescent="0.25">
      <c r="A9293" s="11"/>
    </row>
    <row r="9294" spans="1:1" ht="15.75" x14ac:dyDescent="0.25">
      <c r="A9294" s="11"/>
    </row>
    <row r="9295" spans="1:1" ht="15.75" x14ac:dyDescent="0.25">
      <c r="A9295" s="11"/>
    </row>
    <row r="9296" spans="1:1" ht="15.75" x14ac:dyDescent="0.25">
      <c r="A9296" s="11"/>
    </row>
    <row r="9297" spans="1:1" ht="15.75" x14ac:dyDescent="0.25">
      <c r="A9297" s="11"/>
    </row>
    <row r="9298" spans="1:1" ht="15.75" x14ac:dyDescent="0.25">
      <c r="A9298" s="11"/>
    </row>
    <row r="9299" spans="1:1" ht="15.75" x14ac:dyDescent="0.25">
      <c r="A9299" s="11"/>
    </row>
    <row r="9300" spans="1:1" ht="15.75" x14ac:dyDescent="0.25">
      <c r="A9300" s="11"/>
    </row>
    <row r="9301" spans="1:1" ht="15.75" x14ac:dyDescent="0.25">
      <c r="A9301" s="11"/>
    </row>
    <row r="9302" spans="1:1" ht="15.75" x14ac:dyDescent="0.25">
      <c r="A9302" s="11"/>
    </row>
    <row r="9303" spans="1:1" ht="15.75" x14ac:dyDescent="0.25">
      <c r="A9303" s="11"/>
    </row>
    <row r="9304" spans="1:1" ht="15.75" x14ac:dyDescent="0.25">
      <c r="A9304" s="11"/>
    </row>
    <row r="9305" spans="1:1" ht="15.75" x14ac:dyDescent="0.25">
      <c r="A9305" s="11"/>
    </row>
    <row r="9306" spans="1:1" ht="15.75" x14ac:dyDescent="0.25">
      <c r="A9306" s="11"/>
    </row>
    <row r="9307" spans="1:1" ht="15.75" x14ac:dyDescent="0.25">
      <c r="A9307" s="11"/>
    </row>
    <row r="9308" spans="1:1" ht="15.75" x14ac:dyDescent="0.25">
      <c r="A9308" s="11"/>
    </row>
    <row r="9309" spans="1:1" ht="15.75" x14ac:dyDescent="0.25">
      <c r="A9309" s="11"/>
    </row>
    <row r="9310" spans="1:1" ht="15.75" x14ac:dyDescent="0.25">
      <c r="A9310" s="11"/>
    </row>
    <row r="9311" spans="1:1" ht="15.75" x14ac:dyDescent="0.25">
      <c r="A9311" s="11"/>
    </row>
    <row r="9312" spans="1:1" ht="15.75" x14ac:dyDescent="0.25">
      <c r="A9312" s="11"/>
    </row>
    <row r="9313" spans="1:1" ht="15.75" x14ac:dyDescent="0.25">
      <c r="A9313" s="11"/>
    </row>
    <row r="9314" spans="1:1" ht="15.75" x14ac:dyDescent="0.25">
      <c r="A9314" s="11"/>
    </row>
    <row r="9315" spans="1:1" ht="15.75" x14ac:dyDescent="0.25">
      <c r="A9315" s="11"/>
    </row>
    <row r="9316" spans="1:1" ht="15.75" x14ac:dyDescent="0.25">
      <c r="A9316" s="11"/>
    </row>
    <row r="9317" spans="1:1" ht="15.75" x14ac:dyDescent="0.25">
      <c r="A9317" s="11"/>
    </row>
    <row r="9318" spans="1:1" ht="15.75" x14ac:dyDescent="0.25">
      <c r="A9318" s="11"/>
    </row>
    <row r="9319" spans="1:1" ht="15.75" x14ac:dyDescent="0.25">
      <c r="A9319" s="11"/>
    </row>
    <row r="9320" spans="1:1" ht="15.75" x14ac:dyDescent="0.25">
      <c r="A9320" s="11"/>
    </row>
    <row r="9321" spans="1:1" ht="15.75" x14ac:dyDescent="0.25">
      <c r="A9321" s="11"/>
    </row>
    <row r="9322" spans="1:1" ht="15.75" x14ac:dyDescent="0.25">
      <c r="A9322" s="11"/>
    </row>
    <row r="9323" spans="1:1" ht="15.75" x14ac:dyDescent="0.25">
      <c r="A9323" s="11"/>
    </row>
    <row r="9324" spans="1:1" ht="15.75" x14ac:dyDescent="0.25">
      <c r="A9324" s="11"/>
    </row>
    <row r="9325" spans="1:1" ht="15.75" x14ac:dyDescent="0.25">
      <c r="A9325" s="11"/>
    </row>
    <row r="9326" spans="1:1" ht="15.75" x14ac:dyDescent="0.25">
      <c r="A9326" s="11"/>
    </row>
    <row r="9327" spans="1:1" ht="15.75" x14ac:dyDescent="0.25">
      <c r="A9327" s="11"/>
    </row>
    <row r="9328" spans="1:1" ht="15.75" x14ac:dyDescent="0.25">
      <c r="A9328" s="11"/>
    </row>
    <row r="9329" spans="1:1" ht="15.75" x14ac:dyDescent="0.25">
      <c r="A9329" s="11"/>
    </row>
    <row r="9330" spans="1:1" ht="15.75" x14ac:dyDescent="0.25">
      <c r="A9330" s="11"/>
    </row>
    <row r="9331" spans="1:1" ht="15.75" x14ac:dyDescent="0.25">
      <c r="A9331" s="11"/>
    </row>
    <row r="9332" spans="1:1" ht="15.75" x14ac:dyDescent="0.25">
      <c r="A9332" s="11"/>
    </row>
    <row r="9333" spans="1:1" ht="15.75" x14ac:dyDescent="0.25">
      <c r="A9333" s="11"/>
    </row>
    <row r="9334" spans="1:1" ht="15.75" x14ac:dyDescent="0.25">
      <c r="A9334" s="11"/>
    </row>
    <row r="9335" spans="1:1" ht="15.75" x14ac:dyDescent="0.25">
      <c r="A9335" s="11"/>
    </row>
    <row r="9336" spans="1:1" ht="15.75" x14ac:dyDescent="0.25">
      <c r="A9336" s="11"/>
    </row>
    <row r="9337" spans="1:1" ht="15.75" x14ac:dyDescent="0.25">
      <c r="A9337" s="11"/>
    </row>
    <row r="9338" spans="1:1" ht="15.75" x14ac:dyDescent="0.25">
      <c r="A9338" s="11"/>
    </row>
    <row r="9339" spans="1:1" ht="15.75" x14ac:dyDescent="0.25">
      <c r="A9339" s="11"/>
    </row>
    <row r="9340" spans="1:1" ht="15.75" x14ac:dyDescent="0.25">
      <c r="A9340" s="11"/>
    </row>
    <row r="9341" spans="1:1" ht="15.75" x14ac:dyDescent="0.25">
      <c r="A9341" s="11"/>
    </row>
    <row r="9342" spans="1:1" ht="15.75" x14ac:dyDescent="0.25">
      <c r="A9342" s="11"/>
    </row>
    <row r="9343" spans="1:1" ht="15.75" x14ac:dyDescent="0.25">
      <c r="A9343" s="11"/>
    </row>
    <row r="9344" spans="1:1" ht="15.75" x14ac:dyDescent="0.25">
      <c r="A9344" s="11"/>
    </row>
    <row r="9345" spans="1:1" ht="15.75" x14ac:dyDescent="0.25">
      <c r="A9345" s="11"/>
    </row>
    <row r="9346" spans="1:1" ht="15.75" x14ac:dyDescent="0.25">
      <c r="A9346" s="11"/>
    </row>
    <row r="9347" spans="1:1" ht="15.75" x14ac:dyDescent="0.25">
      <c r="A9347" s="11"/>
    </row>
    <row r="9348" spans="1:1" ht="15.75" x14ac:dyDescent="0.25">
      <c r="A9348" s="11"/>
    </row>
    <row r="9349" spans="1:1" ht="15.75" x14ac:dyDescent="0.25">
      <c r="A9349" s="11"/>
    </row>
    <row r="9350" spans="1:1" ht="15.75" x14ac:dyDescent="0.25">
      <c r="A9350" s="11"/>
    </row>
    <row r="9351" spans="1:1" ht="15.75" x14ac:dyDescent="0.25">
      <c r="A9351" s="11"/>
    </row>
    <row r="9352" spans="1:1" ht="15.75" x14ac:dyDescent="0.25">
      <c r="A9352" s="11"/>
    </row>
    <row r="9353" spans="1:1" ht="15.75" x14ac:dyDescent="0.25">
      <c r="A9353" s="11"/>
    </row>
    <row r="9354" spans="1:1" ht="15.75" x14ac:dyDescent="0.25">
      <c r="A9354" s="11"/>
    </row>
    <row r="9355" spans="1:1" ht="15.75" x14ac:dyDescent="0.25">
      <c r="A9355" s="11"/>
    </row>
    <row r="9356" spans="1:1" ht="15.75" x14ac:dyDescent="0.25">
      <c r="A9356" s="11"/>
    </row>
    <row r="9357" spans="1:1" ht="15.75" x14ac:dyDescent="0.25">
      <c r="A9357" s="11"/>
    </row>
    <row r="9358" spans="1:1" ht="15.75" x14ac:dyDescent="0.25">
      <c r="A9358" s="11"/>
    </row>
    <row r="9359" spans="1:1" ht="15.75" x14ac:dyDescent="0.25">
      <c r="A9359" s="11"/>
    </row>
    <row r="9360" spans="1:1" ht="15.75" x14ac:dyDescent="0.25">
      <c r="A9360" s="11"/>
    </row>
    <row r="9361" spans="1:1" ht="15.75" x14ac:dyDescent="0.25">
      <c r="A9361" s="11"/>
    </row>
    <row r="9362" spans="1:1" ht="15.75" x14ac:dyDescent="0.25">
      <c r="A9362" s="11"/>
    </row>
    <row r="9363" spans="1:1" ht="15.75" x14ac:dyDescent="0.25">
      <c r="A9363" s="11"/>
    </row>
    <row r="9364" spans="1:1" ht="15.75" x14ac:dyDescent="0.25">
      <c r="A9364" s="11"/>
    </row>
    <row r="9365" spans="1:1" ht="15.75" x14ac:dyDescent="0.25">
      <c r="A9365" s="11"/>
    </row>
    <row r="9366" spans="1:1" ht="15.75" x14ac:dyDescent="0.25">
      <c r="A9366" s="11"/>
    </row>
    <row r="9367" spans="1:1" ht="15.75" x14ac:dyDescent="0.25">
      <c r="A9367" s="11"/>
    </row>
    <row r="9368" spans="1:1" ht="15.75" x14ac:dyDescent="0.25">
      <c r="A9368" s="11"/>
    </row>
    <row r="9369" spans="1:1" ht="15.75" x14ac:dyDescent="0.25">
      <c r="A9369" s="11"/>
    </row>
    <row r="9370" spans="1:1" ht="15.75" x14ac:dyDescent="0.25">
      <c r="A9370" s="11"/>
    </row>
    <row r="9371" spans="1:1" ht="15.75" x14ac:dyDescent="0.25">
      <c r="A9371" s="11"/>
    </row>
    <row r="9372" spans="1:1" ht="15.75" x14ac:dyDescent="0.25">
      <c r="A9372" s="11"/>
    </row>
    <row r="9373" spans="1:1" ht="15.75" x14ac:dyDescent="0.25">
      <c r="A9373" s="11"/>
    </row>
    <row r="9374" spans="1:1" ht="15.75" x14ac:dyDescent="0.25">
      <c r="A9374" s="11"/>
    </row>
    <row r="9375" spans="1:1" ht="15.75" x14ac:dyDescent="0.25">
      <c r="A9375" s="11"/>
    </row>
    <row r="9376" spans="1:1" ht="15.75" x14ac:dyDescent="0.25">
      <c r="A9376" s="11"/>
    </row>
    <row r="9377" spans="1:1" ht="15.75" x14ac:dyDescent="0.25">
      <c r="A9377" s="11"/>
    </row>
    <row r="9378" spans="1:1" ht="15.75" x14ac:dyDescent="0.25">
      <c r="A9378" s="11"/>
    </row>
    <row r="9379" spans="1:1" ht="15.75" x14ac:dyDescent="0.25">
      <c r="A9379" s="11"/>
    </row>
    <row r="9380" spans="1:1" ht="15.75" x14ac:dyDescent="0.25">
      <c r="A9380" s="11"/>
    </row>
    <row r="9381" spans="1:1" ht="15.75" x14ac:dyDescent="0.25">
      <c r="A9381" s="11"/>
    </row>
    <row r="9382" spans="1:1" ht="15.75" x14ac:dyDescent="0.25">
      <c r="A9382" s="11"/>
    </row>
    <row r="9383" spans="1:1" ht="15.75" x14ac:dyDescent="0.25">
      <c r="A9383" s="11"/>
    </row>
    <row r="9384" spans="1:1" ht="15.75" x14ac:dyDescent="0.25">
      <c r="A9384" s="11"/>
    </row>
    <row r="9385" spans="1:1" ht="15.75" x14ac:dyDescent="0.25">
      <c r="A9385" s="11"/>
    </row>
    <row r="9386" spans="1:1" ht="15.75" x14ac:dyDescent="0.25">
      <c r="A9386" s="11"/>
    </row>
    <row r="9387" spans="1:1" ht="15.75" x14ac:dyDescent="0.25">
      <c r="A9387" s="11"/>
    </row>
    <row r="9388" spans="1:1" ht="15.75" x14ac:dyDescent="0.25">
      <c r="A9388" s="11"/>
    </row>
    <row r="9389" spans="1:1" ht="15.75" x14ac:dyDescent="0.25">
      <c r="A9389" s="11"/>
    </row>
    <row r="9390" spans="1:1" ht="15.75" x14ac:dyDescent="0.25">
      <c r="A9390" s="11"/>
    </row>
    <row r="9391" spans="1:1" ht="15.75" x14ac:dyDescent="0.25">
      <c r="A9391" s="11"/>
    </row>
    <row r="9392" spans="1:1" ht="15.75" x14ac:dyDescent="0.25">
      <c r="A9392" s="11"/>
    </row>
    <row r="9393" spans="1:1" ht="15.75" x14ac:dyDescent="0.25">
      <c r="A9393" s="11"/>
    </row>
    <row r="9394" spans="1:1" ht="15.75" x14ac:dyDescent="0.25">
      <c r="A9394" s="11"/>
    </row>
    <row r="9395" spans="1:1" ht="15.75" x14ac:dyDescent="0.25">
      <c r="A9395" s="11"/>
    </row>
    <row r="9396" spans="1:1" ht="15.75" x14ac:dyDescent="0.25">
      <c r="A9396" s="11"/>
    </row>
    <row r="9397" spans="1:1" ht="15.75" x14ac:dyDescent="0.25">
      <c r="A9397" s="11"/>
    </row>
    <row r="9398" spans="1:1" ht="15.75" x14ac:dyDescent="0.25">
      <c r="A9398" s="11"/>
    </row>
    <row r="9399" spans="1:1" ht="15.75" x14ac:dyDescent="0.25">
      <c r="A9399" s="11"/>
    </row>
    <row r="9400" spans="1:1" ht="15.75" x14ac:dyDescent="0.25">
      <c r="A9400" s="11"/>
    </row>
    <row r="9401" spans="1:1" ht="15.75" x14ac:dyDescent="0.25">
      <c r="A9401" s="11"/>
    </row>
    <row r="9402" spans="1:1" ht="15.75" x14ac:dyDescent="0.25">
      <c r="A9402" s="11"/>
    </row>
    <row r="9403" spans="1:1" ht="15.75" x14ac:dyDescent="0.25">
      <c r="A9403" s="11"/>
    </row>
    <row r="9404" spans="1:1" ht="15.75" x14ac:dyDescent="0.25">
      <c r="A9404" s="11"/>
    </row>
    <row r="9405" spans="1:1" ht="15.75" x14ac:dyDescent="0.25">
      <c r="A9405" s="11"/>
    </row>
    <row r="9406" spans="1:1" ht="15.75" x14ac:dyDescent="0.25">
      <c r="A9406" s="11"/>
    </row>
    <row r="9407" spans="1:1" ht="15.75" x14ac:dyDescent="0.25">
      <c r="A9407" s="11"/>
    </row>
    <row r="9408" spans="1:1" ht="15.75" x14ac:dyDescent="0.25">
      <c r="A9408" s="11"/>
    </row>
    <row r="9409" spans="1:1" ht="15.75" x14ac:dyDescent="0.25">
      <c r="A9409" s="11"/>
    </row>
    <row r="9410" spans="1:1" ht="15.75" x14ac:dyDescent="0.25">
      <c r="A9410" s="11"/>
    </row>
    <row r="9411" spans="1:1" ht="15.75" x14ac:dyDescent="0.25">
      <c r="A9411" s="11"/>
    </row>
    <row r="9412" spans="1:1" ht="15.75" x14ac:dyDescent="0.25">
      <c r="A9412" s="11"/>
    </row>
    <row r="9413" spans="1:1" ht="15.75" x14ac:dyDescent="0.25">
      <c r="A9413" s="11"/>
    </row>
    <row r="9414" spans="1:1" ht="15.75" x14ac:dyDescent="0.25">
      <c r="A9414" s="11"/>
    </row>
    <row r="9415" spans="1:1" ht="15.75" x14ac:dyDescent="0.25">
      <c r="A9415" s="11"/>
    </row>
    <row r="9416" spans="1:1" ht="15.75" x14ac:dyDescent="0.25">
      <c r="A9416" s="11"/>
    </row>
    <row r="9417" spans="1:1" ht="15.75" x14ac:dyDescent="0.25">
      <c r="A9417" s="11"/>
    </row>
    <row r="9418" spans="1:1" ht="15.75" x14ac:dyDescent="0.25">
      <c r="A9418" s="11"/>
    </row>
    <row r="9419" spans="1:1" ht="15.75" x14ac:dyDescent="0.25">
      <c r="A9419" s="11"/>
    </row>
    <row r="9420" spans="1:1" ht="15.75" x14ac:dyDescent="0.25">
      <c r="A9420" s="11"/>
    </row>
    <row r="9421" spans="1:1" ht="15.75" x14ac:dyDescent="0.25">
      <c r="A9421" s="11"/>
    </row>
    <row r="9422" spans="1:1" ht="15.75" x14ac:dyDescent="0.25">
      <c r="A9422" s="11"/>
    </row>
    <row r="9423" spans="1:1" ht="15.75" x14ac:dyDescent="0.25">
      <c r="A9423" s="11"/>
    </row>
    <row r="9424" spans="1:1" ht="15.75" x14ac:dyDescent="0.25">
      <c r="A9424" s="11"/>
    </row>
    <row r="9425" spans="1:1" ht="15.75" x14ac:dyDescent="0.25">
      <c r="A9425" s="11"/>
    </row>
    <row r="9426" spans="1:1" ht="15.75" x14ac:dyDescent="0.25">
      <c r="A9426" s="11"/>
    </row>
    <row r="9427" spans="1:1" ht="15.75" x14ac:dyDescent="0.25">
      <c r="A9427" s="11"/>
    </row>
    <row r="9428" spans="1:1" ht="15.75" x14ac:dyDescent="0.25">
      <c r="A9428" s="11"/>
    </row>
    <row r="9429" spans="1:1" ht="15.75" x14ac:dyDescent="0.25">
      <c r="A9429" s="11"/>
    </row>
    <row r="9430" spans="1:1" ht="15.75" x14ac:dyDescent="0.25">
      <c r="A9430" s="11"/>
    </row>
    <row r="9431" spans="1:1" ht="15.75" x14ac:dyDescent="0.25">
      <c r="A9431" s="11"/>
    </row>
    <row r="9432" spans="1:1" ht="15.75" x14ac:dyDescent="0.25">
      <c r="A9432" s="11"/>
    </row>
    <row r="9433" spans="1:1" ht="15.75" x14ac:dyDescent="0.25">
      <c r="A9433" s="11"/>
    </row>
    <row r="9434" spans="1:1" ht="15.75" x14ac:dyDescent="0.25">
      <c r="A9434" s="11"/>
    </row>
    <row r="9435" spans="1:1" ht="15.75" x14ac:dyDescent="0.25">
      <c r="A9435" s="11"/>
    </row>
    <row r="9436" spans="1:1" ht="15.75" x14ac:dyDescent="0.25">
      <c r="A9436" s="11"/>
    </row>
    <row r="9437" spans="1:1" ht="15.75" x14ac:dyDescent="0.25">
      <c r="A9437" s="11"/>
    </row>
    <row r="9438" spans="1:1" ht="15.75" x14ac:dyDescent="0.25">
      <c r="A9438" s="11"/>
    </row>
    <row r="9439" spans="1:1" ht="15.75" x14ac:dyDescent="0.25">
      <c r="A9439" s="11"/>
    </row>
    <row r="9440" spans="1:1" ht="15.75" x14ac:dyDescent="0.25">
      <c r="A9440" s="11"/>
    </row>
    <row r="9441" spans="1:1" ht="15.75" x14ac:dyDescent="0.25">
      <c r="A9441" s="11"/>
    </row>
    <row r="9442" spans="1:1" ht="15.75" x14ac:dyDescent="0.25">
      <c r="A9442" s="11"/>
    </row>
    <row r="9443" spans="1:1" ht="15.75" x14ac:dyDescent="0.25">
      <c r="A9443" s="11"/>
    </row>
    <row r="9444" spans="1:1" ht="15.75" x14ac:dyDescent="0.25">
      <c r="A9444" s="11"/>
    </row>
    <row r="9445" spans="1:1" ht="15.75" x14ac:dyDescent="0.25">
      <c r="A9445" s="11"/>
    </row>
    <row r="9446" spans="1:1" ht="15.75" x14ac:dyDescent="0.25">
      <c r="A9446" s="11"/>
    </row>
    <row r="9447" spans="1:1" ht="15.75" x14ac:dyDescent="0.25">
      <c r="A9447" s="11"/>
    </row>
    <row r="9448" spans="1:1" ht="15.75" x14ac:dyDescent="0.25">
      <c r="A9448" s="11"/>
    </row>
    <row r="9449" spans="1:1" ht="15.75" x14ac:dyDescent="0.25">
      <c r="A9449" s="11"/>
    </row>
    <row r="9450" spans="1:1" ht="15.75" x14ac:dyDescent="0.25">
      <c r="A9450" s="11"/>
    </row>
    <row r="9451" spans="1:1" ht="15.75" x14ac:dyDescent="0.25">
      <c r="A9451" s="11"/>
    </row>
    <row r="9452" spans="1:1" ht="15.75" x14ac:dyDescent="0.25">
      <c r="A9452" s="11"/>
    </row>
    <row r="9453" spans="1:1" ht="15.75" x14ac:dyDescent="0.25">
      <c r="A9453" s="11"/>
    </row>
    <row r="9454" spans="1:1" ht="15.75" x14ac:dyDescent="0.25">
      <c r="A9454" s="11"/>
    </row>
    <row r="9455" spans="1:1" ht="15.75" x14ac:dyDescent="0.25">
      <c r="A9455" s="11"/>
    </row>
    <row r="9456" spans="1:1" ht="15.75" x14ac:dyDescent="0.25">
      <c r="A9456" s="11"/>
    </row>
    <row r="9457" spans="1:1" ht="15.75" x14ac:dyDescent="0.25">
      <c r="A9457" s="11"/>
    </row>
    <row r="9458" spans="1:1" ht="15.75" x14ac:dyDescent="0.25">
      <c r="A9458" s="11"/>
    </row>
    <row r="9459" spans="1:1" ht="15.75" x14ac:dyDescent="0.25">
      <c r="A9459" s="11"/>
    </row>
    <row r="9460" spans="1:1" ht="15.75" x14ac:dyDescent="0.25">
      <c r="A9460" s="11"/>
    </row>
    <row r="9461" spans="1:1" ht="15.75" x14ac:dyDescent="0.25">
      <c r="A9461" s="11"/>
    </row>
    <row r="9462" spans="1:1" ht="15.75" x14ac:dyDescent="0.25">
      <c r="A9462" s="11"/>
    </row>
    <row r="9463" spans="1:1" ht="15.75" x14ac:dyDescent="0.25">
      <c r="A9463" s="11"/>
    </row>
    <row r="9464" spans="1:1" ht="15.75" x14ac:dyDescent="0.25">
      <c r="A9464" s="11"/>
    </row>
    <row r="9465" spans="1:1" ht="15.75" x14ac:dyDescent="0.25">
      <c r="A9465" s="11"/>
    </row>
    <row r="9466" spans="1:1" ht="15.75" x14ac:dyDescent="0.25">
      <c r="A9466" s="11"/>
    </row>
    <row r="9467" spans="1:1" ht="15.75" x14ac:dyDescent="0.25">
      <c r="A9467" s="11"/>
    </row>
    <row r="9468" spans="1:1" ht="15.75" x14ac:dyDescent="0.25">
      <c r="A9468" s="11"/>
    </row>
    <row r="9469" spans="1:1" ht="15.75" x14ac:dyDescent="0.25">
      <c r="A9469" s="11"/>
    </row>
    <row r="9470" spans="1:1" ht="15.75" x14ac:dyDescent="0.25">
      <c r="A9470" s="11"/>
    </row>
    <row r="9471" spans="1:1" ht="15.75" x14ac:dyDescent="0.25">
      <c r="A9471" s="11"/>
    </row>
    <row r="9472" spans="1:1" ht="15.75" x14ac:dyDescent="0.25">
      <c r="A9472" s="11"/>
    </row>
    <row r="9473" spans="1:1" ht="15.75" x14ac:dyDescent="0.25">
      <c r="A9473" s="11"/>
    </row>
    <row r="9474" spans="1:1" ht="15.75" x14ac:dyDescent="0.25">
      <c r="A9474" s="11"/>
    </row>
    <row r="9475" spans="1:1" ht="15.75" x14ac:dyDescent="0.25">
      <c r="A9475" s="11"/>
    </row>
    <row r="9476" spans="1:1" ht="15.75" x14ac:dyDescent="0.25">
      <c r="A9476" s="11"/>
    </row>
    <row r="9477" spans="1:1" ht="15.75" x14ac:dyDescent="0.25">
      <c r="A9477" s="11"/>
    </row>
    <row r="9478" spans="1:1" ht="15.75" x14ac:dyDescent="0.25">
      <c r="A9478" s="11"/>
    </row>
    <row r="9479" spans="1:1" ht="15.75" x14ac:dyDescent="0.25">
      <c r="A9479" s="11"/>
    </row>
    <row r="9480" spans="1:1" ht="15.75" x14ac:dyDescent="0.25">
      <c r="A9480" s="11"/>
    </row>
    <row r="9481" spans="1:1" ht="15.75" x14ac:dyDescent="0.25">
      <c r="A9481" s="11"/>
    </row>
    <row r="9482" spans="1:1" ht="15.75" x14ac:dyDescent="0.25">
      <c r="A9482" s="11"/>
    </row>
    <row r="9483" spans="1:1" ht="15.75" x14ac:dyDescent="0.25">
      <c r="A9483" s="11"/>
    </row>
    <row r="9484" spans="1:1" ht="15.75" x14ac:dyDescent="0.25">
      <c r="A9484" s="11"/>
    </row>
    <row r="9485" spans="1:1" ht="15.75" x14ac:dyDescent="0.25">
      <c r="A9485" s="11"/>
    </row>
    <row r="9486" spans="1:1" ht="15.75" x14ac:dyDescent="0.25">
      <c r="A9486" s="11"/>
    </row>
    <row r="9487" spans="1:1" ht="15.75" x14ac:dyDescent="0.25">
      <c r="A9487" s="11"/>
    </row>
    <row r="9488" spans="1:1" ht="15.75" x14ac:dyDescent="0.25">
      <c r="A9488" s="11"/>
    </row>
    <row r="9489" spans="1:1" ht="15.75" x14ac:dyDescent="0.25">
      <c r="A9489" s="11"/>
    </row>
    <row r="9490" spans="1:1" ht="15.75" x14ac:dyDescent="0.25">
      <c r="A9490" s="11"/>
    </row>
    <row r="9491" spans="1:1" ht="15.75" x14ac:dyDescent="0.25">
      <c r="A9491" s="11"/>
    </row>
    <row r="9492" spans="1:1" ht="15.75" x14ac:dyDescent="0.25">
      <c r="A9492" s="11"/>
    </row>
    <row r="9493" spans="1:1" ht="15.75" x14ac:dyDescent="0.25">
      <c r="A9493" s="11"/>
    </row>
    <row r="9494" spans="1:1" ht="15.75" x14ac:dyDescent="0.25">
      <c r="A9494" s="11"/>
    </row>
    <row r="9495" spans="1:1" ht="15.75" x14ac:dyDescent="0.25">
      <c r="A9495" s="11"/>
    </row>
    <row r="9496" spans="1:1" ht="15.75" x14ac:dyDescent="0.25">
      <c r="A9496" s="11"/>
    </row>
    <row r="9497" spans="1:1" ht="15.75" x14ac:dyDescent="0.25">
      <c r="A9497" s="11"/>
    </row>
    <row r="9498" spans="1:1" ht="15.75" x14ac:dyDescent="0.25">
      <c r="A9498" s="11"/>
    </row>
    <row r="9499" spans="1:1" ht="15.75" x14ac:dyDescent="0.25">
      <c r="A9499" s="11"/>
    </row>
    <row r="9500" spans="1:1" ht="15.75" x14ac:dyDescent="0.25">
      <c r="A9500" s="11"/>
    </row>
    <row r="9501" spans="1:1" ht="15.75" x14ac:dyDescent="0.25">
      <c r="A9501" s="11"/>
    </row>
    <row r="9502" spans="1:1" ht="15.75" x14ac:dyDescent="0.25">
      <c r="A9502" s="11"/>
    </row>
    <row r="9503" spans="1:1" ht="15.75" x14ac:dyDescent="0.25">
      <c r="A9503" s="11"/>
    </row>
    <row r="9504" spans="1:1" ht="15.75" x14ac:dyDescent="0.25">
      <c r="A9504" s="11"/>
    </row>
    <row r="9505" spans="1:1" ht="15.75" x14ac:dyDescent="0.25">
      <c r="A9505" s="11"/>
    </row>
    <row r="9506" spans="1:1" ht="15.75" x14ac:dyDescent="0.25">
      <c r="A9506" s="11"/>
    </row>
    <row r="9507" spans="1:1" ht="15.75" x14ac:dyDescent="0.25">
      <c r="A9507" s="11"/>
    </row>
    <row r="9508" spans="1:1" ht="15.75" x14ac:dyDescent="0.25">
      <c r="A9508" s="11"/>
    </row>
    <row r="9509" spans="1:1" ht="15.75" x14ac:dyDescent="0.25">
      <c r="A9509" s="11"/>
    </row>
    <row r="9510" spans="1:1" ht="15.75" x14ac:dyDescent="0.25">
      <c r="A9510" s="11"/>
    </row>
    <row r="9511" spans="1:1" ht="15.75" x14ac:dyDescent="0.25">
      <c r="A9511" s="11"/>
    </row>
    <row r="9512" spans="1:1" ht="15.75" x14ac:dyDescent="0.25">
      <c r="A9512" s="11"/>
    </row>
    <row r="9513" spans="1:1" ht="15.75" x14ac:dyDescent="0.25">
      <c r="A9513" s="11"/>
    </row>
    <row r="9514" spans="1:1" ht="15.75" x14ac:dyDescent="0.25">
      <c r="A9514" s="11"/>
    </row>
    <row r="9515" spans="1:1" ht="15.75" x14ac:dyDescent="0.25">
      <c r="A9515" s="11"/>
    </row>
    <row r="9516" spans="1:1" ht="15.75" x14ac:dyDescent="0.25">
      <c r="A9516" s="11"/>
    </row>
    <row r="9517" spans="1:1" ht="15.75" x14ac:dyDescent="0.25">
      <c r="A9517" s="11"/>
    </row>
    <row r="9518" spans="1:1" ht="15.75" x14ac:dyDescent="0.25">
      <c r="A9518" s="11"/>
    </row>
    <row r="9519" spans="1:1" ht="15.75" x14ac:dyDescent="0.25">
      <c r="A9519" s="11"/>
    </row>
    <row r="9520" spans="1:1" ht="15.75" x14ac:dyDescent="0.25">
      <c r="A9520" s="11"/>
    </row>
    <row r="9521" spans="1:1" ht="15.75" x14ac:dyDescent="0.25">
      <c r="A9521" s="11"/>
    </row>
    <row r="9522" spans="1:1" ht="15.75" x14ac:dyDescent="0.25">
      <c r="A9522" s="11"/>
    </row>
    <row r="9523" spans="1:1" ht="15.75" x14ac:dyDescent="0.25">
      <c r="A9523" s="11"/>
    </row>
    <row r="9524" spans="1:1" ht="15.75" x14ac:dyDescent="0.25">
      <c r="A9524" s="11"/>
    </row>
    <row r="9525" spans="1:1" ht="15.75" x14ac:dyDescent="0.25">
      <c r="A9525" s="11"/>
    </row>
    <row r="9526" spans="1:1" ht="15.75" x14ac:dyDescent="0.25">
      <c r="A9526" s="11"/>
    </row>
    <row r="9527" spans="1:1" ht="15.75" x14ac:dyDescent="0.25">
      <c r="A9527" s="11"/>
    </row>
    <row r="9528" spans="1:1" ht="15.75" x14ac:dyDescent="0.25">
      <c r="A9528" s="11"/>
    </row>
    <row r="9529" spans="1:1" ht="15.75" x14ac:dyDescent="0.25">
      <c r="A9529" s="11"/>
    </row>
    <row r="9530" spans="1:1" ht="15.75" x14ac:dyDescent="0.25">
      <c r="A9530" s="11"/>
    </row>
    <row r="9531" spans="1:1" ht="15.75" x14ac:dyDescent="0.25">
      <c r="A9531" s="11"/>
    </row>
    <row r="9532" spans="1:1" ht="15.75" x14ac:dyDescent="0.25">
      <c r="A9532" s="11"/>
    </row>
    <row r="9533" spans="1:1" ht="15.75" x14ac:dyDescent="0.25">
      <c r="A9533" s="11"/>
    </row>
    <row r="9534" spans="1:1" ht="15.75" x14ac:dyDescent="0.25">
      <c r="A9534" s="11"/>
    </row>
    <row r="9535" spans="1:1" ht="15.75" x14ac:dyDescent="0.25">
      <c r="A9535" s="11"/>
    </row>
    <row r="9536" spans="1:1" ht="15.75" x14ac:dyDescent="0.25">
      <c r="A9536" s="11"/>
    </row>
    <row r="9537" spans="1:1" ht="15.75" x14ac:dyDescent="0.25">
      <c r="A9537" s="11"/>
    </row>
    <row r="9538" spans="1:1" ht="15.75" x14ac:dyDescent="0.25">
      <c r="A9538" s="11"/>
    </row>
    <row r="9539" spans="1:1" ht="15.75" x14ac:dyDescent="0.25">
      <c r="A9539" s="11"/>
    </row>
    <row r="9540" spans="1:1" ht="15.75" x14ac:dyDescent="0.25">
      <c r="A9540" s="11"/>
    </row>
    <row r="9541" spans="1:1" ht="15.75" x14ac:dyDescent="0.25">
      <c r="A9541" s="11"/>
    </row>
    <row r="9542" spans="1:1" ht="15.75" x14ac:dyDescent="0.25">
      <c r="A9542" s="11"/>
    </row>
    <row r="9543" spans="1:1" ht="15.75" x14ac:dyDescent="0.25">
      <c r="A9543" s="11"/>
    </row>
    <row r="9544" spans="1:1" ht="15.75" x14ac:dyDescent="0.25">
      <c r="A9544" s="11"/>
    </row>
    <row r="9545" spans="1:1" ht="15.75" x14ac:dyDescent="0.25">
      <c r="A9545" s="11"/>
    </row>
    <row r="9546" spans="1:1" ht="15.75" x14ac:dyDescent="0.25">
      <c r="A9546" s="11"/>
    </row>
    <row r="9547" spans="1:1" ht="15.75" x14ac:dyDescent="0.25">
      <c r="A9547" s="11"/>
    </row>
    <row r="9548" spans="1:1" ht="15.75" x14ac:dyDescent="0.25">
      <c r="A9548" s="11"/>
    </row>
    <row r="9549" spans="1:1" ht="15.75" x14ac:dyDescent="0.25">
      <c r="A9549" s="11"/>
    </row>
    <row r="9550" spans="1:1" ht="15.75" x14ac:dyDescent="0.25">
      <c r="A9550" s="11"/>
    </row>
    <row r="9551" spans="1:1" ht="15.75" x14ac:dyDescent="0.25">
      <c r="A9551" s="11"/>
    </row>
    <row r="9552" spans="1:1" ht="15.75" x14ac:dyDescent="0.25">
      <c r="A9552" s="11"/>
    </row>
    <row r="9553" spans="1:1" ht="15.75" x14ac:dyDescent="0.25">
      <c r="A9553" s="11"/>
    </row>
    <row r="9554" spans="1:1" ht="15.75" x14ac:dyDescent="0.25">
      <c r="A9554" s="11"/>
    </row>
    <row r="9555" spans="1:1" ht="15.75" x14ac:dyDescent="0.25">
      <c r="A9555" s="11"/>
    </row>
    <row r="9556" spans="1:1" ht="15.75" x14ac:dyDescent="0.25">
      <c r="A9556" s="11"/>
    </row>
    <row r="9557" spans="1:1" ht="15.75" x14ac:dyDescent="0.25">
      <c r="A9557" s="11"/>
    </row>
    <row r="9558" spans="1:1" ht="15.75" x14ac:dyDescent="0.25">
      <c r="A9558" s="11"/>
    </row>
    <row r="9559" spans="1:1" ht="15.75" x14ac:dyDescent="0.25">
      <c r="A9559" s="11"/>
    </row>
    <row r="9560" spans="1:1" ht="15.75" x14ac:dyDescent="0.25">
      <c r="A9560" s="11"/>
    </row>
    <row r="9561" spans="1:1" ht="15.75" x14ac:dyDescent="0.25">
      <c r="A9561" s="11"/>
    </row>
    <row r="9562" spans="1:1" ht="15.75" x14ac:dyDescent="0.25">
      <c r="A9562" s="11"/>
    </row>
    <row r="9563" spans="1:1" ht="15.75" x14ac:dyDescent="0.25">
      <c r="A9563" s="11"/>
    </row>
    <row r="9564" spans="1:1" ht="15.75" x14ac:dyDescent="0.25">
      <c r="A9564" s="11"/>
    </row>
    <row r="9565" spans="1:1" ht="15.75" x14ac:dyDescent="0.25">
      <c r="A9565" s="11"/>
    </row>
    <row r="9566" spans="1:1" ht="15.75" x14ac:dyDescent="0.25">
      <c r="A9566" s="11"/>
    </row>
    <row r="9567" spans="1:1" ht="15.75" x14ac:dyDescent="0.25">
      <c r="A9567" s="11"/>
    </row>
    <row r="9568" spans="1:1" ht="15.75" x14ac:dyDescent="0.25">
      <c r="A9568" s="11"/>
    </row>
    <row r="9569" spans="1:1" ht="15.75" x14ac:dyDescent="0.25">
      <c r="A9569" s="11"/>
    </row>
    <row r="9570" spans="1:1" ht="15.75" x14ac:dyDescent="0.25">
      <c r="A9570" s="11"/>
    </row>
    <row r="9571" spans="1:1" ht="15.75" x14ac:dyDescent="0.25">
      <c r="A9571" s="11"/>
    </row>
    <row r="9572" spans="1:1" ht="15.75" x14ac:dyDescent="0.25">
      <c r="A9572" s="11"/>
    </row>
    <row r="9573" spans="1:1" ht="15.75" x14ac:dyDescent="0.25">
      <c r="A9573" s="11"/>
    </row>
    <row r="9574" spans="1:1" ht="15.75" x14ac:dyDescent="0.25">
      <c r="A9574" s="11"/>
    </row>
    <row r="9575" spans="1:1" ht="15.75" x14ac:dyDescent="0.25">
      <c r="A9575" s="11"/>
    </row>
    <row r="9576" spans="1:1" ht="15.75" x14ac:dyDescent="0.25">
      <c r="A9576" s="11"/>
    </row>
    <row r="9577" spans="1:1" ht="15.75" x14ac:dyDescent="0.25">
      <c r="A9577" s="11"/>
    </row>
    <row r="9578" spans="1:1" ht="15.75" x14ac:dyDescent="0.25">
      <c r="A9578" s="11"/>
    </row>
    <row r="9579" spans="1:1" ht="15.75" x14ac:dyDescent="0.25">
      <c r="A9579" s="11"/>
    </row>
    <row r="9580" spans="1:1" ht="15.75" x14ac:dyDescent="0.25">
      <c r="A9580" s="11"/>
    </row>
    <row r="9581" spans="1:1" ht="15.75" x14ac:dyDescent="0.25">
      <c r="A9581" s="11"/>
    </row>
    <row r="9582" spans="1:1" ht="15.75" x14ac:dyDescent="0.25">
      <c r="A9582" s="11"/>
    </row>
    <row r="9583" spans="1:1" ht="15.75" x14ac:dyDescent="0.25">
      <c r="A9583" s="11"/>
    </row>
    <row r="9584" spans="1:1" ht="15.75" x14ac:dyDescent="0.25">
      <c r="A9584" s="11"/>
    </row>
    <row r="9585" spans="1:1" ht="15.75" x14ac:dyDescent="0.25">
      <c r="A9585" s="11"/>
    </row>
    <row r="9586" spans="1:1" ht="15.75" x14ac:dyDescent="0.25">
      <c r="A9586" s="11"/>
    </row>
    <row r="9587" spans="1:1" ht="15.75" x14ac:dyDescent="0.25">
      <c r="A9587" s="11"/>
    </row>
    <row r="9588" spans="1:1" ht="15.75" x14ac:dyDescent="0.25">
      <c r="A9588" s="11"/>
    </row>
    <row r="9589" spans="1:1" ht="15.75" x14ac:dyDescent="0.25">
      <c r="A9589" s="11"/>
    </row>
    <row r="9590" spans="1:1" ht="15.75" x14ac:dyDescent="0.25">
      <c r="A9590" s="11"/>
    </row>
    <row r="9591" spans="1:1" ht="15.75" x14ac:dyDescent="0.25">
      <c r="A9591" s="11"/>
    </row>
    <row r="9592" spans="1:1" ht="15.75" x14ac:dyDescent="0.25">
      <c r="A9592" s="11"/>
    </row>
    <row r="9593" spans="1:1" ht="15.75" x14ac:dyDescent="0.25">
      <c r="A9593" s="11"/>
    </row>
    <row r="9594" spans="1:1" ht="15.75" x14ac:dyDescent="0.25">
      <c r="A9594" s="11"/>
    </row>
    <row r="9595" spans="1:1" ht="15.75" x14ac:dyDescent="0.25">
      <c r="A9595" s="11"/>
    </row>
    <row r="9596" spans="1:1" ht="15.75" x14ac:dyDescent="0.25">
      <c r="A9596" s="11"/>
    </row>
    <row r="9597" spans="1:1" ht="15.75" x14ac:dyDescent="0.25">
      <c r="A9597" s="11"/>
    </row>
    <row r="9598" spans="1:1" ht="15.75" x14ac:dyDescent="0.25">
      <c r="A9598" s="11"/>
    </row>
    <row r="9599" spans="1:1" ht="15.75" x14ac:dyDescent="0.25">
      <c r="A9599" s="11"/>
    </row>
    <row r="9600" spans="1:1" ht="15.75" x14ac:dyDescent="0.25">
      <c r="A9600" s="11"/>
    </row>
    <row r="9601" spans="1:1" ht="15.75" x14ac:dyDescent="0.25">
      <c r="A9601" s="11"/>
    </row>
    <row r="9602" spans="1:1" ht="15.75" x14ac:dyDescent="0.25">
      <c r="A9602" s="11"/>
    </row>
    <row r="9603" spans="1:1" ht="15.75" x14ac:dyDescent="0.25">
      <c r="A9603" s="11"/>
    </row>
    <row r="9604" spans="1:1" ht="15.75" x14ac:dyDescent="0.25">
      <c r="A9604" s="11"/>
    </row>
    <row r="9605" spans="1:1" ht="15.75" x14ac:dyDescent="0.25">
      <c r="A9605" s="11"/>
    </row>
    <row r="9606" spans="1:1" ht="15.75" x14ac:dyDescent="0.25">
      <c r="A9606" s="11"/>
    </row>
    <row r="9607" spans="1:1" ht="15.75" x14ac:dyDescent="0.25">
      <c r="A9607" s="11"/>
    </row>
    <row r="9608" spans="1:1" ht="15.75" x14ac:dyDescent="0.25">
      <c r="A9608" s="11"/>
    </row>
    <row r="9609" spans="1:1" ht="15.75" x14ac:dyDescent="0.25">
      <c r="A9609" s="11"/>
    </row>
    <row r="9610" spans="1:1" ht="15.75" x14ac:dyDescent="0.25">
      <c r="A9610" s="11"/>
    </row>
    <row r="9611" spans="1:1" ht="15.75" x14ac:dyDescent="0.25">
      <c r="A9611" s="11"/>
    </row>
    <row r="9612" spans="1:1" ht="15.75" x14ac:dyDescent="0.25">
      <c r="A9612" s="11"/>
    </row>
    <row r="9613" spans="1:1" ht="15.75" x14ac:dyDescent="0.25">
      <c r="A9613" s="11"/>
    </row>
    <row r="9614" spans="1:1" ht="15.75" x14ac:dyDescent="0.25">
      <c r="A9614" s="11"/>
    </row>
    <row r="9615" spans="1:1" ht="15.75" x14ac:dyDescent="0.25">
      <c r="A9615" s="11"/>
    </row>
    <row r="9616" spans="1:1" ht="15.75" x14ac:dyDescent="0.25">
      <c r="A9616" s="11"/>
    </row>
    <row r="9617" spans="1:1" ht="15.75" x14ac:dyDescent="0.25">
      <c r="A9617" s="11"/>
    </row>
    <row r="9618" spans="1:1" ht="15.75" x14ac:dyDescent="0.25">
      <c r="A9618" s="11"/>
    </row>
    <row r="9619" spans="1:1" ht="15.75" x14ac:dyDescent="0.25">
      <c r="A9619" s="11"/>
    </row>
    <row r="9620" spans="1:1" ht="15.75" x14ac:dyDescent="0.25">
      <c r="A9620" s="11"/>
    </row>
    <row r="9621" spans="1:1" ht="15.75" x14ac:dyDescent="0.25">
      <c r="A9621" s="11"/>
    </row>
    <row r="9622" spans="1:1" ht="15.75" x14ac:dyDescent="0.25">
      <c r="A9622" s="11"/>
    </row>
    <row r="9623" spans="1:1" ht="15.75" x14ac:dyDescent="0.25">
      <c r="A9623" s="11"/>
    </row>
    <row r="9624" spans="1:1" ht="15.75" x14ac:dyDescent="0.25">
      <c r="A9624" s="11"/>
    </row>
    <row r="9625" spans="1:1" ht="15.75" x14ac:dyDescent="0.25">
      <c r="A9625" s="11"/>
    </row>
    <row r="9626" spans="1:1" ht="15.75" x14ac:dyDescent="0.25">
      <c r="A9626" s="11"/>
    </row>
    <row r="9627" spans="1:1" ht="15.75" x14ac:dyDescent="0.25">
      <c r="A9627" s="11"/>
    </row>
    <row r="9628" spans="1:1" ht="15.75" x14ac:dyDescent="0.25">
      <c r="A9628" s="11"/>
    </row>
    <row r="9629" spans="1:1" ht="15.75" x14ac:dyDescent="0.25">
      <c r="A9629" s="11"/>
    </row>
    <row r="9630" spans="1:1" ht="15.75" x14ac:dyDescent="0.25">
      <c r="A9630" s="11"/>
    </row>
    <row r="9631" spans="1:1" ht="15.75" x14ac:dyDescent="0.25">
      <c r="A9631" s="11"/>
    </row>
    <row r="9632" spans="1:1" ht="15.75" x14ac:dyDescent="0.25">
      <c r="A9632" s="11"/>
    </row>
    <row r="9633" spans="1:1" ht="15.75" x14ac:dyDescent="0.25">
      <c r="A9633" s="11"/>
    </row>
    <row r="9634" spans="1:1" ht="15.75" x14ac:dyDescent="0.25">
      <c r="A9634" s="11"/>
    </row>
    <row r="9635" spans="1:1" ht="15.75" x14ac:dyDescent="0.25">
      <c r="A9635" s="11"/>
    </row>
    <row r="9636" spans="1:1" ht="15.75" x14ac:dyDescent="0.25">
      <c r="A9636" s="11"/>
    </row>
    <row r="9637" spans="1:1" ht="15.75" x14ac:dyDescent="0.25">
      <c r="A9637" s="11"/>
    </row>
    <row r="9638" spans="1:1" ht="15.75" x14ac:dyDescent="0.25">
      <c r="A9638" s="11"/>
    </row>
    <row r="9639" spans="1:1" ht="15.75" x14ac:dyDescent="0.25">
      <c r="A9639" s="11"/>
    </row>
    <row r="9640" spans="1:1" ht="15.75" x14ac:dyDescent="0.25">
      <c r="A9640" s="11"/>
    </row>
    <row r="9641" spans="1:1" ht="15.75" x14ac:dyDescent="0.25">
      <c r="A9641" s="11"/>
    </row>
    <row r="9642" spans="1:1" ht="15.75" x14ac:dyDescent="0.25">
      <c r="A9642" s="11"/>
    </row>
    <row r="9643" spans="1:1" ht="15.75" x14ac:dyDescent="0.25">
      <c r="A9643" s="11"/>
    </row>
    <row r="9644" spans="1:1" ht="15.75" x14ac:dyDescent="0.25">
      <c r="A9644" s="11"/>
    </row>
    <row r="9645" spans="1:1" ht="15.75" x14ac:dyDescent="0.25">
      <c r="A9645" s="11"/>
    </row>
    <row r="9646" spans="1:1" ht="15.75" x14ac:dyDescent="0.25">
      <c r="A9646" s="11"/>
    </row>
    <row r="9647" spans="1:1" ht="15.75" x14ac:dyDescent="0.25">
      <c r="A9647" s="11"/>
    </row>
    <row r="9648" spans="1:1" ht="15.75" x14ac:dyDescent="0.25">
      <c r="A9648" s="11"/>
    </row>
    <row r="9649" spans="1:1" ht="15.75" x14ac:dyDescent="0.25">
      <c r="A9649" s="11"/>
    </row>
    <row r="9650" spans="1:1" ht="15.75" x14ac:dyDescent="0.25">
      <c r="A9650" s="11"/>
    </row>
    <row r="9651" spans="1:1" ht="15.75" x14ac:dyDescent="0.25">
      <c r="A9651" s="11"/>
    </row>
    <row r="9652" spans="1:1" ht="15.75" x14ac:dyDescent="0.25">
      <c r="A9652" s="11"/>
    </row>
    <row r="9653" spans="1:1" ht="15.75" x14ac:dyDescent="0.25">
      <c r="A9653" s="11"/>
    </row>
    <row r="9654" spans="1:1" ht="15.75" x14ac:dyDescent="0.25">
      <c r="A9654" s="11"/>
    </row>
    <row r="9655" spans="1:1" ht="15.75" x14ac:dyDescent="0.25">
      <c r="A9655" s="11"/>
    </row>
    <row r="9656" spans="1:1" ht="15.75" x14ac:dyDescent="0.25">
      <c r="A9656" s="11"/>
    </row>
    <row r="9657" spans="1:1" ht="15.75" x14ac:dyDescent="0.25">
      <c r="A9657" s="11"/>
    </row>
    <row r="9658" spans="1:1" ht="15.75" x14ac:dyDescent="0.25">
      <c r="A9658" s="11"/>
    </row>
  </sheetData>
  <mergeCells count="17">
    <mergeCell ref="L4:N4"/>
    <mergeCell ref="B3:J3"/>
    <mergeCell ref="A1:F1"/>
    <mergeCell ref="L3:W3"/>
    <mergeCell ref="E5:G5"/>
    <mergeCell ref="H5:J5"/>
    <mergeCell ref="B4:D4"/>
    <mergeCell ref="L5:N5"/>
    <mergeCell ref="O5:Q5"/>
    <mergeCell ref="R4:T4"/>
    <mergeCell ref="R5:T5"/>
    <mergeCell ref="B5:D5"/>
    <mergeCell ref="E4:G4"/>
    <mergeCell ref="H4:J4"/>
    <mergeCell ref="U4:W4"/>
    <mergeCell ref="O4:Q4"/>
    <mergeCell ref="U5:W5"/>
  </mergeCells>
  <phoneticPr fontId="41" type="noConversion"/>
  <printOptions horizontalCentered="1"/>
  <pageMargins left="0.25" right="0.25" top="0.5" bottom="0.5" header="0.17" footer="0.25"/>
  <pageSetup scale="66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Y9658"/>
  <sheetViews>
    <sheetView topLeftCell="L1" zoomScaleNormal="100" workbookViewId="0">
      <pane ySplit="7" topLeftCell="A232" activePane="bottomLeft" state="frozen"/>
      <selection pane="bottomLeft" activeCell="L291" sqref="L291:L320"/>
    </sheetView>
  </sheetViews>
  <sheetFormatPr defaultColWidth="8" defaultRowHeight="12.75" x14ac:dyDescent="0.2"/>
  <cols>
    <col min="1" max="1" width="10.25" style="196" customWidth="1"/>
    <col min="2" max="2" width="6.25" style="196" customWidth="1"/>
    <col min="3" max="10" width="6.625" style="196" bestFit="1" customWidth="1"/>
    <col min="11" max="11" width="10.125" style="196" bestFit="1" customWidth="1"/>
    <col min="12" max="12" width="7.875" style="196" bestFit="1" customWidth="1"/>
    <col min="13" max="21" width="6.375" style="196" bestFit="1" customWidth="1"/>
    <col min="22" max="24" width="6.5" style="196" customWidth="1"/>
    <col min="25" max="25" width="10.125" style="196" bestFit="1" customWidth="1"/>
    <col min="26" max="16384" width="8" style="196"/>
  </cols>
  <sheetData>
    <row r="1" spans="1:25" ht="15.75" x14ac:dyDescent="0.25">
      <c r="A1" s="292" t="s">
        <v>180</v>
      </c>
      <c r="B1" s="292"/>
      <c r="C1" s="292"/>
      <c r="D1" s="292"/>
      <c r="E1" s="292"/>
      <c r="F1" s="292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</row>
    <row r="2" spans="1:25" x14ac:dyDescent="0.2">
      <c r="A2" s="2">
        <v>1</v>
      </c>
      <c r="B2" s="3">
        <f>1+A2</f>
        <v>2</v>
      </c>
      <c r="C2" s="3">
        <f t="shared" ref="C2:Y2" si="0">1+B2</f>
        <v>3</v>
      </c>
      <c r="D2" s="3">
        <f t="shared" si="0"/>
        <v>4</v>
      </c>
      <c r="E2" s="3">
        <f t="shared" si="0"/>
        <v>5</v>
      </c>
      <c r="F2" s="3">
        <f t="shared" si="0"/>
        <v>6</v>
      </c>
      <c r="G2" s="3">
        <f t="shared" si="0"/>
        <v>7</v>
      </c>
      <c r="H2" s="3">
        <f t="shared" si="0"/>
        <v>8</v>
      </c>
      <c r="I2" s="3">
        <f t="shared" si="0"/>
        <v>9</v>
      </c>
      <c r="J2" s="3">
        <f t="shared" si="0"/>
        <v>10</v>
      </c>
      <c r="K2" s="3">
        <f t="shared" si="0"/>
        <v>11</v>
      </c>
      <c r="L2" s="3">
        <f t="shared" si="0"/>
        <v>12</v>
      </c>
      <c r="M2" s="3">
        <f t="shared" si="0"/>
        <v>13</v>
      </c>
      <c r="N2" s="3">
        <f t="shared" si="0"/>
        <v>14</v>
      </c>
      <c r="O2" s="3">
        <f t="shared" si="0"/>
        <v>15</v>
      </c>
      <c r="P2" s="3">
        <f t="shared" si="0"/>
        <v>16</v>
      </c>
      <c r="Q2" s="3">
        <f t="shared" si="0"/>
        <v>17</v>
      </c>
      <c r="R2" s="3">
        <f t="shared" si="0"/>
        <v>18</v>
      </c>
      <c r="S2" s="3">
        <f t="shared" si="0"/>
        <v>19</v>
      </c>
      <c r="T2" s="3">
        <f t="shared" si="0"/>
        <v>20</v>
      </c>
      <c r="U2" s="3">
        <f t="shared" si="0"/>
        <v>21</v>
      </c>
      <c r="V2" s="3">
        <f t="shared" si="0"/>
        <v>22</v>
      </c>
      <c r="W2" s="3">
        <f t="shared" si="0"/>
        <v>23</v>
      </c>
      <c r="X2" s="3">
        <f t="shared" si="0"/>
        <v>24</v>
      </c>
      <c r="Y2" s="3">
        <f t="shared" si="0"/>
        <v>25</v>
      </c>
    </row>
    <row r="3" spans="1:25" x14ac:dyDescent="0.2">
      <c r="A3" s="192"/>
      <c r="B3" s="291" t="s">
        <v>108</v>
      </c>
      <c r="C3" s="291"/>
      <c r="D3" s="291"/>
      <c r="E3" s="291"/>
      <c r="F3" s="291"/>
      <c r="G3" s="291"/>
      <c r="H3" s="291"/>
      <c r="I3" s="291"/>
      <c r="J3" s="291"/>
      <c r="K3" s="193"/>
      <c r="L3" s="194"/>
      <c r="M3" s="291" t="s">
        <v>107</v>
      </c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  <c r="Y3" s="193"/>
    </row>
    <row r="4" spans="1:25" x14ac:dyDescent="0.2">
      <c r="A4" s="192"/>
      <c r="B4" s="293" t="s">
        <v>34</v>
      </c>
      <c r="C4" s="293"/>
      <c r="D4" s="293"/>
      <c r="E4" s="293" t="s">
        <v>35</v>
      </c>
      <c r="F4" s="293"/>
      <c r="G4" s="293"/>
      <c r="H4" s="293" t="s">
        <v>181</v>
      </c>
      <c r="I4" s="293"/>
      <c r="J4" s="293"/>
      <c r="K4" s="192" t="s">
        <v>182</v>
      </c>
      <c r="L4" s="194"/>
      <c r="M4" s="293" t="s">
        <v>158</v>
      </c>
      <c r="N4" s="293"/>
      <c r="O4" s="293"/>
      <c r="P4" s="293" t="s">
        <v>35</v>
      </c>
      <c r="Q4" s="293"/>
      <c r="R4" s="293"/>
      <c r="S4" s="293" t="s">
        <v>160</v>
      </c>
      <c r="T4" s="293"/>
      <c r="U4" s="293"/>
      <c r="V4" s="293" t="s">
        <v>159</v>
      </c>
      <c r="W4" s="293"/>
      <c r="X4" s="293"/>
      <c r="Y4" s="192" t="s">
        <v>182</v>
      </c>
    </row>
    <row r="5" spans="1:25" x14ac:dyDescent="0.2">
      <c r="A5" s="192"/>
      <c r="B5" s="293" t="s">
        <v>183</v>
      </c>
      <c r="C5" s="293"/>
      <c r="D5" s="293"/>
      <c r="E5" s="293" t="s">
        <v>183</v>
      </c>
      <c r="F5" s="293"/>
      <c r="G5" s="293"/>
      <c r="H5" s="293" t="s">
        <v>183</v>
      </c>
      <c r="I5" s="293"/>
      <c r="J5" s="293"/>
      <c r="K5" s="192" t="s">
        <v>184</v>
      </c>
      <c r="L5" s="194"/>
      <c r="M5" s="293" t="s">
        <v>183</v>
      </c>
      <c r="N5" s="293"/>
      <c r="O5" s="293"/>
      <c r="P5" s="293" t="s">
        <v>183</v>
      </c>
      <c r="Q5" s="293"/>
      <c r="R5" s="293"/>
      <c r="S5" s="293" t="s">
        <v>183</v>
      </c>
      <c r="T5" s="293"/>
      <c r="U5" s="293"/>
      <c r="V5" s="293" t="s">
        <v>105</v>
      </c>
      <c r="W5" s="293"/>
      <c r="X5" s="293"/>
      <c r="Y5" s="192" t="s">
        <v>184</v>
      </c>
    </row>
    <row r="6" spans="1:25" x14ac:dyDescent="0.2">
      <c r="A6" s="192"/>
      <c r="B6" s="192"/>
      <c r="C6" s="192"/>
      <c r="D6" s="197"/>
      <c r="E6" s="192"/>
      <c r="F6" s="192"/>
      <c r="G6" s="192"/>
      <c r="H6" s="192"/>
      <c r="I6" s="192"/>
      <c r="J6" s="192"/>
      <c r="K6" s="192"/>
      <c r="L6" s="194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</row>
    <row r="7" spans="1:25" x14ac:dyDescent="0.2">
      <c r="A7" s="192" t="s">
        <v>185</v>
      </c>
      <c r="B7" s="198" t="s">
        <v>186</v>
      </c>
      <c r="C7" s="199" t="s">
        <v>187</v>
      </c>
      <c r="D7" s="199" t="s">
        <v>188</v>
      </c>
      <c r="E7" s="198" t="s">
        <v>186</v>
      </c>
      <c r="F7" s="199" t="s">
        <v>187</v>
      </c>
      <c r="G7" s="199" t="s">
        <v>188</v>
      </c>
      <c r="H7" s="198" t="s">
        <v>186</v>
      </c>
      <c r="I7" s="199" t="s">
        <v>187</v>
      </c>
      <c r="J7" s="200" t="s">
        <v>188</v>
      </c>
      <c r="K7" s="195" t="s">
        <v>17</v>
      </c>
      <c r="L7" s="194"/>
      <c r="M7" s="198" t="s">
        <v>186</v>
      </c>
      <c r="N7" s="199" t="s">
        <v>187</v>
      </c>
      <c r="O7" s="200" t="s">
        <v>188</v>
      </c>
      <c r="P7" s="198" t="s">
        <v>186</v>
      </c>
      <c r="Q7" s="199" t="s">
        <v>187</v>
      </c>
      <c r="R7" s="200" t="s">
        <v>188</v>
      </c>
      <c r="S7" s="198" t="s">
        <v>186</v>
      </c>
      <c r="T7" s="199" t="s">
        <v>187</v>
      </c>
      <c r="U7" s="200" t="s">
        <v>188</v>
      </c>
      <c r="V7" s="198" t="s">
        <v>186</v>
      </c>
      <c r="W7" s="199" t="s">
        <v>187</v>
      </c>
      <c r="X7" s="200" t="s">
        <v>188</v>
      </c>
      <c r="Y7" s="195" t="s">
        <v>17</v>
      </c>
    </row>
    <row r="8" spans="1:25" ht="15.75" x14ac:dyDescent="0.25">
      <c r="A8" s="31">
        <f>'M&amp;R Stations'!A2</f>
        <v>38961</v>
      </c>
      <c r="B8" s="240" t="s">
        <v>220</v>
      </c>
      <c r="C8" s="241" t="s">
        <v>220</v>
      </c>
      <c r="D8" s="201" t="s">
        <v>220</v>
      </c>
      <c r="E8" s="240">
        <v>0.28000000000000003</v>
      </c>
      <c r="F8" s="241">
        <v>0.24</v>
      </c>
      <c r="G8" s="201">
        <f t="shared" ref="G8:G37" si="1">IF(AND(E8="",F8=""),"",IF(E8="off",F8,IF(F8="off",E8,AVERAGE(E8:F8))))</f>
        <v>0.26</v>
      </c>
      <c r="H8" s="240">
        <v>0.28000000000000003</v>
      </c>
      <c r="I8" s="241">
        <v>0.24</v>
      </c>
      <c r="J8" s="202">
        <f t="shared" ref="J8:J37" si="2">IF(AND(H8="",I8=""),"",IF(H8="off",I8,IF(I8="off",H8,AVERAGE(H8:I8))))</f>
        <v>0.26</v>
      </c>
      <c r="K8" s="242">
        <v>0</v>
      </c>
      <c r="L8" s="194"/>
      <c r="M8" s="240">
        <v>0.28999999999999998</v>
      </c>
      <c r="N8" s="241">
        <v>0.25</v>
      </c>
      <c r="O8" s="202">
        <f t="shared" ref="O8:O37" si="3">IF(AND(M8="",N8=""),"",IF(M8="off",N8,IF(N8="off",M8,AVERAGE(M8:N8))))</f>
        <v>0.27</v>
      </c>
      <c r="P8" s="240">
        <v>0.28999999999999998</v>
      </c>
      <c r="Q8" s="241">
        <v>0.25</v>
      </c>
      <c r="R8" s="202">
        <f t="shared" ref="R8:R37" si="4">IF(AND(P8="",Q8=""),"",IF(P8="off",Q8,IF(Q8="off",P8,AVERAGE(P8:Q8))))</f>
        <v>0.27</v>
      </c>
      <c r="S8" s="240">
        <v>0.28999999999999998</v>
      </c>
      <c r="T8" s="241">
        <v>0.25</v>
      </c>
      <c r="U8" s="202">
        <f t="shared" ref="U8:U37" si="5">IF(AND(S8="",T8=""),"",IF(S8="off",T8,IF(T8="off",S8,AVERAGE(S8:T8))))</f>
        <v>0.27</v>
      </c>
      <c r="V8" s="240" t="s">
        <v>216</v>
      </c>
      <c r="W8" s="241" t="s">
        <v>216</v>
      </c>
      <c r="X8" s="202" t="str">
        <f t="shared" ref="X8:X37" si="6">IF(AND(V8="",W8=""),"",IF(V8="off",W8,IF(W8="off",V8,AVERAGE(V8:W8))))</f>
        <v>OFF</v>
      </c>
      <c r="Y8" s="242">
        <v>0</v>
      </c>
    </row>
    <row r="9" spans="1:25" ht="15.75" x14ac:dyDescent="0.25">
      <c r="A9" s="31">
        <f>'M&amp;R Stations'!A3</f>
        <v>38962</v>
      </c>
      <c r="B9" s="240" t="s">
        <v>220</v>
      </c>
      <c r="C9" s="241" t="s">
        <v>220</v>
      </c>
      <c r="D9" s="201" t="s">
        <v>220</v>
      </c>
      <c r="E9" s="240">
        <v>0.28000000000000003</v>
      </c>
      <c r="F9" s="241">
        <v>0.24</v>
      </c>
      <c r="G9" s="201">
        <f t="shared" si="1"/>
        <v>0.26</v>
      </c>
      <c r="H9" s="240">
        <v>0.28000000000000003</v>
      </c>
      <c r="I9" s="241">
        <v>0.24</v>
      </c>
      <c r="J9" s="202">
        <f t="shared" si="2"/>
        <v>0.26</v>
      </c>
      <c r="K9" s="242">
        <v>0</v>
      </c>
      <c r="L9" s="194"/>
      <c r="M9" s="240">
        <v>0.25</v>
      </c>
      <c r="N9" s="241">
        <v>0.25</v>
      </c>
      <c r="O9" s="202">
        <f t="shared" si="3"/>
        <v>0.25</v>
      </c>
      <c r="P9" s="240">
        <v>0.25</v>
      </c>
      <c r="Q9" s="241">
        <v>0.25</v>
      </c>
      <c r="R9" s="202">
        <f t="shared" si="4"/>
        <v>0.25</v>
      </c>
      <c r="S9" s="240">
        <v>0.25</v>
      </c>
      <c r="T9" s="241">
        <v>0.25</v>
      </c>
      <c r="U9" s="202">
        <f t="shared" si="5"/>
        <v>0.25</v>
      </c>
      <c r="V9" s="240" t="s">
        <v>216</v>
      </c>
      <c r="W9" s="241" t="s">
        <v>216</v>
      </c>
      <c r="X9" s="202" t="str">
        <f t="shared" si="6"/>
        <v>OFF</v>
      </c>
      <c r="Y9" s="242">
        <v>0</v>
      </c>
    </row>
    <row r="10" spans="1:25" ht="15.75" x14ac:dyDescent="0.25">
      <c r="A10" s="31">
        <f>'M&amp;R Stations'!A4</f>
        <v>38963</v>
      </c>
      <c r="B10" s="240" t="s">
        <v>220</v>
      </c>
      <c r="C10" s="241" t="s">
        <v>220</v>
      </c>
      <c r="D10" s="201" t="s">
        <v>220</v>
      </c>
      <c r="E10" s="240">
        <v>0.28000000000000003</v>
      </c>
      <c r="F10" s="241">
        <v>0.24</v>
      </c>
      <c r="G10" s="201">
        <f t="shared" si="1"/>
        <v>0.26</v>
      </c>
      <c r="H10" s="240">
        <v>0.28000000000000003</v>
      </c>
      <c r="I10" s="241">
        <v>0.24</v>
      </c>
      <c r="J10" s="202">
        <f t="shared" si="2"/>
        <v>0.26</v>
      </c>
      <c r="K10" s="242">
        <v>0</v>
      </c>
      <c r="L10" s="194"/>
      <c r="M10" s="240">
        <v>0.25</v>
      </c>
      <c r="N10" s="241">
        <v>0.22</v>
      </c>
      <c r="O10" s="202">
        <f t="shared" si="3"/>
        <v>0.23499999999999999</v>
      </c>
      <c r="P10" s="240">
        <v>0.25</v>
      </c>
      <c r="Q10" s="241">
        <v>0.25</v>
      </c>
      <c r="R10" s="202">
        <f t="shared" si="4"/>
        <v>0.25</v>
      </c>
      <c r="S10" s="240">
        <v>0.25</v>
      </c>
      <c r="T10" s="241">
        <v>0.25</v>
      </c>
      <c r="U10" s="202">
        <f t="shared" si="5"/>
        <v>0.25</v>
      </c>
      <c r="V10" s="240" t="s">
        <v>216</v>
      </c>
      <c r="W10" s="241" t="s">
        <v>216</v>
      </c>
      <c r="X10" s="202" t="str">
        <f t="shared" si="6"/>
        <v>OFF</v>
      </c>
      <c r="Y10" s="242">
        <v>0</v>
      </c>
    </row>
    <row r="11" spans="1:25" ht="15.75" x14ac:dyDescent="0.25">
      <c r="A11" s="31">
        <f>'M&amp;R Stations'!A5</f>
        <v>38964</v>
      </c>
      <c r="B11" s="240" t="s">
        <v>220</v>
      </c>
      <c r="C11" s="241" t="s">
        <v>220</v>
      </c>
      <c r="D11" s="201" t="s">
        <v>220</v>
      </c>
      <c r="E11" s="240">
        <v>0.28000000000000003</v>
      </c>
      <c r="F11" s="241">
        <v>0.24</v>
      </c>
      <c r="G11" s="201">
        <f t="shared" si="1"/>
        <v>0.26</v>
      </c>
      <c r="H11" s="240">
        <v>0.28000000000000003</v>
      </c>
      <c r="I11" s="241">
        <v>0.24</v>
      </c>
      <c r="J11" s="202">
        <f t="shared" si="2"/>
        <v>0.26</v>
      </c>
      <c r="K11" s="242">
        <v>0</v>
      </c>
      <c r="L11" s="194"/>
      <c r="M11" s="240">
        <v>0.25</v>
      </c>
      <c r="N11" s="241">
        <v>0.22</v>
      </c>
      <c r="O11" s="202">
        <f t="shared" si="3"/>
        <v>0.23499999999999999</v>
      </c>
      <c r="P11" s="240">
        <v>0.25</v>
      </c>
      <c r="Q11" s="241">
        <v>0.25</v>
      </c>
      <c r="R11" s="202">
        <f t="shared" si="4"/>
        <v>0.25</v>
      </c>
      <c r="S11" s="240">
        <v>0.25</v>
      </c>
      <c r="T11" s="241">
        <v>0.25</v>
      </c>
      <c r="U11" s="202">
        <f t="shared" si="5"/>
        <v>0.25</v>
      </c>
      <c r="V11" s="240" t="s">
        <v>216</v>
      </c>
      <c r="W11" s="241" t="s">
        <v>216</v>
      </c>
      <c r="X11" s="202" t="str">
        <f t="shared" si="6"/>
        <v>OFF</v>
      </c>
      <c r="Y11" s="242">
        <v>0</v>
      </c>
    </row>
    <row r="12" spans="1:25" ht="15.75" x14ac:dyDescent="0.25">
      <c r="A12" s="31">
        <f>'M&amp;R Stations'!A6</f>
        <v>38965</v>
      </c>
      <c r="B12" s="240" t="s">
        <v>220</v>
      </c>
      <c r="C12" s="241" t="s">
        <v>220</v>
      </c>
      <c r="D12" s="201" t="s">
        <v>220</v>
      </c>
      <c r="E12" s="240">
        <v>0.28000000000000003</v>
      </c>
      <c r="F12" s="241">
        <v>0.24</v>
      </c>
      <c r="G12" s="201">
        <f t="shared" si="1"/>
        <v>0.26</v>
      </c>
      <c r="H12" s="240">
        <v>0.28000000000000003</v>
      </c>
      <c r="I12" s="241">
        <v>0.24</v>
      </c>
      <c r="J12" s="202">
        <f t="shared" si="2"/>
        <v>0.26</v>
      </c>
      <c r="K12" s="242">
        <v>0</v>
      </c>
      <c r="L12" s="194"/>
      <c r="M12" s="240">
        <v>0.25</v>
      </c>
      <c r="N12" s="241">
        <v>0.25</v>
      </c>
      <c r="O12" s="202">
        <f t="shared" si="3"/>
        <v>0.25</v>
      </c>
      <c r="P12" s="240">
        <v>0.25</v>
      </c>
      <c r="Q12" s="241">
        <v>0.25</v>
      </c>
      <c r="R12" s="202">
        <f t="shared" si="4"/>
        <v>0.25</v>
      </c>
      <c r="S12" s="240">
        <v>0.25</v>
      </c>
      <c r="T12" s="241">
        <v>0.25</v>
      </c>
      <c r="U12" s="202">
        <f t="shared" si="5"/>
        <v>0.25</v>
      </c>
      <c r="V12" s="240" t="s">
        <v>216</v>
      </c>
      <c r="W12" s="241" t="s">
        <v>216</v>
      </c>
      <c r="X12" s="202" t="str">
        <f t="shared" si="6"/>
        <v>OFF</v>
      </c>
      <c r="Y12" s="242">
        <v>0</v>
      </c>
    </row>
    <row r="13" spans="1:25" ht="15.75" x14ac:dyDescent="0.25">
      <c r="A13" s="31">
        <f>'M&amp;R Stations'!A7</f>
        <v>38966</v>
      </c>
      <c r="B13" s="240" t="s">
        <v>220</v>
      </c>
      <c r="C13" s="241" t="s">
        <v>220</v>
      </c>
      <c r="D13" s="201" t="s">
        <v>220</v>
      </c>
      <c r="E13" s="240">
        <v>0.28000000000000003</v>
      </c>
      <c r="F13" s="241">
        <v>0.28000000000000003</v>
      </c>
      <c r="G13" s="201">
        <f t="shared" si="1"/>
        <v>0.28000000000000003</v>
      </c>
      <c r="H13" s="240">
        <v>0.28000000000000003</v>
      </c>
      <c r="I13" s="241">
        <v>0.28000000000000003</v>
      </c>
      <c r="J13" s="202">
        <f t="shared" si="2"/>
        <v>0.28000000000000003</v>
      </c>
      <c r="K13" s="242">
        <v>0</v>
      </c>
      <c r="L13" s="194"/>
      <c r="M13" s="240">
        <v>0.22</v>
      </c>
      <c r="N13" s="241">
        <v>0.22</v>
      </c>
      <c r="O13" s="202">
        <f t="shared" si="3"/>
        <v>0.22</v>
      </c>
      <c r="P13" s="240">
        <v>0.25</v>
      </c>
      <c r="Q13" s="241">
        <v>0.22</v>
      </c>
      <c r="R13" s="202">
        <f t="shared" si="4"/>
        <v>0.23499999999999999</v>
      </c>
      <c r="S13" s="240">
        <v>0.25</v>
      </c>
      <c r="T13" s="241">
        <v>0.25</v>
      </c>
      <c r="U13" s="202">
        <f t="shared" si="5"/>
        <v>0.25</v>
      </c>
      <c r="V13" s="240" t="s">
        <v>216</v>
      </c>
      <c r="W13" s="241" t="s">
        <v>216</v>
      </c>
      <c r="X13" s="202" t="str">
        <f t="shared" si="6"/>
        <v>OFF</v>
      </c>
      <c r="Y13" s="242">
        <v>0</v>
      </c>
    </row>
    <row r="14" spans="1:25" ht="15.75" x14ac:dyDescent="0.25">
      <c r="A14" s="31">
        <f>'M&amp;R Stations'!A8</f>
        <v>38967</v>
      </c>
      <c r="B14" s="240" t="s">
        <v>220</v>
      </c>
      <c r="C14" s="241" t="s">
        <v>220</v>
      </c>
      <c r="D14" s="201" t="s">
        <v>220</v>
      </c>
      <c r="E14" s="240">
        <v>0.28000000000000003</v>
      </c>
      <c r="F14" s="241">
        <v>0.28000000000000003</v>
      </c>
      <c r="G14" s="201">
        <f t="shared" si="1"/>
        <v>0.28000000000000003</v>
      </c>
      <c r="H14" s="240">
        <v>0.28000000000000003</v>
      </c>
      <c r="I14" s="241">
        <v>0.28000000000000003</v>
      </c>
      <c r="J14" s="202">
        <f t="shared" si="2"/>
        <v>0.28000000000000003</v>
      </c>
      <c r="K14" s="242">
        <v>0</v>
      </c>
      <c r="L14" s="194"/>
      <c r="M14" s="240">
        <v>0.22</v>
      </c>
      <c r="N14" s="241">
        <v>0.22</v>
      </c>
      <c r="O14" s="202">
        <f t="shared" si="3"/>
        <v>0.22</v>
      </c>
      <c r="P14" s="240">
        <v>0.25</v>
      </c>
      <c r="Q14" s="241">
        <v>0.25</v>
      </c>
      <c r="R14" s="202">
        <f t="shared" si="4"/>
        <v>0.25</v>
      </c>
      <c r="S14" s="240">
        <v>0.25</v>
      </c>
      <c r="T14" s="241">
        <v>0.25</v>
      </c>
      <c r="U14" s="202">
        <f t="shared" si="5"/>
        <v>0.25</v>
      </c>
      <c r="V14" s="240" t="s">
        <v>216</v>
      </c>
      <c r="W14" s="241" t="s">
        <v>216</v>
      </c>
      <c r="X14" s="202" t="str">
        <f t="shared" si="6"/>
        <v>OFF</v>
      </c>
      <c r="Y14" s="242">
        <v>0</v>
      </c>
    </row>
    <row r="15" spans="1:25" ht="15.75" x14ac:dyDescent="0.25">
      <c r="A15" s="31">
        <f>'M&amp;R Stations'!A9</f>
        <v>38968</v>
      </c>
      <c r="B15" s="240" t="s">
        <v>220</v>
      </c>
      <c r="C15" s="241" t="s">
        <v>220</v>
      </c>
      <c r="D15" s="201" t="s">
        <v>220</v>
      </c>
      <c r="E15" s="240">
        <v>0.28000000000000003</v>
      </c>
      <c r="F15" s="241">
        <v>0.24</v>
      </c>
      <c r="G15" s="201">
        <f t="shared" si="1"/>
        <v>0.26</v>
      </c>
      <c r="H15" s="240">
        <v>0.28000000000000003</v>
      </c>
      <c r="I15" s="241">
        <v>0.24</v>
      </c>
      <c r="J15" s="202">
        <f t="shared" si="2"/>
        <v>0.26</v>
      </c>
      <c r="K15" s="242">
        <v>0</v>
      </c>
      <c r="L15" s="194"/>
      <c r="M15" s="240">
        <v>0.25</v>
      </c>
      <c r="N15" s="241">
        <v>0.22</v>
      </c>
      <c r="O15" s="202">
        <f t="shared" si="3"/>
        <v>0.23499999999999999</v>
      </c>
      <c r="P15" s="240">
        <v>0.25</v>
      </c>
      <c r="Q15" s="241">
        <v>0.22</v>
      </c>
      <c r="R15" s="202">
        <f t="shared" si="4"/>
        <v>0.23499999999999999</v>
      </c>
      <c r="S15" s="240">
        <v>0.25</v>
      </c>
      <c r="T15" s="241">
        <v>0.22</v>
      </c>
      <c r="U15" s="202">
        <f t="shared" si="5"/>
        <v>0.23499999999999999</v>
      </c>
      <c r="V15" s="240" t="s">
        <v>216</v>
      </c>
      <c r="W15" s="241" t="s">
        <v>216</v>
      </c>
      <c r="X15" s="202" t="str">
        <f t="shared" si="6"/>
        <v>OFF</v>
      </c>
      <c r="Y15" s="242">
        <v>0</v>
      </c>
    </row>
    <row r="16" spans="1:25" ht="15.75" x14ac:dyDescent="0.25">
      <c r="A16" s="31">
        <f>'M&amp;R Stations'!A10</f>
        <v>38969</v>
      </c>
      <c r="B16" s="240" t="s">
        <v>220</v>
      </c>
      <c r="C16" s="241" t="s">
        <v>220</v>
      </c>
      <c r="D16" s="201" t="s">
        <v>220</v>
      </c>
      <c r="E16" s="240">
        <v>0.28000000000000003</v>
      </c>
      <c r="F16" s="241">
        <v>0.24</v>
      </c>
      <c r="G16" s="201">
        <f t="shared" si="1"/>
        <v>0.26</v>
      </c>
      <c r="H16" s="240">
        <v>0.28000000000000003</v>
      </c>
      <c r="I16" s="241">
        <v>0.24</v>
      </c>
      <c r="J16" s="202">
        <f t="shared" si="2"/>
        <v>0.26</v>
      </c>
      <c r="K16" s="242">
        <v>0</v>
      </c>
      <c r="L16" s="194"/>
      <c r="M16" s="240">
        <v>0.28999999999999998</v>
      </c>
      <c r="N16" s="241">
        <v>0.25</v>
      </c>
      <c r="O16" s="202">
        <f t="shared" si="3"/>
        <v>0.27</v>
      </c>
      <c r="P16" s="240">
        <v>0.25</v>
      </c>
      <c r="Q16" s="241">
        <v>0.25</v>
      </c>
      <c r="R16" s="202">
        <f t="shared" si="4"/>
        <v>0.25</v>
      </c>
      <c r="S16" s="240">
        <v>0.28999999999999998</v>
      </c>
      <c r="T16" s="241">
        <v>0.25</v>
      </c>
      <c r="U16" s="202">
        <f t="shared" si="5"/>
        <v>0.27</v>
      </c>
      <c r="V16" s="240" t="s">
        <v>216</v>
      </c>
      <c r="W16" s="241" t="s">
        <v>216</v>
      </c>
      <c r="X16" s="202" t="str">
        <f t="shared" si="6"/>
        <v>OFF</v>
      </c>
      <c r="Y16" s="242">
        <v>0</v>
      </c>
    </row>
    <row r="17" spans="1:25" ht="15.75" x14ac:dyDescent="0.25">
      <c r="A17" s="31">
        <f>'M&amp;R Stations'!A11</f>
        <v>38970</v>
      </c>
      <c r="B17" s="240" t="s">
        <v>220</v>
      </c>
      <c r="C17" s="241" t="s">
        <v>220</v>
      </c>
      <c r="D17" s="201" t="s">
        <v>220</v>
      </c>
      <c r="E17" s="240">
        <v>0.28000000000000003</v>
      </c>
      <c r="F17" s="241">
        <v>0.24</v>
      </c>
      <c r="G17" s="201">
        <f t="shared" si="1"/>
        <v>0.26</v>
      </c>
      <c r="H17" s="240">
        <v>0.28000000000000003</v>
      </c>
      <c r="I17" s="241">
        <v>0.24</v>
      </c>
      <c r="J17" s="202">
        <f t="shared" si="2"/>
        <v>0.26</v>
      </c>
      <c r="K17" s="242">
        <v>0</v>
      </c>
      <c r="L17" s="194"/>
      <c r="M17" s="240">
        <v>0.25</v>
      </c>
      <c r="N17" s="241">
        <v>0.25</v>
      </c>
      <c r="O17" s="202">
        <f t="shared" si="3"/>
        <v>0.25</v>
      </c>
      <c r="P17" s="240">
        <v>0.25</v>
      </c>
      <c r="Q17" s="241">
        <v>0.25</v>
      </c>
      <c r="R17" s="202">
        <f t="shared" si="4"/>
        <v>0.25</v>
      </c>
      <c r="S17" s="240">
        <v>0.25</v>
      </c>
      <c r="T17" s="241">
        <v>0.25</v>
      </c>
      <c r="U17" s="202">
        <f t="shared" si="5"/>
        <v>0.25</v>
      </c>
      <c r="V17" s="240" t="s">
        <v>216</v>
      </c>
      <c r="W17" s="241" t="s">
        <v>216</v>
      </c>
      <c r="X17" s="202" t="str">
        <f t="shared" si="6"/>
        <v>OFF</v>
      </c>
      <c r="Y17" s="242">
        <v>0</v>
      </c>
    </row>
    <row r="18" spans="1:25" ht="15.75" x14ac:dyDescent="0.25">
      <c r="A18" s="31">
        <f>'M&amp;R Stations'!A12</f>
        <v>38971</v>
      </c>
      <c r="B18" s="240" t="s">
        <v>220</v>
      </c>
      <c r="C18" s="241" t="s">
        <v>220</v>
      </c>
      <c r="D18" s="201" t="s">
        <v>220</v>
      </c>
      <c r="E18" s="240">
        <v>0.28000000000000003</v>
      </c>
      <c r="F18" s="241">
        <v>0.24</v>
      </c>
      <c r="G18" s="201">
        <f t="shared" si="1"/>
        <v>0.26</v>
      </c>
      <c r="H18" s="240">
        <v>0.28000000000000003</v>
      </c>
      <c r="I18" s="241">
        <v>0.24</v>
      </c>
      <c r="J18" s="202">
        <f t="shared" si="2"/>
        <v>0.26</v>
      </c>
      <c r="K18" s="242">
        <v>0</v>
      </c>
      <c r="L18" s="194"/>
      <c r="M18" s="240">
        <v>0.28999999999999998</v>
      </c>
      <c r="N18" s="241">
        <v>0.25</v>
      </c>
      <c r="O18" s="202">
        <f t="shared" si="3"/>
        <v>0.27</v>
      </c>
      <c r="P18" s="240">
        <v>0.34</v>
      </c>
      <c r="Q18" s="241">
        <v>0.25</v>
      </c>
      <c r="R18" s="202">
        <f t="shared" si="4"/>
        <v>0.29500000000000004</v>
      </c>
      <c r="S18" s="240">
        <v>0.25</v>
      </c>
      <c r="T18" s="241">
        <v>0.22</v>
      </c>
      <c r="U18" s="202">
        <f t="shared" si="5"/>
        <v>0.23499999999999999</v>
      </c>
      <c r="V18" s="240" t="s">
        <v>216</v>
      </c>
      <c r="W18" s="241" t="s">
        <v>216</v>
      </c>
      <c r="X18" s="202" t="str">
        <f t="shared" si="6"/>
        <v>OFF</v>
      </c>
      <c r="Y18" s="242">
        <v>0</v>
      </c>
    </row>
    <row r="19" spans="1:25" ht="15.75" x14ac:dyDescent="0.25">
      <c r="A19" s="31">
        <f>'M&amp;R Stations'!A13</f>
        <v>38972</v>
      </c>
      <c r="B19" s="240" t="s">
        <v>220</v>
      </c>
      <c r="C19" s="241" t="s">
        <v>220</v>
      </c>
      <c r="D19" s="201" t="s">
        <v>220</v>
      </c>
      <c r="E19" s="240">
        <v>0.28000000000000003</v>
      </c>
      <c r="F19" s="241">
        <v>0.24</v>
      </c>
      <c r="G19" s="201">
        <f t="shared" si="1"/>
        <v>0.26</v>
      </c>
      <c r="H19" s="240">
        <v>0.28000000000000003</v>
      </c>
      <c r="I19" s="241">
        <v>0.24</v>
      </c>
      <c r="J19" s="202">
        <f t="shared" si="2"/>
        <v>0.26</v>
      </c>
      <c r="K19" s="242">
        <v>0</v>
      </c>
      <c r="L19" s="194"/>
      <c r="M19" s="240">
        <v>0.28999999999999998</v>
      </c>
      <c r="N19" s="241">
        <v>0.25</v>
      </c>
      <c r="O19" s="202">
        <f t="shared" si="3"/>
        <v>0.27</v>
      </c>
      <c r="P19" s="240">
        <v>0.28999999999999998</v>
      </c>
      <c r="Q19" s="241">
        <v>0.25</v>
      </c>
      <c r="R19" s="202">
        <f t="shared" si="4"/>
        <v>0.27</v>
      </c>
      <c r="S19" s="240">
        <v>0.28999999999999998</v>
      </c>
      <c r="T19" s="241">
        <v>0.25</v>
      </c>
      <c r="U19" s="202">
        <f t="shared" si="5"/>
        <v>0.27</v>
      </c>
      <c r="V19" s="240" t="s">
        <v>216</v>
      </c>
      <c r="W19" s="241" t="s">
        <v>216</v>
      </c>
      <c r="X19" s="202" t="str">
        <f t="shared" si="6"/>
        <v>OFF</v>
      </c>
      <c r="Y19" s="242">
        <v>0</v>
      </c>
    </row>
    <row r="20" spans="1:25" ht="15.75" x14ac:dyDescent="0.25">
      <c r="A20" s="31">
        <f>'M&amp;R Stations'!A14</f>
        <v>38973</v>
      </c>
      <c r="B20" s="240" t="s">
        <v>220</v>
      </c>
      <c r="C20" s="241" t="s">
        <v>220</v>
      </c>
      <c r="D20" s="201" t="s">
        <v>220</v>
      </c>
      <c r="E20" s="240">
        <v>0.28000000000000003</v>
      </c>
      <c r="F20" s="241">
        <v>0.28000000000000003</v>
      </c>
      <c r="G20" s="201">
        <f t="shared" si="1"/>
        <v>0.28000000000000003</v>
      </c>
      <c r="H20" s="240">
        <v>0.28000000000000003</v>
      </c>
      <c r="I20" s="241">
        <v>0.28000000000000003</v>
      </c>
      <c r="J20" s="202">
        <f t="shared" si="2"/>
        <v>0.28000000000000003</v>
      </c>
      <c r="K20" s="242">
        <v>0</v>
      </c>
      <c r="L20" s="194"/>
      <c r="M20" s="240">
        <v>0.28999999999999998</v>
      </c>
      <c r="N20" s="241">
        <v>0.22</v>
      </c>
      <c r="O20" s="202">
        <f t="shared" si="3"/>
        <v>0.255</v>
      </c>
      <c r="P20" s="240">
        <v>0.28999999999999998</v>
      </c>
      <c r="Q20" s="241">
        <v>0.25</v>
      </c>
      <c r="R20" s="202">
        <f t="shared" si="4"/>
        <v>0.27</v>
      </c>
      <c r="S20" s="240">
        <v>0.28999999999999998</v>
      </c>
      <c r="T20" s="241">
        <v>0.25</v>
      </c>
      <c r="U20" s="202">
        <f t="shared" si="5"/>
        <v>0.27</v>
      </c>
      <c r="V20" s="240" t="s">
        <v>216</v>
      </c>
      <c r="W20" s="241" t="s">
        <v>216</v>
      </c>
      <c r="X20" s="202" t="str">
        <f t="shared" si="6"/>
        <v>OFF</v>
      </c>
      <c r="Y20" s="242">
        <v>0</v>
      </c>
    </row>
    <row r="21" spans="1:25" ht="15.75" x14ac:dyDescent="0.25">
      <c r="A21" s="31">
        <f>'M&amp;R Stations'!A15</f>
        <v>38974</v>
      </c>
      <c r="B21" s="240" t="s">
        <v>220</v>
      </c>
      <c r="C21" s="241" t="s">
        <v>220</v>
      </c>
      <c r="D21" s="201" t="s">
        <v>220</v>
      </c>
      <c r="E21" s="240">
        <v>0.28000000000000003</v>
      </c>
      <c r="F21" s="241">
        <v>0.28000000000000003</v>
      </c>
      <c r="G21" s="201">
        <f t="shared" si="1"/>
        <v>0.28000000000000003</v>
      </c>
      <c r="H21" s="240">
        <v>0.28000000000000003</v>
      </c>
      <c r="I21" s="241">
        <v>0.28000000000000003</v>
      </c>
      <c r="J21" s="202">
        <f t="shared" si="2"/>
        <v>0.28000000000000003</v>
      </c>
      <c r="K21" s="242">
        <v>0</v>
      </c>
      <c r="L21" s="194"/>
      <c r="M21" s="240">
        <v>0.28999999999999998</v>
      </c>
      <c r="N21" s="241">
        <v>0.22</v>
      </c>
      <c r="O21" s="202">
        <f t="shared" si="3"/>
        <v>0.255</v>
      </c>
      <c r="P21" s="240">
        <v>0.28999999999999998</v>
      </c>
      <c r="Q21" s="241">
        <v>0.25</v>
      </c>
      <c r="R21" s="202">
        <f t="shared" si="4"/>
        <v>0.27</v>
      </c>
      <c r="S21" s="240">
        <v>0.28999999999999998</v>
      </c>
      <c r="T21" s="241">
        <v>0.28999999999999998</v>
      </c>
      <c r="U21" s="202">
        <f t="shared" si="5"/>
        <v>0.28999999999999998</v>
      </c>
      <c r="V21" s="240" t="s">
        <v>216</v>
      </c>
      <c r="W21" s="241" t="s">
        <v>216</v>
      </c>
      <c r="X21" s="202" t="str">
        <f t="shared" si="6"/>
        <v>OFF</v>
      </c>
      <c r="Y21" s="242">
        <v>0</v>
      </c>
    </row>
    <row r="22" spans="1:25" ht="15.75" x14ac:dyDescent="0.25">
      <c r="A22" s="31">
        <f>'M&amp;R Stations'!A16</f>
        <v>38975</v>
      </c>
      <c r="B22" s="240" t="s">
        <v>220</v>
      </c>
      <c r="C22" s="241" t="s">
        <v>220</v>
      </c>
      <c r="D22" s="201" t="s">
        <v>220</v>
      </c>
      <c r="E22" s="240">
        <v>0.28000000000000003</v>
      </c>
      <c r="F22" s="241">
        <v>0.28000000000000003</v>
      </c>
      <c r="G22" s="201">
        <f t="shared" si="1"/>
        <v>0.28000000000000003</v>
      </c>
      <c r="H22" s="240">
        <v>0.28000000000000003</v>
      </c>
      <c r="I22" s="241">
        <v>0.28000000000000003</v>
      </c>
      <c r="J22" s="202">
        <f t="shared" si="2"/>
        <v>0.28000000000000003</v>
      </c>
      <c r="K22" s="242">
        <v>0</v>
      </c>
      <c r="L22" s="194"/>
      <c r="M22" s="240">
        <v>0.28999999999999998</v>
      </c>
      <c r="N22" s="241">
        <v>0.25</v>
      </c>
      <c r="O22" s="202">
        <f t="shared" si="3"/>
        <v>0.27</v>
      </c>
      <c r="P22" s="240">
        <v>0.28999999999999998</v>
      </c>
      <c r="Q22" s="241">
        <v>0.25</v>
      </c>
      <c r="R22" s="202">
        <f t="shared" si="4"/>
        <v>0.27</v>
      </c>
      <c r="S22" s="240">
        <v>0.28999999999999998</v>
      </c>
      <c r="T22" s="241">
        <v>0.25</v>
      </c>
      <c r="U22" s="202">
        <f t="shared" si="5"/>
        <v>0.27</v>
      </c>
      <c r="V22" s="240" t="s">
        <v>216</v>
      </c>
      <c r="W22" s="241" t="s">
        <v>216</v>
      </c>
      <c r="X22" s="202" t="str">
        <f t="shared" si="6"/>
        <v>OFF</v>
      </c>
      <c r="Y22" s="242">
        <v>0</v>
      </c>
    </row>
    <row r="23" spans="1:25" ht="15.75" x14ac:dyDescent="0.25">
      <c r="A23" s="31">
        <f>'M&amp;R Stations'!A17</f>
        <v>38976</v>
      </c>
      <c r="B23" s="240" t="s">
        <v>220</v>
      </c>
      <c r="C23" s="241" t="s">
        <v>220</v>
      </c>
      <c r="D23" s="201" t="s">
        <v>220</v>
      </c>
      <c r="E23" s="240">
        <v>0.28000000000000003</v>
      </c>
      <c r="F23" s="241">
        <v>0.24</v>
      </c>
      <c r="G23" s="201">
        <f t="shared" si="1"/>
        <v>0.26</v>
      </c>
      <c r="H23" s="240">
        <v>0.28000000000000003</v>
      </c>
      <c r="I23" s="241">
        <v>0.24</v>
      </c>
      <c r="J23" s="202">
        <f t="shared" si="2"/>
        <v>0.26</v>
      </c>
      <c r="K23" s="242">
        <v>0</v>
      </c>
      <c r="L23" s="194"/>
      <c r="M23" s="240">
        <v>0.28999999999999998</v>
      </c>
      <c r="N23" s="241">
        <v>0.25</v>
      </c>
      <c r="O23" s="202">
        <f t="shared" si="3"/>
        <v>0.27</v>
      </c>
      <c r="P23" s="240">
        <v>0.28999999999999998</v>
      </c>
      <c r="Q23" s="241">
        <v>0.25</v>
      </c>
      <c r="R23" s="202">
        <f t="shared" si="4"/>
        <v>0.27</v>
      </c>
      <c r="S23" s="240">
        <v>0.28999999999999998</v>
      </c>
      <c r="T23" s="241">
        <v>0.25</v>
      </c>
      <c r="U23" s="202">
        <f t="shared" si="5"/>
        <v>0.27</v>
      </c>
      <c r="V23" s="240" t="s">
        <v>216</v>
      </c>
      <c r="W23" s="241" t="s">
        <v>216</v>
      </c>
      <c r="X23" s="202" t="str">
        <f t="shared" si="6"/>
        <v>OFF</v>
      </c>
      <c r="Y23" s="242">
        <v>0</v>
      </c>
    </row>
    <row r="24" spans="1:25" ht="15.75" x14ac:dyDescent="0.25">
      <c r="A24" s="31">
        <f>'M&amp;R Stations'!A18</f>
        <v>38977</v>
      </c>
      <c r="B24" s="240" t="s">
        <v>220</v>
      </c>
      <c r="C24" s="241" t="s">
        <v>220</v>
      </c>
      <c r="D24" s="201" t="s">
        <v>220</v>
      </c>
      <c r="E24" s="240">
        <v>0.28000000000000003</v>
      </c>
      <c r="F24" s="241">
        <v>0.24</v>
      </c>
      <c r="G24" s="201">
        <f t="shared" si="1"/>
        <v>0.26</v>
      </c>
      <c r="H24" s="240">
        <v>0.28000000000000003</v>
      </c>
      <c r="I24" s="241">
        <v>0.24</v>
      </c>
      <c r="J24" s="202">
        <f t="shared" si="2"/>
        <v>0.26</v>
      </c>
      <c r="K24" s="242">
        <v>0</v>
      </c>
      <c r="L24" s="194"/>
      <c r="M24" s="240">
        <v>0.28999999999999998</v>
      </c>
      <c r="N24" s="241">
        <v>0.25</v>
      </c>
      <c r="O24" s="202">
        <f t="shared" si="3"/>
        <v>0.27</v>
      </c>
      <c r="P24" s="240">
        <v>0.28999999999999998</v>
      </c>
      <c r="Q24" s="241">
        <v>0.25</v>
      </c>
      <c r="R24" s="202">
        <f t="shared" si="4"/>
        <v>0.27</v>
      </c>
      <c r="S24" s="240">
        <v>0.28999999999999998</v>
      </c>
      <c r="T24" s="241">
        <v>0.25</v>
      </c>
      <c r="U24" s="202">
        <f t="shared" si="5"/>
        <v>0.27</v>
      </c>
      <c r="V24" s="240" t="s">
        <v>216</v>
      </c>
      <c r="W24" s="241" t="s">
        <v>216</v>
      </c>
      <c r="X24" s="202" t="str">
        <f t="shared" si="6"/>
        <v>OFF</v>
      </c>
      <c r="Y24" s="242">
        <v>0</v>
      </c>
    </row>
    <row r="25" spans="1:25" ht="15.75" x14ac:dyDescent="0.25">
      <c r="A25" s="31">
        <f>'M&amp;R Stations'!A19</f>
        <v>38978</v>
      </c>
      <c r="B25" s="240" t="s">
        <v>220</v>
      </c>
      <c r="C25" s="241" t="s">
        <v>220</v>
      </c>
      <c r="D25" s="201" t="s">
        <v>220</v>
      </c>
      <c r="E25" s="240">
        <v>0.28000000000000003</v>
      </c>
      <c r="F25" s="241">
        <v>0.24</v>
      </c>
      <c r="G25" s="201">
        <f t="shared" si="1"/>
        <v>0.26</v>
      </c>
      <c r="H25" s="240">
        <v>0.28000000000000003</v>
      </c>
      <c r="I25" s="241">
        <v>0.24</v>
      </c>
      <c r="J25" s="202">
        <f t="shared" si="2"/>
        <v>0.26</v>
      </c>
      <c r="K25" s="242">
        <v>0</v>
      </c>
      <c r="L25" s="194"/>
      <c r="M25" s="240">
        <v>0.28999999999999998</v>
      </c>
      <c r="N25" s="241">
        <v>0.25</v>
      </c>
      <c r="O25" s="202">
        <f t="shared" si="3"/>
        <v>0.27</v>
      </c>
      <c r="P25" s="240">
        <v>0.28999999999999998</v>
      </c>
      <c r="Q25" s="241">
        <v>0.25</v>
      </c>
      <c r="R25" s="202">
        <f t="shared" si="4"/>
        <v>0.27</v>
      </c>
      <c r="S25" s="240">
        <v>0.28999999999999998</v>
      </c>
      <c r="T25" s="241">
        <v>0.25</v>
      </c>
      <c r="U25" s="202">
        <f t="shared" si="5"/>
        <v>0.27</v>
      </c>
      <c r="V25" s="240" t="s">
        <v>216</v>
      </c>
      <c r="W25" s="241" t="s">
        <v>216</v>
      </c>
      <c r="X25" s="202" t="str">
        <f t="shared" si="6"/>
        <v>OFF</v>
      </c>
      <c r="Y25" s="242">
        <v>0</v>
      </c>
    </row>
    <row r="26" spans="1:25" ht="15.75" x14ac:dyDescent="0.25">
      <c r="A26" s="31">
        <f>'M&amp;R Stations'!A20</f>
        <v>38979</v>
      </c>
      <c r="B26" s="240" t="s">
        <v>220</v>
      </c>
      <c r="C26" s="241" t="s">
        <v>220</v>
      </c>
      <c r="D26" s="201" t="s">
        <v>220</v>
      </c>
      <c r="E26" s="240">
        <v>0.28000000000000003</v>
      </c>
      <c r="F26" s="241">
        <v>0.24</v>
      </c>
      <c r="G26" s="201">
        <f t="shared" si="1"/>
        <v>0.26</v>
      </c>
      <c r="H26" s="240">
        <v>0.28000000000000003</v>
      </c>
      <c r="I26" s="241">
        <v>0.24</v>
      </c>
      <c r="J26" s="202">
        <f t="shared" si="2"/>
        <v>0.26</v>
      </c>
      <c r="K26" s="242">
        <v>0</v>
      </c>
      <c r="L26" s="194"/>
      <c r="M26" s="240">
        <v>0.28999999999999998</v>
      </c>
      <c r="N26" s="241">
        <v>0.22</v>
      </c>
      <c r="O26" s="202">
        <f t="shared" si="3"/>
        <v>0.255</v>
      </c>
      <c r="P26" s="240">
        <v>0.28999999999999998</v>
      </c>
      <c r="Q26" s="241">
        <v>0.22</v>
      </c>
      <c r="R26" s="202">
        <f t="shared" si="4"/>
        <v>0.255</v>
      </c>
      <c r="S26" s="240">
        <v>0.28999999999999998</v>
      </c>
      <c r="T26" s="241">
        <v>0.22</v>
      </c>
      <c r="U26" s="202">
        <f t="shared" si="5"/>
        <v>0.255</v>
      </c>
      <c r="V26" s="240" t="s">
        <v>216</v>
      </c>
      <c r="W26" s="241" t="s">
        <v>216</v>
      </c>
      <c r="X26" s="202" t="str">
        <f t="shared" si="6"/>
        <v>OFF</v>
      </c>
      <c r="Y26" s="242">
        <v>0</v>
      </c>
    </row>
    <row r="27" spans="1:25" ht="15.75" x14ac:dyDescent="0.25">
      <c r="A27" s="31">
        <f>'M&amp;R Stations'!A21</f>
        <v>38980</v>
      </c>
      <c r="B27" s="240" t="s">
        <v>220</v>
      </c>
      <c r="C27" s="241" t="s">
        <v>220</v>
      </c>
      <c r="D27" s="201" t="s">
        <v>220</v>
      </c>
      <c r="E27" s="240">
        <v>0.28000000000000003</v>
      </c>
      <c r="F27" s="241">
        <v>0.28000000000000003</v>
      </c>
      <c r="G27" s="201">
        <f t="shared" si="1"/>
        <v>0.28000000000000003</v>
      </c>
      <c r="H27" s="240">
        <v>0.28000000000000003</v>
      </c>
      <c r="I27" s="241">
        <v>0.28000000000000003</v>
      </c>
      <c r="J27" s="202">
        <f t="shared" si="2"/>
        <v>0.28000000000000003</v>
      </c>
      <c r="K27" s="242">
        <v>0</v>
      </c>
      <c r="L27" s="194"/>
      <c r="M27" s="240">
        <v>0.25</v>
      </c>
      <c r="N27" s="241">
        <v>0.25</v>
      </c>
      <c r="O27" s="202">
        <f t="shared" si="3"/>
        <v>0.25</v>
      </c>
      <c r="P27" s="240">
        <v>0.25</v>
      </c>
      <c r="Q27" s="241">
        <v>0.25</v>
      </c>
      <c r="R27" s="202">
        <f t="shared" si="4"/>
        <v>0.25</v>
      </c>
      <c r="S27" s="240">
        <v>0.28999999999999998</v>
      </c>
      <c r="T27" s="241">
        <v>0.25</v>
      </c>
      <c r="U27" s="202">
        <f t="shared" si="5"/>
        <v>0.27</v>
      </c>
      <c r="V27" s="240" t="s">
        <v>216</v>
      </c>
      <c r="W27" s="241" t="s">
        <v>216</v>
      </c>
      <c r="X27" s="202" t="str">
        <f t="shared" si="6"/>
        <v>OFF</v>
      </c>
      <c r="Y27" s="242">
        <v>0</v>
      </c>
    </row>
    <row r="28" spans="1:25" ht="15.75" x14ac:dyDescent="0.25">
      <c r="A28" s="31">
        <f>'M&amp;R Stations'!A22</f>
        <v>38981</v>
      </c>
      <c r="B28" s="240" t="s">
        <v>220</v>
      </c>
      <c r="C28" s="241" t="s">
        <v>220</v>
      </c>
      <c r="D28" s="201" t="s">
        <v>220</v>
      </c>
      <c r="E28" s="240">
        <v>0.28000000000000003</v>
      </c>
      <c r="F28" s="241">
        <v>0.28000000000000003</v>
      </c>
      <c r="G28" s="201">
        <f t="shared" si="1"/>
        <v>0.28000000000000003</v>
      </c>
      <c r="H28" s="240">
        <v>0.28000000000000003</v>
      </c>
      <c r="I28" s="241">
        <v>0.28000000000000003</v>
      </c>
      <c r="J28" s="202">
        <f t="shared" si="2"/>
        <v>0.28000000000000003</v>
      </c>
      <c r="K28" s="242">
        <v>0</v>
      </c>
      <c r="L28" s="194"/>
      <c r="M28" s="240">
        <v>0.28999999999999998</v>
      </c>
      <c r="N28" s="241">
        <v>0.22</v>
      </c>
      <c r="O28" s="202">
        <f t="shared" si="3"/>
        <v>0.255</v>
      </c>
      <c r="P28" s="240">
        <v>0.28999999999999998</v>
      </c>
      <c r="Q28" s="241">
        <v>0.22</v>
      </c>
      <c r="R28" s="202">
        <f t="shared" si="4"/>
        <v>0.255</v>
      </c>
      <c r="S28" s="240">
        <v>0.28999999999999998</v>
      </c>
      <c r="T28" s="241">
        <v>0.22</v>
      </c>
      <c r="U28" s="202">
        <f t="shared" si="5"/>
        <v>0.255</v>
      </c>
      <c r="V28" s="240" t="s">
        <v>216</v>
      </c>
      <c r="W28" s="241" t="s">
        <v>216</v>
      </c>
      <c r="X28" s="202" t="str">
        <f t="shared" si="6"/>
        <v>OFF</v>
      </c>
      <c r="Y28" s="242">
        <v>0</v>
      </c>
    </row>
    <row r="29" spans="1:25" ht="15.75" x14ac:dyDescent="0.25">
      <c r="A29" s="31">
        <f>'M&amp;R Stations'!A23</f>
        <v>38982</v>
      </c>
      <c r="B29" s="240" t="s">
        <v>220</v>
      </c>
      <c r="C29" s="241" t="s">
        <v>220</v>
      </c>
      <c r="D29" s="201" t="s">
        <v>220</v>
      </c>
      <c r="E29" s="240">
        <v>0.28000000000000003</v>
      </c>
      <c r="F29" s="241">
        <v>0.24</v>
      </c>
      <c r="G29" s="201">
        <f t="shared" si="1"/>
        <v>0.26</v>
      </c>
      <c r="H29" s="240">
        <v>0.28000000000000003</v>
      </c>
      <c r="I29" s="241">
        <v>0.24</v>
      </c>
      <c r="J29" s="202">
        <f t="shared" si="2"/>
        <v>0.26</v>
      </c>
      <c r="K29" s="242">
        <v>0</v>
      </c>
      <c r="L29" s="194"/>
      <c r="M29" s="240">
        <v>0.28999999999999998</v>
      </c>
      <c r="N29" s="241">
        <v>0.22</v>
      </c>
      <c r="O29" s="202">
        <f t="shared" si="3"/>
        <v>0.255</v>
      </c>
      <c r="P29" s="240">
        <v>0.28999999999999998</v>
      </c>
      <c r="Q29" s="241">
        <v>0.25</v>
      </c>
      <c r="R29" s="202">
        <f t="shared" si="4"/>
        <v>0.27</v>
      </c>
      <c r="S29" s="240">
        <v>0.28999999999999998</v>
      </c>
      <c r="T29" s="241">
        <v>0.25</v>
      </c>
      <c r="U29" s="202">
        <f t="shared" si="5"/>
        <v>0.27</v>
      </c>
      <c r="V29" s="240" t="s">
        <v>216</v>
      </c>
      <c r="W29" s="241" t="s">
        <v>216</v>
      </c>
      <c r="X29" s="202" t="str">
        <f t="shared" si="6"/>
        <v>OFF</v>
      </c>
      <c r="Y29" s="242">
        <v>0</v>
      </c>
    </row>
    <row r="30" spans="1:25" ht="15.75" x14ac:dyDescent="0.25">
      <c r="A30" s="31">
        <f>'M&amp;R Stations'!A24</f>
        <v>38983</v>
      </c>
      <c r="B30" s="240" t="s">
        <v>220</v>
      </c>
      <c r="C30" s="241" t="s">
        <v>220</v>
      </c>
      <c r="D30" s="201" t="s">
        <v>220</v>
      </c>
      <c r="E30" s="240">
        <v>0.28000000000000003</v>
      </c>
      <c r="F30" s="241">
        <v>0.24</v>
      </c>
      <c r="G30" s="201">
        <f t="shared" si="1"/>
        <v>0.26</v>
      </c>
      <c r="H30" s="240">
        <v>0.28000000000000003</v>
      </c>
      <c r="I30" s="241">
        <v>0.24</v>
      </c>
      <c r="J30" s="202">
        <f t="shared" si="2"/>
        <v>0.26</v>
      </c>
      <c r="K30" s="242">
        <v>0</v>
      </c>
      <c r="L30" s="194"/>
      <c r="M30" s="240">
        <v>0.28999999999999998</v>
      </c>
      <c r="N30" s="241">
        <v>0.25</v>
      </c>
      <c r="O30" s="202">
        <f t="shared" si="3"/>
        <v>0.27</v>
      </c>
      <c r="P30" s="240">
        <v>0.28999999999999998</v>
      </c>
      <c r="Q30" s="241">
        <v>0.25</v>
      </c>
      <c r="R30" s="202">
        <f t="shared" si="4"/>
        <v>0.27</v>
      </c>
      <c r="S30" s="240">
        <v>0.28999999999999998</v>
      </c>
      <c r="T30" s="241">
        <v>0.25</v>
      </c>
      <c r="U30" s="202">
        <f t="shared" si="5"/>
        <v>0.27</v>
      </c>
      <c r="V30" s="240" t="s">
        <v>216</v>
      </c>
      <c r="W30" s="241" t="s">
        <v>216</v>
      </c>
      <c r="X30" s="202" t="str">
        <f t="shared" si="6"/>
        <v>OFF</v>
      </c>
      <c r="Y30" s="242">
        <v>0</v>
      </c>
    </row>
    <row r="31" spans="1:25" ht="15.75" x14ac:dyDescent="0.25">
      <c r="A31" s="31">
        <f>'M&amp;R Stations'!A25</f>
        <v>38984</v>
      </c>
      <c r="B31" s="240" t="s">
        <v>220</v>
      </c>
      <c r="C31" s="241" t="s">
        <v>220</v>
      </c>
      <c r="D31" s="201" t="s">
        <v>220</v>
      </c>
      <c r="E31" s="240">
        <v>0.28000000000000003</v>
      </c>
      <c r="F31" s="241">
        <v>0.24</v>
      </c>
      <c r="G31" s="201">
        <f t="shared" si="1"/>
        <v>0.26</v>
      </c>
      <c r="H31" s="240">
        <v>0.28000000000000003</v>
      </c>
      <c r="I31" s="241">
        <v>0.24</v>
      </c>
      <c r="J31" s="202">
        <f t="shared" si="2"/>
        <v>0.26</v>
      </c>
      <c r="K31" s="242">
        <v>0</v>
      </c>
      <c r="L31" s="194"/>
      <c r="M31" s="240">
        <v>0.28999999999999998</v>
      </c>
      <c r="N31" s="241">
        <v>0.28999999999999998</v>
      </c>
      <c r="O31" s="202">
        <f t="shared" si="3"/>
        <v>0.28999999999999998</v>
      </c>
      <c r="P31" s="240">
        <v>0.28999999999999998</v>
      </c>
      <c r="Q31" s="241">
        <v>0.28999999999999998</v>
      </c>
      <c r="R31" s="202">
        <f t="shared" si="4"/>
        <v>0.28999999999999998</v>
      </c>
      <c r="S31" s="240">
        <v>0.28999999999999998</v>
      </c>
      <c r="T31" s="241">
        <v>0.28999999999999998</v>
      </c>
      <c r="U31" s="202">
        <f t="shared" si="5"/>
        <v>0.28999999999999998</v>
      </c>
      <c r="V31" s="240" t="s">
        <v>216</v>
      </c>
      <c r="W31" s="241" t="s">
        <v>216</v>
      </c>
      <c r="X31" s="202" t="str">
        <f t="shared" si="6"/>
        <v>OFF</v>
      </c>
      <c r="Y31" s="242">
        <v>0</v>
      </c>
    </row>
    <row r="32" spans="1:25" ht="15.75" x14ac:dyDescent="0.25">
      <c r="A32" s="31">
        <f>'M&amp;R Stations'!A26</f>
        <v>38985</v>
      </c>
      <c r="B32" s="240" t="s">
        <v>220</v>
      </c>
      <c r="C32" s="241" t="s">
        <v>220</v>
      </c>
      <c r="D32" s="201" t="s">
        <v>220</v>
      </c>
      <c r="E32" s="240">
        <v>0.28000000000000003</v>
      </c>
      <c r="F32" s="241">
        <v>0.24</v>
      </c>
      <c r="G32" s="201">
        <f t="shared" si="1"/>
        <v>0.26</v>
      </c>
      <c r="H32" s="240">
        <v>0.28000000000000003</v>
      </c>
      <c r="I32" s="241">
        <v>0.24</v>
      </c>
      <c r="J32" s="202">
        <f t="shared" si="2"/>
        <v>0.26</v>
      </c>
      <c r="K32" s="242">
        <v>0</v>
      </c>
      <c r="L32" s="194"/>
      <c r="M32" s="240">
        <v>0.28999999999999998</v>
      </c>
      <c r="N32" s="241">
        <v>0.25</v>
      </c>
      <c r="O32" s="202">
        <f t="shared" si="3"/>
        <v>0.27</v>
      </c>
      <c r="P32" s="240">
        <v>0.28999999999999998</v>
      </c>
      <c r="Q32" s="241">
        <v>0.22</v>
      </c>
      <c r="R32" s="202">
        <f t="shared" si="4"/>
        <v>0.255</v>
      </c>
      <c r="S32" s="240">
        <v>0.28999999999999998</v>
      </c>
      <c r="T32" s="241">
        <v>0.18</v>
      </c>
      <c r="U32" s="202">
        <f t="shared" si="5"/>
        <v>0.23499999999999999</v>
      </c>
      <c r="V32" s="240" t="s">
        <v>216</v>
      </c>
      <c r="W32" s="241" t="s">
        <v>216</v>
      </c>
      <c r="X32" s="202" t="str">
        <f t="shared" si="6"/>
        <v>OFF</v>
      </c>
      <c r="Y32" s="242">
        <v>0</v>
      </c>
    </row>
    <row r="33" spans="1:25" ht="15.75" x14ac:dyDescent="0.25">
      <c r="A33" s="31">
        <f>'M&amp;R Stations'!A27</f>
        <v>38986</v>
      </c>
      <c r="B33" s="240" t="s">
        <v>220</v>
      </c>
      <c r="C33" s="241" t="s">
        <v>220</v>
      </c>
      <c r="D33" s="201" t="s">
        <v>220</v>
      </c>
      <c r="E33" s="240">
        <v>0.28000000000000003</v>
      </c>
      <c r="F33" s="241">
        <v>0.26</v>
      </c>
      <c r="G33" s="201">
        <f t="shared" si="1"/>
        <v>0.27</v>
      </c>
      <c r="H33" s="240">
        <v>0.4</v>
      </c>
      <c r="I33" s="241">
        <v>0.26</v>
      </c>
      <c r="J33" s="202">
        <f t="shared" si="2"/>
        <v>0.33</v>
      </c>
      <c r="K33" s="242">
        <v>0</v>
      </c>
      <c r="L33" s="194"/>
      <c r="M33" s="240">
        <v>0.28999999999999998</v>
      </c>
      <c r="N33" s="241">
        <v>0.25</v>
      </c>
      <c r="O33" s="202">
        <f t="shared" si="3"/>
        <v>0.27</v>
      </c>
      <c r="P33" s="240">
        <v>0.28999999999999998</v>
      </c>
      <c r="Q33" s="241">
        <v>0.25</v>
      </c>
      <c r="R33" s="202">
        <f t="shared" si="4"/>
        <v>0.27</v>
      </c>
      <c r="S33" s="240">
        <v>0.28999999999999998</v>
      </c>
      <c r="T33" s="241">
        <v>0.25</v>
      </c>
      <c r="U33" s="202">
        <f t="shared" si="5"/>
        <v>0.27</v>
      </c>
      <c r="V33" s="240" t="s">
        <v>216</v>
      </c>
      <c r="W33" s="241" t="s">
        <v>216</v>
      </c>
      <c r="X33" s="202" t="str">
        <f t="shared" si="6"/>
        <v>OFF</v>
      </c>
      <c r="Y33" s="242">
        <v>0</v>
      </c>
    </row>
    <row r="34" spans="1:25" ht="15.75" x14ac:dyDescent="0.25">
      <c r="A34" s="31">
        <f>'M&amp;R Stations'!A28</f>
        <v>38987</v>
      </c>
      <c r="B34" s="240" t="s">
        <v>220</v>
      </c>
      <c r="C34" s="241" t="s">
        <v>220</v>
      </c>
      <c r="D34" s="201" t="s">
        <v>220</v>
      </c>
      <c r="E34" s="240">
        <v>0.35</v>
      </c>
      <c r="F34" s="241">
        <v>0.26</v>
      </c>
      <c r="G34" s="201">
        <f t="shared" si="1"/>
        <v>0.30499999999999999</v>
      </c>
      <c r="H34" s="240">
        <v>0.35</v>
      </c>
      <c r="I34" s="241">
        <v>0.26</v>
      </c>
      <c r="J34" s="202">
        <f t="shared" si="2"/>
        <v>0.30499999999999999</v>
      </c>
      <c r="K34" s="242">
        <v>0</v>
      </c>
      <c r="L34" s="194"/>
      <c r="M34" s="240">
        <v>0.28999999999999998</v>
      </c>
      <c r="N34" s="241">
        <v>0.22</v>
      </c>
      <c r="O34" s="202">
        <f t="shared" si="3"/>
        <v>0.255</v>
      </c>
      <c r="P34" s="240">
        <v>0.28999999999999998</v>
      </c>
      <c r="Q34" s="241">
        <v>0.25</v>
      </c>
      <c r="R34" s="202">
        <f t="shared" si="4"/>
        <v>0.27</v>
      </c>
      <c r="S34" s="240">
        <v>0.28999999999999998</v>
      </c>
      <c r="T34" s="241">
        <v>0.25</v>
      </c>
      <c r="U34" s="202">
        <f t="shared" si="5"/>
        <v>0.27</v>
      </c>
      <c r="V34" s="240" t="s">
        <v>216</v>
      </c>
      <c r="W34" s="241" t="s">
        <v>216</v>
      </c>
      <c r="X34" s="202" t="str">
        <f t="shared" si="6"/>
        <v>OFF</v>
      </c>
      <c r="Y34" s="242">
        <v>0</v>
      </c>
    </row>
    <row r="35" spans="1:25" ht="15.75" x14ac:dyDescent="0.25">
      <c r="A35" s="31">
        <f>'M&amp;R Stations'!A29</f>
        <v>38988</v>
      </c>
      <c r="B35" s="240" t="s">
        <v>220</v>
      </c>
      <c r="C35" s="241" t="s">
        <v>220</v>
      </c>
      <c r="D35" s="201" t="s">
        <v>220</v>
      </c>
      <c r="E35" s="240">
        <v>0.35</v>
      </c>
      <c r="F35" s="241">
        <v>0.26</v>
      </c>
      <c r="G35" s="201">
        <f t="shared" si="1"/>
        <v>0.30499999999999999</v>
      </c>
      <c r="H35" s="240">
        <v>0.35</v>
      </c>
      <c r="I35" s="241">
        <v>0.26</v>
      </c>
      <c r="J35" s="202">
        <f t="shared" si="2"/>
        <v>0.30499999999999999</v>
      </c>
      <c r="K35" s="242">
        <v>0</v>
      </c>
      <c r="L35" s="194"/>
      <c r="M35" s="240">
        <v>0.25</v>
      </c>
      <c r="N35" s="241">
        <v>0.25</v>
      </c>
      <c r="O35" s="202">
        <f t="shared" si="3"/>
        <v>0.25</v>
      </c>
      <c r="P35" s="240">
        <v>0.25</v>
      </c>
      <c r="Q35" s="241">
        <v>0.22</v>
      </c>
      <c r="R35" s="202">
        <f t="shared" si="4"/>
        <v>0.23499999999999999</v>
      </c>
      <c r="S35" s="240">
        <v>0.25</v>
      </c>
      <c r="T35" s="241">
        <v>0.22</v>
      </c>
      <c r="U35" s="202">
        <f t="shared" si="5"/>
        <v>0.23499999999999999</v>
      </c>
      <c r="V35" s="240" t="s">
        <v>216</v>
      </c>
      <c r="W35" s="241" t="s">
        <v>216</v>
      </c>
      <c r="X35" s="202" t="str">
        <f t="shared" si="6"/>
        <v>OFF</v>
      </c>
      <c r="Y35" s="242">
        <v>0</v>
      </c>
    </row>
    <row r="36" spans="1:25" ht="15.75" x14ac:dyDescent="0.25">
      <c r="A36" s="31">
        <f>'M&amp;R Stations'!A30</f>
        <v>38989</v>
      </c>
      <c r="B36" s="240" t="s">
        <v>220</v>
      </c>
      <c r="C36" s="241" t="s">
        <v>220</v>
      </c>
      <c r="D36" s="201" t="s">
        <v>220</v>
      </c>
      <c r="E36" s="240">
        <v>0.35</v>
      </c>
      <c r="F36" s="241">
        <v>0.26</v>
      </c>
      <c r="G36" s="201">
        <f t="shared" si="1"/>
        <v>0.30499999999999999</v>
      </c>
      <c r="H36" s="240">
        <v>0.35</v>
      </c>
      <c r="I36" s="241">
        <v>0.26</v>
      </c>
      <c r="J36" s="202">
        <f t="shared" si="2"/>
        <v>0.30499999999999999</v>
      </c>
      <c r="K36" s="242">
        <v>0</v>
      </c>
      <c r="L36" s="194"/>
      <c r="M36" s="240">
        <v>0.28999999999999998</v>
      </c>
      <c r="N36" s="241">
        <v>0.25</v>
      </c>
      <c r="O36" s="202">
        <f t="shared" si="3"/>
        <v>0.27</v>
      </c>
      <c r="P36" s="240">
        <v>0.28999999999999998</v>
      </c>
      <c r="Q36" s="241">
        <v>0.25</v>
      </c>
      <c r="R36" s="202">
        <f t="shared" si="4"/>
        <v>0.27</v>
      </c>
      <c r="S36" s="240">
        <v>0.34</v>
      </c>
      <c r="T36" s="241">
        <v>0.25</v>
      </c>
      <c r="U36" s="202">
        <f t="shared" si="5"/>
        <v>0.29500000000000004</v>
      </c>
      <c r="V36" s="240" t="s">
        <v>216</v>
      </c>
      <c r="W36" s="241" t="s">
        <v>216</v>
      </c>
      <c r="X36" s="202" t="str">
        <f t="shared" si="6"/>
        <v>OFF</v>
      </c>
      <c r="Y36" s="242">
        <v>0</v>
      </c>
    </row>
    <row r="37" spans="1:25" ht="15.75" x14ac:dyDescent="0.25">
      <c r="A37" s="31">
        <f>'M&amp;R Stations'!A31</f>
        <v>38990</v>
      </c>
      <c r="B37" s="240" t="s">
        <v>220</v>
      </c>
      <c r="C37" s="241" t="s">
        <v>220</v>
      </c>
      <c r="D37" s="201" t="s">
        <v>220</v>
      </c>
      <c r="E37" s="240">
        <v>0.35</v>
      </c>
      <c r="F37" s="241">
        <v>0.26</v>
      </c>
      <c r="G37" s="201">
        <f t="shared" si="1"/>
        <v>0.30499999999999999</v>
      </c>
      <c r="H37" s="240">
        <v>0.35</v>
      </c>
      <c r="I37" s="241">
        <v>0.26</v>
      </c>
      <c r="J37" s="202">
        <f t="shared" si="2"/>
        <v>0.30499999999999999</v>
      </c>
      <c r="K37" s="242">
        <v>0</v>
      </c>
      <c r="L37" s="194"/>
      <c r="M37" s="240">
        <v>0.28999999999999998</v>
      </c>
      <c r="N37" s="241">
        <v>0.25</v>
      </c>
      <c r="O37" s="202">
        <f t="shared" si="3"/>
        <v>0.27</v>
      </c>
      <c r="P37" s="240">
        <v>0.28999999999999998</v>
      </c>
      <c r="Q37" s="241">
        <v>0.25</v>
      </c>
      <c r="R37" s="202">
        <f t="shared" si="4"/>
        <v>0.27</v>
      </c>
      <c r="S37" s="240">
        <v>0.28999999999999998</v>
      </c>
      <c r="T37" s="241">
        <v>0.25</v>
      </c>
      <c r="U37" s="202">
        <f t="shared" si="5"/>
        <v>0.27</v>
      </c>
      <c r="V37" s="240" t="s">
        <v>216</v>
      </c>
      <c r="W37" s="241" t="s">
        <v>216</v>
      </c>
      <c r="X37" s="202" t="str">
        <f t="shared" si="6"/>
        <v>OFF</v>
      </c>
      <c r="Y37" s="242">
        <v>0</v>
      </c>
    </row>
    <row r="38" spans="1:25" ht="15.75" x14ac:dyDescent="0.25">
      <c r="A38" s="96"/>
      <c r="B38" s="203"/>
      <c r="C38" s="204"/>
      <c r="D38" s="205"/>
      <c r="E38" s="203"/>
      <c r="F38" s="204"/>
      <c r="G38" s="205"/>
      <c r="H38" s="203"/>
      <c r="I38" s="204"/>
      <c r="J38" s="206"/>
      <c r="K38" s="208"/>
      <c r="L38" s="207"/>
      <c r="M38" s="203"/>
      <c r="N38" s="204"/>
      <c r="O38" s="206"/>
      <c r="P38" s="203"/>
      <c r="Q38" s="204"/>
      <c r="R38" s="206"/>
      <c r="S38" s="203"/>
      <c r="T38" s="204"/>
      <c r="U38" s="206"/>
      <c r="V38" s="203"/>
      <c r="W38" s="204"/>
      <c r="X38" s="206"/>
      <c r="Y38" s="208"/>
    </row>
    <row r="39" spans="1:25" ht="15.75" x14ac:dyDescent="0.25">
      <c r="A39" s="31">
        <f>'M&amp;R Stations'!A32</f>
        <v>38991</v>
      </c>
      <c r="B39" s="240" t="s">
        <v>220</v>
      </c>
      <c r="C39" s="241" t="s">
        <v>220</v>
      </c>
      <c r="D39" s="201" t="s">
        <v>220</v>
      </c>
      <c r="E39" s="240">
        <v>0.35</v>
      </c>
      <c r="F39" s="241">
        <v>0.35</v>
      </c>
      <c r="G39" s="201">
        <f>IF(AND(E39="",F39=""),"",IF(E39="off",F39,IF(F39="off",E39,AVERAGE(E39:F39))))</f>
        <v>0.35</v>
      </c>
      <c r="H39" s="240">
        <v>0.35</v>
      </c>
      <c r="I39" s="241">
        <v>0.35</v>
      </c>
      <c r="J39" s="201">
        <f>IF(AND(H39="",I39=""),"",IF(H39="off",I39,IF(I39="off",H39,AVERAGE(H39:I39))))</f>
        <v>0.35</v>
      </c>
      <c r="K39" s="242">
        <v>0</v>
      </c>
      <c r="L39" s="194"/>
      <c r="M39" s="240">
        <v>0.28999999999999998</v>
      </c>
      <c r="N39" s="241">
        <v>0.22</v>
      </c>
      <c r="O39" s="201">
        <f t="shared" ref="O39:O100" si="7">IF(AND(M39="",N39=""),"",IF(M39="off",N39,IF(N39="off",M39,AVERAGE(M39:N39))))</f>
        <v>0.255</v>
      </c>
      <c r="P39" s="240">
        <v>0.25</v>
      </c>
      <c r="Q39" s="241">
        <v>0.22</v>
      </c>
      <c r="R39" s="201">
        <f>IF(AND(P39="",Q39=""),"",IF(P39="off",Q39,IF(Q39="off",P39,AVERAGE(P39:Q39))))</f>
        <v>0.23499999999999999</v>
      </c>
      <c r="S39" s="240">
        <v>0.25</v>
      </c>
      <c r="T39" s="241">
        <v>0.25</v>
      </c>
      <c r="U39" s="201">
        <f>IF(AND(S39="",T39=""),"",IF(S39="off",T39,IF(T39="off",S39,AVERAGE(S39:T39))))</f>
        <v>0.25</v>
      </c>
      <c r="V39" s="240" t="s">
        <v>216</v>
      </c>
      <c r="W39" s="241" t="s">
        <v>216</v>
      </c>
      <c r="X39" s="201" t="str">
        <f>IF(AND(V39="",W39=""),"",IF(V39="off",W39,IF(W39="off",V39,AVERAGE(V39:W39))))</f>
        <v>OFF</v>
      </c>
      <c r="Y39" s="242">
        <v>0</v>
      </c>
    </row>
    <row r="40" spans="1:25" ht="15.75" x14ac:dyDescent="0.25">
      <c r="A40" s="31">
        <f>'M&amp;R Stations'!A33</f>
        <v>38992</v>
      </c>
      <c r="B40" s="240" t="s">
        <v>220</v>
      </c>
      <c r="C40" s="241" t="s">
        <v>220</v>
      </c>
      <c r="D40" s="201" t="s">
        <v>220</v>
      </c>
      <c r="E40" s="240">
        <v>0.35</v>
      </c>
      <c r="F40" s="241">
        <v>0.35</v>
      </c>
      <c r="G40" s="201">
        <f>IF(AND(E40="",F40=""),"",IF(E40="off",F40,IF(F40="off",E40,AVERAGE(E40:F40))))</f>
        <v>0.35</v>
      </c>
      <c r="H40" s="240">
        <v>0.35</v>
      </c>
      <c r="I40" s="241">
        <v>0.26</v>
      </c>
      <c r="J40" s="202">
        <f>IF(AND(H40="",I40=""),"",IF(H40="off",I40,IF(I40="off",H40,AVERAGE(H40:I40))))</f>
        <v>0.30499999999999999</v>
      </c>
      <c r="K40" s="242">
        <v>0</v>
      </c>
      <c r="L40" s="194"/>
      <c r="M40" s="240">
        <v>0.25</v>
      </c>
      <c r="N40" s="241">
        <v>0.25</v>
      </c>
      <c r="O40" s="202">
        <f t="shared" si="7"/>
        <v>0.25</v>
      </c>
      <c r="P40" s="240">
        <v>0.28999999999999998</v>
      </c>
      <c r="Q40" s="241">
        <v>0.25</v>
      </c>
      <c r="R40" s="202">
        <f>IF(AND(P40="",Q40=""),"",IF(P40="off",Q40,IF(Q40="off",P40,AVERAGE(P40:Q40))))</f>
        <v>0.27</v>
      </c>
      <c r="S40" s="240">
        <v>0.28999999999999998</v>
      </c>
      <c r="T40" s="241">
        <v>0.22</v>
      </c>
      <c r="U40" s="202">
        <f>IF(AND(S40="",T40=""),"",IF(S40="off",T40,IF(T40="off",S40,AVERAGE(S40:T40))))</f>
        <v>0.255</v>
      </c>
      <c r="V40" s="240" t="s">
        <v>216</v>
      </c>
      <c r="W40" s="241" t="s">
        <v>216</v>
      </c>
      <c r="X40" s="202" t="str">
        <f>IF(AND(V40="",W40=""),"",IF(V40="off",W40,IF(W40="off",V40,AVERAGE(V40:W40))))</f>
        <v>OFF</v>
      </c>
      <c r="Y40" s="242">
        <v>0</v>
      </c>
    </row>
    <row r="41" spans="1:25" ht="15.75" x14ac:dyDescent="0.25">
      <c r="A41" s="31">
        <f>'M&amp;R Stations'!A34</f>
        <v>38993</v>
      </c>
      <c r="B41" s="240" t="s">
        <v>220</v>
      </c>
      <c r="C41" s="241" t="s">
        <v>220</v>
      </c>
      <c r="D41" s="201" t="s">
        <v>220</v>
      </c>
      <c r="E41" s="240">
        <v>0.35</v>
      </c>
      <c r="F41" s="241">
        <v>0.26</v>
      </c>
      <c r="G41" s="201">
        <f t="shared" ref="G41:G100" si="8">IF(AND(E41="",F41=""),"",IF(E41="off",F41,IF(F41="off",E41,AVERAGE(E41:F41))))</f>
        <v>0.30499999999999999</v>
      </c>
      <c r="H41" s="240">
        <v>0.35</v>
      </c>
      <c r="I41" s="241">
        <v>0.26</v>
      </c>
      <c r="J41" s="202">
        <f t="shared" ref="J41:J100" si="9">IF(AND(H41="",I41=""),"",IF(H41="off",I41,IF(I41="off",H41,AVERAGE(H41:I41))))</f>
        <v>0.30499999999999999</v>
      </c>
      <c r="K41" s="242">
        <v>0</v>
      </c>
      <c r="L41" s="194"/>
      <c r="M41" s="240">
        <v>0.25</v>
      </c>
      <c r="N41" s="241">
        <v>0.25</v>
      </c>
      <c r="O41" s="202">
        <f t="shared" si="7"/>
        <v>0.25</v>
      </c>
      <c r="P41" s="240">
        <v>0.25</v>
      </c>
      <c r="Q41" s="241">
        <v>0.25</v>
      </c>
      <c r="R41" s="202">
        <f t="shared" ref="R41:R100" si="10">IF(AND(P41="",Q41=""),"",IF(P41="off",Q41,IF(Q41="off",P41,AVERAGE(P41:Q41))))</f>
        <v>0.25</v>
      </c>
      <c r="S41" s="240">
        <v>0.25</v>
      </c>
      <c r="T41" s="241">
        <v>0.25</v>
      </c>
      <c r="U41" s="202">
        <f t="shared" ref="U41:U100" si="11">IF(AND(S41="",T41=""),"",IF(S41="off",T41,IF(T41="off",S41,AVERAGE(S41:T41))))</f>
        <v>0.25</v>
      </c>
      <c r="V41" s="240" t="s">
        <v>216</v>
      </c>
      <c r="W41" s="241" t="s">
        <v>216</v>
      </c>
      <c r="X41" s="201" t="str">
        <f t="shared" ref="X41:X51" si="12">IF(AND(V41="",W41=""),"",IF(V41="off",W41,IF(W41="off",V41,AVERAGE(V41:W41))))</f>
        <v>OFF</v>
      </c>
      <c r="Y41" s="242">
        <v>0</v>
      </c>
    </row>
    <row r="42" spans="1:25" ht="15.75" x14ac:dyDescent="0.25">
      <c r="A42" s="31">
        <f>'M&amp;R Stations'!A35</f>
        <v>38994</v>
      </c>
      <c r="B42" s="240" t="s">
        <v>220</v>
      </c>
      <c r="C42" s="241" t="s">
        <v>220</v>
      </c>
      <c r="D42" s="201" t="s">
        <v>220</v>
      </c>
      <c r="E42" s="240">
        <v>0.35</v>
      </c>
      <c r="F42" s="241">
        <v>0.26</v>
      </c>
      <c r="G42" s="201">
        <f t="shared" si="8"/>
        <v>0.30499999999999999</v>
      </c>
      <c r="H42" s="240">
        <v>0.35</v>
      </c>
      <c r="I42" s="241">
        <v>0.26</v>
      </c>
      <c r="J42" s="202">
        <f t="shared" si="9"/>
        <v>0.30499999999999999</v>
      </c>
      <c r="K42" s="242">
        <v>0</v>
      </c>
      <c r="L42" s="194"/>
      <c r="M42" s="240">
        <v>0.25</v>
      </c>
      <c r="N42" s="241">
        <v>0.25</v>
      </c>
      <c r="O42" s="202">
        <f t="shared" si="7"/>
        <v>0.25</v>
      </c>
      <c r="P42" s="240">
        <v>0.25</v>
      </c>
      <c r="Q42" s="241">
        <v>0.25</v>
      </c>
      <c r="R42" s="202">
        <f t="shared" si="10"/>
        <v>0.25</v>
      </c>
      <c r="S42" s="240">
        <v>0.25</v>
      </c>
      <c r="T42" s="241">
        <v>0.25</v>
      </c>
      <c r="U42" s="202">
        <f t="shared" si="11"/>
        <v>0.25</v>
      </c>
      <c r="V42" s="240" t="s">
        <v>216</v>
      </c>
      <c r="W42" s="241" t="s">
        <v>216</v>
      </c>
      <c r="X42" s="202" t="str">
        <f t="shared" si="12"/>
        <v>OFF</v>
      </c>
      <c r="Y42" s="242">
        <v>0</v>
      </c>
    </row>
    <row r="43" spans="1:25" ht="15.75" x14ac:dyDescent="0.25">
      <c r="A43" s="31">
        <f>'M&amp;R Stations'!A36</f>
        <v>38995</v>
      </c>
      <c r="B43" s="240" t="s">
        <v>220</v>
      </c>
      <c r="C43" s="241" t="s">
        <v>220</v>
      </c>
      <c r="D43" s="201" t="s">
        <v>220</v>
      </c>
      <c r="E43" s="240">
        <v>0.35</v>
      </c>
      <c r="F43" s="241">
        <v>0.26</v>
      </c>
      <c r="G43" s="201">
        <f t="shared" si="8"/>
        <v>0.30499999999999999</v>
      </c>
      <c r="H43" s="240">
        <v>0.35</v>
      </c>
      <c r="I43" s="241">
        <v>0.26</v>
      </c>
      <c r="J43" s="202">
        <f t="shared" si="9"/>
        <v>0.30499999999999999</v>
      </c>
      <c r="K43" s="242">
        <v>0</v>
      </c>
      <c r="L43" s="194"/>
      <c r="M43" s="240">
        <v>0.28999999999999998</v>
      </c>
      <c r="N43" s="241">
        <v>0.22</v>
      </c>
      <c r="O43" s="202">
        <f t="shared" si="7"/>
        <v>0.255</v>
      </c>
      <c r="P43" s="240">
        <v>0.28999999999999998</v>
      </c>
      <c r="Q43" s="241">
        <v>0.25</v>
      </c>
      <c r="R43" s="202">
        <f t="shared" si="10"/>
        <v>0.27</v>
      </c>
      <c r="S43" s="240">
        <v>0.28999999999999998</v>
      </c>
      <c r="T43" s="241">
        <v>0.22</v>
      </c>
      <c r="U43" s="202">
        <f t="shared" si="11"/>
        <v>0.255</v>
      </c>
      <c r="V43" s="240" t="s">
        <v>216</v>
      </c>
      <c r="W43" s="241" t="s">
        <v>216</v>
      </c>
      <c r="X43" s="201" t="str">
        <f t="shared" si="12"/>
        <v>OFF</v>
      </c>
      <c r="Y43" s="242">
        <v>0</v>
      </c>
    </row>
    <row r="44" spans="1:25" ht="15.75" x14ac:dyDescent="0.25">
      <c r="A44" s="31">
        <f>'M&amp;R Stations'!A37</f>
        <v>38996</v>
      </c>
      <c r="B44" s="240" t="s">
        <v>220</v>
      </c>
      <c r="C44" s="241" t="s">
        <v>220</v>
      </c>
      <c r="D44" s="201" t="s">
        <v>220</v>
      </c>
      <c r="E44" s="240">
        <v>0.35</v>
      </c>
      <c r="F44" s="241">
        <v>0.26</v>
      </c>
      <c r="G44" s="201">
        <f t="shared" si="8"/>
        <v>0.30499999999999999</v>
      </c>
      <c r="H44" s="240">
        <v>0.35</v>
      </c>
      <c r="I44" s="241">
        <v>0.26</v>
      </c>
      <c r="J44" s="202">
        <f t="shared" si="9"/>
        <v>0.30499999999999999</v>
      </c>
      <c r="K44" s="242">
        <v>0</v>
      </c>
      <c r="L44" s="194"/>
      <c r="M44" s="240">
        <v>0.25</v>
      </c>
      <c r="N44" s="241">
        <v>0.25</v>
      </c>
      <c r="O44" s="202">
        <f t="shared" si="7"/>
        <v>0.25</v>
      </c>
      <c r="P44" s="240">
        <v>0.28999999999999998</v>
      </c>
      <c r="Q44" s="241">
        <v>0.25</v>
      </c>
      <c r="R44" s="202">
        <f t="shared" si="10"/>
        <v>0.27</v>
      </c>
      <c r="S44" s="240">
        <v>0.28999999999999998</v>
      </c>
      <c r="T44" s="241">
        <v>0.25</v>
      </c>
      <c r="U44" s="202">
        <f t="shared" si="11"/>
        <v>0.27</v>
      </c>
      <c r="V44" s="240" t="s">
        <v>216</v>
      </c>
      <c r="W44" s="241" t="s">
        <v>216</v>
      </c>
      <c r="X44" s="202" t="str">
        <f t="shared" si="12"/>
        <v>OFF</v>
      </c>
      <c r="Y44" s="242">
        <v>0</v>
      </c>
    </row>
    <row r="45" spans="1:25" ht="15.75" x14ac:dyDescent="0.25">
      <c r="A45" s="31">
        <f>'M&amp;R Stations'!A38</f>
        <v>38997</v>
      </c>
      <c r="B45" s="240" t="s">
        <v>220</v>
      </c>
      <c r="C45" s="241" t="s">
        <v>220</v>
      </c>
      <c r="D45" s="201" t="s">
        <v>220</v>
      </c>
      <c r="E45" s="240">
        <v>0.35</v>
      </c>
      <c r="F45" s="241">
        <v>0.26</v>
      </c>
      <c r="G45" s="201">
        <f t="shared" si="8"/>
        <v>0.30499999999999999</v>
      </c>
      <c r="H45" s="240">
        <v>0.35</v>
      </c>
      <c r="I45" s="241">
        <v>0.26</v>
      </c>
      <c r="J45" s="202">
        <f t="shared" si="9"/>
        <v>0.30499999999999999</v>
      </c>
      <c r="K45" s="242">
        <v>0</v>
      </c>
      <c r="L45" s="194"/>
      <c r="M45" s="240">
        <v>0.28999999999999998</v>
      </c>
      <c r="N45" s="241">
        <v>0.25</v>
      </c>
      <c r="O45" s="202">
        <f t="shared" si="7"/>
        <v>0.27</v>
      </c>
      <c r="P45" s="240">
        <v>0.28999999999999998</v>
      </c>
      <c r="Q45" s="241">
        <v>0.25</v>
      </c>
      <c r="R45" s="202">
        <f t="shared" si="10"/>
        <v>0.27</v>
      </c>
      <c r="S45" s="240">
        <v>0.25</v>
      </c>
      <c r="T45" s="241">
        <v>0.25</v>
      </c>
      <c r="U45" s="202">
        <f t="shared" si="11"/>
        <v>0.25</v>
      </c>
      <c r="V45" s="240" t="s">
        <v>216</v>
      </c>
      <c r="W45" s="241" t="s">
        <v>216</v>
      </c>
      <c r="X45" s="201" t="str">
        <f t="shared" si="12"/>
        <v>OFF</v>
      </c>
      <c r="Y45" s="242">
        <v>0</v>
      </c>
    </row>
    <row r="46" spans="1:25" ht="15.75" x14ac:dyDescent="0.25">
      <c r="A46" s="31">
        <f>'M&amp;R Stations'!A39</f>
        <v>38998</v>
      </c>
      <c r="B46" s="240" t="s">
        <v>220</v>
      </c>
      <c r="C46" s="241" t="s">
        <v>220</v>
      </c>
      <c r="D46" s="201" t="s">
        <v>220</v>
      </c>
      <c r="E46" s="240">
        <v>0.35</v>
      </c>
      <c r="F46" s="241">
        <v>0.26</v>
      </c>
      <c r="G46" s="201">
        <f t="shared" si="8"/>
        <v>0.30499999999999999</v>
      </c>
      <c r="H46" s="240">
        <v>0.35</v>
      </c>
      <c r="I46" s="241">
        <v>0.26</v>
      </c>
      <c r="J46" s="202">
        <f t="shared" si="9"/>
        <v>0.30499999999999999</v>
      </c>
      <c r="K46" s="242">
        <v>0</v>
      </c>
      <c r="L46" s="194"/>
      <c r="M46" s="240">
        <v>0.28999999999999998</v>
      </c>
      <c r="N46" s="241">
        <v>0.22</v>
      </c>
      <c r="O46" s="202">
        <f t="shared" si="7"/>
        <v>0.255</v>
      </c>
      <c r="P46" s="240">
        <v>0.28999999999999998</v>
      </c>
      <c r="Q46" s="241">
        <v>0.25</v>
      </c>
      <c r="R46" s="202">
        <f t="shared" si="10"/>
        <v>0.27</v>
      </c>
      <c r="S46" s="240">
        <v>0.28999999999999998</v>
      </c>
      <c r="T46" s="241">
        <v>0.25</v>
      </c>
      <c r="U46" s="202">
        <f t="shared" si="11"/>
        <v>0.27</v>
      </c>
      <c r="V46" s="240" t="s">
        <v>216</v>
      </c>
      <c r="W46" s="241" t="s">
        <v>216</v>
      </c>
      <c r="X46" s="202" t="str">
        <f t="shared" si="12"/>
        <v>OFF</v>
      </c>
      <c r="Y46" s="242">
        <v>0</v>
      </c>
    </row>
    <row r="47" spans="1:25" ht="15.75" x14ac:dyDescent="0.25">
      <c r="A47" s="31">
        <f>'M&amp;R Stations'!A40</f>
        <v>38999</v>
      </c>
      <c r="B47" s="240" t="s">
        <v>220</v>
      </c>
      <c r="C47" s="241" t="s">
        <v>220</v>
      </c>
      <c r="D47" s="201" t="s">
        <v>220</v>
      </c>
      <c r="E47" s="240">
        <v>0.35</v>
      </c>
      <c r="F47" s="241">
        <v>0.35</v>
      </c>
      <c r="G47" s="201">
        <f t="shared" si="8"/>
        <v>0.35</v>
      </c>
      <c r="H47" s="240">
        <v>0.35</v>
      </c>
      <c r="I47" s="241">
        <v>0.26</v>
      </c>
      <c r="J47" s="202">
        <f t="shared" si="9"/>
        <v>0.30499999999999999</v>
      </c>
      <c r="K47" s="242">
        <v>0</v>
      </c>
      <c r="L47" s="194"/>
      <c r="M47" s="240">
        <v>0.25</v>
      </c>
      <c r="N47" s="241">
        <v>0.22</v>
      </c>
      <c r="O47" s="202">
        <f t="shared" si="7"/>
        <v>0.23499999999999999</v>
      </c>
      <c r="P47" s="240">
        <v>0.25</v>
      </c>
      <c r="Q47" s="241">
        <v>0.25</v>
      </c>
      <c r="R47" s="202">
        <f t="shared" si="10"/>
        <v>0.25</v>
      </c>
      <c r="S47" s="240">
        <v>0.25</v>
      </c>
      <c r="T47" s="241">
        <v>0.25</v>
      </c>
      <c r="U47" s="202">
        <f t="shared" si="11"/>
        <v>0.25</v>
      </c>
      <c r="V47" s="240" t="s">
        <v>216</v>
      </c>
      <c r="W47" s="241" t="s">
        <v>216</v>
      </c>
      <c r="X47" s="201" t="str">
        <f t="shared" si="12"/>
        <v>OFF</v>
      </c>
      <c r="Y47" s="242">
        <v>0</v>
      </c>
    </row>
    <row r="48" spans="1:25" ht="15.75" x14ac:dyDescent="0.25">
      <c r="A48" s="31">
        <f>'M&amp;R Stations'!A41</f>
        <v>39000</v>
      </c>
      <c r="B48" s="240" t="s">
        <v>220</v>
      </c>
      <c r="C48" s="241" t="s">
        <v>220</v>
      </c>
      <c r="D48" s="201" t="s">
        <v>220</v>
      </c>
      <c r="E48" s="240">
        <v>0.35</v>
      </c>
      <c r="F48" s="241">
        <v>0.26</v>
      </c>
      <c r="G48" s="201">
        <f t="shared" si="8"/>
        <v>0.30499999999999999</v>
      </c>
      <c r="H48" s="240">
        <v>0.35</v>
      </c>
      <c r="I48" s="241">
        <v>0.26</v>
      </c>
      <c r="J48" s="202">
        <f t="shared" si="9"/>
        <v>0.30499999999999999</v>
      </c>
      <c r="K48" s="242">
        <v>0</v>
      </c>
      <c r="L48" s="194"/>
      <c r="M48" s="240">
        <v>0.25</v>
      </c>
      <c r="N48" s="241">
        <v>0.22</v>
      </c>
      <c r="O48" s="202">
        <f t="shared" si="7"/>
        <v>0.23499999999999999</v>
      </c>
      <c r="P48" s="240">
        <v>0.25</v>
      </c>
      <c r="Q48" s="241">
        <v>0.25</v>
      </c>
      <c r="R48" s="202">
        <f t="shared" si="10"/>
        <v>0.25</v>
      </c>
      <c r="S48" s="240">
        <v>0.25</v>
      </c>
      <c r="T48" s="241">
        <v>0.25</v>
      </c>
      <c r="U48" s="202">
        <f t="shared" si="11"/>
        <v>0.25</v>
      </c>
      <c r="V48" s="240" t="s">
        <v>216</v>
      </c>
      <c r="W48" s="241" t="s">
        <v>216</v>
      </c>
      <c r="X48" s="202" t="str">
        <f t="shared" si="12"/>
        <v>OFF</v>
      </c>
      <c r="Y48" s="242">
        <v>0</v>
      </c>
    </row>
    <row r="49" spans="1:25" ht="15.75" x14ac:dyDescent="0.25">
      <c r="A49" s="31">
        <f>'M&amp;R Stations'!A42</f>
        <v>39001</v>
      </c>
      <c r="B49" s="240" t="s">
        <v>220</v>
      </c>
      <c r="C49" s="241" t="s">
        <v>220</v>
      </c>
      <c r="D49" s="201" t="s">
        <v>220</v>
      </c>
      <c r="E49" s="240">
        <v>0.35</v>
      </c>
      <c r="F49" s="241">
        <v>0.26</v>
      </c>
      <c r="G49" s="201">
        <f t="shared" si="8"/>
        <v>0.30499999999999999</v>
      </c>
      <c r="H49" s="240">
        <v>0.35</v>
      </c>
      <c r="I49" s="241">
        <v>0.26</v>
      </c>
      <c r="J49" s="202">
        <f t="shared" si="9"/>
        <v>0.30499999999999999</v>
      </c>
      <c r="K49" s="242">
        <v>0</v>
      </c>
      <c r="L49" s="194"/>
      <c r="M49" s="240">
        <v>0.25</v>
      </c>
      <c r="N49" s="241">
        <v>0.25</v>
      </c>
      <c r="O49" s="202">
        <f t="shared" si="7"/>
        <v>0.25</v>
      </c>
      <c r="P49" s="240">
        <v>0.25</v>
      </c>
      <c r="Q49" s="241">
        <v>0.25</v>
      </c>
      <c r="R49" s="202">
        <f t="shared" si="10"/>
        <v>0.25</v>
      </c>
      <c r="S49" s="240">
        <v>0.25</v>
      </c>
      <c r="T49" s="241">
        <v>0.25</v>
      </c>
      <c r="U49" s="202">
        <f t="shared" si="11"/>
        <v>0.25</v>
      </c>
      <c r="V49" s="240" t="s">
        <v>216</v>
      </c>
      <c r="W49" s="241" t="s">
        <v>216</v>
      </c>
      <c r="X49" s="201" t="str">
        <f t="shared" si="12"/>
        <v>OFF</v>
      </c>
      <c r="Y49" s="242">
        <v>0</v>
      </c>
    </row>
    <row r="50" spans="1:25" ht="15.75" x14ac:dyDescent="0.25">
      <c r="A50" s="31">
        <f>'M&amp;R Stations'!A43</f>
        <v>39002</v>
      </c>
      <c r="B50" s="240" t="s">
        <v>220</v>
      </c>
      <c r="C50" s="241" t="s">
        <v>220</v>
      </c>
      <c r="D50" s="201" t="s">
        <v>220</v>
      </c>
      <c r="E50" s="240">
        <v>0.35</v>
      </c>
      <c r="F50" s="241">
        <v>0.26</v>
      </c>
      <c r="G50" s="201">
        <f t="shared" si="8"/>
        <v>0.30499999999999999</v>
      </c>
      <c r="H50" s="240">
        <v>0.35</v>
      </c>
      <c r="I50" s="241">
        <v>0.26</v>
      </c>
      <c r="J50" s="202">
        <f t="shared" si="9"/>
        <v>0.30499999999999999</v>
      </c>
      <c r="K50" s="242">
        <v>0</v>
      </c>
      <c r="L50" s="194"/>
      <c r="M50" s="240">
        <v>0.25</v>
      </c>
      <c r="N50" s="241">
        <v>0.22</v>
      </c>
      <c r="O50" s="202">
        <f t="shared" si="7"/>
        <v>0.23499999999999999</v>
      </c>
      <c r="P50" s="240">
        <v>0.25</v>
      </c>
      <c r="Q50" s="241">
        <v>0.25</v>
      </c>
      <c r="R50" s="202">
        <f t="shared" si="10"/>
        <v>0.25</v>
      </c>
      <c r="S50" s="240">
        <v>0.25</v>
      </c>
      <c r="T50" s="241">
        <v>0.25</v>
      </c>
      <c r="U50" s="202">
        <f t="shared" si="11"/>
        <v>0.25</v>
      </c>
      <c r="V50" s="240" t="s">
        <v>216</v>
      </c>
      <c r="W50" s="241" t="s">
        <v>216</v>
      </c>
      <c r="X50" s="202" t="str">
        <f t="shared" si="12"/>
        <v>OFF</v>
      </c>
      <c r="Y50" s="242">
        <v>0</v>
      </c>
    </row>
    <row r="51" spans="1:25" ht="15.75" x14ac:dyDescent="0.25">
      <c r="A51" s="31">
        <f>'M&amp;R Stations'!A44</f>
        <v>39003</v>
      </c>
      <c r="B51" s="240" t="s">
        <v>220</v>
      </c>
      <c r="C51" s="241" t="s">
        <v>220</v>
      </c>
      <c r="D51" s="201" t="s">
        <v>220</v>
      </c>
      <c r="E51" s="240">
        <v>0.35</v>
      </c>
      <c r="F51" s="241">
        <v>0.26</v>
      </c>
      <c r="G51" s="201">
        <f t="shared" si="8"/>
        <v>0.30499999999999999</v>
      </c>
      <c r="H51" s="240">
        <v>0.35</v>
      </c>
      <c r="I51" s="241">
        <v>0.26</v>
      </c>
      <c r="J51" s="202">
        <f t="shared" si="9"/>
        <v>0.30499999999999999</v>
      </c>
      <c r="K51" s="242">
        <v>0</v>
      </c>
      <c r="L51" s="194"/>
      <c r="M51" s="240">
        <v>0.25</v>
      </c>
      <c r="N51" s="241">
        <v>0.22</v>
      </c>
      <c r="O51" s="202">
        <f t="shared" si="7"/>
        <v>0.23499999999999999</v>
      </c>
      <c r="P51" s="240">
        <v>0.25</v>
      </c>
      <c r="Q51" s="241">
        <v>0.25</v>
      </c>
      <c r="R51" s="202">
        <f t="shared" si="10"/>
        <v>0.25</v>
      </c>
      <c r="S51" s="240">
        <v>0.25</v>
      </c>
      <c r="T51" s="241">
        <v>0.25</v>
      </c>
      <c r="U51" s="202">
        <f t="shared" si="11"/>
        <v>0.25</v>
      </c>
      <c r="V51" s="240" t="s">
        <v>216</v>
      </c>
      <c r="W51" s="241" t="s">
        <v>216</v>
      </c>
      <c r="X51" s="201" t="str">
        <f t="shared" si="12"/>
        <v>OFF</v>
      </c>
      <c r="Y51" s="242">
        <v>0</v>
      </c>
    </row>
    <row r="52" spans="1:25" ht="15.75" x14ac:dyDescent="0.25">
      <c r="A52" s="31">
        <f>'M&amp;R Stations'!A45</f>
        <v>39004</v>
      </c>
      <c r="B52" s="240" t="s">
        <v>220</v>
      </c>
      <c r="C52" s="241" t="s">
        <v>220</v>
      </c>
      <c r="D52" s="201" t="s">
        <v>220</v>
      </c>
      <c r="E52" s="240">
        <v>0.35</v>
      </c>
      <c r="F52" s="241">
        <v>0.26</v>
      </c>
      <c r="G52" s="201">
        <f t="shared" si="8"/>
        <v>0.30499999999999999</v>
      </c>
      <c r="H52" s="240">
        <v>0.35</v>
      </c>
      <c r="I52" s="241">
        <v>0.26</v>
      </c>
      <c r="J52" s="202">
        <f t="shared" si="9"/>
        <v>0.30499999999999999</v>
      </c>
      <c r="K52" s="242">
        <v>0</v>
      </c>
      <c r="L52" s="194"/>
      <c r="M52" s="240">
        <v>0.25</v>
      </c>
      <c r="N52" s="241">
        <v>0.22</v>
      </c>
      <c r="O52" s="202">
        <f t="shared" si="7"/>
        <v>0.23499999999999999</v>
      </c>
      <c r="P52" s="240">
        <v>0.25</v>
      </c>
      <c r="Q52" s="241">
        <v>0.25</v>
      </c>
      <c r="R52" s="202">
        <f t="shared" si="10"/>
        <v>0.25</v>
      </c>
      <c r="S52" s="240">
        <v>0.25</v>
      </c>
      <c r="T52" s="241">
        <v>0.25</v>
      </c>
      <c r="U52" s="202">
        <f t="shared" si="11"/>
        <v>0.25</v>
      </c>
      <c r="V52" s="240" t="s">
        <v>216</v>
      </c>
      <c r="W52" s="241" t="s">
        <v>216</v>
      </c>
      <c r="X52" s="202" t="str">
        <f t="shared" ref="X52:X100" si="13">IF(AND(V52="",W52=""),"",IF(V52="off",W52,IF(W52="off",V52,AVERAGE(V52:W52))))</f>
        <v>OFF</v>
      </c>
      <c r="Y52" s="242">
        <v>0</v>
      </c>
    </row>
    <row r="53" spans="1:25" ht="15.75" x14ac:dyDescent="0.25">
      <c r="A53" s="31">
        <f>'M&amp;R Stations'!A46</f>
        <v>39005</v>
      </c>
      <c r="B53" s="240" t="s">
        <v>220</v>
      </c>
      <c r="C53" s="241" t="s">
        <v>220</v>
      </c>
      <c r="D53" s="201" t="s">
        <v>220</v>
      </c>
      <c r="E53" s="240">
        <v>0.35</v>
      </c>
      <c r="F53" s="241">
        <v>0.35</v>
      </c>
      <c r="G53" s="201">
        <f t="shared" si="8"/>
        <v>0.35</v>
      </c>
      <c r="H53" s="240">
        <v>0.35</v>
      </c>
      <c r="I53" s="241">
        <v>0.35</v>
      </c>
      <c r="J53" s="202">
        <f t="shared" si="9"/>
        <v>0.35</v>
      </c>
      <c r="K53" s="242">
        <v>0</v>
      </c>
      <c r="L53" s="194"/>
      <c r="M53" s="240">
        <v>0.25</v>
      </c>
      <c r="N53" s="241">
        <v>0.25</v>
      </c>
      <c r="O53" s="202">
        <f t="shared" si="7"/>
        <v>0.25</v>
      </c>
      <c r="P53" s="240">
        <v>0.28999999999999998</v>
      </c>
      <c r="Q53" s="241">
        <v>0.25</v>
      </c>
      <c r="R53" s="202">
        <f t="shared" si="10"/>
        <v>0.27</v>
      </c>
      <c r="S53" s="240">
        <v>0.28999999999999998</v>
      </c>
      <c r="T53" s="241">
        <v>0.25</v>
      </c>
      <c r="U53" s="202">
        <f t="shared" si="11"/>
        <v>0.27</v>
      </c>
      <c r="V53" s="240" t="s">
        <v>216</v>
      </c>
      <c r="W53" s="241" t="s">
        <v>216</v>
      </c>
      <c r="X53" s="202" t="str">
        <f t="shared" si="13"/>
        <v>OFF</v>
      </c>
      <c r="Y53" s="242">
        <v>0</v>
      </c>
    </row>
    <row r="54" spans="1:25" ht="15.75" x14ac:dyDescent="0.25">
      <c r="A54" s="31">
        <f>'M&amp;R Stations'!A47</f>
        <v>39006</v>
      </c>
      <c r="B54" s="240" t="s">
        <v>220</v>
      </c>
      <c r="C54" s="241" t="s">
        <v>220</v>
      </c>
      <c r="D54" s="201" t="s">
        <v>220</v>
      </c>
      <c r="E54" s="240">
        <v>0.35</v>
      </c>
      <c r="F54" s="241">
        <v>0.35</v>
      </c>
      <c r="G54" s="201">
        <f t="shared" si="8"/>
        <v>0.35</v>
      </c>
      <c r="H54" s="240">
        <v>0.35</v>
      </c>
      <c r="I54" s="241">
        <v>0.26</v>
      </c>
      <c r="J54" s="202">
        <f t="shared" si="9"/>
        <v>0.30499999999999999</v>
      </c>
      <c r="K54" s="242">
        <v>0</v>
      </c>
      <c r="L54" s="194"/>
      <c r="M54" s="240">
        <v>0.25</v>
      </c>
      <c r="N54" s="241">
        <v>0.25</v>
      </c>
      <c r="O54" s="202">
        <f t="shared" si="7"/>
        <v>0.25</v>
      </c>
      <c r="P54" s="240">
        <v>0.28999999999999998</v>
      </c>
      <c r="Q54" s="241">
        <v>0.25</v>
      </c>
      <c r="R54" s="202">
        <f t="shared" si="10"/>
        <v>0.27</v>
      </c>
      <c r="S54" s="240">
        <v>0.28999999999999998</v>
      </c>
      <c r="T54" s="241">
        <v>0.25</v>
      </c>
      <c r="U54" s="202">
        <f t="shared" si="11"/>
        <v>0.27</v>
      </c>
      <c r="V54" s="240" t="s">
        <v>216</v>
      </c>
      <c r="W54" s="241" t="s">
        <v>216</v>
      </c>
      <c r="X54" s="202" t="str">
        <f t="shared" si="13"/>
        <v>OFF</v>
      </c>
      <c r="Y54" s="242">
        <v>0</v>
      </c>
    </row>
    <row r="55" spans="1:25" ht="15.75" x14ac:dyDescent="0.25">
      <c r="A55" s="31">
        <f>'M&amp;R Stations'!A48</f>
        <v>39007</v>
      </c>
      <c r="B55" s="240" t="s">
        <v>220</v>
      </c>
      <c r="C55" s="241" t="s">
        <v>220</v>
      </c>
      <c r="D55" s="201" t="s">
        <v>220</v>
      </c>
      <c r="E55" s="240">
        <v>0.35</v>
      </c>
      <c r="F55" s="241">
        <v>0.26</v>
      </c>
      <c r="G55" s="201">
        <f t="shared" si="8"/>
        <v>0.30499999999999999</v>
      </c>
      <c r="H55" s="240">
        <v>0.35</v>
      </c>
      <c r="I55" s="241">
        <v>0.26</v>
      </c>
      <c r="J55" s="202">
        <f t="shared" si="9"/>
        <v>0.30499999999999999</v>
      </c>
      <c r="K55" s="242">
        <v>0</v>
      </c>
      <c r="L55" s="194"/>
      <c r="M55" s="240">
        <v>0.25</v>
      </c>
      <c r="N55" s="241">
        <v>0.25</v>
      </c>
      <c r="O55" s="202">
        <f t="shared" si="7"/>
        <v>0.25</v>
      </c>
      <c r="P55" s="240">
        <v>0.28999999999999998</v>
      </c>
      <c r="Q55" s="241">
        <v>0.25</v>
      </c>
      <c r="R55" s="202">
        <f t="shared" si="10"/>
        <v>0.27</v>
      </c>
      <c r="S55" s="240">
        <v>0.28999999999999998</v>
      </c>
      <c r="T55" s="241">
        <v>0.25</v>
      </c>
      <c r="U55" s="202">
        <f t="shared" si="11"/>
        <v>0.27</v>
      </c>
      <c r="V55" s="240" t="s">
        <v>216</v>
      </c>
      <c r="W55" s="241" t="s">
        <v>216</v>
      </c>
      <c r="X55" s="202" t="str">
        <f t="shared" ref="X55:X62" si="14">IF(AND(V55="",W55=""),"",IF(V55="off",W55,IF(W55="off",V55,AVERAGE(V55:W55))))</f>
        <v>OFF</v>
      </c>
      <c r="Y55" s="242">
        <v>0</v>
      </c>
    </row>
    <row r="56" spans="1:25" ht="15.75" x14ac:dyDescent="0.25">
      <c r="A56" s="31">
        <f>'M&amp;R Stations'!A49</f>
        <v>39008</v>
      </c>
      <c r="B56" s="240" t="s">
        <v>220</v>
      </c>
      <c r="C56" s="241" t="s">
        <v>220</v>
      </c>
      <c r="D56" s="201" t="s">
        <v>220</v>
      </c>
      <c r="E56" s="240">
        <v>0.35</v>
      </c>
      <c r="F56" s="241">
        <v>0.26</v>
      </c>
      <c r="G56" s="201">
        <f t="shared" si="8"/>
        <v>0.30499999999999999</v>
      </c>
      <c r="H56" s="240">
        <v>0.35</v>
      </c>
      <c r="I56" s="241">
        <v>0.26</v>
      </c>
      <c r="J56" s="202">
        <f t="shared" si="9"/>
        <v>0.30499999999999999</v>
      </c>
      <c r="K56" s="242">
        <v>0</v>
      </c>
      <c r="L56" s="194"/>
      <c r="M56" s="240">
        <v>0.25</v>
      </c>
      <c r="N56" s="241">
        <v>0.25</v>
      </c>
      <c r="O56" s="202">
        <f t="shared" si="7"/>
        <v>0.25</v>
      </c>
      <c r="P56" s="240">
        <v>0.25</v>
      </c>
      <c r="Q56" s="241">
        <v>0.25</v>
      </c>
      <c r="R56" s="202">
        <f t="shared" si="10"/>
        <v>0.25</v>
      </c>
      <c r="S56" s="240">
        <v>0.25</v>
      </c>
      <c r="T56" s="241">
        <v>0.25</v>
      </c>
      <c r="U56" s="202">
        <f t="shared" si="11"/>
        <v>0.25</v>
      </c>
      <c r="V56" s="240" t="s">
        <v>216</v>
      </c>
      <c r="W56" s="241" t="s">
        <v>216</v>
      </c>
      <c r="X56" s="202" t="str">
        <f t="shared" si="14"/>
        <v>OFF</v>
      </c>
      <c r="Y56" s="242">
        <v>0</v>
      </c>
    </row>
    <row r="57" spans="1:25" ht="15.75" x14ac:dyDescent="0.25">
      <c r="A57" s="31">
        <f>'M&amp;R Stations'!A50</f>
        <v>39009</v>
      </c>
      <c r="B57" s="240" t="s">
        <v>220</v>
      </c>
      <c r="C57" s="241" t="s">
        <v>220</v>
      </c>
      <c r="D57" s="201" t="s">
        <v>220</v>
      </c>
      <c r="E57" s="240">
        <v>0.35</v>
      </c>
      <c r="F57" s="241">
        <v>0.26</v>
      </c>
      <c r="G57" s="201">
        <f t="shared" si="8"/>
        <v>0.30499999999999999</v>
      </c>
      <c r="H57" s="240">
        <v>0.35</v>
      </c>
      <c r="I57" s="241">
        <v>0.26</v>
      </c>
      <c r="J57" s="202">
        <f t="shared" si="9"/>
        <v>0.30499999999999999</v>
      </c>
      <c r="K57" s="242">
        <v>0</v>
      </c>
      <c r="L57" s="194"/>
      <c r="M57" s="240">
        <v>0.28999999999999998</v>
      </c>
      <c r="N57" s="241">
        <v>0.25</v>
      </c>
      <c r="O57" s="202">
        <f t="shared" si="7"/>
        <v>0.27</v>
      </c>
      <c r="P57" s="240">
        <v>0.28999999999999998</v>
      </c>
      <c r="Q57" s="241">
        <v>0.25</v>
      </c>
      <c r="R57" s="202">
        <f t="shared" si="10"/>
        <v>0.27</v>
      </c>
      <c r="S57" s="240">
        <v>0.28999999999999998</v>
      </c>
      <c r="T57" s="241">
        <v>0.25</v>
      </c>
      <c r="U57" s="202">
        <f t="shared" si="11"/>
        <v>0.27</v>
      </c>
      <c r="V57" s="240" t="s">
        <v>216</v>
      </c>
      <c r="W57" s="241" t="s">
        <v>216</v>
      </c>
      <c r="X57" s="202" t="str">
        <f t="shared" si="14"/>
        <v>OFF</v>
      </c>
      <c r="Y57" s="242">
        <v>0</v>
      </c>
    </row>
    <row r="58" spans="1:25" ht="15.75" x14ac:dyDescent="0.25">
      <c r="A58" s="31">
        <f>'M&amp;R Stations'!A51</f>
        <v>39010</v>
      </c>
      <c r="B58" s="240" t="s">
        <v>220</v>
      </c>
      <c r="C58" s="241" t="s">
        <v>220</v>
      </c>
      <c r="D58" s="201" t="s">
        <v>220</v>
      </c>
      <c r="E58" s="240">
        <v>0.35</v>
      </c>
      <c r="F58" s="241">
        <v>0.35</v>
      </c>
      <c r="G58" s="201">
        <f t="shared" si="8"/>
        <v>0.35</v>
      </c>
      <c r="H58" s="240">
        <v>0.35</v>
      </c>
      <c r="I58" s="241">
        <v>0.35</v>
      </c>
      <c r="J58" s="202">
        <f t="shared" si="9"/>
        <v>0.35</v>
      </c>
      <c r="K58" s="242">
        <v>0</v>
      </c>
      <c r="L58" s="194"/>
      <c r="M58" s="240">
        <v>0.25</v>
      </c>
      <c r="N58" s="241">
        <v>0.22</v>
      </c>
      <c r="O58" s="202">
        <f t="shared" si="7"/>
        <v>0.23499999999999999</v>
      </c>
      <c r="P58" s="240">
        <v>0.25</v>
      </c>
      <c r="Q58" s="241">
        <v>0.25</v>
      </c>
      <c r="R58" s="202">
        <f t="shared" si="10"/>
        <v>0.25</v>
      </c>
      <c r="S58" s="240">
        <v>0.25</v>
      </c>
      <c r="T58" s="241">
        <v>0.25</v>
      </c>
      <c r="U58" s="202">
        <f t="shared" si="11"/>
        <v>0.25</v>
      </c>
      <c r="V58" s="240" t="s">
        <v>216</v>
      </c>
      <c r="W58" s="241" t="s">
        <v>216</v>
      </c>
      <c r="X58" s="202" t="str">
        <f t="shared" si="14"/>
        <v>OFF</v>
      </c>
      <c r="Y58" s="242">
        <v>0</v>
      </c>
    </row>
    <row r="59" spans="1:25" ht="15.75" x14ac:dyDescent="0.25">
      <c r="A59" s="31">
        <f>'M&amp;R Stations'!A52</f>
        <v>39011</v>
      </c>
      <c r="B59" s="240" t="s">
        <v>220</v>
      </c>
      <c r="C59" s="241" t="s">
        <v>220</v>
      </c>
      <c r="D59" s="201" t="s">
        <v>220</v>
      </c>
      <c r="E59" s="240">
        <v>0.35</v>
      </c>
      <c r="F59" s="241">
        <v>0.3</v>
      </c>
      <c r="G59" s="201">
        <f t="shared" si="8"/>
        <v>0.32499999999999996</v>
      </c>
      <c r="H59" s="240">
        <v>0.35</v>
      </c>
      <c r="I59" s="241">
        <v>0.3</v>
      </c>
      <c r="J59" s="202">
        <f t="shared" si="9"/>
        <v>0.32499999999999996</v>
      </c>
      <c r="K59" s="242">
        <v>0</v>
      </c>
      <c r="L59" s="194"/>
      <c r="M59" s="240">
        <v>0.25</v>
      </c>
      <c r="N59" s="241">
        <v>0.22</v>
      </c>
      <c r="O59" s="202">
        <f t="shared" si="7"/>
        <v>0.23499999999999999</v>
      </c>
      <c r="P59" s="240">
        <v>0.25</v>
      </c>
      <c r="Q59" s="241">
        <v>0.25</v>
      </c>
      <c r="R59" s="202">
        <f t="shared" si="10"/>
        <v>0.25</v>
      </c>
      <c r="S59" s="240">
        <v>0.25</v>
      </c>
      <c r="T59" s="241">
        <v>0.25</v>
      </c>
      <c r="U59" s="202">
        <f t="shared" si="11"/>
        <v>0.25</v>
      </c>
      <c r="V59" s="240" t="s">
        <v>216</v>
      </c>
      <c r="W59" s="241" t="s">
        <v>216</v>
      </c>
      <c r="X59" s="202" t="str">
        <f t="shared" si="14"/>
        <v>OFF</v>
      </c>
      <c r="Y59" s="242">
        <v>0</v>
      </c>
    </row>
    <row r="60" spans="1:25" ht="15.75" x14ac:dyDescent="0.25">
      <c r="A60" s="31">
        <f>'M&amp;R Stations'!A53</f>
        <v>39012</v>
      </c>
      <c r="B60" s="240" t="s">
        <v>220</v>
      </c>
      <c r="C60" s="241" t="s">
        <v>220</v>
      </c>
      <c r="D60" s="201" t="s">
        <v>220</v>
      </c>
      <c r="E60" s="240">
        <v>0.35</v>
      </c>
      <c r="F60" s="241">
        <v>0.26</v>
      </c>
      <c r="G60" s="201">
        <f t="shared" si="8"/>
        <v>0.30499999999999999</v>
      </c>
      <c r="H60" s="240">
        <v>0.35</v>
      </c>
      <c r="I60" s="241">
        <v>0.26</v>
      </c>
      <c r="J60" s="202">
        <f t="shared" si="9"/>
        <v>0.30499999999999999</v>
      </c>
      <c r="K60" s="242">
        <v>0</v>
      </c>
      <c r="L60" s="194"/>
      <c r="M60" s="240">
        <v>0.28999999999999998</v>
      </c>
      <c r="N60" s="241">
        <v>0.25</v>
      </c>
      <c r="O60" s="202">
        <f t="shared" si="7"/>
        <v>0.27</v>
      </c>
      <c r="P60" s="240">
        <v>0.28999999999999998</v>
      </c>
      <c r="Q60" s="241">
        <v>0.25</v>
      </c>
      <c r="R60" s="202">
        <f t="shared" si="10"/>
        <v>0.27</v>
      </c>
      <c r="S60" s="240">
        <v>0.28999999999999998</v>
      </c>
      <c r="T60" s="241">
        <v>0.25</v>
      </c>
      <c r="U60" s="202">
        <f t="shared" si="11"/>
        <v>0.27</v>
      </c>
      <c r="V60" s="240" t="s">
        <v>216</v>
      </c>
      <c r="W60" s="241" t="s">
        <v>216</v>
      </c>
      <c r="X60" s="202" t="str">
        <f t="shared" si="14"/>
        <v>OFF</v>
      </c>
      <c r="Y60" s="242">
        <v>0</v>
      </c>
    </row>
    <row r="61" spans="1:25" ht="15.75" x14ac:dyDescent="0.25">
      <c r="A61" s="31">
        <f>'M&amp;R Stations'!A54</f>
        <v>39013</v>
      </c>
      <c r="B61" s="240" t="s">
        <v>220</v>
      </c>
      <c r="C61" s="241" t="s">
        <v>220</v>
      </c>
      <c r="D61" s="201" t="s">
        <v>220</v>
      </c>
      <c r="E61" s="240">
        <v>0.35</v>
      </c>
      <c r="F61" s="241">
        <v>0.3</v>
      </c>
      <c r="G61" s="201">
        <f t="shared" si="8"/>
        <v>0.32499999999999996</v>
      </c>
      <c r="H61" s="240">
        <v>0.35</v>
      </c>
      <c r="I61" s="241">
        <v>0.26</v>
      </c>
      <c r="J61" s="202">
        <f t="shared" si="9"/>
        <v>0.30499999999999999</v>
      </c>
      <c r="K61" s="242">
        <v>0</v>
      </c>
      <c r="L61" s="194"/>
      <c r="M61" s="240">
        <v>0.25</v>
      </c>
      <c r="N61" s="241">
        <v>0.25</v>
      </c>
      <c r="O61" s="202">
        <f t="shared" si="7"/>
        <v>0.25</v>
      </c>
      <c r="P61" s="240">
        <v>0.25</v>
      </c>
      <c r="Q61" s="241">
        <v>0.25</v>
      </c>
      <c r="R61" s="202">
        <f t="shared" si="10"/>
        <v>0.25</v>
      </c>
      <c r="S61" s="240">
        <v>0.28999999999999998</v>
      </c>
      <c r="T61" s="241">
        <v>0.25</v>
      </c>
      <c r="U61" s="202">
        <f t="shared" si="11"/>
        <v>0.27</v>
      </c>
      <c r="V61" s="240" t="s">
        <v>216</v>
      </c>
      <c r="W61" s="241" t="s">
        <v>216</v>
      </c>
      <c r="X61" s="202" t="str">
        <f t="shared" si="14"/>
        <v>OFF</v>
      </c>
      <c r="Y61" s="242">
        <v>0</v>
      </c>
    </row>
    <row r="62" spans="1:25" ht="15.75" x14ac:dyDescent="0.25">
      <c r="A62" s="31">
        <f>'M&amp;R Stations'!A55</f>
        <v>39014</v>
      </c>
      <c r="B62" s="240">
        <v>0.35</v>
      </c>
      <c r="C62" s="241">
        <v>0.35</v>
      </c>
      <c r="D62" s="201">
        <f t="shared" ref="D62:D68" si="15">IF(AND(B62="",C62=""),"",IF(B62="off",C62,IF(C62="off",B62,AVERAGE(B62:C62))))</f>
        <v>0.35</v>
      </c>
      <c r="E62" s="240">
        <v>0.35</v>
      </c>
      <c r="F62" s="241">
        <v>0.26</v>
      </c>
      <c r="G62" s="201">
        <f t="shared" si="8"/>
        <v>0.30499999999999999</v>
      </c>
      <c r="H62" s="240">
        <v>0.35</v>
      </c>
      <c r="I62" s="241">
        <v>0.26</v>
      </c>
      <c r="J62" s="202">
        <f t="shared" si="9"/>
        <v>0.30499999999999999</v>
      </c>
      <c r="K62" s="242">
        <v>0</v>
      </c>
      <c r="L62" s="194"/>
      <c r="M62" s="240">
        <v>0.28999999999999998</v>
      </c>
      <c r="N62" s="241">
        <v>0.25</v>
      </c>
      <c r="O62" s="202">
        <f t="shared" si="7"/>
        <v>0.27</v>
      </c>
      <c r="P62" s="240">
        <v>0.28999999999999998</v>
      </c>
      <c r="Q62" s="241">
        <v>0.25</v>
      </c>
      <c r="R62" s="202">
        <f t="shared" si="10"/>
        <v>0.27</v>
      </c>
      <c r="S62" s="240">
        <v>0.28999999999999998</v>
      </c>
      <c r="T62" s="241">
        <v>0.25</v>
      </c>
      <c r="U62" s="202">
        <f t="shared" si="11"/>
        <v>0.27</v>
      </c>
      <c r="V62" s="240" t="s">
        <v>216</v>
      </c>
      <c r="W62" s="241" t="s">
        <v>216</v>
      </c>
      <c r="X62" s="202" t="str">
        <f t="shared" si="14"/>
        <v>OFF</v>
      </c>
      <c r="Y62" s="242">
        <v>0</v>
      </c>
    </row>
    <row r="63" spans="1:25" ht="15.75" x14ac:dyDescent="0.25">
      <c r="A63" s="31">
        <f>'M&amp;R Stations'!A56</f>
        <v>39015</v>
      </c>
      <c r="B63" s="240">
        <v>0.35</v>
      </c>
      <c r="C63" s="241">
        <v>0.35</v>
      </c>
      <c r="D63" s="201">
        <f t="shared" si="15"/>
        <v>0.35</v>
      </c>
      <c r="E63" s="240">
        <v>0.35</v>
      </c>
      <c r="F63" s="241">
        <v>0.35</v>
      </c>
      <c r="G63" s="201">
        <f t="shared" si="8"/>
        <v>0.35</v>
      </c>
      <c r="H63" s="240">
        <v>0.35</v>
      </c>
      <c r="I63" s="241">
        <v>0.35</v>
      </c>
      <c r="J63" s="202">
        <f t="shared" si="9"/>
        <v>0.35</v>
      </c>
      <c r="K63" s="242">
        <v>0</v>
      </c>
      <c r="L63" s="194"/>
      <c r="M63" s="240">
        <v>0.28999999999999998</v>
      </c>
      <c r="N63" s="241">
        <v>0.25</v>
      </c>
      <c r="O63" s="202">
        <f t="shared" si="7"/>
        <v>0.27</v>
      </c>
      <c r="P63" s="240">
        <v>0.28999999999999998</v>
      </c>
      <c r="Q63" s="241">
        <v>0.25</v>
      </c>
      <c r="R63" s="202">
        <f t="shared" si="10"/>
        <v>0.27</v>
      </c>
      <c r="S63" s="240">
        <v>0.28999999999999998</v>
      </c>
      <c r="T63" s="241">
        <v>0.25</v>
      </c>
      <c r="U63" s="202">
        <f t="shared" si="11"/>
        <v>0.27</v>
      </c>
      <c r="V63" s="240" t="s">
        <v>216</v>
      </c>
      <c r="W63" s="241" t="s">
        <v>216</v>
      </c>
      <c r="X63" s="202" t="str">
        <f t="shared" si="13"/>
        <v>OFF</v>
      </c>
      <c r="Y63" s="242">
        <v>0</v>
      </c>
    </row>
    <row r="64" spans="1:25" ht="15.75" x14ac:dyDescent="0.25">
      <c r="A64" s="31">
        <f>'M&amp;R Stations'!A57</f>
        <v>39016</v>
      </c>
      <c r="B64" s="240">
        <v>0.35</v>
      </c>
      <c r="C64" s="241">
        <v>0.26</v>
      </c>
      <c r="D64" s="201">
        <f t="shared" si="15"/>
        <v>0.30499999999999999</v>
      </c>
      <c r="E64" s="240">
        <v>0.35</v>
      </c>
      <c r="F64" s="241">
        <v>0.26</v>
      </c>
      <c r="G64" s="201">
        <f t="shared" si="8"/>
        <v>0.30499999999999999</v>
      </c>
      <c r="H64" s="240">
        <v>0.35</v>
      </c>
      <c r="I64" s="241">
        <v>0.26</v>
      </c>
      <c r="J64" s="202">
        <f t="shared" si="9"/>
        <v>0.30499999999999999</v>
      </c>
      <c r="K64" s="242">
        <v>0</v>
      </c>
      <c r="L64" s="194"/>
      <c r="M64" s="240">
        <v>0.25</v>
      </c>
      <c r="N64" s="241">
        <v>0.25</v>
      </c>
      <c r="O64" s="202">
        <f t="shared" si="7"/>
        <v>0.25</v>
      </c>
      <c r="P64" s="240">
        <v>0.25</v>
      </c>
      <c r="Q64" s="241">
        <v>0.25</v>
      </c>
      <c r="R64" s="202">
        <f t="shared" si="10"/>
        <v>0.25</v>
      </c>
      <c r="S64" s="240">
        <v>0.25</v>
      </c>
      <c r="T64" s="241">
        <v>0.25</v>
      </c>
      <c r="U64" s="202">
        <f t="shared" si="11"/>
        <v>0.25</v>
      </c>
      <c r="V64" s="240" t="s">
        <v>216</v>
      </c>
      <c r="W64" s="241" t="s">
        <v>216</v>
      </c>
      <c r="X64" s="202" t="str">
        <f t="shared" si="13"/>
        <v>OFF</v>
      </c>
      <c r="Y64" s="242">
        <v>0</v>
      </c>
    </row>
    <row r="65" spans="1:25" ht="15.75" x14ac:dyDescent="0.25">
      <c r="A65" s="31">
        <f>'M&amp;R Stations'!A58</f>
        <v>39017</v>
      </c>
      <c r="B65" s="240">
        <v>0.35</v>
      </c>
      <c r="C65" s="241">
        <v>0.35</v>
      </c>
      <c r="D65" s="201">
        <f t="shared" si="15"/>
        <v>0.35</v>
      </c>
      <c r="E65" s="240">
        <v>0.35</v>
      </c>
      <c r="F65" s="241">
        <v>0.35</v>
      </c>
      <c r="G65" s="201">
        <f t="shared" si="8"/>
        <v>0.35</v>
      </c>
      <c r="H65" s="240">
        <v>0.35</v>
      </c>
      <c r="I65" s="241">
        <v>0.35</v>
      </c>
      <c r="J65" s="202">
        <f t="shared" si="9"/>
        <v>0.35</v>
      </c>
      <c r="K65" s="242">
        <v>0</v>
      </c>
      <c r="L65" s="194"/>
      <c r="M65" s="240">
        <v>0.28999999999999998</v>
      </c>
      <c r="N65" s="241">
        <v>0.25</v>
      </c>
      <c r="O65" s="202">
        <f t="shared" si="7"/>
        <v>0.27</v>
      </c>
      <c r="P65" s="240">
        <v>0.28999999999999998</v>
      </c>
      <c r="Q65" s="241">
        <v>0.25</v>
      </c>
      <c r="R65" s="202">
        <f t="shared" si="10"/>
        <v>0.27</v>
      </c>
      <c r="S65" s="240">
        <v>0.28999999999999998</v>
      </c>
      <c r="T65" s="241">
        <v>0.25</v>
      </c>
      <c r="U65" s="202">
        <f t="shared" si="11"/>
        <v>0.27</v>
      </c>
      <c r="V65" s="240" t="s">
        <v>216</v>
      </c>
      <c r="W65" s="241" t="s">
        <v>216</v>
      </c>
      <c r="X65" s="202" t="str">
        <f t="shared" si="13"/>
        <v>OFF</v>
      </c>
      <c r="Y65" s="242">
        <v>0</v>
      </c>
    </row>
    <row r="66" spans="1:25" ht="15.75" x14ac:dyDescent="0.25">
      <c r="A66" s="31">
        <f>'M&amp;R Stations'!A59</f>
        <v>39018</v>
      </c>
      <c r="B66" s="240">
        <v>0.35</v>
      </c>
      <c r="C66" s="241">
        <v>0.35</v>
      </c>
      <c r="D66" s="201">
        <f t="shared" si="15"/>
        <v>0.35</v>
      </c>
      <c r="E66" s="240">
        <v>0.35</v>
      </c>
      <c r="F66" s="241">
        <v>0.33</v>
      </c>
      <c r="G66" s="201">
        <f t="shared" si="8"/>
        <v>0.33999999999999997</v>
      </c>
      <c r="H66" s="240">
        <v>0.35</v>
      </c>
      <c r="I66" s="241">
        <v>0.35</v>
      </c>
      <c r="J66" s="202">
        <f t="shared" si="9"/>
        <v>0.35</v>
      </c>
      <c r="K66" s="242">
        <v>0</v>
      </c>
      <c r="L66" s="194"/>
      <c r="M66" s="240">
        <v>0.28999999999999998</v>
      </c>
      <c r="N66" s="241">
        <v>0.25</v>
      </c>
      <c r="O66" s="202">
        <f t="shared" si="7"/>
        <v>0.27</v>
      </c>
      <c r="P66" s="240">
        <v>0.28999999999999998</v>
      </c>
      <c r="Q66" s="241">
        <v>0.25</v>
      </c>
      <c r="R66" s="202">
        <f t="shared" si="10"/>
        <v>0.27</v>
      </c>
      <c r="S66" s="240">
        <v>0.28999999999999998</v>
      </c>
      <c r="T66" s="241">
        <v>0.25</v>
      </c>
      <c r="U66" s="202">
        <f t="shared" si="11"/>
        <v>0.27</v>
      </c>
      <c r="V66" s="240" t="s">
        <v>216</v>
      </c>
      <c r="W66" s="241" t="s">
        <v>216</v>
      </c>
      <c r="X66" s="202" t="str">
        <f t="shared" si="13"/>
        <v>OFF</v>
      </c>
      <c r="Y66" s="242">
        <v>0</v>
      </c>
    </row>
    <row r="67" spans="1:25" ht="15.75" x14ac:dyDescent="0.25">
      <c r="A67" s="31">
        <f>'M&amp;R Stations'!A60</f>
        <v>39019</v>
      </c>
      <c r="B67" s="240">
        <v>0.35</v>
      </c>
      <c r="C67" s="241">
        <v>0.3</v>
      </c>
      <c r="D67" s="201">
        <f t="shared" si="15"/>
        <v>0.32499999999999996</v>
      </c>
      <c r="E67" s="240">
        <v>0.35</v>
      </c>
      <c r="F67" s="241">
        <v>0.3</v>
      </c>
      <c r="G67" s="201">
        <f t="shared" si="8"/>
        <v>0.32499999999999996</v>
      </c>
      <c r="H67" s="240">
        <v>0.35</v>
      </c>
      <c r="I67" s="241">
        <v>0.3</v>
      </c>
      <c r="J67" s="202">
        <f t="shared" si="9"/>
        <v>0.32499999999999996</v>
      </c>
      <c r="K67" s="242">
        <v>0</v>
      </c>
      <c r="L67" s="194"/>
      <c r="M67" s="240">
        <v>0.25</v>
      </c>
      <c r="N67" s="241">
        <v>0.22</v>
      </c>
      <c r="O67" s="202">
        <f t="shared" si="7"/>
        <v>0.23499999999999999</v>
      </c>
      <c r="P67" s="240">
        <v>0.25</v>
      </c>
      <c r="Q67" s="241">
        <v>0.22</v>
      </c>
      <c r="R67" s="202">
        <f t="shared" si="10"/>
        <v>0.23499999999999999</v>
      </c>
      <c r="S67" s="240">
        <v>0.25</v>
      </c>
      <c r="T67" s="241">
        <v>0.22</v>
      </c>
      <c r="U67" s="202">
        <f t="shared" si="11"/>
        <v>0.23499999999999999</v>
      </c>
      <c r="V67" s="240" t="s">
        <v>216</v>
      </c>
      <c r="W67" s="241" t="s">
        <v>216</v>
      </c>
      <c r="X67" s="202" t="str">
        <f t="shared" si="13"/>
        <v>OFF</v>
      </c>
      <c r="Y67" s="242">
        <v>0</v>
      </c>
    </row>
    <row r="68" spans="1:25" ht="15.75" x14ac:dyDescent="0.25">
      <c r="A68" s="31">
        <f>'M&amp;R Stations'!A61</f>
        <v>39020</v>
      </c>
      <c r="B68" s="240">
        <v>0.35</v>
      </c>
      <c r="C68" s="241">
        <v>0.35</v>
      </c>
      <c r="D68" s="201">
        <f t="shared" si="15"/>
        <v>0.35</v>
      </c>
      <c r="E68" s="240">
        <v>0.35</v>
      </c>
      <c r="F68" s="241">
        <v>0.35</v>
      </c>
      <c r="G68" s="201">
        <f t="shared" si="8"/>
        <v>0.35</v>
      </c>
      <c r="H68" s="240">
        <v>0.35</v>
      </c>
      <c r="I68" s="241">
        <v>0.35</v>
      </c>
      <c r="J68" s="202">
        <f t="shared" si="9"/>
        <v>0.35</v>
      </c>
      <c r="K68" s="242">
        <v>0</v>
      </c>
      <c r="L68" s="194"/>
      <c r="M68" s="240">
        <v>0.28999999999999998</v>
      </c>
      <c r="N68" s="241">
        <v>0.25</v>
      </c>
      <c r="O68" s="202">
        <f t="shared" si="7"/>
        <v>0.27</v>
      </c>
      <c r="P68" s="240">
        <v>0.28999999999999998</v>
      </c>
      <c r="Q68" s="241">
        <v>0.25</v>
      </c>
      <c r="R68" s="202">
        <f t="shared" si="10"/>
        <v>0.27</v>
      </c>
      <c r="S68" s="240">
        <v>0.28999999999999998</v>
      </c>
      <c r="T68" s="241">
        <v>0.25</v>
      </c>
      <c r="U68" s="202">
        <f t="shared" si="11"/>
        <v>0.27</v>
      </c>
      <c r="V68" s="240" t="s">
        <v>216</v>
      </c>
      <c r="W68" s="241" t="s">
        <v>216</v>
      </c>
      <c r="X68" s="202" t="str">
        <f t="shared" si="13"/>
        <v>OFF</v>
      </c>
      <c r="Y68" s="242">
        <v>0</v>
      </c>
    </row>
    <row r="69" spans="1:25" ht="15.75" x14ac:dyDescent="0.25">
      <c r="A69" s="31">
        <f>'M&amp;R Stations'!A62</f>
        <v>39021</v>
      </c>
      <c r="B69" s="240" t="s">
        <v>220</v>
      </c>
      <c r="C69" s="241" t="s">
        <v>220</v>
      </c>
      <c r="D69" s="201" t="s">
        <v>220</v>
      </c>
      <c r="E69" s="240">
        <v>0.35</v>
      </c>
      <c r="F69" s="241">
        <v>0.35</v>
      </c>
      <c r="G69" s="201">
        <f t="shared" si="8"/>
        <v>0.35</v>
      </c>
      <c r="H69" s="240">
        <v>0.35</v>
      </c>
      <c r="I69" s="241">
        <v>0.26</v>
      </c>
      <c r="J69" s="202">
        <f t="shared" si="9"/>
        <v>0.30499999999999999</v>
      </c>
      <c r="K69" s="242">
        <v>0</v>
      </c>
      <c r="L69" s="194"/>
      <c r="M69" s="240">
        <v>0.28999999999999998</v>
      </c>
      <c r="N69" s="241">
        <v>0.25</v>
      </c>
      <c r="O69" s="202">
        <f t="shared" si="7"/>
        <v>0.27</v>
      </c>
      <c r="P69" s="240">
        <v>0.34</v>
      </c>
      <c r="Q69" s="241">
        <v>0.28999999999999998</v>
      </c>
      <c r="R69" s="202">
        <f t="shared" si="10"/>
        <v>0.315</v>
      </c>
      <c r="S69" s="240">
        <v>0.25</v>
      </c>
      <c r="T69" s="241">
        <v>0.22</v>
      </c>
      <c r="U69" s="202">
        <f t="shared" si="11"/>
        <v>0.23499999999999999</v>
      </c>
      <c r="V69" s="240" t="s">
        <v>216</v>
      </c>
      <c r="W69" s="241" t="s">
        <v>216</v>
      </c>
      <c r="X69" s="202" t="str">
        <f t="shared" si="13"/>
        <v>OFF</v>
      </c>
      <c r="Y69" s="242">
        <v>0</v>
      </c>
    </row>
    <row r="70" spans="1:25" ht="15.75" x14ac:dyDescent="0.25">
      <c r="A70" s="96"/>
      <c r="B70" s="203"/>
      <c r="C70" s="204"/>
      <c r="D70" s="205" t="str">
        <f>IF(AND(B70="",C70=""),"",IF(B70="off",C70,IF(C70="off",B70,AVERAGE(B70:C70))))</f>
        <v/>
      </c>
      <c r="E70" s="203"/>
      <c r="F70" s="204"/>
      <c r="G70" s="205" t="str">
        <f t="shared" si="8"/>
        <v/>
      </c>
      <c r="H70" s="203"/>
      <c r="I70" s="204"/>
      <c r="J70" s="206" t="str">
        <f t="shared" si="9"/>
        <v/>
      </c>
      <c r="K70" s="208"/>
      <c r="L70" s="207"/>
      <c r="M70" s="203"/>
      <c r="N70" s="204"/>
      <c r="O70" s="206" t="str">
        <f t="shared" si="7"/>
        <v/>
      </c>
      <c r="P70" s="203"/>
      <c r="Q70" s="204"/>
      <c r="R70" s="206" t="str">
        <f t="shared" si="10"/>
        <v/>
      </c>
      <c r="S70" s="203"/>
      <c r="T70" s="204"/>
      <c r="U70" s="206" t="str">
        <f t="shared" si="11"/>
        <v/>
      </c>
      <c r="V70" s="203"/>
      <c r="W70" s="204"/>
      <c r="X70" s="206" t="str">
        <f t="shared" si="13"/>
        <v/>
      </c>
      <c r="Y70" s="208"/>
    </row>
    <row r="71" spans="1:25" ht="15.75" x14ac:dyDescent="0.25">
      <c r="A71" s="31">
        <f>'M&amp;R Stations'!A63</f>
        <v>39022</v>
      </c>
      <c r="B71" s="240" t="s">
        <v>220</v>
      </c>
      <c r="C71" s="241" t="s">
        <v>220</v>
      </c>
      <c r="D71" s="201" t="s">
        <v>220</v>
      </c>
      <c r="E71" s="240">
        <v>0.35</v>
      </c>
      <c r="F71" s="241">
        <v>0.26</v>
      </c>
      <c r="G71" s="201">
        <f t="shared" si="8"/>
        <v>0.30499999999999999</v>
      </c>
      <c r="H71" s="240">
        <v>0.35</v>
      </c>
      <c r="I71" s="241">
        <v>0.26</v>
      </c>
      <c r="J71" s="201">
        <f t="shared" si="9"/>
        <v>0.30499999999999999</v>
      </c>
      <c r="K71" s="242">
        <v>0</v>
      </c>
      <c r="L71" s="194"/>
      <c r="M71" s="240">
        <v>0.25</v>
      </c>
      <c r="N71" s="241">
        <v>0.22</v>
      </c>
      <c r="O71" s="201">
        <f t="shared" si="7"/>
        <v>0.23499999999999999</v>
      </c>
      <c r="P71" s="240">
        <v>0.25</v>
      </c>
      <c r="Q71" s="241">
        <v>0.25</v>
      </c>
      <c r="R71" s="201">
        <f t="shared" si="10"/>
        <v>0.25</v>
      </c>
      <c r="S71" s="240">
        <v>0.25</v>
      </c>
      <c r="T71" s="241">
        <v>0.18</v>
      </c>
      <c r="U71" s="201">
        <f t="shared" si="11"/>
        <v>0.215</v>
      </c>
      <c r="V71" s="240" t="s">
        <v>216</v>
      </c>
      <c r="W71" s="241" t="s">
        <v>216</v>
      </c>
      <c r="X71" s="202" t="str">
        <f>IF(AND(V71="",W71=""),"",IF(V71="off",W71,IF(W71="off",V71,AVERAGE(V71:W71))))</f>
        <v>OFF</v>
      </c>
      <c r="Y71" s="242">
        <v>0</v>
      </c>
    </row>
    <row r="72" spans="1:25" ht="15.75" x14ac:dyDescent="0.25">
      <c r="A72" s="31">
        <f>'M&amp;R Stations'!A64</f>
        <v>39023</v>
      </c>
      <c r="B72" s="240" t="s">
        <v>220</v>
      </c>
      <c r="C72" s="241" t="s">
        <v>220</v>
      </c>
      <c r="D72" s="201" t="s">
        <v>220</v>
      </c>
      <c r="E72" s="240">
        <v>0.35</v>
      </c>
      <c r="F72" s="241">
        <v>0.26</v>
      </c>
      <c r="G72" s="201">
        <f t="shared" si="8"/>
        <v>0.30499999999999999</v>
      </c>
      <c r="H72" s="240">
        <v>0.35</v>
      </c>
      <c r="I72" s="241">
        <v>0.26</v>
      </c>
      <c r="J72" s="201">
        <f t="shared" si="9"/>
        <v>0.30499999999999999</v>
      </c>
      <c r="K72" s="242">
        <v>0</v>
      </c>
      <c r="L72" s="194"/>
      <c r="M72" s="240">
        <v>0.28999999999999998</v>
      </c>
      <c r="N72" s="241">
        <v>0.25</v>
      </c>
      <c r="O72" s="201">
        <f t="shared" si="7"/>
        <v>0.27</v>
      </c>
      <c r="P72" s="240">
        <v>0.28999999999999998</v>
      </c>
      <c r="Q72" s="241">
        <v>0.25</v>
      </c>
      <c r="R72" s="201">
        <f t="shared" si="10"/>
        <v>0.27</v>
      </c>
      <c r="S72" s="240">
        <v>0.25</v>
      </c>
      <c r="T72" s="241">
        <v>0.25</v>
      </c>
      <c r="U72" s="201">
        <f t="shared" si="11"/>
        <v>0.25</v>
      </c>
      <c r="V72" s="240" t="s">
        <v>216</v>
      </c>
      <c r="W72" s="241" t="s">
        <v>216</v>
      </c>
      <c r="X72" s="202" t="str">
        <f>IF(AND(V72="",W72=""),"",IF(V72="off",W72,IF(W72="off",V72,AVERAGE(V72:W72))))</f>
        <v>OFF</v>
      </c>
      <c r="Y72" s="242">
        <v>0</v>
      </c>
    </row>
    <row r="73" spans="1:25" ht="15.75" x14ac:dyDescent="0.25">
      <c r="A73" s="31">
        <f>'M&amp;R Stations'!A65</f>
        <v>39024</v>
      </c>
      <c r="B73" s="240">
        <v>0.32</v>
      </c>
      <c r="C73" s="241">
        <v>0.26</v>
      </c>
      <c r="D73" s="201">
        <f t="shared" ref="D73:D100" si="16">IF(AND(B73="",C73=""),"",IF(B73="off",C73,IF(C73="off",B73,AVERAGE(B73:C73))))</f>
        <v>0.29000000000000004</v>
      </c>
      <c r="E73" s="240">
        <v>0.32</v>
      </c>
      <c r="F73" s="241">
        <v>0.26</v>
      </c>
      <c r="G73" s="201">
        <f t="shared" si="8"/>
        <v>0.29000000000000004</v>
      </c>
      <c r="H73" s="240">
        <v>0.32</v>
      </c>
      <c r="I73" s="241">
        <v>0.26</v>
      </c>
      <c r="J73" s="201">
        <f t="shared" si="9"/>
        <v>0.29000000000000004</v>
      </c>
      <c r="K73" s="242">
        <v>0</v>
      </c>
      <c r="L73" s="194"/>
      <c r="M73" s="240">
        <v>0.25</v>
      </c>
      <c r="N73" s="241">
        <v>0.25</v>
      </c>
      <c r="O73" s="201">
        <f t="shared" si="7"/>
        <v>0.25</v>
      </c>
      <c r="P73" s="240">
        <v>0.28999999999999998</v>
      </c>
      <c r="Q73" s="241">
        <v>0.25</v>
      </c>
      <c r="R73" s="201">
        <f t="shared" si="10"/>
        <v>0.27</v>
      </c>
      <c r="S73" s="240">
        <v>0.25</v>
      </c>
      <c r="T73" s="241">
        <v>0.25</v>
      </c>
      <c r="U73" s="201">
        <f t="shared" si="11"/>
        <v>0.25</v>
      </c>
      <c r="V73" s="240" t="s">
        <v>216</v>
      </c>
      <c r="W73" s="241" t="s">
        <v>216</v>
      </c>
      <c r="X73" s="201" t="str">
        <f t="shared" si="13"/>
        <v>OFF</v>
      </c>
      <c r="Y73" s="242">
        <v>0</v>
      </c>
    </row>
    <row r="74" spans="1:25" ht="15.75" x14ac:dyDescent="0.25">
      <c r="A74" s="31">
        <f>'M&amp;R Stations'!A66</f>
        <v>39025</v>
      </c>
      <c r="B74" s="240">
        <v>0.32</v>
      </c>
      <c r="C74" s="241">
        <v>0.26</v>
      </c>
      <c r="D74" s="201">
        <f t="shared" si="16"/>
        <v>0.29000000000000004</v>
      </c>
      <c r="E74" s="240">
        <v>0.32</v>
      </c>
      <c r="F74" s="241">
        <v>0.26</v>
      </c>
      <c r="G74" s="201">
        <f t="shared" si="8"/>
        <v>0.29000000000000004</v>
      </c>
      <c r="H74" s="240">
        <v>0.32</v>
      </c>
      <c r="I74" s="241">
        <v>0.26</v>
      </c>
      <c r="J74" s="201">
        <f t="shared" si="9"/>
        <v>0.29000000000000004</v>
      </c>
      <c r="K74" s="242">
        <v>0</v>
      </c>
      <c r="L74" s="194"/>
      <c r="M74" s="240">
        <v>0.25</v>
      </c>
      <c r="N74" s="241">
        <v>0.25</v>
      </c>
      <c r="O74" s="201">
        <f t="shared" si="7"/>
        <v>0.25</v>
      </c>
      <c r="P74" s="240">
        <v>0.28999999999999998</v>
      </c>
      <c r="Q74" s="241">
        <v>0.25</v>
      </c>
      <c r="R74" s="201">
        <f t="shared" si="10"/>
        <v>0.27</v>
      </c>
      <c r="S74" s="240">
        <v>0.28999999999999998</v>
      </c>
      <c r="T74" s="241">
        <v>0.22</v>
      </c>
      <c r="U74" s="201">
        <f t="shared" si="11"/>
        <v>0.255</v>
      </c>
      <c r="V74" s="240" t="s">
        <v>216</v>
      </c>
      <c r="W74" s="241" t="s">
        <v>216</v>
      </c>
      <c r="X74" s="201" t="str">
        <f t="shared" si="13"/>
        <v>OFF</v>
      </c>
      <c r="Y74" s="242">
        <v>0</v>
      </c>
    </row>
    <row r="75" spans="1:25" ht="15.75" x14ac:dyDescent="0.25">
      <c r="A75" s="31">
        <f>'M&amp;R Stations'!A67</f>
        <v>39026</v>
      </c>
      <c r="B75" s="240">
        <v>0.35</v>
      </c>
      <c r="C75" s="241">
        <v>0.26</v>
      </c>
      <c r="D75" s="201">
        <f t="shared" si="16"/>
        <v>0.30499999999999999</v>
      </c>
      <c r="E75" s="240">
        <v>0.35</v>
      </c>
      <c r="F75" s="241">
        <v>0.26</v>
      </c>
      <c r="G75" s="201">
        <f t="shared" si="8"/>
        <v>0.30499999999999999</v>
      </c>
      <c r="H75" s="240">
        <v>0.35</v>
      </c>
      <c r="I75" s="241">
        <v>0.26</v>
      </c>
      <c r="J75" s="201">
        <f t="shared" si="9"/>
        <v>0.30499999999999999</v>
      </c>
      <c r="K75" s="242">
        <v>0</v>
      </c>
      <c r="L75" s="194"/>
      <c r="M75" s="240">
        <v>0.25</v>
      </c>
      <c r="N75" s="241">
        <v>0.22</v>
      </c>
      <c r="O75" s="201">
        <f t="shared" si="7"/>
        <v>0.23499999999999999</v>
      </c>
      <c r="P75" s="240">
        <v>0.25</v>
      </c>
      <c r="Q75" s="241">
        <v>0.25</v>
      </c>
      <c r="R75" s="201">
        <f t="shared" si="10"/>
        <v>0.25</v>
      </c>
      <c r="S75" s="240">
        <v>0.25</v>
      </c>
      <c r="T75" s="241">
        <v>0.22</v>
      </c>
      <c r="U75" s="201">
        <f t="shared" si="11"/>
        <v>0.23499999999999999</v>
      </c>
      <c r="V75" s="240" t="s">
        <v>216</v>
      </c>
      <c r="W75" s="241" t="s">
        <v>216</v>
      </c>
      <c r="X75" s="201" t="str">
        <f t="shared" si="13"/>
        <v>OFF</v>
      </c>
      <c r="Y75" s="242">
        <v>0</v>
      </c>
    </row>
    <row r="76" spans="1:25" ht="15.75" x14ac:dyDescent="0.25">
      <c r="A76" s="31">
        <f>'M&amp;R Stations'!A68</f>
        <v>39027</v>
      </c>
      <c r="B76" s="240">
        <v>0.35</v>
      </c>
      <c r="C76" s="241">
        <v>0.35</v>
      </c>
      <c r="D76" s="201">
        <f t="shared" si="16"/>
        <v>0.35</v>
      </c>
      <c r="E76" s="240">
        <v>0.35</v>
      </c>
      <c r="F76" s="241">
        <v>0.35</v>
      </c>
      <c r="G76" s="201">
        <f t="shared" si="8"/>
        <v>0.35</v>
      </c>
      <c r="H76" s="240">
        <v>0.35</v>
      </c>
      <c r="I76" s="241">
        <v>0.35</v>
      </c>
      <c r="J76" s="201">
        <f t="shared" si="9"/>
        <v>0.35</v>
      </c>
      <c r="K76" s="242">
        <v>0</v>
      </c>
      <c r="L76" s="194"/>
      <c r="M76" s="240">
        <v>0.28999999999999998</v>
      </c>
      <c r="N76" s="241">
        <v>0.25</v>
      </c>
      <c r="O76" s="201">
        <f t="shared" si="7"/>
        <v>0.27</v>
      </c>
      <c r="P76" s="240">
        <v>0.28999999999999998</v>
      </c>
      <c r="Q76" s="241">
        <v>0.25</v>
      </c>
      <c r="R76" s="201">
        <f t="shared" si="10"/>
        <v>0.27</v>
      </c>
      <c r="S76" s="240">
        <v>0.28999999999999998</v>
      </c>
      <c r="T76" s="241">
        <v>0.25</v>
      </c>
      <c r="U76" s="201">
        <f t="shared" si="11"/>
        <v>0.27</v>
      </c>
      <c r="V76" s="240" t="s">
        <v>216</v>
      </c>
      <c r="W76" s="241" t="s">
        <v>216</v>
      </c>
      <c r="X76" s="201" t="str">
        <f t="shared" si="13"/>
        <v>OFF</v>
      </c>
      <c r="Y76" s="242">
        <v>0</v>
      </c>
    </row>
    <row r="77" spans="1:25" ht="15.75" x14ac:dyDescent="0.25">
      <c r="A77" s="31">
        <f>'M&amp;R Stations'!A69</f>
        <v>39028</v>
      </c>
      <c r="B77" s="240">
        <v>0.35</v>
      </c>
      <c r="C77" s="241">
        <v>0.35</v>
      </c>
      <c r="D77" s="201">
        <f t="shared" si="16"/>
        <v>0.35</v>
      </c>
      <c r="E77" s="240">
        <v>0.35</v>
      </c>
      <c r="F77" s="241">
        <v>0.35</v>
      </c>
      <c r="G77" s="201">
        <f t="shared" si="8"/>
        <v>0.35</v>
      </c>
      <c r="H77" s="240">
        <v>0.35</v>
      </c>
      <c r="I77" s="241">
        <v>0.26</v>
      </c>
      <c r="J77" s="201">
        <f t="shared" si="9"/>
        <v>0.30499999999999999</v>
      </c>
      <c r="K77" s="242">
        <v>0</v>
      </c>
      <c r="L77" s="194"/>
      <c r="M77" s="240">
        <v>0.28999999999999998</v>
      </c>
      <c r="N77" s="241">
        <v>0.22</v>
      </c>
      <c r="O77" s="201">
        <f t="shared" si="7"/>
        <v>0.255</v>
      </c>
      <c r="P77" s="240">
        <v>0.28999999999999998</v>
      </c>
      <c r="Q77" s="241">
        <v>0.22</v>
      </c>
      <c r="R77" s="201">
        <f t="shared" si="10"/>
        <v>0.255</v>
      </c>
      <c r="S77" s="240">
        <v>0.28999999999999998</v>
      </c>
      <c r="T77" s="241">
        <v>0.25</v>
      </c>
      <c r="U77" s="201">
        <f t="shared" si="11"/>
        <v>0.27</v>
      </c>
      <c r="V77" s="240" t="s">
        <v>216</v>
      </c>
      <c r="W77" s="241" t="s">
        <v>216</v>
      </c>
      <c r="X77" s="201" t="str">
        <f t="shared" si="13"/>
        <v>OFF</v>
      </c>
      <c r="Y77" s="242">
        <v>0</v>
      </c>
    </row>
    <row r="78" spans="1:25" ht="15.75" x14ac:dyDescent="0.25">
      <c r="A78" s="31">
        <f>'M&amp;R Stations'!A70</f>
        <v>39029</v>
      </c>
      <c r="B78" s="240">
        <v>0.35</v>
      </c>
      <c r="C78" s="241">
        <v>0.26</v>
      </c>
      <c r="D78" s="201">
        <f t="shared" si="16"/>
        <v>0.30499999999999999</v>
      </c>
      <c r="E78" s="240">
        <v>0.35</v>
      </c>
      <c r="F78" s="241">
        <v>0.26</v>
      </c>
      <c r="G78" s="201">
        <f t="shared" si="8"/>
        <v>0.30499999999999999</v>
      </c>
      <c r="H78" s="240">
        <v>0.35</v>
      </c>
      <c r="I78" s="241">
        <v>0.26</v>
      </c>
      <c r="J78" s="201">
        <f t="shared" si="9"/>
        <v>0.30499999999999999</v>
      </c>
      <c r="K78" s="242">
        <v>0</v>
      </c>
      <c r="L78" s="194"/>
      <c r="M78" s="240">
        <v>0.28999999999999998</v>
      </c>
      <c r="N78" s="241">
        <v>0.25</v>
      </c>
      <c r="O78" s="201">
        <f t="shared" si="7"/>
        <v>0.27</v>
      </c>
      <c r="P78" s="240">
        <v>0.28999999999999998</v>
      </c>
      <c r="Q78" s="241">
        <v>0.22</v>
      </c>
      <c r="R78" s="201">
        <f t="shared" si="10"/>
        <v>0.255</v>
      </c>
      <c r="S78" s="240">
        <v>0.28999999999999998</v>
      </c>
      <c r="T78" s="241">
        <v>0.25</v>
      </c>
      <c r="U78" s="201">
        <f t="shared" si="11"/>
        <v>0.27</v>
      </c>
      <c r="V78" s="240" t="s">
        <v>216</v>
      </c>
      <c r="W78" s="241" t="s">
        <v>216</v>
      </c>
      <c r="X78" s="201" t="str">
        <f t="shared" si="13"/>
        <v>OFF</v>
      </c>
      <c r="Y78" s="242">
        <v>0</v>
      </c>
    </row>
    <row r="79" spans="1:25" ht="15.75" x14ac:dyDescent="0.25">
      <c r="A79" s="31">
        <f>'M&amp;R Stations'!A71</f>
        <v>39030</v>
      </c>
      <c r="B79" s="240">
        <v>0.35</v>
      </c>
      <c r="C79" s="241">
        <v>0.26</v>
      </c>
      <c r="D79" s="201">
        <f t="shared" si="16"/>
        <v>0.30499999999999999</v>
      </c>
      <c r="E79" s="240">
        <v>0.35</v>
      </c>
      <c r="F79" s="241">
        <v>0.26</v>
      </c>
      <c r="G79" s="201">
        <f t="shared" si="8"/>
        <v>0.30499999999999999</v>
      </c>
      <c r="H79" s="240">
        <v>0.35</v>
      </c>
      <c r="I79" s="241">
        <v>0.26</v>
      </c>
      <c r="J79" s="201">
        <f t="shared" si="9"/>
        <v>0.30499999999999999</v>
      </c>
      <c r="K79" s="242">
        <v>0</v>
      </c>
      <c r="L79" s="194"/>
      <c r="M79" s="240">
        <v>0.28999999999999998</v>
      </c>
      <c r="N79" s="241">
        <v>0.25</v>
      </c>
      <c r="O79" s="201">
        <f t="shared" si="7"/>
        <v>0.27</v>
      </c>
      <c r="P79" s="240">
        <v>0.28999999999999998</v>
      </c>
      <c r="Q79" s="241">
        <v>0.25</v>
      </c>
      <c r="R79" s="201">
        <f t="shared" si="10"/>
        <v>0.27</v>
      </c>
      <c r="S79" s="240">
        <v>0.28999999999999998</v>
      </c>
      <c r="T79" s="241">
        <v>0.25</v>
      </c>
      <c r="U79" s="201">
        <f t="shared" si="11"/>
        <v>0.27</v>
      </c>
      <c r="V79" s="240" t="s">
        <v>216</v>
      </c>
      <c r="W79" s="241" t="s">
        <v>216</v>
      </c>
      <c r="X79" s="201" t="str">
        <f t="shared" si="13"/>
        <v>OFF</v>
      </c>
      <c r="Y79" s="242">
        <v>0</v>
      </c>
    </row>
    <row r="80" spans="1:25" ht="15.75" x14ac:dyDescent="0.25">
      <c r="A80" s="31">
        <f>'M&amp;R Stations'!A72</f>
        <v>39031</v>
      </c>
      <c r="B80" s="240">
        <v>0.32</v>
      </c>
      <c r="C80" s="241">
        <v>0.26</v>
      </c>
      <c r="D80" s="201">
        <f t="shared" si="16"/>
        <v>0.29000000000000004</v>
      </c>
      <c r="E80" s="240">
        <v>0.32</v>
      </c>
      <c r="F80" s="241">
        <v>0.26</v>
      </c>
      <c r="G80" s="201">
        <f t="shared" si="8"/>
        <v>0.29000000000000004</v>
      </c>
      <c r="H80" s="240">
        <v>0.32</v>
      </c>
      <c r="I80" s="241">
        <v>0.26</v>
      </c>
      <c r="J80" s="201">
        <f t="shared" si="9"/>
        <v>0.29000000000000004</v>
      </c>
      <c r="K80" s="242">
        <v>0</v>
      </c>
      <c r="L80" s="194"/>
      <c r="M80" s="240">
        <v>0.28999999999999998</v>
      </c>
      <c r="N80" s="241">
        <v>0.25</v>
      </c>
      <c r="O80" s="201">
        <f t="shared" si="7"/>
        <v>0.27</v>
      </c>
      <c r="P80" s="240">
        <v>0.28999999999999998</v>
      </c>
      <c r="Q80" s="241">
        <v>0.25</v>
      </c>
      <c r="R80" s="201">
        <f t="shared" si="10"/>
        <v>0.27</v>
      </c>
      <c r="S80" s="240">
        <v>0.28999999999999998</v>
      </c>
      <c r="T80" s="241">
        <v>0.25</v>
      </c>
      <c r="U80" s="201">
        <f t="shared" si="11"/>
        <v>0.27</v>
      </c>
      <c r="V80" s="240" t="s">
        <v>216</v>
      </c>
      <c r="W80" s="241" t="s">
        <v>216</v>
      </c>
      <c r="X80" s="201" t="str">
        <f t="shared" si="13"/>
        <v>OFF</v>
      </c>
      <c r="Y80" s="242">
        <v>0</v>
      </c>
    </row>
    <row r="81" spans="1:25" ht="15.75" x14ac:dyDescent="0.25">
      <c r="A81" s="31">
        <f>'M&amp;R Stations'!A73</f>
        <v>39032</v>
      </c>
      <c r="B81" s="240">
        <v>0.35</v>
      </c>
      <c r="C81" s="241">
        <v>0.26</v>
      </c>
      <c r="D81" s="201">
        <f t="shared" si="16"/>
        <v>0.30499999999999999</v>
      </c>
      <c r="E81" s="240">
        <v>0.35</v>
      </c>
      <c r="F81" s="241">
        <v>0.26</v>
      </c>
      <c r="G81" s="201">
        <f t="shared" si="8"/>
        <v>0.30499999999999999</v>
      </c>
      <c r="H81" s="240">
        <v>0.35</v>
      </c>
      <c r="I81" s="241">
        <v>0.26</v>
      </c>
      <c r="J81" s="201">
        <f t="shared" si="9"/>
        <v>0.30499999999999999</v>
      </c>
      <c r="K81" s="242">
        <v>0</v>
      </c>
      <c r="L81" s="194"/>
      <c r="M81" s="240">
        <v>0.28999999999999998</v>
      </c>
      <c r="N81" s="241">
        <v>0.25</v>
      </c>
      <c r="O81" s="201">
        <f t="shared" si="7"/>
        <v>0.27</v>
      </c>
      <c r="P81" s="240">
        <v>0.25</v>
      </c>
      <c r="Q81" s="241">
        <v>0.25</v>
      </c>
      <c r="R81" s="201">
        <f t="shared" si="10"/>
        <v>0.25</v>
      </c>
      <c r="S81" s="240">
        <v>0.25</v>
      </c>
      <c r="T81" s="241">
        <v>0.25</v>
      </c>
      <c r="U81" s="201">
        <f t="shared" si="11"/>
        <v>0.25</v>
      </c>
      <c r="V81" s="240" t="s">
        <v>216</v>
      </c>
      <c r="W81" s="241" t="s">
        <v>216</v>
      </c>
      <c r="X81" s="201" t="str">
        <f t="shared" si="13"/>
        <v>OFF</v>
      </c>
      <c r="Y81" s="242">
        <v>0</v>
      </c>
    </row>
    <row r="82" spans="1:25" ht="15.75" x14ac:dyDescent="0.25">
      <c r="A82" s="31">
        <f>'M&amp;R Stations'!A74</f>
        <v>39033</v>
      </c>
      <c r="B82" s="240">
        <v>0.3</v>
      </c>
      <c r="C82" s="241">
        <v>0.3</v>
      </c>
      <c r="D82" s="201">
        <f t="shared" si="16"/>
        <v>0.3</v>
      </c>
      <c r="E82" s="240">
        <v>0.3</v>
      </c>
      <c r="F82" s="241">
        <v>0.26</v>
      </c>
      <c r="G82" s="201">
        <f t="shared" si="8"/>
        <v>0.28000000000000003</v>
      </c>
      <c r="H82" s="240">
        <v>0.3</v>
      </c>
      <c r="I82" s="241">
        <v>0.26</v>
      </c>
      <c r="J82" s="201">
        <f t="shared" si="9"/>
        <v>0.28000000000000003</v>
      </c>
      <c r="K82" s="242">
        <v>0</v>
      </c>
      <c r="L82" s="194"/>
      <c r="M82" s="240">
        <v>0.28999999999999998</v>
      </c>
      <c r="N82" s="241">
        <v>0.25</v>
      </c>
      <c r="O82" s="201">
        <f t="shared" si="7"/>
        <v>0.27</v>
      </c>
      <c r="P82" s="240">
        <v>0.28999999999999998</v>
      </c>
      <c r="Q82" s="241">
        <v>0.25</v>
      </c>
      <c r="R82" s="201">
        <f t="shared" si="10"/>
        <v>0.27</v>
      </c>
      <c r="S82" s="240">
        <v>0.28999999999999998</v>
      </c>
      <c r="T82" s="241">
        <v>0.25</v>
      </c>
      <c r="U82" s="201">
        <f t="shared" si="11"/>
        <v>0.27</v>
      </c>
      <c r="V82" s="240" t="s">
        <v>216</v>
      </c>
      <c r="W82" s="241" t="s">
        <v>216</v>
      </c>
      <c r="X82" s="201" t="str">
        <f t="shared" si="13"/>
        <v>OFF</v>
      </c>
      <c r="Y82" s="242">
        <v>0</v>
      </c>
    </row>
    <row r="83" spans="1:25" ht="15.75" x14ac:dyDescent="0.25">
      <c r="A83" s="31">
        <f>'M&amp;R Stations'!A75</f>
        <v>39034</v>
      </c>
      <c r="B83" s="240">
        <v>0.35</v>
      </c>
      <c r="C83" s="241">
        <v>0.3</v>
      </c>
      <c r="D83" s="201">
        <f t="shared" si="16"/>
        <v>0.32499999999999996</v>
      </c>
      <c r="E83" s="240">
        <v>0.35</v>
      </c>
      <c r="F83" s="241">
        <v>0.3</v>
      </c>
      <c r="G83" s="201">
        <f t="shared" si="8"/>
        <v>0.32499999999999996</v>
      </c>
      <c r="H83" s="240">
        <v>0.35</v>
      </c>
      <c r="I83" s="241">
        <v>0.3</v>
      </c>
      <c r="J83" s="201">
        <f t="shared" si="9"/>
        <v>0.32499999999999996</v>
      </c>
      <c r="K83" s="242">
        <v>0</v>
      </c>
      <c r="L83" s="194"/>
      <c r="M83" s="240">
        <v>0.28999999999999998</v>
      </c>
      <c r="N83" s="241">
        <v>0.25</v>
      </c>
      <c r="O83" s="201">
        <f t="shared" si="7"/>
        <v>0.27</v>
      </c>
      <c r="P83" s="240">
        <v>0.28999999999999998</v>
      </c>
      <c r="Q83" s="241">
        <v>0.25</v>
      </c>
      <c r="R83" s="201">
        <f t="shared" si="10"/>
        <v>0.27</v>
      </c>
      <c r="S83" s="240">
        <v>0.28999999999999998</v>
      </c>
      <c r="T83" s="241">
        <v>0.25</v>
      </c>
      <c r="U83" s="201">
        <f t="shared" si="11"/>
        <v>0.27</v>
      </c>
      <c r="V83" s="240" t="s">
        <v>216</v>
      </c>
      <c r="W83" s="241" t="s">
        <v>216</v>
      </c>
      <c r="X83" s="201" t="str">
        <f t="shared" si="13"/>
        <v>OFF</v>
      </c>
      <c r="Y83" s="242">
        <v>0</v>
      </c>
    </row>
    <row r="84" spans="1:25" ht="15.75" x14ac:dyDescent="0.25">
      <c r="A84" s="31">
        <f>'M&amp;R Stations'!A76</f>
        <v>39035</v>
      </c>
      <c r="B84" s="240">
        <v>0.35</v>
      </c>
      <c r="C84" s="241">
        <v>0.3</v>
      </c>
      <c r="D84" s="201">
        <f t="shared" si="16"/>
        <v>0.32499999999999996</v>
      </c>
      <c r="E84" s="240">
        <v>0.35</v>
      </c>
      <c r="F84" s="241">
        <v>0.3</v>
      </c>
      <c r="G84" s="201">
        <f t="shared" si="8"/>
        <v>0.32499999999999996</v>
      </c>
      <c r="H84" s="240">
        <v>0.35</v>
      </c>
      <c r="I84" s="241">
        <v>0.3</v>
      </c>
      <c r="J84" s="201">
        <f t="shared" si="9"/>
        <v>0.32499999999999996</v>
      </c>
      <c r="K84" s="242">
        <v>0</v>
      </c>
      <c r="L84" s="194"/>
      <c r="M84" s="240">
        <v>0.28999999999999998</v>
      </c>
      <c r="N84" s="241">
        <v>0.25</v>
      </c>
      <c r="O84" s="201">
        <f t="shared" si="7"/>
        <v>0.27</v>
      </c>
      <c r="P84" s="240">
        <v>0.28999999999999998</v>
      </c>
      <c r="Q84" s="241">
        <v>0.25</v>
      </c>
      <c r="R84" s="201">
        <f t="shared" si="10"/>
        <v>0.27</v>
      </c>
      <c r="S84" s="240">
        <v>0.28999999999999998</v>
      </c>
      <c r="T84" s="241">
        <v>0.25</v>
      </c>
      <c r="U84" s="201">
        <f t="shared" si="11"/>
        <v>0.27</v>
      </c>
      <c r="V84" s="240" t="s">
        <v>216</v>
      </c>
      <c r="W84" s="241" t="s">
        <v>216</v>
      </c>
      <c r="X84" s="201" t="str">
        <f t="shared" si="13"/>
        <v>OFF</v>
      </c>
      <c r="Y84" s="242">
        <v>0</v>
      </c>
    </row>
    <row r="85" spans="1:25" ht="15.75" x14ac:dyDescent="0.25">
      <c r="A85" s="31">
        <f>'M&amp;R Stations'!A77</f>
        <v>39036</v>
      </c>
      <c r="B85" s="240">
        <v>0.35</v>
      </c>
      <c r="C85" s="241">
        <v>0.35</v>
      </c>
      <c r="D85" s="201">
        <f t="shared" si="16"/>
        <v>0.35</v>
      </c>
      <c r="E85" s="240">
        <v>0.35</v>
      </c>
      <c r="F85" s="241">
        <v>0.26</v>
      </c>
      <c r="G85" s="201">
        <f t="shared" si="8"/>
        <v>0.30499999999999999</v>
      </c>
      <c r="H85" s="240">
        <v>0.35</v>
      </c>
      <c r="I85" s="241">
        <v>0.26</v>
      </c>
      <c r="J85" s="201">
        <f t="shared" si="9"/>
        <v>0.30499999999999999</v>
      </c>
      <c r="K85" s="242">
        <v>0</v>
      </c>
      <c r="L85" s="194"/>
      <c r="M85" s="240">
        <v>0.28999999999999998</v>
      </c>
      <c r="N85" s="241">
        <v>0.25</v>
      </c>
      <c r="O85" s="201">
        <f t="shared" si="7"/>
        <v>0.27</v>
      </c>
      <c r="P85" s="240">
        <v>0.28999999999999998</v>
      </c>
      <c r="Q85" s="241">
        <v>0.25</v>
      </c>
      <c r="R85" s="201">
        <f t="shared" si="10"/>
        <v>0.27</v>
      </c>
      <c r="S85" s="240">
        <v>0.28999999999999998</v>
      </c>
      <c r="T85" s="241">
        <v>0.25</v>
      </c>
      <c r="U85" s="201">
        <f t="shared" si="11"/>
        <v>0.27</v>
      </c>
      <c r="V85" s="240" t="s">
        <v>216</v>
      </c>
      <c r="W85" s="241" t="s">
        <v>216</v>
      </c>
      <c r="X85" s="201" t="str">
        <f t="shared" si="13"/>
        <v>OFF</v>
      </c>
      <c r="Y85" s="242">
        <v>0</v>
      </c>
    </row>
    <row r="86" spans="1:25" ht="15.75" x14ac:dyDescent="0.25">
      <c r="A86" s="31">
        <f>'M&amp;R Stations'!A78</f>
        <v>39037</v>
      </c>
      <c r="B86" s="240">
        <v>0.35</v>
      </c>
      <c r="C86" s="241">
        <v>0.35</v>
      </c>
      <c r="D86" s="201">
        <f t="shared" si="16"/>
        <v>0.35</v>
      </c>
      <c r="E86" s="240">
        <v>0.34</v>
      </c>
      <c r="F86" s="241">
        <v>0.3</v>
      </c>
      <c r="G86" s="201">
        <f t="shared" si="8"/>
        <v>0.32</v>
      </c>
      <c r="H86" s="240">
        <v>0.35</v>
      </c>
      <c r="I86" s="241">
        <v>0.26</v>
      </c>
      <c r="J86" s="201">
        <f t="shared" si="9"/>
        <v>0.30499999999999999</v>
      </c>
      <c r="K86" s="242">
        <v>0</v>
      </c>
      <c r="L86" s="194"/>
      <c r="M86" s="240">
        <v>0.28999999999999998</v>
      </c>
      <c r="N86" s="241">
        <v>0.25</v>
      </c>
      <c r="O86" s="201">
        <f t="shared" si="7"/>
        <v>0.27</v>
      </c>
      <c r="P86" s="240">
        <v>0.28999999999999998</v>
      </c>
      <c r="Q86" s="241">
        <v>0.25</v>
      </c>
      <c r="R86" s="201">
        <f t="shared" si="10"/>
        <v>0.27</v>
      </c>
      <c r="S86" s="240">
        <v>0.25</v>
      </c>
      <c r="T86" s="241">
        <v>0.25</v>
      </c>
      <c r="U86" s="201">
        <f t="shared" si="11"/>
        <v>0.25</v>
      </c>
      <c r="V86" s="240" t="s">
        <v>216</v>
      </c>
      <c r="W86" s="241" t="s">
        <v>216</v>
      </c>
      <c r="X86" s="201" t="str">
        <f t="shared" si="13"/>
        <v>OFF</v>
      </c>
      <c r="Y86" s="242">
        <v>0</v>
      </c>
    </row>
    <row r="87" spans="1:25" ht="15.75" x14ac:dyDescent="0.25">
      <c r="A87" s="31">
        <f>'M&amp;R Stations'!A79</f>
        <v>39038</v>
      </c>
      <c r="B87" s="240">
        <v>0.32</v>
      </c>
      <c r="C87" s="241">
        <v>0.26</v>
      </c>
      <c r="D87" s="201">
        <f t="shared" si="16"/>
        <v>0.29000000000000004</v>
      </c>
      <c r="E87" s="240">
        <v>0.32</v>
      </c>
      <c r="F87" s="241">
        <v>0.26</v>
      </c>
      <c r="G87" s="201">
        <f t="shared" si="8"/>
        <v>0.29000000000000004</v>
      </c>
      <c r="H87" s="240">
        <v>0.32</v>
      </c>
      <c r="I87" s="241">
        <v>0.26</v>
      </c>
      <c r="J87" s="201">
        <f t="shared" si="9"/>
        <v>0.29000000000000004</v>
      </c>
      <c r="K87" s="242">
        <v>0</v>
      </c>
      <c r="L87" s="194"/>
      <c r="M87" s="240">
        <v>0.25</v>
      </c>
      <c r="N87" s="241">
        <v>0.25</v>
      </c>
      <c r="O87" s="201">
        <f t="shared" si="7"/>
        <v>0.25</v>
      </c>
      <c r="P87" s="240">
        <v>0.25</v>
      </c>
      <c r="Q87" s="241">
        <v>0.25</v>
      </c>
      <c r="R87" s="201">
        <f t="shared" si="10"/>
        <v>0.25</v>
      </c>
      <c r="S87" s="240">
        <v>0.25</v>
      </c>
      <c r="T87" s="241">
        <v>0.25</v>
      </c>
      <c r="U87" s="201">
        <f t="shared" si="11"/>
        <v>0.25</v>
      </c>
      <c r="V87" s="240" t="s">
        <v>216</v>
      </c>
      <c r="W87" s="241" t="s">
        <v>216</v>
      </c>
      <c r="X87" s="201" t="str">
        <f t="shared" si="13"/>
        <v>OFF</v>
      </c>
      <c r="Y87" s="242">
        <v>0</v>
      </c>
    </row>
    <row r="88" spans="1:25" ht="15.75" x14ac:dyDescent="0.25">
      <c r="A88" s="31">
        <f>'M&amp;R Stations'!A80</f>
        <v>39039</v>
      </c>
      <c r="B88" s="240">
        <v>0.3</v>
      </c>
      <c r="C88" s="241">
        <v>0.26</v>
      </c>
      <c r="D88" s="201">
        <f t="shared" si="16"/>
        <v>0.28000000000000003</v>
      </c>
      <c r="E88" s="240">
        <v>0.3</v>
      </c>
      <c r="F88" s="241">
        <v>0.26</v>
      </c>
      <c r="G88" s="201">
        <f t="shared" si="8"/>
        <v>0.28000000000000003</v>
      </c>
      <c r="H88" s="240">
        <v>0.3</v>
      </c>
      <c r="I88" s="241">
        <v>0.26</v>
      </c>
      <c r="J88" s="201">
        <f t="shared" si="9"/>
        <v>0.28000000000000003</v>
      </c>
      <c r="K88" s="242">
        <v>0</v>
      </c>
      <c r="L88" s="194"/>
      <c r="M88" s="240">
        <v>0.28999999999999998</v>
      </c>
      <c r="N88" s="241">
        <v>0.25</v>
      </c>
      <c r="O88" s="201">
        <f t="shared" si="7"/>
        <v>0.27</v>
      </c>
      <c r="P88" s="240">
        <v>0.25</v>
      </c>
      <c r="Q88" s="241">
        <v>0.25</v>
      </c>
      <c r="R88" s="201">
        <f t="shared" si="10"/>
        <v>0.25</v>
      </c>
      <c r="S88" s="240">
        <v>0.28999999999999998</v>
      </c>
      <c r="T88" s="241">
        <v>0.25</v>
      </c>
      <c r="U88" s="201">
        <f t="shared" si="11"/>
        <v>0.27</v>
      </c>
      <c r="V88" s="240" t="s">
        <v>216</v>
      </c>
      <c r="W88" s="241" t="s">
        <v>216</v>
      </c>
      <c r="X88" s="201" t="str">
        <f t="shared" si="13"/>
        <v>OFF</v>
      </c>
      <c r="Y88" s="242">
        <v>0</v>
      </c>
    </row>
    <row r="89" spans="1:25" ht="15.75" x14ac:dyDescent="0.25">
      <c r="A89" s="31">
        <f>'M&amp;R Stations'!A81</f>
        <v>39040</v>
      </c>
      <c r="B89" s="240">
        <v>0.35</v>
      </c>
      <c r="C89" s="241">
        <v>0.26</v>
      </c>
      <c r="D89" s="201">
        <f t="shared" si="16"/>
        <v>0.30499999999999999</v>
      </c>
      <c r="E89" s="240">
        <v>0.35</v>
      </c>
      <c r="F89" s="241">
        <v>0.26</v>
      </c>
      <c r="G89" s="201">
        <f t="shared" si="8"/>
        <v>0.30499999999999999</v>
      </c>
      <c r="H89" s="240">
        <v>0.35</v>
      </c>
      <c r="I89" s="241">
        <v>0.26</v>
      </c>
      <c r="J89" s="201">
        <f t="shared" si="9"/>
        <v>0.30499999999999999</v>
      </c>
      <c r="K89" s="242">
        <v>0</v>
      </c>
      <c r="L89" s="194"/>
      <c r="M89" s="240">
        <v>0.28999999999999998</v>
      </c>
      <c r="N89" s="241">
        <v>0.25</v>
      </c>
      <c r="O89" s="201">
        <f t="shared" si="7"/>
        <v>0.27</v>
      </c>
      <c r="P89" s="240">
        <v>0.34</v>
      </c>
      <c r="Q89" s="241">
        <v>0.25</v>
      </c>
      <c r="R89" s="201">
        <f t="shared" si="10"/>
        <v>0.29500000000000004</v>
      </c>
      <c r="S89" s="240">
        <v>0.25</v>
      </c>
      <c r="T89" s="241">
        <v>0.22</v>
      </c>
      <c r="U89" s="201">
        <f t="shared" si="11"/>
        <v>0.23499999999999999</v>
      </c>
      <c r="V89" s="240" t="s">
        <v>216</v>
      </c>
      <c r="W89" s="241" t="s">
        <v>216</v>
      </c>
      <c r="X89" s="201" t="str">
        <f t="shared" si="13"/>
        <v>OFF</v>
      </c>
      <c r="Y89" s="242">
        <v>0</v>
      </c>
    </row>
    <row r="90" spans="1:25" ht="15.75" x14ac:dyDescent="0.25">
      <c r="A90" s="31">
        <f>'M&amp;R Stations'!A82</f>
        <v>39041</v>
      </c>
      <c r="B90" s="240">
        <v>0.35</v>
      </c>
      <c r="C90" s="241">
        <v>0.3</v>
      </c>
      <c r="D90" s="201">
        <f t="shared" si="16"/>
        <v>0.32499999999999996</v>
      </c>
      <c r="E90" s="240">
        <v>0.35</v>
      </c>
      <c r="F90" s="241">
        <v>0.3</v>
      </c>
      <c r="G90" s="201">
        <f t="shared" si="8"/>
        <v>0.32499999999999996</v>
      </c>
      <c r="H90" s="240">
        <v>0.35</v>
      </c>
      <c r="I90" s="241">
        <v>0.3</v>
      </c>
      <c r="J90" s="201">
        <f t="shared" si="9"/>
        <v>0.32499999999999996</v>
      </c>
      <c r="K90" s="242">
        <v>0</v>
      </c>
      <c r="L90" s="194"/>
      <c r="M90" s="240">
        <v>0.28999999999999998</v>
      </c>
      <c r="N90" s="241">
        <v>0.25</v>
      </c>
      <c r="O90" s="201">
        <f t="shared" si="7"/>
        <v>0.27</v>
      </c>
      <c r="P90" s="240">
        <v>0.28999999999999998</v>
      </c>
      <c r="Q90" s="241">
        <v>0.15</v>
      </c>
      <c r="R90" s="201">
        <f t="shared" si="10"/>
        <v>0.21999999999999997</v>
      </c>
      <c r="S90" s="240">
        <v>0.28999999999999998</v>
      </c>
      <c r="T90" s="241">
        <v>0.25</v>
      </c>
      <c r="U90" s="201">
        <f t="shared" si="11"/>
        <v>0.27</v>
      </c>
      <c r="V90" s="240" t="s">
        <v>216</v>
      </c>
      <c r="W90" s="241" t="s">
        <v>216</v>
      </c>
      <c r="X90" s="201" t="str">
        <f t="shared" si="13"/>
        <v>OFF</v>
      </c>
      <c r="Y90" s="242">
        <v>0</v>
      </c>
    </row>
    <row r="91" spans="1:25" ht="15.75" x14ac:dyDescent="0.25">
      <c r="A91" s="31">
        <f>'M&amp;R Stations'!A83</f>
        <v>39042</v>
      </c>
      <c r="B91" s="240">
        <v>0.35</v>
      </c>
      <c r="C91" s="241">
        <v>0.3</v>
      </c>
      <c r="D91" s="201">
        <f t="shared" si="16"/>
        <v>0.32499999999999996</v>
      </c>
      <c r="E91" s="240">
        <v>0.35</v>
      </c>
      <c r="F91" s="241">
        <v>0.3</v>
      </c>
      <c r="G91" s="201">
        <f t="shared" si="8"/>
        <v>0.32499999999999996</v>
      </c>
      <c r="H91" s="240">
        <v>0.35</v>
      </c>
      <c r="I91" s="241">
        <v>0.26</v>
      </c>
      <c r="J91" s="201">
        <f t="shared" si="9"/>
        <v>0.30499999999999999</v>
      </c>
      <c r="K91" s="242">
        <v>0</v>
      </c>
      <c r="L91" s="194"/>
      <c r="M91" s="240">
        <v>0.28999999999999998</v>
      </c>
      <c r="N91" s="241">
        <v>0.25</v>
      </c>
      <c r="O91" s="201">
        <f t="shared" si="7"/>
        <v>0.27</v>
      </c>
      <c r="P91" s="240">
        <v>0.28999999999999998</v>
      </c>
      <c r="Q91" s="241">
        <v>0.28999999999999998</v>
      </c>
      <c r="R91" s="201">
        <f t="shared" si="10"/>
        <v>0.28999999999999998</v>
      </c>
      <c r="S91" s="240">
        <v>0.28999999999999998</v>
      </c>
      <c r="T91" s="241">
        <v>0.28999999999999998</v>
      </c>
      <c r="U91" s="201">
        <f t="shared" si="11"/>
        <v>0.28999999999999998</v>
      </c>
      <c r="V91" s="240" t="s">
        <v>216</v>
      </c>
      <c r="W91" s="241" t="s">
        <v>216</v>
      </c>
      <c r="X91" s="201" t="str">
        <f t="shared" si="13"/>
        <v>OFF</v>
      </c>
      <c r="Y91" s="242">
        <v>0</v>
      </c>
    </row>
    <row r="92" spans="1:25" ht="15.75" x14ac:dyDescent="0.25">
      <c r="A92" s="31">
        <f>'M&amp;R Stations'!A84</f>
        <v>39043</v>
      </c>
      <c r="B92" s="240">
        <v>0.26</v>
      </c>
      <c r="C92" s="241">
        <v>0.26</v>
      </c>
      <c r="D92" s="201">
        <f t="shared" si="16"/>
        <v>0.26</v>
      </c>
      <c r="E92" s="240">
        <v>0.3</v>
      </c>
      <c r="F92" s="241">
        <v>0.26</v>
      </c>
      <c r="G92" s="201">
        <f t="shared" si="8"/>
        <v>0.28000000000000003</v>
      </c>
      <c r="H92" s="240">
        <v>0.3</v>
      </c>
      <c r="I92" s="241">
        <v>0.26</v>
      </c>
      <c r="J92" s="201">
        <f t="shared" si="9"/>
        <v>0.28000000000000003</v>
      </c>
      <c r="K92" s="242">
        <v>0</v>
      </c>
      <c r="L92" s="194"/>
      <c r="M92" s="240">
        <v>0.28999999999999998</v>
      </c>
      <c r="N92" s="241">
        <v>0.25</v>
      </c>
      <c r="O92" s="201">
        <f t="shared" si="7"/>
        <v>0.27</v>
      </c>
      <c r="P92" s="240">
        <v>0.28999999999999998</v>
      </c>
      <c r="Q92" s="241">
        <v>0.25</v>
      </c>
      <c r="R92" s="201">
        <f t="shared" si="10"/>
        <v>0.27</v>
      </c>
      <c r="S92" s="240">
        <v>0.28999999999999998</v>
      </c>
      <c r="T92" s="241">
        <v>0.25</v>
      </c>
      <c r="U92" s="201">
        <f t="shared" si="11"/>
        <v>0.27</v>
      </c>
      <c r="V92" s="240" t="s">
        <v>216</v>
      </c>
      <c r="W92" s="241" t="s">
        <v>216</v>
      </c>
      <c r="X92" s="201" t="str">
        <f t="shared" si="13"/>
        <v>OFF</v>
      </c>
      <c r="Y92" s="242">
        <v>0</v>
      </c>
    </row>
    <row r="93" spans="1:25" ht="15.75" x14ac:dyDescent="0.25">
      <c r="A93" s="31">
        <f>'M&amp;R Stations'!A85</f>
        <v>39044</v>
      </c>
      <c r="B93" s="240">
        <v>0.26</v>
      </c>
      <c r="C93" s="241">
        <v>0.26</v>
      </c>
      <c r="D93" s="201">
        <f t="shared" si="16"/>
        <v>0.26</v>
      </c>
      <c r="E93" s="240">
        <v>0.3</v>
      </c>
      <c r="F93" s="241">
        <v>0.26</v>
      </c>
      <c r="G93" s="201">
        <f t="shared" si="8"/>
        <v>0.28000000000000003</v>
      </c>
      <c r="H93" s="240">
        <v>0.3</v>
      </c>
      <c r="I93" s="241">
        <v>0.26</v>
      </c>
      <c r="J93" s="201">
        <f t="shared" si="9"/>
        <v>0.28000000000000003</v>
      </c>
      <c r="K93" s="242">
        <v>0</v>
      </c>
      <c r="L93" s="194"/>
      <c r="M93" s="240">
        <v>0.28999999999999998</v>
      </c>
      <c r="N93" s="241">
        <v>0.28999999999999998</v>
      </c>
      <c r="O93" s="201">
        <f t="shared" si="7"/>
        <v>0.28999999999999998</v>
      </c>
      <c r="P93" s="240">
        <v>0.28999999999999998</v>
      </c>
      <c r="Q93" s="241">
        <v>0.28999999999999998</v>
      </c>
      <c r="R93" s="201">
        <f t="shared" si="10"/>
        <v>0.28999999999999998</v>
      </c>
      <c r="S93" s="240">
        <v>0.28999999999999998</v>
      </c>
      <c r="T93" s="241">
        <v>0.28999999999999998</v>
      </c>
      <c r="U93" s="201">
        <f t="shared" si="11"/>
        <v>0.28999999999999998</v>
      </c>
      <c r="V93" s="240" t="s">
        <v>216</v>
      </c>
      <c r="W93" s="241" t="s">
        <v>216</v>
      </c>
      <c r="X93" s="201" t="str">
        <f t="shared" si="13"/>
        <v>OFF</v>
      </c>
      <c r="Y93" s="242">
        <v>0</v>
      </c>
    </row>
    <row r="94" spans="1:25" ht="15.75" x14ac:dyDescent="0.25">
      <c r="A94" s="31">
        <f>'M&amp;R Stations'!A86</f>
        <v>39045</v>
      </c>
      <c r="B94" s="240">
        <v>0.3</v>
      </c>
      <c r="C94" s="241">
        <v>0.26</v>
      </c>
      <c r="D94" s="201">
        <f t="shared" si="16"/>
        <v>0.28000000000000003</v>
      </c>
      <c r="E94" s="240">
        <v>0.3</v>
      </c>
      <c r="F94" s="241">
        <v>0.26</v>
      </c>
      <c r="G94" s="201">
        <f t="shared" si="8"/>
        <v>0.28000000000000003</v>
      </c>
      <c r="H94" s="240">
        <v>0.3</v>
      </c>
      <c r="I94" s="241">
        <v>0.26</v>
      </c>
      <c r="J94" s="201">
        <f t="shared" si="9"/>
        <v>0.28000000000000003</v>
      </c>
      <c r="K94" s="242">
        <v>0</v>
      </c>
      <c r="L94" s="194"/>
      <c r="M94" s="240">
        <v>0.28999999999999998</v>
      </c>
      <c r="N94" s="241">
        <v>0.25</v>
      </c>
      <c r="O94" s="201">
        <f t="shared" si="7"/>
        <v>0.27</v>
      </c>
      <c r="P94" s="240">
        <v>0.28999999999999998</v>
      </c>
      <c r="Q94" s="241">
        <v>0.28999999999999998</v>
      </c>
      <c r="R94" s="201">
        <f t="shared" si="10"/>
        <v>0.28999999999999998</v>
      </c>
      <c r="S94" s="240">
        <v>0.28999999999999998</v>
      </c>
      <c r="T94" s="241">
        <v>0.28999999999999998</v>
      </c>
      <c r="U94" s="201">
        <f t="shared" si="11"/>
        <v>0.28999999999999998</v>
      </c>
      <c r="V94" s="240" t="s">
        <v>216</v>
      </c>
      <c r="W94" s="241" t="s">
        <v>216</v>
      </c>
      <c r="X94" s="201" t="str">
        <f t="shared" si="13"/>
        <v>OFF</v>
      </c>
      <c r="Y94" s="242">
        <v>0</v>
      </c>
    </row>
    <row r="95" spans="1:25" ht="15.75" x14ac:dyDescent="0.25">
      <c r="A95" s="31">
        <f>'M&amp;R Stations'!A87</f>
        <v>39046</v>
      </c>
      <c r="B95" s="240">
        <v>0.3</v>
      </c>
      <c r="C95" s="241">
        <v>0.26</v>
      </c>
      <c r="D95" s="201">
        <f t="shared" si="16"/>
        <v>0.28000000000000003</v>
      </c>
      <c r="E95" s="240">
        <v>0.3</v>
      </c>
      <c r="F95" s="241">
        <v>0.26</v>
      </c>
      <c r="G95" s="201">
        <f t="shared" si="8"/>
        <v>0.28000000000000003</v>
      </c>
      <c r="H95" s="240">
        <v>0.3</v>
      </c>
      <c r="I95" s="241">
        <v>0.26</v>
      </c>
      <c r="J95" s="201">
        <f t="shared" si="9"/>
        <v>0.28000000000000003</v>
      </c>
      <c r="K95" s="242">
        <v>0</v>
      </c>
      <c r="L95" s="194"/>
      <c r="M95" s="240">
        <v>0.28999999999999998</v>
      </c>
      <c r="N95" s="241">
        <v>0.25</v>
      </c>
      <c r="O95" s="201">
        <f t="shared" si="7"/>
        <v>0.27</v>
      </c>
      <c r="P95" s="240">
        <v>0.28999999999999998</v>
      </c>
      <c r="Q95" s="241">
        <v>0.25</v>
      </c>
      <c r="R95" s="201">
        <f t="shared" si="10"/>
        <v>0.27</v>
      </c>
      <c r="S95" s="240">
        <v>0.28999999999999998</v>
      </c>
      <c r="T95" s="241">
        <v>0.25</v>
      </c>
      <c r="U95" s="201">
        <f t="shared" si="11"/>
        <v>0.27</v>
      </c>
      <c r="V95" s="240" t="s">
        <v>216</v>
      </c>
      <c r="W95" s="241" t="s">
        <v>216</v>
      </c>
      <c r="X95" s="201" t="str">
        <f t="shared" si="13"/>
        <v>OFF</v>
      </c>
      <c r="Y95" s="242">
        <v>0</v>
      </c>
    </row>
    <row r="96" spans="1:25" ht="15.75" x14ac:dyDescent="0.25">
      <c r="A96" s="31">
        <f>'M&amp;R Stations'!A88</f>
        <v>39047</v>
      </c>
      <c r="B96" s="240">
        <v>0.3</v>
      </c>
      <c r="C96" s="241">
        <v>0.26</v>
      </c>
      <c r="D96" s="201">
        <f t="shared" si="16"/>
        <v>0.28000000000000003</v>
      </c>
      <c r="E96" s="240">
        <v>0.3</v>
      </c>
      <c r="F96" s="241">
        <v>0.26</v>
      </c>
      <c r="G96" s="201">
        <f t="shared" si="8"/>
        <v>0.28000000000000003</v>
      </c>
      <c r="H96" s="240">
        <v>0.35</v>
      </c>
      <c r="I96" s="241">
        <v>0.26</v>
      </c>
      <c r="J96" s="201">
        <f t="shared" si="9"/>
        <v>0.30499999999999999</v>
      </c>
      <c r="K96" s="242">
        <v>0</v>
      </c>
      <c r="L96" s="194"/>
      <c r="M96" s="240">
        <v>0.28999999999999998</v>
      </c>
      <c r="N96" s="241">
        <v>0.25</v>
      </c>
      <c r="O96" s="201">
        <f t="shared" si="7"/>
        <v>0.27</v>
      </c>
      <c r="P96" s="240">
        <v>0.28999999999999998</v>
      </c>
      <c r="Q96" s="241">
        <v>0.25</v>
      </c>
      <c r="R96" s="201">
        <f t="shared" si="10"/>
        <v>0.27</v>
      </c>
      <c r="S96" s="240">
        <v>0.28999999999999998</v>
      </c>
      <c r="T96" s="241">
        <v>0.25</v>
      </c>
      <c r="U96" s="201">
        <f t="shared" si="11"/>
        <v>0.27</v>
      </c>
      <c r="V96" s="240" t="s">
        <v>216</v>
      </c>
      <c r="W96" s="241" t="s">
        <v>216</v>
      </c>
      <c r="X96" s="201" t="str">
        <f t="shared" si="13"/>
        <v>OFF</v>
      </c>
      <c r="Y96" s="242">
        <v>0</v>
      </c>
    </row>
    <row r="97" spans="1:25" ht="15.75" x14ac:dyDescent="0.25">
      <c r="A97" s="31">
        <f>'M&amp;R Stations'!A89</f>
        <v>39048</v>
      </c>
      <c r="B97" s="240">
        <v>0.35</v>
      </c>
      <c r="C97" s="241">
        <v>0.32</v>
      </c>
      <c r="D97" s="201">
        <f t="shared" si="16"/>
        <v>0.33499999999999996</v>
      </c>
      <c r="E97" s="240">
        <v>0.35</v>
      </c>
      <c r="F97" s="241">
        <v>0.32</v>
      </c>
      <c r="G97" s="201">
        <f t="shared" si="8"/>
        <v>0.33499999999999996</v>
      </c>
      <c r="H97" s="240">
        <v>0.35</v>
      </c>
      <c r="I97" s="241">
        <v>0.32</v>
      </c>
      <c r="J97" s="201">
        <f t="shared" si="9"/>
        <v>0.33499999999999996</v>
      </c>
      <c r="K97" s="242">
        <v>0</v>
      </c>
      <c r="L97" s="194"/>
      <c r="M97" s="240">
        <v>0.28999999999999998</v>
      </c>
      <c r="N97" s="241">
        <v>0.25</v>
      </c>
      <c r="O97" s="201">
        <f t="shared" si="7"/>
        <v>0.27</v>
      </c>
      <c r="P97" s="240">
        <v>0.28999999999999998</v>
      </c>
      <c r="Q97" s="241">
        <v>0.25</v>
      </c>
      <c r="R97" s="201">
        <f t="shared" si="10"/>
        <v>0.27</v>
      </c>
      <c r="S97" s="240">
        <v>0.28999999999999998</v>
      </c>
      <c r="T97" s="241">
        <v>0.25</v>
      </c>
      <c r="U97" s="201">
        <f t="shared" si="11"/>
        <v>0.27</v>
      </c>
      <c r="V97" s="240" t="s">
        <v>216</v>
      </c>
      <c r="W97" s="241" t="s">
        <v>216</v>
      </c>
      <c r="X97" s="201" t="str">
        <f t="shared" si="13"/>
        <v>OFF</v>
      </c>
      <c r="Y97" s="242">
        <v>0</v>
      </c>
    </row>
    <row r="98" spans="1:25" ht="15.75" x14ac:dyDescent="0.25">
      <c r="A98" s="31">
        <f>'M&amp;R Stations'!A90</f>
        <v>39049</v>
      </c>
      <c r="B98" s="240">
        <v>0.35</v>
      </c>
      <c r="C98" s="241">
        <v>0.3</v>
      </c>
      <c r="D98" s="201">
        <f t="shared" si="16"/>
        <v>0.32499999999999996</v>
      </c>
      <c r="E98" s="240">
        <v>0.35</v>
      </c>
      <c r="F98" s="241">
        <v>0.3</v>
      </c>
      <c r="G98" s="201">
        <f t="shared" si="8"/>
        <v>0.32499999999999996</v>
      </c>
      <c r="H98" s="240">
        <v>0.35</v>
      </c>
      <c r="I98" s="241">
        <v>0.3</v>
      </c>
      <c r="J98" s="201">
        <f t="shared" si="9"/>
        <v>0.32499999999999996</v>
      </c>
      <c r="K98" s="242">
        <v>0</v>
      </c>
      <c r="L98" s="194"/>
      <c r="M98" s="240">
        <v>0.28999999999999998</v>
      </c>
      <c r="N98" s="241">
        <v>0.25</v>
      </c>
      <c r="O98" s="201">
        <f t="shared" si="7"/>
        <v>0.27</v>
      </c>
      <c r="P98" s="240">
        <v>0.28999999999999998</v>
      </c>
      <c r="Q98" s="241">
        <v>0.28999999999999998</v>
      </c>
      <c r="R98" s="201">
        <f t="shared" si="10"/>
        <v>0.28999999999999998</v>
      </c>
      <c r="S98" s="240">
        <v>0.28999999999999998</v>
      </c>
      <c r="T98" s="241">
        <v>0.28999999999999998</v>
      </c>
      <c r="U98" s="201">
        <f t="shared" si="11"/>
        <v>0.28999999999999998</v>
      </c>
      <c r="V98" s="240" t="s">
        <v>216</v>
      </c>
      <c r="W98" s="241" t="s">
        <v>216</v>
      </c>
      <c r="X98" s="201" t="str">
        <f t="shared" si="13"/>
        <v>OFF</v>
      </c>
      <c r="Y98" s="242">
        <v>0</v>
      </c>
    </row>
    <row r="99" spans="1:25" ht="15.75" x14ac:dyDescent="0.25">
      <c r="A99" s="31">
        <f>'M&amp;R Stations'!A91</f>
        <v>39050</v>
      </c>
      <c r="B99" s="240">
        <v>0.3</v>
      </c>
      <c r="C99" s="241">
        <v>0.3</v>
      </c>
      <c r="D99" s="201">
        <f t="shared" si="16"/>
        <v>0.3</v>
      </c>
      <c r="E99" s="240">
        <v>0.3</v>
      </c>
      <c r="F99" s="241">
        <v>0.3</v>
      </c>
      <c r="G99" s="201">
        <f t="shared" si="8"/>
        <v>0.3</v>
      </c>
      <c r="H99" s="240">
        <v>0.3</v>
      </c>
      <c r="I99" s="241">
        <v>0.26</v>
      </c>
      <c r="J99" s="201">
        <f t="shared" si="9"/>
        <v>0.28000000000000003</v>
      </c>
      <c r="K99" s="242">
        <v>0</v>
      </c>
      <c r="L99" s="194"/>
      <c r="M99" s="240">
        <v>0.28999999999999998</v>
      </c>
      <c r="N99" s="241">
        <v>0.25</v>
      </c>
      <c r="O99" s="201">
        <f t="shared" si="7"/>
        <v>0.27</v>
      </c>
      <c r="P99" s="240">
        <v>0.28999999999999998</v>
      </c>
      <c r="Q99" s="241">
        <v>0.25</v>
      </c>
      <c r="R99" s="201">
        <f t="shared" si="10"/>
        <v>0.27</v>
      </c>
      <c r="S99" s="240">
        <v>0.28999999999999998</v>
      </c>
      <c r="T99" s="241">
        <v>0.25</v>
      </c>
      <c r="U99" s="201">
        <f t="shared" si="11"/>
        <v>0.27</v>
      </c>
      <c r="V99" s="240" t="s">
        <v>216</v>
      </c>
      <c r="W99" s="241" t="s">
        <v>216</v>
      </c>
      <c r="X99" s="201" t="str">
        <f t="shared" si="13"/>
        <v>OFF</v>
      </c>
      <c r="Y99" s="242">
        <v>0</v>
      </c>
    </row>
    <row r="100" spans="1:25" ht="15.75" x14ac:dyDescent="0.25">
      <c r="A100" s="31">
        <f>'M&amp;R Stations'!A92</f>
        <v>39051</v>
      </c>
      <c r="B100" s="240">
        <v>0.3</v>
      </c>
      <c r="C100" s="241">
        <v>0.26</v>
      </c>
      <c r="D100" s="201">
        <f t="shared" si="16"/>
        <v>0.28000000000000003</v>
      </c>
      <c r="E100" s="240">
        <v>0.3</v>
      </c>
      <c r="F100" s="241">
        <v>0.26</v>
      </c>
      <c r="G100" s="201">
        <f t="shared" si="8"/>
        <v>0.28000000000000003</v>
      </c>
      <c r="H100" s="240">
        <v>0.3</v>
      </c>
      <c r="I100" s="241">
        <v>0.26</v>
      </c>
      <c r="J100" s="201">
        <f t="shared" si="9"/>
        <v>0.28000000000000003</v>
      </c>
      <c r="K100" s="242">
        <v>0</v>
      </c>
      <c r="L100" s="194"/>
      <c r="M100" s="240">
        <v>0.28999999999999998</v>
      </c>
      <c r="N100" s="241">
        <v>0.25</v>
      </c>
      <c r="O100" s="201">
        <f t="shared" si="7"/>
        <v>0.27</v>
      </c>
      <c r="P100" s="240">
        <v>0.34</v>
      </c>
      <c r="Q100" s="241">
        <v>0.25</v>
      </c>
      <c r="R100" s="201">
        <f t="shared" si="10"/>
        <v>0.29500000000000004</v>
      </c>
      <c r="S100" s="240">
        <v>0.28999999999999998</v>
      </c>
      <c r="T100" s="241">
        <v>0.25</v>
      </c>
      <c r="U100" s="201">
        <f t="shared" si="11"/>
        <v>0.27</v>
      </c>
      <c r="V100" s="240" t="s">
        <v>216</v>
      </c>
      <c r="W100" s="241" t="s">
        <v>216</v>
      </c>
      <c r="X100" s="201" t="str">
        <f t="shared" si="13"/>
        <v>OFF</v>
      </c>
      <c r="Y100" s="242">
        <v>0</v>
      </c>
    </row>
    <row r="101" spans="1:25" ht="15.75" x14ac:dyDescent="0.25">
      <c r="A101" s="96"/>
      <c r="B101" s="203"/>
      <c r="C101" s="204"/>
      <c r="D101" s="205"/>
      <c r="E101" s="203"/>
      <c r="F101" s="204"/>
      <c r="G101" s="205"/>
      <c r="H101" s="203"/>
      <c r="I101" s="204"/>
      <c r="J101" s="206"/>
      <c r="K101" s="208"/>
      <c r="L101" s="207"/>
      <c r="M101" s="203"/>
      <c r="N101" s="204"/>
      <c r="O101" s="206"/>
      <c r="P101" s="203"/>
      <c r="Q101" s="204"/>
      <c r="R101" s="206"/>
      <c r="S101" s="203"/>
      <c r="T101" s="204"/>
      <c r="U101" s="206"/>
      <c r="V101" s="203"/>
      <c r="W101" s="204"/>
      <c r="X101" s="206"/>
      <c r="Y101" s="208"/>
    </row>
    <row r="102" spans="1:25" ht="15.75" x14ac:dyDescent="0.25">
      <c r="A102" s="31">
        <f>'M&amp;R Stations'!A93</f>
        <v>39052</v>
      </c>
      <c r="B102" s="240">
        <v>0.35</v>
      </c>
      <c r="C102" s="241">
        <v>0.26</v>
      </c>
      <c r="D102" s="201">
        <f t="shared" ref="D102:D135" si="17">IF(AND(B102="",C102=""),"",IF(B102="off",C102,IF(C102="off",B102,AVERAGE(B102:C102))))</f>
        <v>0.30499999999999999</v>
      </c>
      <c r="E102" s="240">
        <v>0.35</v>
      </c>
      <c r="F102" s="241">
        <v>0.26</v>
      </c>
      <c r="G102" s="201">
        <f t="shared" ref="G102:G132" si="18">IF(AND(E102="",F102=""),"",IF(E102="off",F102,IF(F102="off",E102,AVERAGE(E102:F102))))</f>
        <v>0.30499999999999999</v>
      </c>
      <c r="H102" s="240">
        <v>0.35</v>
      </c>
      <c r="I102" s="241">
        <v>0.26</v>
      </c>
      <c r="J102" s="201">
        <f t="shared" ref="J102:J132" si="19">IF(AND(H102="",I102=""),"",IF(H102="off",I102,IF(I102="off",H102,AVERAGE(H102:I102))))</f>
        <v>0.30499999999999999</v>
      </c>
      <c r="K102" s="242">
        <v>0</v>
      </c>
      <c r="L102" s="194"/>
      <c r="M102" s="240">
        <v>0.22</v>
      </c>
      <c r="N102" s="241">
        <v>0.19</v>
      </c>
      <c r="O102" s="201">
        <f t="shared" ref="O102:O132" si="20">IF(AND(M102="",N102=""),"",IF(M102="off",N102,IF(N102="off",M102,AVERAGE(M102:N102))))</f>
        <v>0.20500000000000002</v>
      </c>
      <c r="P102" s="240">
        <v>0.22</v>
      </c>
      <c r="Q102" s="241">
        <v>0.19</v>
      </c>
      <c r="R102" s="201">
        <f t="shared" ref="R102:R132" si="21">IF(AND(P102="",Q102=""),"",IF(P102="off",Q102,IF(Q102="off",P102,AVERAGE(P102:Q102))))</f>
        <v>0.20500000000000002</v>
      </c>
      <c r="S102" s="240">
        <v>0.22</v>
      </c>
      <c r="T102" s="241">
        <v>0.17</v>
      </c>
      <c r="U102" s="201">
        <f t="shared" ref="U102:U132" si="22">IF(AND(S102="",T102=""),"",IF(S102="off",T102,IF(T102="off",S102,AVERAGE(S102:T102))))</f>
        <v>0.19500000000000001</v>
      </c>
      <c r="V102" s="240" t="s">
        <v>216</v>
      </c>
      <c r="W102" s="241" t="s">
        <v>216</v>
      </c>
      <c r="X102" s="201" t="str">
        <f t="shared" ref="X102:X132" si="23">IF(AND(V102="",W102=""),"",IF(V102="off",W102,IF(W102="off",V102,AVERAGE(V102:W102))))</f>
        <v>OFF</v>
      </c>
      <c r="Y102" s="242">
        <v>0</v>
      </c>
    </row>
    <row r="103" spans="1:25" ht="15.75" x14ac:dyDescent="0.25">
      <c r="A103" s="31">
        <f>'M&amp;R Stations'!A94</f>
        <v>39053</v>
      </c>
      <c r="B103" s="240">
        <v>0.35</v>
      </c>
      <c r="C103" s="241">
        <v>0.26</v>
      </c>
      <c r="D103" s="201">
        <f t="shared" si="17"/>
        <v>0.30499999999999999</v>
      </c>
      <c r="E103" s="240">
        <v>0.35</v>
      </c>
      <c r="F103" s="241">
        <v>0.26</v>
      </c>
      <c r="G103" s="201">
        <f t="shared" si="18"/>
        <v>0.30499999999999999</v>
      </c>
      <c r="H103" s="240">
        <v>0.35</v>
      </c>
      <c r="I103" s="241">
        <v>0.26</v>
      </c>
      <c r="J103" s="201">
        <f t="shared" si="19"/>
        <v>0.30499999999999999</v>
      </c>
      <c r="K103" s="242">
        <v>0</v>
      </c>
      <c r="L103" s="194"/>
      <c r="M103" s="240">
        <v>0.19</v>
      </c>
      <c r="N103" s="241">
        <v>0.17</v>
      </c>
      <c r="O103" s="201">
        <f t="shared" si="20"/>
        <v>0.18</v>
      </c>
      <c r="P103" s="240">
        <v>0.19</v>
      </c>
      <c r="Q103" s="241">
        <v>0.19</v>
      </c>
      <c r="R103" s="201">
        <f t="shared" si="21"/>
        <v>0.19</v>
      </c>
      <c r="S103" s="240">
        <v>0.19</v>
      </c>
      <c r="T103" s="241">
        <v>0.17</v>
      </c>
      <c r="U103" s="201">
        <f t="shared" si="22"/>
        <v>0.18</v>
      </c>
      <c r="V103" s="240" t="s">
        <v>216</v>
      </c>
      <c r="W103" s="241" t="s">
        <v>216</v>
      </c>
      <c r="X103" s="201" t="str">
        <f t="shared" si="23"/>
        <v>OFF</v>
      </c>
      <c r="Y103" s="242">
        <v>0</v>
      </c>
    </row>
    <row r="104" spans="1:25" ht="15.75" x14ac:dyDescent="0.25">
      <c r="A104" s="31">
        <f>'M&amp;R Stations'!A95</f>
        <v>39054</v>
      </c>
      <c r="B104" s="240">
        <v>0.3</v>
      </c>
      <c r="C104" s="241">
        <v>0.26</v>
      </c>
      <c r="D104" s="201">
        <f t="shared" si="17"/>
        <v>0.28000000000000003</v>
      </c>
      <c r="E104" s="240">
        <v>0.3</v>
      </c>
      <c r="F104" s="241">
        <v>0.26</v>
      </c>
      <c r="G104" s="201">
        <f t="shared" si="18"/>
        <v>0.28000000000000003</v>
      </c>
      <c r="H104" s="240">
        <v>0.35</v>
      </c>
      <c r="I104" s="241">
        <v>0.26</v>
      </c>
      <c r="J104" s="201">
        <f t="shared" si="19"/>
        <v>0.30499999999999999</v>
      </c>
      <c r="K104" s="242">
        <v>0</v>
      </c>
      <c r="L104" s="194"/>
      <c r="M104" s="240">
        <v>0.19</v>
      </c>
      <c r="N104" s="241">
        <v>0.17</v>
      </c>
      <c r="O104" s="201">
        <f t="shared" si="20"/>
        <v>0.18</v>
      </c>
      <c r="P104" s="240">
        <v>0.19</v>
      </c>
      <c r="Q104" s="241">
        <v>0.19</v>
      </c>
      <c r="R104" s="201">
        <f t="shared" si="21"/>
        <v>0.19</v>
      </c>
      <c r="S104" s="240">
        <v>0.19</v>
      </c>
      <c r="T104" s="241">
        <v>0.19</v>
      </c>
      <c r="U104" s="201">
        <f t="shared" si="22"/>
        <v>0.19</v>
      </c>
      <c r="V104" s="240" t="s">
        <v>216</v>
      </c>
      <c r="W104" s="241" t="s">
        <v>216</v>
      </c>
      <c r="X104" s="201" t="str">
        <f t="shared" si="23"/>
        <v>OFF</v>
      </c>
      <c r="Y104" s="242">
        <v>0</v>
      </c>
    </row>
    <row r="105" spans="1:25" ht="15.75" x14ac:dyDescent="0.25">
      <c r="A105" s="31">
        <f>'M&amp;R Stations'!A96</f>
        <v>39055</v>
      </c>
      <c r="B105" s="240">
        <v>0.35</v>
      </c>
      <c r="C105" s="241">
        <v>0.35</v>
      </c>
      <c r="D105" s="201">
        <f t="shared" si="17"/>
        <v>0.35</v>
      </c>
      <c r="E105" s="240">
        <v>0.35</v>
      </c>
      <c r="F105" s="241">
        <v>0.35</v>
      </c>
      <c r="G105" s="201">
        <f t="shared" si="18"/>
        <v>0.35</v>
      </c>
      <c r="H105" s="240">
        <v>0.35</v>
      </c>
      <c r="I105" s="241">
        <v>0.26</v>
      </c>
      <c r="J105" s="201">
        <f t="shared" si="19"/>
        <v>0.30499999999999999</v>
      </c>
      <c r="K105" s="242">
        <v>0</v>
      </c>
      <c r="L105" s="194"/>
      <c r="M105" s="240">
        <v>0.22</v>
      </c>
      <c r="N105" s="241">
        <v>0.19</v>
      </c>
      <c r="O105" s="201">
        <f t="shared" si="20"/>
        <v>0.20500000000000002</v>
      </c>
      <c r="P105" s="240">
        <v>0.22</v>
      </c>
      <c r="Q105" s="241">
        <v>0.19</v>
      </c>
      <c r="R105" s="201">
        <f t="shared" si="21"/>
        <v>0.20500000000000002</v>
      </c>
      <c r="S105" s="240">
        <v>0.22</v>
      </c>
      <c r="T105" s="241">
        <v>0.17</v>
      </c>
      <c r="U105" s="201">
        <f t="shared" si="22"/>
        <v>0.19500000000000001</v>
      </c>
      <c r="V105" s="240" t="s">
        <v>216</v>
      </c>
      <c r="W105" s="241" t="s">
        <v>216</v>
      </c>
      <c r="X105" s="201" t="str">
        <f t="shared" si="23"/>
        <v>OFF</v>
      </c>
      <c r="Y105" s="242">
        <v>0</v>
      </c>
    </row>
    <row r="106" spans="1:25" ht="15.75" x14ac:dyDescent="0.25">
      <c r="A106" s="31">
        <f>'M&amp;R Stations'!A97</f>
        <v>39056</v>
      </c>
      <c r="B106" s="240">
        <v>0.35</v>
      </c>
      <c r="C106" s="241">
        <v>0.26</v>
      </c>
      <c r="D106" s="201">
        <f t="shared" si="17"/>
        <v>0.30499999999999999</v>
      </c>
      <c r="E106" s="240">
        <v>0.35</v>
      </c>
      <c r="F106" s="241">
        <v>0.26</v>
      </c>
      <c r="G106" s="201">
        <f t="shared" si="18"/>
        <v>0.30499999999999999</v>
      </c>
      <c r="H106" s="240">
        <v>0.35</v>
      </c>
      <c r="I106" s="241">
        <v>0.26</v>
      </c>
      <c r="J106" s="201">
        <f t="shared" si="19"/>
        <v>0.30499999999999999</v>
      </c>
      <c r="K106" s="242">
        <v>0</v>
      </c>
      <c r="L106" s="194"/>
      <c r="M106" s="240">
        <v>0.19</v>
      </c>
      <c r="N106" s="241">
        <v>0.19</v>
      </c>
      <c r="O106" s="201">
        <f t="shared" si="20"/>
        <v>0.19</v>
      </c>
      <c r="P106" s="240">
        <v>0.19</v>
      </c>
      <c r="Q106" s="241">
        <v>0.19</v>
      </c>
      <c r="R106" s="201">
        <f t="shared" si="21"/>
        <v>0.19</v>
      </c>
      <c r="S106" s="240">
        <v>0.19</v>
      </c>
      <c r="T106" s="241">
        <v>0.19</v>
      </c>
      <c r="U106" s="201">
        <f t="shared" si="22"/>
        <v>0.19</v>
      </c>
      <c r="V106" s="240" t="s">
        <v>216</v>
      </c>
      <c r="W106" s="241" t="s">
        <v>216</v>
      </c>
      <c r="X106" s="201" t="str">
        <f t="shared" si="23"/>
        <v>OFF</v>
      </c>
      <c r="Y106" s="242">
        <v>0</v>
      </c>
    </row>
    <row r="107" spans="1:25" ht="15.75" x14ac:dyDescent="0.25">
      <c r="A107" s="31">
        <f>'M&amp;R Stations'!A98</f>
        <v>39057</v>
      </c>
      <c r="B107" s="240">
        <v>0.3</v>
      </c>
      <c r="C107" s="241">
        <v>0.26</v>
      </c>
      <c r="D107" s="201">
        <f t="shared" si="17"/>
        <v>0.28000000000000003</v>
      </c>
      <c r="E107" s="240">
        <v>0.3</v>
      </c>
      <c r="F107" s="241">
        <v>0.26</v>
      </c>
      <c r="G107" s="201">
        <f t="shared" si="18"/>
        <v>0.28000000000000003</v>
      </c>
      <c r="H107" s="240">
        <v>0.3</v>
      </c>
      <c r="I107" s="241">
        <v>0.26</v>
      </c>
      <c r="J107" s="201">
        <f t="shared" si="19"/>
        <v>0.28000000000000003</v>
      </c>
      <c r="K107" s="242">
        <v>0</v>
      </c>
      <c r="L107" s="194"/>
      <c r="M107" s="240">
        <v>0.19</v>
      </c>
      <c r="N107" s="241">
        <v>0.14000000000000001</v>
      </c>
      <c r="O107" s="201">
        <f t="shared" si="20"/>
        <v>0.16500000000000001</v>
      </c>
      <c r="P107" s="240">
        <v>0.19</v>
      </c>
      <c r="Q107" s="241">
        <v>0.14000000000000001</v>
      </c>
      <c r="R107" s="201">
        <f t="shared" si="21"/>
        <v>0.16500000000000001</v>
      </c>
      <c r="S107" s="240">
        <v>0.19</v>
      </c>
      <c r="T107" s="241">
        <v>0.14000000000000001</v>
      </c>
      <c r="U107" s="201">
        <f t="shared" si="22"/>
        <v>0.16500000000000001</v>
      </c>
      <c r="V107" s="240" t="s">
        <v>216</v>
      </c>
      <c r="W107" s="241" t="s">
        <v>216</v>
      </c>
      <c r="X107" s="201" t="str">
        <f t="shared" si="23"/>
        <v>OFF</v>
      </c>
      <c r="Y107" s="242">
        <v>0</v>
      </c>
    </row>
    <row r="108" spans="1:25" ht="15.75" x14ac:dyDescent="0.25">
      <c r="A108" s="31">
        <f>'M&amp;R Stations'!A99</f>
        <v>39058</v>
      </c>
      <c r="B108" s="240">
        <v>0.3</v>
      </c>
      <c r="C108" s="241">
        <v>0.26</v>
      </c>
      <c r="D108" s="201">
        <f t="shared" si="17"/>
        <v>0.28000000000000003</v>
      </c>
      <c r="E108" s="240">
        <v>0.3</v>
      </c>
      <c r="F108" s="241">
        <v>0.26</v>
      </c>
      <c r="G108" s="201">
        <f t="shared" si="18"/>
        <v>0.28000000000000003</v>
      </c>
      <c r="H108" s="240">
        <v>0.3</v>
      </c>
      <c r="I108" s="241">
        <v>0.26</v>
      </c>
      <c r="J108" s="201">
        <f t="shared" si="19"/>
        <v>0.28000000000000003</v>
      </c>
      <c r="K108" s="242">
        <v>0</v>
      </c>
      <c r="L108" s="194"/>
      <c r="M108" s="240">
        <v>0.22</v>
      </c>
      <c r="N108" s="241">
        <v>0.17</v>
      </c>
      <c r="O108" s="201">
        <f t="shared" si="20"/>
        <v>0.19500000000000001</v>
      </c>
      <c r="P108" s="240">
        <v>0.22</v>
      </c>
      <c r="Q108" s="241">
        <v>0.14000000000000001</v>
      </c>
      <c r="R108" s="201">
        <f t="shared" si="21"/>
        <v>0.18</v>
      </c>
      <c r="S108" s="240">
        <v>0.22</v>
      </c>
      <c r="T108" s="241">
        <v>0.17</v>
      </c>
      <c r="U108" s="201">
        <f t="shared" si="22"/>
        <v>0.19500000000000001</v>
      </c>
      <c r="V108" s="240" t="s">
        <v>216</v>
      </c>
      <c r="W108" s="241" t="s">
        <v>216</v>
      </c>
      <c r="X108" s="201" t="str">
        <f t="shared" si="23"/>
        <v>OFF</v>
      </c>
      <c r="Y108" s="242">
        <v>0</v>
      </c>
    </row>
    <row r="109" spans="1:25" ht="15.75" x14ac:dyDescent="0.25">
      <c r="A109" s="31">
        <f>'M&amp;R Stations'!A100</f>
        <v>39059</v>
      </c>
      <c r="B109" s="240">
        <v>0.35</v>
      </c>
      <c r="C109" s="241">
        <v>0.26</v>
      </c>
      <c r="D109" s="201">
        <f t="shared" si="17"/>
        <v>0.30499999999999999</v>
      </c>
      <c r="E109" s="240">
        <v>0.35</v>
      </c>
      <c r="F109" s="241">
        <v>0.26</v>
      </c>
      <c r="G109" s="201">
        <f t="shared" si="18"/>
        <v>0.30499999999999999</v>
      </c>
      <c r="H109" s="240">
        <v>0.35</v>
      </c>
      <c r="I109" s="241">
        <v>0.26</v>
      </c>
      <c r="J109" s="201">
        <f t="shared" si="19"/>
        <v>0.30499999999999999</v>
      </c>
      <c r="K109" s="242">
        <v>1.97</v>
      </c>
      <c r="L109" s="194"/>
      <c r="M109" s="240">
        <v>0.19</v>
      </c>
      <c r="N109" s="241">
        <v>0.19</v>
      </c>
      <c r="O109" s="201">
        <f t="shared" si="20"/>
        <v>0.19</v>
      </c>
      <c r="P109" s="240">
        <v>0.19</v>
      </c>
      <c r="Q109" s="241">
        <v>0.19</v>
      </c>
      <c r="R109" s="201">
        <f t="shared" si="21"/>
        <v>0.19</v>
      </c>
      <c r="S109" s="240">
        <v>0.19</v>
      </c>
      <c r="T109" s="241">
        <v>0.19</v>
      </c>
      <c r="U109" s="201">
        <f t="shared" si="22"/>
        <v>0.19</v>
      </c>
      <c r="V109" s="240">
        <v>0.19</v>
      </c>
      <c r="W109" s="241">
        <v>0.19</v>
      </c>
      <c r="X109" s="201">
        <f t="shared" si="23"/>
        <v>0.19</v>
      </c>
      <c r="Y109" s="242">
        <v>2.69</v>
      </c>
    </row>
    <row r="110" spans="1:25" ht="15.75" x14ac:dyDescent="0.25">
      <c r="A110" s="31">
        <f>'M&amp;R Stations'!A101</f>
        <v>39060</v>
      </c>
      <c r="B110" s="240">
        <v>0.35</v>
      </c>
      <c r="C110" s="241">
        <v>0.3</v>
      </c>
      <c r="D110" s="201">
        <f t="shared" si="17"/>
        <v>0.32499999999999996</v>
      </c>
      <c r="E110" s="240">
        <v>0.35</v>
      </c>
      <c r="F110" s="241">
        <v>0.3</v>
      </c>
      <c r="G110" s="201">
        <f t="shared" si="18"/>
        <v>0.32499999999999996</v>
      </c>
      <c r="H110" s="240">
        <v>0.35</v>
      </c>
      <c r="I110" s="241">
        <v>0.26</v>
      </c>
      <c r="J110" s="201">
        <f t="shared" si="19"/>
        <v>0.30499999999999999</v>
      </c>
      <c r="K110" s="242">
        <v>0.48899999999999999</v>
      </c>
      <c r="L110" s="194"/>
      <c r="M110" s="240">
        <v>0.22</v>
      </c>
      <c r="N110" s="241">
        <v>0.19</v>
      </c>
      <c r="O110" s="201">
        <f t="shared" si="20"/>
        <v>0.20500000000000002</v>
      </c>
      <c r="P110" s="240">
        <v>0.19</v>
      </c>
      <c r="Q110" s="241">
        <v>0.19</v>
      </c>
      <c r="R110" s="201">
        <f t="shared" si="21"/>
        <v>0.19</v>
      </c>
      <c r="S110" s="240">
        <v>0.19</v>
      </c>
      <c r="T110" s="241">
        <v>0.19</v>
      </c>
      <c r="U110" s="201">
        <f t="shared" si="22"/>
        <v>0.19</v>
      </c>
      <c r="V110" s="240" t="s">
        <v>216</v>
      </c>
      <c r="W110" s="241" t="s">
        <v>216</v>
      </c>
      <c r="X110" s="201" t="str">
        <f t="shared" si="23"/>
        <v>OFF</v>
      </c>
      <c r="Y110" s="242">
        <v>0</v>
      </c>
    </row>
    <row r="111" spans="1:25" ht="15.75" x14ac:dyDescent="0.25">
      <c r="A111" s="31">
        <f>'M&amp;R Stations'!A102</f>
        <v>39061</v>
      </c>
      <c r="B111" s="240">
        <v>0.35</v>
      </c>
      <c r="C111" s="241">
        <v>0.3</v>
      </c>
      <c r="D111" s="201">
        <f t="shared" si="17"/>
        <v>0.32499999999999996</v>
      </c>
      <c r="E111" s="240">
        <v>0.35</v>
      </c>
      <c r="F111" s="241">
        <v>0.3</v>
      </c>
      <c r="G111" s="201">
        <f t="shared" si="18"/>
        <v>0.32499999999999996</v>
      </c>
      <c r="H111" s="240">
        <v>0.35</v>
      </c>
      <c r="I111" s="241">
        <v>0.3</v>
      </c>
      <c r="J111" s="201">
        <f t="shared" si="19"/>
        <v>0.32499999999999996</v>
      </c>
      <c r="K111" s="242">
        <v>0</v>
      </c>
      <c r="L111" s="194"/>
      <c r="M111" s="240">
        <v>0.22</v>
      </c>
      <c r="N111" s="241">
        <v>0.22</v>
      </c>
      <c r="O111" s="201">
        <f t="shared" si="20"/>
        <v>0.22</v>
      </c>
      <c r="P111" s="240">
        <v>0.19</v>
      </c>
      <c r="Q111" s="241">
        <v>0.19</v>
      </c>
      <c r="R111" s="201">
        <f t="shared" si="21"/>
        <v>0.19</v>
      </c>
      <c r="S111" s="240">
        <v>0.19</v>
      </c>
      <c r="T111" s="241">
        <v>0.19</v>
      </c>
      <c r="U111" s="201">
        <f t="shared" si="22"/>
        <v>0.19</v>
      </c>
      <c r="V111" s="240" t="s">
        <v>216</v>
      </c>
      <c r="W111" s="241" t="s">
        <v>216</v>
      </c>
      <c r="X111" s="201" t="str">
        <f t="shared" si="23"/>
        <v>OFF</v>
      </c>
      <c r="Y111" s="242">
        <v>0</v>
      </c>
    </row>
    <row r="112" spans="1:25" ht="15.75" x14ac:dyDescent="0.25">
      <c r="A112" s="31">
        <f>'M&amp;R Stations'!A103</f>
        <v>39062</v>
      </c>
      <c r="B112" s="240">
        <v>0.35</v>
      </c>
      <c r="C112" s="241">
        <v>0.3</v>
      </c>
      <c r="D112" s="201">
        <f t="shared" si="17"/>
        <v>0.32499999999999996</v>
      </c>
      <c r="E112" s="240">
        <v>0.35</v>
      </c>
      <c r="F112" s="241">
        <v>0.3</v>
      </c>
      <c r="G112" s="201">
        <f t="shared" si="18"/>
        <v>0.32499999999999996</v>
      </c>
      <c r="H112" s="240">
        <v>0.35</v>
      </c>
      <c r="I112" s="241">
        <v>0.3</v>
      </c>
      <c r="J112" s="201">
        <f t="shared" si="19"/>
        <v>0.32499999999999996</v>
      </c>
      <c r="K112" s="242">
        <v>0</v>
      </c>
      <c r="L112" s="194"/>
      <c r="M112" s="240">
        <v>0.22</v>
      </c>
      <c r="N112" s="241">
        <v>0.19</v>
      </c>
      <c r="O112" s="201">
        <f t="shared" si="20"/>
        <v>0.20500000000000002</v>
      </c>
      <c r="P112" s="240">
        <v>0.22</v>
      </c>
      <c r="Q112" s="241">
        <v>0.19</v>
      </c>
      <c r="R112" s="201">
        <f t="shared" si="21"/>
        <v>0.20500000000000002</v>
      </c>
      <c r="S112" s="240">
        <v>0.22</v>
      </c>
      <c r="T112" s="241">
        <v>0.19</v>
      </c>
      <c r="U112" s="201">
        <f t="shared" si="22"/>
        <v>0.20500000000000002</v>
      </c>
      <c r="V112" s="240" t="s">
        <v>216</v>
      </c>
      <c r="W112" s="241" t="s">
        <v>216</v>
      </c>
      <c r="X112" s="201" t="str">
        <f t="shared" si="23"/>
        <v>OFF</v>
      </c>
      <c r="Y112" s="242">
        <v>0</v>
      </c>
    </row>
    <row r="113" spans="1:25" ht="15.75" x14ac:dyDescent="0.25">
      <c r="A113" s="31">
        <f>'M&amp;R Stations'!A104</f>
        <v>39063</v>
      </c>
      <c r="B113" s="240">
        <v>0.35</v>
      </c>
      <c r="C113" s="241">
        <v>0.3</v>
      </c>
      <c r="D113" s="201">
        <f t="shared" si="17"/>
        <v>0.32499999999999996</v>
      </c>
      <c r="E113" s="240">
        <v>0.35</v>
      </c>
      <c r="F113" s="241">
        <v>0.3</v>
      </c>
      <c r="G113" s="201">
        <f t="shared" si="18"/>
        <v>0.32499999999999996</v>
      </c>
      <c r="H113" s="240">
        <v>0.35</v>
      </c>
      <c r="I113" s="241">
        <v>0.26</v>
      </c>
      <c r="J113" s="201">
        <f t="shared" si="19"/>
        <v>0.30499999999999999</v>
      </c>
      <c r="K113" s="242">
        <v>0</v>
      </c>
      <c r="L113" s="194"/>
      <c r="M113" s="240">
        <v>0.22</v>
      </c>
      <c r="N113" s="241">
        <v>0.19</v>
      </c>
      <c r="O113" s="201">
        <f t="shared" si="20"/>
        <v>0.20500000000000002</v>
      </c>
      <c r="P113" s="240">
        <v>0.19</v>
      </c>
      <c r="Q113" s="241">
        <v>0.19</v>
      </c>
      <c r="R113" s="201">
        <f t="shared" si="21"/>
        <v>0.19</v>
      </c>
      <c r="S113" s="240">
        <v>0.19</v>
      </c>
      <c r="T113" s="241">
        <v>0.19</v>
      </c>
      <c r="U113" s="201">
        <f t="shared" si="22"/>
        <v>0.19</v>
      </c>
      <c r="V113" s="240" t="s">
        <v>216</v>
      </c>
      <c r="W113" s="241" t="s">
        <v>216</v>
      </c>
      <c r="X113" s="201" t="str">
        <f t="shared" si="23"/>
        <v>OFF</v>
      </c>
      <c r="Y113" s="242">
        <v>0</v>
      </c>
    </row>
    <row r="114" spans="1:25" ht="15.75" x14ac:dyDescent="0.25">
      <c r="A114" s="31">
        <f>'M&amp;R Stations'!A105</f>
        <v>39064</v>
      </c>
      <c r="B114" s="240">
        <v>0.3</v>
      </c>
      <c r="C114" s="241">
        <v>0.26</v>
      </c>
      <c r="D114" s="201">
        <f t="shared" si="17"/>
        <v>0.28000000000000003</v>
      </c>
      <c r="E114" s="240">
        <v>0.3</v>
      </c>
      <c r="F114" s="241">
        <v>0.26</v>
      </c>
      <c r="G114" s="201">
        <f t="shared" si="18"/>
        <v>0.28000000000000003</v>
      </c>
      <c r="H114" s="240">
        <v>0.3</v>
      </c>
      <c r="I114" s="241">
        <v>0.26</v>
      </c>
      <c r="J114" s="201">
        <f t="shared" si="19"/>
        <v>0.28000000000000003</v>
      </c>
      <c r="K114" s="242">
        <v>0</v>
      </c>
      <c r="L114" s="194"/>
      <c r="M114" s="240">
        <v>0.22</v>
      </c>
      <c r="N114" s="241">
        <v>0.19</v>
      </c>
      <c r="O114" s="201">
        <f t="shared" si="20"/>
        <v>0.20500000000000002</v>
      </c>
      <c r="P114" s="240">
        <v>0.22</v>
      </c>
      <c r="Q114" s="241">
        <v>0.19</v>
      </c>
      <c r="R114" s="201">
        <f t="shared" si="21"/>
        <v>0.20500000000000002</v>
      </c>
      <c r="S114" s="240">
        <v>0.22</v>
      </c>
      <c r="T114" s="241">
        <v>0.19</v>
      </c>
      <c r="U114" s="201">
        <f t="shared" si="22"/>
        <v>0.20500000000000002</v>
      </c>
      <c r="V114" s="240" t="s">
        <v>216</v>
      </c>
      <c r="W114" s="241" t="s">
        <v>216</v>
      </c>
      <c r="X114" s="201" t="str">
        <f t="shared" si="23"/>
        <v>OFF</v>
      </c>
      <c r="Y114" s="242">
        <v>0</v>
      </c>
    </row>
    <row r="115" spans="1:25" ht="15.75" x14ac:dyDescent="0.25">
      <c r="A115" s="31">
        <f>'M&amp;R Stations'!A106</f>
        <v>39065</v>
      </c>
      <c r="B115" s="240">
        <v>0.3</v>
      </c>
      <c r="C115" s="241">
        <v>0.26</v>
      </c>
      <c r="D115" s="201">
        <f t="shared" si="17"/>
        <v>0.28000000000000003</v>
      </c>
      <c r="E115" s="240">
        <v>0.3</v>
      </c>
      <c r="F115" s="241">
        <v>0.26</v>
      </c>
      <c r="G115" s="201">
        <f t="shared" si="18"/>
        <v>0.28000000000000003</v>
      </c>
      <c r="H115" s="240">
        <v>0.3</v>
      </c>
      <c r="I115" s="241">
        <v>0.26</v>
      </c>
      <c r="J115" s="201">
        <f t="shared" si="19"/>
        <v>0.28000000000000003</v>
      </c>
      <c r="K115" s="242">
        <v>0</v>
      </c>
      <c r="L115" s="194"/>
      <c r="M115" s="240">
        <v>0.22</v>
      </c>
      <c r="N115" s="241">
        <v>0.19</v>
      </c>
      <c r="O115" s="201">
        <f t="shared" si="20"/>
        <v>0.20500000000000002</v>
      </c>
      <c r="P115" s="240">
        <v>0.22</v>
      </c>
      <c r="Q115" s="241">
        <v>0.19</v>
      </c>
      <c r="R115" s="201">
        <f t="shared" si="21"/>
        <v>0.20500000000000002</v>
      </c>
      <c r="S115" s="240">
        <v>0.22</v>
      </c>
      <c r="T115" s="241">
        <v>0.19</v>
      </c>
      <c r="U115" s="201">
        <f t="shared" si="22"/>
        <v>0.20500000000000002</v>
      </c>
      <c r="V115" s="240" t="s">
        <v>216</v>
      </c>
      <c r="W115" s="241" t="s">
        <v>216</v>
      </c>
      <c r="X115" s="201" t="str">
        <f t="shared" si="23"/>
        <v>OFF</v>
      </c>
      <c r="Y115" s="242">
        <v>0</v>
      </c>
    </row>
    <row r="116" spans="1:25" ht="15.75" x14ac:dyDescent="0.25">
      <c r="A116" s="31">
        <f>'M&amp;R Stations'!A107</f>
        <v>39066</v>
      </c>
      <c r="B116" s="240">
        <v>0.35</v>
      </c>
      <c r="C116" s="241">
        <v>0.26</v>
      </c>
      <c r="D116" s="201">
        <f t="shared" si="17"/>
        <v>0.30499999999999999</v>
      </c>
      <c r="E116" s="240">
        <v>0.35</v>
      </c>
      <c r="F116" s="241">
        <v>0.26</v>
      </c>
      <c r="G116" s="201">
        <f t="shared" si="18"/>
        <v>0.30499999999999999</v>
      </c>
      <c r="H116" s="240">
        <v>0.35</v>
      </c>
      <c r="I116" s="241">
        <v>0.26</v>
      </c>
      <c r="J116" s="201">
        <f t="shared" si="19"/>
        <v>0.30499999999999999</v>
      </c>
      <c r="K116" s="242">
        <v>0</v>
      </c>
      <c r="L116" s="194"/>
      <c r="M116" s="240">
        <v>0.22</v>
      </c>
      <c r="N116" s="241">
        <v>0.17</v>
      </c>
      <c r="O116" s="201">
        <f t="shared" si="20"/>
        <v>0.19500000000000001</v>
      </c>
      <c r="P116" s="240">
        <v>0.22</v>
      </c>
      <c r="Q116" s="241">
        <v>0.19</v>
      </c>
      <c r="R116" s="201">
        <f t="shared" si="21"/>
        <v>0.20500000000000002</v>
      </c>
      <c r="S116" s="240">
        <v>0.22</v>
      </c>
      <c r="T116" s="241">
        <v>0.19</v>
      </c>
      <c r="U116" s="201">
        <f t="shared" si="22"/>
        <v>0.20500000000000002</v>
      </c>
      <c r="V116" s="240" t="s">
        <v>216</v>
      </c>
      <c r="W116" s="241" t="s">
        <v>216</v>
      </c>
      <c r="X116" s="201" t="str">
        <f t="shared" si="23"/>
        <v>OFF</v>
      </c>
      <c r="Y116" s="242">
        <v>0</v>
      </c>
    </row>
    <row r="117" spans="1:25" ht="15.75" x14ac:dyDescent="0.25">
      <c r="A117" s="31">
        <f>'M&amp;R Stations'!A108</f>
        <v>39067</v>
      </c>
      <c r="B117" s="240">
        <v>0.35</v>
      </c>
      <c r="C117" s="241">
        <v>0.26</v>
      </c>
      <c r="D117" s="201">
        <f t="shared" si="17"/>
        <v>0.30499999999999999</v>
      </c>
      <c r="E117" s="240">
        <v>0.35</v>
      </c>
      <c r="F117" s="241">
        <v>0.26</v>
      </c>
      <c r="G117" s="201">
        <f t="shared" si="18"/>
        <v>0.30499999999999999</v>
      </c>
      <c r="H117" s="240">
        <v>0.35</v>
      </c>
      <c r="I117" s="241">
        <v>0.26</v>
      </c>
      <c r="J117" s="201">
        <f t="shared" si="19"/>
        <v>0.30499999999999999</v>
      </c>
      <c r="K117" s="242">
        <v>0</v>
      </c>
      <c r="L117" s="194"/>
      <c r="M117" s="240">
        <v>0.19</v>
      </c>
      <c r="N117" s="241">
        <v>0.19</v>
      </c>
      <c r="O117" s="201">
        <f t="shared" si="20"/>
        <v>0.19</v>
      </c>
      <c r="P117" s="240">
        <v>0.22</v>
      </c>
      <c r="Q117" s="241">
        <v>0.19</v>
      </c>
      <c r="R117" s="201">
        <f t="shared" si="21"/>
        <v>0.20500000000000002</v>
      </c>
      <c r="S117" s="240">
        <v>0.19</v>
      </c>
      <c r="T117" s="241">
        <v>0.19</v>
      </c>
      <c r="U117" s="201">
        <f t="shared" si="22"/>
        <v>0.19</v>
      </c>
      <c r="V117" s="240" t="s">
        <v>216</v>
      </c>
      <c r="W117" s="241" t="s">
        <v>216</v>
      </c>
      <c r="X117" s="201" t="str">
        <f t="shared" si="23"/>
        <v>OFF</v>
      </c>
      <c r="Y117" s="242">
        <v>0</v>
      </c>
    </row>
    <row r="118" spans="1:25" ht="15.75" x14ac:dyDescent="0.25">
      <c r="A118" s="31">
        <f>'M&amp;R Stations'!A109</f>
        <v>39068</v>
      </c>
      <c r="B118" s="240">
        <v>0.35</v>
      </c>
      <c r="C118" s="241">
        <v>0.26</v>
      </c>
      <c r="D118" s="201">
        <f t="shared" si="17"/>
        <v>0.30499999999999999</v>
      </c>
      <c r="E118" s="240">
        <v>0.35</v>
      </c>
      <c r="F118" s="241">
        <v>0.26</v>
      </c>
      <c r="G118" s="201">
        <f t="shared" si="18"/>
        <v>0.30499999999999999</v>
      </c>
      <c r="H118" s="240">
        <v>0.35</v>
      </c>
      <c r="I118" s="241">
        <v>0.26</v>
      </c>
      <c r="J118" s="201">
        <f t="shared" si="19"/>
        <v>0.30499999999999999</v>
      </c>
      <c r="K118" s="242">
        <v>0</v>
      </c>
      <c r="L118" s="194"/>
      <c r="M118" s="240">
        <v>0.22</v>
      </c>
      <c r="N118" s="241">
        <v>0.19</v>
      </c>
      <c r="O118" s="201">
        <f t="shared" si="20"/>
        <v>0.20500000000000002</v>
      </c>
      <c r="P118" s="240">
        <v>0.22</v>
      </c>
      <c r="Q118" s="241">
        <v>0.19</v>
      </c>
      <c r="R118" s="201">
        <f t="shared" si="21"/>
        <v>0.20500000000000002</v>
      </c>
      <c r="S118" s="240">
        <v>0.22</v>
      </c>
      <c r="T118" s="241">
        <v>0.19</v>
      </c>
      <c r="U118" s="201">
        <f t="shared" si="22"/>
        <v>0.20500000000000002</v>
      </c>
      <c r="V118" s="240" t="s">
        <v>216</v>
      </c>
      <c r="W118" s="241" t="s">
        <v>216</v>
      </c>
      <c r="X118" s="201" t="str">
        <f t="shared" si="23"/>
        <v>OFF</v>
      </c>
      <c r="Y118" s="242">
        <v>0</v>
      </c>
    </row>
    <row r="119" spans="1:25" ht="15.75" x14ac:dyDescent="0.25">
      <c r="A119" s="31">
        <f>'M&amp;R Stations'!A110</f>
        <v>39069</v>
      </c>
      <c r="B119" s="240">
        <v>0.35</v>
      </c>
      <c r="C119" s="241">
        <v>0.35</v>
      </c>
      <c r="D119" s="201">
        <f t="shared" si="17"/>
        <v>0.35</v>
      </c>
      <c r="E119" s="240">
        <v>0.35</v>
      </c>
      <c r="F119" s="241">
        <v>0.35</v>
      </c>
      <c r="G119" s="201">
        <f t="shared" si="18"/>
        <v>0.35</v>
      </c>
      <c r="H119" s="240">
        <v>0.35</v>
      </c>
      <c r="I119" s="241">
        <v>0.35</v>
      </c>
      <c r="J119" s="201">
        <f t="shared" si="19"/>
        <v>0.35</v>
      </c>
      <c r="K119" s="242">
        <v>0</v>
      </c>
      <c r="L119" s="194"/>
      <c r="M119" s="240">
        <v>0.22</v>
      </c>
      <c r="N119" s="241">
        <v>0.19</v>
      </c>
      <c r="O119" s="201">
        <f t="shared" si="20"/>
        <v>0.20500000000000002</v>
      </c>
      <c r="P119" s="240">
        <v>0.22</v>
      </c>
      <c r="Q119" s="241">
        <v>0.19</v>
      </c>
      <c r="R119" s="201">
        <f t="shared" si="21"/>
        <v>0.20500000000000002</v>
      </c>
      <c r="S119" s="240">
        <v>0.22</v>
      </c>
      <c r="T119" s="241">
        <v>0.19</v>
      </c>
      <c r="U119" s="201">
        <f t="shared" si="22"/>
        <v>0.20500000000000002</v>
      </c>
      <c r="V119" s="240" t="s">
        <v>216</v>
      </c>
      <c r="W119" s="241" t="s">
        <v>216</v>
      </c>
      <c r="X119" s="201" t="str">
        <f t="shared" si="23"/>
        <v>OFF</v>
      </c>
      <c r="Y119" s="242">
        <v>0</v>
      </c>
    </row>
    <row r="120" spans="1:25" ht="15.75" x14ac:dyDescent="0.25">
      <c r="A120" s="31">
        <f>'M&amp;R Stations'!A111</f>
        <v>39070</v>
      </c>
      <c r="B120" s="240">
        <v>0.35</v>
      </c>
      <c r="C120" s="241">
        <v>0.35</v>
      </c>
      <c r="D120" s="201">
        <f t="shared" si="17"/>
        <v>0.35</v>
      </c>
      <c r="E120" s="240">
        <v>0.35</v>
      </c>
      <c r="F120" s="241">
        <v>0.35</v>
      </c>
      <c r="G120" s="201">
        <f t="shared" si="18"/>
        <v>0.35</v>
      </c>
      <c r="H120" s="240">
        <v>0.35</v>
      </c>
      <c r="I120" s="241">
        <v>0.26</v>
      </c>
      <c r="J120" s="201">
        <f t="shared" si="19"/>
        <v>0.30499999999999999</v>
      </c>
      <c r="K120" s="242">
        <v>0</v>
      </c>
      <c r="L120" s="194"/>
      <c r="M120" s="240">
        <v>0.22</v>
      </c>
      <c r="N120" s="241">
        <v>0.19</v>
      </c>
      <c r="O120" s="201">
        <f t="shared" si="20"/>
        <v>0.20500000000000002</v>
      </c>
      <c r="P120" s="240">
        <v>0.22</v>
      </c>
      <c r="Q120" s="241">
        <v>0.19</v>
      </c>
      <c r="R120" s="201">
        <f t="shared" si="21"/>
        <v>0.20500000000000002</v>
      </c>
      <c r="S120" s="240">
        <v>0.22</v>
      </c>
      <c r="T120" s="241">
        <v>0.19</v>
      </c>
      <c r="U120" s="201">
        <f t="shared" si="22"/>
        <v>0.20500000000000002</v>
      </c>
      <c r="V120" s="240" t="s">
        <v>216</v>
      </c>
      <c r="W120" s="241" t="s">
        <v>216</v>
      </c>
      <c r="X120" s="201" t="str">
        <f t="shared" si="23"/>
        <v>OFF</v>
      </c>
      <c r="Y120" s="242">
        <v>0</v>
      </c>
    </row>
    <row r="121" spans="1:25" ht="15.75" x14ac:dyDescent="0.25">
      <c r="A121" s="31">
        <f>'M&amp;R Stations'!A112</f>
        <v>39071</v>
      </c>
      <c r="B121" s="240">
        <v>0.3</v>
      </c>
      <c r="C121" s="241">
        <v>0.26</v>
      </c>
      <c r="D121" s="201">
        <f t="shared" si="17"/>
        <v>0.28000000000000003</v>
      </c>
      <c r="E121" s="240">
        <v>0.3</v>
      </c>
      <c r="F121" s="241">
        <v>0.26</v>
      </c>
      <c r="G121" s="201">
        <f t="shared" si="18"/>
        <v>0.28000000000000003</v>
      </c>
      <c r="H121" s="240">
        <v>0.3</v>
      </c>
      <c r="I121" s="241">
        <v>0.26</v>
      </c>
      <c r="J121" s="201">
        <f t="shared" si="19"/>
        <v>0.28000000000000003</v>
      </c>
      <c r="K121" s="242">
        <v>0</v>
      </c>
      <c r="L121" s="194"/>
      <c r="M121" s="240">
        <v>0.19</v>
      </c>
      <c r="N121" s="241">
        <v>0.17</v>
      </c>
      <c r="O121" s="201">
        <f t="shared" si="20"/>
        <v>0.18</v>
      </c>
      <c r="P121" s="240">
        <v>0.22</v>
      </c>
      <c r="Q121" s="241">
        <v>0.17</v>
      </c>
      <c r="R121" s="201">
        <f t="shared" si="21"/>
        <v>0.19500000000000001</v>
      </c>
      <c r="S121" s="240">
        <v>0.22</v>
      </c>
      <c r="T121" s="241">
        <v>0.22</v>
      </c>
      <c r="U121" s="201">
        <f t="shared" si="22"/>
        <v>0.22</v>
      </c>
      <c r="V121" s="240" t="s">
        <v>216</v>
      </c>
      <c r="W121" s="241" t="s">
        <v>216</v>
      </c>
      <c r="X121" s="201" t="str">
        <f t="shared" si="23"/>
        <v>OFF</v>
      </c>
      <c r="Y121" s="242">
        <v>0</v>
      </c>
    </row>
    <row r="122" spans="1:25" ht="15.75" x14ac:dyDescent="0.25">
      <c r="A122" s="31">
        <f>'M&amp;R Stations'!A113</f>
        <v>39072</v>
      </c>
      <c r="B122" s="240">
        <v>0.3</v>
      </c>
      <c r="C122" s="241">
        <v>0.26</v>
      </c>
      <c r="D122" s="201">
        <f t="shared" si="17"/>
        <v>0.28000000000000003</v>
      </c>
      <c r="E122" s="240">
        <v>0.3</v>
      </c>
      <c r="F122" s="241">
        <v>0.26</v>
      </c>
      <c r="G122" s="201">
        <f t="shared" si="18"/>
        <v>0.28000000000000003</v>
      </c>
      <c r="H122" s="240">
        <v>0.3</v>
      </c>
      <c r="I122" s="241">
        <v>0.26</v>
      </c>
      <c r="J122" s="201">
        <f t="shared" si="19"/>
        <v>0.28000000000000003</v>
      </c>
      <c r="K122" s="242">
        <v>0</v>
      </c>
      <c r="L122" s="194"/>
      <c r="M122" s="240">
        <v>0.22</v>
      </c>
      <c r="N122" s="241">
        <v>0.19</v>
      </c>
      <c r="O122" s="201">
        <f t="shared" si="20"/>
        <v>0.20500000000000002</v>
      </c>
      <c r="P122" s="240">
        <v>0.22</v>
      </c>
      <c r="Q122" s="241">
        <v>0.19</v>
      </c>
      <c r="R122" s="201">
        <f t="shared" si="21"/>
        <v>0.20500000000000002</v>
      </c>
      <c r="S122" s="240">
        <v>0.22</v>
      </c>
      <c r="T122" s="241">
        <v>0.19</v>
      </c>
      <c r="U122" s="201">
        <f t="shared" si="22"/>
        <v>0.20500000000000002</v>
      </c>
      <c r="V122" s="240" t="s">
        <v>216</v>
      </c>
      <c r="W122" s="241" t="s">
        <v>216</v>
      </c>
      <c r="X122" s="201" t="str">
        <f t="shared" si="23"/>
        <v>OFF</v>
      </c>
      <c r="Y122" s="242">
        <v>0</v>
      </c>
    </row>
    <row r="123" spans="1:25" ht="15.75" x14ac:dyDescent="0.25">
      <c r="A123" s="31">
        <f>'M&amp;R Stations'!A114</f>
        <v>39073</v>
      </c>
      <c r="B123" s="240">
        <v>0.26</v>
      </c>
      <c r="C123" s="241">
        <v>0.26</v>
      </c>
      <c r="D123" s="201">
        <f t="shared" si="17"/>
        <v>0.26</v>
      </c>
      <c r="E123" s="240">
        <v>0.26</v>
      </c>
      <c r="F123" s="241">
        <v>0.26</v>
      </c>
      <c r="G123" s="201">
        <f t="shared" si="18"/>
        <v>0.26</v>
      </c>
      <c r="H123" s="240">
        <v>0.26</v>
      </c>
      <c r="I123" s="241">
        <v>0.26</v>
      </c>
      <c r="J123" s="201">
        <f t="shared" si="19"/>
        <v>0.26</v>
      </c>
      <c r="K123" s="242">
        <v>0</v>
      </c>
      <c r="L123" s="194"/>
      <c r="M123" s="240">
        <v>0.22</v>
      </c>
      <c r="N123" s="241">
        <v>0.19</v>
      </c>
      <c r="O123" s="201">
        <f t="shared" si="20"/>
        <v>0.20500000000000002</v>
      </c>
      <c r="P123" s="240">
        <v>0.19</v>
      </c>
      <c r="Q123" s="241">
        <v>0.19</v>
      </c>
      <c r="R123" s="201">
        <f t="shared" si="21"/>
        <v>0.19</v>
      </c>
      <c r="S123" s="240">
        <v>0.22</v>
      </c>
      <c r="T123" s="241">
        <v>0.17</v>
      </c>
      <c r="U123" s="201">
        <f t="shared" si="22"/>
        <v>0.19500000000000001</v>
      </c>
      <c r="V123" s="240" t="s">
        <v>216</v>
      </c>
      <c r="W123" s="241" t="s">
        <v>216</v>
      </c>
      <c r="X123" s="201" t="str">
        <f t="shared" si="23"/>
        <v>OFF</v>
      </c>
      <c r="Y123" s="242">
        <v>0</v>
      </c>
    </row>
    <row r="124" spans="1:25" ht="15.75" x14ac:dyDescent="0.25">
      <c r="A124" s="31">
        <f>'M&amp;R Stations'!A115</f>
        <v>39074</v>
      </c>
      <c r="B124" s="240">
        <v>0.26</v>
      </c>
      <c r="C124" s="241">
        <v>0.26</v>
      </c>
      <c r="D124" s="201">
        <f t="shared" si="17"/>
        <v>0.26</v>
      </c>
      <c r="E124" s="240">
        <v>0.26</v>
      </c>
      <c r="F124" s="241">
        <v>0.26</v>
      </c>
      <c r="G124" s="201">
        <f t="shared" si="18"/>
        <v>0.26</v>
      </c>
      <c r="H124" s="240">
        <v>0.26</v>
      </c>
      <c r="I124" s="241">
        <v>0.26</v>
      </c>
      <c r="J124" s="201">
        <f t="shared" si="19"/>
        <v>0.26</v>
      </c>
      <c r="K124" s="242">
        <v>0</v>
      </c>
      <c r="L124" s="194"/>
      <c r="M124" s="240">
        <v>0.19</v>
      </c>
      <c r="N124" s="241">
        <v>0.19</v>
      </c>
      <c r="O124" s="201">
        <f t="shared" si="20"/>
        <v>0.19</v>
      </c>
      <c r="P124" s="240">
        <v>0.19</v>
      </c>
      <c r="Q124" s="241">
        <v>0.19</v>
      </c>
      <c r="R124" s="201">
        <f t="shared" si="21"/>
        <v>0.19</v>
      </c>
      <c r="S124" s="240">
        <v>0.22</v>
      </c>
      <c r="T124" s="241">
        <v>0.19</v>
      </c>
      <c r="U124" s="201">
        <f t="shared" si="22"/>
        <v>0.20500000000000002</v>
      </c>
      <c r="V124" s="240" t="s">
        <v>216</v>
      </c>
      <c r="W124" s="241" t="s">
        <v>216</v>
      </c>
      <c r="X124" s="201" t="str">
        <f t="shared" si="23"/>
        <v>OFF</v>
      </c>
      <c r="Y124" s="242">
        <v>0</v>
      </c>
    </row>
    <row r="125" spans="1:25" ht="15.75" x14ac:dyDescent="0.25">
      <c r="A125" s="31">
        <f>'M&amp;R Stations'!A116</f>
        <v>39075</v>
      </c>
      <c r="B125" s="240">
        <v>0.26</v>
      </c>
      <c r="C125" s="241">
        <v>0.26</v>
      </c>
      <c r="D125" s="201">
        <f t="shared" si="17"/>
        <v>0.26</v>
      </c>
      <c r="E125" s="240">
        <v>0.26</v>
      </c>
      <c r="F125" s="241">
        <v>0.26</v>
      </c>
      <c r="G125" s="201">
        <f t="shared" si="18"/>
        <v>0.26</v>
      </c>
      <c r="H125" s="240">
        <v>0.26</v>
      </c>
      <c r="I125" s="241">
        <v>0.26</v>
      </c>
      <c r="J125" s="201">
        <f t="shared" si="19"/>
        <v>0.26</v>
      </c>
      <c r="K125" s="242">
        <v>0</v>
      </c>
      <c r="L125" s="194"/>
      <c r="M125" s="240">
        <v>0.22</v>
      </c>
      <c r="N125" s="241">
        <v>0.19</v>
      </c>
      <c r="O125" s="201">
        <f t="shared" si="20"/>
        <v>0.20500000000000002</v>
      </c>
      <c r="P125" s="240">
        <v>0.22</v>
      </c>
      <c r="Q125" s="241">
        <v>0.19</v>
      </c>
      <c r="R125" s="201">
        <f t="shared" si="21"/>
        <v>0.20500000000000002</v>
      </c>
      <c r="S125" s="240">
        <v>0.22</v>
      </c>
      <c r="T125" s="241">
        <v>0.19</v>
      </c>
      <c r="U125" s="201">
        <f t="shared" si="22"/>
        <v>0.20500000000000002</v>
      </c>
      <c r="V125" s="240" t="s">
        <v>216</v>
      </c>
      <c r="W125" s="241" t="s">
        <v>216</v>
      </c>
      <c r="X125" s="201" t="str">
        <f t="shared" si="23"/>
        <v>OFF</v>
      </c>
      <c r="Y125" s="242">
        <v>0</v>
      </c>
    </row>
    <row r="126" spans="1:25" ht="15.75" x14ac:dyDescent="0.25">
      <c r="A126" s="31">
        <f>'M&amp;R Stations'!A117</f>
        <v>39076</v>
      </c>
      <c r="B126" s="240">
        <v>0.3</v>
      </c>
      <c r="C126" s="241">
        <v>0.26</v>
      </c>
      <c r="D126" s="201">
        <f t="shared" si="17"/>
        <v>0.28000000000000003</v>
      </c>
      <c r="E126" s="240">
        <v>0.3</v>
      </c>
      <c r="F126" s="241">
        <v>0.26</v>
      </c>
      <c r="G126" s="201">
        <f t="shared" si="18"/>
        <v>0.28000000000000003</v>
      </c>
      <c r="H126" s="240">
        <v>0.3</v>
      </c>
      <c r="I126" s="241">
        <v>0.26</v>
      </c>
      <c r="J126" s="201">
        <f t="shared" si="19"/>
        <v>0.28000000000000003</v>
      </c>
      <c r="K126" s="242">
        <v>0</v>
      </c>
      <c r="L126" s="194"/>
      <c r="M126" s="240">
        <v>0.22</v>
      </c>
      <c r="N126" s="241">
        <v>0.19</v>
      </c>
      <c r="O126" s="201">
        <f t="shared" si="20"/>
        <v>0.20500000000000002</v>
      </c>
      <c r="P126" s="240">
        <v>0.22</v>
      </c>
      <c r="Q126" s="241">
        <v>0.19</v>
      </c>
      <c r="R126" s="201">
        <f t="shared" si="21"/>
        <v>0.20500000000000002</v>
      </c>
      <c r="S126" s="240">
        <v>0.22</v>
      </c>
      <c r="T126" s="241">
        <v>0.19</v>
      </c>
      <c r="U126" s="201">
        <f t="shared" si="22"/>
        <v>0.20500000000000002</v>
      </c>
      <c r="V126" s="240" t="s">
        <v>216</v>
      </c>
      <c r="W126" s="241" t="s">
        <v>216</v>
      </c>
      <c r="X126" s="201" t="str">
        <f t="shared" si="23"/>
        <v>OFF</v>
      </c>
      <c r="Y126" s="242">
        <v>0</v>
      </c>
    </row>
    <row r="127" spans="1:25" ht="15.75" x14ac:dyDescent="0.25">
      <c r="A127" s="31">
        <f>'M&amp;R Stations'!A118</f>
        <v>39077</v>
      </c>
      <c r="B127" s="240">
        <v>0.3</v>
      </c>
      <c r="C127" s="241">
        <v>0.26</v>
      </c>
      <c r="D127" s="201">
        <f t="shared" si="17"/>
        <v>0.28000000000000003</v>
      </c>
      <c r="E127" s="240">
        <v>0.3</v>
      </c>
      <c r="F127" s="241">
        <v>0.26</v>
      </c>
      <c r="G127" s="201">
        <f t="shared" si="18"/>
        <v>0.28000000000000003</v>
      </c>
      <c r="H127" s="240">
        <v>0.3</v>
      </c>
      <c r="I127" s="241">
        <v>0.26</v>
      </c>
      <c r="J127" s="201">
        <f t="shared" si="19"/>
        <v>0.28000000000000003</v>
      </c>
      <c r="K127" s="242">
        <v>0</v>
      </c>
      <c r="L127" s="194"/>
      <c r="M127" s="240">
        <v>0.22</v>
      </c>
      <c r="N127" s="241">
        <v>0.19</v>
      </c>
      <c r="O127" s="201">
        <f t="shared" si="20"/>
        <v>0.20500000000000002</v>
      </c>
      <c r="P127" s="240">
        <v>0.22</v>
      </c>
      <c r="Q127" s="241">
        <v>0.19</v>
      </c>
      <c r="R127" s="201">
        <f t="shared" si="21"/>
        <v>0.20500000000000002</v>
      </c>
      <c r="S127" s="240">
        <v>0.22</v>
      </c>
      <c r="T127" s="241">
        <v>0.19</v>
      </c>
      <c r="U127" s="201">
        <f t="shared" si="22"/>
        <v>0.20500000000000002</v>
      </c>
      <c r="V127" s="240" t="s">
        <v>216</v>
      </c>
      <c r="W127" s="241" t="s">
        <v>216</v>
      </c>
      <c r="X127" s="201" t="str">
        <f t="shared" si="23"/>
        <v>OFF</v>
      </c>
      <c r="Y127" s="242">
        <v>0</v>
      </c>
    </row>
    <row r="128" spans="1:25" ht="15.75" x14ac:dyDescent="0.25">
      <c r="A128" s="31">
        <f>'M&amp;R Stations'!A119</f>
        <v>39078</v>
      </c>
      <c r="B128" s="240">
        <v>0.3</v>
      </c>
      <c r="C128" s="241">
        <v>0.3</v>
      </c>
      <c r="D128" s="201">
        <f t="shared" si="17"/>
        <v>0.3</v>
      </c>
      <c r="E128" s="240">
        <v>0.3</v>
      </c>
      <c r="F128" s="241">
        <v>0.3</v>
      </c>
      <c r="G128" s="201">
        <f t="shared" si="18"/>
        <v>0.3</v>
      </c>
      <c r="H128" s="240">
        <v>0.3</v>
      </c>
      <c r="I128" s="241">
        <v>0.3</v>
      </c>
      <c r="J128" s="201">
        <f t="shared" si="19"/>
        <v>0.3</v>
      </c>
      <c r="K128" s="242">
        <v>0</v>
      </c>
      <c r="L128" s="194"/>
      <c r="M128" s="240">
        <v>0.22</v>
      </c>
      <c r="N128" s="241">
        <v>0.19</v>
      </c>
      <c r="O128" s="201">
        <f t="shared" si="20"/>
        <v>0.20500000000000002</v>
      </c>
      <c r="P128" s="240">
        <v>0.22</v>
      </c>
      <c r="Q128" s="241">
        <v>0.19</v>
      </c>
      <c r="R128" s="201">
        <f t="shared" si="21"/>
        <v>0.20500000000000002</v>
      </c>
      <c r="S128" s="240">
        <v>0.22</v>
      </c>
      <c r="T128" s="241">
        <v>0.22</v>
      </c>
      <c r="U128" s="201">
        <f t="shared" si="22"/>
        <v>0.22</v>
      </c>
      <c r="V128" s="240" t="s">
        <v>216</v>
      </c>
      <c r="W128" s="241" t="s">
        <v>216</v>
      </c>
      <c r="X128" s="201" t="str">
        <f t="shared" si="23"/>
        <v>OFF</v>
      </c>
      <c r="Y128" s="242">
        <v>0</v>
      </c>
    </row>
    <row r="129" spans="1:25" ht="15.75" x14ac:dyDescent="0.25">
      <c r="A129" s="31">
        <f>'M&amp;R Stations'!A120</f>
        <v>39079</v>
      </c>
      <c r="B129" s="240">
        <v>0.35</v>
      </c>
      <c r="C129" s="241">
        <v>0.3</v>
      </c>
      <c r="D129" s="201">
        <f t="shared" si="17"/>
        <v>0.32499999999999996</v>
      </c>
      <c r="E129" s="240">
        <v>0.35</v>
      </c>
      <c r="F129" s="241">
        <v>0.3</v>
      </c>
      <c r="G129" s="201">
        <f t="shared" si="18"/>
        <v>0.32499999999999996</v>
      </c>
      <c r="H129" s="240">
        <v>0.35</v>
      </c>
      <c r="I129" s="241">
        <v>0.3</v>
      </c>
      <c r="J129" s="201">
        <f t="shared" si="19"/>
        <v>0.32499999999999996</v>
      </c>
      <c r="K129" s="242">
        <v>0</v>
      </c>
      <c r="L129" s="194"/>
      <c r="M129" s="240">
        <v>0.22</v>
      </c>
      <c r="N129" s="241">
        <v>0.19</v>
      </c>
      <c r="O129" s="201">
        <f t="shared" si="20"/>
        <v>0.20500000000000002</v>
      </c>
      <c r="P129" s="240">
        <v>0.25</v>
      </c>
      <c r="Q129" s="241">
        <v>0.22</v>
      </c>
      <c r="R129" s="201">
        <f t="shared" si="21"/>
        <v>0.23499999999999999</v>
      </c>
      <c r="S129" s="240">
        <v>0.22</v>
      </c>
      <c r="T129" s="241">
        <v>0.22</v>
      </c>
      <c r="U129" s="201">
        <f t="shared" si="22"/>
        <v>0.22</v>
      </c>
      <c r="V129" s="240" t="s">
        <v>216</v>
      </c>
      <c r="W129" s="241" t="s">
        <v>216</v>
      </c>
      <c r="X129" s="201" t="str">
        <f t="shared" si="23"/>
        <v>OFF</v>
      </c>
      <c r="Y129" s="242">
        <v>0</v>
      </c>
    </row>
    <row r="130" spans="1:25" ht="15.75" x14ac:dyDescent="0.25">
      <c r="A130" s="31">
        <f>'M&amp;R Stations'!A121</f>
        <v>39080</v>
      </c>
      <c r="B130" s="240">
        <v>0.3</v>
      </c>
      <c r="C130" s="241">
        <v>0.26</v>
      </c>
      <c r="D130" s="201">
        <f t="shared" si="17"/>
        <v>0.28000000000000003</v>
      </c>
      <c r="E130" s="240">
        <v>0.3</v>
      </c>
      <c r="F130" s="241">
        <v>0.26</v>
      </c>
      <c r="G130" s="201">
        <f t="shared" si="18"/>
        <v>0.28000000000000003</v>
      </c>
      <c r="H130" s="240">
        <v>0.3</v>
      </c>
      <c r="I130" s="241">
        <v>0.26</v>
      </c>
      <c r="J130" s="201">
        <f t="shared" si="19"/>
        <v>0.28000000000000003</v>
      </c>
      <c r="K130" s="242">
        <v>0</v>
      </c>
      <c r="L130" s="194"/>
      <c r="M130" s="240">
        <v>0.22</v>
      </c>
      <c r="N130" s="241">
        <v>0.19</v>
      </c>
      <c r="O130" s="201">
        <f t="shared" si="20"/>
        <v>0.20500000000000002</v>
      </c>
      <c r="P130" s="240">
        <v>0.22</v>
      </c>
      <c r="Q130" s="241">
        <v>0.22</v>
      </c>
      <c r="R130" s="201">
        <f t="shared" si="21"/>
        <v>0.22</v>
      </c>
      <c r="S130" s="240">
        <v>0.22</v>
      </c>
      <c r="T130" s="241">
        <v>0.22</v>
      </c>
      <c r="U130" s="201">
        <f t="shared" si="22"/>
        <v>0.22</v>
      </c>
      <c r="V130" s="240" t="s">
        <v>216</v>
      </c>
      <c r="W130" s="241" t="s">
        <v>216</v>
      </c>
      <c r="X130" s="201" t="str">
        <f t="shared" si="23"/>
        <v>OFF</v>
      </c>
      <c r="Y130" s="242">
        <v>0</v>
      </c>
    </row>
    <row r="131" spans="1:25" ht="15.75" x14ac:dyDescent="0.25">
      <c r="A131" s="31">
        <f>'M&amp;R Stations'!A122</f>
        <v>39081</v>
      </c>
      <c r="B131" s="240">
        <v>0.26</v>
      </c>
      <c r="C131" s="241">
        <v>0.26</v>
      </c>
      <c r="D131" s="201">
        <f t="shared" si="17"/>
        <v>0.26</v>
      </c>
      <c r="E131" s="240">
        <v>0.26</v>
      </c>
      <c r="F131" s="241">
        <v>0.26</v>
      </c>
      <c r="G131" s="201">
        <f t="shared" si="18"/>
        <v>0.26</v>
      </c>
      <c r="H131" s="240">
        <v>0.26</v>
      </c>
      <c r="I131" s="241">
        <v>0.26</v>
      </c>
      <c r="J131" s="201">
        <f t="shared" si="19"/>
        <v>0.26</v>
      </c>
      <c r="K131" s="242">
        <v>0</v>
      </c>
      <c r="L131" s="194"/>
      <c r="M131" s="240">
        <v>0.22</v>
      </c>
      <c r="N131" s="241">
        <v>0.19</v>
      </c>
      <c r="O131" s="201">
        <f t="shared" si="20"/>
        <v>0.20500000000000002</v>
      </c>
      <c r="P131" s="240">
        <v>0.22</v>
      </c>
      <c r="Q131" s="241">
        <v>0.19</v>
      </c>
      <c r="R131" s="201">
        <f t="shared" si="21"/>
        <v>0.20500000000000002</v>
      </c>
      <c r="S131" s="240">
        <v>0.22</v>
      </c>
      <c r="T131" s="241">
        <v>0.19</v>
      </c>
      <c r="U131" s="201">
        <f t="shared" si="22"/>
        <v>0.20500000000000002</v>
      </c>
      <c r="V131" s="240" t="s">
        <v>216</v>
      </c>
      <c r="W131" s="241" t="s">
        <v>216</v>
      </c>
      <c r="X131" s="201" t="str">
        <f t="shared" si="23"/>
        <v>OFF</v>
      </c>
      <c r="Y131" s="242">
        <v>0</v>
      </c>
    </row>
    <row r="132" spans="1:25" ht="15.75" x14ac:dyDescent="0.25">
      <c r="A132" s="31">
        <f>'M&amp;R Stations'!A123</f>
        <v>39082</v>
      </c>
      <c r="B132" s="240">
        <v>0.3</v>
      </c>
      <c r="C132" s="241">
        <v>0.26</v>
      </c>
      <c r="D132" s="201">
        <f t="shared" si="17"/>
        <v>0.28000000000000003</v>
      </c>
      <c r="E132" s="240">
        <v>0.3</v>
      </c>
      <c r="F132" s="241">
        <v>0.26</v>
      </c>
      <c r="G132" s="201">
        <f t="shared" si="18"/>
        <v>0.28000000000000003</v>
      </c>
      <c r="H132" s="240">
        <v>0.3</v>
      </c>
      <c r="I132" s="241">
        <v>0.26</v>
      </c>
      <c r="J132" s="201">
        <f t="shared" si="19"/>
        <v>0.28000000000000003</v>
      </c>
      <c r="K132" s="242">
        <v>0</v>
      </c>
      <c r="L132" s="194"/>
      <c r="M132" s="240">
        <v>0.22</v>
      </c>
      <c r="N132" s="241">
        <v>0.19</v>
      </c>
      <c r="O132" s="201">
        <f t="shared" si="20"/>
        <v>0.20500000000000002</v>
      </c>
      <c r="P132" s="240">
        <v>0.25</v>
      </c>
      <c r="Q132" s="241">
        <v>0.22</v>
      </c>
      <c r="R132" s="201">
        <f t="shared" si="21"/>
        <v>0.23499999999999999</v>
      </c>
      <c r="S132" s="240">
        <v>0.25</v>
      </c>
      <c r="T132" s="241">
        <v>0.22</v>
      </c>
      <c r="U132" s="201">
        <f t="shared" si="22"/>
        <v>0.23499999999999999</v>
      </c>
      <c r="V132" s="240" t="s">
        <v>216</v>
      </c>
      <c r="W132" s="241" t="s">
        <v>216</v>
      </c>
      <c r="X132" s="201" t="str">
        <f t="shared" si="23"/>
        <v>OFF</v>
      </c>
      <c r="Y132" s="242">
        <v>0</v>
      </c>
    </row>
    <row r="133" spans="1:25" ht="15.75" x14ac:dyDescent="0.25">
      <c r="A133" s="96"/>
      <c r="B133" s="203"/>
      <c r="C133" s="204"/>
      <c r="D133" s="205"/>
      <c r="E133" s="203"/>
      <c r="F133" s="204"/>
      <c r="G133" s="205"/>
      <c r="H133" s="203"/>
      <c r="I133" s="204"/>
      <c r="J133" s="206"/>
      <c r="K133" s="208"/>
      <c r="L133" s="207"/>
      <c r="M133" s="203"/>
      <c r="N133" s="204"/>
      <c r="O133" s="206"/>
      <c r="P133" s="203"/>
      <c r="Q133" s="204"/>
      <c r="R133" s="206"/>
      <c r="S133" s="203"/>
      <c r="T133" s="204"/>
      <c r="U133" s="206"/>
      <c r="V133" s="203"/>
      <c r="W133" s="204"/>
      <c r="X133" s="206"/>
      <c r="Y133" s="208"/>
    </row>
    <row r="134" spans="1:25" ht="15.75" x14ac:dyDescent="0.25">
      <c r="A134" s="31">
        <f>'M&amp;R Stations'!A124</f>
        <v>39083</v>
      </c>
      <c r="B134" s="240">
        <v>0.3</v>
      </c>
      <c r="C134" s="241">
        <v>0.26</v>
      </c>
      <c r="D134" s="201">
        <f t="shared" si="17"/>
        <v>0.28000000000000003</v>
      </c>
      <c r="E134" s="240">
        <v>0.3</v>
      </c>
      <c r="F134" s="241">
        <v>0.26</v>
      </c>
      <c r="G134" s="201">
        <f t="shared" ref="G134:G164" si="24">IF(AND(E134="",F134=""),"",IF(E134="off",F134,IF(F134="off",E134,AVERAGE(E134:F134))))</f>
        <v>0.28000000000000003</v>
      </c>
      <c r="H134" s="240">
        <v>0.35</v>
      </c>
      <c r="I134" s="241">
        <v>0.26</v>
      </c>
      <c r="J134" s="201">
        <f t="shared" ref="J134:J164" si="25">IF(AND(H134="",I134=""),"",IF(H134="off",I134,IF(I134="off",H134,AVERAGE(H134:I134))))</f>
        <v>0.30499999999999999</v>
      </c>
      <c r="K134" s="242">
        <v>0</v>
      </c>
      <c r="L134" s="274">
        <v>39083</v>
      </c>
      <c r="M134" s="240">
        <v>0.22</v>
      </c>
      <c r="N134" s="241">
        <v>0.19</v>
      </c>
      <c r="O134" s="201">
        <f t="shared" ref="O134:O164" si="26">IF(AND(M134="",N134=""),"",IF(M134="off",N134,IF(N134="off",M134,AVERAGE(M134:N134))))</f>
        <v>0.20500000000000002</v>
      </c>
      <c r="P134" s="240">
        <v>0.22</v>
      </c>
      <c r="Q134" s="241">
        <v>0.19</v>
      </c>
      <c r="R134" s="201">
        <f t="shared" ref="R134:R164" si="27">IF(AND(P134="",Q134=""),"",IF(P134="off",Q134,IF(Q134="off",P134,AVERAGE(P134:Q134))))</f>
        <v>0.20500000000000002</v>
      </c>
      <c r="S134" s="240">
        <v>0.22</v>
      </c>
      <c r="T134" s="241">
        <v>0.19</v>
      </c>
      <c r="U134" s="201">
        <f t="shared" ref="U134:U164" si="28">IF(AND(S134="",T134=""),"",IF(S134="off",T134,IF(T134="off",S134,AVERAGE(S134:T134))))</f>
        <v>0.20500000000000002</v>
      </c>
      <c r="V134" s="240" t="s">
        <v>216</v>
      </c>
      <c r="W134" s="241" t="s">
        <v>216</v>
      </c>
      <c r="X134" s="201" t="str">
        <f>IF(AND(V134="",W134=""),"",IF(V134="off",W134,IF(W134="off",V134,AVERAGE(V134:W134))))</f>
        <v>OFF</v>
      </c>
      <c r="Y134" s="242">
        <v>0</v>
      </c>
    </row>
    <row r="135" spans="1:25" ht="15.75" x14ac:dyDescent="0.25">
      <c r="A135" s="31">
        <f>'M&amp;R Stations'!A125</f>
        <v>39084</v>
      </c>
      <c r="B135" s="240">
        <v>0.35</v>
      </c>
      <c r="C135" s="241">
        <v>0.26</v>
      </c>
      <c r="D135" s="201">
        <f t="shared" si="17"/>
        <v>0.30499999999999999</v>
      </c>
      <c r="E135" s="240">
        <v>0.35</v>
      </c>
      <c r="F135" s="241">
        <v>0.26</v>
      </c>
      <c r="G135" s="201">
        <f t="shared" si="24"/>
        <v>0.30499999999999999</v>
      </c>
      <c r="H135" s="240">
        <v>0.35</v>
      </c>
      <c r="I135" s="241">
        <v>0.26</v>
      </c>
      <c r="J135" s="201">
        <f t="shared" si="25"/>
        <v>0.30499999999999999</v>
      </c>
      <c r="K135" s="242">
        <v>0</v>
      </c>
      <c r="L135" s="274">
        <v>39084</v>
      </c>
      <c r="M135" s="240">
        <v>0.22</v>
      </c>
      <c r="N135" s="241">
        <v>0.19</v>
      </c>
      <c r="O135" s="201">
        <f t="shared" si="26"/>
        <v>0.20500000000000002</v>
      </c>
      <c r="P135" s="240">
        <v>0.19</v>
      </c>
      <c r="Q135" s="241">
        <v>0.19</v>
      </c>
      <c r="R135" s="201">
        <f t="shared" si="27"/>
        <v>0.19</v>
      </c>
      <c r="S135" s="240">
        <v>0.22</v>
      </c>
      <c r="T135" s="241">
        <v>0.19</v>
      </c>
      <c r="U135" s="201">
        <f t="shared" si="28"/>
        <v>0.20500000000000002</v>
      </c>
      <c r="V135" s="240" t="s">
        <v>216</v>
      </c>
      <c r="W135" s="241" t="s">
        <v>216</v>
      </c>
      <c r="X135" s="201" t="str">
        <f t="shared" ref="X135:X164" si="29">IF(AND(V135="",W135=""),"",IF(V135="off",W135,IF(W135="off",V135,AVERAGE(V135:W135))))</f>
        <v>OFF</v>
      </c>
      <c r="Y135" s="242">
        <v>0</v>
      </c>
    </row>
    <row r="136" spans="1:25" ht="15.75" x14ac:dyDescent="0.25">
      <c r="A136" s="31">
        <f>'M&amp;R Stations'!A126</f>
        <v>39085</v>
      </c>
      <c r="B136" s="240">
        <v>0.35</v>
      </c>
      <c r="C136" s="241">
        <v>0.3</v>
      </c>
      <c r="D136" s="201">
        <f t="shared" ref="D136:D193" si="30">IF(AND(B136="",C136=""),"",IF(B136="off",C136,IF(C136="off",B136,AVERAGE(B136:C136))))</f>
        <v>0.32499999999999996</v>
      </c>
      <c r="E136" s="240">
        <v>0.35</v>
      </c>
      <c r="F136" s="241">
        <v>0.3</v>
      </c>
      <c r="G136" s="201">
        <f t="shared" si="24"/>
        <v>0.32499999999999996</v>
      </c>
      <c r="H136" s="240">
        <v>0.4</v>
      </c>
      <c r="I136" s="241">
        <v>0.3</v>
      </c>
      <c r="J136" s="201">
        <f t="shared" si="25"/>
        <v>0.35</v>
      </c>
      <c r="K136" s="242">
        <v>0</v>
      </c>
      <c r="L136" s="274">
        <v>39085</v>
      </c>
      <c r="M136" s="240">
        <v>0.22</v>
      </c>
      <c r="N136" s="241">
        <v>0.19</v>
      </c>
      <c r="O136" s="201">
        <f t="shared" si="26"/>
        <v>0.20500000000000002</v>
      </c>
      <c r="P136" s="240">
        <v>0.22</v>
      </c>
      <c r="Q136" s="241">
        <v>0.22</v>
      </c>
      <c r="R136" s="201">
        <f t="shared" si="27"/>
        <v>0.22</v>
      </c>
      <c r="S136" s="240">
        <v>0.22</v>
      </c>
      <c r="T136" s="241">
        <v>0.17</v>
      </c>
      <c r="U136" s="201">
        <f t="shared" si="28"/>
        <v>0.19500000000000001</v>
      </c>
      <c r="V136" s="240" t="s">
        <v>216</v>
      </c>
      <c r="W136" s="241" t="s">
        <v>216</v>
      </c>
      <c r="X136" s="201" t="str">
        <f t="shared" si="29"/>
        <v>OFF</v>
      </c>
      <c r="Y136" s="242">
        <v>0</v>
      </c>
    </row>
    <row r="137" spans="1:25" ht="15.75" x14ac:dyDescent="0.25">
      <c r="A137" s="31">
        <f>'M&amp;R Stations'!A127</f>
        <v>39086</v>
      </c>
      <c r="B137" s="240">
        <v>0.35</v>
      </c>
      <c r="C137" s="241">
        <v>0.3</v>
      </c>
      <c r="D137" s="201">
        <f t="shared" si="30"/>
        <v>0.32499999999999996</v>
      </c>
      <c r="E137" s="240">
        <v>0.35</v>
      </c>
      <c r="F137" s="241">
        <v>0.3</v>
      </c>
      <c r="G137" s="201">
        <f t="shared" si="24"/>
        <v>0.32499999999999996</v>
      </c>
      <c r="H137" s="240">
        <v>0.35</v>
      </c>
      <c r="I137" s="241">
        <v>0.3</v>
      </c>
      <c r="J137" s="201">
        <f t="shared" si="25"/>
        <v>0.32499999999999996</v>
      </c>
      <c r="K137" s="242">
        <v>0</v>
      </c>
      <c r="L137" s="274">
        <v>39086</v>
      </c>
      <c r="M137" s="240">
        <v>0.22</v>
      </c>
      <c r="N137" s="241">
        <v>0.19</v>
      </c>
      <c r="O137" s="201">
        <f t="shared" si="26"/>
        <v>0.20500000000000002</v>
      </c>
      <c r="P137" s="240">
        <v>0.22</v>
      </c>
      <c r="Q137" s="241">
        <v>0.22</v>
      </c>
      <c r="R137" s="201">
        <f t="shared" si="27"/>
        <v>0.22</v>
      </c>
      <c r="S137" s="240">
        <v>0.22</v>
      </c>
      <c r="T137" s="241">
        <v>0.17</v>
      </c>
      <c r="U137" s="201">
        <f t="shared" si="28"/>
        <v>0.19500000000000001</v>
      </c>
      <c r="V137" s="240" t="s">
        <v>216</v>
      </c>
      <c r="W137" s="241" t="s">
        <v>216</v>
      </c>
      <c r="X137" s="201" t="str">
        <f t="shared" si="29"/>
        <v>OFF</v>
      </c>
      <c r="Y137" s="242">
        <v>0</v>
      </c>
    </row>
    <row r="138" spans="1:25" ht="15.75" x14ac:dyDescent="0.25">
      <c r="A138" s="31">
        <f>'M&amp;R Stations'!A128</f>
        <v>39087</v>
      </c>
      <c r="B138" s="240">
        <v>0.35</v>
      </c>
      <c r="C138" s="241">
        <v>0.26</v>
      </c>
      <c r="D138" s="201">
        <f t="shared" si="30"/>
        <v>0.30499999999999999</v>
      </c>
      <c r="E138" s="240">
        <v>0.35</v>
      </c>
      <c r="F138" s="241">
        <v>0.26</v>
      </c>
      <c r="G138" s="201">
        <f t="shared" si="24"/>
        <v>0.30499999999999999</v>
      </c>
      <c r="H138" s="240">
        <v>0.35</v>
      </c>
      <c r="I138" s="241">
        <v>0.26</v>
      </c>
      <c r="J138" s="201">
        <f t="shared" si="25"/>
        <v>0.30499999999999999</v>
      </c>
      <c r="K138" s="242">
        <v>0</v>
      </c>
      <c r="L138" s="274">
        <v>39087</v>
      </c>
      <c r="M138" s="240">
        <v>0.22</v>
      </c>
      <c r="N138" s="241">
        <v>0.19</v>
      </c>
      <c r="O138" s="201">
        <f t="shared" si="26"/>
        <v>0.20500000000000002</v>
      </c>
      <c r="P138" s="240">
        <v>0.22</v>
      </c>
      <c r="Q138" s="241">
        <v>0.19</v>
      </c>
      <c r="R138" s="201">
        <f t="shared" si="27"/>
        <v>0.20500000000000002</v>
      </c>
      <c r="S138" s="240">
        <v>0.22</v>
      </c>
      <c r="T138" s="241">
        <v>0.19</v>
      </c>
      <c r="U138" s="201">
        <f t="shared" si="28"/>
        <v>0.20500000000000002</v>
      </c>
      <c r="V138" s="240" t="s">
        <v>216</v>
      </c>
      <c r="W138" s="241" t="s">
        <v>216</v>
      </c>
      <c r="X138" s="201" t="str">
        <f t="shared" si="29"/>
        <v>OFF</v>
      </c>
      <c r="Y138" s="242">
        <v>0</v>
      </c>
    </row>
    <row r="139" spans="1:25" ht="15.75" x14ac:dyDescent="0.25">
      <c r="A139" s="31">
        <f>'M&amp;R Stations'!A129</f>
        <v>39088</v>
      </c>
      <c r="B139" s="240">
        <v>0.35</v>
      </c>
      <c r="C139" s="241">
        <v>0.26</v>
      </c>
      <c r="D139" s="201">
        <f t="shared" si="30"/>
        <v>0.30499999999999999</v>
      </c>
      <c r="E139" s="240">
        <v>0.35</v>
      </c>
      <c r="F139" s="241">
        <v>0.26</v>
      </c>
      <c r="G139" s="201">
        <f t="shared" si="24"/>
        <v>0.30499999999999999</v>
      </c>
      <c r="H139" s="240">
        <v>0.35</v>
      </c>
      <c r="I139" s="241">
        <v>0.26</v>
      </c>
      <c r="J139" s="201">
        <f t="shared" si="25"/>
        <v>0.30499999999999999</v>
      </c>
      <c r="K139" s="242">
        <v>0</v>
      </c>
      <c r="L139" s="274">
        <v>39088</v>
      </c>
      <c r="M139" s="240">
        <v>0.22</v>
      </c>
      <c r="N139" s="241">
        <v>0.22</v>
      </c>
      <c r="O139" s="201">
        <f t="shared" si="26"/>
        <v>0.22</v>
      </c>
      <c r="P139" s="240">
        <v>0.19</v>
      </c>
      <c r="Q139" s="241">
        <v>0.17</v>
      </c>
      <c r="R139" s="201">
        <f t="shared" si="27"/>
        <v>0.18</v>
      </c>
      <c r="S139" s="240">
        <v>0.19</v>
      </c>
      <c r="T139" s="241">
        <v>0.17</v>
      </c>
      <c r="U139" s="201">
        <f t="shared" si="28"/>
        <v>0.18</v>
      </c>
      <c r="V139" s="240" t="s">
        <v>216</v>
      </c>
      <c r="W139" s="241" t="s">
        <v>216</v>
      </c>
      <c r="X139" s="201" t="str">
        <f t="shared" si="29"/>
        <v>OFF</v>
      </c>
      <c r="Y139" s="242">
        <v>0</v>
      </c>
    </row>
    <row r="140" spans="1:25" ht="15.75" x14ac:dyDescent="0.25">
      <c r="A140" s="31">
        <f>'M&amp;R Stations'!A130</f>
        <v>39089</v>
      </c>
      <c r="B140" s="240">
        <v>0.3</v>
      </c>
      <c r="C140" s="241">
        <v>0.26</v>
      </c>
      <c r="D140" s="201">
        <f t="shared" si="30"/>
        <v>0.28000000000000003</v>
      </c>
      <c r="E140" s="240">
        <v>0.3</v>
      </c>
      <c r="F140" s="241">
        <v>0.26</v>
      </c>
      <c r="G140" s="201">
        <f t="shared" si="24"/>
        <v>0.28000000000000003</v>
      </c>
      <c r="H140" s="240">
        <v>0.35</v>
      </c>
      <c r="I140" s="241">
        <v>0.26</v>
      </c>
      <c r="J140" s="201">
        <f t="shared" si="25"/>
        <v>0.30499999999999999</v>
      </c>
      <c r="K140" s="242">
        <v>0</v>
      </c>
      <c r="L140" s="274">
        <v>39089</v>
      </c>
      <c r="M140" s="240">
        <v>0.22</v>
      </c>
      <c r="N140" s="241">
        <v>0.19</v>
      </c>
      <c r="O140" s="201">
        <f t="shared" si="26"/>
        <v>0.20500000000000002</v>
      </c>
      <c r="P140" s="240">
        <v>0.22</v>
      </c>
      <c r="Q140" s="241">
        <v>0.17</v>
      </c>
      <c r="R140" s="201">
        <f t="shared" si="27"/>
        <v>0.19500000000000001</v>
      </c>
      <c r="S140" s="240">
        <v>0.22</v>
      </c>
      <c r="T140" s="241">
        <v>0.17</v>
      </c>
      <c r="U140" s="201">
        <f t="shared" si="28"/>
        <v>0.19500000000000001</v>
      </c>
      <c r="V140" s="240" t="s">
        <v>216</v>
      </c>
      <c r="W140" s="241" t="s">
        <v>216</v>
      </c>
      <c r="X140" s="201" t="str">
        <f t="shared" si="29"/>
        <v>OFF</v>
      </c>
      <c r="Y140" s="242">
        <v>0</v>
      </c>
    </row>
    <row r="141" spans="1:25" ht="15.75" x14ac:dyDescent="0.25">
      <c r="A141" s="31">
        <f>'M&amp;R Stations'!A131</f>
        <v>39090</v>
      </c>
      <c r="B141" s="240">
        <v>0.35</v>
      </c>
      <c r="C141" s="241">
        <v>0.26</v>
      </c>
      <c r="D141" s="201">
        <f t="shared" si="30"/>
        <v>0.30499999999999999</v>
      </c>
      <c r="E141" s="240">
        <v>0.35</v>
      </c>
      <c r="F141" s="241">
        <v>0.26</v>
      </c>
      <c r="G141" s="201">
        <f t="shared" si="24"/>
        <v>0.30499999999999999</v>
      </c>
      <c r="H141" s="240">
        <v>0.35</v>
      </c>
      <c r="I141" s="241">
        <v>0.26</v>
      </c>
      <c r="J141" s="201">
        <f t="shared" si="25"/>
        <v>0.30499999999999999</v>
      </c>
      <c r="K141" s="242">
        <v>0</v>
      </c>
      <c r="L141" s="274">
        <v>39090</v>
      </c>
      <c r="M141" s="240">
        <v>0.22</v>
      </c>
      <c r="N141" s="241">
        <v>0.22</v>
      </c>
      <c r="O141" s="201">
        <f t="shared" si="26"/>
        <v>0.22</v>
      </c>
      <c r="P141" s="240">
        <v>0.22</v>
      </c>
      <c r="Q141" s="241">
        <v>0.22</v>
      </c>
      <c r="R141" s="201">
        <f t="shared" si="27"/>
        <v>0.22</v>
      </c>
      <c r="S141" s="240">
        <v>0.22</v>
      </c>
      <c r="T141" s="241">
        <v>0.22</v>
      </c>
      <c r="U141" s="201">
        <f t="shared" si="28"/>
        <v>0.22</v>
      </c>
      <c r="V141" s="240" t="s">
        <v>216</v>
      </c>
      <c r="W141" s="241" t="s">
        <v>216</v>
      </c>
      <c r="X141" s="201" t="str">
        <f t="shared" si="29"/>
        <v>OFF</v>
      </c>
      <c r="Y141" s="242">
        <v>0</v>
      </c>
    </row>
    <row r="142" spans="1:25" ht="15.75" x14ac:dyDescent="0.25">
      <c r="A142" s="31">
        <f>'M&amp;R Stations'!A132</f>
        <v>39091</v>
      </c>
      <c r="B142" s="240">
        <v>0.35</v>
      </c>
      <c r="C142" s="241">
        <v>0.26</v>
      </c>
      <c r="D142" s="201">
        <f t="shared" si="30"/>
        <v>0.30499999999999999</v>
      </c>
      <c r="E142" s="240">
        <v>0.35</v>
      </c>
      <c r="F142" s="241">
        <v>0.26</v>
      </c>
      <c r="G142" s="201">
        <f t="shared" si="24"/>
        <v>0.30499999999999999</v>
      </c>
      <c r="H142" s="240">
        <v>0.35</v>
      </c>
      <c r="I142" s="241">
        <v>0.26</v>
      </c>
      <c r="J142" s="201">
        <f t="shared" si="25"/>
        <v>0.30499999999999999</v>
      </c>
      <c r="K142" s="242">
        <v>0</v>
      </c>
      <c r="L142" s="274">
        <v>39091</v>
      </c>
      <c r="M142" s="240">
        <v>0.22</v>
      </c>
      <c r="N142" s="241">
        <v>0.22</v>
      </c>
      <c r="O142" s="201">
        <f t="shared" si="26"/>
        <v>0.22</v>
      </c>
      <c r="P142" s="240">
        <v>0.25</v>
      </c>
      <c r="Q142" s="241">
        <v>0.22</v>
      </c>
      <c r="R142" s="201">
        <f t="shared" si="27"/>
        <v>0.23499999999999999</v>
      </c>
      <c r="S142" s="240">
        <v>0.22</v>
      </c>
      <c r="T142" s="241">
        <v>0.22</v>
      </c>
      <c r="U142" s="201">
        <f t="shared" si="28"/>
        <v>0.22</v>
      </c>
      <c r="V142" s="240" t="s">
        <v>216</v>
      </c>
      <c r="W142" s="241" t="s">
        <v>216</v>
      </c>
      <c r="X142" s="201" t="str">
        <f t="shared" si="29"/>
        <v>OFF</v>
      </c>
      <c r="Y142" s="242">
        <v>0</v>
      </c>
    </row>
    <row r="143" spans="1:25" ht="15.75" x14ac:dyDescent="0.25">
      <c r="A143" s="31">
        <f>'M&amp;R Stations'!A133</f>
        <v>39092</v>
      </c>
      <c r="B143" s="240">
        <v>0.35</v>
      </c>
      <c r="C143" s="241">
        <v>0.3</v>
      </c>
      <c r="D143" s="201">
        <f t="shared" si="30"/>
        <v>0.32499999999999996</v>
      </c>
      <c r="E143" s="240">
        <v>0.35</v>
      </c>
      <c r="F143" s="241">
        <v>0.3</v>
      </c>
      <c r="G143" s="201">
        <f t="shared" si="24"/>
        <v>0.32499999999999996</v>
      </c>
      <c r="H143" s="240">
        <v>0.35</v>
      </c>
      <c r="I143" s="241">
        <v>0.3</v>
      </c>
      <c r="J143" s="201">
        <f t="shared" si="25"/>
        <v>0.32499999999999996</v>
      </c>
      <c r="K143" s="242">
        <v>0</v>
      </c>
      <c r="L143" s="274">
        <v>39092</v>
      </c>
      <c r="M143" s="240">
        <v>0.22</v>
      </c>
      <c r="N143" s="241">
        <v>0.14000000000000001</v>
      </c>
      <c r="O143" s="201">
        <f t="shared" si="26"/>
        <v>0.18</v>
      </c>
      <c r="P143" s="240">
        <v>0.22</v>
      </c>
      <c r="Q143" s="241">
        <v>0.17</v>
      </c>
      <c r="R143" s="201">
        <f t="shared" si="27"/>
        <v>0.19500000000000001</v>
      </c>
      <c r="S143" s="240">
        <v>0.22</v>
      </c>
      <c r="T143" s="241">
        <v>0.17</v>
      </c>
      <c r="U143" s="201">
        <f t="shared" si="28"/>
        <v>0.19500000000000001</v>
      </c>
      <c r="V143" s="240" t="s">
        <v>216</v>
      </c>
      <c r="W143" s="241" t="s">
        <v>216</v>
      </c>
      <c r="X143" s="201" t="str">
        <f t="shared" si="29"/>
        <v>OFF</v>
      </c>
      <c r="Y143" s="242">
        <v>0</v>
      </c>
    </row>
    <row r="144" spans="1:25" ht="15.75" x14ac:dyDescent="0.25">
      <c r="A144" s="31">
        <f>'M&amp;R Stations'!A134</f>
        <v>39093</v>
      </c>
      <c r="B144" s="240">
        <v>0.35</v>
      </c>
      <c r="C144" s="241">
        <v>0.3</v>
      </c>
      <c r="D144" s="201">
        <f t="shared" si="30"/>
        <v>0.32499999999999996</v>
      </c>
      <c r="E144" s="240">
        <v>0.35</v>
      </c>
      <c r="F144" s="241">
        <v>0.3</v>
      </c>
      <c r="G144" s="201">
        <f t="shared" si="24"/>
        <v>0.32499999999999996</v>
      </c>
      <c r="H144" s="240">
        <v>0.35</v>
      </c>
      <c r="I144" s="241">
        <v>0.3</v>
      </c>
      <c r="J144" s="201">
        <f t="shared" si="25"/>
        <v>0.32499999999999996</v>
      </c>
      <c r="K144" s="242">
        <v>0</v>
      </c>
      <c r="L144" s="274">
        <v>39093</v>
      </c>
      <c r="M144" s="240">
        <v>0.22</v>
      </c>
      <c r="N144" s="241">
        <v>0.19</v>
      </c>
      <c r="O144" s="201">
        <f t="shared" si="26"/>
        <v>0.20500000000000002</v>
      </c>
      <c r="P144" s="240">
        <v>0.22</v>
      </c>
      <c r="Q144" s="241">
        <v>0.19</v>
      </c>
      <c r="R144" s="201">
        <f t="shared" si="27"/>
        <v>0.20500000000000002</v>
      </c>
      <c r="S144" s="240">
        <v>0.22</v>
      </c>
      <c r="T144" s="241">
        <v>0.19</v>
      </c>
      <c r="U144" s="201">
        <f t="shared" si="28"/>
        <v>0.20500000000000002</v>
      </c>
      <c r="V144" s="240" t="s">
        <v>216</v>
      </c>
      <c r="W144" s="241" t="s">
        <v>216</v>
      </c>
      <c r="X144" s="201" t="str">
        <f t="shared" si="29"/>
        <v>OFF</v>
      </c>
      <c r="Y144" s="242">
        <v>0</v>
      </c>
    </row>
    <row r="145" spans="1:25" ht="15.75" x14ac:dyDescent="0.25">
      <c r="A145" s="31">
        <f>'M&amp;R Stations'!A135</f>
        <v>39094</v>
      </c>
      <c r="B145" s="240">
        <v>0.35</v>
      </c>
      <c r="C145" s="241">
        <v>0.26</v>
      </c>
      <c r="D145" s="201">
        <f t="shared" si="30"/>
        <v>0.30499999999999999</v>
      </c>
      <c r="E145" s="240">
        <v>0.35</v>
      </c>
      <c r="F145" s="241">
        <v>0.26</v>
      </c>
      <c r="G145" s="201">
        <f t="shared" si="24"/>
        <v>0.30499999999999999</v>
      </c>
      <c r="H145" s="240">
        <v>0.35</v>
      </c>
      <c r="I145" s="241">
        <v>0.26</v>
      </c>
      <c r="J145" s="201">
        <f t="shared" si="25"/>
        <v>0.30499999999999999</v>
      </c>
      <c r="K145" s="242">
        <v>0</v>
      </c>
      <c r="L145" s="274">
        <v>39094</v>
      </c>
      <c r="M145" s="240">
        <v>0.25</v>
      </c>
      <c r="N145" s="241">
        <v>0.19</v>
      </c>
      <c r="O145" s="201">
        <f t="shared" si="26"/>
        <v>0.22</v>
      </c>
      <c r="P145" s="240">
        <v>0.25</v>
      </c>
      <c r="Q145" s="241">
        <v>0.19</v>
      </c>
      <c r="R145" s="201">
        <f t="shared" si="27"/>
        <v>0.22</v>
      </c>
      <c r="S145" s="240">
        <v>0.22</v>
      </c>
      <c r="T145" s="241">
        <v>0.19</v>
      </c>
      <c r="U145" s="201">
        <f t="shared" si="28"/>
        <v>0.20500000000000002</v>
      </c>
      <c r="V145" s="240" t="s">
        <v>216</v>
      </c>
      <c r="W145" s="241" t="s">
        <v>216</v>
      </c>
      <c r="X145" s="201" t="str">
        <f t="shared" si="29"/>
        <v>OFF</v>
      </c>
      <c r="Y145" s="242">
        <v>0</v>
      </c>
    </row>
    <row r="146" spans="1:25" ht="15.75" x14ac:dyDescent="0.25">
      <c r="A146" s="31">
        <f>'M&amp;R Stations'!A136</f>
        <v>39095</v>
      </c>
      <c r="B146" s="240">
        <v>0.35</v>
      </c>
      <c r="C146" s="241">
        <v>0.26</v>
      </c>
      <c r="D146" s="201">
        <f t="shared" si="30"/>
        <v>0.30499999999999999</v>
      </c>
      <c r="E146" s="240">
        <v>0.35</v>
      </c>
      <c r="F146" s="241">
        <v>0.26</v>
      </c>
      <c r="G146" s="201">
        <f t="shared" si="24"/>
        <v>0.30499999999999999</v>
      </c>
      <c r="H146" s="240">
        <v>0.35</v>
      </c>
      <c r="I146" s="241">
        <v>0.26</v>
      </c>
      <c r="J146" s="201">
        <f t="shared" si="25"/>
        <v>0.30499999999999999</v>
      </c>
      <c r="K146" s="242">
        <v>0</v>
      </c>
      <c r="L146" s="274">
        <v>39095</v>
      </c>
      <c r="M146" s="240">
        <v>0.22</v>
      </c>
      <c r="N146" s="241">
        <v>0.19</v>
      </c>
      <c r="O146" s="201">
        <f t="shared" si="26"/>
        <v>0.20500000000000002</v>
      </c>
      <c r="P146" s="240">
        <v>0.19</v>
      </c>
      <c r="Q146" s="241">
        <v>0.17</v>
      </c>
      <c r="R146" s="201">
        <f t="shared" si="27"/>
        <v>0.18</v>
      </c>
      <c r="S146" s="240">
        <v>0.19</v>
      </c>
      <c r="T146" s="241">
        <v>0.17</v>
      </c>
      <c r="U146" s="201">
        <f t="shared" si="28"/>
        <v>0.18</v>
      </c>
      <c r="V146" s="240" t="s">
        <v>216</v>
      </c>
      <c r="W146" s="241" t="s">
        <v>216</v>
      </c>
      <c r="X146" s="201" t="str">
        <f t="shared" si="29"/>
        <v>OFF</v>
      </c>
      <c r="Y146" s="242">
        <v>0</v>
      </c>
    </row>
    <row r="147" spans="1:25" ht="15.75" x14ac:dyDescent="0.25">
      <c r="A147" s="31">
        <f>'M&amp;R Stations'!A137</f>
        <v>39096</v>
      </c>
      <c r="B147" s="240">
        <v>0.26</v>
      </c>
      <c r="C147" s="241">
        <v>0.26</v>
      </c>
      <c r="D147" s="201">
        <f t="shared" si="30"/>
        <v>0.26</v>
      </c>
      <c r="E147" s="240">
        <v>0.26</v>
      </c>
      <c r="F147" s="241">
        <v>0.26</v>
      </c>
      <c r="G147" s="201">
        <f t="shared" si="24"/>
        <v>0.26</v>
      </c>
      <c r="H147" s="240">
        <v>0.26</v>
      </c>
      <c r="I147" s="241">
        <v>0.26</v>
      </c>
      <c r="J147" s="201">
        <f t="shared" si="25"/>
        <v>0.26</v>
      </c>
      <c r="K147" s="242">
        <v>0</v>
      </c>
      <c r="L147" s="274">
        <v>39096</v>
      </c>
      <c r="M147" s="240">
        <v>0.22</v>
      </c>
      <c r="N147" s="241">
        <v>0.19</v>
      </c>
      <c r="O147" s="201">
        <f t="shared" si="26"/>
        <v>0.20500000000000002</v>
      </c>
      <c r="P147" s="240">
        <v>0.19</v>
      </c>
      <c r="Q147" s="241">
        <v>0.17</v>
      </c>
      <c r="R147" s="201">
        <f t="shared" si="27"/>
        <v>0.18</v>
      </c>
      <c r="S147" s="240">
        <v>0.19</v>
      </c>
      <c r="T147" s="241">
        <v>0.19</v>
      </c>
      <c r="U147" s="201">
        <f t="shared" si="28"/>
        <v>0.19</v>
      </c>
      <c r="V147" s="240" t="s">
        <v>216</v>
      </c>
      <c r="W147" s="241" t="s">
        <v>216</v>
      </c>
      <c r="X147" s="201" t="str">
        <f t="shared" si="29"/>
        <v>OFF</v>
      </c>
      <c r="Y147" s="242">
        <v>0</v>
      </c>
    </row>
    <row r="148" spans="1:25" ht="15.75" x14ac:dyDescent="0.25">
      <c r="A148" s="31">
        <f>'M&amp;R Stations'!A138</f>
        <v>39097</v>
      </c>
      <c r="B148" s="240">
        <v>0.35</v>
      </c>
      <c r="C148" s="241">
        <v>0.26</v>
      </c>
      <c r="D148" s="201">
        <f t="shared" si="30"/>
        <v>0.30499999999999999</v>
      </c>
      <c r="E148" s="240">
        <v>0.35</v>
      </c>
      <c r="F148" s="241">
        <v>0.26</v>
      </c>
      <c r="G148" s="201">
        <f t="shared" si="24"/>
        <v>0.30499999999999999</v>
      </c>
      <c r="H148" s="240">
        <v>0.35</v>
      </c>
      <c r="I148" s="241">
        <v>0.26</v>
      </c>
      <c r="J148" s="201">
        <f t="shared" si="25"/>
        <v>0.30499999999999999</v>
      </c>
      <c r="K148" s="242">
        <v>0</v>
      </c>
      <c r="L148" s="274">
        <v>39097</v>
      </c>
      <c r="M148" s="240">
        <v>0.22</v>
      </c>
      <c r="N148" s="241">
        <v>0.19</v>
      </c>
      <c r="O148" s="201">
        <f t="shared" si="26"/>
        <v>0.20500000000000002</v>
      </c>
      <c r="P148" s="240">
        <v>0.19</v>
      </c>
      <c r="Q148" s="241">
        <v>0.19</v>
      </c>
      <c r="R148" s="201">
        <f t="shared" si="27"/>
        <v>0.19</v>
      </c>
      <c r="S148" s="240">
        <v>0.19</v>
      </c>
      <c r="T148" s="241">
        <v>0.19</v>
      </c>
      <c r="U148" s="201">
        <f t="shared" si="28"/>
        <v>0.19</v>
      </c>
      <c r="V148" s="240" t="s">
        <v>216</v>
      </c>
      <c r="W148" s="241" t="s">
        <v>216</v>
      </c>
      <c r="X148" s="201" t="str">
        <f t="shared" si="29"/>
        <v>OFF</v>
      </c>
      <c r="Y148" s="242">
        <v>0</v>
      </c>
    </row>
    <row r="149" spans="1:25" ht="15.75" x14ac:dyDescent="0.25">
      <c r="A149" s="31">
        <f>'M&amp;R Stations'!A139</f>
        <v>39098</v>
      </c>
      <c r="B149" s="240">
        <v>0.35</v>
      </c>
      <c r="C149" s="241">
        <v>0.26</v>
      </c>
      <c r="D149" s="201">
        <f t="shared" si="30"/>
        <v>0.30499999999999999</v>
      </c>
      <c r="E149" s="240">
        <v>0.35</v>
      </c>
      <c r="F149" s="241">
        <v>0.26</v>
      </c>
      <c r="G149" s="201">
        <f t="shared" si="24"/>
        <v>0.30499999999999999</v>
      </c>
      <c r="H149" s="240">
        <v>0.35</v>
      </c>
      <c r="I149" s="241">
        <v>0.26</v>
      </c>
      <c r="J149" s="201">
        <f t="shared" si="25"/>
        <v>0.30499999999999999</v>
      </c>
      <c r="K149" s="242">
        <v>0</v>
      </c>
      <c r="L149" s="274">
        <v>39098</v>
      </c>
      <c r="M149" s="240">
        <v>0.22</v>
      </c>
      <c r="N149" s="241">
        <v>0.22</v>
      </c>
      <c r="O149" s="201">
        <f t="shared" si="26"/>
        <v>0.22</v>
      </c>
      <c r="P149" s="240">
        <v>0.22</v>
      </c>
      <c r="Q149" s="241">
        <v>0.22</v>
      </c>
      <c r="R149" s="201">
        <f t="shared" si="27"/>
        <v>0.22</v>
      </c>
      <c r="S149" s="240">
        <v>0.22</v>
      </c>
      <c r="T149" s="241">
        <v>0.22</v>
      </c>
      <c r="U149" s="201">
        <f t="shared" si="28"/>
        <v>0.22</v>
      </c>
      <c r="V149" s="240" t="s">
        <v>216</v>
      </c>
      <c r="W149" s="241" t="s">
        <v>216</v>
      </c>
      <c r="X149" s="201" t="str">
        <f t="shared" si="29"/>
        <v>OFF</v>
      </c>
      <c r="Y149" s="242">
        <v>0</v>
      </c>
    </row>
    <row r="150" spans="1:25" ht="15.75" x14ac:dyDescent="0.25">
      <c r="A150" s="31">
        <f>'M&amp;R Stations'!A140</f>
        <v>39099</v>
      </c>
      <c r="B150" s="240">
        <v>0.35</v>
      </c>
      <c r="C150" s="241">
        <v>0.26</v>
      </c>
      <c r="D150" s="201">
        <f t="shared" si="30"/>
        <v>0.30499999999999999</v>
      </c>
      <c r="E150" s="240">
        <v>0.35</v>
      </c>
      <c r="F150" s="241">
        <v>0.3</v>
      </c>
      <c r="G150" s="201">
        <f t="shared" si="24"/>
        <v>0.32499999999999996</v>
      </c>
      <c r="H150" s="240">
        <v>0.35</v>
      </c>
      <c r="I150" s="241">
        <v>0.26</v>
      </c>
      <c r="J150" s="201">
        <f t="shared" si="25"/>
        <v>0.30499999999999999</v>
      </c>
      <c r="K150" s="242">
        <v>0</v>
      </c>
      <c r="L150" s="274">
        <v>39099</v>
      </c>
      <c r="M150" s="240">
        <v>0.22</v>
      </c>
      <c r="N150" s="241">
        <v>0.22</v>
      </c>
      <c r="O150" s="201">
        <f t="shared" si="26"/>
        <v>0.22</v>
      </c>
      <c r="P150" s="240">
        <v>0.25</v>
      </c>
      <c r="Q150" s="241">
        <v>0.22</v>
      </c>
      <c r="R150" s="201">
        <f t="shared" si="27"/>
        <v>0.23499999999999999</v>
      </c>
      <c r="S150" s="240">
        <v>0.22</v>
      </c>
      <c r="T150" s="241">
        <v>0.22</v>
      </c>
      <c r="U150" s="201">
        <f t="shared" si="28"/>
        <v>0.22</v>
      </c>
      <c r="V150" s="240" t="s">
        <v>216</v>
      </c>
      <c r="W150" s="241" t="s">
        <v>216</v>
      </c>
      <c r="X150" s="201" t="str">
        <f t="shared" si="29"/>
        <v>OFF</v>
      </c>
      <c r="Y150" s="242">
        <v>5.86</v>
      </c>
    </row>
    <row r="151" spans="1:25" ht="15.75" x14ac:dyDescent="0.25">
      <c r="A151" s="31">
        <f>'M&amp;R Stations'!A141</f>
        <v>39100</v>
      </c>
      <c r="B151" s="240">
        <v>0.35</v>
      </c>
      <c r="C151" s="241">
        <v>0.3</v>
      </c>
      <c r="D151" s="201">
        <f t="shared" si="30"/>
        <v>0.32499999999999996</v>
      </c>
      <c r="E151" s="240">
        <v>0.35</v>
      </c>
      <c r="F151" s="241">
        <v>0.3</v>
      </c>
      <c r="G151" s="201">
        <f t="shared" si="24"/>
        <v>0.32499999999999996</v>
      </c>
      <c r="H151" s="240">
        <v>0.35</v>
      </c>
      <c r="I151" s="241">
        <v>0.3</v>
      </c>
      <c r="J151" s="201">
        <f t="shared" si="25"/>
        <v>0.32499999999999996</v>
      </c>
      <c r="K151" s="242">
        <v>0</v>
      </c>
      <c r="L151" s="274">
        <v>39100</v>
      </c>
      <c r="M151" s="240">
        <v>0.19</v>
      </c>
      <c r="N151" s="241">
        <v>0.19</v>
      </c>
      <c r="O151" s="201">
        <f t="shared" si="26"/>
        <v>0.19</v>
      </c>
      <c r="P151" s="240">
        <v>0.19</v>
      </c>
      <c r="Q151" s="241">
        <v>0.19</v>
      </c>
      <c r="R151" s="201">
        <f t="shared" si="27"/>
        <v>0.19</v>
      </c>
      <c r="S151" s="240">
        <v>0.19</v>
      </c>
      <c r="T151" s="241">
        <v>0.19</v>
      </c>
      <c r="U151" s="201">
        <f t="shared" si="28"/>
        <v>0.19</v>
      </c>
      <c r="V151" s="240" t="s">
        <v>216</v>
      </c>
      <c r="W151" s="241" t="s">
        <v>216</v>
      </c>
      <c r="X151" s="201" t="str">
        <f t="shared" si="29"/>
        <v>OFF</v>
      </c>
      <c r="Y151" s="242">
        <v>0</v>
      </c>
    </row>
    <row r="152" spans="1:25" ht="15.75" x14ac:dyDescent="0.25">
      <c r="A152" s="31">
        <f>'M&amp;R Stations'!A142</f>
        <v>39101</v>
      </c>
      <c r="B152" s="240">
        <v>0.35</v>
      </c>
      <c r="C152" s="241">
        <v>0.3</v>
      </c>
      <c r="D152" s="201">
        <f t="shared" si="30"/>
        <v>0.32499999999999996</v>
      </c>
      <c r="E152" s="240">
        <v>0.35</v>
      </c>
      <c r="F152" s="241">
        <v>0.35</v>
      </c>
      <c r="G152" s="201">
        <f t="shared" si="24"/>
        <v>0.35</v>
      </c>
      <c r="H152" s="240">
        <v>0.35</v>
      </c>
      <c r="I152" s="241">
        <v>0.26</v>
      </c>
      <c r="J152" s="201">
        <f t="shared" si="25"/>
        <v>0.30499999999999999</v>
      </c>
      <c r="K152" s="242">
        <v>0</v>
      </c>
      <c r="L152" s="274">
        <v>39101</v>
      </c>
      <c r="M152" s="240">
        <v>0.19</v>
      </c>
      <c r="N152" s="241">
        <v>0.19</v>
      </c>
      <c r="O152" s="201">
        <f t="shared" si="26"/>
        <v>0.19</v>
      </c>
      <c r="P152" s="240">
        <v>0.22</v>
      </c>
      <c r="Q152" s="241">
        <v>0.19</v>
      </c>
      <c r="R152" s="201">
        <f t="shared" si="27"/>
        <v>0.20500000000000002</v>
      </c>
      <c r="S152" s="240">
        <v>0.22</v>
      </c>
      <c r="T152" s="241">
        <v>0.22</v>
      </c>
      <c r="U152" s="201">
        <f t="shared" si="28"/>
        <v>0.22</v>
      </c>
      <c r="V152" s="240" t="s">
        <v>216</v>
      </c>
      <c r="W152" s="241" t="s">
        <v>216</v>
      </c>
      <c r="X152" s="201" t="str">
        <f t="shared" si="29"/>
        <v>OFF</v>
      </c>
      <c r="Y152" s="242">
        <v>0</v>
      </c>
    </row>
    <row r="153" spans="1:25" ht="15.75" x14ac:dyDescent="0.25">
      <c r="A153" s="31">
        <f>'M&amp;R Stations'!A143</f>
        <v>39102</v>
      </c>
      <c r="B153" s="240">
        <v>0.35</v>
      </c>
      <c r="C153" s="241">
        <v>0.26</v>
      </c>
      <c r="D153" s="201">
        <f t="shared" si="30"/>
        <v>0.30499999999999999</v>
      </c>
      <c r="E153" s="240">
        <v>0.3</v>
      </c>
      <c r="F153" s="241">
        <v>0.26</v>
      </c>
      <c r="G153" s="201">
        <f t="shared" si="24"/>
        <v>0.28000000000000003</v>
      </c>
      <c r="H153" s="240">
        <v>0.35</v>
      </c>
      <c r="I153" s="241">
        <v>0.26</v>
      </c>
      <c r="J153" s="201">
        <f t="shared" si="25"/>
        <v>0.30499999999999999</v>
      </c>
      <c r="K153" s="242">
        <v>0</v>
      </c>
      <c r="L153" s="274">
        <v>39102</v>
      </c>
      <c r="M153" s="240">
        <v>0.19</v>
      </c>
      <c r="N153" s="241">
        <v>0.17</v>
      </c>
      <c r="O153" s="201">
        <f t="shared" si="26"/>
        <v>0.18</v>
      </c>
      <c r="P153" s="240">
        <v>0.19</v>
      </c>
      <c r="Q153" s="241">
        <v>0.17</v>
      </c>
      <c r="R153" s="201">
        <f t="shared" si="27"/>
        <v>0.18</v>
      </c>
      <c r="S153" s="240">
        <v>0.19</v>
      </c>
      <c r="T153" s="241">
        <v>0.19</v>
      </c>
      <c r="U153" s="201">
        <f t="shared" si="28"/>
        <v>0.19</v>
      </c>
      <c r="V153" s="240">
        <v>0.19</v>
      </c>
      <c r="W153" s="241">
        <v>0.19</v>
      </c>
      <c r="X153" s="201">
        <f t="shared" si="29"/>
        <v>0.19</v>
      </c>
      <c r="Y153" s="242">
        <v>3.83</v>
      </c>
    </row>
    <row r="154" spans="1:25" ht="15.75" x14ac:dyDescent="0.25">
      <c r="A154" s="31">
        <f>'M&amp;R Stations'!A144</f>
        <v>39103</v>
      </c>
      <c r="B154" s="240">
        <v>0.35</v>
      </c>
      <c r="C154" s="241">
        <v>0.3</v>
      </c>
      <c r="D154" s="201">
        <f t="shared" si="30"/>
        <v>0.32499999999999996</v>
      </c>
      <c r="E154" s="240">
        <v>0.35</v>
      </c>
      <c r="F154" s="241">
        <v>0.3</v>
      </c>
      <c r="G154" s="201">
        <f t="shared" si="24"/>
        <v>0.32499999999999996</v>
      </c>
      <c r="H154" s="240">
        <v>0.35</v>
      </c>
      <c r="I154" s="241">
        <v>0.26</v>
      </c>
      <c r="J154" s="201">
        <f t="shared" si="25"/>
        <v>0.30499999999999999</v>
      </c>
      <c r="K154" s="242">
        <v>0</v>
      </c>
      <c r="L154" s="274">
        <v>39103</v>
      </c>
      <c r="M154" s="240">
        <v>0.22</v>
      </c>
      <c r="N154" s="241">
        <v>0.19</v>
      </c>
      <c r="O154" s="201">
        <f t="shared" si="26"/>
        <v>0.20500000000000002</v>
      </c>
      <c r="P154" s="240">
        <v>0.22</v>
      </c>
      <c r="Q154" s="241">
        <v>0.19</v>
      </c>
      <c r="R154" s="201">
        <f t="shared" si="27"/>
        <v>0.20500000000000002</v>
      </c>
      <c r="S154" s="240">
        <v>0.19</v>
      </c>
      <c r="T154" s="241">
        <v>0.19</v>
      </c>
      <c r="U154" s="201">
        <f t="shared" si="28"/>
        <v>0.19</v>
      </c>
      <c r="V154" s="240">
        <v>0.22</v>
      </c>
      <c r="W154" s="241">
        <v>0.17</v>
      </c>
      <c r="X154" s="201">
        <f t="shared" si="29"/>
        <v>0.19500000000000001</v>
      </c>
      <c r="Y154" s="242">
        <v>7.7</v>
      </c>
    </row>
    <row r="155" spans="1:25" ht="15.75" x14ac:dyDescent="0.25">
      <c r="A155" s="31">
        <f>'M&amp;R Stations'!A145</f>
        <v>39104</v>
      </c>
      <c r="B155" s="240">
        <v>0.35</v>
      </c>
      <c r="C155" s="241">
        <v>0.26</v>
      </c>
      <c r="D155" s="201">
        <f t="shared" si="30"/>
        <v>0.30499999999999999</v>
      </c>
      <c r="E155" s="240">
        <v>0.35</v>
      </c>
      <c r="F155" s="241">
        <v>0.26</v>
      </c>
      <c r="G155" s="201">
        <f t="shared" si="24"/>
        <v>0.30499999999999999</v>
      </c>
      <c r="H155" s="240">
        <v>0.35</v>
      </c>
      <c r="I155" s="241">
        <v>0.26</v>
      </c>
      <c r="J155" s="201">
        <f t="shared" si="25"/>
        <v>0.30499999999999999</v>
      </c>
      <c r="K155" s="242">
        <v>0</v>
      </c>
      <c r="L155" s="274">
        <v>39104</v>
      </c>
      <c r="M155" s="240">
        <v>0.22</v>
      </c>
      <c r="N155" s="241">
        <v>0.19</v>
      </c>
      <c r="O155" s="201">
        <f t="shared" si="26"/>
        <v>0.20500000000000002</v>
      </c>
      <c r="P155" s="240">
        <v>0.22</v>
      </c>
      <c r="Q155" s="241">
        <v>0.19</v>
      </c>
      <c r="R155" s="201">
        <f t="shared" si="27"/>
        <v>0.20500000000000002</v>
      </c>
      <c r="S155" s="240">
        <v>0.22</v>
      </c>
      <c r="T155" s="241">
        <v>0.22</v>
      </c>
      <c r="U155" s="201">
        <f t="shared" si="28"/>
        <v>0.22</v>
      </c>
      <c r="V155" s="240" t="s">
        <v>216</v>
      </c>
      <c r="W155" s="241" t="s">
        <v>216</v>
      </c>
      <c r="X155" s="201" t="str">
        <f t="shared" si="29"/>
        <v>OFF</v>
      </c>
      <c r="Y155" s="242">
        <v>0</v>
      </c>
    </row>
    <row r="156" spans="1:25" ht="15.75" x14ac:dyDescent="0.25">
      <c r="A156" s="31">
        <f>'M&amp;R Stations'!A146</f>
        <v>39105</v>
      </c>
      <c r="B156" s="240">
        <v>0.35</v>
      </c>
      <c r="C156" s="241">
        <v>0.26</v>
      </c>
      <c r="D156" s="201">
        <f t="shared" si="30"/>
        <v>0.30499999999999999</v>
      </c>
      <c r="E156" s="240">
        <v>0.35</v>
      </c>
      <c r="F156" s="241">
        <v>0.26</v>
      </c>
      <c r="G156" s="201">
        <f t="shared" si="24"/>
        <v>0.30499999999999999</v>
      </c>
      <c r="H156" s="240">
        <v>0.35</v>
      </c>
      <c r="I156" s="241">
        <v>0.26</v>
      </c>
      <c r="J156" s="201">
        <f t="shared" si="25"/>
        <v>0.30499999999999999</v>
      </c>
      <c r="K156" s="242">
        <v>0</v>
      </c>
      <c r="L156" s="274">
        <v>39105</v>
      </c>
      <c r="M156" s="240">
        <v>0.22</v>
      </c>
      <c r="N156" s="241">
        <v>0.19</v>
      </c>
      <c r="O156" s="201">
        <f t="shared" si="26"/>
        <v>0.20500000000000002</v>
      </c>
      <c r="P156" s="240">
        <v>0.22</v>
      </c>
      <c r="Q156" s="241">
        <v>0.19</v>
      </c>
      <c r="R156" s="201">
        <f t="shared" si="27"/>
        <v>0.20500000000000002</v>
      </c>
      <c r="S156" s="240">
        <v>0.22</v>
      </c>
      <c r="T156" s="241">
        <v>0.19</v>
      </c>
      <c r="U156" s="201">
        <f t="shared" si="28"/>
        <v>0.20500000000000002</v>
      </c>
      <c r="V156" s="240" t="s">
        <v>216</v>
      </c>
      <c r="W156" s="241" t="s">
        <v>216</v>
      </c>
      <c r="X156" s="201" t="str">
        <f t="shared" si="29"/>
        <v>OFF</v>
      </c>
      <c r="Y156" s="242">
        <v>0</v>
      </c>
    </row>
    <row r="157" spans="1:25" ht="15.75" x14ac:dyDescent="0.25">
      <c r="A157" s="31">
        <f>'M&amp;R Stations'!A147</f>
        <v>39106</v>
      </c>
      <c r="B157" s="240">
        <v>0.35</v>
      </c>
      <c r="C157" s="241">
        <v>0.26</v>
      </c>
      <c r="D157" s="201">
        <f t="shared" si="30"/>
        <v>0.30499999999999999</v>
      </c>
      <c r="E157" s="240">
        <v>0.35</v>
      </c>
      <c r="F157" s="241">
        <v>0.26</v>
      </c>
      <c r="G157" s="201">
        <f t="shared" si="24"/>
        <v>0.30499999999999999</v>
      </c>
      <c r="H157" s="240">
        <v>0.35</v>
      </c>
      <c r="I157" s="241">
        <v>0.26</v>
      </c>
      <c r="J157" s="201">
        <f t="shared" si="25"/>
        <v>0.30499999999999999</v>
      </c>
      <c r="K157" s="242">
        <v>0</v>
      </c>
      <c r="L157" s="274">
        <v>39106</v>
      </c>
      <c r="M157" s="240">
        <v>0.22</v>
      </c>
      <c r="N157" s="241">
        <v>0.19</v>
      </c>
      <c r="O157" s="201">
        <f t="shared" si="26"/>
        <v>0.20500000000000002</v>
      </c>
      <c r="P157" s="240">
        <v>0.22</v>
      </c>
      <c r="Q157" s="241">
        <v>0.19</v>
      </c>
      <c r="R157" s="201">
        <f t="shared" si="27"/>
        <v>0.20500000000000002</v>
      </c>
      <c r="S157" s="240">
        <v>0.22</v>
      </c>
      <c r="T157" s="241">
        <v>0.19</v>
      </c>
      <c r="U157" s="201">
        <f t="shared" si="28"/>
        <v>0.20500000000000002</v>
      </c>
      <c r="V157" s="240" t="s">
        <v>216</v>
      </c>
      <c r="W157" s="241" t="s">
        <v>216</v>
      </c>
      <c r="X157" s="201" t="str">
        <f t="shared" si="29"/>
        <v>OFF</v>
      </c>
      <c r="Y157" s="242">
        <v>0</v>
      </c>
    </row>
    <row r="158" spans="1:25" ht="15.75" x14ac:dyDescent="0.25">
      <c r="A158" s="31">
        <f>'M&amp;R Stations'!A148</f>
        <v>39107</v>
      </c>
      <c r="B158" s="240">
        <v>0.35</v>
      </c>
      <c r="C158" s="241">
        <v>0.26</v>
      </c>
      <c r="D158" s="201">
        <f t="shared" si="30"/>
        <v>0.30499999999999999</v>
      </c>
      <c r="E158" s="240">
        <v>0.35</v>
      </c>
      <c r="F158" s="241">
        <v>0.26</v>
      </c>
      <c r="G158" s="201">
        <f t="shared" si="24"/>
        <v>0.30499999999999999</v>
      </c>
      <c r="H158" s="240">
        <v>0.35</v>
      </c>
      <c r="I158" s="241">
        <v>0.26</v>
      </c>
      <c r="J158" s="201">
        <f t="shared" si="25"/>
        <v>0.30499999999999999</v>
      </c>
      <c r="K158" s="242">
        <v>0.61599999999999999</v>
      </c>
      <c r="L158" s="274">
        <v>39107</v>
      </c>
      <c r="M158" s="240">
        <v>0.22</v>
      </c>
      <c r="N158" s="241">
        <v>0.19</v>
      </c>
      <c r="O158" s="201">
        <f t="shared" si="26"/>
        <v>0.20500000000000002</v>
      </c>
      <c r="P158" s="240">
        <v>0.22</v>
      </c>
      <c r="Q158" s="241">
        <v>0.19</v>
      </c>
      <c r="R158" s="201">
        <f t="shared" si="27"/>
        <v>0.20500000000000002</v>
      </c>
      <c r="S158" s="240">
        <v>0.22</v>
      </c>
      <c r="T158" s="241">
        <v>0.19</v>
      </c>
      <c r="U158" s="201">
        <f t="shared" si="28"/>
        <v>0.20500000000000002</v>
      </c>
      <c r="V158" s="240">
        <v>0.22</v>
      </c>
      <c r="W158" s="241">
        <v>0.19</v>
      </c>
      <c r="X158" s="201">
        <f t="shared" si="29"/>
        <v>0.20500000000000002</v>
      </c>
      <c r="Y158" s="242">
        <v>9.5399999999999991</v>
      </c>
    </row>
    <row r="159" spans="1:25" ht="15.75" x14ac:dyDescent="0.25">
      <c r="A159" s="31">
        <f>'M&amp;R Stations'!A149</f>
        <v>39108</v>
      </c>
      <c r="B159" s="240">
        <v>0.26</v>
      </c>
      <c r="C159" s="241">
        <v>0.26</v>
      </c>
      <c r="D159" s="201">
        <f t="shared" si="30"/>
        <v>0.26</v>
      </c>
      <c r="E159" s="240">
        <v>0.26</v>
      </c>
      <c r="F159" s="241">
        <v>0.26</v>
      </c>
      <c r="G159" s="201">
        <f t="shared" si="24"/>
        <v>0.26</v>
      </c>
      <c r="H159" s="240">
        <v>0.26</v>
      </c>
      <c r="I159" s="241">
        <v>0.26</v>
      </c>
      <c r="J159" s="201">
        <f t="shared" si="25"/>
        <v>0.26</v>
      </c>
      <c r="K159" s="242">
        <v>0</v>
      </c>
      <c r="L159" s="274">
        <v>39108</v>
      </c>
      <c r="M159" s="240">
        <v>0.22</v>
      </c>
      <c r="N159" s="241">
        <v>0.14000000000000001</v>
      </c>
      <c r="O159" s="201">
        <f t="shared" si="26"/>
        <v>0.18</v>
      </c>
      <c r="P159" s="240">
        <v>0.22</v>
      </c>
      <c r="Q159" s="241">
        <v>0.17</v>
      </c>
      <c r="R159" s="201">
        <f t="shared" si="27"/>
        <v>0.19500000000000001</v>
      </c>
      <c r="S159" s="240">
        <v>0.22</v>
      </c>
      <c r="T159" s="241">
        <v>0.19</v>
      </c>
      <c r="U159" s="201">
        <f t="shared" si="28"/>
        <v>0.20500000000000002</v>
      </c>
      <c r="V159" s="240">
        <v>0.22</v>
      </c>
      <c r="W159" s="241">
        <v>0.19</v>
      </c>
      <c r="X159" s="201">
        <f t="shared" si="29"/>
        <v>0.20500000000000002</v>
      </c>
      <c r="Y159" s="242">
        <v>25.04</v>
      </c>
    </row>
    <row r="160" spans="1:25" ht="15.75" x14ac:dyDescent="0.25">
      <c r="A160" s="31">
        <f>'M&amp;R Stations'!A150</f>
        <v>39109</v>
      </c>
      <c r="B160" s="240">
        <v>0.3</v>
      </c>
      <c r="C160" s="241">
        <v>0.26</v>
      </c>
      <c r="D160" s="201">
        <f t="shared" si="30"/>
        <v>0.28000000000000003</v>
      </c>
      <c r="E160" s="240">
        <v>0.3</v>
      </c>
      <c r="F160" s="241">
        <v>0.26</v>
      </c>
      <c r="G160" s="201">
        <f t="shared" si="24"/>
        <v>0.28000000000000003</v>
      </c>
      <c r="H160" s="240">
        <v>0.3</v>
      </c>
      <c r="I160" s="241">
        <v>0.26</v>
      </c>
      <c r="J160" s="201">
        <f>IF(AND(H160="",I160=""),"",IF(H160="off",I160,IF(I160="off",H160,AVERAGE(H160:I160))))</f>
        <v>0.28000000000000003</v>
      </c>
      <c r="K160" s="242">
        <v>0</v>
      </c>
      <c r="L160" s="274">
        <v>39109</v>
      </c>
      <c r="M160" s="240">
        <v>0.22</v>
      </c>
      <c r="N160" s="241">
        <v>0.19</v>
      </c>
      <c r="O160" s="201">
        <f t="shared" si="26"/>
        <v>0.20500000000000002</v>
      </c>
      <c r="P160" s="240">
        <v>0.22</v>
      </c>
      <c r="Q160" s="241">
        <v>0.19</v>
      </c>
      <c r="R160" s="201">
        <f t="shared" si="27"/>
        <v>0.20500000000000002</v>
      </c>
      <c r="S160" s="240">
        <v>0.22</v>
      </c>
      <c r="T160" s="241">
        <v>0.19</v>
      </c>
      <c r="U160" s="201">
        <f t="shared" si="28"/>
        <v>0.20500000000000002</v>
      </c>
      <c r="V160" s="240" t="s">
        <v>216</v>
      </c>
      <c r="W160" s="241" t="s">
        <v>216</v>
      </c>
      <c r="X160" s="201" t="str">
        <f t="shared" si="29"/>
        <v>OFF</v>
      </c>
      <c r="Y160" s="242">
        <v>0</v>
      </c>
    </row>
    <row r="161" spans="1:25" ht="15.75" x14ac:dyDescent="0.25">
      <c r="A161" s="31">
        <f>'M&amp;R Stations'!A151</f>
        <v>39110</v>
      </c>
      <c r="B161" s="240">
        <v>0.35</v>
      </c>
      <c r="C161" s="241">
        <v>0.26</v>
      </c>
      <c r="D161" s="201">
        <f t="shared" si="30"/>
        <v>0.30499999999999999</v>
      </c>
      <c r="E161" s="240">
        <v>0.35</v>
      </c>
      <c r="F161" s="241">
        <v>0.26</v>
      </c>
      <c r="G161" s="201">
        <f t="shared" si="24"/>
        <v>0.30499999999999999</v>
      </c>
      <c r="H161" s="240">
        <v>0.35</v>
      </c>
      <c r="I161" s="241">
        <v>0.26</v>
      </c>
      <c r="J161" s="201">
        <f t="shared" si="25"/>
        <v>0.30499999999999999</v>
      </c>
      <c r="K161" s="242">
        <v>0</v>
      </c>
      <c r="L161" s="274">
        <v>39110</v>
      </c>
      <c r="M161" s="240">
        <v>0.22</v>
      </c>
      <c r="N161" s="241">
        <v>0.17</v>
      </c>
      <c r="O161" s="201">
        <f t="shared" si="26"/>
        <v>0.19500000000000001</v>
      </c>
      <c r="P161" s="240">
        <v>0.22</v>
      </c>
      <c r="Q161" s="241">
        <v>0.19</v>
      </c>
      <c r="R161" s="201">
        <f t="shared" si="27"/>
        <v>0.20500000000000002</v>
      </c>
      <c r="S161" s="240">
        <v>0.22</v>
      </c>
      <c r="T161" s="241">
        <v>0.17</v>
      </c>
      <c r="U161" s="201">
        <f t="shared" si="28"/>
        <v>0.19500000000000001</v>
      </c>
      <c r="V161" s="240" t="s">
        <v>216</v>
      </c>
      <c r="W161" s="241" t="s">
        <v>216</v>
      </c>
      <c r="X161" s="201" t="str">
        <f t="shared" si="29"/>
        <v>OFF</v>
      </c>
      <c r="Y161" s="242">
        <v>0</v>
      </c>
    </row>
    <row r="162" spans="1:25" ht="15.75" x14ac:dyDescent="0.25">
      <c r="A162" s="31">
        <f>'M&amp;R Stations'!A152</f>
        <v>39111</v>
      </c>
      <c r="B162" s="240">
        <v>0.3</v>
      </c>
      <c r="C162" s="241">
        <v>0.3</v>
      </c>
      <c r="D162" s="201">
        <f t="shared" si="30"/>
        <v>0.3</v>
      </c>
      <c r="E162" s="240">
        <v>0.3</v>
      </c>
      <c r="F162" s="241">
        <v>0.3</v>
      </c>
      <c r="G162" s="201">
        <f t="shared" si="24"/>
        <v>0.3</v>
      </c>
      <c r="H162" s="240">
        <v>0.3</v>
      </c>
      <c r="I162" s="241">
        <v>0.26</v>
      </c>
      <c r="J162" s="201">
        <f t="shared" si="25"/>
        <v>0.28000000000000003</v>
      </c>
      <c r="K162" s="242">
        <v>0</v>
      </c>
      <c r="L162" s="274">
        <v>39111</v>
      </c>
      <c r="M162" s="240">
        <v>0.22</v>
      </c>
      <c r="N162" s="241">
        <v>0.19</v>
      </c>
      <c r="O162" s="201">
        <f t="shared" si="26"/>
        <v>0.20500000000000002</v>
      </c>
      <c r="P162" s="240">
        <v>0.19</v>
      </c>
      <c r="Q162" s="241">
        <v>0.19</v>
      </c>
      <c r="R162" s="201">
        <f t="shared" si="27"/>
        <v>0.19</v>
      </c>
      <c r="S162" s="240">
        <v>0.19</v>
      </c>
      <c r="T162" s="241">
        <v>0.19</v>
      </c>
      <c r="U162" s="201">
        <f t="shared" si="28"/>
        <v>0.19</v>
      </c>
      <c r="V162" s="240">
        <v>0.19</v>
      </c>
      <c r="W162" s="241">
        <v>0.19</v>
      </c>
      <c r="X162" s="201">
        <f t="shared" si="29"/>
        <v>0.19</v>
      </c>
      <c r="Y162" s="242">
        <v>4.8099999999999996</v>
      </c>
    </row>
    <row r="163" spans="1:25" ht="15.75" x14ac:dyDescent="0.25">
      <c r="A163" s="31">
        <f>'M&amp;R Stations'!A153</f>
        <v>39112</v>
      </c>
      <c r="B163" s="240">
        <v>0.35</v>
      </c>
      <c r="C163" s="241">
        <v>0.26</v>
      </c>
      <c r="D163" s="201">
        <f t="shared" si="30"/>
        <v>0.30499999999999999</v>
      </c>
      <c r="E163" s="240">
        <v>0.35</v>
      </c>
      <c r="F163" s="241">
        <v>0.26</v>
      </c>
      <c r="G163" s="201">
        <f t="shared" si="24"/>
        <v>0.30499999999999999</v>
      </c>
      <c r="H163" s="240">
        <v>0.35</v>
      </c>
      <c r="I163" s="241">
        <v>0.26</v>
      </c>
      <c r="J163" s="201">
        <f t="shared" si="25"/>
        <v>0.30499999999999999</v>
      </c>
      <c r="K163" s="242">
        <v>0</v>
      </c>
      <c r="L163" s="274">
        <v>39112</v>
      </c>
      <c r="M163" s="240">
        <v>0.19</v>
      </c>
      <c r="N163" s="241">
        <v>0.17</v>
      </c>
      <c r="O163" s="201">
        <f t="shared" si="26"/>
        <v>0.18</v>
      </c>
      <c r="P163" s="240">
        <v>0.19</v>
      </c>
      <c r="Q163" s="241">
        <v>0.17</v>
      </c>
      <c r="R163" s="201">
        <f t="shared" si="27"/>
        <v>0.18</v>
      </c>
      <c r="S163" s="240">
        <v>0.19</v>
      </c>
      <c r="T163" s="241">
        <v>0.19</v>
      </c>
      <c r="U163" s="201">
        <f t="shared" si="28"/>
        <v>0.19</v>
      </c>
      <c r="V163" s="240" t="s">
        <v>216</v>
      </c>
      <c r="W163" s="241" t="s">
        <v>216</v>
      </c>
      <c r="X163" s="201" t="str">
        <f t="shared" si="29"/>
        <v>OFF</v>
      </c>
      <c r="Y163" s="242">
        <v>0.26</v>
      </c>
    </row>
    <row r="164" spans="1:25" ht="15.75" x14ac:dyDescent="0.25">
      <c r="A164" s="31">
        <f>'M&amp;R Stations'!A154</f>
        <v>39113</v>
      </c>
      <c r="B164" s="240">
        <v>0.3</v>
      </c>
      <c r="C164" s="241">
        <v>0.26</v>
      </c>
      <c r="D164" s="201">
        <f t="shared" si="30"/>
        <v>0.28000000000000003</v>
      </c>
      <c r="E164" s="240">
        <v>0.3</v>
      </c>
      <c r="F164" s="241">
        <v>0.26</v>
      </c>
      <c r="G164" s="201">
        <f t="shared" si="24"/>
        <v>0.28000000000000003</v>
      </c>
      <c r="H164" s="240">
        <v>0.3</v>
      </c>
      <c r="I164" s="241">
        <v>0.26</v>
      </c>
      <c r="J164" s="201">
        <f t="shared" si="25"/>
        <v>0.28000000000000003</v>
      </c>
      <c r="K164" s="242">
        <v>0</v>
      </c>
      <c r="L164" s="274">
        <v>39113</v>
      </c>
      <c r="M164" s="240">
        <v>0.19</v>
      </c>
      <c r="N164" s="241">
        <v>0.19</v>
      </c>
      <c r="O164" s="201">
        <f t="shared" si="26"/>
        <v>0.19</v>
      </c>
      <c r="P164" s="240">
        <v>0.19</v>
      </c>
      <c r="Q164" s="241">
        <v>0.19</v>
      </c>
      <c r="R164" s="201">
        <f t="shared" si="27"/>
        <v>0.19</v>
      </c>
      <c r="S164" s="240">
        <v>0.19</v>
      </c>
      <c r="T164" s="241">
        <v>0.19</v>
      </c>
      <c r="U164" s="201">
        <f t="shared" si="28"/>
        <v>0.19</v>
      </c>
      <c r="V164" s="240" t="s">
        <v>216</v>
      </c>
      <c r="W164" s="241" t="s">
        <v>216</v>
      </c>
      <c r="X164" s="201" t="str">
        <f t="shared" si="29"/>
        <v>OFF</v>
      </c>
      <c r="Y164" s="242">
        <v>0</v>
      </c>
    </row>
    <row r="165" spans="1:25" ht="15.75" x14ac:dyDescent="0.25">
      <c r="A165" s="96"/>
      <c r="B165" s="203"/>
      <c r="C165" s="204"/>
      <c r="D165" s="205"/>
      <c r="E165" s="203"/>
      <c r="F165" s="204"/>
      <c r="G165" s="205"/>
      <c r="H165" s="203"/>
      <c r="I165" s="204"/>
      <c r="J165" s="206"/>
      <c r="K165" s="208"/>
      <c r="L165" s="207"/>
      <c r="M165" s="203"/>
      <c r="N165" s="204"/>
      <c r="O165" s="206"/>
      <c r="P165" s="203"/>
      <c r="Q165" s="204"/>
      <c r="R165" s="206"/>
      <c r="S165" s="203"/>
      <c r="T165" s="204"/>
      <c r="U165" s="206"/>
      <c r="V165" s="203"/>
      <c r="W165" s="204"/>
      <c r="X165" s="206"/>
      <c r="Y165" s="208"/>
    </row>
    <row r="166" spans="1:25" ht="15.75" x14ac:dyDescent="0.25">
      <c r="A166" s="31">
        <f>'M&amp;R Stations'!A155</f>
        <v>39114</v>
      </c>
      <c r="B166" s="240">
        <v>0.35</v>
      </c>
      <c r="C166" s="241">
        <v>0.26</v>
      </c>
      <c r="D166" s="201">
        <f t="shared" si="30"/>
        <v>0.30499999999999999</v>
      </c>
      <c r="E166" s="240">
        <v>0.35</v>
      </c>
      <c r="F166" s="241">
        <v>0.26</v>
      </c>
      <c r="G166" s="201">
        <f t="shared" ref="G166:G193" si="31">IF(AND(E166="",F166=""),"",IF(E166="off",F166,IF(F166="off",E166,AVERAGE(E166:F166))))</f>
        <v>0.30499999999999999</v>
      </c>
      <c r="H166" s="240">
        <v>0.35</v>
      </c>
      <c r="I166" s="241">
        <v>0.26</v>
      </c>
      <c r="J166" s="201">
        <f t="shared" ref="J166:J193" si="32">IF(AND(H166="",I166=""),"",IF(H166="off",I166,IF(I166="off",H166,AVERAGE(H166:I166))))</f>
        <v>0.30499999999999999</v>
      </c>
      <c r="K166" s="242">
        <v>0</v>
      </c>
      <c r="L166" s="274">
        <v>39114</v>
      </c>
      <c r="M166" s="240">
        <v>0.22</v>
      </c>
      <c r="N166" s="241">
        <v>0.17</v>
      </c>
      <c r="O166" s="201">
        <f t="shared" ref="O166:O193" si="33">IF(AND(M166="",N166=""),"",IF(M166="off",N166,IF(N166="off",M166,AVERAGE(M166:N166))))</f>
        <v>0.19500000000000001</v>
      </c>
      <c r="P166" s="240">
        <v>0.22</v>
      </c>
      <c r="Q166" s="241">
        <v>0.17</v>
      </c>
      <c r="R166" s="201">
        <f t="shared" ref="R166:R193" si="34">IF(AND(P166="",Q166=""),"",IF(P166="off",Q166,IF(Q166="off",P166,AVERAGE(P166:Q166))))</f>
        <v>0.19500000000000001</v>
      </c>
      <c r="S166" s="240">
        <v>0.22</v>
      </c>
      <c r="T166" s="241">
        <v>0.19</v>
      </c>
      <c r="U166" s="201">
        <f t="shared" ref="U166:U193" si="35">IF(AND(S166="",T166=""),"",IF(S166="off",T166,IF(T166="off",S166,AVERAGE(S166:T166))))</f>
        <v>0.20500000000000002</v>
      </c>
      <c r="V166" s="240" t="s">
        <v>216</v>
      </c>
      <c r="W166" s="241" t="s">
        <v>216</v>
      </c>
      <c r="X166" s="201" t="str">
        <f t="shared" ref="X166:X193" si="36">IF(AND(V166="",W166=""),"",IF(V166="off",W166,IF(W166="off",V166,AVERAGE(V166:W166))))</f>
        <v>OFF</v>
      </c>
      <c r="Y166" s="242">
        <v>0</v>
      </c>
    </row>
    <row r="167" spans="1:25" ht="15.75" x14ac:dyDescent="0.25">
      <c r="A167" s="31">
        <f>'M&amp;R Stations'!A156</f>
        <v>39115</v>
      </c>
      <c r="B167" s="240">
        <v>0.3</v>
      </c>
      <c r="C167" s="241">
        <v>0.26</v>
      </c>
      <c r="D167" s="201">
        <f t="shared" si="30"/>
        <v>0.28000000000000003</v>
      </c>
      <c r="E167" s="240">
        <v>0.3</v>
      </c>
      <c r="F167" s="241">
        <v>0.26</v>
      </c>
      <c r="G167" s="201">
        <f t="shared" si="31"/>
        <v>0.28000000000000003</v>
      </c>
      <c r="H167" s="240">
        <v>0.3</v>
      </c>
      <c r="I167" s="241">
        <v>0.26</v>
      </c>
      <c r="J167" s="201">
        <f t="shared" si="32"/>
        <v>0.28000000000000003</v>
      </c>
      <c r="K167" s="242">
        <v>0</v>
      </c>
      <c r="L167" s="274">
        <v>39115</v>
      </c>
      <c r="M167" s="240">
        <v>0.22</v>
      </c>
      <c r="N167" s="241">
        <v>0.19</v>
      </c>
      <c r="O167" s="201">
        <f t="shared" si="33"/>
        <v>0.20500000000000002</v>
      </c>
      <c r="P167" s="240">
        <v>0.22</v>
      </c>
      <c r="Q167" s="241">
        <v>0.19</v>
      </c>
      <c r="R167" s="201">
        <f t="shared" si="34"/>
        <v>0.20500000000000002</v>
      </c>
      <c r="S167" s="240">
        <v>0.22</v>
      </c>
      <c r="T167" s="241">
        <v>0.19</v>
      </c>
      <c r="U167" s="201">
        <f t="shared" si="35"/>
        <v>0.20500000000000002</v>
      </c>
      <c r="V167" s="240" t="s">
        <v>216</v>
      </c>
      <c r="W167" s="241" t="s">
        <v>216</v>
      </c>
      <c r="X167" s="201" t="str">
        <f t="shared" si="36"/>
        <v>OFF</v>
      </c>
      <c r="Y167" s="242">
        <v>0</v>
      </c>
    </row>
    <row r="168" spans="1:25" ht="15.75" x14ac:dyDescent="0.25">
      <c r="A168" s="31">
        <f>'M&amp;R Stations'!A157</f>
        <v>39116</v>
      </c>
      <c r="B168" s="240">
        <v>0.3</v>
      </c>
      <c r="C168" s="241">
        <v>0.3</v>
      </c>
      <c r="D168" s="201">
        <f t="shared" si="30"/>
        <v>0.3</v>
      </c>
      <c r="E168" s="240">
        <v>0.3</v>
      </c>
      <c r="F168" s="241">
        <v>0.3</v>
      </c>
      <c r="G168" s="201">
        <f t="shared" si="31"/>
        <v>0.3</v>
      </c>
      <c r="H168" s="240">
        <v>0.3</v>
      </c>
      <c r="I168" s="241">
        <v>0.3</v>
      </c>
      <c r="J168" s="201">
        <f t="shared" si="32"/>
        <v>0.3</v>
      </c>
      <c r="K168" s="242">
        <v>0</v>
      </c>
      <c r="L168" s="274">
        <v>39116</v>
      </c>
      <c r="M168" s="240">
        <v>0.19</v>
      </c>
      <c r="N168" s="241">
        <v>0.19</v>
      </c>
      <c r="O168" s="201">
        <f t="shared" si="33"/>
        <v>0.19</v>
      </c>
      <c r="P168" s="240">
        <v>0.19</v>
      </c>
      <c r="Q168" s="241">
        <v>0.19</v>
      </c>
      <c r="R168" s="201">
        <f t="shared" si="34"/>
        <v>0.19</v>
      </c>
      <c r="S168" s="240">
        <v>0.9</v>
      </c>
      <c r="T168" s="241">
        <v>0.17</v>
      </c>
      <c r="U168" s="201">
        <f t="shared" si="35"/>
        <v>0.53500000000000003</v>
      </c>
      <c r="V168" s="240" t="s">
        <v>216</v>
      </c>
      <c r="W168" s="241" t="s">
        <v>216</v>
      </c>
      <c r="X168" s="201" t="str">
        <f t="shared" si="36"/>
        <v>OFF</v>
      </c>
      <c r="Y168" s="242">
        <v>0</v>
      </c>
    </row>
    <row r="169" spans="1:25" ht="15.75" x14ac:dyDescent="0.25">
      <c r="A169" s="31">
        <f>'M&amp;R Stations'!A158</f>
        <v>39117</v>
      </c>
      <c r="B169" s="240">
        <v>0.3</v>
      </c>
      <c r="C169" s="241">
        <v>0.3</v>
      </c>
      <c r="D169" s="201">
        <f t="shared" si="30"/>
        <v>0.3</v>
      </c>
      <c r="E169" s="240">
        <v>0.3</v>
      </c>
      <c r="F169" s="241">
        <v>0.3</v>
      </c>
      <c r="G169" s="201">
        <f t="shared" si="31"/>
        <v>0.3</v>
      </c>
      <c r="H169" s="240">
        <v>0.3</v>
      </c>
      <c r="I169" s="241">
        <v>0.3</v>
      </c>
      <c r="J169" s="201">
        <f t="shared" si="32"/>
        <v>0.3</v>
      </c>
      <c r="K169" s="242">
        <v>0</v>
      </c>
      <c r="L169" s="274">
        <v>39117</v>
      </c>
      <c r="M169" s="240">
        <v>0.22</v>
      </c>
      <c r="N169" s="241">
        <v>0.14000000000000001</v>
      </c>
      <c r="O169" s="201">
        <f t="shared" si="33"/>
        <v>0.18</v>
      </c>
      <c r="P169" s="240">
        <v>0.19</v>
      </c>
      <c r="Q169" s="241">
        <v>0.17</v>
      </c>
      <c r="R169" s="201">
        <f t="shared" si="34"/>
        <v>0.18</v>
      </c>
      <c r="S169" s="240">
        <v>0.19</v>
      </c>
      <c r="T169" s="241">
        <v>0.19</v>
      </c>
      <c r="U169" s="201">
        <f t="shared" si="35"/>
        <v>0.19</v>
      </c>
      <c r="V169" s="240">
        <v>0.22</v>
      </c>
      <c r="W169" s="241">
        <v>0.17</v>
      </c>
      <c r="X169" s="201">
        <f t="shared" si="36"/>
        <v>0.19500000000000001</v>
      </c>
      <c r="Y169" s="242">
        <v>27.97</v>
      </c>
    </row>
    <row r="170" spans="1:25" ht="15.75" x14ac:dyDescent="0.25">
      <c r="A170" s="31">
        <f>'M&amp;R Stations'!A159</f>
        <v>39118</v>
      </c>
      <c r="B170" s="240">
        <v>0.3</v>
      </c>
      <c r="C170" s="241">
        <v>0.26</v>
      </c>
      <c r="D170" s="201">
        <f t="shared" si="30"/>
        <v>0.28000000000000003</v>
      </c>
      <c r="E170" s="240">
        <v>0.3</v>
      </c>
      <c r="F170" s="241">
        <v>0.26</v>
      </c>
      <c r="G170" s="201">
        <f t="shared" si="31"/>
        <v>0.28000000000000003</v>
      </c>
      <c r="H170" s="240">
        <v>0.3</v>
      </c>
      <c r="I170" s="241">
        <v>0.26</v>
      </c>
      <c r="J170" s="201">
        <f t="shared" si="32"/>
        <v>0.28000000000000003</v>
      </c>
      <c r="K170" s="242">
        <v>0</v>
      </c>
      <c r="L170" s="274">
        <v>39118</v>
      </c>
      <c r="M170" s="240">
        <v>0.22</v>
      </c>
      <c r="N170" s="241">
        <v>0.22</v>
      </c>
      <c r="O170" s="201">
        <f t="shared" si="33"/>
        <v>0.22</v>
      </c>
      <c r="P170" s="240">
        <v>0.22</v>
      </c>
      <c r="Q170" s="241">
        <v>0.22</v>
      </c>
      <c r="R170" s="201">
        <f t="shared" si="34"/>
        <v>0.22</v>
      </c>
      <c r="S170" s="240">
        <v>0.22</v>
      </c>
      <c r="T170" s="241">
        <v>0.22</v>
      </c>
      <c r="U170" s="201">
        <f t="shared" si="35"/>
        <v>0.22</v>
      </c>
      <c r="V170" s="240">
        <v>0.22</v>
      </c>
      <c r="W170" s="241">
        <v>0.19</v>
      </c>
      <c r="X170" s="201">
        <f t="shared" si="36"/>
        <v>0.20500000000000002</v>
      </c>
      <c r="Y170" s="242">
        <v>74.06</v>
      </c>
    </row>
    <row r="171" spans="1:25" ht="15.75" x14ac:dyDescent="0.25">
      <c r="A171" s="31">
        <f>'M&amp;R Stations'!A160</f>
        <v>39119</v>
      </c>
      <c r="B171" s="240">
        <v>0.3</v>
      </c>
      <c r="C171" s="241">
        <v>0.26</v>
      </c>
      <c r="D171" s="201">
        <f t="shared" si="30"/>
        <v>0.28000000000000003</v>
      </c>
      <c r="E171" s="240">
        <v>0.3</v>
      </c>
      <c r="F171" s="241">
        <v>0.26</v>
      </c>
      <c r="G171" s="201">
        <f t="shared" si="31"/>
        <v>0.28000000000000003</v>
      </c>
      <c r="H171" s="240">
        <v>0.3</v>
      </c>
      <c r="I171" s="241">
        <v>0.26</v>
      </c>
      <c r="J171" s="201">
        <f t="shared" si="32"/>
        <v>0.28000000000000003</v>
      </c>
      <c r="K171" s="242">
        <v>0.69499999999999995</v>
      </c>
      <c r="L171" s="274">
        <v>39119</v>
      </c>
      <c r="M171" s="240">
        <v>0.25</v>
      </c>
      <c r="N171" s="241">
        <v>0.22</v>
      </c>
      <c r="O171" s="201">
        <f t="shared" si="33"/>
        <v>0.23499999999999999</v>
      </c>
      <c r="P171" s="240">
        <v>0.22</v>
      </c>
      <c r="Q171" s="241">
        <v>0.22</v>
      </c>
      <c r="R171" s="201">
        <f t="shared" si="34"/>
        <v>0.22</v>
      </c>
      <c r="S171" s="240">
        <v>0.22</v>
      </c>
      <c r="T171" s="241">
        <v>0.19</v>
      </c>
      <c r="U171" s="201">
        <f t="shared" si="35"/>
        <v>0.20500000000000002</v>
      </c>
      <c r="V171" s="240">
        <v>0.22</v>
      </c>
      <c r="W171" s="241">
        <v>0.17</v>
      </c>
      <c r="X171" s="201">
        <f t="shared" si="36"/>
        <v>0.19500000000000001</v>
      </c>
      <c r="Y171" s="242">
        <v>57.23</v>
      </c>
    </row>
    <row r="172" spans="1:25" ht="15.75" x14ac:dyDescent="0.25">
      <c r="A172" s="31">
        <f>'M&amp;R Stations'!A161</f>
        <v>39120</v>
      </c>
      <c r="B172" s="240">
        <v>0.35</v>
      </c>
      <c r="C172" s="241">
        <v>0.26</v>
      </c>
      <c r="D172" s="201">
        <f t="shared" si="30"/>
        <v>0.30499999999999999</v>
      </c>
      <c r="E172" s="240">
        <v>0.35</v>
      </c>
      <c r="F172" s="241">
        <v>0.26</v>
      </c>
      <c r="G172" s="201">
        <f t="shared" si="31"/>
        <v>0.30499999999999999</v>
      </c>
      <c r="H172" s="240">
        <v>0.26</v>
      </c>
      <c r="I172" s="241">
        <v>0.26</v>
      </c>
      <c r="J172" s="201">
        <f t="shared" si="32"/>
        <v>0.26</v>
      </c>
      <c r="K172" s="242">
        <v>1.01</v>
      </c>
      <c r="L172" s="274">
        <v>39120</v>
      </c>
      <c r="M172" s="240">
        <v>0.25</v>
      </c>
      <c r="N172" s="241">
        <v>0.19</v>
      </c>
      <c r="O172" s="201">
        <f t="shared" si="33"/>
        <v>0.22</v>
      </c>
      <c r="P172" s="240">
        <v>0.25</v>
      </c>
      <c r="Q172" s="241">
        <v>0.22</v>
      </c>
      <c r="R172" s="201">
        <f t="shared" si="34"/>
        <v>0.23499999999999999</v>
      </c>
      <c r="S172" s="240">
        <v>0.22</v>
      </c>
      <c r="T172" s="241">
        <v>0.17</v>
      </c>
      <c r="U172" s="201">
        <f t="shared" si="35"/>
        <v>0.19500000000000001</v>
      </c>
      <c r="V172" s="240">
        <v>0.25</v>
      </c>
      <c r="W172" s="241">
        <v>0.22</v>
      </c>
      <c r="X172" s="201">
        <f t="shared" si="36"/>
        <v>0.23499999999999999</v>
      </c>
      <c r="Y172" s="242">
        <v>44.08</v>
      </c>
    </row>
    <row r="173" spans="1:25" ht="15.75" x14ac:dyDescent="0.25">
      <c r="A173" s="31">
        <f>'M&amp;R Stations'!A162</f>
        <v>39121</v>
      </c>
      <c r="B173" s="240">
        <v>0.3</v>
      </c>
      <c r="C173" s="241">
        <v>0.26</v>
      </c>
      <c r="D173" s="201">
        <f t="shared" si="30"/>
        <v>0.28000000000000003</v>
      </c>
      <c r="E173" s="240">
        <v>0.3</v>
      </c>
      <c r="F173" s="241">
        <v>0.26</v>
      </c>
      <c r="G173" s="201">
        <f t="shared" si="31"/>
        <v>0.28000000000000003</v>
      </c>
      <c r="H173" s="240">
        <v>0.3</v>
      </c>
      <c r="I173" s="241">
        <v>0.26</v>
      </c>
      <c r="J173" s="201">
        <f t="shared" si="32"/>
        <v>0.28000000000000003</v>
      </c>
      <c r="K173" s="242">
        <v>0</v>
      </c>
      <c r="L173" s="274">
        <v>39121</v>
      </c>
      <c r="M173" s="240">
        <v>0.22</v>
      </c>
      <c r="N173" s="241">
        <v>0.19</v>
      </c>
      <c r="O173" s="201">
        <f t="shared" si="33"/>
        <v>0.20500000000000002</v>
      </c>
      <c r="P173" s="240">
        <v>0.22</v>
      </c>
      <c r="Q173" s="241">
        <v>0.19</v>
      </c>
      <c r="R173" s="201">
        <f t="shared" si="34"/>
        <v>0.20500000000000002</v>
      </c>
      <c r="S173" s="240">
        <v>0.22</v>
      </c>
      <c r="T173" s="241">
        <v>0.22</v>
      </c>
      <c r="U173" s="201">
        <f t="shared" si="35"/>
        <v>0.22</v>
      </c>
      <c r="V173" s="240">
        <v>0.22</v>
      </c>
      <c r="W173" s="241">
        <v>0.19</v>
      </c>
      <c r="X173" s="201">
        <f t="shared" si="36"/>
        <v>0.20500000000000002</v>
      </c>
      <c r="Y173" s="242">
        <v>31.57</v>
      </c>
    </row>
    <row r="174" spans="1:25" ht="15.75" x14ac:dyDescent="0.25">
      <c r="A174" s="31">
        <f>'M&amp;R Stations'!A163</f>
        <v>39122</v>
      </c>
      <c r="B174" s="240">
        <v>0.3</v>
      </c>
      <c r="C174" s="241">
        <v>0.26</v>
      </c>
      <c r="D174" s="201">
        <f t="shared" si="30"/>
        <v>0.28000000000000003</v>
      </c>
      <c r="E174" s="240">
        <v>0.3</v>
      </c>
      <c r="F174" s="241">
        <v>0.26</v>
      </c>
      <c r="G174" s="201">
        <f t="shared" si="31"/>
        <v>0.28000000000000003</v>
      </c>
      <c r="H174" s="240">
        <v>0.3</v>
      </c>
      <c r="I174" s="241">
        <v>0.26</v>
      </c>
      <c r="J174" s="201">
        <f t="shared" si="32"/>
        <v>0.28000000000000003</v>
      </c>
      <c r="K174" s="242">
        <v>0</v>
      </c>
      <c r="L174" s="274">
        <v>39122</v>
      </c>
      <c r="M174" s="240">
        <v>0.22</v>
      </c>
      <c r="N174" s="241">
        <v>0.17</v>
      </c>
      <c r="O174" s="201">
        <f t="shared" si="33"/>
        <v>0.19500000000000001</v>
      </c>
      <c r="P174" s="240">
        <v>0.22</v>
      </c>
      <c r="Q174" s="241">
        <v>0.19</v>
      </c>
      <c r="R174" s="201">
        <f t="shared" si="34"/>
        <v>0.20500000000000002</v>
      </c>
      <c r="S174" s="240">
        <v>0.22</v>
      </c>
      <c r="T174" s="241">
        <v>0.14000000000000001</v>
      </c>
      <c r="U174" s="201">
        <f t="shared" si="35"/>
        <v>0.18</v>
      </c>
      <c r="V174" s="240">
        <v>0.22</v>
      </c>
      <c r="W174" s="241">
        <v>0.19</v>
      </c>
      <c r="X174" s="201">
        <f t="shared" si="36"/>
        <v>0.20500000000000002</v>
      </c>
      <c r="Y174" s="242">
        <v>5.23</v>
      </c>
    </row>
    <row r="175" spans="1:25" ht="15.75" x14ac:dyDescent="0.25">
      <c r="A175" s="31">
        <f>'M&amp;R Stations'!A164</f>
        <v>39123</v>
      </c>
      <c r="B175" s="240">
        <v>0.3</v>
      </c>
      <c r="C175" s="241">
        <v>0.26</v>
      </c>
      <c r="D175" s="201">
        <f t="shared" si="30"/>
        <v>0.28000000000000003</v>
      </c>
      <c r="E175" s="240">
        <v>0.3</v>
      </c>
      <c r="F175" s="241">
        <v>0.26</v>
      </c>
      <c r="G175" s="201">
        <f t="shared" si="31"/>
        <v>0.28000000000000003</v>
      </c>
      <c r="H175" s="240">
        <v>0.3</v>
      </c>
      <c r="I175" s="241">
        <v>0.26</v>
      </c>
      <c r="J175" s="201">
        <f t="shared" si="32"/>
        <v>0.28000000000000003</v>
      </c>
      <c r="K175" s="242">
        <v>0</v>
      </c>
      <c r="L175" s="274">
        <v>39123</v>
      </c>
      <c r="M175" s="240">
        <v>0.19</v>
      </c>
      <c r="N175" s="241">
        <v>0.17</v>
      </c>
      <c r="O175" s="201">
        <f t="shared" si="33"/>
        <v>0.18</v>
      </c>
      <c r="P175" s="240">
        <v>0.19</v>
      </c>
      <c r="Q175" s="241">
        <v>0.14000000000000001</v>
      </c>
      <c r="R175" s="201">
        <f t="shared" si="34"/>
        <v>0.16500000000000001</v>
      </c>
      <c r="S175" s="240">
        <v>0.19</v>
      </c>
      <c r="T175" s="241">
        <v>0.17</v>
      </c>
      <c r="U175" s="201">
        <f t="shared" si="35"/>
        <v>0.18</v>
      </c>
      <c r="V175" s="240">
        <v>0.19</v>
      </c>
      <c r="W175" s="241">
        <v>0.19</v>
      </c>
      <c r="X175" s="201">
        <f t="shared" si="36"/>
        <v>0.19</v>
      </c>
      <c r="Y175" s="242">
        <v>1.63</v>
      </c>
    </row>
    <row r="176" spans="1:25" ht="15.75" x14ac:dyDescent="0.25">
      <c r="A176" s="31">
        <f>'M&amp;R Stations'!A165</f>
        <v>39124</v>
      </c>
      <c r="B176" s="240">
        <v>0.3</v>
      </c>
      <c r="C176" s="241">
        <v>0.26</v>
      </c>
      <c r="D176" s="201">
        <f t="shared" si="30"/>
        <v>0.28000000000000003</v>
      </c>
      <c r="E176" s="240">
        <v>0.3</v>
      </c>
      <c r="F176" s="241">
        <v>0.26</v>
      </c>
      <c r="G176" s="201">
        <f t="shared" si="31"/>
        <v>0.28000000000000003</v>
      </c>
      <c r="H176" s="240">
        <v>0.3</v>
      </c>
      <c r="I176" s="241">
        <v>0.26</v>
      </c>
      <c r="J176" s="201">
        <f t="shared" si="32"/>
        <v>0.28000000000000003</v>
      </c>
      <c r="K176" s="242">
        <v>0</v>
      </c>
      <c r="L176" s="274">
        <v>39124</v>
      </c>
      <c r="M176" s="240">
        <v>0.22</v>
      </c>
      <c r="N176" s="241">
        <v>0.14000000000000001</v>
      </c>
      <c r="O176" s="201">
        <f t="shared" si="33"/>
        <v>0.18</v>
      </c>
      <c r="P176" s="240">
        <v>0.22</v>
      </c>
      <c r="Q176" s="241">
        <v>0.14000000000000001</v>
      </c>
      <c r="R176" s="201">
        <f t="shared" si="34"/>
        <v>0.18</v>
      </c>
      <c r="S176" s="240">
        <v>0.22</v>
      </c>
      <c r="T176" s="241">
        <v>0.12</v>
      </c>
      <c r="U176" s="201">
        <f t="shared" si="35"/>
        <v>0.16999999999999998</v>
      </c>
      <c r="V176" s="240">
        <v>0.19</v>
      </c>
      <c r="W176" s="241">
        <v>0.19</v>
      </c>
      <c r="X176" s="201">
        <f t="shared" si="36"/>
        <v>0.19</v>
      </c>
      <c r="Y176" s="242">
        <v>0.52</v>
      </c>
    </row>
    <row r="177" spans="1:25" ht="15.75" x14ac:dyDescent="0.25">
      <c r="A177" s="31">
        <f>'M&amp;R Stations'!A166</f>
        <v>39125</v>
      </c>
      <c r="B177" s="240">
        <v>0.26</v>
      </c>
      <c r="C177" s="241">
        <v>0.26</v>
      </c>
      <c r="D177" s="201">
        <f t="shared" si="30"/>
        <v>0.26</v>
      </c>
      <c r="E177" s="240">
        <v>0.26</v>
      </c>
      <c r="F177" s="241">
        <v>0.26</v>
      </c>
      <c r="G177" s="201">
        <f t="shared" si="31"/>
        <v>0.26</v>
      </c>
      <c r="H177" s="240">
        <v>0.3</v>
      </c>
      <c r="I177" s="241">
        <v>0.26</v>
      </c>
      <c r="J177" s="201">
        <f t="shared" si="32"/>
        <v>0.28000000000000003</v>
      </c>
      <c r="K177" s="242">
        <v>0</v>
      </c>
      <c r="L177" s="274">
        <v>39125</v>
      </c>
      <c r="M177" s="240">
        <v>0.22</v>
      </c>
      <c r="N177" s="241">
        <v>0.19</v>
      </c>
      <c r="O177" s="201">
        <f t="shared" si="33"/>
        <v>0.20500000000000002</v>
      </c>
      <c r="P177" s="240">
        <v>0.22</v>
      </c>
      <c r="Q177" s="241">
        <v>0.19</v>
      </c>
      <c r="R177" s="201">
        <f t="shared" si="34"/>
        <v>0.20500000000000002</v>
      </c>
      <c r="S177" s="240">
        <v>0.22</v>
      </c>
      <c r="T177" s="241">
        <v>0.19</v>
      </c>
      <c r="U177" s="201">
        <f t="shared" si="35"/>
        <v>0.20500000000000002</v>
      </c>
      <c r="V177" s="240" t="s">
        <v>216</v>
      </c>
      <c r="W177" s="241" t="s">
        <v>216</v>
      </c>
      <c r="X177" s="201" t="str">
        <f t="shared" si="36"/>
        <v>OFF</v>
      </c>
      <c r="Y177" s="242">
        <v>0</v>
      </c>
    </row>
    <row r="178" spans="1:25" ht="15.75" x14ac:dyDescent="0.25">
      <c r="A178" s="31">
        <f>'M&amp;R Stations'!A167</f>
        <v>39126</v>
      </c>
      <c r="B178" s="240">
        <v>0.35</v>
      </c>
      <c r="C178" s="241">
        <v>0.26</v>
      </c>
      <c r="D178" s="201">
        <f t="shared" si="30"/>
        <v>0.30499999999999999</v>
      </c>
      <c r="E178" s="240">
        <v>0.35</v>
      </c>
      <c r="F178" s="241">
        <v>0.26</v>
      </c>
      <c r="G178" s="201">
        <f t="shared" si="31"/>
        <v>0.30499999999999999</v>
      </c>
      <c r="H178" s="240">
        <v>0.35</v>
      </c>
      <c r="I178" s="241">
        <v>0.26</v>
      </c>
      <c r="J178" s="201">
        <f t="shared" si="32"/>
        <v>0.30499999999999999</v>
      </c>
      <c r="K178" s="242">
        <v>0</v>
      </c>
      <c r="L178" s="274">
        <v>39126</v>
      </c>
      <c r="M178" s="240">
        <v>0.25</v>
      </c>
      <c r="N178" s="241">
        <v>0.22</v>
      </c>
      <c r="O178" s="201">
        <f t="shared" si="33"/>
        <v>0.23499999999999999</v>
      </c>
      <c r="P178" s="240">
        <v>0.28999999999999998</v>
      </c>
      <c r="Q178" s="241">
        <v>0.22</v>
      </c>
      <c r="R178" s="201">
        <f t="shared" si="34"/>
        <v>0.255</v>
      </c>
      <c r="S178" s="240">
        <v>0.25</v>
      </c>
      <c r="T178" s="241">
        <v>0.22</v>
      </c>
      <c r="U178" s="201">
        <f t="shared" si="35"/>
        <v>0.23499999999999999</v>
      </c>
      <c r="V178" s="240" t="s">
        <v>216</v>
      </c>
      <c r="W178" s="241" t="s">
        <v>216</v>
      </c>
      <c r="X178" s="201" t="str">
        <f t="shared" si="36"/>
        <v>OFF</v>
      </c>
      <c r="Y178" s="242">
        <v>0</v>
      </c>
    </row>
    <row r="179" spans="1:25" ht="15.75" x14ac:dyDescent="0.25">
      <c r="A179" s="31">
        <f>'M&amp;R Stations'!A168</f>
        <v>39127</v>
      </c>
      <c r="B179" s="240">
        <v>0.35</v>
      </c>
      <c r="C179" s="241">
        <v>0.26</v>
      </c>
      <c r="D179" s="201">
        <f t="shared" si="30"/>
        <v>0.30499999999999999</v>
      </c>
      <c r="E179" s="240">
        <v>0.35</v>
      </c>
      <c r="F179" s="241">
        <v>0.26</v>
      </c>
      <c r="G179" s="201">
        <f t="shared" si="31"/>
        <v>0.30499999999999999</v>
      </c>
      <c r="H179" s="240">
        <v>0.35</v>
      </c>
      <c r="I179" s="241">
        <v>0.26</v>
      </c>
      <c r="J179" s="201">
        <f t="shared" si="32"/>
        <v>0.30499999999999999</v>
      </c>
      <c r="K179" s="242">
        <v>0.751</v>
      </c>
      <c r="L179" s="274">
        <v>39127</v>
      </c>
      <c r="M179" s="240">
        <v>0.25</v>
      </c>
      <c r="N179" s="241">
        <v>0.22</v>
      </c>
      <c r="O179" s="201">
        <f t="shared" si="33"/>
        <v>0.23499999999999999</v>
      </c>
      <c r="P179" s="240">
        <v>0.25</v>
      </c>
      <c r="Q179" s="241">
        <v>0.19</v>
      </c>
      <c r="R179" s="201">
        <f t="shared" si="34"/>
        <v>0.22</v>
      </c>
      <c r="S179" s="240">
        <v>0.22</v>
      </c>
      <c r="T179" s="241">
        <v>0.14000000000000001</v>
      </c>
      <c r="U179" s="201">
        <f t="shared" si="35"/>
        <v>0.18</v>
      </c>
      <c r="V179" s="240">
        <v>0.25</v>
      </c>
      <c r="W179" s="241">
        <v>0.22</v>
      </c>
      <c r="X179" s="201">
        <f t="shared" si="36"/>
        <v>0.23499999999999999</v>
      </c>
      <c r="Y179" s="242">
        <v>21.37</v>
      </c>
    </row>
    <row r="180" spans="1:25" ht="15.75" x14ac:dyDescent="0.25">
      <c r="A180" s="31">
        <f>'M&amp;R Stations'!A169</f>
        <v>39128</v>
      </c>
      <c r="B180" s="240">
        <v>0.26</v>
      </c>
      <c r="C180" s="241">
        <v>0.26</v>
      </c>
      <c r="D180" s="201">
        <f t="shared" si="30"/>
        <v>0.26</v>
      </c>
      <c r="E180" s="240">
        <v>0.26</v>
      </c>
      <c r="F180" s="241">
        <v>0.26</v>
      </c>
      <c r="G180" s="201">
        <f t="shared" si="31"/>
        <v>0.26</v>
      </c>
      <c r="H180" s="240">
        <v>0.26</v>
      </c>
      <c r="I180" s="241">
        <v>0.26</v>
      </c>
      <c r="J180" s="201">
        <f t="shared" si="32"/>
        <v>0.26</v>
      </c>
      <c r="K180" s="242">
        <v>1.1919999999999999</v>
      </c>
      <c r="L180" s="274">
        <v>39128</v>
      </c>
      <c r="M180" s="240">
        <v>0.22</v>
      </c>
      <c r="N180" s="241">
        <v>0.19</v>
      </c>
      <c r="O180" s="201">
        <f t="shared" si="33"/>
        <v>0.20500000000000002</v>
      </c>
      <c r="P180" s="240">
        <v>0.22</v>
      </c>
      <c r="Q180" s="241">
        <v>0.19</v>
      </c>
      <c r="R180" s="201">
        <f t="shared" si="34"/>
        <v>0.20500000000000002</v>
      </c>
      <c r="S180" s="240">
        <v>0.22</v>
      </c>
      <c r="T180" s="241">
        <v>0.19</v>
      </c>
      <c r="U180" s="201">
        <f t="shared" si="35"/>
        <v>0.20500000000000002</v>
      </c>
      <c r="V180" s="240">
        <v>0.25</v>
      </c>
      <c r="W180" s="241">
        <v>0.17</v>
      </c>
      <c r="X180" s="201">
        <f t="shared" si="36"/>
        <v>0.21000000000000002</v>
      </c>
      <c r="Y180" s="242">
        <v>34.380000000000003</v>
      </c>
    </row>
    <row r="181" spans="1:25" ht="15.75" x14ac:dyDescent="0.25">
      <c r="A181" s="31">
        <f>'M&amp;R Stations'!A170</f>
        <v>39129</v>
      </c>
      <c r="B181" s="240">
        <v>0.3</v>
      </c>
      <c r="C181" s="241">
        <v>0.26</v>
      </c>
      <c r="D181" s="201">
        <f t="shared" si="30"/>
        <v>0.28000000000000003</v>
      </c>
      <c r="E181" s="240">
        <v>0.3</v>
      </c>
      <c r="F181" s="241">
        <v>0.26</v>
      </c>
      <c r="G181" s="201">
        <f t="shared" si="31"/>
        <v>0.28000000000000003</v>
      </c>
      <c r="H181" s="240">
        <v>0.3</v>
      </c>
      <c r="I181" s="241">
        <v>0.26</v>
      </c>
      <c r="J181" s="201">
        <f t="shared" si="32"/>
        <v>0.28000000000000003</v>
      </c>
      <c r="K181" s="242">
        <v>0</v>
      </c>
      <c r="L181" s="274">
        <v>39129</v>
      </c>
      <c r="M181" s="240">
        <v>0.19</v>
      </c>
      <c r="N181" s="241">
        <v>0.17</v>
      </c>
      <c r="O181" s="201">
        <f t="shared" si="33"/>
        <v>0.18</v>
      </c>
      <c r="P181" s="240">
        <v>0.19</v>
      </c>
      <c r="Q181" s="241">
        <v>0.19</v>
      </c>
      <c r="R181" s="201">
        <f t="shared" si="34"/>
        <v>0.19</v>
      </c>
      <c r="S181" s="240">
        <v>0.19</v>
      </c>
      <c r="T181" s="241">
        <v>0.17</v>
      </c>
      <c r="U181" s="201">
        <f t="shared" si="35"/>
        <v>0.18</v>
      </c>
      <c r="V181" s="240">
        <v>0.22</v>
      </c>
      <c r="W181" s="241">
        <v>0.19</v>
      </c>
      <c r="X181" s="201">
        <f t="shared" si="36"/>
        <v>0.20500000000000002</v>
      </c>
      <c r="Y181" s="242">
        <v>20.27</v>
      </c>
    </row>
    <row r="182" spans="1:25" ht="15.75" x14ac:dyDescent="0.25">
      <c r="A182" s="31">
        <f>'M&amp;R Stations'!A171</f>
        <v>39130</v>
      </c>
      <c r="B182" s="240">
        <v>0.3</v>
      </c>
      <c r="C182" s="241">
        <v>0.26</v>
      </c>
      <c r="D182" s="201">
        <f t="shared" si="30"/>
        <v>0.28000000000000003</v>
      </c>
      <c r="E182" s="240">
        <v>0.3</v>
      </c>
      <c r="F182" s="241">
        <v>0.26</v>
      </c>
      <c r="G182" s="201">
        <f t="shared" si="31"/>
        <v>0.28000000000000003</v>
      </c>
      <c r="H182" s="240">
        <v>0.3</v>
      </c>
      <c r="I182" s="241">
        <v>0.26</v>
      </c>
      <c r="J182" s="201">
        <f t="shared" si="32"/>
        <v>0.28000000000000003</v>
      </c>
      <c r="K182" s="242">
        <v>0</v>
      </c>
      <c r="L182" s="274">
        <v>39130</v>
      </c>
      <c r="M182" s="240">
        <v>0.19</v>
      </c>
      <c r="N182" s="241">
        <v>0.17</v>
      </c>
      <c r="O182" s="201">
        <f t="shared" si="33"/>
        <v>0.18</v>
      </c>
      <c r="P182" s="240">
        <v>0.19</v>
      </c>
      <c r="Q182" s="241">
        <v>0.19</v>
      </c>
      <c r="R182" s="201">
        <f t="shared" si="34"/>
        <v>0.19</v>
      </c>
      <c r="S182" s="240">
        <v>0.19</v>
      </c>
      <c r="T182" s="241">
        <v>0.19</v>
      </c>
      <c r="U182" s="201">
        <f t="shared" si="35"/>
        <v>0.19</v>
      </c>
      <c r="V182" s="240">
        <v>0</v>
      </c>
      <c r="W182" s="241">
        <v>0</v>
      </c>
      <c r="X182" s="201">
        <f t="shared" si="36"/>
        <v>0</v>
      </c>
      <c r="Y182" s="242">
        <v>0</v>
      </c>
    </row>
    <row r="183" spans="1:25" ht="15.75" x14ac:dyDescent="0.25">
      <c r="A183" s="31">
        <f>'M&amp;R Stations'!A172</f>
        <v>39131</v>
      </c>
      <c r="B183" s="240">
        <v>0.35</v>
      </c>
      <c r="C183" s="241">
        <v>0.26</v>
      </c>
      <c r="D183" s="201">
        <f t="shared" si="30"/>
        <v>0.30499999999999999</v>
      </c>
      <c r="E183" s="240">
        <v>0.3</v>
      </c>
      <c r="F183" s="241">
        <v>0.26</v>
      </c>
      <c r="G183" s="201">
        <f t="shared" si="31"/>
        <v>0.28000000000000003</v>
      </c>
      <c r="H183" s="240">
        <v>0.26</v>
      </c>
      <c r="I183" s="241">
        <v>0.26</v>
      </c>
      <c r="J183" s="201">
        <f t="shared" si="32"/>
        <v>0.26</v>
      </c>
      <c r="K183" s="242">
        <v>0</v>
      </c>
      <c r="L183" s="274">
        <v>39131</v>
      </c>
      <c r="M183" s="240">
        <v>0.22</v>
      </c>
      <c r="N183" s="241">
        <v>0.19</v>
      </c>
      <c r="O183" s="201">
        <f t="shared" si="33"/>
        <v>0.20500000000000002</v>
      </c>
      <c r="P183" s="240">
        <v>0.19</v>
      </c>
      <c r="Q183" s="241">
        <v>0.19</v>
      </c>
      <c r="R183" s="201">
        <f t="shared" si="34"/>
        <v>0.19</v>
      </c>
      <c r="S183" s="240">
        <v>0.19</v>
      </c>
      <c r="T183" s="241">
        <v>0.19</v>
      </c>
      <c r="U183" s="201">
        <f t="shared" si="35"/>
        <v>0.19</v>
      </c>
      <c r="V183" s="240">
        <v>0.22</v>
      </c>
      <c r="W183" s="241">
        <v>0.19</v>
      </c>
      <c r="X183" s="201">
        <f t="shared" si="36"/>
        <v>0.20500000000000002</v>
      </c>
      <c r="Y183" s="242">
        <v>5.68</v>
      </c>
    </row>
    <row r="184" spans="1:25" ht="15.75" x14ac:dyDescent="0.25">
      <c r="A184" s="31">
        <f>'M&amp;R Stations'!A173</f>
        <v>39132</v>
      </c>
      <c r="B184" s="240">
        <v>0.35</v>
      </c>
      <c r="C184" s="241">
        <v>0.26</v>
      </c>
      <c r="D184" s="201">
        <f t="shared" si="30"/>
        <v>0.30499999999999999</v>
      </c>
      <c r="E184" s="240">
        <v>0.35</v>
      </c>
      <c r="F184" s="241">
        <v>0.26</v>
      </c>
      <c r="G184" s="201">
        <f t="shared" si="31"/>
        <v>0.30499999999999999</v>
      </c>
      <c r="H184" s="240">
        <v>0.35</v>
      </c>
      <c r="I184" s="241">
        <v>0.26</v>
      </c>
      <c r="J184" s="201">
        <f t="shared" si="32"/>
        <v>0.30499999999999999</v>
      </c>
      <c r="K184" s="242">
        <v>0</v>
      </c>
      <c r="L184" s="274">
        <v>39132</v>
      </c>
      <c r="M184" s="240">
        <v>0.22</v>
      </c>
      <c r="N184" s="241">
        <v>0.19</v>
      </c>
      <c r="O184" s="201">
        <f t="shared" si="33"/>
        <v>0.20500000000000002</v>
      </c>
      <c r="P184" s="240">
        <v>0.19</v>
      </c>
      <c r="Q184" s="241">
        <v>0.19</v>
      </c>
      <c r="R184" s="201">
        <f t="shared" si="34"/>
        <v>0.19</v>
      </c>
      <c r="S184" s="240">
        <v>0.19</v>
      </c>
      <c r="T184" s="241">
        <v>0.19</v>
      </c>
      <c r="U184" s="201">
        <f t="shared" si="35"/>
        <v>0.19</v>
      </c>
      <c r="V184" s="240">
        <v>0.22</v>
      </c>
      <c r="W184" s="241">
        <v>0.22</v>
      </c>
      <c r="X184" s="201">
        <f t="shared" si="36"/>
        <v>0.22</v>
      </c>
      <c r="Y184" s="242">
        <v>3.11</v>
      </c>
    </row>
    <row r="185" spans="1:25" ht="15.75" x14ac:dyDescent="0.25">
      <c r="A185" s="31">
        <f>'M&amp;R Stations'!A174</f>
        <v>39133</v>
      </c>
      <c r="B185" s="240">
        <v>0.35</v>
      </c>
      <c r="C185" s="241">
        <v>0.3</v>
      </c>
      <c r="D185" s="201">
        <f t="shared" si="30"/>
        <v>0.32499999999999996</v>
      </c>
      <c r="E185" s="240">
        <v>0.35</v>
      </c>
      <c r="F185" s="241">
        <v>0.3</v>
      </c>
      <c r="G185" s="201">
        <f t="shared" si="31"/>
        <v>0.32499999999999996</v>
      </c>
      <c r="H185" s="240">
        <v>0.35</v>
      </c>
      <c r="I185" s="241">
        <v>0.26</v>
      </c>
      <c r="J185" s="201">
        <f t="shared" si="32"/>
        <v>0.30499999999999999</v>
      </c>
      <c r="K185" s="242">
        <v>0</v>
      </c>
      <c r="L185" s="274">
        <v>39133</v>
      </c>
      <c r="M185" s="240">
        <v>0.22</v>
      </c>
      <c r="N185" s="241">
        <v>0.19</v>
      </c>
      <c r="O185" s="201">
        <f t="shared" si="33"/>
        <v>0.20500000000000002</v>
      </c>
      <c r="P185" s="240">
        <v>0.22</v>
      </c>
      <c r="Q185" s="241">
        <v>0.19</v>
      </c>
      <c r="R185" s="201">
        <f t="shared" si="34"/>
        <v>0.20500000000000002</v>
      </c>
      <c r="S185" s="240">
        <v>0.22</v>
      </c>
      <c r="T185" s="241">
        <v>0.19</v>
      </c>
      <c r="U185" s="201">
        <f t="shared" si="35"/>
        <v>0.20500000000000002</v>
      </c>
      <c r="V185" s="240">
        <v>0</v>
      </c>
      <c r="W185" s="241">
        <v>0</v>
      </c>
      <c r="X185" s="201">
        <f t="shared" si="36"/>
        <v>0</v>
      </c>
      <c r="Y185" s="242">
        <v>0</v>
      </c>
    </row>
    <row r="186" spans="1:25" ht="15.75" x14ac:dyDescent="0.25">
      <c r="A186" s="31">
        <f>'M&amp;R Stations'!A175</f>
        <v>39134</v>
      </c>
      <c r="B186" s="240">
        <v>0.35</v>
      </c>
      <c r="C186" s="241">
        <v>0.26</v>
      </c>
      <c r="D186" s="201">
        <f t="shared" si="30"/>
        <v>0.30499999999999999</v>
      </c>
      <c r="E186" s="240">
        <v>0.35</v>
      </c>
      <c r="F186" s="241">
        <v>0.26</v>
      </c>
      <c r="G186" s="201">
        <f t="shared" si="31"/>
        <v>0.30499999999999999</v>
      </c>
      <c r="H186" s="240">
        <v>0.35</v>
      </c>
      <c r="I186" s="241">
        <v>0.26</v>
      </c>
      <c r="J186" s="201">
        <f t="shared" si="32"/>
        <v>0.30499999999999999</v>
      </c>
      <c r="K186" s="242">
        <v>0</v>
      </c>
      <c r="L186" s="274">
        <v>39134</v>
      </c>
      <c r="M186" s="240">
        <v>0.22</v>
      </c>
      <c r="N186" s="241">
        <v>0.17</v>
      </c>
      <c r="O186" s="201">
        <f t="shared" si="33"/>
        <v>0.19500000000000001</v>
      </c>
      <c r="P186" s="240">
        <v>0.22</v>
      </c>
      <c r="Q186" s="241">
        <v>0.17</v>
      </c>
      <c r="R186" s="201">
        <f t="shared" si="34"/>
        <v>0.19500000000000001</v>
      </c>
      <c r="S186" s="240">
        <v>0.22</v>
      </c>
      <c r="T186" s="241">
        <v>0.17</v>
      </c>
      <c r="U186" s="201">
        <f t="shared" si="35"/>
        <v>0.19500000000000001</v>
      </c>
      <c r="V186" s="240">
        <v>0</v>
      </c>
      <c r="W186" s="241">
        <v>0</v>
      </c>
      <c r="X186" s="201">
        <f t="shared" si="36"/>
        <v>0</v>
      </c>
      <c r="Y186" s="242">
        <v>0</v>
      </c>
    </row>
    <row r="187" spans="1:25" ht="15.75" x14ac:dyDescent="0.25">
      <c r="A187" s="31">
        <f>'M&amp;R Stations'!A176</f>
        <v>39135</v>
      </c>
      <c r="B187" s="240">
        <v>0.35</v>
      </c>
      <c r="C187" s="241">
        <v>0.26</v>
      </c>
      <c r="D187" s="201">
        <f t="shared" si="30"/>
        <v>0.30499999999999999</v>
      </c>
      <c r="E187" s="240">
        <v>0.35</v>
      </c>
      <c r="F187" s="241">
        <v>0.26</v>
      </c>
      <c r="G187" s="201">
        <f t="shared" si="31"/>
        <v>0.30499999999999999</v>
      </c>
      <c r="H187" s="240">
        <v>0.35</v>
      </c>
      <c r="I187" s="241">
        <v>0.26</v>
      </c>
      <c r="J187" s="201">
        <f t="shared" si="32"/>
        <v>0.30499999999999999</v>
      </c>
      <c r="K187" s="242">
        <v>0</v>
      </c>
      <c r="L187" s="274">
        <v>39135</v>
      </c>
      <c r="M187" s="240">
        <v>0.22</v>
      </c>
      <c r="N187" s="241">
        <v>0.19</v>
      </c>
      <c r="O187" s="201">
        <f t="shared" si="33"/>
        <v>0.20500000000000002</v>
      </c>
      <c r="P187" s="240">
        <v>0.25</v>
      </c>
      <c r="Q187" s="241">
        <v>0.19</v>
      </c>
      <c r="R187" s="201">
        <f t="shared" si="34"/>
        <v>0.22</v>
      </c>
      <c r="S187" s="240">
        <v>0.22</v>
      </c>
      <c r="T187" s="241">
        <v>0.17</v>
      </c>
      <c r="U187" s="201">
        <f t="shared" si="35"/>
        <v>0.19500000000000001</v>
      </c>
      <c r="V187" s="240">
        <v>0</v>
      </c>
      <c r="W187" s="241">
        <v>0</v>
      </c>
      <c r="X187" s="201">
        <f t="shared" si="36"/>
        <v>0</v>
      </c>
      <c r="Y187" s="242">
        <v>0</v>
      </c>
    </row>
    <row r="188" spans="1:25" ht="15.75" x14ac:dyDescent="0.25">
      <c r="A188" s="31">
        <f>'M&amp;R Stations'!A177</f>
        <v>39136</v>
      </c>
      <c r="B188" s="240">
        <v>0.3</v>
      </c>
      <c r="C188" s="241">
        <v>0.26</v>
      </c>
      <c r="D188" s="201">
        <f t="shared" si="30"/>
        <v>0.28000000000000003</v>
      </c>
      <c r="E188" s="240">
        <v>0.3</v>
      </c>
      <c r="F188" s="241">
        <v>0.26</v>
      </c>
      <c r="G188" s="201">
        <f t="shared" si="31"/>
        <v>0.28000000000000003</v>
      </c>
      <c r="H188" s="240">
        <v>0.3</v>
      </c>
      <c r="I188" s="241">
        <v>0.26</v>
      </c>
      <c r="J188" s="201">
        <f t="shared" si="32"/>
        <v>0.28000000000000003</v>
      </c>
      <c r="K188" s="242">
        <v>0</v>
      </c>
      <c r="L188" s="274">
        <v>39136</v>
      </c>
      <c r="M188" s="240">
        <v>0.22</v>
      </c>
      <c r="N188" s="241">
        <v>0.19</v>
      </c>
      <c r="O188" s="201">
        <f t="shared" si="33"/>
        <v>0.20500000000000002</v>
      </c>
      <c r="P188" s="240">
        <v>0.19</v>
      </c>
      <c r="Q188" s="241">
        <v>0.17</v>
      </c>
      <c r="R188" s="201">
        <f t="shared" si="34"/>
        <v>0.18</v>
      </c>
      <c r="S188" s="240">
        <v>0.19</v>
      </c>
      <c r="T188" s="241">
        <v>0.19</v>
      </c>
      <c r="U188" s="201">
        <f t="shared" si="35"/>
        <v>0.19</v>
      </c>
      <c r="V188" s="240">
        <v>0.19</v>
      </c>
      <c r="W188" s="241">
        <v>0.19</v>
      </c>
      <c r="X188" s="201">
        <f t="shared" si="36"/>
        <v>0.19</v>
      </c>
      <c r="Y188" s="242">
        <v>5.39</v>
      </c>
    </row>
    <row r="189" spans="1:25" ht="15.75" x14ac:dyDescent="0.25">
      <c r="A189" s="31">
        <f>'M&amp;R Stations'!A178</f>
        <v>39137</v>
      </c>
      <c r="B189" s="240">
        <v>0.3</v>
      </c>
      <c r="C189" s="241">
        <v>0.26</v>
      </c>
      <c r="D189" s="201">
        <f t="shared" si="30"/>
        <v>0.28000000000000003</v>
      </c>
      <c r="E189" s="240">
        <v>0.3</v>
      </c>
      <c r="F189" s="241">
        <v>0.26</v>
      </c>
      <c r="G189" s="201">
        <f t="shared" si="31"/>
        <v>0.28000000000000003</v>
      </c>
      <c r="H189" s="240">
        <v>0.3</v>
      </c>
      <c r="I189" s="241">
        <v>0.26</v>
      </c>
      <c r="J189" s="201">
        <f t="shared" si="32"/>
        <v>0.28000000000000003</v>
      </c>
      <c r="K189" s="242">
        <v>0</v>
      </c>
      <c r="L189" s="274">
        <v>39137</v>
      </c>
      <c r="M189" s="240">
        <v>0.19</v>
      </c>
      <c r="N189" s="241">
        <v>0.19</v>
      </c>
      <c r="O189" s="201">
        <f t="shared" si="33"/>
        <v>0.19</v>
      </c>
      <c r="P189" s="240">
        <v>0.19</v>
      </c>
      <c r="Q189" s="241">
        <v>0.19</v>
      </c>
      <c r="R189" s="201">
        <f t="shared" si="34"/>
        <v>0.19</v>
      </c>
      <c r="S189" s="240">
        <v>0.19</v>
      </c>
      <c r="T189" s="241">
        <v>0.19</v>
      </c>
      <c r="U189" s="201">
        <f t="shared" si="35"/>
        <v>0.19</v>
      </c>
      <c r="V189" s="240">
        <v>0.22</v>
      </c>
      <c r="W189" s="241">
        <v>0.22</v>
      </c>
      <c r="X189" s="201">
        <f t="shared" si="36"/>
        <v>0.22</v>
      </c>
      <c r="Y189" s="242">
        <v>3.2</v>
      </c>
    </row>
    <row r="190" spans="1:25" ht="15.75" x14ac:dyDescent="0.25">
      <c r="A190" s="31">
        <f>'M&amp;R Stations'!A179</f>
        <v>39138</v>
      </c>
      <c r="B190" s="240">
        <v>0.35</v>
      </c>
      <c r="C190" s="241">
        <v>0.26</v>
      </c>
      <c r="D190" s="201">
        <f t="shared" si="30"/>
        <v>0.30499999999999999</v>
      </c>
      <c r="E190" s="240">
        <v>0.35</v>
      </c>
      <c r="F190" s="241">
        <v>0.26</v>
      </c>
      <c r="G190" s="201">
        <f t="shared" si="31"/>
        <v>0.30499999999999999</v>
      </c>
      <c r="H190" s="240">
        <v>0.35</v>
      </c>
      <c r="I190" s="241">
        <v>0.26</v>
      </c>
      <c r="J190" s="201">
        <f t="shared" si="32"/>
        <v>0.30499999999999999</v>
      </c>
      <c r="K190" s="242">
        <v>0</v>
      </c>
      <c r="L190" s="274">
        <v>39138</v>
      </c>
      <c r="M190" s="240">
        <v>0.22</v>
      </c>
      <c r="N190" s="241">
        <v>0.19</v>
      </c>
      <c r="O190" s="201">
        <f t="shared" si="33"/>
        <v>0.20500000000000002</v>
      </c>
      <c r="P190" s="240">
        <v>0.22</v>
      </c>
      <c r="Q190" s="241">
        <v>0.19</v>
      </c>
      <c r="R190" s="201">
        <f t="shared" si="34"/>
        <v>0.20500000000000002</v>
      </c>
      <c r="S190" s="240">
        <v>0.22</v>
      </c>
      <c r="T190" s="241">
        <v>0.19</v>
      </c>
      <c r="U190" s="201">
        <f t="shared" si="35"/>
        <v>0.20500000000000002</v>
      </c>
      <c r="V190" s="240">
        <v>0</v>
      </c>
      <c r="W190" s="241">
        <v>0</v>
      </c>
      <c r="X190" s="201">
        <f t="shared" si="36"/>
        <v>0</v>
      </c>
      <c r="Y190" s="242">
        <v>0</v>
      </c>
    </row>
    <row r="191" spans="1:25" ht="15.75" x14ac:dyDescent="0.25">
      <c r="A191" s="31">
        <f>'M&amp;R Stations'!A180</f>
        <v>39139</v>
      </c>
      <c r="B191" s="240">
        <v>0.35</v>
      </c>
      <c r="C191" s="241">
        <v>0.3</v>
      </c>
      <c r="D191" s="201">
        <f t="shared" si="30"/>
        <v>0.32499999999999996</v>
      </c>
      <c r="E191" s="240">
        <v>0.35</v>
      </c>
      <c r="F191" s="241">
        <v>0.3</v>
      </c>
      <c r="G191" s="201">
        <f t="shared" si="31"/>
        <v>0.32499999999999996</v>
      </c>
      <c r="H191" s="240">
        <v>0.35</v>
      </c>
      <c r="I191" s="241">
        <v>0.26</v>
      </c>
      <c r="J191" s="201">
        <f t="shared" si="32"/>
        <v>0.30499999999999999</v>
      </c>
      <c r="K191" s="242">
        <v>0</v>
      </c>
      <c r="L191" s="274">
        <v>39139</v>
      </c>
      <c r="M191" s="240">
        <v>0.22</v>
      </c>
      <c r="N191" s="241">
        <v>0.19</v>
      </c>
      <c r="O191" s="201">
        <f t="shared" si="33"/>
        <v>0.20500000000000002</v>
      </c>
      <c r="P191" s="240">
        <v>0.22</v>
      </c>
      <c r="Q191" s="241">
        <v>0.19</v>
      </c>
      <c r="R191" s="201">
        <f t="shared" si="34"/>
        <v>0.20500000000000002</v>
      </c>
      <c r="S191" s="240">
        <v>0.22</v>
      </c>
      <c r="T191" s="241">
        <v>0.19</v>
      </c>
      <c r="U191" s="201">
        <f t="shared" si="35"/>
        <v>0.20500000000000002</v>
      </c>
      <c r="V191" s="240">
        <v>0</v>
      </c>
      <c r="W191" s="241">
        <v>0</v>
      </c>
      <c r="X191" s="201">
        <f t="shared" si="36"/>
        <v>0</v>
      </c>
      <c r="Y191" s="242">
        <v>0</v>
      </c>
    </row>
    <row r="192" spans="1:25" ht="15.75" x14ac:dyDescent="0.25">
      <c r="A192" s="31">
        <f>'M&amp;R Stations'!A181</f>
        <v>39140</v>
      </c>
      <c r="B192" s="240">
        <v>0.35</v>
      </c>
      <c r="C192" s="241">
        <v>0.26</v>
      </c>
      <c r="D192" s="201">
        <f t="shared" si="30"/>
        <v>0.30499999999999999</v>
      </c>
      <c r="E192" s="240">
        <v>0.35</v>
      </c>
      <c r="F192" s="241">
        <v>0.26</v>
      </c>
      <c r="G192" s="201">
        <f t="shared" si="31"/>
        <v>0.30499999999999999</v>
      </c>
      <c r="H192" s="240">
        <v>0.35</v>
      </c>
      <c r="I192" s="241">
        <v>0.26</v>
      </c>
      <c r="J192" s="201">
        <f t="shared" si="32"/>
        <v>0.30499999999999999</v>
      </c>
      <c r="K192" s="242">
        <v>0</v>
      </c>
      <c r="L192" s="274">
        <v>39140</v>
      </c>
      <c r="M192" s="240">
        <v>0.22</v>
      </c>
      <c r="N192" s="241">
        <v>0.19</v>
      </c>
      <c r="O192" s="201">
        <f t="shared" si="33"/>
        <v>0.20500000000000002</v>
      </c>
      <c r="P192" s="240">
        <v>0.22</v>
      </c>
      <c r="Q192" s="241">
        <v>0.19</v>
      </c>
      <c r="R192" s="201">
        <f t="shared" si="34"/>
        <v>0.20500000000000002</v>
      </c>
      <c r="S192" s="240">
        <v>0.22</v>
      </c>
      <c r="T192" s="241">
        <v>0.19</v>
      </c>
      <c r="U192" s="201">
        <f t="shared" si="35"/>
        <v>0.20500000000000002</v>
      </c>
      <c r="V192" s="240">
        <v>0</v>
      </c>
      <c r="W192" s="241">
        <v>0</v>
      </c>
      <c r="X192" s="201">
        <f t="shared" si="36"/>
        <v>0</v>
      </c>
      <c r="Y192" s="242">
        <v>0</v>
      </c>
    </row>
    <row r="193" spans="1:25" ht="15.75" x14ac:dyDescent="0.25">
      <c r="A193" s="31">
        <f>'M&amp;R Stations'!A182</f>
        <v>39141</v>
      </c>
      <c r="B193" s="240">
        <v>0.35</v>
      </c>
      <c r="C193" s="241">
        <v>0.26</v>
      </c>
      <c r="D193" s="201">
        <f t="shared" si="30"/>
        <v>0.30499999999999999</v>
      </c>
      <c r="E193" s="240">
        <v>0.35</v>
      </c>
      <c r="F193" s="241">
        <v>0.26</v>
      </c>
      <c r="G193" s="201">
        <f t="shared" si="31"/>
        <v>0.30499999999999999</v>
      </c>
      <c r="H193" s="240">
        <v>0.35</v>
      </c>
      <c r="I193" s="241">
        <v>0.26</v>
      </c>
      <c r="J193" s="201">
        <f t="shared" si="32"/>
        <v>0.30499999999999999</v>
      </c>
      <c r="K193" s="242">
        <v>0</v>
      </c>
      <c r="L193" s="274">
        <v>39141</v>
      </c>
      <c r="M193" s="240">
        <v>0.22</v>
      </c>
      <c r="N193" s="241">
        <v>0.19</v>
      </c>
      <c r="O193" s="201">
        <f t="shared" si="33"/>
        <v>0.20500000000000002</v>
      </c>
      <c r="P193" s="240">
        <v>0.22</v>
      </c>
      <c r="Q193" s="241">
        <v>0.19</v>
      </c>
      <c r="R193" s="201">
        <f t="shared" si="34"/>
        <v>0.20500000000000002</v>
      </c>
      <c r="S193" s="240">
        <v>0.22</v>
      </c>
      <c r="T193" s="241">
        <v>0.19</v>
      </c>
      <c r="U193" s="201">
        <f t="shared" si="35"/>
        <v>0.20500000000000002</v>
      </c>
      <c r="V193" s="240">
        <v>0</v>
      </c>
      <c r="W193" s="241">
        <v>0</v>
      </c>
      <c r="X193" s="201">
        <f t="shared" si="36"/>
        <v>0</v>
      </c>
      <c r="Y193" s="242">
        <v>0</v>
      </c>
    </row>
    <row r="194" spans="1:25" ht="15.75" x14ac:dyDescent="0.25">
      <c r="A194" s="210"/>
      <c r="B194" s="240"/>
      <c r="C194" s="241"/>
      <c r="D194" s="201"/>
      <c r="E194" s="240"/>
      <c r="F194" s="241"/>
      <c r="G194" s="201"/>
      <c r="H194" s="240"/>
      <c r="I194" s="241"/>
      <c r="J194" s="202"/>
      <c r="K194" s="242"/>
      <c r="L194" s="274"/>
      <c r="M194" s="240"/>
      <c r="N194" s="241"/>
      <c r="O194" s="202"/>
      <c r="P194" s="240"/>
      <c r="Q194" s="241"/>
      <c r="R194" s="202"/>
      <c r="S194" s="240"/>
      <c r="T194" s="241"/>
      <c r="U194" s="202"/>
      <c r="V194" s="240"/>
      <c r="W194" s="241"/>
      <c r="X194" s="202"/>
      <c r="Y194" s="242"/>
    </row>
    <row r="195" spans="1:25" ht="15.75" x14ac:dyDescent="0.25">
      <c r="A195" s="179"/>
      <c r="B195" s="203"/>
      <c r="C195" s="204"/>
      <c r="D195" s="205"/>
      <c r="E195" s="203"/>
      <c r="F195" s="204"/>
      <c r="G195" s="205"/>
      <c r="H195" s="203"/>
      <c r="I195" s="204"/>
      <c r="J195" s="206"/>
      <c r="K195" s="208"/>
      <c r="L195" s="207"/>
      <c r="M195" s="203"/>
      <c r="N195" s="204"/>
      <c r="O195" s="206"/>
      <c r="P195" s="203"/>
      <c r="Q195" s="204"/>
      <c r="R195" s="206"/>
      <c r="S195" s="203"/>
      <c r="T195" s="204"/>
      <c r="U195" s="206"/>
      <c r="V195" s="203"/>
      <c r="W195" s="204"/>
      <c r="X195" s="206"/>
      <c r="Y195" s="208"/>
    </row>
    <row r="196" spans="1:25" ht="15.75" x14ac:dyDescent="0.25">
      <c r="A196" s="31">
        <f>'M&amp;R Stations'!A183</f>
        <v>39142</v>
      </c>
      <c r="B196" s="240">
        <v>0.35</v>
      </c>
      <c r="C196" s="241">
        <v>0.26</v>
      </c>
      <c r="D196" s="201">
        <f t="shared" ref="D196:D249" si="37">IF(AND(B196="",C196=""),"",IF(B196="off",C196,IF(C196="off",B196,AVERAGE(B196:C196))))</f>
        <v>0.30499999999999999</v>
      </c>
      <c r="E196" s="240">
        <v>0.35</v>
      </c>
      <c r="F196" s="241">
        <v>0.26</v>
      </c>
      <c r="G196" s="201">
        <f t="shared" ref="G196:G226" si="38">IF(AND(E196="",F196=""),"",IF(E196="off",F196,IF(F196="off",E196,AVERAGE(E196:F196))))</f>
        <v>0.30499999999999999</v>
      </c>
      <c r="H196" s="240">
        <v>0.35</v>
      </c>
      <c r="I196" s="241">
        <v>0.26</v>
      </c>
      <c r="J196" s="201">
        <f t="shared" ref="J196:J226" si="39">IF(AND(H196="",I196=""),"",IF(H196="off",I196,IF(I196="off",H196,AVERAGE(H196:I196))))</f>
        <v>0.30499999999999999</v>
      </c>
      <c r="K196" s="242">
        <v>0</v>
      </c>
      <c r="L196" s="274">
        <v>39142</v>
      </c>
      <c r="M196" s="240">
        <v>0.22</v>
      </c>
      <c r="N196" s="241">
        <v>0.19</v>
      </c>
      <c r="O196" s="201">
        <f t="shared" ref="O196:O226" si="40">IF(AND(M196="",N196=""),"",IF(M196="off",N196,IF(N196="off",M196,AVERAGE(M196:N196))))</f>
        <v>0.20500000000000002</v>
      </c>
      <c r="P196" s="240">
        <v>0.22</v>
      </c>
      <c r="Q196" s="241">
        <v>0.19</v>
      </c>
      <c r="R196" s="201">
        <f t="shared" ref="R196:R226" si="41">IF(AND(P196="",Q196=""),"",IF(P196="off",Q196,IF(Q196="off",P196,AVERAGE(P196:Q196))))</f>
        <v>0.20500000000000002</v>
      </c>
      <c r="S196" s="240">
        <v>0.22</v>
      </c>
      <c r="T196" s="241">
        <v>0.19</v>
      </c>
      <c r="U196" s="201">
        <f t="shared" ref="U196:U226" si="42">IF(AND(S196="",T196=""),"",IF(S196="off",T196,IF(T196="off",S196,AVERAGE(S196:T196))))</f>
        <v>0.20500000000000002</v>
      </c>
      <c r="V196" s="240">
        <v>0</v>
      </c>
      <c r="W196" s="241">
        <v>0</v>
      </c>
      <c r="X196" s="201">
        <f t="shared" ref="X196:X226" si="43">IF(AND(V196="",W196=""),"",IF(V196="off",W196,IF(W196="off",V196,AVERAGE(V196:W196))))</f>
        <v>0</v>
      </c>
      <c r="Y196" s="242">
        <v>0</v>
      </c>
    </row>
    <row r="197" spans="1:25" ht="15.75" x14ac:dyDescent="0.25">
      <c r="A197" s="31">
        <f>'M&amp;R Stations'!A184</f>
        <v>39143</v>
      </c>
      <c r="B197" s="240">
        <v>0.3</v>
      </c>
      <c r="C197" s="241">
        <v>0.26</v>
      </c>
      <c r="D197" s="201">
        <f t="shared" si="37"/>
        <v>0.28000000000000003</v>
      </c>
      <c r="E197" s="240">
        <v>0.3</v>
      </c>
      <c r="F197" s="241">
        <v>0.26</v>
      </c>
      <c r="G197" s="201">
        <f t="shared" si="38"/>
        <v>0.28000000000000003</v>
      </c>
      <c r="H197" s="240">
        <v>0.3</v>
      </c>
      <c r="I197" s="241">
        <v>0.26</v>
      </c>
      <c r="J197" s="201">
        <f t="shared" si="39"/>
        <v>0.28000000000000003</v>
      </c>
      <c r="K197" s="242">
        <v>0</v>
      </c>
      <c r="L197" s="274">
        <v>39143</v>
      </c>
      <c r="M197" s="240">
        <v>0.22</v>
      </c>
      <c r="N197" s="241">
        <v>0.19</v>
      </c>
      <c r="O197" s="201">
        <f t="shared" si="40"/>
        <v>0.20500000000000002</v>
      </c>
      <c r="P197" s="240">
        <v>0.22</v>
      </c>
      <c r="Q197" s="241">
        <v>0.19</v>
      </c>
      <c r="R197" s="201">
        <f t="shared" si="41"/>
        <v>0.20500000000000002</v>
      </c>
      <c r="S197" s="240">
        <v>0.22</v>
      </c>
      <c r="T197" s="241">
        <v>0.19</v>
      </c>
      <c r="U197" s="201">
        <f t="shared" si="42"/>
        <v>0.20500000000000002</v>
      </c>
      <c r="V197" s="240">
        <v>0</v>
      </c>
      <c r="W197" s="241">
        <v>0</v>
      </c>
      <c r="X197" s="201">
        <f t="shared" si="43"/>
        <v>0</v>
      </c>
      <c r="Y197" s="242">
        <v>0</v>
      </c>
    </row>
    <row r="198" spans="1:25" ht="15.75" x14ac:dyDescent="0.25">
      <c r="A198" s="31">
        <f>'M&amp;R Stations'!A185</f>
        <v>39144</v>
      </c>
      <c r="B198" s="240">
        <v>0.26</v>
      </c>
      <c r="C198" s="241">
        <v>0.26</v>
      </c>
      <c r="D198" s="201">
        <f t="shared" si="37"/>
        <v>0.26</v>
      </c>
      <c r="E198" s="240">
        <v>0.26</v>
      </c>
      <c r="F198" s="241">
        <v>0.26</v>
      </c>
      <c r="G198" s="201">
        <f t="shared" si="38"/>
        <v>0.26</v>
      </c>
      <c r="H198" s="240">
        <v>0.26</v>
      </c>
      <c r="I198" s="241">
        <v>0.26</v>
      </c>
      <c r="J198" s="201">
        <f t="shared" si="39"/>
        <v>0.26</v>
      </c>
      <c r="K198" s="242">
        <v>0</v>
      </c>
      <c r="L198" s="274">
        <v>39144</v>
      </c>
      <c r="M198" s="240">
        <v>0.22</v>
      </c>
      <c r="N198" s="241">
        <v>0.19</v>
      </c>
      <c r="O198" s="201">
        <f t="shared" si="40"/>
        <v>0.20500000000000002</v>
      </c>
      <c r="P198" s="240">
        <v>0.22</v>
      </c>
      <c r="Q198" s="241">
        <v>0.19</v>
      </c>
      <c r="R198" s="201">
        <f t="shared" si="41"/>
        <v>0.20500000000000002</v>
      </c>
      <c r="S198" s="240">
        <v>0.22</v>
      </c>
      <c r="T198" s="241">
        <v>0.19</v>
      </c>
      <c r="U198" s="201">
        <f t="shared" si="42"/>
        <v>0.20500000000000002</v>
      </c>
      <c r="V198" s="240">
        <v>0</v>
      </c>
      <c r="W198" s="241">
        <v>0</v>
      </c>
      <c r="X198" s="201">
        <f t="shared" si="43"/>
        <v>0</v>
      </c>
      <c r="Y198" s="242">
        <v>0</v>
      </c>
    </row>
    <row r="199" spans="1:25" ht="15.75" x14ac:dyDescent="0.25">
      <c r="A199" s="31">
        <f>'M&amp;R Stations'!A186</f>
        <v>39145</v>
      </c>
      <c r="B199" s="240">
        <v>0.35</v>
      </c>
      <c r="C199" s="241">
        <v>0.26</v>
      </c>
      <c r="D199" s="201">
        <f t="shared" si="37"/>
        <v>0.30499999999999999</v>
      </c>
      <c r="E199" s="240">
        <v>0.35</v>
      </c>
      <c r="F199" s="241">
        <v>0.26</v>
      </c>
      <c r="G199" s="201">
        <f t="shared" si="38"/>
        <v>0.30499999999999999</v>
      </c>
      <c r="H199" s="240">
        <v>0.35</v>
      </c>
      <c r="I199" s="241">
        <v>0.26</v>
      </c>
      <c r="J199" s="201">
        <f t="shared" si="39"/>
        <v>0.30499999999999999</v>
      </c>
      <c r="K199" s="242">
        <v>0</v>
      </c>
      <c r="L199" s="274">
        <v>39145</v>
      </c>
      <c r="M199" s="240">
        <v>0.22</v>
      </c>
      <c r="N199" s="241">
        <v>0.19</v>
      </c>
      <c r="O199" s="201">
        <f t="shared" si="40"/>
        <v>0.20500000000000002</v>
      </c>
      <c r="P199" s="240">
        <v>0.22</v>
      </c>
      <c r="Q199" s="241">
        <v>0.19</v>
      </c>
      <c r="R199" s="201">
        <f t="shared" si="41"/>
        <v>0.20500000000000002</v>
      </c>
      <c r="S199" s="240">
        <v>0.22</v>
      </c>
      <c r="T199" s="241">
        <v>0.19</v>
      </c>
      <c r="U199" s="201">
        <f t="shared" si="42"/>
        <v>0.20500000000000002</v>
      </c>
      <c r="V199" s="240">
        <v>0</v>
      </c>
      <c r="W199" s="241">
        <v>0</v>
      </c>
      <c r="X199" s="201">
        <f t="shared" si="43"/>
        <v>0</v>
      </c>
      <c r="Y199" s="242">
        <v>0</v>
      </c>
    </row>
    <row r="200" spans="1:25" ht="15.75" x14ac:dyDescent="0.25">
      <c r="A200" s="31">
        <f>'M&amp;R Stations'!A187</f>
        <v>39146</v>
      </c>
      <c r="B200" s="240">
        <v>0.35</v>
      </c>
      <c r="C200" s="241">
        <v>0.3</v>
      </c>
      <c r="D200" s="201">
        <f t="shared" si="37"/>
        <v>0.32499999999999996</v>
      </c>
      <c r="E200" s="240">
        <v>0.35</v>
      </c>
      <c r="F200" s="241">
        <v>0.3</v>
      </c>
      <c r="G200" s="201">
        <f t="shared" si="38"/>
        <v>0.32499999999999996</v>
      </c>
      <c r="H200" s="240">
        <v>0.35</v>
      </c>
      <c r="I200" s="241">
        <v>0.3</v>
      </c>
      <c r="J200" s="201">
        <f t="shared" si="39"/>
        <v>0.32499999999999996</v>
      </c>
      <c r="K200" s="242">
        <v>0</v>
      </c>
      <c r="L200" s="274">
        <v>39146</v>
      </c>
      <c r="M200" s="240">
        <v>0.22</v>
      </c>
      <c r="N200" s="241">
        <v>0.19</v>
      </c>
      <c r="O200" s="201">
        <f t="shared" si="40"/>
        <v>0.20500000000000002</v>
      </c>
      <c r="P200" s="240">
        <v>0.19</v>
      </c>
      <c r="Q200" s="241">
        <v>0.19</v>
      </c>
      <c r="R200" s="201">
        <f t="shared" si="41"/>
        <v>0.19</v>
      </c>
      <c r="S200" s="240">
        <v>0.19</v>
      </c>
      <c r="T200" s="241">
        <v>0.19</v>
      </c>
      <c r="U200" s="201">
        <f t="shared" si="42"/>
        <v>0.19</v>
      </c>
      <c r="V200" s="240">
        <v>0.19</v>
      </c>
      <c r="W200" s="241">
        <v>0.19</v>
      </c>
      <c r="X200" s="201">
        <f t="shared" si="43"/>
        <v>0.19</v>
      </c>
      <c r="Y200" s="242">
        <v>13.23</v>
      </c>
    </row>
    <row r="201" spans="1:25" ht="15.75" x14ac:dyDescent="0.25">
      <c r="A201" s="31">
        <f>'M&amp;R Stations'!A188</f>
        <v>39147</v>
      </c>
      <c r="B201" s="240">
        <v>0.3</v>
      </c>
      <c r="C201" s="241">
        <v>0.26</v>
      </c>
      <c r="D201" s="201">
        <f t="shared" si="37"/>
        <v>0.28000000000000003</v>
      </c>
      <c r="E201" s="240">
        <v>0.3</v>
      </c>
      <c r="F201" s="241">
        <v>0.26</v>
      </c>
      <c r="G201" s="201">
        <f t="shared" si="38"/>
        <v>0.28000000000000003</v>
      </c>
      <c r="H201" s="240">
        <v>0.3</v>
      </c>
      <c r="I201" s="241">
        <v>0.26</v>
      </c>
      <c r="J201" s="201">
        <f t="shared" si="39"/>
        <v>0.28000000000000003</v>
      </c>
      <c r="K201" s="242">
        <v>1.2949999999999999</v>
      </c>
      <c r="L201" s="274">
        <v>39147</v>
      </c>
      <c r="M201" s="240">
        <v>0.22</v>
      </c>
      <c r="N201" s="241">
        <v>0.19</v>
      </c>
      <c r="O201" s="201">
        <f t="shared" si="40"/>
        <v>0.20500000000000002</v>
      </c>
      <c r="P201" s="240">
        <v>0.22</v>
      </c>
      <c r="Q201" s="241">
        <v>0.19</v>
      </c>
      <c r="R201" s="201">
        <f t="shared" si="41"/>
        <v>0.20500000000000002</v>
      </c>
      <c r="S201" s="240">
        <v>0.22</v>
      </c>
      <c r="T201" s="241">
        <v>0.19</v>
      </c>
      <c r="U201" s="201">
        <f t="shared" si="42"/>
        <v>0.20500000000000002</v>
      </c>
      <c r="V201" s="240">
        <v>0.22</v>
      </c>
      <c r="W201" s="241">
        <v>0.19</v>
      </c>
      <c r="X201" s="201">
        <f t="shared" si="43"/>
        <v>0.20500000000000002</v>
      </c>
      <c r="Y201" s="242">
        <v>44.63</v>
      </c>
    </row>
    <row r="202" spans="1:25" ht="15.75" x14ac:dyDescent="0.25">
      <c r="A202" s="31">
        <f>'M&amp;R Stations'!A189</f>
        <v>39148</v>
      </c>
      <c r="B202" s="240">
        <v>0.3</v>
      </c>
      <c r="C202" s="241">
        <v>0.26</v>
      </c>
      <c r="D202" s="201">
        <f t="shared" si="37"/>
        <v>0.28000000000000003</v>
      </c>
      <c r="E202" s="240">
        <v>0.3</v>
      </c>
      <c r="F202" s="241">
        <v>0.26</v>
      </c>
      <c r="G202" s="201">
        <f t="shared" si="38"/>
        <v>0.28000000000000003</v>
      </c>
      <c r="H202" s="240">
        <v>0.3</v>
      </c>
      <c r="I202" s="241">
        <v>0.26</v>
      </c>
      <c r="J202" s="201">
        <f t="shared" si="39"/>
        <v>0.28000000000000003</v>
      </c>
      <c r="K202" s="271">
        <v>0</v>
      </c>
      <c r="L202" s="274">
        <v>39148</v>
      </c>
      <c r="M202" s="240">
        <v>0.22</v>
      </c>
      <c r="N202" s="241">
        <v>0.19</v>
      </c>
      <c r="O202" s="201">
        <f t="shared" si="40"/>
        <v>0.20500000000000002</v>
      </c>
      <c r="P202" s="240">
        <v>0.22</v>
      </c>
      <c r="Q202" s="241">
        <v>0.22</v>
      </c>
      <c r="R202" s="201">
        <f t="shared" si="41"/>
        <v>0.22</v>
      </c>
      <c r="S202" s="240">
        <v>0.22</v>
      </c>
      <c r="T202" s="241">
        <v>0.19</v>
      </c>
      <c r="U202" s="201">
        <f t="shared" si="42"/>
        <v>0.20500000000000002</v>
      </c>
      <c r="V202" s="240">
        <v>0.22</v>
      </c>
      <c r="W202" s="241">
        <v>0.19</v>
      </c>
      <c r="X202" s="201">
        <f t="shared" si="43"/>
        <v>0.20500000000000002</v>
      </c>
      <c r="Y202" s="242">
        <v>36.79</v>
      </c>
    </row>
    <row r="203" spans="1:25" ht="15.75" x14ac:dyDescent="0.25">
      <c r="A203" s="31">
        <f>'M&amp;R Stations'!A190</f>
        <v>39149</v>
      </c>
      <c r="B203" s="240">
        <v>0.3</v>
      </c>
      <c r="C203" s="241">
        <v>0.26</v>
      </c>
      <c r="D203" s="201">
        <f t="shared" si="37"/>
        <v>0.28000000000000003</v>
      </c>
      <c r="E203" s="240">
        <v>0.3</v>
      </c>
      <c r="F203" s="241">
        <v>0.26</v>
      </c>
      <c r="G203" s="201">
        <f t="shared" si="38"/>
        <v>0.28000000000000003</v>
      </c>
      <c r="H203" s="240">
        <v>0.3</v>
      </c>
      <c r="I203" s="241">
        <v>0.26</v>
      </c>
      <c r="J203" s="201">
        <f t="shared" si="39"/>
        <v>0.28000000000000003</v>
      </c>
      <c r="K203" s="242">
        <v>0</v>
      </c>
      <c r="L203" s="274">
        <v>39149</v>
      </c>
      <c r="M203" s="240">
        <v>0.22</v>
      </c>
      <c r="N203" s="241">
        <v>0.17</v>
      </c>
      <c r="O203" s="201">
        <f t="shared" si="40"/>
        <v>0.19500000000000001</v>
      </c>
      <c r="P203" s="240">
        <v>0.22</v>
      </c>
      <c r="Q203" s="241">
        <v>0.19</v>
      </c>
      <c r="R203" s="201">
        <f t="shared" si="41"/>
        <v>0.20500000000000002</v>
      </c>
      <c r="S203" s="240">
        <v>0.22</v>
      </c>
      <c r="T203" s="241">
        <v>0.19</v>
      </c>
      <c r="U203" s="201">
        <f t="shared" si="42"/>
        <v>0.20500000000000002</v>
      </c>
      <c r="V203" s="240">
        <v>0.25</v>
      </c>
      <c r="W203" s="241">
        <v>0.19</v>
      </c>
      <c r="X203" s="201">
        <f t="shared" si="43"/>
        <v>0.22</v>
      </c>
      <c r="Y203" s="242">
        <v>9.93</v>
      </c>
    </row>
    <row r="204" spans="1:25" ht="15.75" x14ac:dyDescent="0.25">
      <c r="A204" s="31">
        <f>'M&amp;R Stations'!A191</f>
        <v>39150</v>
      </c>
      <c r="B204" s="240">
        <v>0.3</v>
      </c>
      <c r="C204" s="241">
        <v>0.26</v>
      </c>
      <c r="D204" s="201">
        <f t="shared" si="37"/>
        <v>0.28000000000000003</v>
      </c>
      <c r="E204" s="240">
        <v>0.3</v>
      </c>
      <c r="F204" s="241">
        <v>0.26</v>
      </c>
      <c r="G204" s="201">
        <f t="shared" si="38"/>
        <v>0.28000000000000003</v>
      </c>
      <c r="H204" s="240">
        <v>0.3</v>
      </c>
      <c r="I204" s="241">
        <v>0.26</v>
      </c>
      <c r="J204" s="201">
        <f t="shared" si="39"/>
        <v>0.28000000000000003</v>
      </c>
      <c r="K204" s="242">
        <v>0</v>
      </c>
      <c r="L204" s="274">
        <v>39150</v>
      </c>
      <c r="M204" s="240">
        <v>0.22</v>
      </c>
      <c r="N204" s="241">
        <v>0.19</v>
      </c>
      <c r="O204" s="201">
        <f t="shared" si="40"/>
        <v>0.20500000000000002</v>
      </c>
      <c r="P204" s="240">
        <v>0.22</v>
      </c>
      <c r="Q204" s="241">
        <v>0.22</v>
      </c>
      <c r="R204" s="201">
        <f t="shared" si="41"/>
        <v>0.22</v>
      </c>
      <c r="S204" s="240">
        <v>0.22</v>
      </c>
      <c r="T204" s="241">
        <v>0.19</v>
      </c>
      <c r="U204" s="201">
        <f t="shared" si="42"/>
        <v>0.20500000000000002</v>
      </c>
      <c r="V204" s="240">
        <v>0</v>
      </c>
      <c r="W204" s="241">
        <v>0</v>
      </c>
      <c r="X204" s="201">
        <f t="shared" si="43"/>
        <v>0</v>
      </c>
      <c r="Y204" s="242">
        <v>0.51</v>
      </c>
    </row>
    <row r="205" spans="1:25" ht="15.75" x14ac:dyDescent="0.25">
      <c r="A205" s="31">
        <f>'M&amp;R Stations'!A192</f>
        <v>39151</v>
      </c>
      <c r="B205" s="240">
        <v>0.3</v>
      </c>
      <c r="C205" s="241">
        <v>0.26</v>
      </c>
      <c r="D205" s="201">
        <f t="shared" si="37"/>
        <v>0.28000000000000003</v>
      </c>
      <c r="E205" s="240">
        <v>0.3</v>
      </c>
      <c r="F205" s="241">
        <v>0.26</v>
      </c>
      <c r="G205" s="201">
        <f t="shared" si="38"/>
        <v>0.28000000000000003</v>
      </c>
      <c r="H205" s="240">
        <v>0.3</v>
      </c>
      <c r="I205" s="241">
        <v>0.26</v>
      </c>
      <c r="J205" s="201">
        <f t="shared" si="39"/>
        <v>0.28000000000000003</v>
      </c>
      <c r="K205" s="242">
        <v>0</v>
      </c>
      <c r="L205" s="274">
        <v>39151</v>
      </c>
      <c r="M205" s="240">
        <v>0.19</v>
      </c>
      <c r="N205" s="241">
        <v>0.12</v>
      </c>
      <c r="O205" s="201">
        <f t="shared" si="40"/>
        <v>0.155</v>
      </c>
      <c r="P205" s="240">
        <v>0.19</v>
      </c>
      <c r="Q205" s="241">
        <v>0.14000000000000001</v>
      </c>
      <c r="R205" s="201">
        <f t="shared" si="41"/>
        <v>0.16500000000000001</v>
      </c>
      <c r="S205" s="240">
        <v>0.19</v>
      </c>
      <c r="T205" s="241">
        <v>0.14000000000000001</v>
      </c>
      <c r="U205" s="201">
        <f t="shared" si="42"/>
        <v>0.16500000000000001</v>
      </c>
      <c r="V205" s="240">
        <v>0</v>
      </c>
      <c r="W205" s="241">
        <v>0</v>
      </c>
      <c r="X205" s="201">
        <f t="shared" si="43"/>
        <v>0</v>
      </c>
      <c r="Y205" s="242">
        <v>0</v>
      </c>
    </row>
    <row r="206" spans="1:25" ht="15.75" x14ac:dyDescent="0.25">
      <c r="A206" s="31">
        <f>'M&amp;R Stations'!A193</f>
        <v>39152</v>
      </c>
      <c r="B206" s="240">
        <v>0.35</v>
      </c>
      <c r="C206" s="241">
        <v>0.26</v>
      </c>
      <c r="D206" s="201">
        <f t="shared" si="37"/>
        <v>0.30499999999999999</v>
      </c>
      <c r="E206" s="240">
        <v>0.35</v>
      </c>
      <c r="F206" s="241">
        <v>0.26</v>
      </c>
      <c r="G206" s="201">
        <f t="shared" si="38"/>
        <v>0.30499999999999999</v>
      </c>
      <c r="H206" s="240">
        <v>0.35</v>
      </c>
      <c r="I206" s="241">
        <v>0.26</v>
      </c>
      <c r="J206" s="201">
        <f t="shared" si="39"/>
        <v>0.30499999999999999</v>
      </c>
      <c r="K206" s="242">
        <v>0</v>
      </c>
      <c r="L206" s="274">
        <v>39152</v>
      </c>
      <c r="M206" s="240">
        <v>0.22</v>
      </c>
      <c r="N206" s="241">
        <v>0.17</v>
      </c>
      <c r="O206" s="201">
        <f t="shared" si="40"/>
        <v>0.19500000000000001</v>
      </c>
      <c r="P206" s="240">
        <v>0.22</v>
      </c>
      <c r="Q206" s="241">
        <v>0.19</v>
      </c>
      <c r="R206" s="201">
        <f t="shared" si="41"/>
        <v>0.20500000000000002</v>
      </c>
      <c r="S206" s="240">
        <v>0.22</v>
      </c>
      <c r="T206" s="241">
        <v>0.19</v>
      </c>
      <c r="U206" s="201">
        <f t="shared" si="42"/>
        <v>0.20500000000000002</v>
      </c>
      <c r="V206" s="240">
        <v>0</v>
      </c>
      <c r="W206" s="241">
        <v>0</v>
      </c>
      <c r="X206" s="201">
        <f t="shared" si="43"/>
        <v>0</v>
      </c>
      <c r="Y206" s="242">
        <v>0</v>
      </c>
    </row>
    <row r="207" spans="1:25" ht="15.75" x14ac:dyDescent="0.25">
      <c r="A207" s="31">
        <f>'M&amp;R Stations'!A194</f>
        <v>39153</v>
      </c>
      <c r="B207" s="240">
        <v>0.35</v>
      </c>
      <c r="C207" s="241">
        <v>0.26</v>
      </c>
      <c r="D207" s="201">
        <f t="shared" si="37"/>
        <v>0.30499999999999999</v>
      </c>
      <c r="E207" s="240">
        <v>0.35</v>
      </c>
      <c r="F207" s="241">
        <v>0.26</v>
      </c>
      <c r="G207" s="201">
        <f t="shared" si="38"/>
        <v>0.30499999999999999</v>
      </c>
      <c r="H207" s="240">
        <v>0.35</v>
      </c>
      <c r="I207" s="241">
        <v>0.3</v>
      </c>
      <c r="J207" s="201">
        <f t="shared" si="39"/>
        <v>0.32499999999999996</v>
      </c>
      <c r="K207" s="242">
        <v>0</v>
      </c>
      <c r="L207" s="274">
        <v>39153</v>
      </c>
      <c r="M207" s="240">
        <v>0.22</v>
      </c>
      <c r="N207" s="241">
        <v>0.19</v>
      </c>
      <c r="O207" s="201">
        <f t="shared" si="40"/>
        <v>0.20500000000000002</v>
      </c>
      <c r="P207" s="240">
        <v>0.22</v>
      </c>
      <c r="Q207" s="241">
        <v>0.19</v>
      </c>
      <c r="R207" s="201">
        <f t="shared" si="41"/>
        <v>0.20500000000000002</v>
      </c>
      <c r="S207" s="240">
        <v>0.22</v>
      </c>
      <c r="T207" s="241">
        <v>0.19</v>
      </c>
      <c r="U207" s="201">
        <f t="shared" si="42"/>
        <v>0.20500000000000002</v>
      </c>
      <c r="V207" s="240">
        <v>0</v>
      </c>
      <c r="W207" s="241">
        <v>0</v>
      </c>
      <c r="X207" s="201">
        <f t="shared" si="43"/>
        <v>0</v>
      </c>
      <c r="Y207" s="242">
        <v>0</v>
      </c>
    </row>
    <row r="208" spans="1:25" ht="15.75" x14ac:dyDescent="0.25">
      <c r="A208" s="31">
        <f>'M&amp;R Stations'!A195</f>
        <v>39154</v>
      </c>
      <c r="B208" s="240">
        <v>0.35</v>
      </c>
      <c r="C208" s="241">
        <v>0.3</v>
      </c>
      <c r="D208" s="201">
        <f t="shared" si="37"/>
        <v>0.32499999999999996</v>
      </c>
      <c r="E208" s="240">
        <v>0.35</v>
      </c>
      <c r="F208" s="241">
        <v>0.3</v>
      </c>
      <c r="G208" s="201">
        <f t="shared" si="38"/>
        <v>0.32499999999999996</v>
      </c>
      <c r="H208" s="240">
        <v>0.35</v>
      </c>
      <c r="I208" s="241">
        <v>0.26</v>
      </c>
      <c r="J208" s="201">
        <f t="shared" si="39"/>
        <v>0.30499999999999999</v>
      </c>
      <c r="K208" s="242">
        <v>0</v>
      </c>
      <c r="L208" s="274">
        <v>39154</v>
      </c>
      <c r="M208" s="240">
        <v>0.22</v>
      </c>
      <c r="N208" s="241">
        <v>0.19</v>
      </c>
      <c r="O208" s="201">
        <f t="shared" si="40"/>
        <v>0.20500000000000002</v>
      </c>
      <c r="P208" s="240">
        <v>0.22</v>
      </c>
      <c r="Q208" s="241">
        <v>0.19</v>
      </c>
      <c r="R208" s="201">
        <f t="shared" si="41"/>
        <v>0.20500000000000002</v>
      </c>
      <c r="S208" s="240">
        <v>0.22</v>
      </c>
      <c r="T208" s="241">
        <v>0.19</v>
      </c>
      <c r="U208" s="201">
        <f t="shared" si="42"/>
        <v>0.20500000000000002</v>
      </c>
      <c r="V208" s="240">
        <v>0</v>
      </c>
      <c r="W208" s="241">
        <v>0</v>
      </c>
      <c r="X208" s="201">
        <f t="shared" si="43"/>
        <v>0</v>
      </c>
      <c r="Y208" s="242">
        <v>0</v>
      </c>
    </row>
    <row r="209" spans="1:25" ht="15.75" x14ac:dyDescent="0.25">
      <c r="A209" s="31">
        <f>'M&amp;R Stations'!A196</f>
        <v>39155</v>
      </c>
      <c r="B209" s="240">
        <v>0.35</v>
      </c>
      <c r="C209" s="241">
        <v>0.26</v>
      </c>
      <c r="D209" s="201">
        <f t="shared" si="37"/>
        <v>0.30499999999999999</v>
      </c>
      <c r="E209" s="240">
        <v>0</v>
      </c>
      <c r="F209" s="241">
        <v>0</v>
      </c>
      <c r="G209" s="201">
        <f t="shared" si="38"/>
        <v>0</v>
      </c>
      <c r="H209" s="240">
        <v>0.35</v>
      </c>
      <c r="I209" s="241">
        <v>0.26</v>
      </c>
      <c r="J209" s="201">
        <f t="shared" si="39"/>
        <v>0.30499999999999999</v>
      </c>
      <c r="K209" s="242">
        <v>0</v>
      </c>
      <c r="L209" s="274">
        <v>39155</v>
      </c>
      <c r="M209" s="240">
        <v>0.22</v>
      </c>
      <c r="N209" s="241">
        <v>0.19</v>
      </c>
      <c r="O209" s="201">
        <f t="shared" si="40"/>
        <v>0.20500000000000002</v>
      </c>
      <c r="P209" s="240">
        <v>0.22</v>
      </c>
      <c r="Q209" s="241">
        <v>0.19</v>
      </c>
      <c r="R209" s="201">
        <f t="shared" si="41"/>
        <v>0.20500000000000002</v>
      </c>
      <c r="S209" s="240">
        <v>0.22</v>
      </c>
      <c r="T209" s="241">
        <v>0.19</v>
      </c>
      <c r="U209" s="201">
        <f t="shared" si="42"/>
        <v>0.20500000000000002</v>
      </c>
      <c r="V209" s="240">
        <v>0</v>
      </c>
      <c r="W209" s="241">
        <v>0</v>
      </c>
      <c r="X209" s="201">
        <f t="shared" si="43"/>
        <v>0</v>
      </c>
      <c r="Y209" s="242">
        <v>0</v>
      </c>
    </row>
    <row r="210" spans="1:25" ht="15.75" x14ac:dyDescent="0.25">
      <c r="A210" s="31">
        <f>'M&amp;R Stations'!A197</f>
        <v>39156</v>
      </c>
      <c r="B210" s="240">
        <v>0.35</v>
      </c>
      <c r="C210" s="241">
        <v>0.26</v>
      </c>
      <c r="D210" s="201">
        <f t="shared" si="37"/>
        <v>0.30499999999999999</v>
      </c>
      <c r="E210" s="240">
        <v>0.35</v>
      </c>
      <c r="F210" s="241">
        <v>0.35</v>
      </c>
      <c r="G210" s="201">
        <f t="shared" si="38"/>
        <v>0.35</v>
      </c>
      <c r="H210" s="240">
        <v>0.35</v>
      </c>
      <c r="I210" s="241">
        <v>0.26</v>
      </c>
      <c r="J210" s="201">
        <f t="shared" si="39"/>
        <v>0.30499999999999999</v>
      </c>
      <c r="K210" s="242">
        <v>0</v>
      </c>
      <c r="L210" s="274">
        <v>39156</v>
      </c>
      <c r="M210" s="240">
        <v>0.19</v>
      </c>
      <c r="N210" s="241">
        <v>0.19</v>
      </c>
      <c r="O210" s="201">
        <f t="shared" si="40"/>
        <v>0.19</v>
      </c>
      <c r="P210" s="240">
        <v>0.19</v>
      </c>
      <c r="Q210" s="241">
        <v>0.19</v>
      </c>
      <c r="R210" s="201">
        <f t="shared" si="41"/>
        <v>0.19</v>
      </c>
      <c r="S210" s="240">
        <v>0.19</v>
      </c>
      <c r="T210" s="241">
        <v>0.19</v>
      </c>
      <c r="U210" s="201">
        <f t="shared" si="42"/>
        <v>0.19</v>
      </c>
      <c r="V210" s="240">
        <v>0</v>
      </c>
      <c r="W210" s="241">
        <v>0</v>
      </c>
      <c r="X210" s="201">
        <f t="shared" si="43"/>
        <v>0</v>
      </c>
      <c r="Y210" s="242">
        <v>0</v>
      </c>
    </row>
    <row r="211" spans="1:25" ht="15.75" x14ac:dyDescent="0.25">
      <c r="A211" s="31">
        <f>'M&amp;R Stations'!A198</f>
        <v>39157</v>
      </c>
      <c r="B211" s="240">
        <v>0.3</v>
      </c>
      <c r="C211" s="241">
        <v>0.26</v>
      </c>
      <c r="D211" s="201">
        <f t="shared" si="37"/>
        <v>0.28000000000000003</v>
      </c>
      <c r="E211" s="240">
        <v>0.3</v>
      </c>
      <c r="F211" s="241">
        <v>0.26</v>
      </c>
      <c r="G211" s="201">
        <f t="shared" si="38"/>
        <v>0.28000000000000003</v>
      </c>
      <c r="H211" s="240">
        <v>0.3</v>
      </c>
      <c r="I211" s="241">
        <v>0.26</v>
      </c>
      <c r="J211" s="201">
        <f t="shared" si="39"/>
        <v>0.28000000000000003</v>
      </c>
      <c r="K211" s="242">
        <v>0</v>
      </c>
      <c r="L211" s="274">
        <v>39157</v>
      </c>
      <c r="M211" s="240">
        <v>0.22</v>
      </c>
      <c r="N211" s="241">
        <v>0.19</v>
      </c>
      <c r="O211" s="201">
        <f t="shared" si="40"/>
        <v>0.20500000000000002</v>
      </c>
      <c r="P211" s="240">
        <v>0.25</v>
      </c>
      <c r="Q211" s="241">
        <v>0.19</v>
      </c>
      <c r="R211" s="201">
        <f t="shared" si="41"/>
        <v>0.22</v>
      </c>
      <c r="S211" s="240">
        <v>0.19</v>
      </c>
      <c r="T211" s="241">
        <v>0.19</v>
      </c>
      <c r="U211" s="201">
        <f t="shared" si="42"/>
        <v>0.19</v>
      </c>
      <c r="V211" s="240">
        <v>0</v>
      </c>
      <c r="W211" s="241">
        <v>0</v>
      </c>
      <c r="X211" s="201">
        <f t="shared" si="43"/>
        <v>0</v>
      </c>
      <c r="Y211" s="242">
        <v>0</v>
      </c>
    </row>
    <row r="212" spans="1:25" ht="15.75" x14ac:dyDescent="0.25">
      <c r="A212" s="31">
        <f>'M&amp;R Stations'!A199</f>
        <v>39158</v>
      </c>
      <c r="B212" s="240">
        <v>0.35</v>
      </c>
      <c r="C212" s="241">
        <v>0.26</v>
      </c>
      <c r="D212" s="201">
        <f t="shared" si="37"/>
        <v>0.30499999999999999</v>
      </c>
      <c r="E212" s="240">
        <v>0.35</v>
      </c>
      <c r="F212" s="241">
        <v>0.26</v>
      </c>
      <c r="G212" s="201">
        <f t="shared" si="38"/>
        <v>0.30499999999999999</v>
      </c>
      <c r="H212" s="240">
        <v>0.35</v>
      </c>
      <c r="I212" s="241">
        <v>0.26</v>
      </c>
      <c r="J212" s="201">
        <f t="shared" si="39"/>
        <v>0.30499999999999999</v>
      </c>
      <c r="K212" s="242">
        <v>0</v>
      </c>
      <c r="L212" s="274">
        <v>39158</v>
      </c>
      <c r="M212" s="240">
        <v>0.22</v>
      </c>
      <c r="N212" s="241">
        <v>0.19</v>
      </c>
      <c r="O212" s="201">
        <f t="shared" si="40"/>
        <v>0.20500000000000002</v>
      </c>
      <c r="P212" s="240">
        <v>0.19</v>
      </c>
      <c r="Q212" s="241">
        <v>0.19</v>
      </c>
      <c r="R212" s="201">
        <f t="shared" si="41"/>
        <v>0.19</v>
      </c>
      <c r="S212" s="240">
        <v>0.19</v>
      </c>
      <c r="T212" s="241">
        <v>0.19</v>
      </c>
      <c r="U212" s="201">
        <f t="shared" si="42"/>
        <v>0.19</v>
      </c>
      <c r="V212" s="240">
        <v>0</v>
      </c>
      <c r="W212" s="241">
        <v>0</v>
      </c>
      <c r="X212" s="201">
        <f t="shared" si="43"/>
        <v>0</v>
      </c>
      <c r="Y212" s="242">
        <v>0</v>
      </c>
    </row>
    <row r="213" spans="1:25" ht="15.75" x14ac:dyDescent="0.25">
      <c r="A213" s="31">
        <f>'M&amp;R Stations'!A200</f>
        <v>39159</v>
      </c>
      <c r="B213" s="240">
        <v>0.35</v>
      </c>
      <c r="C213" s="241">
        <v>0.35</v>
      </c>
      <c r="D213" s="201">
        <f t="shared" si="37"/>
        <v>0.35</v>
      </c>
      <c r="E213" s="240">
        <v>0.35</v>
      </c>
      <c r="F213" s="241">
        <v>0.35</v>
      </c>
      <c r="G213" s="201">
        <f t="shared" si="38"/>
        <v>0.35</v>
      </c>
      <c r="H213" s="240">
        <v>0.35</v>
      </c>
      <c r="I213" s="241">
        <v>0.35</v>
      </c>
      <c r="J213" s="201">
        <f t="shared" si="39"/>
        <v>0.35</v>
      </c>
      <c r="K213" s="242">
        <v>0</v>
      </c>
      <c r="L213" s="274">
        <v>39159</v>
      </c>
      <c r="M213" s="240">
        <v>0.22</v>
      </c>
      <c r="N213" s="241">
        <v>0.19</v>
      </c>
      <c r="O213" s="201">
        <f t="shared" si="40"/>
        <v>0.20500000000000002</v>
      </c>
      <c r="P213" s="240">
        <v>0.22</v>
      </c>
      <c r="Q213" s="241">
        <v>0.19</v>
      </c>
      <c r="R213" s="201">
        <f t="shared" si="41"/>
        <v>0.20500000000000002</v>
      </c>
      <c r="S213" s="240">
        <v>0.22</v>
      </c>
      <c r="T213" s="241">
        <v>0.19</v>
      </c>
      <c r="U213" s="201">
        <f t="shared" si="42"/>
        <v>0.20500000000000002</v>
      </c>
      <c r="V213" s="240">
        <v>0</v>
      </c>
      <c r="W213" s="241">
        <v>0</v>
      </c>
      <c r="X213" s="201">
        <f t="shared" si="43"/>
        <v>0</v>
      </c>
      <c r="Y213" s="242">
        <v>0</v>
      </c>
    </row>
    <row r="214" spans="1:25" ht="15.75" x14ac:dyDescent="0.25">
      <c r="A214" s="31">
        <f>'M&amp;R Stations'!A201</f>
        <v>39160</v>
      </c>
      <c r="B214" s="240">
        <v>0.35</v>
      </c>
      <c r="C214" s="241">
        <v>0.3</v>
      </c>
      <c r="D214" s="201">
        <f t="shared" si="37"/>
        <v>0.32499999999999996</v>
      </c>
      <c r="E214" s="240">
        <v>0.35</v>
      </c>
      <c r="F214" s="241">
        <v>0.3</v>
      </c>
      <c r="G214" s="201">
        <f t="shared" si="38"/>
        <v>0.32499999999999996</v>
      </c>
      <c r="H214" s="240">
        <v>0.35</v>
      </c>
      <c r="I214" s="241">
        <v>0.35</v>
      </c>
      <c r="J214" s="201">
        <f t="shared" si="39"/>
        <v>0.35</v>
      </c>
      <c r="K214" s="242">
        <v>0</v>
      </c>
      <c r="L214" s="274">
        <v>39160</v>
      </c>
      <c r="M214" s="240">
        <v>0.22</v>
      </c>
      <c r="N214" s="241">
        <v>0.19</v>
      </c>
      <c r="O214" s="201">
        <f t="shared" si="40"/>
        <v>0.20500000000000002</v>
      </c>
      <c r="P214" s="240">
        <v>0.22</v>
      </c>
      <c r="Q214" s="241">
        <v>0.19</v>
      </c>
      <c r="R214" s="201">
        <f t="shared" si="41"/>
        <v>0.20500000000000002</v>
      </c>
      <c r="S214" s="240">
        <v>0.22</v>
      </c>
      <c r="T214" s="241">
        <v>0.19</v>
      </c>
      <c r="U214" s="201">
        <f t="shared" si="42"/>
        <v>0.20500000000000002</v>
      </c>
      <c r="V214" s="240">
        <v>0</v>
      </c>
      <c r="W214" s="241">
        <v>0</v>
      </c>
      <c r="X214" s="201">
        <f t="shared" si="43"/>
        <v>0</v>
      </c>
      <c r="Y214" s="242">
        <v>0</v>
      </c>
    </row>
    <row r="215" spans="1:25" ht="15.75" x14ac:dyDescent="0.25">
      <c r="A215" s="31">
        <f>'M&amp;R Stations'!A202</f>
        <v>39161</v>
      </c>
      <c r="B215" s="240">
        <v>0.35</v>
      </c>
      <c r="C215" s="241">
        <v>0.3</v>
      </c>
      <c r="D215" s="201">
        <f t="shared" si="37"/>
        <v>0.32499999999999996</v>
      </c>
      <c r="E215" s="240">
        <v>0.35</v>
      </c>
      <c r="F215" s="241">
        <v>0.3</v>
      </c>
      <c r="G215" s="201">
        <f t="shared" si="38"/>
        <v>0.32499999999999996</v>
      </c>
      <c r="H215" s="240">
        <v>0.35</v>
      </c>
      <c r="I215" s="241">
        <v>0.26</v>
      </c>
      <c r="J215" s="201">
        <f t="shared" si="39"/>
        <v>0.30499999999999999</v>
      </c>
      <c r="K215" s="242">
        <v>0</v>
      </c>
      <c r="L215" s="274">
        <v>39161</v>
      </c>
      <c r="M215" s="240">
        <v>0.22</v>
      </c>
      <c r="N215" s="241">
        <v>0.17</v>
      </c>
      <c r="O215" s="201">
        <f t="shared" si="40"/>
        <v>0.19500000000000001</v>
      </c>
      <c r="P215" s="240">
        <v>0.22</v>
      </c>
      <c r="Q215" s="241">
        <v>0.19</v>
      </c>
      <c r="R215" s="201">
        <f t="shared" si="41"/>
        <v>0.20500000000000002</v>
      </c>
      <c r="S215" s="240">
        <v>0.22</v>
      </c>
      <c r="T215" s="241">
        <v>0.189</v>
      </c>
      <c r="U215" s="201">
        <f t="shared" si="42"/>
        <v>0.20450000000000002</v>
      </c>
      <c r="V215" s="240">
        <v>0</v>
      </c>
      <c r="W215" s="241">
        <v>0</v>
      </c>
      <c r="X215" s="201">
        <f t="shared" si="43"/>
        <v>0</v>
      </c>
      <c r="Y215" s="242">
        <v>0</v>
      </c>
    </row>
    <row r="216" spans="1:25" ht="15.75" x14ac:dyDescent="0.25">
      <c r="A216" s="31">
        <f>'M&amp;R Stations'!A203</f>
        <v>39162</v>
      </c>
      <c r="B216" s="240">
        <v>0.3</v>
      </c>
      <c r="C216" s="241">
        <v>0.26</v>
      </c>
      <c r="D216" s="201">
        <f t="shared" si="37"/>
        <v>0.28000000000000003</v>
      </c>
      <c r="E216" s="240">
        <v>0.3</v>
      </c>
      <c r="F216" s="241">
        <v>0.26</v>
      </c>
      <c r="G216" s="201">
        <f t="shared" si="38"/>
        <v>0.28000000000000003</v>
      </c>
      <c r="H216" s="240">
        <v>0.3</v>
      </c>
      <c r="I216" s="241">
        <v>0.26</v>
      </c>
      <c r="J216" s="201">
        <f t="shared" si="39"/>
        <v>0.28000000000000003</v>
      </c>
      <c r="K216" s="242">
        <v>0</v>
      </c>
      <c r="L216" s="274">
        <v>39162</v>
      </c>
      <c r="M216" s="240">
        <v>0.25</v>
      </c>
      <c r="N216" s="241">
        <v>0.19</v>
      </c>
      <c r="O216" s="201">
        <f t="shared" si="40"/>
        <v>0.22</v>
      </c>
      <c r="P216" s="240">
        <v>0.25</v>
      </c>
      <c r="Q216" s="241">
        <v>0.22</v>
      </c>
      <c r="R216" s="201">
        <f t="shared" si="41"/>
        <v>0.23499999999999999</v>
      </c>
      <c r="S216" s="240">
        <v>0.22</v>
      </c>
      <c r="T216" s="241">
        <v>0.19</v>
      </c>
      <c r="U216" s="201">
        <f t="shared" si="42"/>
        <v>0.20500000000000002</v>
      </c>
      <c r="V216" s="240">
        <v>0</v>
      </c>
      <c r="W216" s="241">
        <v>0</v>
      </c>
      <c r="X216" s="201">
        <f t="shared" si="43"/>
        <v>0</v>
      </c>
      <c r="Y216" s="242">
        <v>0</v>
      </c>
    </row>
    <row r="217" spans="1:25" ht="15.75" x14ac:dyDescent="0.25">
      <c r="A217" s="31">
        <f>'M&amp;R Stations'!A204</f>
        <v>39163</v>
      </c>
      <c r="B217" s="240">
        <v>0.26</v>
      </c>
      <c r="C217" s="241">
        <v>0.26</v>
      </c>
      <c r="D217" s="201">
        <f t="shared" si="37"/>
        <v>0.26</v>
      </c>
      <c r="E217" s="240">
        <v>0.26</v>
      </c>
      <c r="F217" s="241">
        <v>0.26</v>
      </c>
      <c r="G217" s="201">
        <f t="shared" si="38"/>
        <v>0.26</v>
      </c>
      <c r="H217" s="240">
        <v>0.26</v>
      </c>
      <c r="I217" s="241">
        <v>0.26</v>
      </c>
      <c r="J217" s="201">
        <f t="shared" si="39"/>
        <v>0.26</v>
      </c>
      <c r="K217" s="242">
        <v>0</v>
      </c>
      <c r="L217" s="274">
        <v>39163</v>
      </c>
      <c r="M217" s="240">
        <v>0.22</v>
      </c>
      <c r="N217" s="241">
        <v>0.19</v>
      </c>
      <c r="O217" s="201">
        <f t="shared" si="40"/>
        <v>0.20500000000000002</v>
      </c>
      <c r="P217" s="240">
        <v>0.25</v>
      </c>
      <c r="Q217" s="241">
        <v>0.19</v>
      </c>
      <c r="R217" s="201">
        <f t="shared" si="41"/>
        <v>0.22</v>
      </c>
      <c r="S217" s="240">
        <v>0.22</v>
      </c>
      <c r="T217" s="241">
        <v>0.17</v>
      </c>
      <c r="U217" s="201">
        <f t="shared" si="42"/>
        <v>0.19500000000000001</v>
      </c>
      <c r="V217" s="240">
        <v>0</v>
      </c>
      <c r="W217" s="241">
        <v>0</v>
      </c>
      <c r="X217" s="201">
        <f t="shared" si="43"/>
        <v>0</v>
      </c>
      <c r="Y217" s="242">
        <v>0</v>
      </c>
    </row>
    <row r="218" spans="1:25" ht="15.75" x14ac:dyDescent="0.25">
      <c r="A218" s="31">
        <f>'M&amp;R Stations'!A205</f>
        <v>39164</v>
      </c>
      <c r="B218" s="240">
        <v>0.35</v>
      </c>
      <c r="C218" s="241">
        <v>0.26</v>
      </c>
      <c r="D218" s="201">
        <f t="shared" si="37"/>
        <v>0.30499999999999999</v>
      </c>
      <c r="E218" s="240">
        <v>0.35</v>
      </c>
      <c r="F218" s="241">
        <v>0.26</v>
      </c>
      <c r="G218" s="201">
        <f t="shared" si="38"/>
        <v>0.30499999999999999</v>
      </c>
      <c r="H218" s="240">
        <v>0.35</v>
      </c>
      <c r="I218" s="241">
        <v>0.26</v>
      </c>
      <c r="J218" s="201">
        <f t="shared" si="39"/>
        <v>0.30499999999999999</v>
      </c>
      <c r="K218" s="242">
        <v>0</v>
      </c>
      <c r="L218" s="274">
        <v>39164</v>
      </c>
      <c r="M218" s="240">
        <v>0.22</v>
      </c>
      <c r="N218" s="241">
        <v>0.19</v>
      </c>
      <c r="O218" s="201">
        <f t="shared" si="40"/>
        <v>0.20500000000000002</v>
      </c>
      <c r="P218" s="240">
        <v>0.22</v>
      </c>
      <c r="Q218" s="241">
        <v>0.19</v>
      </c>
      <c r="R218" s="201">
        <f t="shared" si="41"/>
        <v>0.20500000000000002</v>
      </c>
      <c r="S218" s="240">
        <v>0.22</v>
      </c>
      <c r="T218" s="241">
        <v>0.19</v>
      </c>
      <c r="U218" s="201">
        <f t="shared" si="42"/>
        <v>0.20500000000000002</v>
      </c>
      <c r="V218" s="240">
        <v>0</v>
      </c>
      <c r="W218" s="241">
        <v>0</v>
      </c>
      <c r="X218" s="201">
        <f t="shared" si="43"/>
        <v>0</v>
      </c>
      <c r="Y218" s="242">
        <v>0</v>
      </c>
    </row>
    <row r="219" spans="1:25" ht="15.75" x14ac:dyDescent="0.25">
      <c r="A219" s="31">
        <f>'M&amp;R Stations'!A206</f>
        <v>39165</v>
      </c>
      <c r="B219" s="240">
        <v>0.35</v>
      </c>
      <c r="C219" s="241">
        <v>0.26</v>
      </c>
      <c r="D219" s="201">
        <f t="shared" si="37"/>
        <v>0.30499999999999999</v>
      </c>
      <c r="E219" s="240">
        <v>0.35</v>
      </c>
      <c r="F219" s="241">
        <v>0.26</v>
      </c>
      <c r="G219" s="201">
        <f t="shared" si="38"/>
        <v>0.30499999999999999</v>
      </c>
      <c r="H219" s="240">
        <v>0.35</v>
      </c>
      <c r="I219" s="241">
        <v>0.26</v>
      </c>
      <c r="J219" s="201">
        <f t="shared" si="39"/>
        <v>0.30499999999999999</v>
      </c>
      <c r="K219" s="242">
        <v>0</v>
      </c>
      <c r="L219" s="274">
        <v>39165</v>
      </c>
      <c r="M219" s="240">
        <v>0.22</v>
      </c>
      <c r="N219" s="241">
        <v>0.19</v>
      </c>
      <c r="O219" s="201">
        <f t="shared" si="40"/>
        <v>0.20500000000000002</v>
      </c>
      <c r="P219" s="240">
        <v>0.19</v>
      </c>
      <c r="Q219" s="241">
        <v>0.19</v>
      </c>
      <c r="R219" s="201">
        <f t="shared" si="41"/>
        <v>0.19</v>
      </c>
      <c r="S219" s="240">
        <v>0.19</v>
      </c>
      <c r="T219" s="241">
        <v>0.19</v>
      </c>
      <c r="U219" s="201">
        <f t="shared" si="42"/>
        <v>0.19</v>
      </c>
      <c r="V219" s="240">
        <v>0</v>
      </c>
      <c r="W219" s="241">
        <v>0</v>
      </c>
      <c r="X219" s="201">
        <f t="shared" si="43"/>
        <v>0</v>
      </c>
      <c r="Y219" s="242">
        <v>0</v>
      </c>
    </row>
    <row r="220" spans="1:25" ht="15.75" x14ac:dyDescent="0.25">
      <c r="A220" s="31">
        <f>'M&amp;R Stations'!A207</f>
        <v>39166</v>
      </c>
      <c r="B220" s="240">
        <v>0.35</v>
      </c>
      <c r="C220" s="241">
        <v>0.26</v>
      </c>
      <c r="D220" s="201">
        <f t="shared" si="37"/>
        <v>0.30499999999999999</v>
      </c>
      <c r="E220" s="240">
        <v>0.35</v>
      </c>
      <c r="F220" s="241">
        <v>0.26</v>
      </c>
      <c r="G220" s="201">
        <f t="shared" si="38"/>
        <v>0.30499999999999999</v>
      </c>
      <c r="H220" s="240">
        <v>0.35</v>
      </c>
      <c r="I220" s="241">
        <v>0.26</v>
      </c>
      <c r="J220" s="201">
        <f t="shared" si="39"/>
        <v>0.30499999999999999</v>
      </c>
      <c r="K220" s="242">
        <v>0</v>
      </c>
      <c r="L220" s="274">
        <v>39166</v>
      </c>
      <c r="M220" s="240">
        <v>0.22</v>
      </c>
      <c r="N220" s="241">
        <v>0.19</v>
      </c>
      <c r="O220" s="201">
        <f t="shared" si="40"/>
        <v>0.20500000000000002</v>
      </c>
      <c r="P220" s="240">
        <v>0.22</v>
      </c>
      <c r="Q220" s="241">
        <v>0.19</v>
      </c>
      <c r="R220" s="201">
        <f t="shared" si="41"/>
        <v>0.20500000000000002</v>
      </c>
      <c r="S220" s="240">
        <v>0.22</v>
      </c>
      <c r="T220" s="241">
        <v>0.19</v>
      </c>
      <c r="U220" s="201">
        <f t="shared" si="42"/>
        <v>0.20500000000000002</v>
      </c>
      <c r="V220" s="240">
        <v>0</v>
      </c>
      <c r="W220" s="241">
        <v>0</v>
      </c>
      <c r="X220" s="201">
        <f t="shared" si="43"/>
        <v>0</v>
      </c>
      <c r="Y220" s="242">
        <v>0</v>
      </c>
    </row>
    <row r="221" spans="1:25" ht="15.75" x14ac:dyDescent="0.25">
      <c r="A221" s="31">
        <f>'M&amp;R Stations'!A208</f>
        <v>39167</v>
      </c>
      <c r="B221" s="240">
        <v>0.35</v>
      </c>
      <c r="C221" s="241">
        <v>0.26</v>
      </c>
      <c r="D221" s="201">
        <f t="shared" si="37"/>
        <v>0.30499999999999999</v>
      </c>
      <c r="E221" s="240">
        <v>0.35</v>
      </c>
      <c r="F221" s="241">
        <v>0.26</v>
      </c>
      <c r="G221" s="201">
        <f t="shared" si="38"/>
        <v>0.30499999999999999</v>
      </c>
      <c r="H221" s="240">
        <v>0.35</v>
      </c>
      <c r="I221" s="241">
        <v>0.35</v>
      </c>
      <c r="J221" s="201">
        <f t="shared" si="39"/>
        <v>0.35</v>
      </c>
      <c r="K221" s="242">
        <v>0</v>
      </c>
      <c r="L221" s="274">
        <v>39167</v>
      </c>
      <c r="M221" s="240">
        <v>0.22</v>
      </c>
      <c r="N221" s="241">
        <v>0.19</v>
      </c>
      <c r="O221" s="201">
        <f t="shared" si="40"/>
        <v>0.20500000000000002</v>
      </c>
      <c r="P221" s="240">
        <v>0.22</v>
      </c>
      <c r="Q221" s="241">
        <v>0.19</v>
      </c>
      <c r="R221" s="201">
        <f t="shared" si="41"/>
        <v>0.20500000000000002</v>
      </c>
      <c r="S221" s="240">
        <v>0.22</v>
      </c>
      <c r="T221" s="241">
        <v>0.19</v>
      </c>
      <c r="U221" s="201">
        <f t="shared" si="42"/>
        <v>0.20500000000000002</v>
      </c>
      <c r="V221" s="240">
        <v>0</v>
      </c>
      <c r="W221" s="241">
        <v>0</v>
      </c>
      <c r="X221" s="201">
        <f t="shared" si="43"/>
        <v>0</v>
      </c>
      <c r="Y221" s="242">
        <v>0</v>
      </c>
    </row>
    <row r="222" spans="1:25" ht="15.75" x14ac:dyDescent="0.25">
      <c r="A222" s="31">
        <f>'M&amp;R Stations'!A209</f>
        <v>39168</v>
      </c>
      <c r="B222" s="240">
        <v>0.35</v>
      </c>
      <c r="C222" s="241">
        <v>0.3</v>
      </c>
      <c r="D222" s="201">
        <f t="shared" si="37"/>
        <v>0.32499999999999996</v>
      </c>
      <c r="E222" s="240">
        <v>0.35</v>
      </c>
      <c r="F222" s="241">
        <v>0.3</v>
      </c>
      <c r="G222" s="201">
        <f t="shared" si="38"/>
        <v>0.32499999999999996</v>
      </c>
      <c r="H222" s="240">
        <v>0.35</v>
      </c>
      <c r="I222" s="241">
        <v>0.26</v>
      </c>
      <c r="J222" s="201">
        <f t="shared" si="39"/>
        <v>0.30499999999999999</v>
      </c>
      <c r="K222" s="242">
        <v>0</v>
      </c>
      <c r="L222" s="274">
        <v>39168</v>
      </c>
      <c r="M222" s="240">
        <v>0.19</v>
      </c>
      <c r="N222" s="241">
        <v>0.19</v>
      </c>
      <c r="O222" s="201">
        <f t="shared" si="40"/>
        <v>0.19</v>
      </c>
      <c r="P222" s="240">
        <v>0.19</v>
      </c>
      <c r="Q222" s="241">
        <v>0.19</v>
      </c>
      <c r="R222" s="201">
        <f t="shared" si="41"/>
        <v>0.19</v>
      </c>
      <c r="S222" s="240">
        <v>0.19</v>
      </c>
      <c r="T222" s="241">
        <v>0.19</v>
      </c>
      <c r="U222" s="201">
        <f t="shared" si="42"/>
        <v>0.19</v>
      </c>
      <c r="V222" s="240">
        <v>0</v>
      </c>
      <c r="W222" s="241">
        <v>0</v>
      </c>
      <c r="X222" s="201">
        <f t="shared" si="43"/>
        <v>0</v>
      </c>
      <c r="Y222" s="242">
        <v>0</v>
      </c>
    </row>
    <row r="223" spans="1:25" ht="15.75" x14ac:dyDescent="0.25">
      <c r="A223" s="31">
        <f>'M&amp;R Stations'!A210</f>
        <v>39169</v>
      </c>
      <c r="B223" s="240">
        <v>0.3</v>
      </c>
      <c r="C223" s="241">
        <v>0.26</v>
      </c>
      <c r="D223" s="201">
        <f t="shared" si="37"/>
        <v>0.28000000000000003</v>
      </c>
      <c r="E223" s="240">
        <v>0.3</v>
      </c>
      <c r="F223" s="241">
        <v>0.3</v>
      </c>
      <c r="G223" s="201">
        <f t="shared" si="38"/>
        <v>0.3</v>
      </c>
      <c r="H223" s="240">
        <v>0.3</v>
      </c>
      <c r="I223" s="241">
        <v>0.26</v>
      </c>
      <c r="J223" s="201">
        <f t="shared" si="39"/>
        <v>0.28000000000000003</v>
      </c>
      <c r="K223" s="242">
        <v>0</v>
      </c>
      <c r="L223" s="274">
        <v>39169</v>
      </c>
      <c r="M223" s="240">
        <v>0.22</v>
      </c>
      <c r="N223" s="241">
        <v>0.19</v>
      </c>
      <c r="O223" s="201">
        <f t="shared" si="40"/>
        <v>0.20500000000000002</v>
      </c>
      <c r="P223" s="240">
        <v>0.22</v>
      </c>
      <c r="Q223" s="241">
        <v>0.19</v>
      </c>
      <c r="R223" s="201">
        <f t="shared" si="41"/>
        <v>0.20500000000000002</v>
      </c>
      <c r="S223" s="240">
        <v>0.22</v>
      </c>
      <c r="T223" s="241">
        <v>0.19</v>
      </c>
      <c r="U223" s="201">
        <f t="shared" si="42"/>
        <v>0.20500000000000002</v>
      </c>
      <c r="V223" s="240">
        <v>0</v>
      </c>
      <c r="W223" s="241">
        <v>0</v>
      </c>
      <c r="X223" s="201">
        <f t="shared" si="43"/>
        <v>0</v>
      </c>
      <c r="Y223" s="242">
        <v>0</v>
      </c>
    </row>
    <row r="224" spans="1:25" ht="15.75" x14ac:dyDescent="0.25">
      <c r="A224" s="31">
        <f>'M&amp;R Stations'!A211</f>
        <v>39170</v>
      </c>
      <c r="B224" s="240">
        <v>0.3</v>
      </c>
      <c r="C224" s="241">
        <v>0.26</v>
      </c>
      <c r="D224" s="201">
        <f t="shared" si="37"/>
        <v>0.28000000000000003</v>
      </c>
      <c r="E224" s="240">
        <v>0.3</v>
      </c>
      <c r="F224" s="241">
        <v>0.26</v>
      </c>
      <c r="G224" s="201">
        <f t="shared" si="38"/>
        <v>0.28000000000000003</v>
      </c>
      <c r="H224" s="240">
        <v>0.3</v>
      </c>
      <c r="I224" s="241">
        <v>0.26</v>
      </c>
      <c r="J224" s="201">
        <f t="shared" si="39"/>
        <v>0.28000000000000003</v>
      </c>
      <c r="K224" s="242">
        <v>0</v>
      </c>
      <c r="L224" s="274">
        <v>39170</v>
      </c>
      <c r="M224" s="240">
        <v>0.22</v>
      </c>
      <c r="N224" s="241">
        <v>0.19</v>
      </c>
      <c r="O224" s="201">
        <f t="shared" si="40"/>
        <v>0.20500000000000002</v>
      </c>
      <c r="P224" s="240">
        <v>0.22</v>
      </c>
      <c r="Q224" s="241">
        <v>0.19</v>
      </c>
      <c r="R224" s="201">
        <f t="shared" si="41"/>
        <v>0.20500000000000002</v>
      </c>
      <c r="S224" s="240">
        <v>0.22</v>
      </c>
      <c r="T224" s="241">
        <v>0.19</v>
      </c>
      <c r="U224" s="201">
        <f t="shared" si="42"/>
        <v>0.20500000000000002</v>
      </c>
      <c r="V224" s="240">
        <v>0</v>
      </c>
      <c r="W224" s="241">
        <v>0</v>
      </c>
      <c r="X224" s="201">
        <f t="shared" si="43"/>
        <v>0</v>
      </c>
      <c r="Y224" s="242">
        <v>0</v>
      </c>
    </row>
    <row r="225" spans="1:25" ht="15.75" x14ac:dyDescent="0.25">
      <c r="A225" s="31">
        <f>'M&amp;R Stations'!A212</f>
        <v>39171</v>
      </c>
      <c r="B225" s="240">
        <v>0.35</v>
      </c>
      <c r="C225" s="241">
        <v>0.26</v>
      </c>
      <c r="D225" s="201">
        <f t="shared" si="37"/>
        <v>0.30499999999999999</v>
      </c>
      <c r="E225" s="240">
        <v>0.35</v>
      </c>
      <c r="F225" s="241">
        <v>0.26</v>
      </c>
      <c r="G225" s="201">
        <f t="shared" si="38"/>
        <v>0.30499999999999999</v>
      </c>
      <c r="H225" s="240">
        <v>0.35</v>
      </c>
      <c r="I225" s="241">
        <v>0.26</v>
      </c>
      <c r="J225" s="201">
        <f t="shared" si="39"/>
        <v>0.30499999999999999</v>
      </c>
      <c r="K225" s="242">
        <v>0</v>
      </c>
      <c r="L225" s="274">
        <v>39171</v>
      </c>
      <c r="M225" s="240">
        <v>0.22</v>
      </c>
      <c r="N225" s="241">
        <v>0.19</v>
      </c>
      <c r="O225" s="201">
        <f t="shared" si="40"/>
        <v>0.20500000000000002</v>
      </c>
      <c r="P225" s="240">
        <v>0.22</v>
      </c>
      <c r="Q225" s="241">
        <v>0.19</v>
      </c>
      <c r="R225" s="201">
        <f t="shared" si="41"/>
        <v>0.20500000000000002</v>
      </c>
      <c r="S225" s="240">
        <v>0.22</v>
      </c>
      <c r="T225" s="241">
        <v>0.19</v>
      </c>
      <c r="U225" s="201">
        <f t="shared" si="42"/>
        <v>0.20500000000000002</v>
      </c>
      <c r="V225" s="240">
        <v>0</v>
      </c>
      <c r="W225" s="241">
        <v>0</v>
      </c>
      <c r="X225" s="201">
        <f t="shared" si="43"/>
        <v>0</v>
      </c>
      <c r="Y225" s="242">
        <v>0</v>
      </c>
    </row>
    <row r="226" spans="1:25" ht="15.75" x14ac:dyDescent="0.25">
      <c r="A226" s="31">
        <f>'M&amp;R Stations'!A213</f>
        <v>39172</v>
      </c>
      <c r="B226" s="240">
        <v>0.35</v>
      </c>
      <c r="C226" s="241">
        <v>0.26</v>
      </c>
      <c r="D226" s="201">
        <f t="shared" si="37"/>
        <v>0.30499999999999999</v>
      </c>
      <c r="E226" s="240">
        <v>0.35</v>
      </c>
      <c r="F226" s="241">
        <v>0.26</v>
      </c>
      <c r="G226" s="201">
        <f t="shared" si="38"/>
        <v>0.30499999999999999</v>
      </c>
      <c r="H226" s="240">
        <v>0.35</v>
      </c>
      <c r="I226" s="241">
        <v>0.26</v>
      </c>
      <c r="J226" s="201">
        <f t="shared" si="39"/>
        <v>0.30499999999999999</v>
      </c>
      <c r="K226" s="242">
        <v>0</v>
      </c>
      <c r="L226" s="274">
        <v>39172</v>
      </c>
      <c r="M226" s="240">
        <v>0.19</v>
      </c>
      <c r="N226" s="241">
        <v>0.19</v>
      </c>
      <c r="O226" s="201">
        <f t="shared" si="40"/>
        <v>0.19</v>
      </c>
      <c r="P226" s="240">
        <v>0.19</v>
      </c>
      <c r="Q226" s="241">
        <v>0.17</v>
      </c>
      <c r="R226" s="201">
        <f t="shared" si="41"/>
        <v>0.18</v>
      </c>
      <c r="S226" s="240">
        <v>0.19</v>
      </c>
      <c r="T226" s="241">
        <v>0.19</v>
      </c>
      <c r="U226" s="201">
        <f t="shared" si="42"/>
        <v>0.19</v>
      </c>
      <c r="V226" s="240">
        <v>0</v>
      </c>
      <c r="W226" s="241">
        <v>0</v>
      </c>
      <c r="X226" s="201">
        <f t="shared" si="43"/>
        <v>0</v>
      </c>
      <c r="Y226" s="242">
        <v>0</v>
      </c>
    </row>
    <row r="227" spans="1:25" ht="15.75" x14ac:dyDescent="0.25">
      <c r="A227" s="179"/>
      <c r="B227" s="203"/>
      <c r="C227" s="204"/>
      <c r="D227" s="205"/>
      <c r="E227" s="203"/>
      <c r="F227" s="204"/>
      <c r="G227" s="205"/>
      <c r="H227" s="203"/>
      <c r="I227" s="204"/>
      <c r="J227" s="206"/>
      <c r="K227" s="208"/>
      <c r="L227" s="207"/>
      <c r="M227" s="203"/>
      <c r="N227" s="204"/>
      <c r="O227" s="206"/>
      <c r="P227" s="203"/>
      <c r="Q227" s="204"/>
      <c r="R227" s="206"/>
      <c r="S227" s="203"/>
      <c r="T227" s="204"/>
      <c r="U227" s="206"/>
      <c r="V227" s="203"/>
      <c r="W227" s="204"/>
      <c r="X227" s="206"/>
      <c r="Y227" s="208"/>
    </row>
    <row r="228" spans="1:25" ht="15.75" x14ac:dyDescent="0.25">
      <c r="A228" s="31">
        <f>'M&amp;R Stations'!A214</f>
        <v>39173</v>
      </c>
      <c r="B228" s="240">
        <v>0.35</v>
      </c>
      <c r="C228" s="241">
        <v>0.26</v>
      </c>
      <c r="D228" s="201">
        <f t="shared" si="37"/>
        <v>0.30499999999999999</v>
      </c>
      <c r="E228" s="240">
        <v>0.35</v>
      </c>
      <c r="F228" s="241">
        <v>0.26</v>
      </c>
      <c r="G228" s="201">
        <f t="shared" ref="G228:G257" si="44">IF(AND(E228="",F228=""),"",IF(E228="off",F228,IF(F228="off",E228,AVERAGE(E228:F228))))</f>
        <v>0.30499999999999999</v>
      </c>
      <c r="H228" s="240">
        <v>0.35</v>
      </c>
      <c r="I228" s="241">
        <v>0.26</v>
      </c>
      <c r="J228" s="201">
        <f t="shared" ref="J228:J257" si="45">IF(AND(H228="",I228=""),"",IF(H228="off",I228,IF(I228="off",H228,AVERAGE(H228:I228))))</f>
        <v>0.30499999999999999</v>
      </c>
      <c r="K228" s="242">
        <v>0</v>
      </c>
      <c r="L228" s="274">
        <v>39173</v>
      </c>
      <c r="M228" s="240">
        <v>0.22</v>
      </c>
      <c r="N228" s="241">
        <v>0.19</v>
      </c>
      <c r="O228" s="201">
        <f t="shared" ref="O228:O257" si="46">IF(AND(M228="",N228=""),"",IF(M228="off",N228,IF(N228="off",M228,AVERAGE(M228:N228))))</f>
        <v>0.20500000000000002</v>
      </c>
      <c r="P228" s="240">
        <v>0.22</v>
      </c>
      <c r="Q228" s="241">
        <v>0.19</v>
      </c>
      <c r="R228" s="201">
        <f t="shared" ref="R228:R257" si="47">IF(AND(P228="",Q228=""),"",IF(P228="off",Q228,IF(Q228="off",P228,AVERAGE(P228:Q228))))</f>
        <v>0.20500000000000002</v>
      </c>
      <c r="S228" s="240">
        <v>0.22</v>
      </c>
      <c r="T228" s="241">
        <v>0.19</v>
      </c>
      <c r="U228" s="201">
        <f t="shared" ref="U228:U257" si="48">IF(AND(S228="",T228=""),"",IF(S228="off",T228,IF(T228="off",S228,AVERAGE(S228:T228))))</f>
        <v>0.20500000000000002</v>
      </c>
      <c r="V228" s="240">
        <v>0</v>
      </c>
      <c r="W228" s="241">
        <v>0</v>
      </c>
      <c r="X228" s="201">
        <f t="shared" ref="X228:X257" si="49">IF(AND(V228="",W228=""),"",IF(V228="off",W228,IF(W228="off",V228,AVERAGE(V228:W228))))</f>
        <v>0</v>
      </c>
      <c r="Y228" s="242">
        <v>0</v>
      </c>
    </row>
    <row r="229" spans="1:25" ht="15.75" x14ac:dyDescent="0.25">
      <c r="A229" s="31">
        <f>'M&amp;R Stations'!A215</f>
        <v>39174</v>
      </c>
      <c r="B229" s="240">
        <v>0.35</v>
      </c>
      <c r="C229" s="241">
        <v>0.26</v>
      </c>
      <c r="D229" s="201">
        <f t="shared" si="37"/>
        <v>0.30499999999999999</v>
      </c>
      <c r="E229" s="240">
        <v>0.35</v>
      </c>
      <c r="F229" s="241">
        <v>0.26</v>
      </c>
      <c r="G229" s="201">
        <f t="shared" si="44"/>
        <v>0.30499999999999999</v>
      </c>
      <c r="H229" s="240">
        <v>0.35</v>
      </c>
      <c r="I229" s="241">
        <v>0.26</v>
      </c>
      <c r="J229" s="201">
        <f t="shared" si="45"/>
        <v>0.30499999999999999</v>
      </c>
      <c r="K229" s="242">
        <v>0</v>
      </c>
      <c r="L229" s="274">
        <v>39174</v>
      </c>
      <c r="M229" s="240">
        <v>0.22</v>
      </c>
      <c r="N229" s="241">
        <v>0.19</v>
      </c>
      <c r="O229" s="201">
        <f t="shared" si="46"/>
        <v>0.20500000000000002</v>
      </c>
      <c r="P229" s="240">
        <v>0.22</v>
      </c>
      <c r="Q229" s="241">
        <v>0.19</v>
      </c>
      <c r="R229" s="201">
        <f t="shared" si="47"/>
        <v>0.20500000000000002</v>
      </c>
      <c r="S229" s="240">
        <v>0.22</v>
      </c>
      <c r="T229" s="241">
        <v>0.19</v>
      </c>
      <c r="U229" s="201">
        <f t="shared" si="48"/>
        <v>0.20500000000000002</v>
      </c>
      <c r="V229" s="240">
        <v>0</v>
      </c>
      <c r="W229" s="241">
        <v>0</v>
      </c>
      <c r="X229" s="201">
        <f t="shared" si="49"/>
        <v>0</v>
      </c>
      <c r="Y229" s="242">
        <v>0</v>
      </c>
    </row>
    <row r="230" spans="1:25" ht="15.75" x14ac:dyDescent="0.25">
      <c r="A230" s="31">
        <f>'M&amp;R Stations'!A216</f>
        <v>39175</v>
      </c>
      <c r="B230" s="240">
        <v>0.35</v>
      </c>
      <c r="C230" s="241">
        <v>0.3</v>
      </c>
      <c r="D230" s="201">
        <f t="shared" si="37"/>
        <v>0.32499999999999996</v>
      </c>
      <c r="E230" s="240">
        <v>0.35</v>
      </c>
      <c r="F230" s="241">
        <v>0.3</v>
      </c>
      <c r="G230" s="201">
        <f t="shared" si="44"/>
        <v>0.32499999999999996</v>
      </c>
      <c r="H230" s="240">
        <v>0.35</v>
      </c>
      <c r="I230" s="241">
        <v>0.26</v>
      </c>
      <c r="J230" s="201">
        <f t="shared" si="45"/>
        <v>0.30499999999999999</v>
      </c>
      <c r="K230" s="242">
        <v>0</v>
      </c>
      <c r="L230" s="274">
        <v>39175</v>
      </c>
      <c r="M230" s="240">
        <v>0.22</v>
      </c>
      <c r="N230" s="241">
        <v>0.19</v>
      </c>
      <c r="O230" s="201">
        <f t="shared" si="46"/>
        <v>0.20500000000000002</v>
      </c>
      <c r="P230" s="240">
        <v>0.22</v>
      </c>
      <c r="Q230" s="241">
        <v>0.19</v>
      </c>
      <c r="R230" s="201">
        <f t="shared" si="47"/>
        <v>0.20500000000000002</v>
      </c>
      <c r="S230" s="240">
        <v>0.22</v>
      </c>
      <c r="T230" s="241">
        <v>0.19</v>
      </c>
      <c r="U230" s="201">
        <f t="shared" si="48"/>
        <v>0.20500000000000002</v>
      </c>
      <c r="V230" s="240">
        <v>0</v>
      </c>
      <c r="W230" s="241">
        <v>0</v>
      </c>
      <c r="X230" s="201">
        <f t="shared" si="49"/>
        <v>0</v>
      </c>
      <c r="Y230" s="242">
        <v>0</v>
      </c>
    </row>
    <row r="231" spans="1:25" ht="15.75" x14ac:dyDescent="0.25">
      <c r="A231" s="31">
        <f>'M&amp;R Stations'!A217</f>
        <v>39176</v>
      </c>
      <c r="B231" s="240">
        <v>0.3</v>
      </c>
      <c r="C231" s="241">
        <v>0.26</v>
      </c>
      <c r="D231" s="201">
        <f t="shared" si="37"/>
        <v>0.28000000000000003</v>
      </c>
      <c r="E231" s="240">
        <v>0.3</v>
      </c>
      <c r="F231" s="241">
        <v>0.26</v>
      </c>
      <c r="G231" s="201">
        <f t="shared" si="44"/>
        <v>0.28000000000000003</v>
      </c>
      <c r="H231" s="240">
        <v>0.3</v>
      </c>
      <c r="I231" s="241">
        <v>0.26</v>
      </c>
      <c r="J231" s="201">
        <f t="shared" si="45"/>
        <v>0.28000000000000003</v>
      </c>
      <c r="K231" s="242">
        <v>0</v>
      </c>
      <c r="L231" s="274">
        <v>39176</v>
      </c>
      <c r="M231" s="240">
        <v>0.22</v>
      </c>
      <c r="N231" s="241">
        <v>0.17</v>
      </c>
      <c r="O231" s="201">
        <f t="shared" si="46"/>
        <v>0.19500000000000001</v>
      </c>
      <c r="P231" s="240">
        <v>0.22</v>
      </c>
      <c r="Q231" s="241">
        <v>0.19</v>
      </c>
      <c r="R231" s="201">
        <f t="shared" si="47"/>
        <v>0.20500000000000002</v>
      </c>
      <c r="S231" s="240">
        <v>0.22</v>
      </c>
      <c r="T231" s="241">
        <v>0.19</v>
      </c>
      <c r="U231" s="201">
        <f t="shared" si="48"/>
        <v>0.20500000000000002</v>
      </c>
      <c r="V231" s="240">
        <v>0</v>
      </c>
      <c r="W231" s="241">
        <v>0</v>
      </c>
      <c r="X231" s="201">
        <f t="shared" si="49"/>
        <v>0</v>
      </c>
      <c r="Y231" s="242">
        <v>0</v>
      </c>
    </row>
    <row r="232" spans="1:25" ht="15.75" x14ac:dyDescent="0.25">
      <c r="A232" s="31">
        <f>'M&amp;R Stations'!A218</f>
        <v>39177</v>
      </c>
      <c r="B232" s="240">
        <v>0.3</v>
      </c>
      <c r="C232" s="241">
        <v>0.26</v>
      </c>
      <c r="D232" s="201">
        <f t="shared" si="37"/>
        <v>0.28000000000000003</v>
      </c>
      <c r="E232" s="240">
        <v>0.3</v>
      </c>
      <c r="F232" s="241">
        <v>0.26</v>
      </c>
      <c r="G232" s="201">
        <f t="shared" si="44"/>
        <v>0.28000000000000003</v>
      </c>
      <c r="H232" s="240">
        <v>0.3</v>
      </c>
      <c r="I232" s="241">
        <v>0.26</v>
      </c>
      <c r="J232" s="201">
        <f t="shared" si="45"/>
        <v>0.28000000000000003</v>
      </c>
      <c r="K232" s="242">
        <v>0</v>
      </c>
      <c r="L232" s="274">
        <v>39177</v>
      </c>
      <c r="M232" s="240">
        <v>0.22</v>
      </c>
      <c r="N232" s="241">
        <v>0.19</v>
      </c>
      <c r="O232" s="201">
        <f t="shared" si="46"/>
        <v>0.20500000000000002</v>
      </c>
      <c r="P232" s="240">
        <v>0.22</v>
      </c>
      <c r="Q232" s="241">
        <v>0.19</v>
      </c>
      <c r="R232" s="201">
        <f t="shared" si="47"/>
        <v>0.20500000000000002</v>
      </c>
      <c r="S232" s="240">
        <v>0.22</v>
      </c>
      <c r="T232" s="241">
        <v>0.19</v>
      </c>
      <c r="U232" s="201">
        <f t="shared" si="48"/>
        <v>0.20500000000000002</v>
      </c>
      <c r="V232" s="240">
        <v>0</v>
      </c>
      <c r="W232" s="241">
        <v>0</v>
      </c>
      <c r="X232" s="201">
        <f t="shared" si="49"/>
        <v>0</v>
      </c>
      <c r="Y232" s="242">
        <v>0</v>
      </c>
    </row>
    <row r="233" spans="1:25" ht="15.75" x14ac:dyDescent="0.25">
      <c r="A233" s="31">
        <f>'M&amp;R Stations'!A219</f>
        <v>39178</v>
      </c>
      <c r="B233" s="240">
        <v>0.35</v>
      </c>
      <c r="C233" s="241">
        <v>0.26</v>
      </c>
      <c r="D233" s="201">
        <f t="shared" si="37"/>
        <v>0.30499999999999999</v>
      </c>
      <c r="E233" s="240">
        <v>0.35</v>
      </c>
      <c r="F233" s="241">
        <v>0.26</v>
      </c>
      <c r="G233" s="201">
        <f t="shared" si="44"/>
        <v>0.30499999999999999</v>
      </c>
      <c r="H233" s="240">
        <v>0.35</v>
      </c>
      <c r="I233" s="241">
        <v>0.26</v>
      </c>
      <c r="J233" s="201">
        <f t="shared" si="45"/>
        <v>0.30499999999999999</v>
      </c>
      <c r="K233" s="242">
        <v>0</v>
      </c>
      <c r="L233" s="274">
        <v>39178</v>
      </c>
      <c r="M233" s="240">
        <v>0.22</v>
      </c>
      <c r="N233" s="241">
        <v>0.19</v>
      </c>
      <c r="O233" s="201">
        <f t="shared" si="46"/>
        <v>0.20500000000000002</v>
      </c>
      <c r="P233" s="240">
        <v>0.22</v>
      </c>
      <c r="Q233" s="241">
        <v>0.19</v>
      </c>
      <c r="R233" s="201">
        <f t="shared" si="47"/>
        <v>0.20500000000000002</v>
      </c>
      <c r="S233" s="240">
        <v>0.22</v>
      </c>
      <c r="T233" s="241">
        <v>0.19</v>
      </c>
      <c r="U233" s="201">
        <f t="shared" si="48"/>
        <v>0.20500000000000002</v>
      </c>
      <c r="V233" s="240">
        <v>0</v>
      </c>
      <c r="W233" s="241">
        <v>0</v>
      </c>
      <c r="X233" s="201">
        <f t="shared" si="49"/>
        <v>0</v>
      </c>
      <c r="Y233" s="242">
        <v>0</v>
      </c>
    </row>
    <row r="234" spans="1:25" ht="15.75" x14ac:dyDescent="0.25">
      <c r="A234" s="31">
        <f>'M&amp;R Stations'!A220</f>
        <v>39179</v>
      </c>
      <c r="B234" s="240">
        <v>0.35</v>
      </c>
      <c r="C234" s="241">
        <v>0.26</v>
      </c>
      <c r="D234" s="201">
        <f t="shared" si="37"/>
        <v>0.30499999999999999</v>
      </c>
      <c r="E234" s="240">
        <v>0.35</v>
      </c>
      <c r="F234" s="241">
        <v>0.26</v>
      </c>
      <c r="G234" s="201">
        <f t="shared" si="44"/>
        <v>0.30499999999999999</v>
      </c>
      <c r="H234" s="240">
        <v>0.35</v>
      </c>
      <c r="I234" s="241">
        <v>0.26</v>
      </c>
      <c r="J234" s="201">
        <f t="shared" si="45"/>
        <v>0.30499999999999999</v>
      </c>
      <c r="K234" s="242">
        <v>0</v>
      </c>
      <c r="L234" s="274">
        <v>39179</v>
      </c>
      <c r="M234" s="240">
        <v>0.19</v>
      </c>
      <c r="N234" s="241">
        <v>0.19</v>
      </c>
      <c r="O234" s="201">
        <f t="shared" si="46"/>
        <v>0.19</v>
      </c>
      <c r="P234" s="240">
        <v>0.19</v>
      </c>
      <c r="Q234" s="241">
        <v>0.19</v>
      </c>
      <c r="R234" s="201">
        <f t="shared" si="47"/>
        <v>0.19</v>
      </c>
      <c r="S234" s="240">
        <v>0.22</v>
      </c>
      <c r="T234" s="241">
        <v>0.19</v>
      </c>
      <c r="U234" s="201">
        <f t="shared" si="48"/>
        <v>0.20500000000000002</v>
      </c>
      <c r="V234" s="240">
        <v>0</v>
      </c>
      <c r="W234" s="241">
        <v>0</v>
      </c>
      <c r="X234" s="201">
        <f t="shared" si="49"/>
        <v>0</v>
      </c>
      <c r="Y234" s="242">
        <v>0</v>
      </c>
    </row>
    <row r="235" spans="1:25" ht="15.75" x14ac:dyDescent="0.25">
      <c r="A235" s="31">
        <f>'M&amp;R Stations'!A221</f>
        <v>39180</v>
      </c>
      <c r="B235" s="240">
        <v>0.35</v>
      </c>
      <c r="C235" s="241">
        <v>0.26</v>
      </c>
      <c r="D235" s="201">
        <f t="shared" si="37"/>
        <v>0.30499999999999999</v>
      </c>
      <c r="E235" s="240">
        <v>0.35</v>
      </c>
      <c r="F235" s="241">
        <v>0.26</v>
      </c>
      <c r="G235" s="201">
        <f t="shared" si="44"/>
        <v>0.30499999999999999</v>
      </c>
      <c r="H235" s="240">
        <v>0.35</v>
      </c>
      <c r="I235" s="241">
        <v>0.26</v>
      </c>
      <c r="J235" s="201">
        <f t="shared" si="45"/>
        <v>0.30499999999999999</v>
      </c>
      <c r="K235" s="242">
        <v>0</v>
      </c>
      <c r="L235" s="274">
        <v>39180</v>
      </c>
      <c r="M235" s="240">
        <v>0.19</v>
      </c>
      <c r="N235" s="241">
        <v>0.19</v>
      </c>
      <c r="O235" s="201">
        <f t="shared" si="46"/>
        <v>0.19</v>
      </c>
      <c r="P235" s="240">
        <v>0.19</v>
      </c>
      <c r="Q235" s="241">
        <v>0.19</v>
      </c>
      <c r="R235" s="201">
        <f t="shared" si="47"/>
        <v>0.19</v>
      </c>
      <c r="S235" s="240">
        <v>0.19</v>
      </c>
      <c r="T235" s="241">
        <v>0.19</v>
      </c>
      <c r="U235" s="201">
        <f t="shared" si="48"/>
        <v>0.19</v>
      </c>
      <c r="V235" s="240">
        <v>0</v>
      </c>
      <c r="W235" s="241">
        <v>0</v>
      </c>
      <c r="X235" s="201">
        <f t="shared" si="49"/>
        <v>0</v>
      </c>
      <c r="Y235" s="242">
        <v>0</v>
      </c>
    </row>
    <row r="236" spans="1:25" ht="15.75" x14ac:dyDescent="0.25">
      <c r="A236" s="31">
        <f>'M&amp;R Stations'!A222</f>
        <v>39181</v>
      </c>
      <c r="B236" s="240">
        <v>0.35</v>
      </c>
      <c r="C236" s="241">
        <v>0.26</v>
      </c>
      <c r="D236" s="201">
        <f t="shared" si="37"/>
        <v>0.30499999999999999</v>
      </c>
      <c r="E236" s="240">
        <v>0.35</v>
      </c>
      <c r="F236" s="241">
        <v>0.26</v>
      </c>
      <c r="G236" s="201">
        <f t="shared" si="44"/>
        <v>0.30499999999999999</v>
      </c>
      <c r="H236" s="240">
        <v>0.35</v>
      </c>
      <c r="I236" s="241">
        <v>0.26</v>
      </c>
      <c r="J236" s="201">
        <f t="shared" si="45"/>
        <v>0.30499999999999999</v>
      </c>
      <c r="K236" s="242">
        <v>0</v>
      </c>
      <c r="L236" s="274">
        <v>39181</v>
      </c>
      <c r="M236" s="240">
        <v>0.19</v>
      </c>
      <c r="N236" s="241">
        <v>0.19</v>
      </c>
      <c r="O236" s="201">
        <f t="shared" si="46"/>
        <v>0.19</v>
      </c>
      <c r="P236" s="240">
        <v>0.19</v>
      </c>
      <c r="Q236" s="241">
        <v>0.19</v>
      </c>
      <c r="R236" s="201">
        <f t="shared" si="47"/>
        <v>0.19</v>
      </c>
      <c r="S236" s="240">
        <v>0.19</v>
      </c>
      <c r="T236" s="241">
        <v>0.19</v>
      </c>
      <c r="U236" s="201">
        <f t="shared" si="48"/>
        <v>0.19</v>
      </c>
      <c r="V236" s="240">
        <v>0</v>
      </c>
      <c r="W236" s="241">
        <v>0</v>
      </c>
      <c r="X236" s="201">
        <f t="shared" si="49"/>
        <v>0</v>
      </c>
      <c r="Y236" s="242">
        <v>0</v>
      </c>
    </row>
    <row r="237" spans="1:25" ht="15.75" x14ac:dyDescent="0.25">
      <c r="A237" s="31">
        <f>'M&amp;R Stations'!A223</f>
        <v>39182</v>
      </c>
      <c r="B237" s="240">
        <v>0.35</v>
      </c>
      <c r="C237" s="241">
        <v>0.3</v>
      </c>
      <c r="D237" s="201">
        <f t="shared" si="37"/>
        <v>0.32499999999999996</v>
      </c>
      <c r="E237" s="240">
        <v>0.35</v>
      </c>
      <c r="F237" s="241">
        <v>0.3</v>
      </c>
      <c r="G237" s="201">
        <f t="shared" si="44"/>
        <v>0.32499999999999996</v>
      </c>
      <c r="H237" s="240">
        <v>0.35</v>
      </c>
      <c r="I237" s="241">
        <v>0.26</v>
      </c>
      <c r="J237" s="201">
        <f t="shared" si="45"/>
        <v>0.30499999999999999</v>
      </c>
      <c r="K237" s="242">
        <v>0</v>
      </c>
      <c r="L237" s="274">
        <v>39182</v>
      </c>
      <c r="M237" s="240">
        <v>0.22</v>
      </c>
      <c r="N237" s="241">
        <v>0.19</v>
      </c>
      <c r="O237" s="201">
        <f t="shared" si="46"/>
        <v>0.20500000000000002</v>
      </c>
      <c r="P237" s="240">
        <v>0.22</v>
      </c>
      <c r="Q237" s="241">
        <v>0.19</v>
      </c>
      <c r="R237" s="201">
        <f t="shared" si="47"/>
        <v>0.20500000000000002</v>
      </c>
      <c r="S237" s="240">
        <v>0.22</v>
      </c>
      <c r="T237" s="241">
        <v>0.19</v>
      </c>
      <c r="U237" s="201">
        <f t="shared" si="48"/>
        <v>0.20500000000000002</v>
      </c>
      <c r="V237" s="240">
        <v>0</v>
      </c>
      <c r="W237" s="241">
        <v>0</v>
      </c>
      <c r="X237" s="201">
        <f t="shared" si="49"/>
        <v>0</v>
      </c>
      <c r="Y237" s="242">
        <v>0</v>
      </c>
    </row>
    <row r="238" spans="1:25" ht="15.75" x14ac:dyDescent="0.25">
      <c r="A238" s="31">
        <f>'M&amp;R Stations'!A224</f>
        <v>39183</v>
      </c>
      <c r="B238" s="240">
        <v>0.3</v>
      </c>
      <c r="C238" s="241">
        <v>0.26</v>
      </c>
      <c r="D238" s="201">
        <f t="shared" si="37"/>
        <v>0.28000000000000003</v>
      </c>
      <c r="E238" s="240">
        <v>0.35</v>
      </c>
      <c r="F238" s="241">
        <v>0.3</v>
      </c>
      <c r="G238" s="201">
        <f t="shared" si="44"/>
        <v>0.32499999999999996</v>
      </c>
      <c r="H238" s="240">
        <v>0.3</v>
      </c>
      <c r="I238" s="241">
        <v>0.26</v>
      </c>
      <c r="J238" s="201">
        <f t="shared" si="45"/>
        <v>0.28000000000000003</v>
      </c>
      <c r="K238" s="242">
        <v>0</v>
      </c>
      <c r="L238" s="274">
        <v>39183</v>
      </c>
      <c r="M238" s="240">
        <v>0.22</v>
      </c>
      <c r="N238" s="241">
        <v>0.17</v>
      </c>
      <c r="O238" s="201">
        <f t="shared" si="46"/>
        <v>0.19500000000000001</v>
      </c>
      <c r="P238" s="240">
        <v>0.25</v>
      </c>
      <c r="Q238" s="241">
        <v>0.19</v>
      </c>
      <c r="R238" s="201">
        <f t="shared" si="47"/>
        <v>0.22</v>
      </c>
      <c r="S238" s="240">
        <v>0.22</v>
      </c>
      <c r="T238" s="241">
        <v>0.17</v>
      </c>
      <c r="U238" s="201">
        <f t="shared" si="48"/>
        <v>0.19500000000000001</v>
      </c>
      <c r="V238" s="240">
        <v>0</v>
      </c>
      <c r="W238" s="241">
        <v>0</v>
      </c>
      <c r="X238" s="201">
        <f t="shared" si="49"/>
        <v>0</v>
      </c>
      <c r="Y238" s="242">
        <v>0</v>
      </c>
    </row>
    <row r="239" spans="1:25" ht="15.75" x14ac:dyDescent="0.25">
      <c r="A239" s="31">
        <f>'M&amp;R Stations'!A225</f>
        <v>39184</v>
      </c>
      <c r="B239" s="240">
        <v>0.3</v>
      </c>
      <c r="C239" s="241">
        <v>0.26</v>
      </c>
      <c r="D239" s="201">
        <f t="shared" si="37"/>
        <v>0.28000000000000003</v>
      </c>
      <c r="E239" s="240">
        <v>0.3</v>
      </c>
      <c r="F239" s="241">
        <v>0.26</v>
      </c>
      <c r="G239" s="201">
        <f t="shared" si="44"/>
        <v>0.28000000000000003</v>
      </c>
      <c r="H239" s="240">
        <v>0.3</v>
      </c>
      <c r="I239" s="241">
        <v>0.26</v>
      </c>
      <c r="J239" s="201">
        <f t="shared" si="45"/>
        <v>0.28000000000000003</v>
      </c>
      <c r="K239" s="242">
        <v>0</v>
      </c>
      <c r="L239" s="274">
        <v>39184</v>
      </c>
      <c r="M239" s="240">
        <v>0.25</v>
      </c>
      <c r="N239" s="241">
        <v>0.19</v>
      </c>
      <c r="O239" s="201">
        <f t="shared" si="46"/>
        <v>0.22</v>
      </c>
      <c r="P239" s="240">
        <v>0.25</v>
      </c>
      <c r="Q239" s="241">
        <v>0.19</v>
      </c>
      <c r="R239" s="201">
        <f t="shared" si="47"/>
        <v>0.22</v>
      </c>
      <c r="S239" s="240">
        <v>0.22</v>
      </c>
      <c r="T239" s="241">
        <v>0.19</v>
      </c>
      <c r="U239" s="201">
        <f t="shared" si="48"/>
        <v>0.20500000000000002</v>
      </c>
      <c r="V239" s="240">
        <v>0</v>
      </c>
      <c r="W239" s="241">
        <v>0</v>
      </c>
      <c r="X239" s="201">
        <f t="shared" si="49"/>
        <v>0</v>
      </c>
      <c r="Y239" s="271">
        <v>1.54</v>
      </c>
    </row>
    <row r="240" spans="1:25" ht="15.75" x14ac:dyDescent="0.25">
      <c r="A240" s="31">
        <f>'M&amp;R Stations'!A226</f>
        <v>39185</v>
      </c>
      <c r="B240" s="240">
        <v>0.35</v>
      </c>
      <c r="C240" s="241">
        <v>0.26</v>
      </c>
      <c r="D240" s="201">
        <f t="shared" si="37"/>
        <v>0.30499999999999999</v>
      </c>
      <c r="E240" s="240">
        <v>0.35</v>
      </c>
      <c r="F240" s="241">
        <v>0.26</v>
      </c>
      <c r="G240" s="201">
        <f t="shared" si="44"/>
        <v>0.30499999999999999</v>
      </c>
      <c r="H240" s="240">
        <v>0.35</v>
      </c>
      <c r="I240" s="241">
        <v>0.26</v>
      </c>
      <c r="J240" s="201">
        <f t="shared" si="45"/>
        <v>0.30499999999999999</v>
      </c>
      <c r="K240" s="242">
        <v>0</v>
      </c>
      <c r="L240" s="274">
        <v>39185</v>
      </c>
      <c r="M240" s="240">
        <v>0.22</v>
      </c>
      <c r="N240" s="241">
        <v>0.22</v>
      </c>
      <c r="O240" s="201">
        <f t="shared" si="46"/>
        <v>0.22</v>
      </c>
      <c r="P240" s="240">
        <v>0.22</v>
      </c>
      <c r="Q240" s="241">
        <v>0.19</v>
      </c>
      <c r="R240" s="201">
        <f t="shared" si="47"/>
        <v>0.20500000000000002</v>
      </c>
      <c r="S240" s="240">
        <v>0.25</v>
      </c>
      <c r="T240" s="241">
        <v>0.19</v>
      </c>
      <c r="U240" s="201">
        <f t="shared" si="48"/>
        <v>0.22</v>
      </c>
      <c r="V240" s="240">
        <v>0</v>
      </c>
      <c r="W240" s="241">
        <v>0</v>
      </c>
      <c r="X240" s="201">
        <f t="shared" si="49"/>
        <v>0</v>
      </c>
      <c r="Y240" s="271">
        <v>5.976</v>
      </c>
    </row>
    <row r="241" spans="1:25" ht="15.75" x14ac:dyDescent="0.25">
      <c r="A241" s="31">
        <f>'M&amp;R Stations'!A227</f>
        <v>39186</v>
      </c>
      <c r="B241" s="240">
        <v>0.35</v>
      </c>
      <c r="C241" s="241">
        <v>0.35</v>
      </c>
      <c r="D241" s="201">
        <f t="shared" si="37"/>
        <v>0.35</v>
      </c>
      <c r="E241" s="240">
        <v>0.35</v>
      </c>
      <c r="F241" s="241">
        <v>0.35</v>
      </c>
      <c r="G241" s="201">
        <f t="shared" si="44"/>
        <v>0.35</v>
      </c>
      <c r="H241" s="240">
        <v>0.35</v>
      </c>
      <c r="I241" s="241">
        <v>0.35</v>
      </c>
      <c r="J241" s="201">
        <f t="shared" si="45"/>
        <v>0.35</v>
      </c>
      <c r="K241" s="242">
        <v>0</v>
      </c>
      <c r="L241" s="274">
        <v>39186</v>
      </c>
      <c r="M241" s="240">
        <v>0.19</v>
      </c>
      <c r="N241" s="241">
        <v>0.17</v>
      </c>
      <c r="O241" s="201">
        <f t="shared" si="46"/>
        <v>0.18</v>
      </c>
      <c r="P241" s="240">
        <v>0.19</v>
      </c>
      <c r="Q241" s="241">
        <v>0.19</v>
      </c>
      <c r="R241" s="201">
        <f t="shared" si="47"/>
        <v>0.19</v>
      </c>
      <c r="S241" s="240">
        <v>0.19</v>
      </c>
      <c r="T241" s="241">
        <v>0.19</v>
      </c>
      <c r="U241" s="201">
        <f t="shared" si="48"/>
        <v>0.19</v>
      </c>
      <c r="V241" s="240">
        <v>0</v>
      </c>
      <c r="W241" s="241">
        <v>0</v>
      </c>
      <c r="X241" s="201">
        <f t="shared" si="49"/>
        <v>0</v>
      </c>
      <c r="Y241" s="271">
        <v>5.407</v>
      </c>
    </row>
    <row r="242" spans="1:25" ht="15.75" x14ac:dyDescent="0.25">
      <c r="A242" s="31">
        <f>'M&amp;R Stations'!A228</f>
        <v>39187</v>
      </c>
      <c r="B242" s="240">
        <v>0.35</v>
      </c>
      <c r="C242" s="241">
        <v>0.3</v>
      </c>
      <c r="D242" s="201">
        <f t="shared" si="37"/>
        <v>0.32499999999999996</v>
      </c>
      <c r="E242" s="240">
        <v>0.35</v>
      </c>
      <c r="F242" s="241">
        <v>0.3</v>
      </c>
      <c r="G242" s="201">
        <f t="shared" si="44"/>
        <v>0.32499999999999996</v>
      </c>
      <c r="H242" s="240">
        <v>0.35</v>
      </c>
      <c r="I242" s="241">
        <v>0.3</v>
      </c>
      <c r="J242" s="201">
        <f t="shared" si="45"/>
        <v>0.32499999999999996</v>
      </c>
      <c r="K242" s="242">
        <v>0</v>
      </c>
      <c r="L242" s="274">
        <v>39187</v>
      </c>
      <c r="M242" s="240">
        <v>0.19</v>
      </c>
      <c r="N242" s="241">
        <v>0.17</v>
      </c>
      <c r="O242" s="201">
        <f t="shared" si="46"/>
        <v>0.18</v>
      </c>
      <c r="P242" s="240">
        <v>0.19</v>
      </c>
      <c r="Q242" s="241">
        <v>0.19</v>
      </c>
      <c r="R242" s="201">
        <f t="shared" si="47"/>
        <v>0.19</v>
      </c>
      <c r="S242" s="240">
        <v>0.22</v>
      </c>
      <c r="T242" s="241">
        <v>0.19</v>
      </c>
      <c r="U242" s="201">
        <f t="shared" si="48"/>
        <v>0.20500000000000002</v>
      </c>
      <c r="V242" s="240">
        <v>0</v>
      </c>
      <c r="W242" s="241">
        <v>0</v>
      </c>
      <c r="X242" s="201">
        <f t="shared" si="49"/>
        <v>0</v>
      </c>
      <c r="Y242" s="271">
        <v>7.0060000000000002</v>
      </c>
    </row>
    <row r="243" spans="1:25" ht="15.75" x14ac:dyDescent="0.25">
      <c r="A243" s="31">
        <f>'M&amp;R Stations'!A229</f>
        <v>39188</v>
      </c>
      <c r="B243" s="240">
        <v>0.35</v>
      </c>
      <c r="C243" s="241">
        <v>0.3</v>
      </c>
      <c r="D243" s="201">
        <f t="shared" si="37"/>
        <v>0.32499999999999996</v>
      </c>
      <c r="E243" s="240">
        <v>0.35</v>
      </c>
      <c r="F243" s="241">
        <v>0.3</v>
      </c>
      <c r="G243" s="201">
        <f t="shared" si="44"/>
        <v>0.32499999999999996</v>
      </c>
      <c r="H243" s="240">
        <v>0.35</v>
      </c>
      <c r="I243" s="241">
        <v>0.3</v>
      </c>
      <c r="J243" s="201">
        <f t="shared" si="45"/>
        <v>0.32499999999999996</v>
      </c>
      <c r="K243" s="242">
        <v>4.9000000000000004</v>
      </c>
      <c r="L243" s="274">
        <v>39188</v>
      </c>
      <c r="M243" s="240">
        <v>0.22</v>
      </c>
      <c r="N243" s="241">
        <v>0.19</v>
      </c>
      <c r="O243" s="201">
        <f t="shared" si="46"/>
        <v>0.20500000000000002</v>
      </c>
      <c r="P243" s="240">
        <v>0.22</v>
      </c>
      <c r="Q243" s="241">
        <v>0.19</v>
      </c>
      <c r="R243" s="201">
        <f t="shared" si="47"/>
        <v>0.20500000000000002</v>
      </c>
      <c r="S243" s="240">
        <v>0.22</v>
      </c>
      <c r="T243" s="241">
        <v>0.19</v>
      </c>
      <c r="U243" s="201">
        <f t="shared" si="48"/>
        <v>0.20500000000000002</v>
      </c>
      <c r="V243" s="240">
        <v>0</v>
      </c>
      <c r="W243" s="241">
        <v>0</v>
      </c>
      <c r="X243" s="201">
        <f t="shared" si="49"/>
        <v>0</v>
      </c>
      <c r="Y243" s="271">
        <v>1.7889999999999999</v>
      </c>
    </row>
    <row r="244" spans="1:25" ht="15.75" x14ac:dyDescent="0.25">
      <c r="A244" s="31">
        <f>'M&amp;R Stations'!A230</f>
        <v>39189</v>
      </c>
      <c r="B244" s="240">
        <v>0.35</v>
      </c>
      <c r="C244" s="241">
        <v>0.26</v>
      </c>
      <c r="D244" s="201">
        <f t="shared" si="37"/>
        <v>0.30499999999999999</v>
      </c>
      <c r="E244" s="240">
        <v>0.35</v>
      </c>
      <c r="F244" s="241">
        <v>0.26</v>
      </c>
      <c r="G244" s="201">
        <f t="shared" si="44"/>
        <v>0.30499999999999999</v>
      </c>
      <c r="H244" s="240">
        <v>0.35</v>
      </c>
      <c r="I244" s="241">
        <v>0.26</v>
      </c>
      <c r="J244" s="201">
        <f t="shared" si="45"/>
        <v>0.30499999999999999</v>
      </c>
      <c r="K244" s="242">
        <v>0</v>
      </c>
      <c r="L244" s="274">
        <v>39189</v>
      </c>
      <c r="M244" s="240">
        <v>0.19</v>
      </c>
      <c r="N244" s="241">
        <v>0.19</v>
      </c>
      <c r="O244" s="201">
        <f t="shared" si="46"/>
        <v>0.19</v>
      </c>
      <c r="P244" s="240">
        <v>0.25</v>
      </c>
      <c r="Q244" s="241">
        <v>0.19</v>
      </c>
      <c r="R244" s="201">
        <f t="shared" si="47"/>
        <v>0.22</v>
      </c>
      <c r="S244" s="240">
        <v>0.22</v>
      </c>
      <c r="T244" s="241">
        <v>0.19</v>
      </c>
      <c r="U244" s="201">
        <f t="shared" si="48"/>
        <v>0.20500000000000002</v>
      </c>
      <c r="V244" s="240">
        <v>0</v>
      </c>
      <c r="W244" s="241">
        <v>0</v>
      </c>
      <c r="X244" s="201">
        <f t="shared" si="49"/>
        <v>0</v>
      </c>
      <c r="Y244" s="271">
        <v>4.585</v>
      </c>
    </row>
    <row r="245" spans="1:25" ht="15.75" x14ac:dyDescent="0.25">
      <c r="A245" s="31">
        <f>'M&amp;R Stations'!A231</f>
        <v>39190</v>
      </c>
      <c r="B245" s="240">
        <v>0.3</v>
      </c>
      <c r="C245" s="241">
        <v>0.26</v>
      </c>
      <c r="D245" s="201">
        <f t="shared" si="37"/>
        <v>0.28000000000000003</v>
      </c>
      <c r="E245" s="240">
        <v>0.3</v>
      </c>
      <c r="F245" s="241">
        <v>0.26</v>
      </c>
      <c r="G245" s="201">
        <f t="shared" si="44"/>
        <v>0.28000000000000003</v>
      </c>
      <c r="H245" s="240">
        <v>0.3</v>
      </c>
      <c r="I245" s="241">
        <v>0.26</v>
      </c>
      <c r="J245" s="201">
        <f t="shared" si="45"/>
        <v>0.28000000000000003</v>
      </c>
      <c r="K245" s="242">
        <v>0</v>
      </c>
      <c r="L245" s="274">
        <v>39190</v>
      </c>
      <c r="M245" s="240">
        <v>0.22</v>
      </c>
      <c r="N245" s="241">
        <v>0.19</v>
      </c>
      <c r="O245" s="201">
        <f t="shared" si="46"/>
        <v>0.20500000000000002</v>
      </c>
      <c r="P245" s="240">
        <v>0.22</v>
      </c>
      <c r="Q245" s="241">
        <v>0.19</v>
      </c>
      <c r="R245" s="201">
        <f t="shared" si="47"/>
        <v>0.20500000000000002</v>
      </c>
      <c r="S245" s="240">
        <v>0.22</v>
      </c>
      <c r="T245" s="241">
        <v>0.19</v>
      </c>
      <c r="U245" s="201">
        <f t="shared" si="48"/>
        <v>0.20500000000000002</v>
      </c>
      <c r="V245" s="240">
        <v>0</v>
      </c>
      <c r="W245" s="241">
        <v>0</v>
      </c>
      <c r="X245" s="201">
        <f t="shared" si="49"/>
        <v>0</v>
      </c>
      <c r="Y245" s="271">
        <v>5.3209999999999997</v>
      </c>
    </row>
    <row r="246" spans="1:25" ht="15.75" x14ac:dyDescent="0.25">
      <c r="A246" s="31">
        <f>'M&amp;R Stations'!A232</f>
        <v>39191</v>
      </c>
      <c r="B246" s="240">
        <v>0.3</v>
      </c>
      <c r="C246" s="241">
        <v>0.26</v>
      </c>
      <c r="D246" s="201">
        <f t="shared" si="37"/>
        <v>0.28000000000000003</v>
      </c>
      <c r="E246" s="240">
        <v>0.3</v>
      </c>
      <c r="F246" s="241">
        <v>0.26</v>
      </c>
      <c r="G246" s="201">
        <f t="shared" si="44"/>
        <v>0.28000000000000003</v>
      </c>
      <c r="H246" s="240">
        <v>0.3</v>
      </c>
      <c r="I246" s="241">
        <v>0.26</v>
      </c>
      <c r="J246" s="201">
        <f t="shared" si="45"/>
        <v>0.28000000000000003</v>
      </c>
      <c r="K246" s="242">
        <v>0</v>
      </c>
      <c r="L246" s="274">
        <v>39191</v>
      </c>
      <c r="M246" s="240">
        <v>0.22</v>
      </c>
      <c r="N246" s="241">
        <v>0.22</v>
      </c>
      <c r="O246" s="201">
        <f t="shared" si="46"/>
        <v>0.22</v>
      </c>
      <c r="P246" s="240">
        <v>0.25</v>
      </c>
      <c r="Q246" s="241">
        <v>0.19</v>
      </c>
      <c r="R246" s="201">
        <f t="shared" si="47"/>
        <v>0.22</v>
      </c>
      <c r="S246" s="240">
        <v>0.22</v>
      </c>
      <c r="T246" s="241">
        <v>0.19</v>
      </c>
      <c r="U246" s="201">
        <f t="shared" si="48"/>
        <v>0.20500000000000002</v>
      </c>
      <c r="V246" s="240">
        <v>0</v>
      </c>
      <c r="W246" s="241">
        <v>0</v>
      </c>
      <c r="X246" s="201">
        <f t="shared" si="49"/>
        <v>0</v>
      </c>
      <c r="Y246" s="271">
        <v>6.3940000000000001</v>
      </c>
    </row>
    <row r="247" spans="1:25" ht="15.75" x14ac:dyDescent="0.25">
      <c r="A247" s="31">
        <f>'M&amp;R Stations'!A233</f>
        <v>39192</v>
      </c>
      <c r="B247" s="240">
        <v>0.36</v>
      </c>
      <c r="C247" s="241">
        <v>0.3</v>
      </c>
      <c r="D247" s="201">
        <f t="shared" si="37"/>
        <v>0.32999999999999996</v>
      </c>
      <c r="E247" s="240">
        <v>0.36</v>
      </c>
      <c r="F247" s="241">
        <v>0.3</v>
      </c>
      <c r="G247" s="201">
        <f t="shared" si="44"/>
        <v>0.32999999999999996</v>
      </c>
      <c r="H247" s="240">
        <v>0.36</v>
      </c>
      <c r="I247" s="241">
        <v>0.3</v>
      </c>
      <c r="J247" s="201">
        <f t="shared" si="45"/>
        <v>0.32999999999999996</v>
      </c>
      <c r="K247" s="242">
        <v>0</v>
      </c>
      <c r="L247" s="274">
        <v>39192</v>
      </c>
      <c r="M247" s="240">
        <v>0.22</v>
      </c>
      <c r="N247" s="241">
        <v>0.19</v>
      </c>
      <c r="O247" s="201">
        <f t="shared" si="46"/>
        <v>0.20500000000000002</v>
      </c>
      <c r="P247" s="240">
        <v>0.22</v>
      </c>
      <c r="Q247" s="241">
        <v>0.19</v>
      </c>
      <c r="R247" s="201">
        <f t="shared" si="47"/>
        <v>0.20500000000000002</v>
      </c>
      <c r="S247" s="240">
        <v>0.19</v>
      </c>
      <c r="T247" s="241">
        <v>0.19</v>
      </c>
      <c r="U247" s="201">
        <f t="shared" si="48"/>
        <v>0.19</v>
      </c>
      <c r="V247" s="240">
        <v>0</v>
      </c>
      <c r="W247" s="241">
        <v>0</v>
      </c>
      <c r="X247" s="201">
        <f t="shared" si="49"/>
        <v>0</v>
      </c>
      <c r="Y247" s="242">
        <v>4.1630000000000003</v>
      </c>
    </row>
    <row r="248" spans="1:25" ht="15.75" x14ac:dyDescent="0.25">
      <c r="A248" s="31">
        <f>'M&amp;R Stations'!A234</f>
        <v>39193</v>
      </c>
      <c r="B248" s="240">
        <v>0.35</v>
      </c>
      <c r="C248" s="241">
        <v>0.35</v>
      </c>
      <c r="D248" s="201">
        <f t="shared" si="37"/>
        <v>0.35</v>
      </c>
      <c r="E248" s="240">
        <v>0.35</v>
      </c>
      <c r="F248" s="241">
        <v>0.35</v>
      </c>
      <c r="G248" s="201">
        <f t="shared" si="44"/>
        <v>0.35</v>
      </c>
      <c r="H248" s="240">
        <v>0.35</v>
      </c>
      <c r="I248" s="241">
        <v>0.35</v>
      </c>
      <c r="J248" s="201">
        <f t="shared" si="45"/>
        <v>0.35</v>
      </c>
      <c r="K248" s="242">
        <v>0</v>
      </c>
      <c r="L248" s="274">
        <v>39193</v>
      </c>
      <c r="M248" s="240">
        <v>0.22</v>
      </c>
      <c r="N248" s="241">
        <v>0.19</v>
      </c>
      <c r="O248" s="201">
        <f t="shared" si="46"/>
        <v>0.20500000000000002</v>
      </c>
      <c r="P248" s="240">
        <v>0.19</v>
      </c>
      <c r="Q248" s="241">
        <v>0.19</v>
      </c>
      <c r="R248" s="201">
        <f t="shared" si="47"/>
        <v>0.19</v>
      </c>
      <c r="S248" s="240">
        <v>0.19</v>
      </c>
      <c r="T248" s="241">
        <v>0.19</v>
      </c>
      <c r="U248" s="201">
        <f t="shared" si="48"/>
        <v>0.19</v>
      </c>
      <c r="V248" s="240">
        <v>0</v>
      </c>
      <c r="W248" s="241">
        <v>0</v>
      </c>
      <c r="X248" s="201">
        <f t="shared" si="49"/>
        <v>0</v>
      </c>
      <c r="Y248" s="242">
        <v>3.6419999999999999</v>
      </c>
    </row>
    <row r="249" spans="1:25" ht="15.75" x14ac:dyDescent="0.25">
      <c r="A249" s="31">
        <f>'M&amp;R Stations'!A235</f>
        <v>39194</v>
      </c>
      <c r="B249" s="240">
        <v>0.35</v>
      </c>
      <c r="C249" s="241">
        <v>0.35</v>
      </c>
      <c r="D249" s="201">
        <f t="shared" si="37"/>
        <v>0.35</v>
      </c>
      <c r="E249" s="240">
        <v>0.35</v>
      </c>
      <c r="F249" s="241">
        <v>0.35</v>
      </c>
      <c r="G249" s="201">
        <f t="shared" si="44"/>
        <v>0.35</v>
      </c>
      <c r="H249" s="240">
        <v>0.35</v>
      </c>
      <c r="I249" s="241">
        <v>0.35</v>
      </c>
      <c r="J249" s="201">
        <f t="shared" si="45"/>
        <v>0.35</v>
      </c>
      <c r="K249" s="242">
        <v>0</v>
      </c>
      <c r="L249" s="274">
        <v>39194</v>
      </c>
      <c r="M249" s="240">
        <v>0.22</v>
      </c>
      <c r="N249" s="241">
        <v>0.19</v>
      </c>
      <c r="O249" s="201">
        <f t="shared" si="46"/>
        <v>0.20500000000000002</v>
      </c>
      <c r="P249" s="240">
        <v>0.25</v>
      </c>
      <c r="Q249" s="241">
        <v>0.19</v>
      </c>
      <c r="R249" s="201">
        <f t="shared" si="47"/>
        <v>0.22</v>
      </c>
      <c r="S249" s="240">
        <v>0.22</v>
      </c>
      <c r="T249" s="241">
        <v>0.19</v>
      </c>
      <c r="U249" s="201">
        <f t="shared" si="48"/>
        <v>0.20500000000000002</v>
      </c>
      <c r="V249" s="240">
        <v>0</v>
      </c>
      <c r="W249" s="241">
        <v>0</v>
      </c>
      <c r="X249" s="201">
        <f t="shared" si="49"/>
        <v>0</v>
      </c>
      <c r="Y249" s="242">
        <v>2.82</v>
      </c>
    </row>
    <row r="250" spans="1:25" ht="15.75" x14ac:dyDescent="0.25">
      <c r="A250" s="31">
        <f>'M&amp;R Stations'!A236</f>
        <v>39195</v>
      </c>
      <c r="B250" s="240" t="s">
        <v>220</v>
      </c>
      <c r="C250" s="241" t="s">
        <v>220</v>
      </c>
      <c r="D250" s="201" t="s">
        <v>220</v>
      </c>
      <c r="E250" s="240">
        <v>0.35</v>
      </c>
      <c r="F250" s="241">
        <v>0.3</v>
      </c>
      <c r="G250" s="201">
        <f t="shared" si="44"/>
        <v>0.32499999999999996</v>
      </c>
      <c r="H250" s="240">
        <v>0.35</v>
      </c>
      <c r="I250" s="241">
        <v>0.3</v>
      </c>
      <c r="J250" s="201">
        <f t="shared" si="45"/>
        <v>0.32499999999999996</v>
      </c>
      <c r="K250" s="242">
        <v>0</v>
      </c>
      <c r="L250" s="274">
        <v>39195</v>
      </c>
      <c r="M250" s="240">
        <v>0.22</v>
      </c>
      <c r="N250" s="241">
        <v>0.19</v>
      </c>
      <c r="O250" s="201">
        <f t="shared" si="46"/>
        <v>0.20500000000000002</v>
      </c>
      <c r="P250" s="240">
        <v>0.22</v>
      </c>
      <c r="Q250" s="241">
        <v>0.19</v>
      </c>
      <c r="R250" s="201">
        <f t="shared" si="47"/>
        <v>0.20500000000000002</v>
      </c>
      <c r="S250" s="240">
        <v>0.22</v>
      </c>
      <c r="T250" s="241">
        <v>0.19</v>
      </c>
      <c r="U250" s="201">
        <f t="shared" si="48"/>
        <v>0.20500000000000002</v>
      </c>
      <c r="V250" s="240">
        <v>0</v>
      </c>
      <c r="W250" s="241">
        <v>0</v>
      </c>
      <c r="X250" s="201">
        <f t="shared" si="49"/>
        <v>0</v>
      </c>
      <c r="Y250" s="242">
        <v>3</v>
      </c>
    </row>
    <row r="251" spans="1:25" ht="15.75" x14ac:dyDescent="0.25">
      <c r="A251" s="31">
        <f>'M&amp;R Stations'!A237</f>
        <v>39196</v>
      </c>
      <c r="B251" s="240" t="s">
        <v>220</v>
      </c>
      <c r="C251" s="241" t="s">
        <v>220</v>
      </c>
      <c r="D251" s="201" t="s">
        <v>220</v>
      </c>
      <c r="E251" s="240">
        <v>0.35</v>
      </c>
      <c r="F251" s="241">
        <v>0.26</v>
      </c>
      <c r="G251" s="201">
        <f t="shared" si="44"/>
        <v>0.30499999999999999</v>
      </c>
      <c r="H251" s="240">
        <v>0.35</v>
      </c>
      <c r="I251" s="241">
        <v>0.26</v>
      </c>
      <c r="J251" s="201">
        <f t="shared" si="45"/>
        <v>0.30499999999999999</v>
      </c>
      <c r="K251" s="242">
        <v>0</v>
      </c>
      <c r="L251" s="274">
        <v>39196</v>
      </c>
      <c r="M251" s="240">
        <v>0.22</v>
      </c>
      <c r="N251" s="241">
        <v>0.19</v>
      </c>
      <c r="O251" s="201">
        <f t="shared" si="46"/>
        <v>0.20500000000000002</v>
      </c>
      <c r="P251" s="240">
        <v>0.22</v>
      </c>
      <c r="Q251" s="241">
        <v>0.19</v>
      </c>
      <c r="R251" s="201">
        <f t="shared" si="47"/>
        <v>0.20500000000000002</v>
      </c>
      <c r="S251" s="240">
        <v>0.22</v>
      </c>
      <c r="T251" s="241">
        <v>0.19</v>
      </c>
      <c r="U251" s="201">
        <f t="shared" si="48"/>
        <v>0.20500000000000002</v>
      </c>
      <c r="V251" s="240">
        <v>0</v>
      </c>
      <c r="W251" s="241">
        <v>0</v>
      </c>
      <c r="X251" s="201">
        <f t="shared" si="49"/>
        <v>0</v>
      </c>
      <c r="Y251" s="242">
        <v>3.476</v>
      </c>
    </row>
    <row r="252" spans="1:25" ht="15.75" x14ac:dyDescent="0.25">
      <c r="A252" s="31">
        <f>'M&amp;R Stations'!A238</f>
        <v>39197</v>
      </c>
      <c r="B252" s="240" t="s">
        <v>220</v>
      </c>
      <c r="C252" s="241" t="s">
        <v>220</v>
      </c>
      <c r="D252" s="201" t="s">
        <v>220</v>
      </c>
      <c r="E252" s="240">
        <v>0.3</v>
      </c>
      <c r="F252" s="241">
        <v>0.26</v>
      </c>
      <c r="G252" s="201">
        <f t="shared" si="44"/>
        <v>0.28000000000000003</v>
      </c>
      <c r="H252" s="240">
        <v>0.3</v>
      </c>
      <c r="I252" s="241">
        <v>0.26</v>
      </c>
      <c r="J252" s="201">
        <f t="shared" si="45"/>
        <v>0.28000000000000003</v>
      </c>
      <c r="K252" s="242">
        <v>0</v>
      </c>
      <c r="L252" s="274">
        <v>39197</v>
      </c>
      <c r="M252" s="240">
        <v>0.25</v>
      </c>
      <c r="N252" s="241">
        <v>0.22</v>
      </c>
      <c r="O252" s="201">
        <f t="shared" si="46"/>
        <v>0.23499999999999999</v>
      </c>
      <c r="P252" s="240">
        <v>0.25</v>
      </c>
      <c r="Q252" s="241">
        <v>0.22</v>
      </c>
      <c r="R252" s="201">
        <f t="shared" si="47"/>
        <v>0.23499999999999999</v>
      </c>
      <c r="S252" s="240">
        <v>0.22</v>
      </c>
      <c r="T252" s="241">
        <v>0.17</v>
      </c>
      <c r="U252" s="201">
        <f t="shared" si="48"/>
        <v>0.19500000000000001</v>
      </c>
      <c r="V252" s="240">
        <v>0</v>
      </c>
      <c r="W252" s="241">
        <v>0</v>
      </c>
      <c r="X252" s="201">
        <f t="shared" si="49"/>
        <v>0</v>
      </c>
      <c r="Y252" s="242">
        <v>4.0999999999999996</v>
      </c>
    </row>
    <row r="253" spans="1:25" ht="15.75" x14ac:dyDescent="0.25">
      <c r="A253" s="31">
        <f>'M&amp;R Stations'!A239</f>
        <v>39198</v>
      </c>
      <c r="B253" s="240" t="s">
        <v>220</v>
      </c>
      <c r="C253" s="241" t="s">
        <v>220</v>
      </c>
      <c r="D253" s="201" t="s">
        <v>220</v>
      </c>
      <c r="E253" s="240">
        <v>0.35</v>
      </c>
      <c r="F253" s="241">
        <v>0.3</v>
      </c>
      <c r="G253" s="201">
        <f t="shared" si="44"/>
        <v>0.32499999999999996</v>
      </c>
      <c r="H253" s="240">
        <v>0.35</v>
      </c>
      <c r="I253" s="241">
        <v>0.3</v>
      </c>
      <c r="J253" s="201">
        <f t="shared" si="45"/>
        <v>0.32499999999999996</v>
      </c>
      <c r="K253" s="242">
        <v>0</v>
      </c>
      <c r="L253" s="274">
        <v>39198</v>
      </c>
      <c r="M253" s="240">
        <v>0.22</v>
      </c>
      <c r="N253" s="241">
        <v>0.22</v>
      </c>
      <c r="O253" s="201">
        <f t="shared" si="46"/>
        <v>0.22</v>
      </c>
      <c r="P253" s="240">
        <v>0.22</v>
      </c>
      <c r="Q253" s="241">
        <v>0.22</v>
      </c>
      <c r="R253" s="201">
        <f t="shared" si="47"/>
        <v>0.22</v>
      </c>
      <c r="S253" s="240">
        <v>0.22</v>
      </c>
      <c r="T253" s="241">
        <v>0.22</v>
      </c>
      <c r="U253" s="201">
        <f t="shared" si="48"/>
        <v>0.22</v>
      </c>
      <c r="V253" s="240">
        <v>0</v>
      </c>
      <c r="W253" s="241">
        <v>0</v>
      </c>
      <c r="X253" s="201">
        <f t="shared" si="49"/>
        <v>0</v>
      </c>
      <c r="Y253" s="242">
        <v>4.99</v>
      </c>
    </row>
    <row r="254" spans="1:25" ht="15.75" x14ac:dyDescent="0.25">
      <c r="A254" s="31">
        <f>'M&amp;R Stations'!A240</f>
        <v>39199</v>
      </c>
      <c r="B254" s="240" t="s">
        <v>220</v>
      </c>
      <c r="C254" s="241" t="s">
        <v>220</v>
      </c>
      <c r="D254" s="201" t="s">
        <v>220</v>
      </c>
      <c r="E254" s="240">
        <v>0.35</v>
      </c>
      <c r="F254" s="241">
        <v>0.26</v>
      </c>
      <c r="G254" s="201">
        <f t="shared" si="44"/>
        <v>0.30499999999999999</v>
      </c>
      <c r="H254" s="240">
        <v>0.35</v>
      </c>
      <c r="I254" s="241">
        <v>0.26</v>
      </c>
      <c r="J254" s="201">
        <f t="shared" si="45"/>
        <v>0.30499999999999999</v>
      </c>
      <c r="K254" s="242">
        <v>0</v>
      </c>
      <c r="L254" s="274">
        <v>39199</v>
      </c>
      <c r="M254" s="240">
        <v>0.24</v>
      </c>
      <c r="N254" s="241">
        <v>0.19</v>
      </c>
      <c r="O254" s="201">
        <f t="shared" si="46"/>
        <v>0.215</v>
      </c>
      <c r="P254" s="240">
        <v>0.27</v>
      </c>
      <c r="Q254" s="241">
        <v>0.19</v>
      </c>
      <c r="R254" s="201">
        <f t="shared" si="47"/>
        <v>0.23</v>
      </c>
      <c r="S254" s="240">
        <v>0.27</v>
      </c>
      <c r="T254" s="241">
        <v>0.24</v>
      </c>
      <c r="U254" s="201">
        <f t="shared" si="48"/>
        <v>0.255</v>
      </c>
      <c r="V254" s="240">
        <v>0</v>
      </c>
      <c r="W254" s="241">
        <v>0</v>
      </c>
      <c r="X254" s="201">
        <f t="shared" si="49"/>
        <v>0</v>
      </c>
      <c r="Y254" s="242">
        <v>4.68</v>
      </c>
    </row>
    <row r="255" spans="1:25" ht="15.75" x14ac:dyDescent="0.25">
      <c r="A255" s="31">
        <f>'M&amp;R Stations'!A241</f>
        <v>39200</v>
      </c>
      <c r="B255" s="240" t="s">
        <v>220</v>
      </c>
      <c r="C255" s="241" t="s">
        <v>220</v>
      </c>
      <c r="D255" s="201" t="s">
        <v>220</v>
      </c>
      <c r="E255" s="240">
        <v>0.35</v>
      </c>
      <c r="F255" s="241">
        <v>0.26</v>
      </c>
      <c r="G255" s="201">
        <f t="shared" si="44"/>
        <v>0.30499999999999999</v>
      </c>
      <c r="H255" s="240">
        <v>0.35</v>
      </c>
      <c r="I255" s="241">
        <v>0.26</v>
      </c>
      <c r="J255" s="201">
        <f t="shared" si="45"/>
        <v>0.30499999999999999</v>
      </c>
      <c r="K255" s="242">
        <v>0</v>
      </c>
      <c r="L255" s="274">
        <v>39200</v>
      </c>
      <c r="M255" s="240">
        <v>0.24</v>
      </c>
      <c r="N255" s="241">
        <v>0.24</v>
      </c>
      <c r="O255" s="201">
        <f t="shared" si="46"/>
        <v>0.24</v>
      </c>
      <c r="P255" s="240">
        <v>0.24</v>
      </c>
      <c r="Q255" s="241">
        <v>0.24</v>
      </c>
      <c r="R255" s="201">
        <f t="shared" si="47"/>
        <v>0.24</v>
      </c>
      <c r="S255" s="240">
        <v>0.24</v>
      </c>
      <c r="T255" s="241">
        <v>0.24</v>
      </c>
      <c r="U255" s="201">
        <f t="shared" si="48"/>
        <v>0.24</v>
      </c>
      <c r="V255" s="240">
        <v>0</v>
      </c>
      <c r="W255" s="241">
        <v>0</v>
      </c>
      <c r="X255" s="201">
        <f t="shared" si="49"/>
        <v>0</v>
      </c>
      <c r="Y255" s="242">
        <v>3.88</v>
      </c>
    </row>
    <row r="256" spans="1:25" ht="15.75" x14ac:dyDescent="0.25">
      <c r="A256" s="31">
        <f>'M&amp;R Stations'!A242</f>
        <v>39201</v>
      </c>
      <c r="B256" s="240" t="s">
        <v>220</v>
      </c>
      <c r="C256" s="241" t="s">
        <v>220</v>
      </c>
      <c r="D256" s="201" t="s">
        <v>220</v>
      </c>
      <c r="E256" s="240">
        <v>0.35</v>
      </c>
      <c r="F256" s="241">
        <v>0.26</v>
      </c>
      <c r="G256" s="201">
        <f t="shared" si="44"/>
        <v>0.30499999999999999</v>
      </c>
      <c r="H256" s="240">
        <v>0.35</v>
      </c>
      <c r="I256" s="241">
        <v>0.26</v>
      </c>
      <c r="J256" s="201">
        <f t="shared" si="45"/>
        <v>0.30499999999999999</v>
      </c>
      <c r="K256" s="242">
        <v>0</v>
      </c>
      <c r="L256" s="274">
        <v>39201</v>
      </c>
      <c r="M256" s="240">
        <v>0.24</v>
      </c>
      <c r="N256" s="241">
        <v>0.21</v>
      </c>
      <c r="O256" s="201">
        <f t="shared" si="46"/>
        <v>0.22499999999999998</v>
      </c>
      <c r="P256" s="240">
        <v>0.24</v>
      </c>
      <c r="Q256" s="241">
        <v>0.24</v>
      </c>
      <c r="R256" s="201">
        <f t="shared" si="47"/>
        <v>0.24</v>
      </c>
      <c r="S256" s="240">
        <v>0.27</v>
      </c>
      <c r="T256" s="241">
        <v>0.24</v>
      </c>
      <c r="U256" s="201">
        <f t="shared" si="48"/>
        <v>0.255</v>
      </c>
      <c r="V256" s="240">
        <v>0</v>
      </c>
      <c r="W256" s="241">
        <v>0</v>
      </c>
      <c r="X256" s="201">
        <f t="shared" si="49"/>
        <v>0</v>
      </c>
      <c r="Y256" s="242">
        <v>3.87</v>
      </c>
    </row>
    <row r="257" spans="1:25" ht="15.75" x14ac:dyDescent="0.25">
      <c r="A257" s="31">
        <f>'M&amp;R Stations'!A243</f>
        <v>39202</v>
      </c>
      <c r="B257" s="240" t="s">
        <v>220</v>
      </c>
      <c r="C257" s="241" t="s">
        <v>220</v>
      </c>
      <c r="D257" s="201" t="s">
        <v>220</v>
      </c>
      <c r="E257" s="240">
        <v>0.35</v>
      </c>
      <c r="F257" s="241">
        <v>0.3</v>
      </c>
      <c r="G257" s="201">
        <f t="shared" si="44"/>
        <v>0.32499999999999996</v>
      </c>
      <c r="H257" s="240">
        <v>0.35</v>
      </c>
      <c r="I257" s="241">
        <v>0.3</v>
      </c>
      <c r="J257" s="201">
        <f t="shared" si="45"/>
        <v>0.32499999999999996</v>
      </c>
      <c r="K257" s="242">
        <v>0</v>
      </c>
      <c r="L257" s="274">
        <v>39202</v>
      </c>
      <c r="M257" s="240">
        <v>0.24</v>
      </c>
      <c r="N257" s="241">
        <v>0.21</v>
      </c>
      <c r="O257" s="201">
        <f t="shared" si="46"/>
        <v>0.22499999999999998</v>
      </c>
      <c r="P257" s="240">
        <v>0.24</v>
      </c>
      <c r="Q257" s="241">
        <v>0.24</v>
      </c>
      <c r="R257" s="201">
        <f t="shared" si="47"/>
        <v>0.24</v>
      </c>
      <c r="S257" s="240">
        <v>0.24</v>
      </c>
      <c r="T257" s="241">
        <v>0.24</v>
      </c>
      <c r="U257" s="201">
        <f t="shared" si="48"/>
        <v>0.24</v>
      </c>
      <c r="V257" s="240">
        <v>0</v>
      </c>
      <c r="W257" s="241">
        <v>0</v>
      </c>
      <c r="X257" s="201">
        <f t="shared" si="49"/>
        <v>0</v>
      </c>
      <c r="Y257" s="242">
        <v>4.22</v>
      </c>
    </row>
    <row r="258" spans="1:25" ht="15.75" x14ac:dyDescent="0.25">
      <c r="A258" s="179"/>
      <c r="B258" s="203"/>
      <c r="C258" s="204"/>
      <c r="D258" s="205"/>
      <c r="E258" s="203"/>
      <c r="F258" s="204"/>
      <c r="G258" s="205"/>
      <c r="H258" s="203"/>
      <c r="I258" s="204"/>
      <c r="J258" s="206"/>
      <c r="K258" s="208"/>
      <c r="L258" s="207"/>
      <c r="M258" s="203"/>
      <c r="N258" s="204"/>
      <c r="O258" s="206"/>
      <c r="P258" s="203"/>
      <c r="Q258" s="204"/>
      <c r="R258" s="206"/>
      <c r="S258" s="203"/>
      <c r="T258" s="204"/>
      <c r="U258" s="206"/>
      <c r="V258" s="203"/>
      <c r="W258" s="204"/>
      <c r="X258" s="206"/>
      <c r="Y258" s="208"/>
    </row>
    <row r="259" spans="1:25" ht="15.75" x14ac:dyDescent="0.25">
      <c r="A259" s="31">
        <f>'M&amp;R Stations'!A244</f>
        <v>39203</v>
      </c>
      <c r="B259" s="240" t="s">
        <v>220</v>
      </c>
      <c r="C259" s="241" t="s">
        <v>220</v>
      </c>
      <c r="D259" s="201" t="s">
        <v>220</v>
      </c>
      <c r="E259" s="240">
        <v>0.35</v>
      </c>
      <c r="F259" s="241">
        <v>0.26</v>
      </c>
      <c r="G259" s="201">
        <f t="shared" ref="G259:G322" si="50">IF(AND(E259="",F259=""),"",IF(E259="off",F259,IF(F259="off",E259,AVERAGE(E259:F259))))</f>
        <v>0.30499999999999999</v>
      </c>
      <c r="H259" s="240">
        <v>0.35</v>
      </c>
      <c r="I259" s="241">
        <v>0.26</v>
      </c>
      <c r="J259" s="201">
        <f t="shared" ref="J259:J289" si="51">IF(AND(H259="",I259=""),"",IF(H259="off",I259,IF(I259="off",H259,AVERAGE(H259:I259))))</f>
        <v>0.30499999999999999</v>
      </c>
      <c r="K259" s="242">
        <v>0</v>
      </c>
      <c r="L259" s="274">
        <v>39203</v>
      </c>
      <c r="M259" s="240">
        <v>0.24</v>
      </c>
      <c r="N259" s="241">
        <v>0.21</v>
      </c>
      <c r="O259" s="201">
        <f t="shared" ref="O259:O289" si="52">IF(AND(M259="",N259=""),"",IF(M259="off",N259,IF(N259="off",M259,AVERAGE(M259:N259))))</f>
        <v>0.22499999999999998</v>
      </c>
      <c r="P259" s="240">
        <v>0.24</v>
      </c>
      <c r="Q259" s="241">
        <v>0.21</v>
      </c>
      <c r="R259" s="201">
        <f t="shared" ref="R259:R289" si="53">IF(AND(P259="",Q259=""),"",IF(P259="off",Q259,IF(Q259="off",P259,AVERAGE(P259:Q259))))</f>
        <v>0.22499999999999998</v>
      </c>
      <c r="S259" s="240">
        <v>0.24</v>
      </c>
      <c r="T259" s="241">
        <v>0.21</v>
      </c>
      <c r="U259" s="201">
        <f t="shared" ref="U259:U289" si="54">IF(AND(S259="",T259=""),"",IF(S259="off",T259,IF(T259="off",S259,AVERAGE(S259:T259))))</f>
        <v>0.22499999999999998</v>
      </c>
      <c r="V259" s="240">
        <v>0</v>
      </c>
      <c r="W259" s="241">
        <v>0</v>
      </c>
      <c r="X259" s="201">
        <f t="shared" ref="X259:X289" si="55">IF(AND(V259="",W259=""),"",IF(V259="off",W259,IF(W259="off",V259,AVERAGE(V259:W259))))</f>
        <v>0</v>
      </c>
      <c r="Y259" s="242">
        <v>4.9509999999999996</v>
      </c>
    </row>
    <row r="260" spans="1:25" ht="15.75" x14ac:dyDescent="0.25">
      <c r="A260" s="31">
        <f>'M&amp;R Stations'!A245</f>
        <v>39204</v>
      </c>
      <c r="B260" s="240" t="s">
        <v>220</v>
      </c>
      <c r="C260" s="241" t="s">
        <v>220</v>
      </c>
      <c r="D260" s="201" t="s">
        <v>220</v>
      </c>
      <c r="E260" s="240">
        <v>0.3</v>
      </c>
      <c r="F260" s="241">
        <v>0.26</v>
      </c>
      <c r="G260" s="201">
        <f t="shared" si="50"/>
        <v>0.28000000000000003</v>
      </c>
      <c r="H260" s="240">
        <v>0.3</v>
      </c>
      <c r="I260" s="241">
        <v>0.26</v>
      </c>
      <c r="J260" s="201">
        <f t="shared" si="51"/>
        <v>0.28000000000000003</v>
      </c>
      <c r="K260" s="242">
        <v>0</v>
      </c>
      <c r="L260" s="274">
        <v>39204</v>
      </c>
      <c r="M260" s="240">
        <v>0.27</v>
      </c>
      <c r="N260" s="241">
        <v>0.24</v>
      </c>
      <c r="O260" s="201">
        <f t="shared" si="52"/>
        <v>0.255</v>
      </c>
      <c r="P260" s="240">
        <v>0.24</v>
      </c>
      <c r="Q260" s="241">
        <v>0.24</v>
      </c>
      <c r="R260" s="201">
        <f t="shared" si="53"/>
        <v>0.24</v>
      </c>
      <c r="S260" s="240">
        <v>0.24</v>
      </c>
      <c r="T260" s="241">
        <v>0.21</v>
      </c>
      <c r="U260" s="201">
        <f t="shared" si="54"/>
        <v>0.22499999999999998</v>
      </c>
      <c r="V260" s="240">
        <v>0</v>
      </c>
      <c r="W260" s="241">
        <v>0</v>
      </c>
      <c r="X260" s="201">
        <f t="shared" si="55"/>
        <v>0</v>
      </c>
      <c r="Y260" s="242">
        <v>5.08</v>
      </c>
    </row>
    <row r="261" spans="1:25" ht="15.75" x14ac:dyDescent="0.25">
      <c r="A261" s="31">
        <f>'M&amp;R Stations'!A246</f>
        <v>39205</v>
      </c>
      <c r="B261" s="240" t="s">
        <v>220</v>
      </c>
      <c r="C261" s="241" t="s">
        <v>220</v>
      </c>
      <c r="D261" s="201" t="s">
        <v>220</v>
      </c>
      <c r="E261" s="240">
        <v>0.35</v>
      </c>
      <c r="F261" s="241">
        <v>0.26</v>
      </c>
      <c r="G261" s="201">
        <f t="shared" si="50"/>
        <v>0.30499999999999999</v>
      </c>
      <c r="H261" s="240">
        <v>0.35</v>
      </c>
      <c r="I261" s="241">
        <v>0.26</v>
      </c>
      <c r="J261" s="201">
        <f t="shared" si="51"/>
        <v>0.30499999999999999</v>
      </c>
      <c r="K261" s="242">
        <v>0</v>
      </c>
      <c r="L261" s="274">
        <v>39205</v>
      </c>
      <c r="M261" s="240">
        <v>0.27</v>
      </c>
      <c r="N261" s="241">
        <v>0.21</v>
      </c>
      <c r="O261" s="201">
        <f t="shared" si="52"/>
        <v>0.24</v>
      </c>
      <c r="P261" s="240">
        <v>0.24</v>
      </c>
      <c r="Q261" s="241">
        <v>0.21</v>
      </c>
      <c r="R261" s="201">
        <f t="shared" si="53"/>
        <v>0.22499999999999998</v>
      </c>
      <c r="S261" s="240">
        <v>0.24</v>
      </c>
      <c r="T261" s="241">
        <v>0.21</v>
      </c>
      <c r="U261" s="201">
        <f t="shared" si="54"/>
        <v>0.22499999999999998</v>
      </c>
      <c r="V261" s="240">
        <v>0</v>
      </c>
      <c r="W261" s="241">
        <v>0</v>
      </c>
      <c r="X261" s="201">
        <f t="shared" si="55"/>
        <v>0</v>
      </c>
      <c r="Y261" s="242">
        <v>4.9509999999999996</v>
      </c>
    </row>
    <row r="262" spans="1:25" ht="15.75" x14ac:dyDescent="0.25">
      <c r="A262" s="31">
        <f>'M&amp;R Stations'!A247</f>
        <v>39206</v>
      </c>
      <c r="B262" s="240" t="s">
        <v>220</v>
      </c>
      <c r="C262" s="241" t="s">
        <v>220</v>
      </c>
      <c r="D262" s="201" t="s">
        <v>220</v>
      </c>
      <c r="E262" s="240">
        <v>0.35</v>
      </c>
      <c r="F262" s="241">
        <v>0.26</v>
      </c>
      <c r="G262" s="201">
        <f t="shared" si="50"/>
        <v>0.30499999999999999</v>
      </c>
      <c r="H262" s="240">
        <v>0.35</v>
      </c>
      <c r="I262" s="241">
        <v>0.26</v>
      </c>
      <c r="J262" s="201">
        <f t="shared" si="51"/>
        <v>0.30499999999999999</v>
      </c>
      <c r="K262" s="242">
        <v>0</v>
      </c>
      <c r="L262" s="274">
        <v>39206</v>
      </c>
      <c r="M262" s="240">
        <v>0.27</v>
      </c>
      <c r="N262" s="241">
        <v>0.21</v>
      </c>
      <c r="O262" s="201">
        <f t="shared" si="52"/>
        <v>0.24</v>
      </c>
      <c r="P262" s="240">
        <v>0.31</v>
      </c>
      <c r="Q262" s="241">
        <v>0.24</v>
      </c>
      <c r="R262" s="201">
        <f t="shared" si="53"/>
        <v>0.27500000000000002</v>
      </c>
      <c r="S262" s="240">
        <v>0.24</v>
      </c>
      <c r="T262" s="241">
        <v>0.21</v>
      </c>
      <c r="U262" s="201">
        <f t="shared" si="54"/>
        <v>0.22499999999999998</v>
      </c>
      <c r="V262" s="240">
        <v>0</v>
      </c>
      <c r="W262" s="241">
        <v>0</v>
      </c>
      <c r="X262" s="201">
        <f t="shared" si="55"/>
        <v>0</v>
      </c>
      <c r="Y262" s="242">
        <v>3.24</v>
      </c>
    </row>
    <row r="263" spans="1:25" ht="15.75" x14ac:dyDescent="0.25">
      <c r="A263" s="31">
        <f>'M&amp;R Stations'!A248</f>
        <v>39207</v>
      </c>
      <c r="B263" s="240" t="s">
        <v>220</v>
      </c>
      <c r="C263" s="241" t="s">
        <v>220</v>
      </c>
      <c r="D263" s="201" t="s">
        <v>220</v>
      </c>
      <c r="E263" s="240">
        <v>0.35</v>
      </c>
      <c r="F263" s="241">
        <v>0.26</v>
      </c>
      <c r="G263" s="201">
        <f t="shared" si="50"/>
        <v>0.30499999999999999</v>
      </c>
      <c r="H263" s="240">
        <v>0.35</v>
      </c>
      <c r="I263" s="241">
        <v>0.26</v>
      </c>
      <c r="J263" s="201">
        <f t="shared" si="51"/>
        <v>0.30499999999999999</v>
      </c>
      <c r="K263" s="242">
        <v>0</v>
      </c>
      <c r="L263" s="274">
        <v>39207</v>
      </c>
      <c r="M263" s="240">
        <v>0.27</v>
      </c>
      <c r="N263" s="241">
        <v>0.24</v>
      </c>
      <c r="O263" s="201">
        <f t="shared" si="52"/>
        <v>0.255</v>
      </c>
      <c r="P263" s="240">
        <v>0.24</v>
      </c>
      <c r="Q263" s="241">
        <v>0.24</v>
      </c>
      <c r="R263" s="201">
        <f t="shared" si="53"/>
        <v>0.24</v>
      </c>
      <c r="S263" s="240">
        <v>0.24</v>
      </c>
      <c r="T263" s="241">
        <v>0.21</v>
      </c>
      <c r="U263" s="201">
        <f t="shared" si="54"/>
        <v>0.22499999999999998</v>
      </c>
      <c r="V263" s="240">
        <v>0</v>
      </c>
      <c r="W263" s="241">
        <v>0</v>
      </c>
      <c r="X263" s="201">
        <f t="shared" si="55"/>
        <v>0</v>
      </c>
      <c r="Y263" s="242">
        <v>4.2889999999999997</v>
      </c>
    </row>
    <row r="264" spans="1:25" ht="15.75" x14ac:dyDescent="0.25">
      <c r="A264" s="31">
        <f>'M&amp;R Stations'!A249</f>
        <v>39208</v>
      </c>
      <c r="B264" s="240" t="s">
        <v>220</v>
      </c>
      <c r="C264" s="241" t="s">
        <v>220</v>
      </c>
      <c r="D264" s="201" t="s">
        <v>220</v>
      </c>
      <c r="E264" s="240">
        <v>0.35</v>
      </c>
      <c r="F264" s="241">
        <v>0.3</v>
      </c>
      <c r="G264" s="201">
        <f t="shared" si="50"/>
        <v>0.32499999999999996</v>
      </c>
      <c r="H264" s="240">
        <v>0.35</v>
      </c>
      <c r="I264" s="241">
        <v>0.3</v>
      </c>
      <c r="J264" s="201">
        <f t="shared" si="51"/>
        <v>0.32499999999999996</v>
      </c>
      <c r="K264" s="242">
        <v>0</v>
      </c>
      <c r="L264" s="274">
        <v>39208</v>
      </c>
      <c r="M264" s="240">
        <v>0.27</v>
      </c>
      <c r="N264" s="241">
        <v>0.21</v>
      </c>
      <c r="O264" s="201">
        <f t="shared" si="52"/>
        <v>0.24</v>
      </c>
      <c r="P264" s="240">
        <v>0.27</v>
      </c>
      <c r="Q264" s="241">
        <v>0.21</v>
      </c>
      <c r="R264" s="201">
        <f t="shared" si="53"/>
        <v>0.24</v>
      </c>
      <c r="S264" s="240">
        <v>0.27</v>
      </c>
      <c r="T264" s="241">
        <v>0.24</v>
      </c>
      <c r="U264" s="201">
        <f t="shared" si="54"/>
        <v>0.255</v>
      </c>
      <c r="V264" s="240">
        <v>0</v>
      </c>
      <c r="W264" s="241">
        <v>0</v>
      </c>
      <c r="X264" s="201">
        <f t="shared" si="55"/>
        <v>0</v>
      </c>
      <c r="Y264" s="242">
        <v>5.3</v>
      </c>
    </row>
    <row r="265" spans="1:25" ht="15.75" x14ac:dyDescent="0.25">
      <c r="A265" s="31">
        <f>'M&amp;R Stations'!A250</f>
        <v>39209</v>
      </c>
      <c r="B265" s="240" t="s">
        <v>220</v>
      </c>
      <c r="C265" s="241" t="s">
        <v>220</v>
      </c>
      <c r="D265" s="201" t="s">
        <v>220</v>
      </c>
      <c r="E265" s="240">
        <v>0.35</v>
      </c>
      <c r="F265" s="241">
        <v>0.3</v>
      </c>
      <c r="G265" s="201">
        <f t="shared" si="50"/>
        <v>0.32499999999999996</v>
      </c>
      <c r="H265" s="240">
        <v>0.35</v>
      </c>
      <c r="I265" s="241">
        <v>0.3</v>
      </c>
      <c r="J265" s="201">
        <f t="shared" si="51"/>
        <v>0.32499999999999996</v>
      </c>
      <c r="K265" s="242">
        <v>0</v>
      </c>
      <c r="L265" s="274">
        <v>39209</v>
      </c>
      <c r="M265" s="240">
        <v>0.27</v>
      </c>
      <c r="N265" s="241">
        <v>0.24</v>
      </c>
      <c r="O265" s="201">
        <f t="shared" si="52"/>
        <v>0.255</v>
      </c>
      <c r="P265" s="240">
        <v>0.27</v>
      </c>
      <c r="Q265" s="241">
        <v>0.24</v>
      </c>
      <c r="R265" s="201">
        <f t="shared" si="53"/>
        <v>0.255</v>
      </c>
      <c r="S265" s="240">
        <v>0.27</v>
      </c>
      <c r="T265" s="241">
        <v>0.24</v>
      </c>
      <c r="U265" s="201">
        <f t="shared" si="54"/>
        <v>0.255</v>
      </c>
      <c r="V265" s="240">
        <v>0</v>
      </c>
      <c r="W265" s="241">
        <v>0</v>
      </c>
      <c r="X265" s="201">
        <f t="shared" si="55"/>
        <v>0</v>
      </c>
      <c r="Y265" s="242">
        <v>5.41</v>
      </c>
    </row>
    <row r="266" spans="1:25" ht="15.75" x14ac:dyDescent="0.25">
      <c r="A266" s="31">
        <f>'M&amp;R Stations'!A251</f>
        <v>39210</v>
      </c>
      <c r="B266" s="240" t="s">
        <v>220</v>
      </c>
      <c r="C266" s="241" t="s">
        <v>220</v>
      </c>
      <c r="D266" s="201" t="s">
        <v>220</v>
      </c>
      <c r="E266" s="240">
        <v>0.35</v>
      </c>
      <c r="F266" s="241">
        <v>0.26</v>
      </c>
      <c r="G266" s="201">
        <f t="shared" si="50"/>
        <v>0.30499999999999999</v>
      </c>
      <c r="H266" s="240">
        <v>0.35</v>
      </c>
      <c r="I266" s="241">
        <v>0.26</v>
      </c>
      <c r="J266" s="201">
        <f t="shared" si="51"/>
        <v>0.30499999999999999</v>
      </c>
      <c r="K266" s="242">
        <v>0</v>
      </c>
      <c r="L266" s="274">
        <v>39210</v>
      </c>
      <c r="M266" s="240">
        <v>0.27</v>
      </c>
      <c r="N266" s="241">
        <v>0.24</v>
      </c>
      <c r="O266" s="201">
        <f t="shared" si="52"/>
        <v>0.255</v>
      </c>
      <c r="P266" s="240">
        <v>0.27</v>
      </c>
      <c r="Q266" s="241">
        <v>0.24</v>
      </c>
      <c r="R266" s="201">
        <f t="shared" si="53"/>
        <v>0.255</v>
      </c>
      <c r="S266" s="240">
        <v>0.27</v>
      </c>
      <c r="T266" s="241">
        <v>0.24</v>
      </c>
      <c r="U266" s="201">
        <f t="shared" si="54"/>
        <v>0.255</v>
      </c>
      <c r="V266" s="240">
        <v>0</v>
      </c>
      <c r="W266" s="241">
        <v>0</v>
      </c>
      <c r="X266" s="201">
        <f t="shared" si="55"/>
        <v>0</v>
      </c>
      <c r="Y266" s="242">
        <v>4.9009999999999998</v>
      </c>
    </row>
    <row r="267" spans="1:25" ht="15.75" x14ac:dyDescent="0.25">
      <c r="A267" s="31">
        <f>'M&amp;R Stations'!A252</f>
        <v>39211</v>
      </c>
      <c r="B267" s="240" t="s">
        <v>220</v>
      </c>
      <c r="C267" s="241" t="s">
        <v>220</v>
      </c>
      <c r="D267" s="201" t="s">
        <v>220</v>
      </c>
      <c r="E267" s="240">
        <v>0.3</v>
      </c>
      <c r="F267" s="241">
        <v>0.26</v>
      </c>
      <c r="G267" s="201">
        <f t="shared" si="50"/>
        <v>0.28000000000000003</v>
      </c>
      <c r="H267" s="240">
        <v>0.3</v>
      </c>
      <c r="I267" s="241">
        <v>0.26</v>
      </c>
      <c r="J267" s="201">
        <f t="shared" si="51"/>
        <v>0.28000000000000003</v>
      </c>
      <c r="K267" s="242">
        <v>0</v>
      </c>
      <c r="L267" s="274">
        <v>39211</v>
      </c>
      <c r="M267" s="240">
        <v>0.27</v>
      </c>
      <c r="N267" s="241">
        <v>0.24</v>
      </c>
      <c r="O267" s="201">
        <f t="shared" si="52"/>
        <v>0.255</v>
      </c>
      <c r="P267" s="240">
        <v>0.27</v>
      </c>
      <c r="Q267" s="241">
        <v>0.24</v>
      </c>
      <c r="R267" s="201">
        <f t="shared" si="53"/>
        <v>0.255</v>
      </c>
      <c r="S267" s="240">
        <v>0.27</v>
      </c>
      <c r="T267" s="241">
        <v>0.24</v>
      </c>
      <c r="U267" s="201">
        <f t="shared" si="54"/>
        <v>0.255</v>
      </c>
      <c r="V267" s="240">
        <v>0</v>
      </c>
      <c r="W267" s="241">
        <v>0</v>
      </c>
      <c r="X267" s="201">
        <f t="shared" si="55"/>
        <v>0</v>
      </c>
      <c r="Y267" s="242">
        <v>4.5750000000000002</v>
      </c>
    </row>
    <row r="268" spans="1:25" ht="15.75" x14ac:dyDescent="0.25">
      <c r="A268" s="31">
        <f>'M&amp;R Stations'!A253</f>
        <v>39212</v>
      </c>
      <c r="B268" s="240" t="s">
        <v>220</v>
      </c>
      <c r="C268" s="241" t="s">
        <v>220</v>
      </c>
      <c r="D268" s="201" t="s">
        <v>220</v>
      </c>
      <c r="E268" s="240">
        <v>0.3</v>
      </c>
      <c r="F268" s="241">
        <v>0.26</v>
      </c>
      <c r="G268" s="201">
        <f t="shared" si="50"/>
        <v>0.28000000000000003</v>
      </c>
      <c r="H268" s="240">
        <v>0.3</v>
      </c>
      <c r="I268" s="241">
        <v>0.26</v>
      </c>
      <c r="J268" s="201">
        <f t="shared" si="51"/>
        <v>0.28000000000000003</v>
      </c>
      <c r="K268" s="242">
        <v>0</v>
      </c>
      <c r="L268" s="274">
        <v>39212</v>
      </c>
      <c r="M268" s="240">
        <v>0.24</v>
      </c>
      <c r="N268" s="241">
        <v>0.21</v>
      </c>
      <c r="O268" s="201">
        <f t="shared" si="52"/>
        <v>0.22499999999999998</v>
      </c>
      <c r="P268" s="240">
        <v>0.24</v>
      </c>
      <c r="Q268" s="241">
        <v>0.21</v>
      </c>
      <c r="R268" s="201">
        <f t="shared" si="53"/>
        <v>0.22499999999999998</v>
      </c>
      <c r="S268" s="240">
        <v>0.24</v>
      </c>
      <c r="T268" s="241">
        <v>0.21</v>
      </c>
      <c r="U268" s="201">
        <f t="shared" si="54"/>
        <v>0.22499999999999998</v>
      </c>
      <c r="V268" s="240">
        <v>0</v>
      </c>
      <c r="W268" s="241">
        <v>0</v>
      </c>
      <c r="X268" s="201">
        <f t="shared" si="55"/>
        <v>0</v>
      </c>
      <c r="Y268" s="242">
        <v>4.2939999999999996</v>
      </c>
    </row>
    <row r="269" spans="1:25" ht="15.75" x14ac:dyDescent="0.25">
      <c r="A269" s="31">
        <f>'M&amp;R Stations'!A254</f>
        <v>39213</v>
      </c>
      <c r="B269" s="240" t="s">
        <v>220</v>
      </c>
      <c r="C269" s="241" t="s">
        <v>220</v>
      </c>
      <c r="D269" s="201" t="s">
        <v>220</v>
      </c>
      <c r="E269" s="240">
        <v>0.35</v>
      </c>
      <c r="F269" s="241">
        <v>0.26</v>
      </c>
      <c r="G269" s="201">
        <f t="shared" si="50"/>
        <v>0.30499999999999999</v>
      </c>
      <c r="H269" s="240">
        <v>0.35</v>
      </c>
      <c r="I269" s="241">
        <v>0.26</v>
      </c>
      <c r="J269" s="201">
        <f t="shared" si="51"/>
        <v>0.30499999999999999</v>
      </c>
      <c r="K269" s="242">
        <v>0</v>
      </c>
      <c r="L269" s="274">
        <v>39213</v>
      </c>
      <c r="M269" s="240">
        <v>0.27</v>
      </c>
      <c r="N269" s="241">
        <v>0.24</v>
      </c>
      <c r="O269" s="201">
        <f t="shared" si="52"/>
        <v>0.255</v>
      </c>
      <c r="P269" s="240">
        <v>0.27</v>
      </c>
      <c r="Q269" s="241">
        <v>0.24</v>
      </c>
      <c r="R269" s="201">
        <f t="shared" si="53"/>
        <v>0.255</v>
      </c>
      <c r="S269" s="240">
        <v>0.27</v>
      </c>
      <c r="T269" s="241">
        <v>0.24</v>
      </c>
      <c r="U269" s="201">
        <f t="shared" si="54"/>
        <v>0.255</v>
      </c>
      <c r="V269" s="240">
        <v>0</v>
      </c>
      <c r="W269" s="241">
        <v>0</v>
      </c>
      <c r="X269" s="201">
        <f t="shared" si="55"/>
        <v>0</v>
      </c>
      <c r="Y269" s="242">
        <v>4.2930000000000001</v>
      </c>
    </row>
    <row r="270" spans="1:25" ht="15.75" x14ac:dyDescent="0.25">
      <c r="A270" s="31">
        <f>'M&amp;R Stations'!A255</f>
        <v>39214</v>
      </c>
      <c r="B270" s="240" t="s">
        <v>220</v>
      </c>
      <c r="C270" s="241" t="s">
        <v>220</v>
      </c>
      <c r="D270" s="201" t="s">
        <v>220</v>
      </c>
      <c r="E270" s="240">
        <v>0.3</v>
      </c>
      <c r="F270" s="241">
        <v>0.3</v>
      </c>
      <c r="G270" s="201">
        <f t="shared" si="50"/>
        <v>0.3</v>
      </c>
      <c r="H270" s="240">
        <v>0.3</v>
      </c>
      <c r="I270" s="241">
        <v>0.26</v>
      </c>
      <c r="J270" s="201">
        <f t="shared" si="51"/>
        <v>0.28000000000000003</v>
      </c>
      <c r="K270" s="242">
        <v>0</v>
      </c>
      <c r="L270" s="274">
        <v>39214</v>
      </c>
      <c r="M270" s="240">
        <v>0.27</v>
      </c>
      <c r="N270" s="241">
        <v>0.21</v>
      </c>
      <c r="O270" s="201">
        <f t="shared" si="52"/>
        <v>0.24</v>
      </c>
      <c r="P270" s="240">
        <v>0.27</v>
      </c>
      <c r="Q270" s="241">
        <v>0.24</v>
      </c>
      <c r="R270" s="201">
        <f t="shared" si="53"/>
        <v>0.255</v>
      </c>
      <c r="S270" s="240">
        <v>0.27</v>
      </c>
      <c r="T270" s="241">
        <v>0.24</v>
      </c>
      <c r="U270" s="201">
        <f t="shared" si="54"/>
        <v>0.255</v>
      </c>
      <c r="V270" s="240">
        <v>0</v>
      </c>
      <c r="W270" s="241">
        <v>0</v>
      </c>
      <c r="X270" s="201">
        <f t="shared" si="55"/>
        <v>0</v>
      </c>
      <c r="Y270" s="242">
        <v>4.4669999999999996</v>
      </c>
    </row>
    <row r="271" spans="1:25" ht="15.75" x14ac:dyDescent="0.25">
      <c r="A271" s="31">
        <f>'M&amp;R Stations'!A256</f>
        <v>39215</v>
      </c>
      <c r="B271" s="240" t="s">
        <v>220</v>
      </c>
      <c r="C271" s="241" t="s">
        <v>220</v>
      </c>
      <c r="D271" s="201" t="s">
        <v>220</v>
      </c>
      <c r="E271" s="240">
        <v>0.35</v>
      </c>
      <c r="F271" s="241">
        <v>0.3</v>
      </c>
      <c r="G271" s="201">
        <f t="shared" si="50"/>
        <v>0.32499999999999996</v>
      </c>
      <c r="H271" s="240">
        <v>0.35</v>
      </c>
      <c r="I271" s="241">
        <v>0.3</v>
      </c>
      <c r="J271" s="201">
        <f t="shared" si="51"/>
        <v>0.32499999999999996</v>
      </c>
      <c r="K271" s="242">
        <v>0</v>
      </c>
      <c r="L271" s="274">
        <v>39215</v>
      </c>
      <c r="M271" s="240">
        <v>0.27</v>
      </c>
      <c r="N271" s="241">
        <v>0.24</v>
      </c>
      <c r="O271" s="201">
        <f t="shared" si="52"/>
        <v>0.255</v>
      </c>
      <c r="P271" s="240">
        <v>0.27</v>
      </c>
      <c r="Q271" s="241">
        <v>0.21</v>
      </c>
      <c r="R271" s="201">
        <f t="shared" si="53"/>
        <v>0.24</v>
      </c>
      <c r="S271" s="240">
        <v>0.27</v>
      </c>
      <c r="T271" s="241">
        <v>0.24</v>
      </c>
      <c r="U271" s="201">
        <f t="shared" si="54"/>
        <v>0.255</v>
      </c>
      <c r="V271" s="240">
        <v>0</v>
      </c>
      <c r="W271" s="241">
        <v>0</v>
      </c>
      <c r="X271" s="201">
        <f t="shared" si="55"/>
        <v>0</v>
      </c>
      <c r="Y271" s="242">
        <v>5.0279999999999996</v>
      </c>
    </row>
    <row r="272" spans="1:25" ht="15.75" x14ac:dyDescent="0.25">
      <c r="A272" s="31">
        <f>'M&amp;R Stations'!A257</f>
        <v>39216</v>
      </c>
      <c r="B272" s="240" t="s">
        <v>220</v>
      </c>
      <c r="C272" s="241" t="s">
        <v>220</v>
      </c>
      <c r="D272" s="201" t="s">
        <v>220</v>
      </c>
      <c r="E272" s="240">
        <v>0.35</v>
      </c>
      <c r="F272" s="241">
        <v>0.3</v>
      </c>
      <c r="G272" s="201">
        <f t="shared" si="50"/>
        <v>0.32499999999999996</v>
      </c>
      <c r="H272" s="240">
        <v>0.35</v>
      </c>
      <c r="I272" s="241">
        <v>0.26</v>
      </c>
      <c r="J272" s="201">
        <f t="shared" si="51"/>
        <v>0.30499999999999999</v>
      </c>
      <c r="K272" s="242">
        <v>0</v>
      </c>
      <c r="L272" s="274">
        <v>39216</v>
      </c>
      <c r="M272" s="240">
        <v>0.27</v>
      </c>
      <c r="N272" s="241">
        <v>0.24</v>
      </c>
      <c r="O272" s="201">
        <f t="shared" si="52"/>
        <v>0.255</v>
      </c>
      <c r="P272" s="240">
        <v>0.27</v>
      </c>
      <c r="Q272" s="241">
        <v>0.24</v>
      </c>
      <c r="R272" s="201">
        <f t="shared" si="53"/>
        <v>0.255</v>
      </c>
      <c r="S272" s="240">
        <v>0.27</v>
      </c>
      <c r="T272" s="241">
        <v>0.24</v>
      </c>
      <c r="U272" s="201">
        <f t="shared" si="54"/>
        <v>0.255</v>
      </c>
      <c r="V272" s="240">
        <v>0</v>
      </c>
      <c r="W272" s="241">
        <v>0</v>
      </c>
      <c r="X272" s="201">
        <f t="shared" si="55"/>
        <v>0</v>
      </c>
      <c r="Y272" s="242">
        <v>4.9050000000000002</v>
      </c>
    </row>
    <row r="273" spans="1:25" ht="15.75" x14ac:dyDescent="0.25">
      <c r="A273" s="31">
        <f>'M&amp;R Stations'!A258</f>
        <v>39217</v>
      </c>
      <c r="B273" s="240" t="s">
        <v>220</v>
      </c>
      <c r="C273" s="241" t="s">
        <v>220</v>
      </c>
      <c r="D273" s="201" t="s">
        <v>220</v>
      </c>
      <c r="E273" s="240">
        <v>0.35</v>
      </c>
      <c r="F273" s="241">
        <v>0.26</v>
      </c>
      <c r="G273" s="201">
        <f t="shared" si="50"/>
        <v>0.30499999999999999</v>
      </c>
      <c r="H273" s="240">
        <v>0.35</v>
      </c>
      <c r="I273" s="241">
        <v>0.26</v>
      </c>
      <c r="J273" s="201">
        <f t="shared" si="51"/>
        <v>0.30499999999999999</v>
      </c>
      <c r="K273" s="242">
        <v>0</v>
      </c>
      <c r="L273" s="274">
        <v>39217</v>
      </c>
      <c r="M273" s="240">
        <v>0.27</v>
      </c>
      <c r="N273" s="241">
        <v>0.21</v>
      </c>
      <c r="O273" s="201">
        <f t="shared" si="52"/>
        <v>0.24</v>
      </c>
      <c r="P273" s="240">
        <v>0.27</v>
      </c>
      <c r="Q273" s="241">
        <v>0.24</v>
      </c>
      <c r="R273" s="201">
        <f t="shared" si="53"/>
        <v>0.255</v>
      </c>
      <c r="S273" s="240">
        <v>0.27</v>
      </c>
      <c r="T273" s="241">
        <v>0.24</v>
      </c>
      <c r="U273" s="201">
        <f t="shared" si="54"/>
        <v>0.255</v>
      </c>
      <c r="V273" s="240">
        <v>0</v>
      </c>
      <c r="W273" s="241">
        <v>0</v>
      </c>
      <c r="X273" s="201">
        <f t="shared" si="55"/>
        <v>0</v>
      </c>
      <c r="Y273" s="242">
        <v>4.742</v>
      </c>
    </row>
    <row r="274" spans="1:25" ht="15.75" x14ac:dyDescent="0.25">
      <c r="A274" s="31">
        <f>'M&amp;R Stations'!A259</f>
        <v>39218</v>
      </c>
      <c r="B274" s="240" t="s">
        <v>220</v>
      </c>
      <c r="C274" s="241" t="s">
        <v>220</v>
      </c>
      <c r="D274" s="201" t="s">
        <v>220</v>
      </c>
      <c r="E274" s="240">
        <v>0.35</v>
      </c>
      <c r="F274" s="241">
        <v>0.26</v>
      </c>
      <c r="G274" s="201">
        <f t="shared" si="50"/>
        <v>0.30499999999999999</v>
      </c>
      <c r="H274" s="240">
        <v>0.35</v>
      </c>
      <c r="I274" s="241">
        <v>0.26</v>
      </c>
      <c r="J274" s="201">
        <f t="shared" si="51"/>
        <v>0.30499999999999999</v>
      </c>
      <c r="K274" s="242">
        <v>0</v>
      </c>
      <c r="L274" s="274">
        <v>39218</v>
      </c>
      <c r="M274" s="240">
        <v>0.27</v>
      </c>
      <c r="N274" s="241">
        <v>0.24</v>
      </c>
      <c r="O274" s="201">
        <f t="shared" si="52"/>
        <v>0.255</v>
      </c>
      <c r="P274" s="240">
        <v>0.27</v>
      </c>
      <c r="Q274" s="241">
        <v>0.24</v>
      </c>
      <c r="R274" s="201">
        <f t="shared" si="53"/>
        <v>0.255</v>
      </c>
      <c r="S274" s="240">
        <v>0.27</v>
      </c>
      <c r="T274" s="241">
        <v>0.24</v>
      </c>
      <c r="U274" s="201">
        <f t="shared" si="54"/>
        <v>0.255</v>
      </c>
      <c r="V274" s="240">
        <v>0</v>
      </c>
      <c r="W274" s="241">
        <v>0</v>
      </c>
      <c r="X274" s="201">
        <f t="shared" si="55"/>
        <v>0</v>
      </c>
      <c r="Y274" s="242">
        <v>4.7709999999999999</v>
      </c>
    </row>
    <row r="275" spans="1:25" ht="15.75" x14ac:dyDescent="0.25">
      <c r="A275" s="31">
        <f>'M&amp;R Stations'!A260</f>
        <v>39219</v>
      </c>
      <c r="B275" s="240" t="s">
        <v>220</v>
      </c>
      <c r="C275" s="241" t="s">
        <v>220</v>
      </c>
      <c r="D275" s="201" t="s">
        <v>220</v>
      </c>
      <c r="E275" s="240">
        <v>0.35</v>
      </c>
      <c r="F275" s="241">
        <v>0.26</v>
      </c>
      <c r="G275" s="201">
        <f t="shared" si="50"/>
        <v>0.30499999999999999</v>
      </c>
      <c r="H275" s="240">
        <v>0.35</v>
      </c>
      <c r="I275" s="241">
        <v>0.26</v>
      </c>
      <c r="J275" s="201">
        <f t="shared" si="51"/>
        <v>0.30499999999999999</v>
      </c>
      <c r="K275" s="242">
        <v>0</v>
      </c>
      <c r="L275" s="274">
        <v>39219</v>
      </c>
      <c r="M275" s="240">
        <v>0.24</v>
      </c>
      <c r="N275" s="241">
        <v>0.21</v>
      </c>
      <c r="O275" s="201">
        <f t="shared" si="52"/>
        <v>0.22499999999999998</v>
      </c>
      <c r="P275" s="240">
        <v>0.24</v>
      </c>
      <c r="Q275" s="241">
        <v>0.21</v>
      </c>
      <c r="R275" s="201">
        <f t="shared" si="53"/>
        <v>0.22499999999999998</v>
      </c>
      <c r="S275" s="240">
        <v>0.27</v>
      </c>
      <c r="T275" s="241">
        <v>0.21</v>
      </c>
      <c r="U275" s="201">
        <f t="shared" si="54"/>
        <v>0.24</v>
      </c>
      <c r="V275" s="240">
        <v>0</v>
      </c>
      <c r="W275" s="241">
        <v>0</v>
      </c>
      <c r="X275" s="201">
        <f t="shared" si="55"/>
        <v>0</v>
      </c>
      <c r="Y275" s="242">
        <v>0.48280000000000001</v>
      </c>
    </row>
    <row r="276" spans="1:25" ht="15.75" x14ac:dyDescent="0.25">
      <c r="A276" s="31">
        <f>'M&amp;R Stations'!A261</f>
        <v>39220</v>
      </c>
      <c r="B276" s="240" t="s">
        <v>220</v>
      </c>
      <c r="C276" s="241" t="s">
        <v>220</v>
      </c>
      <c r="D276" s="201" t="s">
        <v>220</v>
      </c>
      <c r="E276" s="240">
        <v>0.3</v>
      </c>
      <c r="F276" s="241">
        <v>0.26</v>
      </c>
      <c r="G276" s="201">
        <f t="shared" si="50"/>
        <v>0.28000000000000003</v>
      </c>
      <c r="H276" s="240">
        <v>0.3</v>
      </c>
      <c r="I276" s="241">
        <v>0.26</v>
      </c>
      <c r="J276" s="201">
        <f t="shared" si="51"/>
        <v>0.28000000000000003</v>
      </c>
      <c r="K276" s="242">
        <v>0</v>
      </c>
      <c r="L276" s="274">
        <v>39220</v>
      </c>
      <c r="M276" s="240">
        <v>0.24</v>
      </c>
      <c r="N276" s="241">
        <v>0.24</v>
      </c>
      <c r="O276" s="201">
        <f t="shared" si="52"/>
        <v>0.24</v>
      </c>
      <c r="P276" s="240">
        <v>0.24</v>
      </c>
      <c r="Q276" s="241">
        <v>0.24</v>
      </c>
      <c r="R276" s="201">
        <f t="shared" si="53"/>
        <v>0.24</v>
      </c>
      <c r="S276" s="240">
        <v>0.24</v>
      </c>
      <c r="T276" s="241">
        <v>0.24</v>
      </c>
      <c r="U276" s="201">
        <f t="shared" si="54"/>
        <v>0.24</v>
      </c>
      <c r="V276" s="240">
        <v>0</v>
      </c>
      <c r="W276" s="241">
        <v>0</v>
      </c>
      <c r="X276" s="201">
        <f t="shared" si="55"/>
        <v>0</v>
      </c>
      <c r="Y276" s="242">
        <v>4.9459999999999997</v>
      </c>
    </row>
    <row r="277" spans="1:25" ht="15.75" x14ac:dyDescent="0.25">
      <c r="A277" s="31">
        <f>'M&amp;R Stations'!A262</f>
        <v>39221</v>
      </c>
      <c r="B277" s="240" t="s">
        <v>220</v>
      </c>
      <c r="C277" s="241" t="s">
        <v>220</v>
      </c>
      <c r="D277" s="201" t="s">
        <v>220</v>
      </c>
      <c r="E277" s="240">
        <v>0.3</v>
      </c>
      <c r="F277" s="241">
        <v>0.26</v>
      </c>
      <c r="G277" s="201">
        <f t="shared" si="50"/>
        <v>0.28000000000000003</v>
      </c>
      <c r="H277" s="240">
        <v>0.3</v>
      </c>
      <c r="I277" s="241">
        <v>0.26</v>
      </c>
      <c r="J277" s="201">
        <f t="shared" si="51"/>
        <v>0.28000000000000003</v>
      </c>
      <c r="K277" s="242">
        <v>0</v>
      </c>
      <c r="L277" s="274">
        <v>39221</v>
      </c>
      <c r="M277" s="240">
        <v>0.24</v>
      </c>
      <c r="N277" s="241">
        <v>0.21</v>
      </c>
      <c r="O277" s="201">
        <f t="shared" si="52"/>
        <v>0.22499999999999998</v>
      </c>
      <c r="P277" s="240">
        <v>0.24</v>
      </c>
      <c r="Q277" s="241">
        <v>0.24</v>
      </c>
      <c r="R277" s="201">
        <f t="shared" si="53"/>
        <v>0.24</v>
      </c>
      <c r="S277" s="240">
        <v>0.24</v>
      </c>
      <c r="T277" s="241">
        <v>0.24</v>
      </c>
      <c r="U277" s="201">
        <f t="shared" si="54"/>
        <v>0.24</v>
      </c>
      <c r="V277" s="240">
        <v>0</v>
      </c>
      <c r="W277" s="241">
        <v>0</v>
      </c>
      <c r="X277" s="201">
        <f t="shared" si="55"/>
        <v>0</v>
      </c>
      <c r="Y277" s="242">
        <v>4.5990000000000002</v>
      </c>
    </row>
    <row r="278" spans="1:25" ht="15.75" x14ac:dyDescent="0.25">
      <c r="A278" s="31">
        <f>'M&amp;R Stations'!A263</f>
        <v>39222</v>
      </c>
      <c r="B278" s="240" t="s">
        <v>220</v>
      </c>
      <c r="C278" s="241" t="s">
        <v>220</v>
      </c>
      <c r="D278" s="201" t="s">
        <v>220</v>
      </c>
      <c r="E278" s="240">
        <v>0.35</v>
      </c>
      <c r="F278" s="241">
        <v>0.26</v>
      </c>
      <c r="G278" s="201">
        <f t="shared" si="50"/>
        <v>0.30499999999999999</v>
      </c>
      <c r="H278" s="240">
        <v>0.35</v>
      </c>
      <c r="I278" s="241">
        <v>0.26</v>
      </c>
      <c r="J278" s="201">
        <f t="shared" si="51"/>
        <v>0.30499999999999999</v>
      </c>
      <c r="K278" s="242">
        <v>0</v>
      </c>
      <c r="L278" s="274">
        <v>39222</v>
      </c>
      <c r="M278" s="240">
        <v>0.27</v>
      </c>
      <c r="N278" s="241">
        <v>0.24</v>
      </c>
      <c r="O278" s="201">
        <f t="shared" si="52"/>
        <v>0.255</v>
      </c>
      <c r="P278" s="240">
        <v>0.27</v>
      </c>
      <c r="Q278" s="241">
        <v>0.21</v>
      </c>
      <c r="R278" s="201">
        <f t="shared" si="53"/>
        <v>0.24</v>
      </c>
      <c r="S278" s="240">
        <v>0.27</v>
      </c>
      <c r="T278" s="241">
        <v>0.27</v>
      </c>
      <c r="U278" s="201">
        <f t="shared" si="54"/>
        <v>0.27</v>
      </c>
      <c r="V278" s="240">
        <v>0</v>
      </c>
      <c r="W278" s="241">
        <v>0</v>
      </c>
      <c r="X278" s="201">
        <f t="shared" si="55"/>
        <v>0</v>
      </c>
      <c r="Y278" s="242">
        <v>4.2439999999999998</v>
      </c>
    </row>
    <row r="279" spans="1:25" ht="15.75" x14ac:dyDescent="0.25">
      <c r="A279" s="31">
        <f>'M&amp;R Stations'!A264</f>
        <v>39223</v>
      </c>
      <c r="B279" s="240" t="s">
        <v>220</v>
      </c>
      <c r="C279" s="241" t="s">
        <v>220</v>
      </c>
      <c r="D279" s="201" t="s">
        <v>220</v>
      </c>
      <c r="E279" s="240">
        <v>0.35</v>
      </c>
      <c r="F279" s="241">
        <v>0.3</v>
      </c>
      <c r="G279" s="201">
        <f t="shared" si="50"/>
        <v>0.32499999999999996</v>
      </c>
      <c r="H279" s="240">
        <v>0.35</v>
      </c>
      <c r="I279" s="241">
        <v>0.26</v>
      </c>
      <c r="J279" s="201">
        <f t="shared" si="51"/>
        <v>0.30499999999999999</v>
      </c>
      <c r="K279" s="242">
        <v>0</v>
      </c>
      <c r="L279" s="274">
        <v>39223</v>
      </c>
      <c r="M279" s="240">
        <v>0.27</v>
      </c>
      <c r="N279" s="241">
        <v>0.21</v>
      </c>
      <c r="O279" s="201">
        <f t="shared" si="52"/>
        <v>0.24</v>
      </c>
      <c r="P279" s="240">
        <v>0.27</v>
      </c>
      <c r="Q279" s="241">
        <v>0.24</v>
      </c>
      <c r="R279" s="201">
        <f t="shared" si="53"/>
        <v>0.255</v>
      </c>
      <c r="S279" s="240">
        <v>0.27</v>
      </c>
      <c r="T279" s="241">
        <v>0.24</v>
      </c>
      <c r="U279" s="201">
        <f t="shared" si="54"/>
        <v>0.255</v>
      </c>
      <c r="V279" s="240">
        <v>0</v>
      </c>
      <c r="W279" s="241">
        <v>0</v>
      </c>
      <c r="X279" s="201">
        <f t="shared" si="55"/>
        <v>0</v>
      </c>
      <c r="Y279" s="242">
        <v>4.5449999999999999</v>
      </c>
    </row>
    <row r="280" spans="1:25" ht="15.75" x14ac:dyDescent="0.25">
      <c r="A280" s="31">
        <f>'M&amp;R Stations'!A265</f>
        <v>39224</v>
      </c>
      <c r="B280" s="240" t="s">
        <v>220</v>
      </c>
      <c r="C280" s="241" t="s">
        <v>220</v>
      </c>
      <c r="D280" s="201" t="s">
        <v>220</v>
      </c>
      <c r="E280" s="240">
        <v>0.35</v>
      </c>
      <c r="F280" s="241">
        <v>0.26</v>
      </c>
      <c r="G280" s="201">
        <f t="shared" si="50"/>
        <v>0.30499999999999999</v>
      </c>
      <c r="H280" s="240">
        <v>0.35</v>
      </c>
      <c r="I280" s="241">
        <v>0.26</v>
      </c>
      <c r="J280" s="201">
        <f t="shared" si="51"/>
        <v>0.30499999999999999</v>
      </c>
      <c r="K280" s="242">
        <v>0</v>
      </c>
      <c r="L280" s="274">
        <v>39224</v>
      </c>
      <c r="M280" s="240">
        <v>0.27</v>
      </c>
      <c r="N280" s="241">
        <v>0.24</v>
      </c>
      <c r="O280" s="201">
        <f t="shared" si="52"/>
        <v>0.255</v>
      </c>
      <c r="P280" s="240">
        <v>0.27</v>
      </c>
      <c r="Q280" s="241">
        <v>0.24</v>
      </c>
      <c r="R280" s="201">
        <f t="shared" si="53"/>
        <v>0.255</v>
      </c>
      <c r="S280" s="240">
        <v>0.27</v>
      </c>
      <c r="T280" s="241">
        <v>0.24</v>
      </c>
      <c r="U280" s="201">
        <f t="shared" si="54"/>
        <v>0.255</v>
      </c>
      <c r="V280" s="240">
        <v>0</v>
      </c>
      <c r="W280" s="241">
        <v>0</v>
      </c>
      <c r="X280" s="201">
        <f t="shared" si="55"/>
        <v>0</v>
      </c>
      <c r="Y280" s="242">
        <v>4.6879999999999997</v>
      </c>
    </row>
    <row r="281" spans="1:25" ht="15.75" x14ac:dyDescent="0.25">
      <c r="A281" s="31">
        <f>'M&amp;R Stations'!A266</f>
        <v>39225</v>
      </c>
      <c r="B281" s="240" t="s">
        <v>220</v>
      </c>
      <c r="C281" s="241" t="s">
        <v>220</v>
      </c>
      <c r="D281" s="201" t="s">
        <v>220</v>
      </c>
      <c r="E281" s="240">
        <v>0.35</v>
      </c>
      <c r="F281" s="241">
        <v>0.26</v>
      </c>
      <c r="G281" s="201">
        <f t="shared" si="50"/>
        <v>0.30499999999999999</v>
      </c>
      <c r="H281" s="240">
        <v>0.35</v>
      </c>
      <c r="I281" s="241">
        <v>0.26</v>
      </c>
      <c r="J281" s="201">
        <f t="shared" si="51"/>
        <v>0.30499999999999999</v>
      </c>
      <c r="K281" s="242">
        <v>0</v>
      </c>
      <c r="L281" s="274">
        <v>39225</v>
      </c>
      <c r="M281" s="240">
        <v>0.27</v>
      </c>
      <c r="N281" s="241">
        <v>0.24</v>
      </c>
      <c r="O281" s="201">
        <f t="shared" si="52"/>
        <v>0.255</v>
      </c>
      <c r="P281" s="240">
        <v>0.24</v>
      </c>
      <c r="Q281" s="241">
        <v>0.24</v>
      </c>
      <c r="R281" s="201">
        <f t="shared" si="53"/>
        <v>0.24</v>
      </c>
      <c r="S281" s="240">
        <v>0.24</v>
      </c>
      <c r="T281" s="241">
        <v>0.24</v>
      </c>
      <c r="U281" s="201">
        <f t="shared" si="54"/>
        <v>0.24</v>
      </c>
      <c r="V281" s="240">
        <v>0</v>
      </c>
      <c r="W281" s="241">
        <v>0</v>
      </c>
      <c r="X281" s="201">
        <f t="shared" si="55"/>
        <v>0</v>
      </c>
      <c r="Y281" s="242">
        <v>4.5990000000000002</v>
      </c>
    </row>
    <row r="282" spans="1:25" ht="15.75" x14ac:dyDescent="0.25">
      <c r="A282" s="31">
        <f>'M&amp;R Stations'!A267</f>
        <v>39226</v>
      </c>
      <c r="B282" s="240" t="s">
        <v>220</v>
      </c>
      <c r="C282" s="241" t="s">
        <v>220</v>
      </c>
      <c r="D282" s="201" t="s">
        <v>220</v>
      </c>
      <c r="E282" s="240">
        <v>0.35</v>
      </c>
      <c r="F282" s="241">
        <v>0.26</v>
      </c>
      <c r="G282" s="201">
        <f t="shared" si="50"/>
        <v>0.30499999999999999</v>
      </c>
      <c r="H282" s="240">
        <v>0.35</v>
      </c>
      <c r="I282" s="241">
        <v>0.26</v>
      </c>
      <c r="J282" s="201">
        <f t="shared" si="51"/>
        <v>0.30499999999999999</v>
      </c>
      <c r="K282" s="242">
        <v>0</v>
      </c>
      <c r="L282" s="274">
        <v>39226</v>
      </c>
      <c r="M282" s="240">
        <v>0.24</v>
      </c>
      <c r="N282" s="241">
        <v>0.24</v>
      </c>
      <c r="O282" s="201">
        <f t="shared" si="52"/>
        <v>0.24</v>
      </c>
      <c r="P282" s="240">
        <v>0.27</v>
      </c>
      <c r="Q282" s="241">
        <v>0.24</v>
      </c>
      <c r="R282" s="201">
        <f t="shared" si="53"/>
        <v>0.255</v>
      </c>
      <c r="S282" s="240">
        <v>0.27</v>
      </c>
      <c r="T282" s="241">
        <v>0.24</v>
      </c>
      <c r="U282" s="201">
        <f t="shared" si="54"/>
        <v>0.255</v>
      </c>
      <c r="V282" s="240">
        <v>0</v>
      </c>
      <c r="W282" s="241">
        <v>0</v>
      </c>
      <c r="X282" s="201">
        <f t="shared" si="55"/>
        <v>0</v>
      </c>
      <c r="Y282" s="242">
        <v>4.085</v>
      </c>
    </row>
    <row r="283" spans="1:25" ht="15.75" x14ac:dyDescent="0.25">
      <c r="A283" s="31">
        <f>'M&amp;R Stations'!A268</f>
        <v>39227</v>
      </c>
      <c r="B283" s="240" t="s">
        <v>220</v>
      </c>
      <c r="C283" s="241" t="s">
        <v>220</v>
      </c>
      <c r="D283" s="201" t="s">
        <v>220</v>
      </c>
      <c r="E283" s="240">
        <v>0.3</v>
      </c>
      <c r="F283" s="241">
        <v>0.26</v>
      </c>
      <c r="G283" s="201">
        <f t="shared" si="50"/>
        <v>0.28000000000000003</v>
      </c>
      <c r="H283" s="240">
        <v>0.3</v>
      </c>
      <c r="I283" s="241">
        <v>0.26</v>
      </c>
      <c r="J283" s="201">
        <f t="shared" si="51"/>
        <v>0.28000000000000003</v>
      </c>
      <c r="K283" s="242">
        <v>0</v>
      </c>
      <c r="L283" s="274">
        <v>39227</v>
      </c>
      <c r="M283" s="240">
        <v>0.27</v>
      </c>
      <c r="N283" s="241">
        <v>0.21</v>
      </c>
      <c r="O283" s="201">
        <f t="shared" si="52"/>
        <v>0.24</v>
      </c>
      <c r="P283" s="240">
        <v>0.27</v>
      </c>
      <c r="Q283" s="241">
        <v>0.24</v>
      </c>
      <c r="R283" s="201">
        <f t="shared" si="53"/>
        <v>0.255</v>
      </c>
      <c r="S283" s="240">
        <v>0.27</v>
      </c>
      <c r="T283" s="241">
        <v>0.24</v>
      </c>
      <c r="U283" s="201">
        <f t="shared" si="54"/>
        <v>0.255</v>
      </c>
      <c r="V283" s="240">
        <v>0</v>
      </c>
      <c r="W283" s="241">
        <v>0</v>
      </c>
      <c r="X283" s="201">
        <f t="shared" si="55"/>
        <v>0</v>
      </c>
      <c r="Y283" s="242">
        <v>3.4889999999999999</v>
      </c>
    </row>
    <row r="284" spans="1:25" ht="15.75" x14ac:dyDescent="0.25">
      <c r="A284" s="31">
        <f>'M&amp;R Stations'!A269</f>
        <v>39228</v>
      </c>
      <c r="B284" s="240" t="s">
        <v>220</v>
      </c>
      <c r="C284" s="241" t="s">
        <v>220</v>
      </c>
      <c r="D284" s="201" t="s">
        <v>220</v>
      </c>
      <c r="E284" s="240">
        <v>0.3</v>
      </c>
      <c r="F284" s="241">
        <v>0.26</v>
      </c>
      <c r="G284" s="201">
        <f t="shared" si="50"/>
        <v>0.28000000000000003</v>
      </c>
      <c r="H284" s="240">
        <v>0.3</v>
      </c>
      <c r="I284" s="241">
        <v>0.26</v>
      </c>
      <c r="J284" s="201">
        <f t="shared" si="51"/>
        <v>0.28000000000000003</v>
      </c>
      <c r="K284" s="242">
        <v>0</v>
      </c>
      <c r="L284" s="274">
        <v>39228</v>
      </c>
      <c r="M284" s="240">
        <v>0.24</v>
      </c>
      <c r="N284" s="241">
        <v>0.21</v>
      </c>
      <c r="O284" s="201">
        <f t="shared" si="52"/>
        <v>0.22499999999999998</v>
      </c>
      <c r="P284" s="240">
        <v>0.24</v>
      </c>
      <c r="Q284" s="241">
        <v>0.21</v>
      </c>
      <c r="R284" s="201">
        <f t="shared" si="53"/>
        <v>0.22499999999999998</v>
      </c>
      <c r="S284" s="240">
        <v>0.24</v>
      </c>
      <c r="T284" s="241">
        <v>0.21</v>
      </c>
      <c r="U284" s="201">
        <f t="shared" si="54"/>
        <v>0.22499999999999998</v>
      </c>
      <c r="V284" s="240">
        <v>0</v>
      </c>
      <c r="W284" s="241">
        <v>0</v>
      </c>
      <c r="X284" s="201">
        <f t="shared" si="55"/>
        <v>0</v>
      </c>
      <c r="Y284" s="242">
        <v>3.8180000000000001</v>
      </c>
    </row>
    <row r="285" spans="1:25" ht="15.75" x14ac:dyDescent="0.25">
      <c r="A285" s="31">
        <f>'M&amp;R Stations'!A270</f>
        <v>39229</v>
      </c>
      <c r="B285" s="240" t="s">
        <v>220</v>
      </c>
      <c r="C285" s="241" t="s">
        <v>220</v>
      </c>
      <c r="D285" s="201" t="s">
        <v>220</v>
      </c>
      <c r="E285" s="240">
        <v>0.3</v>
      </c>
      <c r="F285" s="241">
        <v>0.3</v>
      </c>
      <c r="G285" s="201">
        <f t="shared" si="50"/>
        <v>0.3</v>
      </c>
      <c r="H285" s="240">
        <v>0.3</v>
      </c>
      <c r="I285" s="241">
        <v>0.3</v>
      </c>
      <c r="J285" s="201">
        <f t="shared" si="51"/>
        <v>0.3</v>
      </c>
      <c r="K285" s="242">
        <v>0</v>
      </c>
      <c r="L285" s="274">
        <v>39229</v>
      </c>
      <c r="M285" s="240">
        <v>0.27</v>
      </c>
      <c r="N285" s="241">
        <v>0.21</v>
      </c>
      <c r="O285" s="201">
        <f t="shared" si="52"/>
        <v>0.24</v>
      </c>
      <c r="P285" s="240">
        <v>0.24</v>
      </c>
      <c r="Q285" s="241">
        <v>0.21</v>
      </c>
      <c r="R285" s="201">
        <f t="shared" si="53"/>
        <v>0.22499999999999998</v>
      </c>
      <c r="S285" s="240">
        <v>0.24</v>
      </c>
      <c r="T285" s="241">
        <v>0.24</v>
      </c>
      <c r="U285" s="201">
        <f t="shared" si="54"/>
        <v>0.24</v>
      </c>
      <c r="V285" s="240">
        <v>0</v>
      </c>
      <c r="W285" s="241">
        <v>0</v>
      </c>
      <c r="X285" s="201">
        <f t="shared" si="55"/>
        <v>0</v>
      </c>
      <c r="Y285" s="242">
        <v>3.82</v>
      </c>
    </row>
    <row r="286" spans="1:25" ht="15.75" x14ac:dyDescent="0.25">
      <c r="A286" s="31">
        <f>'M&amp;R Stations'!A271</f>
        <v>39230</v>
      </c>
      <c r="B286" s="240" t="s">
        <v>220</v>
      </c>
      <c r="C286" s="241" t="s">
        <v>220</v>
      </c>
      <c r="D286" s="201" t="s">
        <v>220</v>
      </c>
      <c r="E286" s="240">
        <v>0.35</v>
      </c>
      <c r="F286" s="241">
        <v>0.3</v>
      </c>
      <c r="G286" s="201">
        <f t="shared" si="50"/>
        <v>0.32499999999999996</v>
      </c>
      <c r="H286" s="240">
        <v>0.35</v>
      </c>
      <c r="I286" s="241">
        <v>0.26</v>
      </c>
      <c r="J286" s="201">
        <f t="shared" si="51"/>
        <v>0.30499999999999999</v>
      </c>
      <c r="K286" s="242">
        <v>0</v>
      </c>
      <c r="L286" s="274">
        <v>39230</v>
      </c>
      <c r="M286" s="240">
        <v>0.27</v>
      </c>
      <c r="N286" s="241">
        <v>0.24</v>
      </c>
      <c r="O286" s="201">
        <f t="shared" si="52"/>
        <v>0.255</v>
      </c>
      <c r="P286" s="240">
        <v>0.27</v>
      </c>
      <c r="Q286" s="241">
        <v>0.24</v>
      </c>
      <c r="R286" s="201">
        <f t="shared" si="53"/>
        <v>0.255</v>
      </c>
      <c r="S286" s="240">
        <v>0.27</v>
      </c>
      <c r="T286" s="241">
        <v>0.24</v>
      </c>
      <c r="U286" s="201">
        <f t="shared" si="54"/>
        <v>0.255</v>
      </c>
      <c r="V286" s="240">
        <v>0</v>
      </c>
      <c r="W286" s="241">
        <v>0</v>
      </c>
      <c r="X286" s="201">
        <f t="shared" si="55"/>
        <v>0</v>
      </c>
      <c r="Y286" s="242">
        <v>3.6739999999999999</v>
      </c>
    </row>
    <row r="287" spans="1:25" ht="15.75" x14ac:dyDescent="0.25">
      <c r="A287" s="31">
        <f>'M&amp;R Stations'!A272</f>
        <v>39231</v>
      </c>
      <c r="B287" s="240" t="s">
        <v>220</v>
      </c>
      <c r="C287" s="241" t="s">
        <v>220</v>
      </c>
      <c r="D287" s="201" t="s">
        <v>220</v>
      </c>
      <c r="E287" s="240">
        <v>0.35</v>
      </c>
      <c r="F287" s="241">
        <v>0.26</v>
      </c>
      <c r="G287" s="201">
        <f t="shared" si="50"/>
        <v>0.30499999999999999</v>
      </c>
      <c r="H287" s="240">
        <v>0.35</v>
      </c>
      <c r="I287" s="241">
        <v>0.26</v>
      </c>
      <c r="J287" s="201">
        <f t="shared" si="51"/>
        <v>0.30499999999999999</v>
      </c>
      <c r="K287" s="242">
        <v>0</v>
      </c>
      <c r="L287" s="274">
        <v>39231</v>
      </c>
      <c r="M287" s="240">
        <v>0.27</v>
      </c>
      <c r="N287" s="241">
        <v>0.21</v>
      </c>
      <c r="O287" s="201">
        <f t="shared" si="52"/>
        <v>0.24</v>
      </c>
      <c r="P287" s="240">
        <v>0.27</v>
      </c>
      <c r="Q287" s="241">
        <v>0.21</v>
      </c>
      <c r="R287" s="201">
        <f t="shared" si="53"/>
        <v>0.24</v>
      </c>
      <c r="S287" s="240">
        <v>0.27</v>
      </c>
      <c r="T287" s="241">
        <v>0.21</v>
      </c>
      <c r="U287" s="201">
        <f t="shared" si="54"/>
        <v>0.24</v>
      </c>
      <c r="V287" s="240">
        <v>0</v>
      </c>
      <c r="W287" s="241">
        <v>0</v>
      </c>
      <c r="X287" s="201">
        <f t="shared" si="55"/>
        <v>0</v>
      </c>
      <c r="Y287" s="242">
        <v>3.89</v>
      </c>
    </row>
    <row r="288" spans="1:25" ht="15.75" x14ac:dyDescent="0.25">
      <c r="A288" s="31">
        <f>'M&amp;R Stations'!A273</f>
        <v>39232</v>
      </c>
      <c r="B288" s="240" t="s">
        <v>220</v>
      </c>
      <c r="C288" s="241" t="s">
        <v>220</v>
      </c>
      <c r="D288" s="201" t="s">
        <v>220</v>
      </c>
      <c r="E288" s="240">
        <v>0.35</v>
      </c>
      <c r="F288" s="241">
        <v>0.26</v>
      </c>
      <c r="G288" s="201">
        <f t="shared" si="50"/>
        <v>0.30499999999999999</v>
      </c>
      <c r="H288" s="240">
        <v>0.35</v>
      </c>
      <c r="I288" s="241">
        <v>0.26</v>
      </c>
      <c r="J288" s="201">
        <f t="shared" si="51"/>
        <v>0.30499999999999999</v>
      </c>
      <c r="K288" s="242">
        <v>0</v>
      </c>
      <c r="L288" s="274">
        <v>39232</v>
      </c>
      <c r="M288" s="240">
        <v>0.27</v>
      </c>
      <c r="N288" s="241">
        <v>0.24</v>
      </c>
      <c r="O288" s="201">
        <f t="shared" si="52"/>
        <v>0.255</v>
      </c>
      <c r="P288" s="240">
        <v>0.27</v>
      </c>
      <c r="Q288" s="241">
        <v>0.24</v>
      </c>
      <c r="R288" s="201">
        <f t="shared" si="53"/>
        <v>0.255</v>
      </c>
      <c r="S288" s="240">
        <v>0.27</v>
      </c>
      <c r="T288" s="241">
        <v>0.24</v>
      </c>
      <c r="U288" s="201">
        <f t="shared" si="54"/>
        <v>0.255</v>
      </c>
      <c r="V288" s="240">
        <v>0</v>
      </c>
      <c r="W288" s="241">
        <v>0</v>
      </c>
      <c r="X288" s="201">
        <f t="shared" si="55"/>
        <v>0</v>
      </c>
      <c r="Y288" s="242">
        <v>3.8450000000000002</v>
      </c>
    </row>
    <row r="289" spans="1:25" ht="15.75" x14ac:dyDescent="0.25">
      <c r="A289" s="31">
        <f>'M&amp;R Stations'!A274</f>
        <v>39233</v>
      </c>
      <c r="B289" s="240" t="s">
        <v>220</v>
      </c>
      <c r="C289" s="241" t="s">
        <v>220</v>
      </c>
      <c r="D289" s="201" t="s">
        <v>220</v>
      </c>
      <c r="E289" s="240">
        <v>0.35</v>
      </c>
      <c r="F289" s="241">
        <v>0.3</v>
      </c>
      <c r="G289" s="201">
        <f t="shared" si="50"/>
        <v>0.32499999999999996</v>
      </c>
      <c r="H289" s="240">
        <v>0.35</v>
      </c>
      <c r="I289" s="241">
        <v>0.3</v>
      </c>
      <c r="J289" s="201">
        <f t="shared" si="51"/>
        <v>0.32499999999999996</v>
      </c>
      <c r="K289" s="242">
        <v>0</v>
      </c>
      <c r="L289" s="274">
        <v>39233</v>
      </c>
      <c r="M289" s="240">
        <v>0.25</v>
      </c>
      <c r="N289" s="241">
        <v>0.24</v>
      </c>
      <c r="O289" s="201">
        <f t="shared" si="52"/>
        <v>0.245</v>
      </c>
      <c r="P289" s="240">
        <v>0.27</v>
      </c>
      <c r="Q289" s="241">
        <v>0.24</v>
      </c>
      <c r="R289" s="201">
        <f t="shared" si="53"/>
        <v>0.255</v>
      </c>
      <c r="S289" s="240">
        <v>0.27</v>
      </c>
      <c r="T289" s="241">
        <v>0.24</v>
      </c>
      <c r="U289" s="201">
        <f t="shared" si="54"/>
        <v>0.255</v>
      </c>
      <c r="V289" s="240">
        <v>0</v>
      </c>
      <c r="W289" s="241">
        <v>0</v>
      </c>
      <c r="X289" s="201">
        <f t="shared" si="55"/>
        <v>0</v>
      </c>
      <c r="Y289" s="242">
        <v>3.9750000000000001</v>
      </c>
    </row>
    <row r="290" spans="1:25" ht="15.75" x14ac:dyDescent="0.25">
      <c r="A290" s="179"/>
      <c r="B290" s="203"/>
      <c r="C290" s="204"/>
      <c r="D290" s="205"/>
      <c r="E290" s="203"/>
      <c r="F290" s="204"/>
      <c r="G290" s="205"/>
      <c r="H290" s="203"/>
      <c r="I290" s="204"/>
      <c r="J290" s="206"/>
      <c r="K290" s="208"/>
      <c r="L290" s="207"/>
      <c r="M290" s="203"/>
      <c r="N290" s="204"/>
      <c r="O290" s="206"/>
      <c r="P290" s="203"/>
      <c r="Q290" s="204"/>
      <c r="R290" s="206"/>
      <c r="S290" s="203"/>
      <c r="T290" s="204"/>
      <c r="U290" s="206"/>
      <c r="V290" s="203"/>
      <c r="W290" s="204"/>
      <c r="X290" s="206"/>
      <c r="Y290" s="208"/>
    </row>
    <row r="291" spans="1:25" ht="15.75" x14ac:dyDescent="0.25">
      <c r="A291" s="31">
        <f>'M&amp;R Stations'!A275</f>
        <v>39234</v>
      </c>
      <c r="B291" s="240" t="s">
        <v>220</v>
      </c>
      <c r="C291" s="241" t="s">
        <v>220</v>
      </c>
      <c r="D291" s="201" t="s">
        <v>220</v>
      </c>
      <c r="E291" s="240">
        <v>0.3</v>
      </c>
      <c r="F291" s="241">
        <v>0.26</v>
      </c>
      <c r="G291" s="201">
        <f t="shared" si="50"/>
        <v>0.28000000000000003</v>
      </c>
      <c r="H291" s="240">
        <v>0.3</v>
      </c>
      <c r="I291" s="241">
        <v>0.26</v>
      </c>
      <c r="J291" s="201">
        <f t="shared" ref="J291:J320" si="56">IF(AND(H291="",I291=""),"",IF(H291="off",I291,IF(I291="off",H291,AVERAGE(H291:I291))))</f>
        <v>0.28000000000000003</v>
      </c>
      <c r="K291" s="242">
        <v>0</v>
      </c>
      <c r="L291" s="274">
        <v>39234</v>
      </c>
      <c r="M291" s="240">
        <v>0.24</v>
      </c>
      <c r="N291" s="241">
        <v>0.24</v>
      </c>
      <c r="O291" s="201">
        <f t="shared" ref="O291:O320" si="57">IF(AND(M291="",N291=""),"",IF(M291="off",N291,IF(N291="off",M291,AVERAGE(M291:N291))))</f>
        <v>0.24</v>
      </c>
      <c r="P291" s="240">
        <v>0.24</v>
      </c>
      <c r="Q291" s="241">
        <v>0.24</v>
      </c>
      <c r="R291" s="201">
        <f t="shared" ref="R291:R320" si="58">IF(AND(P291="",Q291=""),"",IF(P291="off",Q291,IF(Q291="off",P291,AVERAGE(P291:Q291))))</f>
        <v>0.24</v>
      </c>
      <c r="S291" s="240">
        <v>0.24</v>
      </c>
      <c r="T291" s="241">
        <v>0.24</v>
      </c>
      <c r="U291" s="201">
        <f t="shared" ref="U291:U320" si="59">IF(AND(S291="",T291=""),"",IF(S291="off",T291,IF(T291="off",S291,AVERAGE(S291:T291))))</f>
        <v>0.24</v>
      </c>
      <c r="V291" s="240">
        <v>0</v>
      </c>
      <c r="W291" s="241">
        <v>0</v>
      </c>
      <c r="X291" s="201">
        <f t="shared" ref="X291:X320" si="60">IF(AND(V291="",W291=""),"",IF(V291="off",W291,IF(W291="off",V291,AVERAGE(V291:W291))))</f>
        <v>0</v>
      </c>
      <c r="Y291" s="242">
        <v>3.72</v>
      </c>
    </row>
    <row r="292" spans="1:25" ht="15.75" x14ac:dyDescent="0.25">
      <c r="A292" s="31">
        <f>'M&amp;R Stations'!A276</f>
        <v>39235</v>
      </c>
      <c r="B292" s="240" t="s">
        <v>220</v>
      </c>
      <c r="C292" s="241" t="s">
        <v>220</v>
      </c>
      <c r="D292" s="201" t="s">
        <v>220</v>
      </c>
      <c r="E292" s="240">
        <v>0.3</v>
      </c>
      <c r="F292" s="241">
        <v>0.26</v>
      </c>
      <c r="G292" s="201">
        <f t="shared" si="50"/>
        <v>0.28000000000000003</v>
      </c>
      <c r="H292" s="240">
        <v>0.3</v>
      </c>
      <c r="I292" s="241">
        <v>0.26</v>
      </c>
      <c r="J292" s="201">
        <f t="shared" si="56"/>
        <v>0.28000000000000003</v>
      </c>
      <c r="K292" s="242">
        <v>0</v>
      </c>
      <c r="L292" s="274">
        <v>39235</v>
      </c>
      <c r="M292" s="240">
        <v>0.24</v>
      </c>
      <c r="N292" s="241">
        <v>0.24</v>
      </c>
      <c r="O292" s="201">
        <f t="shared" si="57"/>
        <v>0.24</v>
      </c>
      <c r="P292" s="240">
        <v>0.24</v>
      </c>
      <c r="Q292" s="241">
        <v>0.24</v>
      </c>
      <c r="R292" s="201">
        <f t="shared" si="58"/>
        <v>0.24</v>
      </c>
      <c r="S292" s="240">
        <v>0.24</v>
      </c>
      <c r="T292" s="241">
        <v>0.24</v>
      </c>
      <c r="U292" s="201">
        <f t="shared" si="59"/>
        <v>0.24</v>
      </c>
      <c r="V292" s="240">
        <v>0</v>
      </c>
      <c r="W292" s="241">
        <v>0</v>
      </c>
      <c r="X292" s="201">
        <f t="shared" si="60"/>
        <v>0</v>
      </c>
      <c r="Y292" s="242">
        <v>3.27</v>
      </c>
    </row>
    <row r="293" spans="1:25" ht="15.75" x14ac:dyDescent="0.25">
      <c r="A293" s="31">
        <f>'M&amp;R Stations'!A277</f>
        <v>39236</v>
      </c>
      <c r="B293" s="240" t="s">
        <v>220</v>
      </c>
      <c r="C293" s="241" t="s">
        <v>220</v>
      </c>
      <c r="D293" s="201" t="s">
        <v>220</v>
      </c>
      <c r="E293" s="240">
        <v>0.3</v>
      </c>
      <c r="F293" s="241">
        <v>0.26</v>
      </c>
      <c r="G293" s="201">
        <f t="shared" si="50"/>
        <v>0.28000000000000003</v>
      </c>
      <c r="H293" s="240">
        <v>0.3</v>
      </c>
      <c r="I293" s="241">
        <v>0.26</v>
      </c>
      <c r="J293" s="201">
        <f t="shared" si="56"/>
        <v>0.28000000000000003</v>
      </c>
      <c r="K293" s="242">
        <v>0</v>
      </c>
      <c r="L293" s="274">
        <v>39236</v>
      </c>
      <c r="M293" s="240">
        <v>0.24</v>
      </c>
      <c r="N293" s="241">
        <v>0.24</v>
      </c>
      <c r="O293" s="201">
        <f t="shared" si="57"/>
        <v>0.24</v>
      </c>
      <c r="P293" s="240">
        <v>0.24</v>
      </c>
      <c r="Q293" s="241">
        <v>0.24</v>
      </c>
      <c r="R293" s="201">
        <f t="shared" si="58"/>
        <v>0.24</v>
      </c>
      <c r="S293" s="240">
        <v>0.24</v>
      </c>
      <c r="T293" s="241">
        <v>0.24</v>
      </c>
      <c r="U293" s="201">
        <f t="shared" si="59"/>
        <v>0.24</v>
      </c>
      <c r="V293" s="240">
        <v>0</v>
      </c>
      <c r="W293" s="241">
        <v>0</v>
      </c>
      <c r="X293" s="201">
        <f t="shared" si="60"/>
        <v>0</v>
      </c>
      <c r="Y293" s="242">
        <v>3.3650000000000002</v>
      </c>
    </row>
    <row r="294" spans="1:25" ht="15.75" x14ac:dyDescent="0.25">
      <c r="A294" s="31">
        <f>'M&amp;R Stations'!A278</f>
        <v>39237</v>
      </c>
      <c r="B294" s="240" t="s">
        <v>220</v>
      </c>
      <c r="C294" s="241" t="s">
        <v>220</v>
      </c>
      <c r="D294" s="201" t="s">
        <v>220</v>
      </c>
      <c r="E294" s="240">
        <v>0.35</v>
      </c>
      <c r="F294" s="241">
        <v>0.26</v>
      </c>
      <c r="G294" s="201">
        <f t="shared" si="50"/>
        <v>0.30499999999999999</v>
      </c>
      <c r="H294" s="240">
        <v>0.35</v>
      </c>
      <c r="I294" s="241">
        <v>0.26</v>
      </c>
      <c r="J294" s="201">
        <f t="shared" si="56"/>
        <v>0.30499999999999999</v>
      </c>
      <c r="K294" s="242">
        <v>0</v>
      </c>
      <c r="L294" s="274">
        <v>39237</v>
      </c>
      <c r="M294" s="240">
        <v>0.24</v>
      </c>
      <c r="N294" s="241">
        <v>0.24</v>
      </c>
      <c r="O294" s="201">
        <f t="shared" si="57"/>
        <v>0.24</v>
      </c>
      <c r="P294" s="240">
        <v>0.24</v>
      </c>
      <c r="Q294" s="241">
        <v>0.21</v>
      </c>
      <c r="R294" s="201">
        <f t="shared" si="58"/>
        <v>0.22499999999999998</v>
      </c>
      <c r="S294" s="240">
        <v>0.24</v>
      </c>
      <c r="T294" s="241">
        <v>0.21</v>
      </c>
      <c r="U294" s="201">
        <f t="shared" si="59"/>
        <v>0.22499999999999998</v>
      </c>
      <c r="V294" s="240">
        <v>0</v>
      </c>
      <c r="W294" s="241">
        <v>0</v>
      </c>
      <c r="X294" s="201">
        <f t="shared" si="60"/>
        <v>0</v>
      </c>
      <c r="Y294" s="242">
        <v>3.4350000000000001</v>
      </c>
    </row>
    <row r="295" spans="1:25" ht="15.75" x14ac:dyDescent="0.25">
      <c r="A295" s="31">
        <f>'M&amp;R Stations'!A279</f>
        <v>39238</v>
      </c>
      <c r="B295" s="240" t="s">
        <v>220</v>
      </c>
      <c r="C295" s="241" t="s">
        <v>220</v>
      </c>
      <c r="D295" s="201" t="s">
        <v>220</v>
      </c>
      <c r="E295" s="240">
        <v>0.35</v>
      </c>
      <c r="F295" s="241">
        <v>0.26</v>
      </c>
      <c r="G295" s="201">
        <f t="shared" si="50"/>
        <v>0.30499999999999999</v>
      </c>
      <c r="H295" s="240">
        <v>0.35</v>
      </c>
      <c r="I295" s="241">
        <v>0.26</v>
      </c>
      <c r="J295" s="201">
        <f t="shared" si="56"/>
        <v>0.30499999999999999</v>
      </c>
      <c r="K295" s="242">
        <v>0</v>
      </c>
      <c r="L295" s="274">
        <v>39238</v>
      </c>
      <c r="M295" s="240">
        <v>0.24</v>
      </c>
      <c r="N295" s="241">
        <v>0.24</v>
      </c>
      <c r="O295" s="201">
        <f t="shared" si="57"/>
        <v>0.24</v>
      </c>
      <c r="P295" s="240">
        <v>0.24</v>
      </c>
      <c r="Q295" s="241">
        <v>0.24</v>
      </c>
      <c r="R295" s="201">
        <f t="shared" si="58"/>
        <v>0.24</v>
      </c>
      <c r="S295" s="240">
        <v>0.24</v>
      </c>
      <c r="T295" s="241">
        <v>0.24</v>
      </c>
      <c r="U295" s="201">
        <f t="shared" si="59"/>
        <v>0.24</v>
      </c>
      <c r="V295" s="240">
        <v>0</v>
      </c>
      <c r="W295" s="241">
        <v>0</v>
      </c>
      <c r="X295" s="201">
        <f t="shared" si="60"/>
        <v>0</v>
      </c>
      <c r="Y295" s="242">
        <v>3.375</v>
      </c>
    </row>
    <row r="296" spans="1:25" ht="15.75" x14ac:dyDescent="0.25">
      <c r="A296" s="31">
        <f>'M&amp;R Stations'!A280</f>
        <v>39239</v>
      </c>
      <c r="B296" s="240" t="s">
        <v>220</v>
      </c>
      <c r="C296" s="241" t="s">
        <v>220</v>
      </c>
      <c r="D296" s="201" t="s">
        <v>220</v>
      </c>
      <c r="E296" s="240">
        <v>0.35</v>
      </c>
      <c r="F296" s="241">
        <v>0.26</v>
      </c>
      <c r="G296" s="201">
        <f t="shared" si="50"/>
        <v>0.30499999999999999</v>
      </c>
      <c r="H296" s="240">
        <v>0.35</v>
      </c>
      <c r="I296" s="241">
        <v>0.26</v>
      </c>
      <c r="J296" s="201">
        <f t="shared" si="56"/>
        <v>0.30499999999999999</v>
      </c>
      <c r="K296" s="242">
        <v>0</v>
      </c>
      <c r="L296" s="274">
        <v>39239</v>
      </c>
      <c r="M296" s="240">
        <v>0.24</v>
      </c>
      <c r="N296" s="241">
        <v>0.24</v>
      </c>
      <c r="O296" s="201">
        <f t="shared" si="57"/>
        <v>0.24</v>
      </c>
      <c r="P296" s="240">
        <v>0.27</v>
      </c>
      <c r="Q296" s="241">
        <v>0.24</v>
      </c>
      <c r="R296" s="201">
        <f t="shared" si="58"/>
        <v>0.255</v>
      </c>
      <c r="S296" s="240">
        <v>0.27</v>
      </c>
      <c r="T296" s="241">
        <v>0.24</v>
      </c>
      <c r="U296" s="201">
        <f t="shared" si="59"/>
        <v>0.255</v>
      </c>
      <c r="V296" s="240">
        <v>0</v>
      </c>
      <c r="W296" s="241">
        <v>0</v>
      </c>
      <c r="X296" s="201">
        <f t="shared" si="60"/>
        <v>0</v>
      </c>
      <c r="Y296" s="242">
        <v>3.4950000000000001</v>
      </c>
    </row>
    <row r="297" spans="1:25" ht="15.75" x14ac:dyDescent="0.25">
      <c r="A297" s="31">
        <f>'M&amp;R Stations'!A281</f>
        <v>39240</v>
      </c>
      <c r="B297" s="240" t="s">
        <v>220</v>
      </c>
      <c r="C297" s="241" t="s">
        <v>220</v>
      </c>
      <c r="D297" s="201" t="s">
        <v>220</v>
      </c>
      <c r="E297" s="240">
        <v>0.35</v>
      </c>
      <c r="F297" s="241">
        <v>0.26</v>
      </c>
      <c r="G297" s="201">
        <f t="shared" si="50"/>
        <v>0.30499999999999999</v>
      </c>
      <c r="H297" s="240">
        <v>0.35</v>
      </c>
      <c r="I297" s="241">
        <v>0.26</v>
      </c>
      <c r="J297" s="201">
        <f t="shared" si="56"/>
        <v>0.30499999999999999</v>
      </c>
      <c r="K297" s="242">
        <v>0</v>
      </c>
      <c r="L297" s="274">
        <v>39240</v>
      </c>
      <c r="M297" s="240">
        <v>0.27</v>
      </c>
      <c r="N297" s="241">
        <v>0.24</v>
      </c>
      <c r="O297" s="201">
        <f t="shared" si="57"/>
        <v>0.255</v>
      </c>
      <c r="P297" s="240">
        <v>0.27</v>
      </c>
      <c r="Q297" s="241">
        <v>0.24</v>
      </c>
      <c r="R297" s="201">
        <f t="shared" si="58"/>
        <v>0.255</v>
      </c>
      <c r="S297" s="240">
        <v>0.27</v>
      </c>
      <c r="T297" s="241">
        <v>0.24</v>
      </c>
      <c r="U297" s="201">
        <f t="shared" si="59"/>
        <v>0.255</v>
      </c>
      <c r="V297" s="240">
        <v>0</v>
      </c>
      <c r="W297" s="241">
        <v>0</v>
      </c>
      <c r="X297" s="201">
        <f t="shared" si="60"/>
        <v>0</v>
      </c>
      <c r="Y297" s="242">
        <v>3.468</v>
      </c>
    </row>
    <row r="298" spans="1:25" ht="15.75" x14ac:dyDescent="0.25">
      <c r="A298" s="31">
        <f>'M&amp;R Stations'!A282</f>
        <v>39241</v>
      </c>
      <c r="B298" s="240" t="s">
        <v>220</v>
      </c>
      <c r="C298" s="241" t="s">
        <v>220</v>
      </c>
      <c r="D298" s="201" t="s">
        <v>220</v>
      </c>
      <c r="E298" s="240">
        <v>0.38</v>
      </c>
      <c r="F298" s="241">
        <v>0.3</v>
      </c>
      <c r="G298" s="201">
        <f t="shared" si="50"/>
        <v>0.33999999999999997</v>
      </c>
      <c r="H298" s="240">
        <v>0.35</v>
      </c>
      <c r="I298" s="241">
        <v>0.26</v>
      </c>
      <c r="J298" s="201">
        <f t="shared" si="56"/>
        <v>0.30499999999999999</v>
      </c>
      <c r="K298" s="242">
        <v>0</v>
      </c>
      <c r="L298" s="274">
        <v>39241</v>
      </c>
      <c r="M298" s="240">
        <v>0.27</v>
      </c>
      <c r="N298" s="241">
        <v>0.24</v>
      </c>
      <c r="O298" s="201">
        <f t="shared" si="57"/>
        <v>0.255</v>
      </c>
      <c r="P298" s="240">
        <v>0.27</v>
      </c>
      <c r="Q298" s="241">
        <v>0.24</v>
      </c>
      <c r="R298" s="201">
        <f t="shared" si="58"/>
        <v>0.255</v>
      </c>
      <c r="S298" s="240">
        <v>0.27</v>
      </c>
      <c r="T298" s="241">
        <v>0.24</v>
      </c>
      <c r="U298" s="201">
        <f t="shared" si="59"/>
        <v>0.255</v>
      </c>
      <c r="V298" s="240">
        <v>0</v>
      </c>
      <c r="W298" s="241">
        <v>0</v>
      </c>
      <c r="X298" s="201">
        <f t="shared" si="60"/>
        <v>0</v>
      </c>
      <c r="Y298" s="242">
        <v>3.331</v>
      </c>
    </row>
    <row r="299" spans="1:25" ht="15.75" x14ac:dyDescent="0.25">
      <c r="A299" s="31">
        <f>'M&amp;R Stations'!A283</f>
        <v>39242</v>
      </c>
      <c r="B299" s="240" t="s">
        <v>220</v>
      </c>
      <c r="C299" s="241" t="s">
        <v>220</v>
      </c>
      <c r="D299" s="201" t="s">
        <v>220</v>
      </c>
      <c r="E299" s="240">
        <v>0.3</v>
      </c>
      <c r="F299" s="241">
        <v>0.26</v>
      </c>
      <c r="G299" s="201">
        <f t="shared" si="50"/>
        <v>0.28000000000000003</v>
      </c>
      <c r="H299" s="240">
        <v>0.3</v>
      </c>
      <c r="I299" s="241">
        <v>0.26</v>
      </c>
      <c r="J299" s="201">
        <f t="shared" si="56"/>
        <v>0.28000000000000003</v>
      </c>
      <c r="K299" s="242">
        <v>0</v>
      </c>
      <c r="L299" s="274">
        <v>39242</v>
      </c>
      <c r="M299" s="240">
        <v>0.27</v>
      </c>
      <c r="N299" s="241">
        <v>0.24</v>
      </c>
      <c r="O299" s="201">
        <f t="shared" si="57"/>
        <v>0.255</v>
      </c>
      <c r="P299" s="240">
        <v>0.27</v>
      </c>
      <c r="Q299" s="241">
        <v>0.24</v>
      </c>
      <c r="R299" s="201">
        <f t="shared" si="58"/>
        <v>0.255</v>
      </c>
      <c r="S299" s="240">
        <v>0.27</v>
      </c>
      <c r="T299" s="241">
        <v>0.24</v>
      </c>
      <c r="U299" s="201">
        <f t="shared" si="59"/>
        <v>0.255</v>
      </c>
      <c r="V299" s="240">
        <v>0</v>
      </c>
      <c r="W299" s="241">
        <v>0</v>
      </c>
      <c r="X299" s="201">
        <f t="shared" si="60"/>
        <v>0</v>
      </c>
      <c r="Y299" s="242">
        <v>3.3180000000000001</v>
      </c>
    </row>
    <row r="300" spans="1:25" ht="15.75" x14ac:dyDescent="0.25">
      <c r="A300" s="31">
        <f>'M&amp;R Stations'!A284</f>
        <v>39243</v>
      </c>
      <c r="B300" s="240" t="s">
        <v>220</v>
      </c>
      <c r="C300" s="241" t="s">
        <v>220</v>
      </c>
      <c r="D300" s="201" t="s">
        <v>220</v>
      </c>
      <c r="E300" s="240">
        <v>0.3</v>
      </c>
      <c r="F300" s="241">
        <v>0.26</v>
      </c>
      <c r="G300" s="201">
        <f t="shared" si="50"/>
        <v>0.28000000000000003</v>
      </c>
      <c r="H300" s="240">
        <v>0.3</v>
      </c>
      <c r="I300" s="241">
        <v>0.26</v>
      </c>
      <c r="J300" s="201">
        <f t="shared" si="56"/>
        <v>0.28000000000000003</v>
      </c>
      <c r="K300" s="242">
        <v>0</v>
      </c>
      <c r="L300" s="274">
        <v>39243</v>
      </c>
      <c r="M300" s="240">
        <v>0.24</v>
      </c>
      <c r="N300" s="241">
        <v>0.24</v>
      </c>
      <c r="O300" s="201">
        <f t="shared" si="57"/>
        <v>0.24</v>
      </c>
      <c r="P300" s="240">
        <v>0.24</v>
      </c>
      <c r="Q300" s="241">
        <v>0.24</v>
      </c>
      <c r="R300" s="201">
        <f t="shared" si="58"/>
        <v>0.24</v>
      </c>
      <c r="S300" s="240">
        <v>0.24</v>
      </c>
      <c r="T300" s="241">
        <v>0.24</v>
      </c>
      <c r="U300" s="201">
        <f t="shared" si="59"/>
        <v>0.24</v>
      </c>
      <c r="V300" s="240">
        <v>0</v>
      </c>
      <c r="W300" s="241">
        <v>0</v>
      </c>
      <c r="X300" s="201">
        <f t="shared" si="60"/>
        <v>0</v>
      </c>
      <c r="Y300" s="242">
        <v>3.4209999999999998</v>
      </c>
    </row>
    <row r="301" spans="1:25" ht="15.75" x14ac:dyDescent="0.25">
      <c r="A301" s="31">
        <f>'M&amp;R Stations'!A285</f>
        <v>39244</v>
      </c>
      <c r="B301" s="240" t="s">
        <v>220</v>
      </c>
      <c r="C301" s="241" t="s">
        <v>220</v>
      </c>
      <c r="D301" s="201" t="s">
        <v>220</v>
      </c>
      <c r="E301" s="240">
        <v>0.35</v>
      </c>
      <c r="F301" s="241">
        <v>0.3</v>
      </c>
      <c r="G301" s="201">
        <f t="shared" si="50"/>
        <v>0.32499999999999996</v>
      </c>
      <c r="H301" s="240">
        <v>0.35</v>
      </c>
      <c r="I301" s="241">
        <v>0.3</v>
      </c>
      <c r="J301" s="201">
        <f t="shared" si="56"/>
        <v>0.32499999999999996</v>
      </c>
      <c r="K301" s="242">
        <v>0</v>
      </c>
      <c r="L301" s="274">
        <v>39244</v>
      </c>
      <c r="M301" s="240">
        <v>0.27</v>
      </c>
      <c r="N301" s="241">
        <v>0.24</v>
      </c>
      <c r="O301" s="201">
        <f t="shared" si="57"/>
        <v>0.255</v>
      </c>
      <c r="P301" s="240">
        <v>0.27</v>
      </c>
      <c r="Q301" s="241">
        <v>0.24</v>
      </c>
      <c r="R301" s="201">
        <f t="shared" si="58"/>
        <v>0.255</v>
      </c>
      <c r="S301" s="240">
        <v>0.27</v>
      </c>
      <c r="T301" s="241">
        <v>0.24</v>
      </c>
      <c r="U301" s="201">
        <f t="shared" si="59"/>
        <v>0.255</v>
      </c>
      <c r="V301" s="240">
        <v>0</v>
      </c>
      <c r="W301" s="241">
        <v>0</v>
      </c>
      <c r="X301" s="201">
        <f t="shared" si="60"/>
        <v>0</v>
      </c>
      <c r="Y301" s="242">
        <v>3.41</v>
      </c>
    </row>
    <row r="302" spans="1:25" ht="15.75" x14ac:dyDescent="0.25">
      <c r="A302" s="31">
        <f>'M&amp;R Stations'!A286</f>
        <v>39245</v>
      </c>
      <c r="B302" s="240" t="s">
        <v>220</v>
      </c>
      <c r="C302" s="241" t="s">
        <v>220</v>
      </c>
      <c r="D302" s="201" t="s">
        <v>220</v>
      </c>
      <c r="E302" s="240">
        <v>0.35</v>
      </c>
      <c r="F302" s="241">
        <v>0.3</v>
      </c>
      <c r="G302" s="201">
        <f t="shared" si="50"/>
        <v>0.32499999999999996</v>
      </c>
      <c r="H302" s="240">
        <v>0.35</v>
      </c>
      <c r="I302" s="241">
        <v>0.26</v>
      </c>
      <c r="J302" s="201">
        <f t="shared" si="56"/>
        <v>0.30499999999999999</v>
      </c>
      <c r="K302" s="242">
        <v>0</v>
      </c>
      <c r="L302" s="274">
        <v>39245</v>
      </c>
      <c r="M302" s="240">
        <v>0.27</v>
      </c>
      <c r="N302" s="241">
        <v>0.24</v>
      </c>
      <c r="O302" s="201">
        <f t="shared" si="57"/>
        <v>0.255</v>
      </c>
      <c r="P302" s="240">
        <v>0.27</v>
      </c>
      <c r="Q302" s="241">
        <v>0.24</v>
      </c>
      <c r="R302" s="201">
        <f t="shared" si="58"/>
        <v>0.255</v>
      </c>
      <c r="S302" s="240">
        <v>0.27</v>
      </c>
      <c r="T302" s="241">
        <v>0.24</v>
      </c>
      <c r="U302" s="201">
        <f t="shared" si="59"/>
        <v>0.255</v>
      </c>
      <c r="V302" s="240">
        <v>0</v>
      </c>
      <c r="W302" s="241">
        <v>0</v>
      </c>
      <c r="X302" s="201">
        <f t="shared" si="60"/>
        <v>0</v>
      </c>
      <c r="Y302" s="242">
        <v>3.41</v>
      </c>
    </row>
    <row r="303" spans="1:25" ht="15.75" x14ac:dyDescent="0.25">
      <c r="A303" s="31">
        <f>'M&amp;R Stations'!A287</f>
        <v>39246</v>
      </c>
      <c r="B303" s="240" t="s">
        <v>220</v>
      </c>
      <c r="C303" s="241" t="s">
        <v>220</v>
      </c>
      <c r="D303" s="201" t="s">
        <v>220</v>
      </c>
      <c r="E303" s="240">
        <v>0.35</v>
      </c>
      <c r="F303" s="241">
        <v>0.26</v>
      </c>
      <c r="G303" s="201">
        <f t="shared" si="50"/>
        <v>0.30499999999999999</v>
      </c>
      <c r="H303" s="240">
        <v>0.35</v>
      </c>
      <c r="I303" s="241">
        <v>0.26</v>
      </c>
      <c r="J303" s="201">
        <f t="shared" si="56"/>
        <v>0.30499999999999999</v>
      </c>
      <c r="K303" s="242">
        <v>0</v>
      </c>
      <c r="L303" s="274">
        <v>39246</v>
      </c>
      <c r="M303" s="240">
        <v>0.27</v>
      </c>
      <c r="N303" s="241">
        <v>0.21</v>
      </c>
      <c r="O303" s="201">
        <f t="shared" si="57"/>
        <v>0.24</v>
      </c>
      <c r="P303" s="240">
        <v>0.27</v>
      </c>
      <c r="Q303" s="241">
        <v>0.21</v>
      </c>
      <c r="R303" s="201">
        <f t="shared" si="58"/>
        <v>0.24</v>
      </c>
      <c r="S303" s="240">
        <v>0.27</v>
      </c>
      <c r="T303" s="241">
        <v>0.24</v>
      </c>
      <c r="U303" s="201">
        <f t="shared" si="59"/>
        <v>0.255</v>
      </c>
      <c r="V303" s="240">
        <v>0</v>
      </c>
      <c r="W303" s="241">
        <v>0</v>
      </c>
      <c r="X303" s="201">
        <f t="shared" si="60"/>
        <v>0</v>
      </c>
      <c r="Y303" s="242">
        <v>3.484</v>
      </c>
    </row>
    <row r="304" spans="1:25" ht="15.75" x14ac:dyDescent="0.25">
      <c r="A304" s="31">
        <f>'M&amp;R Stations'!A288</f>
        <v>39247</v>
      </c>
      <c r="B304" s="240" t="s">
        <v>220</v>
      </c>
      <c r="C304" s="241" t="s">
        <v>220</v>
      </c>
      <c r="D304" s="201" t="s">
        <v>220</v>
      </c>
      <c r="E304" s="240">
        <v>0.35</v>
      </c>
      <c r="F304" s="241">
        <v>0.26</v>
      </c>
      <c r="G304" s="201">
        <f t="shared" si="50"/>
        <v>0.30499999999999999</v>
      </c>
      <c r="H304" s="240">
        <v>0.35</v>
      </c>
      <c r="I304" s="241">
        <v>0.26</v>
      </c>
      <c r="J304" s="201">
        <f t="shared" si="56"/>
        <v>0.30499999999999999</v>
      </c>
      <c r="K304" s="242">
        <v>0</v>
      </c>
      <c r="L304" s="274">
        <v>39247</v>
      </c>
      <c r="M304" s="240">
        <v>0.27</v>
      </c>
      <c r="N304" s="241">
        <v>0.22</v>
      </c>
      <c r="O304" s="201">
        <f t="shared" si="57"/>
        <v>0.245</v>
      </c>
      <c r="P304" s="240">
        <v>0.27</v>
      </c>
      <c r="Q304" s="241">
        <v>0.24</v>
      </c>
      <c r="R304" s="201">
        <f t="shared" si="58"/>
        <v>0.255</v>
      </c>
      <c r="S304" s="240">
        <v>0.27</v>
      </c>
      <c r="T304" s="241">
        <v>0.24</v>
      </c>
      <c r="U304" s="201">
        <f t="shared" si="59"/>
        <v>0.255</v>
      </c>
      <c r="V304" s="240">
        <v>0</v>
      </c>
      <c r="W304" s="241">
        <v>0</v>
      </c>
      <c r="X304" s="201">
        <f t="shared" si="60"/>
        <v>0</v>
      </c>
      <c r="Y304" s="242">
        <v>3.1080000000000001</v>
      </c>
    </row>
    <row r="305" spans="1:25" ht="15.75" x14ac:dyDescent="0.25">
      <c r="A305" s="31">
        <f>'M&amp;R Stations'!A289</f>
        <v>39248</v>
      </c>
      <c r="B305" s="240" t="s">
        <v>220</v>
      </c>
      <c r="C305" s="241" t="s">
        <v>220</v>
      </c>
      <c r="D305" s="201" t="s">
        <v>220</v>
      </c>
      <c r="E305" s="240">
        <v>0.3</v>
      </c>
      <c r="F305" s="241">
        <v>0.26</v>
      </c>
      <c r="G305" s="201">
        <f t="shared" si="50"/>
        <v>0.28000000000000003</v>
      </c>
      <c r="H305" s="240">
        <v>0.3</v>
      </c>
      <c r="I305" s="241">
        <v>0.26</v>
      </c>
      <c r="J305" s="201">
        <f t="shared" si="56"/>
        <v>0.28000000000000003</v>
      </c>
      <c r="K305" s="242">
        <v>0</v>
      </c>
      <c r="L305" s="274">
        <v>39248</v>
      </c>
      <c r="M305" s="240">
        <v>0.27</v>
      </c>
      <c r="N305" s="241">
        <v>0.24</v>
      </c>
      <c r="O305" s="201">
        <f t="shared" si="57"/>
        <v>0.255</v>
      </c>
      <c r="P305" s="240">
        <v>0.27</v>
      </c>
      <c r="Q305" s="241">
        <v>0.24</v>
      </c>
      <c r="R305" s="201">
        <f t="shared" si="58"/>
        <v>0.255</v>
      </c>
      <c r="S305" s="240">
        <v>0.27</v>
      </c>
      <c r="T305" s="241">
        <v>0.24</v>
      </c>
      <c r="U305" s="201">
        <f t="shared" si="59"/>
        <v>0.255</v>
      </c>
      <c r="V305" s="240">
        <v>0</v>
      </c>
      <c r="W305" s="241">
        <v>0</v>
      </c>
      <c r="X305" s="201">
        <f t="shared" si="60"/>
        <v>0</v>
      </c>
      <c r="Y305" s="242">
        <v>3.0289999999999999</v>
      </c>
    </row>
    <row r="306" spans="1:25" ht="15.75" x14ac:dyDescent="0.25">
      <c r="A306" s="31">
        <f>'M&amp;R Stations'!A290</f>
        <v>39249</v>
      </c>
      <c r="B306" s="240" t="s">
        <v>220</v>
      </c>
      <c r="C306" s="241" t="s">
        <v>220</v>
      </c>
      <c r="D306" s="201" t="s">
        <v>220</v>
      </c>
      <c r="E306" s="240">
        <v>0.3</v>
      </c>
      <c r="F306" s="241">
        <v>0.26</v>
      </c>
      <c r="G306" s="201">
        <f t="shared" si="50"/>
        <v>0.28000000000000003</v>
      </c>
      <c r="H306" s="240">
        <v>0.3</v>
      </c>
      <c r="I306" s="241">
        <v>0.26</v>
      </c>
      <c r="J306" s="201">
        <f t="shared" si="56"/>
        <v>0.28000000000000003</v>
      </c>
      <c r="K306" s="242">
        <v>0</v>
      </c>
      <c r="L306" s="274">
        <v>39249</v>
      </c>
      <c r="M306" s="240">
        <v>0.27</v>
      </c>
      <c r="N306" s="241">
        <v>0.24</v>
      </c>
      <c r="O306" s="201">
        <f t="shared" si="57"/>
        <v>0.255</v>
      </c>
      <c r="P306" s="240">
        <v>0.27</v>
      </c>
      <c r="Q306" s="241">
        <v>0.24</v>
      </c>
      <c r="R306" s="201">
        <f t="shared" si="58"/>
        <v>0.255</v>
      </c>
      <c r="S306" s="240">
        <v>0.27</v>
      </c>
      <c r="T306" s="241">
        <v>0.24</v>
      </c>
      <c r="U306" s="201">
        <f t="shared" si="59"/>
        <v>0.255</v>
      </c>
      <c r="V306" s="240">
        <v>0</v>
      </c>
      <c r="W306" s="241">
        <v>0</v>
      </c>
      <c r="X306" s="201">
        <f t="shared" si="60"/>
        <v>0</v>
      </c>
      <c r="Y306" s="242">
        <v>2.722</v>
      </c>
    </row>
    <row r="307" spans="1:25" ht="15.75" x14ac:dyDescent="0.25">
      <c r="A307" s="31">
        <f>'M&amp;R Stations'!A291</f>
        <v>39250</v>
      </c>
      <c r="B307" s="240" t="s">
        <v>220</v>
      </c>
      <c r="C307" s="241" t="s">
        <v>220</v>
      </c>
      <c r="D307" s="201" t="s">
        <v>220</v>
      </c>
      <c r="E307" s="240">
        <v>0.35</v>
      </c>
      <c r="F307" s="241">
        <v>0.26</v>
      </c>
      <c r="G307" s="201">
        <f t="shared" si="50"/>
        <v>0.30499999999999999</v>
      </c>
      <c r="H307" s="240">
        <v>0.35</v>
      </c>
      <c r="I307" s="241">
        <v>0.26</v>
      </c>
      <c r="J307" s="201">
        <f t="shared" si="56"/>
        <v>0.30499999999999999</v>
      </c>
      <c r="K307" s="242">
        <v>0</v>
      </c>
      <c r="L307" s="274">
        <v>39250</v>
      </c>
      <c r="M307" s="240">
        <v>0.27</v>
      </c>
      <c r="N307" s="241">
        <v>0.24</v>
      </c>
      <c r="O307" s="201">
        <f t="shared" si="57"/>
        <v>0.255</v>
      </c>
      <c r="P307" s="240">
        <v>0.27</v>
      </c>
      <c r="Q307" s="241">
        <v>0.24</v>
      </c>
      <c r="R307" s="201">
        <f t="shared" si="58"/>
        <v>0.255</v>
      </c>
      <c r="S307" s="240">
        <v>0.27</v>
      </c>
      <c r="T307" s="241">
        <v>0.24</v>
      </c>
      <c r="U307" s="201">
        <f t="shared" si="59"/>
        <v>0.255</v>
      </c>
      <c r="V307" s="240">
        <v>0</v>
      </c>
      <c r="W307" s="241">
        <v>0</v>
      </c>
      <c r="X307" s="201">
        <f t="shared" si="60"/>
        <v>0</v>
      </c>
      <c r="Y307" s="242">
        <v>2.7120000000000002</v>
      </c>
    </row>
    <row r="308" spans="1:25" ht="15.75" x14ac:dyDescent="0.25">
      <c r="A308" s="31">
        <f>'M&amp;R Stations'!A292</f>
        <v>39251</v>
      </c>
      <c r="B308" s="240" t="s">
        <v>220</v>
      </c>
      <c r="C308" s="241" t="s">
        <v>220</v>
      </c>
      <c r="D308" s="201" t="s">
        <v>220</v>
      </c>
      <c r="E308" s="240">
        <v>0.35</v>
      </c>
      <c r="F308" s="241">
        <v>0.26</v>
      </c>
      <c r="G308" s="201">
        <f t="shared" si="50"/>
        <v>0.30499999999999999</v>
      </c>
      <c r="H308" s="240">
        <v>0.35</v>
      </c>
      <c r="I308" s="241">
        <v>0.26</v>
      </c>
      <c r="J308" s="201">
        <f t="shared" si="56"/>
        <v>0.30499999999999999</v>
      </c>
      <c r="K308" s="242">
        <v>0</v>
      </c>
      <c r="L308" s="274">
        <v>39251</v>
      </c>
      <c r="M308" s="240">
        <v>0.31</v>
      </c>
      <c r="N308" s="241">
        <v>0.21</v>
      </c>
      <c r="O308" s="201">
        <f t="shared" si="57"/>
        <v>0.26</v>
      </c>
      <c r="P308" s="240">
        <v>0.31</v>
      </c>
      <c r="Q308" s="241">
        <v>0.21</v>
      </c>
      <c r="R308" s="201">
        <f t="shared" si="58"/>
        <v>0.26</v>
      </c>
      <c r="S308" s="240">
        <v>0.27</v>
      </c>
      <c r="T308" s="241">
        <v>0.21</v>
      </c>
      <c r="U308" s="201">
        <f t="shared" si="59"/>
        <v>0.24</v>
      </c>
      <c r="V308" s="240">
        <v>0</v>
      </c>
      <c r="W308" s="241">
        <v>0</v>
      </c>
      <c r="X308" s="201">
        <f t="shared" si="60"/>
        <v>0</v>
      </c>
      <c r="Y308" s="242">
        <v>3.42</v>
      </c>
    </row>
    <row r="309" spans="1:25" ht="15.75" x14ac:dyDescent="0.25">
      <c r="A309" s="31">
        <f>'M&amp;R Stations'!A293</f>
        <v>39252</v>
      </c>
      <c r="B309" s="240" t="s">
        <v>220</v>
      </c>
      <c r="C309" s="241" t="s">
        <v>220</v>
      </c>
      <c r="D309" s="201" t="s">
        <v>220</v>
      </c>
      <c r="E309" s="240">
        <v>0.35</v>
      </c>
      <c r="F309" s="241">
        <v>0.3</v>
      </c>
      <c r="G309" s="201">
        <f t="shared" si="50"/>
        <v>0.32499999999999996</v>
      </c>
      <c r="H309" s="240">
        <v>0.35</v>
      </c>
      <c r="I309" s="241">
        <v>0.26</v>
      </c>
      <c r="J309" s="201">
        <f t="shared" si="56"/>
        <v>0.30499999999999999</v>
      </c>
      <c r="K309" s="242">
        <v>0</v>
      </c>
      <c r="L309" s="274">
        <v>39252</v>
      </c>
      <c r="M309" s="240">
        <v>0.27</v>
      </c>
      <c r="N309" s="241">
        <v>0.21</v>
      </c>
      <c r="O309" s="201">
        <f t="shared" si="57"/>
        <v>0.24</v>
      </c>
      <c r="P309" s="240">
        <v>0.27</v>
      </c>
      <c r="Q309" s="241">
        <v>0.24</v>
      </c>
      <c r="R309" s="201">
        <f t="shared" si="58"/>
        <v>0.255</v>
      </c>
      <c r="S309" s="240">
        <v>0.27</v>
      </c>
      <c r="T309" s="241">
        <v>0.24</v>
      </c>
      <c r="U309" s="201">
        <f t="shared" si="59"/>
        <v>0.255</v>
      </c>
      <c r="V309" s="240">
        <v>0</v>
      </c>
      <c r="W309" s="241">
        <v>0</v>
      </c>
      <c r="X309" s="201">
        <f t="shared" si="60"/>
        <v>0</v>
      </c>
      <c r="Y309" s="242">
        <v>2.9169999999999998</v>
      </c>
    </row>
    <row r="310" spans="1:25" ht="15.75" x14ac:dyDescent="0.25">
      <c r="A310" s="31">
        <f>'M&amp;R Stations'!A294</f>
        <v>39253</v>
      </c>
      <c r="B310" s="240" t="s">
        <v>220</v>
      </c>
      <c r="C310" s="241" t="s">
        <v>220</v>
      </c>
      <c r="D310" s="201" t="s">
        <v>220</v>
      </c>
      <c r="E310" s="240">
        <v>0.35</v>
      </c>
      <c r="F310" s="241">
        <v>0.26</v>
      </c>
      <c r="G310" s="201">
        <f t="shared" si="50"/>
        <v>0.30499999999999999</v>
      </c>
      <c r="H310" s="240">
        <v>0.35</v>
      </c>
      <c r="I310" s="241">
        <v>0.26</v>
      </c>
      <c r="J310" s="201">
        <f t="shared" si="56"/>
        <v>0.30499999999999999</v>
      </c>
      <c r="K310" s="242">
        <v>0</v>
      </c>
      <c r="L310" s="274">
        <v>39253</v>
      </c>
      <c r="M310" s="240">
        <v>0.27</v>
      </c>
      <c r="N310" s="241">
        <v>0.21</v>
      </c>
      <c r="O310" s="201">
        <f t="shared" si="57"/>
        <v>0.24</v>
      </c>
      <c r="P310" s="240">
        <v>0.27</v>
      </c>
      <c r="Q310" s="241">
        <v>0.24</v>
      </c>
      <c r="R310" s="201">
        <f t="shared" si="58"/>
        <v>0.255</v>
      </c>
      <c r="S310" s="240">
        <v>0.27</v>
      </c>
      <c r="T310" s="241">
        <v>0.24</v>
      </c>
      <c r="U310" s="201">
        <f t="shared" si="59"/>
        <v>0.255</v>
      </c>
      <c r="V310" s="240">
        <v>0</v>
      </c>
      <c r="W310" s="241">
        <v>0</v>
      </c>
      <c r="X310" s="201">
        <f t="shared" si="60"/>
        <v>0</v>
      </c>
      <c r="Y310" s="242">
        <v>2.72</v>
      </c>
    </row>
    <row r="311" spans="1:25" ht="15.75" x14ac:dyDescent="0.25">
      <c r="A311" s="31">
        <f>'M&amp;R Stations'!A295</f>
        <v>39254</v>
      </c>
      <c r="B311" s="240" t="s">
        <v>220</v>
      </c>
      <c r="C311" s="241" t="s">
        <v>220</v>
      </c>
      <c r="D311" s="201" t="s">
        <v>220</v>
      </c>
      <c r="E311" s="240">
        <v>0.35</v>
      </c>
      <c r="F311" s="241">
        <v>0.26</v>
      </c>
      <c r="G311" s="201">
        <f t="shared" si="50"/>
        <v>0.30499999999999999</v>
      </c>
      <c r="H311" s="240">
        <v>0.35</v>
      </c>
      <c r="I311" s="241">
        <v>0.26</v>
      </c>
      <c r="J311" s="201">
        <f t="shared" si="56"/>
        <v>0.30499999999999999</v>
      </c>
      <c r="K311" s="242">
        <v>0</v>
      </c>
      <c r="L311" s="274">
        <v>39254</v>
      </c>
      <c r="M311" s="240">
        <v>0.27</v>
      </c>
      <c r="N311" s="241">
        <v>0.24</v>
      </c>
      <c r="O311" s="201">
        <f t="shared" si="57"/>
        <v>0.255</v>
      </c>
      <c r="P311" s="240">
        <v>0.27</v>
      </c>
      <c r="Q311" s="241">
        <v>0.24</v>
      </c>
      <c r="R311" s="201">
        <f t="shared" si="58"/>
        <v>0.255</v>
      </c>
      <c r="S311" s="240">
        <v>0.27</v>
      </c>
      <c r="T311" s="241">
        <v>0.21</v>
      </c>
      <c r="U311" s="201">
        <f t="shared" si="59"/>
        <v>0.24</v>
      </c>
      <c r="V311" s="240">
        <v>0</v>
      </c>
      <c r="W311" s="241">
        <v>0</v>
      </c>
      <c r="X311" s="201">
        <f t="shared" si="60"/>
        <v>0</v>
      </c>
      <c r="Y311" s="242">
        <v>2.008</v>
      </c>
    </row>
    <row r="312" spans="1:25" ht="15.75" x14ac:dyDescent="0.25">
      <c r="A312" s="31">
        <f>'M&amp;R Stations'!A296</f>
        <v>39255</v>
      </c>
      <c r="B312" s="240" t="s">
        <v>220</v>
      </c>
      <c r="C312" s="241" t="s">
        <v>220</v>
      </c>
      <c r="D312" s="201" t="s">
        <v>220</v>
      </c>
      <c r="E312" s="240">
        <v>0.3</v>
      </c>
      <c r="F312" s="241">
        <v>0.26</v>
      </c>
      <c r="G312" s="201">
        <f t="shared" si="50"/>
        <v>0.28000000000000003</v>
      </c>
      <c r="H312" s="240">
        <v>0.3</v>
      </c>
      <c r="I312" s="241">
        <v>0.26</v>
      </c>
      <c r="J312" s="201">
        <f t="shared" si="56"/>
        <v>0.28000000000000003</v>
      </c>
      <c r="K312" s="242">
        <v>0</v>
      </c>
      <c r="L312" s="274">
        <v>39255</v>
      </c>
      <c r="M312" s="240">
        <v>0.27</v>
      </c>
      <c r="N312" s="241">
        <v>0.21</v>
      </c>
      <c r="O312" s="201">
        <f t="shared" si="57"/>
        <v>0.24</v>
      </c>
      <c r="P312" s="240">
        <v>0.24</v>
      </c>
      <c r="Q312" s="241">
        <v>0.24</v>
      </c>
      <c r="R312" s="201">
        <f t="shared" si="58"/>
        <v>0.24</v>
      </c>
      <c r="S312" s="240">
        <v>0.27</v>
      </c>
      <c r="T312" s="241">
        <v>0.24</v>
      </c>
      <c r="U312" s="201">
        <f t="shared" si="59"/>
        <v>0.255</v>
      </c>
      <c r="V312" s="240">
        <v>0</v>
      </c>
      <c r="W312" s="241">
        <v>0</v>
      </c>
      <c r="X312" s="201">
        <f t="shared" si="60"/>
        <v>0</v>
      </c>
      <c r="Y312" s="242">
        <v>2.589</v>
      </c>
    </row>
    <row r="313" spans="1:25" ht="15.75" x14ac:dyDescent="0.25">
      <c r="A313" s="31">
        <f>'M&amp;R Stations'!A297</f>
        <v>39256</v>
      </c>
      <c r="B313" s="240" t="s">
        <v>220</v>
      </c>
      <c r="C313" s="241" t="s">
        <v>220</v>
      </c>
      <c r="D313" s="201" t="s">
        <v>220</v>
      </c>
      <c r="E313" s="240">
        <v>0.3</v>
      </c>
      <c r="F313" s="241">
        <v>0.26</v>
      </c>
      <c r="G313" s="201">
        <f t="shared" si="50"/>
        <v>0.28000000000000003</v>
      </c>
      <c r="H313" s="240">
        <v>0.3</v>
      </c>
      <c r="I313" s="241">
        <v>0.26</v>
      </c>
      <c r="J313" s="201">
        <f t="shared" si="56"/>
        <v>0.28000000000000003</v>
      </c>
      <c r="K313" s="242">
        <v>0</v>
      </c>
      <c r="L313" s="274">
        <v>39256</v>
      </c>
      <c r="M313" s="240">
        <v>0.27</v>
      </c>
      <c r="N313" s="241">
        <v>0.24</v>
      </c>
      <c r="O313" s="201">
        <f t="shared" si="57"/>
        <v>0.255</v>
      </c>
      <c r="P313" s="240">
        <v>0.27</v>
      </c>
      <c r="Q313" s="241">
        <v>0.24</v>
      </c>
      <c r="R313" s="201">
        <f t="shared" si="58"/>
        <v>0.255</v>
      </c>
      <c r="S313" s="240">
        <v>0.27</v>
      </c>
      <c r="T313" s="241">
        <v>0.24</v>
      </c>
      <c r="U313" s="201">
        <f t="shared" si="59"/>
        <v>0.255</v>
      </c>
      <c r="V313" s="240">
        <v>0</v>
      </c>
      <c r="W313" s="241">
        <v>0</v>
      </c>
      <c r="X313" s="201">
        <f t="shared" si="60"/>
        <v>0</v>
      </c>
      <c r="Y313" s="242">
        <v>2.855</v>
      </c>
    </row>
    <row r="314" spans="1:25" ht="15.75" x14ac:dyDescent="0.25">
      <c r="A314" s="31">
        <f>'M&amp;R Stations'!A298</f>
        <v>39257</v>
      </c>
      <c r="B314" s="240" t="s">
        <v>220</v>
      </c>
      <c r="C314" s="241" t="s">
        <v>220</v>
      </c>
      <c r="D314" s="201" t="s">
        <v>220</v>
      </c>
      <c r="E314" s="240">
        <v>0.35</v>
      </c>
      <c r="F314" s="241">
        <v>0.26</v>
      </c>
      <c r="G314" s="201">
        <f t="shared" si="50"/>
        <v>0.30499999999999999</v>
      </c>
      <c r="H314" s="240">
        <v>0.35</v>
      </c>
      <c r="I314" s="241">
        <v>0.26</v>
      </c>
      <c r="J314" s="201">
        <f t="shared" si="56"/>
        <v>0.30499999999999999</v>
      </c>
      <c r="K314" s="242">
        <v>0</v>
      </c>
      <c r="L314" s="274">
        <v>39257</v>
      </c>
      <c r="M314" s="240">
        <v>0.27</v>
      </c>
      <c r="N314" s="241">
        <v>0.24</v>
      </c>
      <c r="O314" s="201">
        <f t="shared" si="57"/>
        <v>0.255</v>
      </c>
      <c r="P314" s="240">
        <v>0.27</v>
      </c>
      <c r="Q314" s="241">
        <v>0.24</v>
      </c>
      <c r="R314" s="201">
        <f t="shared" si="58"/>
        <v>0.255</v>
      </c>
      <c r="S314" s="240">
        <v>0.27</v>
      </c>
      <c r="T314" s="241">
        <v>0.24</v>
      </c>
      <c r="U314" s="201">
        <f t="shared" si="59"/>
        <v>0.255</v>
      </c>
      <c r="V314" s="240">
        <v>0</v>
      </c>
      <c r="W314" s="241">
        <v>0</v>
      </c>
      <c r="X314" s="201">
        <f t="shared" si="60"/>
        <v>0</v>
      </c>
      <c r="Y314" s="242">
        <v>2.8450000000000002</v>
      </c>
    </row>
    <row r="315" spans="1:25" ht="15.75" x14ac:dyDescent="0.25">
      <c r="A315" s="31">
        <f>'M&amp;R Stations'!A299</f>
        <v>39258</v>
      </c>
      <c r="B315" s="240" t="s">
        <v>220</v>
      </c>
      <c r="C315" s="241" t="s">
        <v>220</v>
      </c>
      <c r="D315" s="201" t="s">
        <v>220</v>
      </c>
      <c r="E315" s="240">
        <v>0.35</v>
      </c>
      <c r="F315" s="241">
        <v>0.26</v>
      </c>
      <c r="G315" s="201">
        <f t="shared" si="50"/>
        <v>0.30499999999999999</v>
      </c>
      <c r="H315" s="240">
        <v>0.35</v>
      </c>
      <c r="I315" s="241">
        <v>0.26</v>
      </c>
      <c r="J315" s="201">
        <f t="shared" si="56"/>
        <v>0.30499999999999999</v>
      </c>
      <c r="K315" s="242">
        <v>0</v>
      </c>
      <c r="L315" s="274">
        <v>39258</v>
      </c>
      <c r="M315" s="240">
        <v>0.27</v>
      </c>
      <c r="N315" s="241">
        <v>0.21</v>
      </c>
      <c r="O315" s="201">
        <f t="shared" si="57"/>
        <v>0.24</v>
      </c>
      <c r="P315" s="240">
        <v>0.27</v>
      </c>
      <c r="Q315" s="241">
        <v>0.24</v>
      </c>
      <c r="R315" s="201">
        <f t="shared" si="58"/>
        <v>0.255</v>
      </c>
      <c r="S315" s="240">
        <v>0.27</v>
      </c>
      <c r="T315" s="241">
        <v>0.24</v>
      </c>
      <c r="U315" s="201">
        <f t="shared" si="59"/>
        <v>0.255</v>
      </c>
      <c r="V315" s="240">
        <v>0</v>
      </c>
      <c r="W315" s="241">
        <v>0</v>
      </c>
      <c r="X315" s="201">
        <f t="shared" si="60"/>
        <v>0</v>
      </c>
      <c r="Y315" s="242">
        <v>3.335</v>
      </c>
    </row>
    <row r="316" spans="1:25" ht="15.75" x14ac:dyDescent="0.25">
      <c r="A316" s="31">
        <f>'M&amp;R Stations'!A300</f>
        <v>39259</v>
      </c>
      <c r="B316" s="240" t="s">
        <v>220</v>
      </c>
      <c r="C316" s="241" t="s">
        <v>220</v>
      </c>
      <c r="D316" s="201" t="s">
        <v>220</v>
      </c>
      <c r="E316" s="240">
        <v>0.35</v>
      </c>
      <c r="F316" s="241">
        <v>0.3</v>
      </c>
      <c r="G316" s="201">
        <f t="shared" si="50"/>
        <v>0.32499999999999996</v>
      </c>
      <c r="H316" s="240">
        <v>0.35</v>
      </c>
      <c r="I316" s="241">
        <v>0.26</v>
      </c>
      <c r="J316" s="201">
        <f t="shared" si="56"/>
        <v>0.30499999999999999</v>
      </c>
      <c r="K316" s="242">
        <v>0</v>
      </c>
      <c r="L316" s="274">
        <v>39259</v>
      </c>
      <c r="M316" s="240">
        <v>0.27</v>
      </c>
      <c r="N316" s="241">
        <v>0.24</v>
      </c>
      <c r="O316" s="201">
        <f t="shared" si="57"/>
        <v>0.255</v>
      </c>
      <c r="P316" s="240">
        <v>0.24</v>
      </c>
      <c r="Q316" s="241">
        <v>0.24</v>
      </c>
      <c r="R316" s="201">
        <f t="shared" si="58"/>
        <v>0.24</v>
      </c>
      <c r="S316" s="240">
        <v>0.27</v>
      </c>
      <c r="T316" s="241">
        <v>0.24</v>
      </c>
      <c r="U316" s="201">
        <f t="shared" si="59"/>
        <v>0.255</v>
      </c>
      <c r="V316" s="240">
        <v>0</v>
      </c>
      <c r="W316" s="241">
        <v>0</v>
      </c>
      <c r="X316" s="201">
        <f t="shared" si="60"/>
        <v>0</v>
      </c>
      <c r="Y316" s="242">
        <v>3.12</v>
      </c>
    </row>
    <row r="317" spans="1:25" ht="15.75" x14ac:dyDescent="0.25">
      <c r="A317" s="31">
        <f>'M&amp;R Stations'!A301</f>
        <v>39260</v>
      </c>
      <c r="B317" s="240" t="s">
        <v>220</v>
      </c>
      <c r="C317" s="241" t="s">
        <v>220</v>
      </c>
      <c r="D317" s="201" t="s">
        <v>220</v>
      </c>
      <c r="E317" s="240">
        <v>0.35</v>
      </c>
      <c r="F317" s="241">
        <v>0.26</v>
      </c>
      <c r="G317" s="201">
        <f t="shared" si="50"/>
        <v>0.30499999999999999</v>
      </c>
      <c r="H317" s="240">
        <v>0.35</v>
      </c>
      <c r="I317" s="241">
        <v>0.26</v>
      </c>
      <c r="J317" s="201">
        <f t="shared" si="56"/>
        <v>0.30499999999999999</v>
      </c>
      <c r="K317" s="242">
        <v>0</v>
      </c>
      <c r="L317" s="274">
        <v>39260</v>
      </c>
      <c r="M317" s="240">
        <v>0.27</v>
      </c>
      <c r="N317" s="241">
        <v>0.24</v>
      </c>
      <c r="O317" s="201">
        <f t="shared" si="57"/>
        <v>0.255</v>
      </c>
      <c r="P317" s="240">
        <v>0.27</v>
      </c>
      <c r="Q317" s="241">
        <v>0.24</v>
      </c>
      <c r="R317" s="201">
        <f t="shared" si="58"/>
        <v>0.255</v>
      </c>
      <c r="S317" s="240">
        <v>0.27</v>
      </c>
      <c r="T317" s="241">
        <v>0.24</v>
      </c>
      <c r="U317" s="201">
        <f t="shared" si="59"/>
        <v>0.255</v>
      </c>
      <c r="V317" s="240">
        <v>0</v>
      </c>
      <c r="W317" s="241">
        <v>0</v>
      </c>
      <c r="X317" s="201">
        <f t="shared" si="60"/>
        <v>0</v>
      </c>
      <c r="Y317" s="242">
        <v>3.145</v>
      </c>
    </row>
    <row r="318" spans="1:25" ht="15.75" x14ac:dyDescent="0.25">
      <c r="A318" s="31">
        <f>'M&amp;R Stations'!A302</f>
        <v>39261</v>
      </c>
      <c r="B318" s="240" t="s">
        <v>220</v>
      </c>
      <c r="C318" s="241" t="s">
        <v>220</v>
      </c>
      <c r="D318" s="201" t="s">
        <v>220</v>
      </c>
      <c r="E318" s="240">
        <v>0.35</v>
      </c>
      <c r="F318" s="241">
        <v>0.26</v>
      </c>
      <c r="G318" s="201">
        <f t="shared" si="50"/>
        <v>0.30499999999999999</v>
      </c>
      <c r="H318" s="240">
        <v>0.35</v>
      </c>
      <c r="I318" s="241">
        <v>0.26</v>
      </c>
      <c r="J318" s="201">
        <f t="shared" si="56"/>
        <v>0.30499999999999999</v>
      </c>
      <c r="K318" s="242">
        <v>0</v>
      </c>
      <c r="L318" s="274">
        <v>39261</v>
      </c>
      <c r="M318" s="240">
        <v>0.27</v>
      </c>
      <c r="N318" s="241">
        <v>0.24</v>
      </c>
      <c r="O318" s="201">
        <f t="shared" si="57"/>
        <v>0.255</v>
      </c>
      <c r="P318" s="240">
        <v>0.27</v>
      </c>
      <c r="Q318" s="241">
        <v>0.24</v>
      </c>
      <c r="R318" s="201">
        <f t="shared" si="58"/>
        <v>0.255</v>
      </c>
      <c r="S318" s="240">
        <v>0.27</v>
      </c>
      <c r="T318" s="241">
        <v>0.24</v>
      </c>
      <c r="U318" s="201">
        <f t="shared" si="59"/>
        <v>0.255</v>
      </c>
      <c r="V318" s="240">
        <v>0</v>
      </c>
      <c r="W318" s="241">
        <v>0</v>
      </c>
      <c r="X318" s="201">
        <f t="shared" si="60"/>
        <v>0</v>
      </c>
      <c r="Y318" s="242">
        <v>3.0960000000000001</v>
      </c>
    </row>
    <row r="319" spans="1:25" ht="15.75" x14ac:dyDescent="0.25">
      <c r="A319" s="31">
        <f>'M&amp;R Stations'!A303</f>
        <v>39262</v>
      </c>
      <c r="B319" s="240" t="s">
        <v>220</v>
      </c>
      <c r="C319" s="241" t="s">
        <v>220</v>
      </c>
      <c r="D319" s="201" t="s">
        <v>220</v>
      </c>
      <c r="E319" s="240">
        <v>0.26</v>
      </c>
      <c r="F319" s="241">
        <v>0.26</v>
      </c>
      <c r="G319" s="201">
        <f t="shared" si="50"/>
        <v>0.26</v>
      </c>
      <c r="H319" s="240">
        <v>0.3</v>
      </c>
      <c r="I319" s="241">
        <v>0.26</v>
      </c>
      <c r="J319" s="201">
        <f t="shared" si="56"/>
        <v>0.28000000000000003</v>
      </c>
      <c r="K319" s="242">
        <v>0</v>
      </c>
      <c r="L319" s="274">
        <v>39262</v>
      </c>
      <c r="M319" s="240">
        <v>0.27</v>
      </c>
      <c r="N319" s="241">
        <v>0.24</v>
      </c>
      <c r="O319" s="201">
        <f t="shared" si="57"/>
        <v>0.255</v>
      </c>
      <c r="P319" s="240">
        <v>0.27</v>
      </c>
      <c r="Q319" s="241">
        <v>0.24</v>
      </c>
      <c r="R319" s="201">
        <f t="shared" si="58"/>
        <v>0.255</v>
      </c>
      <c r="S319" s="240">
        <v>0.27</v>
      </c>
      <c r="T319" s="241">
        <v>0.24</v>
      </c>
      <c r="U319" s="201">
        <f t="shared" si="59"/>
        <v>0.255</v>
      </c>
      <c r="V319" s="240">
        <v>0</v>
      </c>
      <c r="W319" s="241">
        <v>0</v>
      </c>
      <c r="X319" s="201">
        <f t="shared" si="60"/>
        <v>0</v>
      </c>
      <c r="Y319" s="242">
        <v>3.149</v>
      </c>
    </row>
    <row r="320" spans="1:25" ht="15.75" x14ac:dyDescent="0.25">
      <c r="A320" s="31">
        <f>'M&amp;R Stations'!A304</f>
        <v>39263</v>
      </c>
      <c r="B320" s="240" t="s">
        <v>220</v>
      </c>
      <c r="C320" s="241" t="s">
        <v>220</v>
      </c>
      <c r="D320" s="201" t="s">
        <v>220</v>
      </c>
      <c r="E320" s="240">
        <v>0.3</v>
      </c>
      <c r="F320" s="241">
        <v>0.26</v>
      </c>
      <c r="G320" s="201">
        <f t="shared" si="50"/>
        <v>0.28000000000000003</v>
      </c>
      <c r="H320" s="240">
        <v>0.3</v>
      </c>
      <c r="I320" s="241">
        <v>0.26</v>
      </c>
      <c r="J320" s="201">
        <f t="shared" si="56"/>
        <v>0.28000000000000003</v>
      </c>
      <c r="K320" s="242">
        <v>0</v>
      </c>
      <c r="L320" s="274">
        <v>39263</v>
      </c>
      <c r="M320" s="240">
        <v>0.27</v>
      </c>
      <c r="N320" s="241">
        <v>0.24</v>
      </c>
      <c r="O320" s="201">
        <f t="shared" si="57"/>
        <v>0.255</v>
      </c>
      <c r="P320" s="240">
        <v>0.24</v>
      </c>
      <c r="Q320" s="241">
        <v>0.24</v>
      </c>
      <c r="R320" s="201">
        <f t="shared" si="58"/>
        <v>0.24</v>
      </c>
      <c r="S320" s="240">
        <v>0.24</v>
      </c>
      <c r="T320" s="241">
        <v>0.24</v>
      </c>
      <c r="U320" s="201">
        <f t="shared" si="59"/>
        <v>0.24</v>
      </c>
      <c r="V320" s="240">
        <v>0</v>
      </c>
      <c r="W320" s="241">
        <v>0</v>
      </c>
      <c r="X320" s="201">
        <f t="shared" si="60"/>
        <v>0</v>
      </c>
      <c r="Y320" s="242">
        <v>3.1040000000000001</v>
      </c>
    </row>
    <row r="321" spans="1:25" ht="15.75" x14ac:dyDescent="0.25">
      <c r="A321" s="179"/>
      <c r="B321" s="203"/>
      <c r="C321" s="204"/>
      <c r="D321" s="205"/>
      <c r="E321" s="203"/>
      <c r="F321" s="204"/>
      <c r="G321" s="205"/>
      <c r="H321" s="203"/>
      <c r="I321" s="204"/>
      <c r="J321" s="206"/>
      <c r="K321" s="208"/>
      <c r="L321" s="207"/>
      <c r="M321" s="203"/>
      <c r="N321" s="204"/>
      <c r="O321" s="206"/>
      <c r="P321" s="203"/>
      <c r="Q321" s="204"/>
      <c r="R321" s="206"/>
      <c r="S321" s="203"/>
      <c r="T321" s="204"/>
      <c r="U321" s="206"/>
      <c r="V321" s="203"/>
      <c r="W321" s="204"/>
      <c r="X321" s="206"/>
      <c r="Y321" s="208"/>
    </row>
    <row r="322" spans="1:25" ht="15.75" x14ac:dyDescent="0.25">
      <c r="A322" s="31">
        <f>'M&amp;R Stations'!A305</f>
        <v>39264</v>
      </c>
      <c r="B322" s="240" t="s">
        <v>220</v>
      </c>
      <c r="C322" s="241" t="s">
        <v>220</v>
      </c>
      <c r="D322" s="201" t="s">
        <v>220</v>
      </c>
      <c r="E322" s="240">
        <v>0.26</v>
      </c>
      <c r="F322" s="241">
        <v>0.26</v>
      </c>
      <c r="G322" s="201">
        <f t="shared" si="50"/>
        <v>0.26</v>
      </c>
      <c r="H322" s="240">
        <v>0.26</v>
      </c>
      <c r="I322" s="241">
        <v>0.26</v>
      </c>
      <c r="J322" s="201">
        <f t="shared" ref="J322:J352" si="61">IF(AND(H322="",I322=""),"",IF(H322="off",I322,IF(I322="off",H322,AVERAGE(H322:I322))))</f>
        <v>0.26</v>
      </c>
      <c r="K322" s="242">
        <v>0</v>
      </c>
      <c r="L322" s="194"/>
      <c r="M322" s="240">
        <v>0.24</v>
      </c>
      <c r="N322" s="241">
        <v>0.24</v>
      </c>
      <c r="O322" s="201">
        <f t="shared" ref="O322:O352" si="62">IF(AND(M322="",N322=""),"",IF(M322="off",N322,IF(N322="off",M322,AVERAGE(M322:N322))))</f>
        <v>0.24</v>
      </c>
      <c r="P322" s="240">
        <v>0.24</v>
      </c>
      <c r="Q322" s="241">
        <v>0.24</v>
      </c>
      <c r="R322" s="201">
        <f t="shared" ref="R322:R352" si="63">IF(AND(P322="",Q322=""),"",IF(P322="off",Q322,IF(Q322="off",P322,AVERAGE(P322:Q322))))</f>
        <v>0.24</v>
      </c>
      <c r="S322" s="240">
        <v>0.27</v>
      </c>
      <c r="T322" s="241">
        <v>0.24</v>
      </c>
      <c r="U322" s="201">
        <f t="shared" ref="U322:U352" si="64">IF(AND(S322="",T322=""),"",IF(S322="off",T322,IF(T322="off",S322,AVERAGE(S322:T322))))</f>
        <v>0.255</v>
      </c>
      <c r="V322" s="240">
        <v>0</v>
      </c>
      <c r="W322" s="241">
        <v>0</v>
      </c>
      <c r="X322" s="201">
        <f t="shared" ref="X322:X352" si="65">IF(AND(V322="",W322=""),"",IF(V322="off",W322,IF(W322="off",V322,AVERAGE(V322:W322))))</f>
        <v>0</v>
      </c>
      <c r="Y322" s="242">
        <v>0</v>
      </c>
    </row>
    <row r="323" spans="1:25" ht="15.75" x14ac:dyDescent="0.25">
      <c r="A323" s="31">
        <f>'M&amp;R Stations'!A306</f>
        <v>39265</v>
      </c>
      <c r="B323" s="240" t="s">
        <v>220</v>
      </c>
      <c r="C323" s="241" t="s">
        <v>220</v>
      </c>
      <c r="D323" s="201" t="s">
        <v>220</v>
      </c>
      <c r="E323" s="240">
        <v>0.35</v>
      </c>
      <c r="F323" s="241">
        <v>0.26</v>
      </c>
      <c r="G323" s="201">
        <f t="shared" ref="G323:G384" si="66">IF(AND(E323="",F323=""),"",IF(E323="off",F323,IF(F323="off",E323,AVERAGE(E323:F323))))</f>
        <v>0.30499999999999999</v>
      </c>
      <c r="H323" s="240">
        <v>0.35</v>
      </c>
      <c r="I323" s="241">
        <v>0.26</v>
      </c>
      <c r="J323" s="201">
        <f t="shared" si="61"/>
        <v>0.30499999999999999</v>
      </c>
      <c r="K323" s="242">
        <v>0</v>
      </c>
      <c r="L323" s="194"/>
      <c r="M323" s="240">
        <v>0.24</v>
      </c>
      <c r="N323" s="241">
        <v>0.24</v>
      </c>
      <c r="O323" s="201">
        <f t="shared" si="62"/>
        <v>0.24</v>
      </c>
      <c r="P323" s="240">
        <v>0.24</v>
      </c>
      <c r="Q323" s="241">
        <v>0.24</v>
      </c>
      <c r="R323" s="201">
        <f t="shared" si="63"/>
        <v>0.24</v>
      </c>
      <c r="S323" s="240">
        <v>0.24</v>
      </c>
      <c r="T323" s="241">
        <v>0.24</v>
      </c>
      <c r="U323" s="201">
        <f t="shared" si="64"/>
        <v>0.24</v>
      </c>
      <c r="V323" s="240">
        <v>0</v>
      </c>
      <c r="W323" s="241">
        <v>0</v>
      </c>
      <c r="X323" s="201">
        <f t="shared" si="65"/>
        <v>0</v>
      </c>
      <c r="Y323" s="242">
        <v>0</v>
      </c>
    </row>
    <row r="324" spans="1:25" ht="15.75" x14ac:dyDescent="0.25">
      <c r="A324" s="31">
        <f>'M&amp;R Stations'!A307</f>
        <v>39266</v>
      </c>
      <c r="B324" s="240" t="s">
        <v>220</v>
      </c>
      <c r="C324" s="241" t="s">
        <v>220</v>
      </c>
      <c r="D324" s="201" t="s">
        <v>220</v>
      </c>
      <c r="E324" s="240">
        <v>0.35</v>
      </c>
      <c r="F324" s="241">
        <v>0.26</v>
      </c>
      <c r="G324" s="201">
        <f t="shared" si="66"/>
        <v>0.30499999999999999</v>
      </c>
      <c r="H324" s="240">
        <v>0.35</v>
      </c>
      <c r="I324" s="241">
        <v>0.26</v>
      </c>
      <c r="J324" s="201">
        <f t="shared" si="61"/>
        <v>0.30499999999999999</v>
      </c>
      <c r="K324" s="242">
        <v>0</v>
      </c>
      <c r="L324" s="194"/>
      <c r="M324" s="240">
        <v>0.24</v>
      </c>
      <c r="N324" s="241">
        <v>0.24</v>
      </c>
      <c r="O324" s="201">
        <f t="shared" si="62"/>
        <v>0.24</v>
      </c>
      <c r="P324" s="240">
        <v>0.24</v>
      </c>
      <c r="Q324" s="241">
        <v>0.24</v>
      </c>
      <c r="R324" s="201">
        <f t="shared" si="63"/>
        <v>0.24</v>
      </c>
      <c r="S324" s="240">
        <v>0.24</v>
      </c>
      <c r="T324" s="241">
        <v>0.24</v>
      </c>
      <c r="U324" s="201">
        <f t="shared" si="64"/>
        <v>0.24</v>
      </c>
      <c r="V324" s="240">
        <v>0</v>
      </c>
      <c r="W324" s="241">
        <v>0</v>
      </c>
      <c r="X324" s="201">
        <f t="shared" si="65"/>
        <v>0</v>
      </c>
      <c r="Y324" s="242">
        <v>0</v>
      </c>
    </row>
    <row r="325" spans="1:25" ht="15.75" x14ac:dyDescent="0.25">
      <c r="A325" s="31">
        <f>'M&amp;R Stations'!A308</f>
        <v>39267</v>
      </c>
      <c r="B325" s="240" t="s">
        <v>220</v>
      </c>
      <c r="C325" s="241" t="s">
        <v>220</v>
      </c>
      <c r="D325" s="201" t="s">
        <v>220</v>
      </c>
      <c r="E325" s="240">
        <v>0.35</v>
      </c>
      <c r="F325" s="241">
        <v>0.26</v>
      </c>
      <c r="G325" s="201">
        <f t="shared" si="66"/>
        <v>0.30499999999999999</v>
      </c>
      <c r="H325" s="240">
        <v>0.35</v>
      </c>
      <c r="I325" s="241">
        <v>0.26</v>
      </c>
      <c r="J325" s="201">
        <f t="shared" si="61"/>
        <v>0.30499999999999999</v>
      </c>
      <c r="K325" s="242">
        <v>0</v>
      </c>
      <c r="L325" s="194"/>
      <c r="M325" s="240">
        <v>0.24</v>
      </c>
      <c r="N325" s="241">
        <v>0.21</v>
      </c>
      <c r="O325" s="201">
        <f t="shared" si="62"/>
        <v>0.22499999999999998</v>
      </c>
      <c r="P325" s="240">
        <v>0.24</v>
      </c>
      <c r="Q325" s="241">
        <v>0.21</v>
      </c>
      <c r="R325" s="201">
        <f t="shared" si="63"/>
        <v>0.22499999999999998</v>
      </c>
      <c r="S325" s="240">
        <v>0.24</v>
      </c>
      <c r="T325" s="241">
        <v>0.21</v>
      </c>
      <c r="U325" s="201">
        <f t="shared" si="64"/>
        <v>0.22499999999999998</v>
      </c>
      <c r="V325" s="240">
        <v>0</v>
      </c>
      <c r="W325" s="241">
        <v>0</v>
      </c>
      <c r="X325" s="201">
        <f t="shared" si="65"/>
        <v>0</v>
      </c>
      <c r="Y325" s="242">
        <v>0</v>
      </c>
    </row>
    <row r="326" spans="1:25" ht="15.75" x14ac:dyDescent="0.25">
      <c r="A326" s="31">
        <f>'M&amp;R Stations'!A309</f>
        <v>39268</v>
      </c>
      <c r="B326" s="240" t="s">
        <v>220</v>
      </c>
      <c r="C326" s="241" t="s">
        <v>220</v>
      </c>
      <c r="D326" s="201" t="s">
        <v>220</v>
      </c>
      <c r="E326" s="240">
        <v>0.35</v>
      </c>
      <c r="F326" s="241">
        <v>0.26</v>
      </c>
      <c r="G326" s="201">
        <f t="shared" si="66"/>
        <v>0.30499999999999999</v>
      </c>
      <c r="H326" s="240">
        <v>0.35</v>
      </c>
      <c r="I326" s="241">
        <v>0.26</v>
      </c>
      <c r="J326" s="201">
        <f t="shared" si="61"/>
        <v>0.30499999999999999</v>
      </c>
      <c r="K326" s="242">
        <v>0</v>
      </c>
      <c r="L326" s="194"/>
      <c r="M326" s="240">
        <v>0.24</v>
      </c>
      <c r="N326" s="241">
        <v>0.24</v>
      </c>
      <c r="O326" s="201">
        <f t="shared" si="62"/>
        <v>0.24</v>
      </c>
      <c r="P326" s="240">
        <v>0.24</v>
      </c>
      <c r="Q326" s="241">
        <v>0.24</v>
      </c>
      <c r="R326" s="201">
        <f t="shared" si="63"/>
        <v>0.24</v>
      </c>
      <c r="S326" s="240">
        <v>0.24</v>
      </c>
      <c r="T326" s="241">
        <v>0.24</v>
      </c>
      <c r="U326" s="201">
        <f t="shared" si="64"/>
        <v>0.24</v>
      </c>
      <c r="V326" s="240">
        <v>0</v>
      </c>
      <c r="W326" s="241">
        <v>0</v>
      </c>
      <c r="X326" s="201">
        <f t="shared" si="65"/>
        <v>0</v>
      </c>
      <c r="Y326" s="242">
        <v>0</v>
      </c>
    </row>
    <row r="327" spans="1:25" ht="15.75" x14ac:dyDescent="0.25">
      <c r="A327" s="31">
        <f>'M&amp;R Stations'!A310</f>
        <v>39269</v>
      </c>
      <c r="B327" s="240" t="s">
        <v>220</v>
      </c>
      <c r="C327" s="241" t="s">
        <v>220</v>
      </c>
      <c r="D327" s="201" t="s">
        <v>220</v>
      </c>
      <c r="E327" s="240">
        <v>0.3</v>
      </c>
      <c r="F327" s="241">
        <v>0.26</v>
      </c>
      <c r="G327" s="201">
        <f t="shared" si="66"/>
        <v>0.28000000000000003</v>
      </c>
      <c r="H327" s="240">
        <v>0.35</v>
      </c>
      <c r="I327" s="241">
        <v>0.26</v>
      </c>
      <c r="J327" s="201">
        <f t="shared" si="61"/>
        <v>0.30499999999999999</v>
      </c>
      <c r="K327" s="242">
        <v>0</v>
      </c>
      <c r="L327" s="194"/>
      <c r="M327" s="240">
        <v>0.24</v>
      </c>
      <c r="N327" s="241">
        <v>0.24</v>
      </c>
      <c r="O327" s="201">
        <f t="shared" si="62"/>
        <v>0.24</v>
      </c>
      <c r="P327" s="240">
        <v>0.24</v>
      </c>
      <c r="Q327" s="241">
        <v>0.24</v>
      </c>
      <c r="R327" s="201">
        <f t="shared" si="63"/>
        <v>0.24</v>
      </c>
      <c r="S327" s="240">
        <v>0.24</v>
      </c>
      <c r="T327" s="241">
        <v>0.21</v>
      </c>
      <c r="U327" s="201">
        <f t="shared" si="64"/>
        <v>0.22499999999999998</v>
      </c>
      <c r="V327" s="240">
        <v>0</v>
      </c>
      <c r="W327" s="241">
        <v>0</v>
      </c>
      <c r="X327" s="201">
        <f t="shared" si="65"/>
        <v>0</v>
      </c>
      <c r="Y327" s="242">
        <v>0</v>
      </c>
    </row>
    <row r="328" spans="1:25" ht="15.75" x14ac:dyDescent="0.25">
      <c r="A328" s="31">
        <f>'M&amp;R Stations'!A311</f>
        <v>39270</v>
      </c>
      <c r="B328" s="240" t="s">
        <v>220</v>
      </c>
      <c r="C328" s="241" t="s">
        <v>220</v>
      </c>
      <c r="D328" s="201" t="s">
        <v>220</v>
      </c>
      <c r="E328" s="240">
        <v>0.35</v>
      </c>
      <c r="F328" s="241">
        <v>0.26</v>
      </c>
      <c r="G328" s="201">
        <f t="shared" si="66"/>
        <v>0.30499999999999999</v>
      </c>
      <c r="H328" s="240">
        <v>0.35</v>
      </c>
      <c r="I328" s="241">
        <v>0.26</v>
      </c>
      <c r="J328" s="201">
        <f t="shared" si="61"/>
        <v>0.30499999999999999</v>
      </c>
      <c r="K328" s="242">
        <v>0</v>
      </c>
      <c r="L328" s="194"/>
      <c r="M328" s="240">
        <v>0.24</v>
      </c>
      <c r="N328" s="241">
        <v>0.24</v>
      </c>
      <c r="O328" s="201">
        <f t="shared" si="62"/>
        <v>0.24</v>
      </c>
      <c r="P328" s="240">
        <v>0.24</v>
      </c>
      <c r="Q328" s="241">
        <v>0.24</v>
      </c>
      <c r="R328" s="201">
        <f t="shared" si="63"/>
        <v>0.24</v>
      </c>
      <c r="S328" s="240">
        <v>0.24</v>
      </c>
      <c r="T328" s="241">
        <v>0.24</v>
      </c>
      <c r="U328" s="201">
        <f t="shared" si="64"/>
        <v>0.24</v>
      </c>
      <c r="V328" s="240">
        <v>0</v>
      </c>
      <c r="W328" s="241">
        <v>0</v>
      </c>
      <c r="X328" s="201">
        <f t="shared" si="65"/>
        <v>0</v>
      </c>
      <c r="Y328" s="242">
        <v>0</v>
      </c>
    </row>
    <row r="329" spans="1:25" ht="15.75" x14ac:dyDescent="0.25">
      <c r="A329" s="31">
        <f>'M&amp;R Stations'!A312</f>
        <v>39271</v>
      </c>
      <c r="B329" s="240" t="s">
        <v>220</v>
      </c>
      <c r="C329" s="241" t="s">
        <v>220</v>
      </c>
      <c r="D329" s="201" t="s">
        <v>220</v>
      </c>
      <c r="E329" s="240">
        <v>0.35</v>
      </c>
      <c r="F329" s="241">
        <v>0.26</v>
      </c>
      <c r="G329" s="201">
        <f t="shared" si="66"/>
        <v>0.30499999999999999</v>
      </c>
      <c r="H329" s="240">
        <v>0.35</v>
      </c>
      <c r="I329" s="241">
        <v>0.26</v>
      </c>
      <c r="J329" s="201">
        <f t="shared" si="61"/>
        <v>0.30499999999999999</v>
      </c>
      <c r="K329" s="242">
        <v>0</v>
      </c>
      <c r="L329" s="194"/>
      <c r="M329" s="240">
        <v>0.24</v>
      </c>
      <c r="N329" s="241">
        <v>0.24</v>
      </c>
      <c r="O329" s="201">
        <f t="shared" si="62"/>
        <v>0.24</v>
      </c>
      <c r="P329" s="240">
        <v>0.24</v>
      </c>
      <c r="Q329" s="241">
        <v>0.24</v>
      </c>
      <c r="R329" s="201">
        <f t="shared" si="63"/>
        <v>0.24</v>
      </c>
      <c r="S329" s="240">
        <v>0.24</v>
      </c>
      <c r="T329" s="241">
        <v>0.24</v>
      </c>
      <c r="U329" s="201">
        <f t="shared" si="64"/>
        <v>0.24</v>
      </c>
      <c r="V329" s="240">
        <v>0</v>
      </c>
      <c r="W329" s="241">
        <v>0</v>
      </c>
      <c r="X329" s="201">
        <f t="shared" si="65"/>
        <v>0</v>
      </c>
      <c r="Y329" s="242">
        <v>0</v>
      </c>
    </row>
    <row r="330" spans="1:25" ht="15.75" x14ac:dyDescent="0.25">
      <c r="A330" s="31">
        <f>'M&amp;R Stations'!A313</f>
        <v>39272</v>
      </c>
      <c r="B330" s="240" t="s">
        <v>220</v>
      </c>
      <c r="C330" s="241" t="s">
        <v>220</v>
      </c>
      <c r="D330" s="201" t="s">
        <v>220</v>
      </c>
      <c r="E330" s="240">
        <v>0.35</v>
      </c>
      <c r="F330" s="241">
        <v>0.26</v>
      </c>
      <c r="G330" s="201">
        <f t="shared" si="66"/>
        <v>0.30499999999999999</v>
      </c>
      <c r="H330" s="240">
        <v>0.35</v>
      </c>
      <c r="I330" s="241">
        <v>0.26</v>
      </c>
      <c r="J330" s="201">
        <f t="shared" si="61"/>
        <v>0.30499999999999999</v>
      </c>
      <c r="K330" s="242">
        <v>0</v>
      </c>
      <c r="L330" s="194"/>
      <c r="M330" s="240">
        <v>0.24</v>
      </c>
      <c r="N330" s="241">
        <v>0.24</v>
      </c>
      <c r="O330" s="201">
        <f t="shared" si="62"/>
        <v>0.24</v>
      </c>
      <c r="P330" s="240">
        <v>0.24</v>
      </c>
      <c r="Q330" s="241">
        <v>0.24</v>
      </c>
      <c r="R330" s="201">
        <f t="shared" si="63"/>
        <v>0.24</v>
      </c>
      <c r="S330" s="240">
        <v>0.24</v>
      </c>
      <c r="T330" s="241">
        <v>0.24</v>
      </c>
      <c r="U330" s="201">
        <f t="shared" si="64"/>
        <v>0.24</v>
      </c>
      <c r="V330" s="240">
        <v>0</v>
      </c>
      <c r="W330" s="241">
        <v>0</v>
      </c>
      <c r="X330" s="201">
        <f t="shared" si="65"/>
        <v>0</v>
      </c>
      <c r="Y330" s="242">
        <v>0</v>
      </c>
    </row>
    <row r="331" spans="1:25" ht="15.75" x14ac:dyDescent="0.25">
      <c r="A331" s="31">
        <f>'M&amp;R Stations'!A314</f>
        <v>39273</v>
      </c>
      <c r="B331" s="240" t="s">
        <v>220</v>
      </c>
      <c r="C331" s="241" t="s">
        <v>220</v>
      </c>
      <c r="D331" s="201" t="s">
        <v>220</v>
      </c>
      <c r="E331" s="240">
        <v>0.35</v>
      </c>
      <c r="F331" s="241">
        <v>0.3</v>
      </c>
      <c r="G331" s="201">
        <f t="shared" si="66"/>
        <v>0.32499999999999996</v>
      </c>
      <c r="H331" s="240">
        <v>0.35</v>
      </c>
      <c r="I331" s="241">
        <v>0.26</v>
      </c>
      <c r="J331" s="201">
        <f t="shared" si="61"/>
        <v>0.30499999999999999</v>
      </c>
      <c r="K331" s="242">
        <v>0</v>
      </c>
      <c r="L331" s="194"/>
      <c r="M331" s="240">
        <v>0.27</v>
      </c>
      <c r="N331" s="241">
        <v>0.24</v>
      </c>
      <c r="O331" s="201">
        <f t="shared" si="62"/>
        <v>0.255</v>
      </c>
      <c r="P331" s="240">
        <v>0.27</v>
      </c>
      <c r="Q331" s="241">
        <v>0.24</v>
      </c>
      <c r="R331" s="201">
        <f t="shared" si="63"/>
        <v>0.255</v>
      </c>
      <c r="S331" s="240">
        <v>0.27</v>
      </c>
      <c r="T331" s="241">
        <v>0.24</v>
      </c>
      <c r="U331" s="201">
        <f t="shared" si="64"/>
        <v>0.255</v>
      </c>
      <c r="V331" s="240">
        <v>0</v>
      </c>
      <c r="W331" s="241">
        <v>0</v>
      </c>
      <c r="X331" s="201">
        <f t="shared" si="65"/>
        <v>0</v>
      </c>
      <c r="Y331" s="242">
        <v>0</v>
      </c>
    </row>
    <row r="332" spans="1:25" ht="15.75" x14ac:dyDescent="0.25">
      <c r="A332" s="31">
        <f>'M&amp;R Stations'!A315</f>
        <v>39274</v>
      </c>
      <c r="B332" s="240" t="s">
        <v>220</v>
      </c>
      <c r="C332" s="241" t="s">
        <v>220</v>
      </c>
      <c r="D332" s="201" t="s">
        <v>220</v>
      </c>
      <c r="E332" s="240">
        <v>0.35</v>
      </c>
      <c r="F332" s="241">
        <v>0.26</v>
      </c>
      <c r="G332" s="201">
        <f t="shared" si="66"/>
        <v>0.30499999999999999</v>
      </c>
      <c r="H332" s="240">
        <v>0.35</v>
      </c>
      <c r="I332" s="241">
        <v>0.26</v>
      </c>
      <c r="J332" s="201">
        <f t="shared" si="61"/>
        <v>0.30499999999999999</v>
      </c>
      <c r="K332" s="242">
        <v>0</v>
      </c>
      <c r="L332" s="194"/>
      <c r="M332" s="240">
        <v>0.27</v>
      </c>
      <c r="N332" s="241">
        <v>0.24</v>
      </c>
      <c r="O332" s="201">
        <f t="shared" si="62"/>
        <v>0.255</v>
      </c>
      <c r="P332" s="240">
        <v>0.27</v>
      </c>
      <c r="Q332" s="241">
        <v>0.24</v>
      </c>
      <c r="R332" s="201">
        <f t="shared" si="63"/>
        <v>0.255</v>
      </c>
      <c r="S332" s="240">
        <v>0.27</v>
      </c>
      <c r="T332" s="241">
        <v>0.24</v>
      </c>
      <c r="U332" s="201">
        <f t="shared" si="64"/>
        <v>0.255</v>
      </c>
      <c r="V332" s="240">
        <v>0</v>
      </c>
      <c r="W332" s="241">
        <v>0</v>
      </c>
      <c r="X332" s="201">
        <f t="shared" si="65"/>
        <v>0</v>
      </c>
      <c r="Y332" s="242">
        <v>0</v>
      </c>
    </row>
    <row r="333" spans="1:25" ht="15.75" x14ac:dyDescent="0.25">
      <c r="A333" s="31">
        <f>'M&amp;R Stations'!A316</f>
        <v>39275</v>
      </c>
      <c r="B333" s="240" t="s">
        <v>220</v>
      </c>
      <c r="C333" s="241" t="s">
        <v>220</v>
      </c>
      <c r="D333" s="201" t="s">
        <v>220</v>
      </c>
      <c r="E333" s="240">
        <v>0.3</v>
      </c>
      <c r="F333" s="241">
        <v>0.26</v>
      </c>
      <c r="G333" s="201">
        <f t="shared" si="66"/>
        <v>0.28000000000000003</v>
      </c>
      <c r="H333" s="240">
        <v>0.3</v>
      </c>
      <c r="I333" s="241">
        <v>0.26</v>
      </c>
      <c r="J333" s="201">
        <f t="shared" si="61"/>
        <v>0.28000000000000003</v>
      </c>
      <c r="K333" s="242">
        <v>0</v>
      </c>
      <c r="L333" s="194"/>
      <c r="M333" s="240">
        <v>0.27</v>
      </c>
      <c r="N333" s="241">
        <v>0.24</v>
      </c>
      <c r="O333" s="201">
        <f t="shared" si="62"/>
        <v>0.255</v>
      </c>
      <c r="P333" s="240">
        <v>0.27</v>
      </c>
      <c r="Q333" s="241">
        <v>0.24</v>
      </c>
      <c r="R333" s="201">
        <f t="shared" si="63"/>
        <v>0.255</v>
      </c>
      <c r="S333" s="240">
        <v>0.27</v>
      </c>
      <c r="T333" s="241">
        <v>0.24</v>
      </c>
      <c r="U333" s="201">
        <f t="shared" si="64"/>
        <v>0.255</v>
      </c>
      <c r="V333" s="240">
        <v>0</v>
      </c>
      <c r="W333" s="241">
        <v>0</v>
      </c>
      <c r="X333" s="201">
        <f t="shared" si="65"/>
        <v>0</v>
      </c>
      <c r="Y333" s="242">
        <v>0</v>
      </c>
    </row>
    <row r="334" spans="1:25" ht="15.75" x14ac:dyDescent="0.25">
      <c r="A334" s="31">
        <f>'M&amp;R Stations'!A317</f>
        <v>39276</v>
      </c>
      <c r="B334" s="240" t="s">
        <v>220</v>
      </c>
      <c r="C334" s="241" t="s">
        <v>220</v>
      </c>
      <c r="D334" s="201" t="s">
        <v>220</v>
      </c>
      <c r="E334" s="240">
        <v>0.35</v>
      </c>
      <c r="F334" s="241">
        <v>0.26</v>
      </c>
      <c r="G334" s="201">
        <f t="shared" si="66"/>
        <v>0.30499999999999999</v>
      </c>
      <c r="H334" s="240">
        <v>0.35</v>
      </c>
      <c r="I334" s="241">
        <v>0.26</v>
      </c>
      <c r="J334" s="201">
        <f t="shared" si="61"/>
        <v>0.30499999999999999</v>
      </c>
      <c r="K334" s="242">
        <v>0</v>
      </c>
      <c r="L334" s="194"/>
      <c r="M334" s="240">
        <v>0.27</v>
      </c>
      <c r="N334" s="241">
        <v>0.24</v>
      </c>
      <c r="O334" s="201">
        <f t="shared" si="62"/>
        <v>0.255</v>
      </c>
      <c r="P334" s="240">
        <v>0.27</v>
      </c>
      <c r="Q334" s="241">
        <v>0.24</v>
      </c>
      <c r="R334" s="201">
        <f t="shared" si="63"/>
        <v>0.255</v>
      </c>
      <c r="S334" s="240">
        <v>0.27</v>
      </c>
      <c r="T334" s="241">
        <v>0.24</v>
      </c>
      <c r="U334" s="201">
        <f t="shared" si="64"/>
        <v>0.255</v>
      </c>
      <c r="V334" s="240">
        <v>0</v>
      </c>
      <c r="W334" s="241">
        <v>0</v>
      </c>
      <c r="X334" s="201">
        <f t="shared" si="65"/>
        <v>0</v>
      </c>
      <c r="Y334" s="242">
        <v>0</v>
      </c>
    </row>
    <row r="335" spans="1:25" ht="15.75" x14ac:dyDescent="0.25">
      <c r="A335" s="31">
        <f>'M&amp;R Stations'!A318</f>
        <v>39277</v>
      </c>
      <c r="B335" s="240" t="s">
        <v>220</v>
      </c>
      <c r="C335" s="241" t="s">
        <v>220</v>
      </c>
      <c r="D335" s="201" t="s">
        <v>220</v>
      </c>
      <c r="E335" s="240">
        <v>0.35</v>
      </c>
      <c r="F335" s="241">
        <v>0.26</v>
      </c>
      <c r="G335" s="201">
        <f t="shared" si="66"/>
        <v>0.30499999999999999</v>
      </c>
      <c r="H335" s="240">
        <v>0.35</v>
      </c>
      <c r="I335" s="241">
        <v>0.26</v>
      </c>
      <c r="J335" s="201">
        <f t="shared" si="61"/>
        <v>0.30499999999999999</v>
      </c>
      <c r="K335" s="242">
        <v>0</v>
      </c>
      <c r="L335" s="194"/>
      <c r="M335" s="240">
        <v>0.27</v>
      </c>
      <c r="N335" s="241">
        <v>0.21</v>
      </c>
      <c r="O335" s="201">
        <f t="shared" si="62"/>
        <v>0.24</v>
      </c>
      <c r="P335" s="240">
        <v>0.27</v>
      </c>
      <c r="Q335" s="241">
        <v>0.21</v>
      </c>
      <c r="R335" s="201">
        <f t="shared" si="63"/>
        <v>0.24</v>
      </c>
      <c r="S335" s="240">
        <v>0.27</v>
      </c>
      <c r="T335" s="241">
        <v>0.21</v>
      </c>
      <c r="U335" s="201">
        <f t="shared" si="64"/>
        <v>0.24</v>
      </c>
      <c r="V335" s="240">
        <v>0</v>
      </c>
      <c r="W335" s="241">
        <v>0</v>
      </c>
      <c r="X335" s="201">
        <f t="shared" si="65"/>
        <v>0</v>
      </c>
      <c r="Y335" s="242">
        <v>0</v>
      </c>
    </row>
    <row r="336" spans="1:25" ht="15.75" x14ac:dyDescent="0.25">
      <c r="A336" s="31">
        <f>'M&amp;R Stations'!A319</f>
        <v>39278</v>
      </c>
      <c r="B336" s="240" t="s">
        <v>220</v>
      </c>
      <c r="C336" s="241" t="s">
        <v>220</v>
      </c>
      <c r="D336" s="201" t="s">
        <v>220</v>
      </c>
      <c r="E336" s="240">
        <v>0.35</v>
      </c>
      <c r="F336" s="241">
        <v>0.26</v>
      </c>
      <c r="G336" s="201">
        <f t="shared" si="66"/>
        <v>0.30499999999999999</v>
      </c>
      <c r="H336" s="240">
        <v>0.35</v>
      </c>
      <c r="I336" s="241">
        <v>0.26</v>
      </c>
      <c r="J336" s="201">
        <f t="shared" si="61"/>
        <v>0.30499999999999999</v>
      </c>
      <c r="K336" s="242">
        <v>0</v>
      </c>
      <c r="L336" s="194"/>
      <c r="M336" s="240">
        <v>0.24</v>
      </c>
      <c r="N336" s="241">
        <v>0.24</v>
      </c>
      <c r="O336" s="201">
        <f t="shared" si="62"/>
        <v>0.24</v>
      </c>
      <c r="P336" s="240">
        <v>0.24</v>
      </c>
      <c r="Q336" s="241">
        <v>0.24</v>
      </c>
      <c r="R336" s="201">
        <f t="shared" si="63"/>
        <v>0.24</v>
      </c>
      <c r="S336" s="240">
        <v>0.24</v>
      </c>
      <c r="T336" s="241">
        <v>0.24</v>
      </c>
      <c r="U336" s="201">
        <f t="shared" si="64"/>
        <v>0.24</v>
      </c>
      <c r="V336" s="240">
        <v>0</v>
      </c>
      <c r="W336" s="241">
        <v>0</v>
      </c>
      <c r="X336" s="201">
        <f t="shared" si="65"/>
        <v>0</v>
      </c>
      <c r="Y336" s="242">
        <v>0</v>
      </c>
    </row>
    <row r="337" spans="1:25" ht="15.75" x14ac:dyDescent="0.25">
      <c r="A337" s="31">
        <f>'M&amp;R Stations'!A320</f>
        <v>39279</v>
      </c>
      <c r="B337" s="240" t="s">
        <v>220</v>
      </c>
      <c r="C337" s="241" t="s">
        <v>220</v>
      </c>
      <c r="D337" s="201" t="s">
        <v>220</v>
      </c>
      <c r="E337" s="240">
        <v>0.35</v>
      </c>
      <c r="F337" s="241">
        <v>0.35</v>
      </c>
      <c r="G337" s="201">
        <f t="shared" si="66"/>
        <v>0.35</v>
      </c>
      <c r="H337" s="240">
        <v>0.35</v>
      </c>
      <c r="I337" s="241">
        <v>0.35</v>
      </c>
      <c r="J337" s="201">
        <f t="shared" si="61"/>
        <v>0.35</v>
      </c>
      <c r="K337" s="242">
        <v>0</v>
      </c>
      <c r="L337" s="194"/>
      <c r="M337" s="240">
        <v>0.27</v>
      </c>
      <c r="N337" s="241">
        <v>0.24</v>
      </c>
      <c r="O337" s="201">
        <f t="shared" si="62"/>
        <v>0.255</v>
      </c>
      <c r="P337" s="240">
        <v>0.27</v>
      </c>
      <c r="Q337" s="241">
        <v>0.24</v>
      </c>
      <c r="R337" s="201">
        <f t="shared" si="63"/>
        <v>0.255</v>
      </c>
      <c r="S337" s="240">
        <v>0.27</v>
      </c>
      <c r="T337" s="241">
        <v>0.24</v>
      </c>
      <c r="U337" s="201">
        <f t="shared" si="64"/>
        <v>0.255</v>
      </c>
      <c r="V337" s="240">
        <v>0</v>
      </c>
      <c r="W337" s="241">
        <v>0</v>
      </c>
      <c r="X337" s="201">
        <f t="shared" si="65"/>
        <v>0</v>
      </c>
      <c r="Y337" s="242">
        <v>0</v>
      </c>
    </row>
    <row r="338" spans="1:25" ht="15.75" x14ac:dyDescent="0.25">
      <c r="A338" s="31">
        <f>'M&amp;R Stations'!A321</f>
        <v>39280</v>
      </c>
      <c r="B338" s="240" t="s">
        <v>220</v>
      </c>
      <c r="C338" s="241" t="s">
        <v>220</v>
      </c>
      <c r="D338" s="201" t="s">
        <v>220</v>
      </c>
      <c r="E338" s="240">
        <v>0.38</v>
      </c>
      <c r="F338" s="241">
        <v>0.37</v>
      </c>
      <c r="G338" s="201">
        <f t="shared" si="66"/>
        <v>0.375</v>
      </c>
      <c r="H338" s="240">
        <v>0.35</v>
      </c>
      <c r="I338" s="241">
        <v>0.3</v>
      </c>
      <c r="J338" s="201">
        <f t="shared" si="61"/>
        <v>0.32499999999999996</v>
      </c>
      <c r="K338" s="242">
        <v>0</v>
      </c>
      <c r="L338" s="194"/>
      <c r="M338" s="240">
        <v>0.27</v>
      </c>
      <c r="N338" s="241">
        <v>0.24</v>
      </c>
      <c r="O338" s="201">
        <f t="shared" si="62"/>
        <v>0.255</v>
      </c>
      <c r="P338" s="240">
        <v>0.27</v>
      </c>
      <c r="Q338" s="241">
        <v>0.24</v>
      </c>
      <c r="R338" s="201">
        <f t="shared" si="63"/>
        <v>0.255</v>
      </c>
      <c r="S338" s="240">
        <v>0.27</v>
      </c>
      <c r="T338" s="241">
        <v>0.24</v>
      </c>
      <c r="U338" s="201">
        <v>0.24</v>
      </c>
      <c r="V338" s="240">
        <v>0</v>
      </c>
      <c r="W338" s="241">
        <v>0</v>
      </c>
      <c r="X338" s="201">
        <f t="shared" si="65"/>
        <v>0</v>
      </c>
      <c r="Y338" s="242">
        <v>0</v>
      </c>
    </row>
    <row r="339" spans="1:25" ht="15.75" x14ac:dyDescent="0.25">
      <c r="A339" s="31">
        <f>'M&amp;R Stations'!A322</f>
        <v>39281</v>
      </c>
      <c r="B339" s="240" t="s">
        <v>220</v>
      </c>
      <c r="C339" s="241" t="s">
        <v>220</v>
      </c>
      <c r="D339" s="201" t="s">
        <v>220</v>
      </c>
      <c r="E339" s="240">
        <v>0.35</v>
      </c>
      <c r="F339" s="241">
        <v>0.23</v>
      </c>
      <c r="G339" s="201">
        <f t="shared" si="66"/>
        <v>0.28999999999999998</v>
      </c>
      <c r="H339" s="240">
        <v>0.34</v>
      </c>
      <c r="I339" s="241">
        <v>0.26</v>
      </c>
      <c r="J339" s="201">
        <f t="shared" si="61"/>
        <v>0.30000000000000004</v>
      </c>
      <c r="K339" s="242">
        <v>0</v>
      </c>
      <c r="L339" s="194"/>
      <c r="M339" s="240">
        <v>0.27</v>
      </c>
      <c r="N339" s="241">
        <v>0.21</v>
      </c>
      <c r="O339" s="201">
        <f t="shared" si="62"/>
        <v>0.24</v>
      </c>
      <c r="P339" s="240">
        <v>0.27</v>
      </c>
      <c r="Q339" s="241">
        <v>0.18</v>
      </c>
      <c r="R339" s="201">
        <f t="shared" si="63"/>
        <v>0.22500000000000001</v>
      </c>
      <c r="S339" s="240">
        <v>0.27</v>
      </c>
      <c r="T339" s="241">
        <v>0.24</v>
      </c>
      <c r="U339" s="201">
        <f t="shared" si="64"/>
        <v>0.255</v>
      </c>
      <c r="V339" s="240">
        <v>0</v>
      </c>
      <c r="W339" s="241">
        <v>0</v>
      </c>
      <c r="X339" s="201">
        <f t="shared" si="65"/>
        <v>0</v>
      </c>
      <c r="Y339" s="242">
        <v>0</v>
      </c>
    </row>
    <row r="340" spans="1:25" ht="15.75" x14ac:dyDescent="0.25">
      <c r="A340" s="31">
        <f>'M&amp;R Stations'!A323</f>
        <v>39282</v>
      </c>
      <c r="B340" s="240" t="s">
        <v>220</v>
      </c>
      <c r="C340" s="241" t="s">
        <v>220</v>
      </c>
      <c r="D340" s="201" t="s">
        <v>220</v>
      </c>
      <c r="E340" s="240">
        <v>0.41</v>
      </c>
      <c r="F340" s="241">
        <v>0.26</v>
      </c>
      <c r="G340" s="201">
        <f t="shared" si="66"/>
        <v>0.33499999999999996</v>
      </c>
      <c r="H340" s="240">
        <v>0.43</v>
      </c>
      <c r="I340" s="241">
        <v>0.23</v>
      </c>
      <c r="J340" s="201">
        <f t="shared" si="61"/>
        <v>0.33</v>
      </c>
      <c r="K340" s="242">
        <v>0</v>
      </c>
      <c r="L340" s="194"/>
      <c r="M340" s="240">
        <v>0.27</v>
      </c>
      <c r="N340" s="241">
        <v>0.24</v>
      </c>
      <c r="O340" s="201">
        <f t="shared" si="62"/>
        <v>0.255</v>
      </c>
      <c r="P340" s="240">
        <v>0.27</v>
      </c>
      <c r="Q340" s="241">
        <v>0.24</v>
      </c>
      <c r="R340" s="201">
        <f t="shared" si="63"/>
        <v>0.255</v>
      </c>
      <c r="S340" s="240">
        <v>0.27</v>
      </c>
      <c r="T340" s="241">
        <v>0.24</v>
      </c>
      <c r="U340" s="201">
        <f t="shared" si="64"/>
        <v>0.255</v>
      </c>
      <c r="V340" s="240">
        <v>0</v>
      </c>
      <c r="W340" s="241">
        <v>0</v>
      </c>
      <c r="X340" s="201">
        <f t="shared" si="65"/>
        <v>0</v>
      </c>
      <c r="Y340" s="242">
        <v>0</v>
      </c>
    </row>
    <row r="341" spans="1:25" ht="15.75" x14ac:dyDescent="0.25">
      <c r="A341" s="31">
        <f>'M&amp;R Stations'!A324</f>
        <v>39283</v>
      </c>
      <c r="B341" s="240" t="s">
        <v>220</v>
      </c>
      <c r="C341" s="241" t="s">
        <v>220</v>
      </c>
      <c r="D341" s="201" t="s">
        <v>220</v>
      </c>
      <c r="E341" s="240">
        <v>0.52</v>
      </c>
      <c r="F341" s="241">
        <v>0.2</v>
      </c>
      <c r="G341" s="201">
        <f t="shared" si="66"/>
        <v>0.36</v>
      </c>
      <c r="H341" s="240">
        <v>0.49</v>
      </c>
      <c r="I341" s="241">
        <v>0.17</v>
      </c>
      <c r="J341" s="201">
        <f t="shared" si="61"/>
        <v>0.33</v>
      </c>
      <c r="K341" s="242">
        <v>0</v>
      </c>
      <c r="L341" s="194"/>
      <c r="M341" s="240">
        <v>0.27</v>
      </c>
      <c r="N341" s="241">
        <v>0.24</v>
      </c>
      <c r="O341" s="201">
        <f t="shared" si="62"/>
        <v>0.255</v>
      </c>
      <c r="P341" s="240">
        <v>0.31</v>
      </c>
      <c r="Q341" s="241">
        <v>0.24</v>
      </c>
      <c r="R341" s="201">
        <f t="shared" si="63"/>
        <v>0.27500000000000002</v>
      </c>
      <c r="S341" s="240">
        <v>0.27</v>
      </c>
      <c r="T341" s="241">
        <v>0.21</v>
      </c>
      <c r="U341" s="201">
        <f t="shared" si="64"/>
        <v>0.24</v>
      </c>
      <c r="V341" s="240">
        <v>0</v>
      </c>
      <c r="W341" s="241">
        <v>0</v>
      </c>
      <c r="X341" s="201">
        <f t="shared" si="65"/>
        <v>0</v>
      </c>
      <c r="Y341" s="242">
        <v>0</v>
      </c>
    </row>
    <row r="342" spans="1:25" ht="15.75" x14ac:dyDescent="0.25">
      <c r="A342" s="31">
        <f>'M&amp;R Stations'!A325</f>
        <v>39284</v>
      </c>
      <c r="B342" s="240" t="s">
        <v>220</v>
      </c>
      <c r="C342" s="241" t="s">
        <v>220</v>
      </c>
      <c r="D342" s="201" t="s">
        <v>220</v>
      </c>
      <c r="E342" s="240">
        <v>0.41</v>
      </c>
      <c r="F342" s="241">
        <v>0.17</v>
      </c>
      <c r="G342" s="201">
        <f t="shared" si="66"/>
        <v>0.28999999999999998</v>
      </c>
      <c r="H342" s="240">
        <v>0.48</v>
      </c>
      <c r="I342" s="241">
        <v>0.18</v>
      </c>
      <c r="J342" s="201">
        <f t="shared" si="61"/>
        <v>0.32999999999999996</v>
      </c>
      <c r="K342" s="242">
        <v>0</v>
      </c>
      <c r="L342" s="194"/>
      <c r="M342" s="240">
        <v>0.27</v>
      </c>
      <c r="N342" s="241">
        <v>0.24</v>
      </c>
      <c r="O342" s="201">
        <f t="shared" si="62"/>
        <v>0.255</v>
      </c>
      <c r="P342" s="240">
        <v>0.27</v>
      </c>
      <c r="Q342" s="241">
        <v>0.24</v>
      </c>
      <c r="R342" s="201">
        <f t="shared" si="63"/>
        <v>0.255</v>
      </c>
      <c r="S342" s="240">
        <v>0.27</v>
      </c>
      <c r="T342" s="241">
        <v>0.24</v>
      </c>
      <c r="U342" s="201">
        <f t="shared" si="64"/>
        <v>0.255</v>
      </c>
      <c r="V342" s="240">
        <v>0</v>
      </c>
      <c r="W342" s="241">
        <v>0</v>
      </c>
      <c r="X342" s="201">
        <f t="shared" si="65"/>
        <v>0</v>
      </c>
      <c r="Y342" s="242">
        <v>0</v>
      </c>
    </row>
    <row r="343" spans="1:25" ht="15.75" x14ac:dyDescent="0.25">
      <c r="A343" s="31">
        <f>'M&amp;R Stations'!A326</f>
        <v>39285</v>
      </c>
      <c r="B343" s="240" t="s">
        <v>220</v>
      </c>
      <c r="C343" s="241" t="s">
        <v>220</v>
      </c>
      <c r="D343" s="201" t="s">
        <v>220</v>
      </c>
      <c r="E343" s="240">
        <v>0.38</v>
      </c>
      <c r="F343" s="241">
        <v>0.21</v>
      </c>
      <c r="G343" s="201">
        <f t="shared" si="66"/>
        <v>0.29499999999999998</v>
      </c>
      <c r="H343" s="240">
        <v>0.41</v>
      </c>
      <c r="I343" s="241">
        <v>0.19</v>
      </c>
      <c r="J343" s="201">
        <f t="shared" si="61"/>
        <v>0.3</v>
      </c>
      <c r="K343" s="242">
        <v>0</v>
      </c>
      <c r="L343" s="194"/>
      <c r="M343" s="240">
        <v>0.27</v>
      </c>
      <c r="N343" s="241">
        <v>0.24</v>
      </c>
      <c r="O343" s="201">
        <f t="shared" si="62"/>
        <v>0.255</v>
      </c>
      <c r="P343" s="240">
        <v>0.27</v>
      </c>
      <c r="Q343" s="241">
        <v>0.24</v>
      </c>
      <c r="R343" s="201">
        <f t="shared" si="63"/>
        <v>0.255</v>
      </c>
      <c r="S343" s="240">
        <v>0.27</v>
      </c>
      <c r="T343" s="241">
        <v>0.24</v>
      </c>
      <c r="U343" s="201">
        <f t="shared" si="64"/>
        <v>0.255</v>
      </c>
      <c r="V343" s="240">
        <v>0</v>
      </c>
      <c r="W343" s="241">
        <v>0</v>
      </c>
      <c r="X343" s="201">
        <f t="shared" si="65"/>
        <v>0</v>
      </c>
      <c r="Y343" s="242">
        <v>0</v>
      </c>
    </row>
    <row r="344" spans="1:25" ht="15.75" x14ac:dyDescent="0.25">
      <c r="A344" s="31">
        <f>'M&amp;R Stations'!A327</f>
        <v>39286</v>
      </c>
      <c r="B344" s="240" t="s">
        <v>220</v>
      </c>
      <c r="C344" s="241" t="s">
        <v>220</v>
      </c>
      <c r="D344" s="201" t="s">
        <v>220</v>
      </c>
      <c r="E344" s="240">
        <v>0.83</v>
      </c>
      <c r="F344" s="241">
        <v>0.36</v>
      </c>
      <c r="G344" s="201">
        <f t="shared" si="66"/>
        <v>0.59499999999999997</v>
      </c>
      <c r="H344" s="240">
        <v>0.97</v>
      </c>
      <c r="I344" s="241">
        <v>0.33</v>
      </c>
      <c r="J344" s="201">
        <f t="shared" si="61"/>
        <v>0.65</v>
      </c>
      <c r="K344" s="242">
        <v>0</v>
      </c>
      <c r="L344" s="194"/>
      <c r="M344" s="240">
        <v>0.27</v>
      </c>
      <c r="N344" s="241">
        <v>0.24</v>
      </c>
      <c r="O344" s="201">
        <f t="shared" si="62"/>
        <v>0.255</v>
      </c>
      <c r="P344" s="240">
        <v>0.27</v>
      </c>
      <c r="Q344" s="241">
        <v>0.24</v>
      </c>
      <c r="R344" s="201">
        <f t="shared" si="63"/>
        <v>0.255</v>
      </c>
      <c r="S344" s="240">
        <v>0.27</v>
      </c>
      <c r="T344" s="241">
        <v>0.24</v>
      </c>
      <c r="U344" s="201">
        <f t="shared" si="64"/>
        <v>0.255</v>
      </c>
      <c r="V344" s="240">
        <v>0</v>
      </c>
      <c r="W344" s="241">
        <v>0</v>
      </c>
      <c r="X344" s="201">
        <f t="shared" si="65"/>
        <v>0</v>
      </c>
      <c r="Y344" s="242">
        <v>0</v>
      </c>
    </row>
    <row r="345" spans="1:25" ht="15.75" x14ac:dyDescent="0.25">
      <c r="A345" s="31">
        <f>'M&amp;R Stations'!A328</f>
        <v>39287</v>
      </c>
      <c r="B345" s="240" t="s">
        <v>220</v>
      </c>
      <c r="C345" s="241" t="s">
        <v>220</v>
      </c>
      <c r="D345" s="201" t="s">
        <v>220</v>
      </c>
      <c r="E345" s="240">
        <v>0.64</v>
      </c>
      <c r="F345" s="241">
        <v>0.2</v>
      </c>
      <c r="G345" s="201">
        <f t="shared" si="66"/>
        <v>0.42000000000000004</v>
      </c>
      <c r="H345" s="240">
        <v>0.65</v>
      </c>
      <c r="I345" s="241">
        <v>0.2</v>
      </c>
      <c r="J345" s="201">
        <f t="shared" si="61"/>
        <v>0.42500000000000004</v>
      </c>
      <c r="K345" s="242">
        <v>0</v>
      </c>
      <c r="L345" s="194"/>
      <c r="M345" s="240">
        <v>0.27</v>
      </c>
      <c r="N345" s="241">
        <v>0.24</v>
      </c>
      <c r="O345" s="201">
        <f t="shared" si="62"/>
        <v>0.255</v>
      </c>
      <c r="P345" s="240">
        <v>0.27</v>
      </c>
      <c r="Q345" s="241">
        <v>0.24</v>
      </c>
      <c r="R345" s="201">
        <f t="shared" si="63"/>
        <v>0.255</v>
      </c>
      <c r="S345" s="240">
        <v>0.27</v>
      </c>
      <c r="T345" s="241">
        <v>0.24</v>
      </c>
      <c r="U345" s="201">
        <f t="shared" si="64"/>
        <v>0.255</v>
      </c>
      <c r="V345" s="240">
        <v>0</v>
      </c>
      <c r="W345" s="241">
        <v>0</v>
      </c>
      <c r="X345" s="201">
        <f t="shared" si="65"/>
        <v>0</v>
      </c>
      <c r="Y345" s="242">
        <v>0</v>
      </c>
    </row>
    <row r="346" spans="1:25" ht="15.75" x14ac:dyDescent="0.25">
      <c r="A346" s="31">
        <f>'M&amp;R Stations'!A329</f>
        <v>39288</v>
      </c>
      <c r="B346" s="240" t="s">
        <v>220</v>
      </c>
      <c r="C346" s="241" t="s">
        <v>220</v>
      </c>
      <c r="D346" s="201" t="s">
        <v>220</v>
      </c>
      <c r="E346" s="240">
        <v>0.56000000000000005</v>
      </c>
      <c r="F346" s="241">
        <v>0.23</v>
      </c>
      <c r="G346" s="201">
        <f t="shared" si="66"/>
        <v>0.39500000000000002</v>
      </c>
      <c r="H346" s="240">
        <v>0.5</v>
      </c>
      <c r="I346" s="241">
        <v>0.19</v>
      </c>
      <c r="J346" s="201">
        <f t="shared" si="61"/>
        <v>0.34499999999999997</v>
      </c>
      <c r="K346" s="242">
        <v>0</v>
      </c>
      <c r="L346" s="194"/>
      <c r="M346" s="240">
        <v>0.27</v>
      </c>
      <c r="N346" s="241">
        <v>0.24</v>
      </c>
      <c r="O346" s="201">
        <f t="shared" si="62"/>
        <v>0.255</v>
      </c>
      <c r="P346" s="240">
        <v>0.27</v>
      </c>
      <c r="Q346" s="241">
        <v>0.24</v>
      </c>
      <c r="R346" s="201">
        <f t="shared" si="63"/>
        <v>0.255</v>
      </c>
      <c r="S346" s="240">
        <v>0.27</v>
      </c>
      <c r="T346" s="241">
        <v>0.24</v>
      </c>
      <c r="U346" s="201">
        <f t="shared" si="64"/>
        <v>0.255</v>
      </c>
      <c r="V346" s="240">
        <v>0</v>
      </c>
      <c r="W346" s="241">
        <v>0</v>
      </c>
      <c r="X346" s="201">
        <f t="shared" si="65"/>
        <v>0</v>
      </c>
      <c r="Y346" s="242">
        <v>0</v>
      </c>
    </row>
    <row r="347" spans="1:25" ht="15.75" x14ac:dyDescent="0.25">
      <c r="A347" s="31">
        <f>'M&amp;R Stations'!A330</f>
        <v>39289</v>
      </c>
      <c r="B347" s="240" t="s">
        <v>220</v>
      </c>
      <c r="C347" s="241" t="s">
        <v>220</v>
      </c>
      <c r="D347" s="201" t="s">
        <v>220</v>
      </c>
      <c r="E347" s="240">
        <v>0.44</v>
      </c>
      <c r="F347" s="241">
        <v>0.2</v>
      </c>
      <c r="G347" s="201">
        <f t="shared" si="66"/>
        <v>0.32</v>
      </c>
      <c r="H347" s="240">
        <v>0.64</v>
      </c>
      <c r="I347" s="241">
        <v>0.24</v>
      </c>
      <c r="J347" s="201">
        <f t="shared" si="61"/>
        <v>0.44</v>
      </c>
      <c r="K347" s="242">
        <v>0</v>
      </c>
      <c r="L347" s="194"/>
      <c r="M347" s="240">
        <v>0.27</v>
      </c>
      <c r="N347" s="241">
        <v>0.24</v>
      </c>
      <c r="O347" s="201">
        <v>0.27</v>
      </c>
      <c r="P347" s="240">
        <v>0.27</v>
      </c>
      <c r="Q347" s="241">
        <v>0.24</v>
      </c>
      <c r="R347" s="201">
        <f t="shared" si="63"/>
        <v>0.255</v>
      </c>
      <c r="S347" s="240">
        <v>0.27</v>
      </c>
      <c r="T347" s="241">
        <v>0.24</v>
      </c>
      <c r="U347" s="201">
        <f t="shared" si="64"/>
        <v>0.255</v>
      </c>
      <c r="V347" s="240">
        <v>0</v>
      </c>
      <c r="W347" s="241">
        <v>0</v>
      </c>
      <c r="X347" s="201">
        <f t="shared" si="65"/>
        <v>0</v>
      </c>
      <c r="Y347" s="242">
        <v>0</v>
      </c>
    </row>
    <row r="348" spans="1:25" ht="15.75" x14ac:dyDescent="0.25">
      <c r="A348" s="31">
        <f>'M&amp;R Stations'!A331</f>
        <v>39290</v>
      </c>
      <c r="B348" s="240" t="s">
        <v>220</v>
      </c>
      <c r="C348" s="241" t="s">
        <v>220</v>
      </c>
      <c r="D348" s="201" t="s">
        <v>220</v>
      </c>
      <c r="E348" s="240">
        <v>0.4</v>
      </c>
      <c r="F348" s="241">
        <v>0.19</v>
      </c>
      <c r="G348" s="201">
        <f t="shared" si="66"/>
        <v>0.29500000000000004</v>
      </c>
      <c r="H348" s="240">
        <v>0.38</v>
      </c>
      <c r="I348" s="241">
        <v>0.18</v>
      </c>
      <c r="J348" s="201">
        <f t="shared" si="61"/>
        <v>0.28000000000000003</v>
      </c>
      <c r="K348" s="242">
        <v>0</v>
      </c>
      <c r="L348" s="194"/>
      <c r="M348" s="240">
        <v>0.24</v>
      </c>
      <c r="N348" s="241">
        <v>0.24</v>
      </c>
      <c r="O348" s="201">
        <f t="shared" si="62"/>
        <v>0.24</v>
      </c>
      <c r="P348" s="240">
        <v>0.24</v>
      </c>
      <c r="Q348" s="241">
        <v>0.24</v>
      </c>
      <c r="R348" s="201">
        <f t="shared" si="63"/>
        <v>0.24</v>
      </c>
      <c r="S348" s="240">
        <v>0.24</v>
      </c>
      <c r="T348" s="241">
        <v>0.24</v>
      </c>
      <c r="U348" s="201">
        <f t="shared" si="64"/>
        <v>0.24</v>
      </c>
      <c r="V348" s="240">
        <v>0</v>
      </c>
      <c r="W348" s="241">
        <v>0</v>
      </c>
      <c r="X348" s="201">
        <f t="shared" si="65"/>
        <v>0</v>
      </c>
      <c r="Y348" s="242">
        <v>0</v>
      </c>
    </row>
    <row r="349" spans="1:25" ht="15.75" x14ac:dyDescent="0.25">
      <c r="A349" s="31">
        <f>'M&amp;R Stations'!A332</f>
        <v>39291</v>
      </c>
      <c r="B349" s="240" t="s">
        <v>220</v>
      </c>
      <c r="C349" s="241" t="s">
        <v>220</v>
      </c>
      <c r="D349" s="201" t="s">
        <v>220</v>
      </c>
      <c r="E349" s="240">
        <v>0.38</v>
      </c>
      <c r="F349" s="241">
        <v>0.18</v>
      </c>
      <c r="G349" s="201">
        <f t="shared" si="66"/>
        <v>0.28000000000000003</v>
      </c>
      <c r="H349" s="240">
        <v>0.35</v>
      </c>
      <c r="I349" s="241">
        <v>0.19</v>
      </c>
      <c r="J349" s="201">
        <f t="shared" si="61"/>
        <v>0.27</v>
      </c>
      <c r="K349" s="242">
        <v>0</v>
      </c>
      <c r="L349" s="194"/>
      <c r="M349" s="240">
        <v>0.27</v>
      </c>
      <c r="N349" s="241">
        <v>0.24</v>
      </c>
      <c r="O349" s="201">
        <f t="shared" si="62"/>
        <v>0.255</v>
      </c>
      <c r="P349" s="240">
        <v>0.27</v>
      </c>
      <c r="Q349" s="241">
        <v>0.24</v>
      </c>
      <c r="R349" s="201">
        <f t="shared" si="63"/>
        <v>0.255</v>
      </c>
      <c r="S349" s="240">
        <v>0.24</v>
      </c>
      <c r="T349" s="241">
        <v>0.21</v>
      </c>
      <c r="U349" s="201">
        <f t="shared" si="64"/>
        <v>0.22499999999999998</v>
      </c>
      <c r="V349" s="240">
        <v>0</v>
      </c>
      <c r="W349" s="241">
        <v>0</v>
      </c>
      <c r="X349" s="201">
        <f t="shared" si="65"/>
        <v>0</v>
      </c>
      <c r="Y349" s="242">
        <v>0</v>
      </c>
    </row>
    <row r="350" spans="1:25" ht="15.75" x14ac:dyDescent="0.25">
      <c r="A350" s="31">
        <f>'M&amp;R Stations'!A333</f>
        <v>39292</v>
      </c>
      <c r="B350" s="240" t="s">
        <v>220</v>
      </c>
      <c r="C350" s="241" t="s">
        <v>220</v>
      </c>
      <c r="D350" s="201" t="s">
        <v>220</v>
      </c>
      <c r="E350" s="240">
        <v>0.42</v>
      </c>
      <c r="F350" s="241">
        <v>0.25</v>
      </c>
      <c r="G350" s="201">
        <f t="shared" si="66"/>
        <v>0.33499999999999996</v>
      </c>
      <c r="H350" s="240">
        <v>0.44</v>
      </c>
      <c r="I350" s="241">
        <v>0.24</v>
      </c>
      <c r="J350" s="201">
        <f t="shared" si="61"/>
        <v>0.33999999999999997</v>
      </c>
      <c r="K350" s="242">
        <v>0</v>
      </c>
      <c r="L350" s="194"/>
      <c r="M350" s="240">
        <v>0.27</v>
      </c>
      <c r="N350" s="241">
        <v>0.24</v>
      </c>
      <c r="O350" s="201">
        <f t="shared" si="62"/>
        <v>0.255</v>
      </c>
      <c r="P350" s="240">
        <v>0.27</v>
      </c>
      <c r="Q350" s="241">
        <v>0.21</v>
      </c>
      <c r="R350" s="201">
        <f t="shared" si="63"/>
        <v>0.24</v>
      </c>
      <c r="S350" s="240">
        <v>0.27</v>
      </c>
      <c r="T350" s="241">
        <v>0.21</v>
      </c>
      <c r="U350" s="201">
        <f t="shared" si="64"/>
        <v>0.24</v>
      </c>
      <c r="V350" s="240">
        <v>0</v>
      </c>
      <c r="W350" s="241">
        <v>0</v>
      </c>
      <c r="X350" s="201">
        <f t="shared" si="65"/>
        <v>0</v>
      </c>
      <c r="Y350" s="242">
        <v>0</v>
      </c>
    </row>
    <row r="351" spans="1:25" ht="15.75" x14ac:dyDescent="0.25">
      <c r="A351" s="31">
        <f>'M&amp;R Stations'!A334</f>
        <v>39293</v>
      </c>
      <c r="B351" s="240" t="s">
        <v>220</v>
      </c>
      <c r="C351" s="241" t="s">
        <v>220</v>
      </c>
      <c r="D351" s="201" t="s">
        <v>220</v>
      </c>
      <c r="E351" s="240">
        <v>0.39</v>
      </c>
      <c r="F351" s="241">
        <v>0.21</v>
      </c>
      <c r="G351" s="201">
        <f t="shared" si="66"/>
        <v>0.3</v>
      </c>
      <c r="H351" s="240">
        <v>0.4</v>
      </c>
      <c r="I351" s="241">
        <v>0.24</v>
      </c>
      <c r="J351" s="201">
        <f t="shared" si="61"/>
        <v>0.32</v>
      </c>
      <c r="K351" s="242">
        <v>0</v>
      </c>
      <c r="L351" s="194"/>
      <c r="M351" s="240">
        <v>0.27</v>
      </c>
      <c r="N351" s="241">
        <v>0.24</v>
      </c>
      <c r="O351" s="201">
        <f t="shared" si="62"/>
        <v>0.255</v>
      </c>
      <c r="P351" s="240">
        <v>0.27</v>
      </c>
      <c r="Q351" s="241">
        <v>0.24</v>
      </c>
      <c r="R351" s="201">
        <f t="shared" si="63"/>
        <v>0.255</v>
      </c>
      <c r="S351" s="240">
        <v>0.27</v>
      </c>
      <c r="T351" s="241">
        <v>0.24</v>
      </c>
      <c r="U351" s="201">
        <f t="shared" si="64"/>
        <v>0.255</v>
      </c>
      <c r="V351" s="240">
        <v>0</v>
      </c>
      <c r="W351" s="241">
        <v>0</v>
      </c>
      <c r="X351" s="201">
        <f t="shared" si="65"/>
        <v>0</v>
      </c>
      <c r="Y351" s="242">
        <v>0</v>
      </c>
    </row>
    <row r="352" spans="1:25" ht="15.75" x14ac:dyDescent="0.25">
      <c r="A352" s="31">
        <f>'M&amp;R Stations'!A335</f>
        <v>39294</v>
      </c>
      <c r="B352" s="240" t="s">
        <v>220</v>
      </c>
      <c r="C352" s="241" t="s">
        <v>220</v>
      </c>
      <c r="D352" s="201" t="s">
        <v>220</v>
      </c>
      <c r="E352" s="240">
        <v>0.41</v>
      </c>
      <c r="F352" s="241">
        <v>0.2</v>
      </c>
      <c r="G352" s="201">
        <f t="shared" si="66"/>
        <v>0.30499999999999999</v>
      </c>
      <c r="H352" s="240">
        <v>0.51</v>
      </c>
      <c r="I352" s="241">
        <v>0.16</v>
      </c>
      <c r="J352" s="201">
        <f t="shared" si="61"/>
        <v>0.33500000000000002</v>
      </c>
      <c r="K352" s="242">
        <v>0</v>
      </c>
      <c r="L352" s="194"/>
      <c r="M352" s="240">
        <v>0.28999999999999998</v>
      </c>
      <c r="N352" s="241">
        <v>0.21</v>
      </c>
      <c r="O352" s="201">
        <f t="shared" si="62"/>
        <v>0.25</v>
      </c>
      <c r="P352" s="240">
        <v>0.27</v>
      </c>
      <c r="Q352" s="241">
        <v>0.24</v>
      </c>
      <c r="R352" s="201">
        <f t="shared" si="63"/>
        <v>0.255</v>
      </c>
      <c r="S352" s="240">
        <v>0.27</v>
      </c>
      <c r="T352" s="241">
        <v>0.24</v>
      </c>
      <c r="U352" s="201">
        <f t="shared" si="64"/>
        <v>0.255</v>
      </c>
      <c r="V352" s="240">
        <v>0</v>
      </c>
      <c r="W352" s="241">
        <v>0</v>
      </c>
      <c r="X352" s="201">
        <f t="shared" si="65"/>
        <v>0</v>
      </c>
      <c r="Y352" s="242">
        <v>0</v>
      </c>
    </row>
    <row r="353" spans="1:25" ht="15.75" x14ac:dyDescent="0.25">
      <c r="A353" s="179"/>
      <c r="B353" s="203"/>
      <c r="C353" s="204"/>
      <c r="D353" s="205"/>
      <c r="E353" s="203"/>
      <c r="F353" s="204"/>
      <c r="G353" s="205"/>
      <c r="H353" s="203"/>
      <c r="I353" s="204"/>
      <c r="J353" s="206"/>
      <c r="K353" s="208"/>
      <c r="L353" s="207"/>
      <c r="M353" s="203"/>
      <c r="N353" s="204"/>
      <c r="O353" s="206"/>
      <c r="P353" s="203"/>
      <c r="Q353" s="204"/>
      <c r="R353" s="206"/>
      <c r="S353" s="203"/>
      <c r="T353" s="204"/>
      <c r="U353" s="206"/>
      <c r="V353" s="203"/>
      <c r="W353" s="204"/>
      <c r="X353" s="206"/>
      <c r="Y353" s="208"/>
    </row>
    <row r="354" spans="1:25" ht="15.75" x14ac:dyDescent="0.25">
      <c r="A354" s="31">
        <f>'M&amp;R Stations'!A336</f>
        <v>39295</v>
      </c>
      <c r="B354" s="240" t="s">
        <v>220</v>
      </c>
      <c r="C354" s="241" t="s">
        <v>220</v>
      </c>
      <c r="D354" s="201" t="s">
        <v>220</v>
      </c>
      <c r="E354" s="240">
        <v>0.39</v>
      </c>
      <c r="F354" s="241">
        <v>0.2</v>
      </c>
      <c r="G354" s="201">
        <f t="shared" si="66"/>
        <v>0.29500000000000004</v>
      </c>
      <c r="H354" s="240">
        <v>0.38</v>
      </c>
      <c r="I354" s="241">
        <v>0.19</v>
      </c>
      <c r="J354" s="201">
        <f t="shared" ref="J354:J384" si="67">IF(AND(H354="",I354=""),"",IF(H354="off",I354,IF(I354="off",H354,AVERAGE(H354:I354))))</f>
        <v>0.28500000000000003</v>
      </c>
      <c r="K354" s="242">
        <v>0</v>
      </c>
      <c r="L354" s="194"/>
      <c r="M354" s="240">
        <v>0.27</v>
      </c>
      <c r="N354" s="241">
        <v>0.24</v>
      </c>
      <c r="O354" s="201">
        <f t="shared" ref="O354:O384" si="68">IF(AND(M354="",N354=""),"",IF(M354="off",N354,IF(N354="off",M354,AVERAGE(M354:N354))))</f>
        <v>0.255</v>
      </c>
      <c r="P354" s="240">
        <v>0.27</v>
      </c>
      <c r="Q354" s="241">
        <v>0.24</v>
      </c>
      <c r="R354" s="201">
        <f t="shared" ref="R354:R384" si="69">IF(AND(P354="",Q354=""),"",IF(P354="off",Q354,IF(Q354="off",P354,AVERAGE(P354:Q354))))</f>
        <v>0.255</v>
      </c>
      <c r="S354" s="240">
        <v>0.27</v>
      </c>
      <c r="T354" s="241">
        <v>0.24</v>
      </c>
      <c r="U354" s="201">
        <f t="shared" ref="U354:U384" si="70">IF(AND(S354="",T354=""),"",IF(S354="off",T354,IF(T354="off",S354,AVERAGE(S354:T354))))</f>
        <v>0.255</v>
      </c>
      <c r="V354" s="240">
        <v>0</v>
      </c>
      <c r="W354" s="241">
        <v>0</v>
      </c>
      <c r="X354" s="201">
        <f t="shared" ref="X354:X384" si="71">IF(AND(V354="",W354=""),"",IF(V354="off",W354,IF(W354="off",V354,AVERAGE(V354:W354))))</f>
        <v>0</v>
      </c>
      <c r="Y354" s="242">
        <v>0</v>
      </c>
    </row>
    <row r="355" spans="1:25" ht="15.75" x14ac:dyDescent="0.25">
      <c r="A355" s="31">
        <f>'M&amp;R Stations'!A337</f>
        <v>39296</v>
      </c>
      <c r="B355" s="240" t="s">
        <v>220</v>
      </c>
      <c r="C355" s="241" t="s">
        <v>220</v>
      </c>
      <c r="D355" s="201" t="s">
        <v>220</v>
      </c>
      <c r="E355" s="240">
        <v>0.35</v>
      </c>
      <c r="F355" s="241">
        <v>0.2</v>
      </c>
      <c r="G355" s="201">
        <f t="shared" si="66"/>
        <v>0.27500000000000002</v>
      </c>
      <c r="H355" s="240">
        <v>0.3</v>
      </c>
      <c r="I355" s="241">
        <v>0.17</v>
      </c>
      <c r="J355" s="201">
        <f t="shared" si="67"/>
        <v>0.23499999999999999</v>
      </c>
      <c r="K355" s="242">
        <v>0</v>
      </c>
      <c r="L355" s="194"/>
      <c r="M355" s="240">
        <v>0.24</v>
      </c>
      <c r="N355" s="241">
        <v>0.24</v>
      </c>
      <c r="O355" s="201">
        <f t="shared" si="68"/>
        <v>0.24</v>
      </c>
      <c r="P355" s="240">
        <v>0.24</v>
      </c>
      <c r="Q355" s="241">
        <v>0.24</v>
      </c>
      <c r="R355" s="201">
        <f t="shared" si="69"/>
        <v>0.24</v>
      </c>
      <c r="S355" s="240">
        <v>0.27</v>
      </c>
      <c r="T355" s="241">
        <v>0.24</v>
      </c>
      <c r="U355" s="201">
        <f t="shared" si="70"/>
        <v>0.255</v>
      </c>
      <c r="V355" s="240">
        <v>0</v>
      </c>
      <c r="W355" s="241">
        <v>0</v>
      </c>
      <c r="X355" s="201">
        <f t="shared" si="71"/>
        <v>0</v>
      </c>
      <c r="Y355" s="242">
        <v>0</v>
      </c>
    </row>
    <row r="356" spans="1:25" ht="15.75" x14ac:dyDescent="0.25">
      <c r="A356" s="31">
        <f>'M&amp;R Stations'!A338</f>
        <v>39297</v>
      </c>
      <c r="B356" s="240" t="s">
        <v>220</v>
      </c>
      <c r="C356" s="241" t="s">
        <v>220</v>
      </c>
      <c r="D356" s="201" t="s">
        <v>220</v>
      </c>
      <c r="E356" s="240">
        <v>0.38</v>
      </c>
      <c r="F356" s="241">
        <v>0.19</v>
      </c>
      <c r="G356" s="201">
        <f t="shared" si="66"/>
        <v>0.28500000000000003</v>
      </c>
      <c r="H356" s="240">
        <v>0.36</v>
      </c>
      <c r="I356" s="241">
        <v>0.18</v>
      </c>
      <c r="J356" s="201">
        <f t="shared" si="67"/>
        <v>0.27</v>
      </c>
      <c r="K356" s="242">
        <v>0</v>
      </c>
      <c r="L356" s="194"/>
      <c r="M356" s="240">
        <v>0.27</v>
      </c>
      <c r="N356" s="241">
        <v>0.24</v>
      </c>
      <c r="O356" s="201">
        <f t="shared" si="68"/>
        <v>0.255</v>
      </c>
      <c r="P356" s="240">
        <v>0.27</v>
      </c>
      <c r="Q356" s="241">
        <v>0.24</v>
      </c>
      <c r="R356" s="201">
        <f t="shared" si="69"/>
        <v>0.255</v>
      </c>
      <c r="S356" s="240">
        <v>0.27</v>
      </c>
      <c r="T356" s="241">
        <v>0.24</v>
      </c>
      <c r="U356" s="201">
        <f t="shared" si="70"/>
        <v>0.255</v>
      </c>
      <c r="V356" s="240">
        <v>0</v>
      </c>
      <c r="W356" s="241">
        <v>0</v>
      </c>
      <c r="X356" s="201">
        <f t="shared" si="71"/>
        <v>0</v>
      </c>
      <c r="Y356" s="242">
        <v>0</v>
      </c>
    </row>
    <row r="357" spans="1:25" ht="15.75" x14ac:dyDescent="0.25">
      <c r="A357" s="31">
        <f>'M&amp;R Stations'!A339</f>
        <v>39298</v>
      </c>
      <c r="B357" s="240" t="s">
        <v>220</v>
      </c>
      <c r="C357" s="241" t="s">
        <v>220</v>
      </c>
      <c r="D357" s="201" t="s">
        <v>220</v>
      </c>
      <c r="E357" s="240">
        <v>0.38</v>
      </c>
      <c r="F357" s="241">
        <v>0.2</v>
      </c>
      <c r="G357" s="201">
        <f t="shared" si="66"/>
        <v>0.29000000000000004</v>
      </c>
      <c r="H357" s="240">
        <v>0.34</v>
      </c>
      <c r="I357" s="241">
        <v>0.21</v>
      </c>
      <c r="J357" s="201">
        <f t="shared" si="67"/>
        <v>0.27500000000000002</v>
      </c>
      <c r="K357" s="242">
        <v>0</v>
      </c>
      <c r="L357" s="194"/>
      <c r="M357" s="240">
        <v>0.27</v>
      </c>
      <c r="N357" s="241">
        <v>0.24</v>
      </c>
      <c r="O357" s="201">
        <f t="shared" si="68"/>
        <v>0.255</v>
      </c>
      <c r="P357" s="240">
        <v>0.27</v>
      </c>
      <c r="Q357" s="241">
        <v>0.24</v>
      </c>
      <c r="R357" s="201">
        <f t="shared" si="69"/>
        <v>0.255</v>
      </c>
      <c r="S357" s="240">
        <v>0.27</v>
      </c>
      <c r="T357" s="241">
        <v>0.24</v>
      </c>
      <c r="U357" s="201">
        <f t="shared" si="70"/>
        <v>0.255</v>
      </c>
      <c r="V357" s="240">
        <v>0</v>
      </c>
      <c r="W357" s="241">
        <v>0</v>
      </c>
      <c r="X357" s="201">
        <f t="shared" si="71"/>
        <v>0</v>
      </c>
      <c r="Y357" s="242">
        <v>0</v>
      </c>
    </row>
    <row r="358" spans="1:25" ht="15.75" x14ac:dyDescent="0.25">
      <c r="A358" s="31">
        <f>'M&amp;R Stations'!A340</f>
        <v>39299</v>
      </c>
      <c r="B358" s="240" t="s">
        <v>220</v>
      </c>
      <c r="C358" s="241" t="s">
        <v>220</v>
      </c>
      <c r="D358" s="201" t="s">
        <v>220</v>
      </c>
      <c r="E358" s="240">
        <v>0.34</v>
      </c>
      <c r="F358" s="241">
        <v>0.22</v>
      </c>
      <c r="G358" s="201">
        <f t="shared" si="66"/>
        <v>0.28000000000000003</v>
      </c>
      <c r="H358" s="240">
        <v>0.34</v>
      </c>
      <c r="I358" s="241">
        <v>0.22</v>
      </c>
      <c r="J358" s="201">
        <f t="shared" si="67"/>
        <v>0.28000000000000003</v>
      </c>
      <c r="K358" s="242">
        <v>0</v>
      </c>
      <c r="L358" s="194"/>
      <c r="M358" s="240">
        <v>0.27</v>
      </c>
      <c r="N358" s="241">
        <v>0.21</v>
      </c>
      <c r="O358" s="201">
        <f t="shared" si="68"/>
        <v>0.24</v>
      </c>
      <c r="P358" s="240">
        <v>0.27</v>
      </c>
      <c r="Q358" s="241">
        <v>0.24</v>
      </c>
      <c r="R358" s="201">
        <f t="shared" si="69"/>
        <v>0.255</v>
      </c>
      <c r="S358" s="240">
        <v>0.27</v>
      </c>
      <c r="T358" s="241">
        <v>0.24</v>
      </c>
      <c r="U358" s="201">
        <f t="shared" si="70"/>
        <v>0.255</v>
      </c>
      <c r="V358" s="240">
        <v>0</v>
      </c>
      <c r="W358" s="241">
        <v>0</v>
      </c>
      <c r="X358" s="201">
        <f t="shared" si="71"/>
        <v>0</v>
      </c>
      <c r="Y358" s="242">
        <v>0</v>
      </c>
    </row>
    <row r="359" spans="1:25" ht="15.75" x14ac:dyDescent="0.25">
      <c r="A359" s="31">
        <f>'M&amp;R Stations'!A341</f>
        <v>39300</v>
      </c>
      <c r="B359" s="240" t="s">
        <v>220</v>
      </c>
      <c r="C359" s="241" t="s">
        <v>220</v>
      </c>
      <c r="D359" s="201" t="s">
        <v>220</v>
      </c>
      <c r="E359" s="240">
        <v>0.4</v>
      </c>
      <c r="F359" s="241">
        <v>0.19</v>
      </c>
      <c r="G359" s="201">
        <f t="shared" si="66"/>
        <v>0.29500000000000004</v>
      </c>
      <c r="H359" s="240">
        <v>0.42</v>
      </c>
      <c r="I359" s="241">
        <v>0.12</v>
      </c>
      <c r="J359" s="201">
        <f t="shared" si="67"/>
        <v>0.27</v>
      </c>
      <c r="K359" s="242">
        <v>0</v>
      </c>
      <c r="L359" s="194"/>
      <c r="M359" s="240">
        <v>0.27</v>
      </c>
      <c r="N359" s="241">
        <v>0.24</v>
      </c>
      <c r="O359" s="201">
        <f t="shared" si="68"/>
        <v>0.255</v>
      </c>
      <c r="P359" s="240">
        <v>0.27</v>
      </c>
      <c r="Q359" s="241">
        <v>0.24</v>
      </c>
      <c r="R359" s="201">
        <f t="shared" si="69"/>
        <v>0.255</v>
      </c>
      <c r="S359" s="240">
        <v>0.27</v>
      </c>
      <c r="T359" s="241">
        <v>0.24</v>
      </c>
      <c r="U359" s="201">
        <f t="shared" si="70"/>
        <v>0.255</v>
      </c>
      <c r="V359" s="240">
        <v>0</v>
      </c>
      <c r="W359" s="241">
        <v>0</v>
      </c>
      <c r="X359" s="201">
        <f t="shared" si="71"/>
        <v>0</v>
      </c>
      <c r="Y359" s="242">
        <v>0</v>
      </c>
    </row>
    <row r="360" spans="1:25" ht="15.75" x14ac:dyDescent="0.25">
      <c r="A360" s="31">
        <f>'M&amp;R Stations'!A342</f>
        <v>39301</v>
      </c>
      <c r="B360" s="240" t="s">
        <v>220</v>
      </c>
      <c r="C360" s="241" t="s">
        <v>220</v>
      </c>
      <c r="D360" s="201" t="s">
        <v>220</v>
      </c>
      <c r="E360" s="240">
        <v>0.34</v>
      </c>
      <c r="F360" s="241">
        <v>0.23</v>
      </c>
      <c r="G360" s="201">
        <f t="shared" si="66"/>
        <v>0.28500000000000003</v>
      </c>
      <c r="H360" s="240">
        <v>0.35</v>
      </c>
      <c r="I360" s="241">
        <v>0.23</v>
      </c>
      <c r="J360" s="201">
        <f t="shared" si="67"/>
        <v>0.28999999999999998</v>
      </c>
      <c r="K360" s="242">
        <v>0</v>
      </c>
      <c r="L360" s="194"/>
      <c r="M360" s="240">
        <v>0.27</v>
      </c>
      <c r="N360" s="241">
        <v>0.24</v>
      </c>
      <c r="O360" s="201">
        <f t="shared" si="68"/>
        <v>0.255</v>
      </c>
      <c r="P360" s="240">
        <v>0.27</v>
      </c>
      <c r="Q360" s="241">
        <v>0.24</v>
      </c>
      <c r="R360" s="201">
        <f t="shared" si="69"/>
        <v>0.255</v>
      </c>
      <c r="S360" s="240">
        <v>0.27</v>
      </c>
      <c r="T360" s="241">
        <v>0.24</v>
      </c>
      <c r="U360" s="201">
        <f t="shared" si="70"/>
        <v>0.255</v>
      </c>
      <c r="V360" s="240">
        <v>0</v>
      </c>
      <c r="W360" s="241">
        <v>0</v>
      </c>
      <c r="X360" s="201">
        <f t="shared" si="71"/>
        <v>0</v>
      </c>
      <c r="Y360" s="242">
        <v>0</v>
      </c>
    </row>
    <row r="361" spans="1:25" ht="15.75" x14ac:dyDescent="0.25">
      <c r="A361" s="31">
        <f>'M&amp;R Stations'!A343</f>
        <v>39302</v>
      </c>
      <c r="B361" s="240" t="s">
        <v>220</v>
      </c>
      <c r="C361" s="241" t="s">
        <v>220</v>
      </c>
      <c r="D361" s="201" t="s">
        <v>220</v>
      </c>
      <c r="E361" s="240">
        <v>0.35</v>
      </c>
      <c r="F361" s="241">
        <v>0.31</v>
      </c>
      <c r="G361" s="201">
        <f t="shared" si="66"/>
        <v>0.32999999999999996</v>
      </c>
      <c r="H361" s="240">
        <v>0.38</v>
      </c>
      <c r="I361" s="241">
        <v>0.31</v>
      </c>
      <c r="J361" s="201">
        <f t="shared" si="67"/>
        <v>0.34499999999999997</v>
      </c>
      <c r="K361" s="242">
        <v>0</v>
      </c>
      <c r="L361" s="194"/>
      <c r="M361" s="240">
        <v>0.27</v>
      </c>
      <c r="N361" s="241">
        <v>0.24</v>
      </c>
      <c r="O361" s="201">
        <f t="shared" si="68"/>
        <v>0.255</v>
      </c>
      <c r="P361" s="240">
        <v>0.27</v>
      </c>
      <c r="Q361" s="241">
        <v>0.24</v>
      </c>
      <c r="R361" s="201">
        <f t="shared" si="69"/>
        <v>0.255</v>
      </c>
      <c r="S361" s="240">
        <v>0.27</v>
      </c>
      <c r="T361" s="241">
        <v>0.24</v>
      </c>
      <c r="U361" s="201">
        <f t="shared" si="70"/>
        <v>0.255</v>
      </c>
      <c r="V361" s="240">
        <v>0</v>
      </c>
      <c r="W361" s="241">
        <v>0</v>
      </c>
      <c r="X361" s="201">
        <f t="shared" si="71"/>
        <v>0</v>
      </c>
      <c r="Y361" s="242">
        <v>0</v>
      </c>
    </row>
    <row r="362" spans="1:25" ht="15.75" x14ac:dyDescent="0.25">
      <c r="A362" s="31">
        <f>'M&amp;R Stations'!A344</f>
        <v>39303</v>
      </c>
      <c r="B362" s="240" t="s">
        <v>220</v>
      </c>
      <c r="C362" s="241" t="s">
        <v>220</v>
      </c>
      <c r="D362" s="201" t="s">
        <v>220</v>
      </c>
      <c r="E362" s="240">
        <v>0.44</v>
      </c>
      <c r="F362" s="241">
        <v>0.16</v>
      </c>
      <c r="G362" s="201">
        <f t="shared" si="66"/>
        <v>0.3</v>
      </c>
      <c r="H362" s="240">
        <v>0.43</v>
      </c>
      <c r="I362" s="241">
        <v>0.24</v>
      </c>
      <c r="J362" s="201">
        <f t="shared" si="67"/>
        <v>0.33499999999999996</v>
      </c>
      <c r="K362" s="242">
        <v>0</v>
      </c>
      <c r="L362" s="194"/>
      <c r="M362" s="240">
        <v>0.24</v>
      </c>
      <c r="N362" s="241">
        <v>0.24</v>
      </c>
      <c r="O362" s="201">
        <f t="shared" si="68"/>
        <v>0.24</v>
      </c>
      <c r="P362" s="240">
        <v>0.24</v>
      </c>
      <c r="Q362" s="241">
        <v>0.24</v>
      </c>
      <c r="R362" s="201">
        <f t="shared" si="69"/>
        <v>0.24</v>
      </c>
      <c r="S362" s="240">
        <v>0.24</v>
      </c>
      <c r="T362" s="241">
        <v>0.24</v>
      </c>
      <c r="U362" s="201">
        <f t="shared" si="70"/>
        <v>0.24</v>
      </c>
      <c r="V362" s="240">
        <v>0</v>
      </c>
      <c r="W362" s="241">
        <v>0</v>
      </c>
      <c r="X362" s="201">
        <f t="shared" si="71"/>
        <v>0</v>
      </c>
      <c r="Y362" s="242">
        <v>0</v>
      </c>
    </row>
    <row r="363" spans="1:25" ht="15.75" x14ac:dyDescent="0.25">
      <c r="A363" s="31">
        <f>'M&amp;R Stations'!A345</f>
        <v>39304</v>
      </c>
      <c r="B363" s="240" t="s">
        <v>220</v>
      </c>
      <c r="C363" s="241" t="s">
        <v>220</v>
      </c>
      <c r="D363" s="201" t="s">
        <v>220</v>
      </c>
      <c r="E363" s="240">
        <v>0.42</v>
      </c>
      <c r="F363" s="241">
        <v>0.25</v>
      </c>
      <c r="G363" s="201">
        <f t="shared" si="66"/>
        <v>0.33499999999999996</v>
      </c>
      <c r="H363" s="240">
        <v>0.41</v>
      </c>
      <c r="I363" s="241">
        <v>0.22</v>
      </c>
      <c r="J363" s="201">
        <f t="shared" si="67"/>
        <v>0.315</v>
      </c>
      <c r="K363" s="242">
        <v>0</v>
      </c>
      <c r="L363" s="194"/>
      <c r="M363" s="240">
        <v>0.27</v>
      </c>
      <c r="N363" s="241">
        <v>0.24</v>
      </c>
      <c r="O363" s="201">
        <f t="shared" si="68"/>
        <v>0.255</v>
      </c>
      <c r="P363" s="240">
        <v>0.24</v>
      </c>
      <c r="Q363" s="241">
        <v>0.21</v>
      </c>
      <c r="R363" s="201">
        <f t="shared" si="69"/>
        <v>0.22499999999999998</v>
      </c>
      <c r="S363" s="240">
        <v>0.24</v>
      </c>
      <c r="T363" s="241">
        <v>0.24</v>
      </c>
      <c r="U363" s="201">
        <f t="shared" si="70"/>
        <v>0.24</v>
      </c>
      <c r="V363" s="240">
        <v>0</v>
      </c>
      <c r="W363" s="241">
        <v>0</v>
      </c>
      <c r="X363" s="201">
        <f t="shared" si="71"/>
        <v>0</v>
      </c>
      <c r="Y363" s="242">
        <v>0</v>
      </c>
    </row>
    <row r="364" spans="1:25" ht="15.75" x14ac:dyDescent="0.25">
      <c r="A364" s="31">
        <f>'M&amp;R Stations'!A346</f>
        <v>39305</v>
      </c>
      <c r="B364" s="240" t="s">
        <v>220</v>
      </c>
      <c r="C364" s="241" t="s">
        <v>220</v>
      </c>
      <c r="D364" s="201" t="s">
        <v>220</v>
      </c>
      <c r="E364" s="240">
        <v>0.36</v>
      </c>
      <c r="F364" s="241">
        <v>0.18</v>
      </c>
      <c r="G364" s="201">
        <f t="shared" si="66"/>
        <v>0.27</v>
      </c>
      <c r="H364" s="240">
        <v>0.36</v>
      </c>
      <c r="I364" s="241">
        <v>0.12</v>
      </c>
      <c r="J364" s="201">
        <f t="shared" si="67"/>
        <v>0.24</v>
      </c>
      <c r="K364" s="242">
        <v>0</v>
      </c>
      <c r="L364" s="194"/>
      <c r="M364" s="240">
        <v>0.27</v>
      </c>
      <c r="N364" s="241">
        <v>0.24</v>
      </c>
      <c r="O364" s="201">
        <f t="shared" si="68"/>
        <v>0.255</v>
      </c>
      <c r="P364" s="240">
        <v>0.27</v>
      </c>
      <c r="Q364" s="241">
        <v>0.24</v>
      </c>
      <c r="R364" s="201">
        <f t="shared" si="69"/>
        <v>0.255</v>
      </c>
      <c r="S364" s="240">
        <v>0.27</v>
      </c>
      <c r="T364" s="241">
        <v>0.24</v>
      </c>
      <c r="U364" s="201">
        <f t="shared" si="70"/>
        <v>0.255</v>
      </c>
      <c r="V364" s="240">
        <v>0</v>
      </c>
      <c r="W364" s="241">
        <v>0</v>
      </c>
      <c r="X364" s="201">
        <f t="shared" si="71"/>
        <v>0</v>
      </c>
      <c r="Y364" s="242">
        <v>0</v>
      </c>
    </row>
    <row r="365" spans="1:25" ht="15.75" x14ac:dyDescent="0.25">
      <c r="A365" s="31">
        <f>'M&amp;R Stations'!A347</f>
        <v>39306</v>
      </c>
      <c r="B365" s="240" t="s">
        <v>220</v>
      </c>
      <c r="C365" s="241" t="s">
        <v>220</v>
      </c>
      <c r="D365" s="201" t="s">
        <v>220</v>
      </c>
      <c r="E365" s="240">
        <v>0.43</v>
      </c>
      <c r="F365" s="241">
        <v>0.31</v>
      </c>
      <c r="G365" s="201">
        <f t="shared" si="66"/>
        <v>0.37</v>
      </c>
      <c r="H365" s="240">
        <v>0.42</v>
      </c>
      <c r="I365" s="241">
        <v>0.16</v>
      </c>
      <c r="J365" s="201">
        <f t="shared" si="67"/>
        <v>0.28999999999999998</v>
      </c>
      <c r="K365" s="242">
        <v>0</v>
      </c>
      <c r="L365" s="194"/>
      <c r="M365" s="240">
        <v>0.27</v>
      </c>
      <c r="N365" s="241">
        <v>0.24</v>
      </c>
      <c r="O365" s="201">
        <f t="shared" si="68"/>
        <v>0.255</v>
      </c>
      <c r="P365" s="240">
        <v>0.27</v>
      </c>
      <c r="Q365" s="241">
        <v>0.24</v>
      </c>
      <c r="R365" s="201">
        <f t="shared" si="69"/>
        <v>0.255</v>
      </c>
      <c r="S365" s="240">
        <v>0.27</v>
      </c>
      <c r="T365" s="241">
        <v>0.24</v>
      </c>
      <c r="U365" s="201">
        <f t="shared" si="70"/>
        <v>0.255</v>
      </c>
      <c r="V365" s="240">
        <v>0</v>
      </c>
      <c r="W365" s="241">
        <v>0</v>
      </c>
      <c r="X365" s="201">
        <f t="shared" si="71"/>
        <v>0</v>
      </c>
      <c r="Y365" s="242">
        <v>0</v>
      </c>
    </row>
    <row r="366" spans="1:25" ht="15.75" x14ac:dyDescent="0.25">
      <c r="A366" s="31">
        <f>'M&amp;R Stations'!A348</f>
        <v>39307</v>
      </c>
      <c r="B366" s="240" t="s">
        <v>220</v>
      </c>
      <c r="C366" s="241" t="s">
        <v>220</v>
      </c>
      <c r="D366" s="201" t="s">
        <v>220</v>
      </c>
      <c r="E366" s="240">
        <v>0.42</v>
      </c>
      <c r="F366" s="241">
        <v>0.28999999999999998</v>
      </c>
      <c r="G366" s="201">
        <f t="shared" si="66"/>
        <v>0.35499999999999998</v>
      </c>
      <c r="H366" s="240">
        <v>0.42</v>
      </c>
      <c r="I366" s="241">
        <v>0.25</v>
      </c>
      <c r="J366" s="201">
        <f t="shared" si="67"/>
        <v>0.33499999999999996</v>
      </c>
      <c r="K366" s="242">
        <v>0</v>
      </c>
      <c r="L366" s="194"/>
      <c r="M366" s="240">
        <v>0.27</v>
      </c>
      <c r="N366" s="241">
        <v>0.24</v>
      </c>
      <c r="O366" s="201">
        <f t="shared" si="68"/>
        <v>0.255</v>
      </c>
      <c r="P366" s="240">
        <v>0.27</v>
      </c>
      <c r="Q366" s="241">
        <v>0.24</v>
      </c>
      <c r="R366" s="201">
        <f t="shared" si="69"/>
        <v>0.255</v>
      </c>
      <c r="S366" s="240">
        <v>0.27</v>
      </c>
      <c r="T366" s="241">
        <v>0.24</v>
      </c>
      <c r="U366" s="201">
        <f t="shared" si="70"/>
        <v>0.255</v>
      </c>
      <c r="V366" s="240">
        <v>0</v>
      </c>
      <c r="W366" s="241">
        <v>0</v>
      </c>
      <c r="X366" s="201">
        <f t="shared" si="71"/>
        <v>0</v>
      </c>
      <c r="Y366" s="242">
        <v>0</v>
      </c>
    </row>
    <row r="367" spans="1:25" ht="15.75" x14ac:dyDescent="0.25">
      <c r="A367" s="31">
        <f>'M&amp;R Stations'!A349</f>
        <v>39308</v>
      </c>
      <c r="B367" s="240" t="s">
        <v>220</v>
      </c>
      <c r="C367" s="241" t="s">
        <v>220</v>
      </c>
      <c r="D367" s="201" t="s">
        <v>220</v>
      </c>
      <c r="E367" s="240">
        <v>0.36</v>
      </c>
      <c r="F367" s="241">
        <v>0.24</v>
      </c>
      <c r="G367" s="201">
        <f t="shared" si="66"/>
        <v>0.3</v>
      </c>
      <c r="H367" s="240">
        <v>0.41</v>
      </c>
      <c r="I367" s="241">
        <v>0.25</v>
      </c>
      <c r="J367" s="201">
        <f t="shared" si="67"/>
        <v>0.32999999999999996</v>
      </c>
      <c r="K367" s="242">
        <v>0</v>
      </c>
      <c r="L367" s="194"/>
      <c r="M367" s="240">
        <v>0.27</v>
      </c>
      <c r="N367" s="241">
        <v>0.24</v>
      </c>
      <c r="O367" s="201">
        <f t="shared" si="68"/>
        <v>0.255</v>
      </c>
      <c r="P367" s="240">
        <v>0.27</v>
      </c>
      <c r="Q367" s="241">
        <v>0.21</v>
      </c>
      <c r="R367" s="201">
        <f t="shared" si="69"/>
        <v>0.24</v>
      </c>
      <c r="S367" s="240">
        <v>0.27</v>
      </c>
      <c r="T367" s="241">
        <v>0.24</v>
      </c>
      <c r="U367" s="201">
        <f t="shared" si="70"/>
        <v>0.255</v>
      </c>
      <c r="V367" s="240">
        <v>0</v>
      </c>
      <c r="W367" s="241">
        <v>0</v>
      </c>
      <c r="X367" s="201">
        <f t="shared" si="71"/>
        <v>0</v>
      </c>
      <c r="Y367" s="242">
        <v>0</v>
      </c>
    </row>
    <row r="368" spans="1:25" ht="15.75" x14ac:dyDescent="0.25">
      <c r="A368" s="31">
        <f>'M&amp;R Stations'!A350</f>
        <v>39309</v>
      </c>
      <c r="B368" s="240" t="s">
        <v>220</v>
      </c>
      <c r="C368" s="241" t="s">
        <v>220</v>
      </c>
      <c r="D368" s="201" t="s">
        <v>220</v>
      </c>
      <c r="E368" s="240">
        <v>0.45</v>
      </c>
      <c r="F368" s="241">
        <v>0.23</v>
      </c>
      <c r="G368" s="201">
        <f t="shared" si="66"/>
        <v>0.34</v>
      </c>
      <c r="H368" s="240">
        <v>0.45</v>
      </c>
      <c r="I368" s="241">
        <v>0.23</v>
      </c>
      <c r="J368" s="201">
        <f t="shared" si="67"/>
        <v>0.34</v>
      </c>
      <c r="K368" s="242">
        <v>0</v>
      </c>
      <c r="L368" s="194"/>
      <c r="M368" s="240">
        <v>0.27</v>
      </c>
      <c r="N368" s="241">
        <v>0.24</v>
      </c>
      <c r="O368" s="201">
        <f t="shared" si="68"/>
        <v>0.255</v>
      </c>
      <c r="P368" s="240">
        <v>0.27</v>
      </c>
      <c r="Q368" s="241">
        <v>0.24</v>
      </c>
      <c r="R368" s="201">
        <f t="shared" si="69"/>
        <v>0.255</v>
      </c>
      <c r="S368" s="240">
        <v>0.27</v>
      </c>
      <c r="T368" s="241">
        <v>0.24</v>
      </c>
      <c r="U368" s="201">
        <f t="shared" si="70"/>
        <v>0.255</v>
      </c>
      <c r="V368" s="240">
        <v>0</v>
      </c>
      <c r="W368" s="241">
        <v>0</v>
      </c>
      <c r="X368" s="201">
        <f t="shared" si="71"/>
        <v>0</v>
      </c>
      <c r="Y368" s="242">
        <v>0</v>
      </c>
    </row>
    <row r="369" spans="1:25" ht="15.75" x14ac:dyDescent="0.25">
      <c r="A369" s="31">
        <f>'M&amp;R Stations'!A351</f>
        <v>39310</v>
      </c>
      <c r="B369" s="240" t="s">
        <v>220</v>
      </c>
      <c r="C369" s="241" t="s">
        <v>220</v>
      </c>
      <c r="D369" s="201" t="s">
        <v>220</v>
      </c>
      <c r="E369" s="240">
        <v>0.56000000000000005</v>
      </c>
      <c r="F369" s="241">
        <v>0.3</v>
      </c>
      <c r="G369" s="201">
        <f t="shared" si="66"/>
        <v>0.43000000000000005</v>
      </c>
      <c r="H369" s="240">
        <v>0.56000000000000005</v>
      </c>
      <c r="I369" s="241">
        <v>0.25</v>
      </c>
      <c r="J369" s="201">
        <f t="shared" si="67"/>
        <v>0.40500000000000003</v>
      </c>
      <c r="K369" s="242">
        <v>0</v>
      </c>
      <c r="L369" s="194"/>
      <c r="M369" s="240">
        <v>0.24</v>
      </c>
      <c r="N369" s="241">
        <v>0.21</v>
      </c>
      <c r="O369" s="201">
        <f t="shared" si="68"/>
        <v>0.22499999999999998</v>
      </c>
      <c r="P369" s="240">
        <v>0.24</v>
      </c>
      <c r="Q369" s="241">
        <v>0.18</v>
      </c>
      <c r="R369" s="201">
        <f t="shared" si="69"/>
        <v>0.21</v>
      </c>
      <c r="S369" s="240">
        <v>0.24</v>
      </c>
      <c r="T369" s="241">
        <v>0.21</v>
      </c>
      <c r="U369" s="201">
        <f t="shared" si="70"/>
        <v>0.22499999999999998</v>
      </c>
      <c r="V369" s="240">
        <v>0</v>
      </c>
      <c r="W369" s="241">
        <v>0</v>
      </c>
      <c r="X369" s="201">
        <f t="shared" si="71"/>
        <v>0</v>
      </c>
      <c r="Y369" s="242">
        <v>0</v>
      </c>
    </row>
    <row r="370" spans="1:25" ht="15.75" x14ac:dyDescent="0.25">
      <c r="A370" s="31">
        <f>'M&amp;R Stations'!A352</f>
        <v>39311</v>
      </c>
      <c r="B370" s="240" t="s">
        <v>220</v>
      </c>
      <c r="C370" s="241" t="s">
        <v>220</v>
      </c>
      <c r="D370" s="201" t="s">
        <v>220</v>
      </c>
      <c r="E370" s="240">
        <v>0.41</v>
      </c>
      <c r="F370" s="241">
        <v>0.21</v>
      </c>
      <c r="G370" s="201">
        <f t="shared" si="66"/>
        <v>0.31</v>
      </c>
      <c r="H370" s="240">
        <v>0.42</v>
      </c>
      <c r="I370" s="241">
        <v>0.19</v>
      </c>
      <c r="J370" s="201">
        <f t="shared" si="67"/>
        <v>0.30499999999999999</v>
      </c>
      <c r="K370" s="242">
        <v>0</v>
      </c>
      <c r="L370" s="194"/>
      <c r="M370" s="240">
        <v>0.24</v>
      </c>
      <c r="N370" s="241">
        <v>0.21</v>
      </c>
      <c r="O370" s="201">
        <f t="shared" si="68"/>
        <v>0.22499999999999998</v>
      </c>
      <c r="P370" s="240">
        <v>0.24</v>
      </c>
      <c r="Q370" s="241">
        <v>0.24</v>
      </c>
      <c r="R370" s="201">
        <f t="shared" si="69"/>
        <v>0.24</v>
      </c>
      <c r="S370" s="240">
        <v>0.24</v>
      </c>
      <c r="T370" s="241">
        <v>0.24</v>
      </c>
      <c r="U370" s="201">
        <f t="shared" si="70"/>
        <v>0.24</v>
      </c>
      <c r="V370" s="240">
        <v>0</v>
      </c>
      <c r="W370" s="241">
        <v>0</v>
      </c>
      <c r="X370" s="201">
        <f t="shared" si="71"/>
        <v>0</v>
      </c>
      <c r="Y370" s="242">
        <v>0</v>
      </c>
    </row>
    <row r="371" spans="1:25" ht="15.75" x14ac:dyDescent="0.25">
      <c r="A371" s="31">
        <f>'M&amp;R Stations'!A353</f>
        <v>39312</v>
      </c>
      <c r="B371" s="240" t="s">
        <v>220</v>
      </c>
      <c r="C371" s="241" t="s">
        <v>220</v>
      </c>
      <c r="D371" s="201" t="s">
        <v>220</v>
      </c>
      <c r="E371" s="240">
        <v>0.35</v>
      </c>
      <c r="F371" s="241">
        <v>0.17</v>
      </c>
      <c r="G371" s="201">
        <f t="shared" si="66"/>
        <v>0.26</v>
      </c>
      <c r="H371" s="240">
        <v>0.28999999999999998</v>
      </c>
      <c r="I371" s="241">
        <v>0.14000000000000001</v>
      </c>
      <c r="J371" s="201">
        <f t="shared" si="67"/>
        <v>0.215</v>
      </c>
      <c r="K371" s="242">
        <v>0</v>
      </c>
      <c r="L371" s="194"/>
      <c r="M371" s="240">
        <v>0.24</v>
      </c>
      <c r="N371" s="241">
        <v>0.24</v>
      </c>
      <c r="O371" s="201">
        <f t="shared" si="68"/>
        <v>0.24</v>
      </c>
      <c r="P371" s="240">
        <v>0.24</v>
      </c>
      <c r="Q371" s="241">
        <v>0.24</v>
      </c>
      <c r="R371" s="201">
        <f t="shared" si="69"/>
        <v>0.24</v>
      </c>
      <c r="S371" s="240">
        <v>0.24</v>
      </c>
      <c r="T371" s="241">
        <v>0.24</v>
      </c>
      <c r="U371" s="201">
        <f t="shared" si="70"/>
        <v>0.24</v>
      </c>
      <c r="V371" s="240">
        <v>0</v>
      </c>
      <c r="W371" s="241">
        <v>0</v>
      </c>
      <c r="X371" s="201">
        <f t="shared" si="71"/>
        <v>0</v>
      </c>
      <c r="Y371" s="242">
        <v>0</v>
      </c>
    </row>
    <row r="372" spans="1:25" ht="15.75" x14ac:dyDescent="0.25">
      <c r="A372" s="31">
        <f>'M&amp;R Stations'!A354</f>
        <v>39313</v>
      </c>
      <c r="B372" s="240" t="s">
        <v>220</v>
      </c>
      <c r="C372" s="241" t="s">
        <v>220</v>
      </c>
      <c r="D372" s="201" t="s">
        <v>220</v>
      </c>
      <c r="E372" s="240">
        <v>0.38</v>
      </c>
      <c r="F372" s="241">
        <v>0.24</v>
      </c>
      <c r="G372" s="201">
        <f t="shared" si="66"/>
        <v>0.31</v>
      </c>
      <c r="H372" s="240">
        <v>0.34</v>
      </c>
      <c r="I372" s="241">
        <v>0.19</v>
      </c>
      <c r="J372" s="201">
        <f t="shared" si="67"/>
        <v>0.26500000000000001</v>
      </c>
      <c r="K372" s="242">
        <v>0</v>
      </c>
      <c r="L372" s="194"/>
      <c r="M372" s="240">
        <v>0.27</v>
      </c>
      <c r="N372" s="241">
        <v>0.24</v>
      </c>
      <c r="O372" s="201">
        <f t="shared" si="68"/>
        <v>0.255</v>
      </c>
      <c r="P372" s="240">
        <v>0.27</v>
      </c>
      <c r="Q372" s="241">
        <v>0.21</v>
      </c>
      <c r="R372" s="201">
        <f t="shared" si="69"/>
        <v>0.24</v>
      </c>
      <c r="S372" s="240">
        <v>0.27</v>
      </c>
      <c r="T372" s="241">
        <v>0.18</v>
      </c>
      <c r="U372" s="201">
        <f t="shared" si="70"/>
        <v>0.22500000000000001</v>
      </c>
      <c r="V372" s="240">
        <v>0</v>
      </c>
      <c r="W372" s="241">
        <v>0</v>
      </c>
      <c r="X372" s="201">
        <f t="shared" si="71"/>
        <v>0</v>
      </c>
      <c r="Y372" s="242">
        <v>0</v>
      </c>
    </row>
    <row r="373" spans="1:25" ht="15.75" x14ac:dyDescent="0.25">
      <c r="A373" s="31">
        <f>'M&amp;R Stations'!A355</f>
        <v>39314</v>
      </c>
      <c r="B373" s="240" t="s">
        <v>220</v>
      </c>
      <c r="C373" s="241" t="s">
        <v>220</v>
      </c>
      <c r="D373" s="201" t="s">
        <v>220</v>
      </c>
      <c r="E373" s="240">
        <v>0.37</v>
      </c>
      <c r="F373" s="241">
        <v>0.21</v>
      </c>
      <c r="G373" s="201">
        <f t="shared" si="66"/>
        <v>0.28999999999999998</v>
      </c>
      <c r="H373" s="240">
        <v>0.3</v>
      </c>
      <c r="I373" s="241">
        <v>0.25</v>
      </c>
      <c r="J373" s="201">
        <f t="shared" si="67"/>
        <v>0.27500000000000002</v>
      </c>
      <c r="K373" s="242">
        <v>0</v>
      </c>
      <c r="L373" s="194"/>
      <c r="M373" s="240">
        <v>0.27</v>
      </c>
      <c r="N373" s="241">
        <v>0.24</v>
      </c>
      <c r="O373" s="201">
        <f t="shared" si="68"/>
        <v>0.255</v>
      </c>
      <c r="P373" s="240">
        <v>0.27</v>
      </c>
      <c r="Q373" s="241">
        <v>0.24</v>
      </c>
      <c r="R373" s="201">
        <f t="shared" si="69"/>
        <v>0.255</v>
      </c>
      <c r="S373" s="240">
        <v>0.27</v>
      </c>
      <c r="T373" s="241">
        <v>0.24</v>
      </c>
      <c r="U373" s="201">
        <f t="shared" si="70"/>
        <v>0.255</v>
      </c>
      <c r="V373" s="240">
        <v>0</v>
      </c>
      <c r="W373" s="241">
        <v>0</v>
      </c>
      <c r="X373" s="201">
        <f t="shared" si="71"/>
        <v>0</v>
      </c>
      <c r="Y373" s="242">
        <v>0</v>
      </c>
    </row>
    <row r="374" spans="1:25" ht="15.75" x14ac:dyDescent="0.25">
      <c r="A374" s="31">
        <f>'M&amp;R Stations'!A356</f>
        <v>39315</v>
      </c>
      <c r="B374" s="240" t="s">
        <v>220</v>
      </c>
      <c r="C374" s="241" t="s">
        <v>220</v>
      </c>
      <c r="D374" s="201" t="s">
        <v>220</v>
      </c>
      <c r="E374" s="240">
        <v>0.28999999999999998</v>
      </c>
      <c r="F374" s="241">
        <v>0.22</v>
      </c>
      <c r="G374" s="201">
        <f t="shared" si="66"/>
        <v>0.255</v>
      </c>
      <c r="H374" s="240">
        <v>0.33</v>
      </c>
      <c r="I374" s="241">
        <v>0.18</v>
      </c>
      <c r="J374" s="201">
        <f t="shared" si="67"/>
        <v>0.255</v>
      </c>
      <c r="K374" s="242">
        <v>0</v>
      </c>
      <c r="L374" s="194"/>
      <c r="M374" s="240">
        <v>0.27</v>
      </c>
      <c r="N374" s="241">
        <v>0.24</v>
      </c>
      <c r="O374" s="201">
        <f t="shared" si="68"/>
        <v>0.255</v>
      </c>
      <c r="P374" s="240">
        <v>0.27</v>
      </c>
      <c r="Q374" s="241">
        <v>0.24</v>
      </c>
      <c r="R374" s="201">
        <f t="shared" si="69"/>
        <v>0.255</v>
      </c>
      <c r="S374" s="240">
        <v>0.27</v>
      </c>
      <c r="T374" s="241">
        <v>0.24</v>
      </c>
      <c r="U374" s="201">
        <f t="shared" si="70"/>
        <v>0.255</v>
      </c>
      <c r="V374" s="240">
        <v>0</v>
      </c>
      <c r="W374" s="241">
        <v>0</v>
      </c>
      <c r="X374" s="201">
        <f t="shared" si="71"/>
        <v>0</v>
      </c>
      <c r="Y374" s="242">
        <v>0</v>
      </c>
    </row>
    <row r="375" spans="1:25" ht="15.75" x14ac:dyDescent="0.25">
      <c r="A375" s="31">
        <f>'M&amp;R Stations'!A357</f>
        <v>39316</v>
      </c>
      <c r="B375" s="240" t="s">
        <v>220</v>
      </c>
      <c r="C375" s="241" t="s">
        <v>220</v>
      </c>
      <c r="D375" s="201" t="s">
        <v>220</v>
      </c>
      <c r="E375" s="240">
        <v>0.41</v>
      </c>
      <c r="F375" s="241">
        <v>0.2</v>
      </c>
      <c r="G375" s="201">
        <f t="shared" si="66"/>
        <v>0.30499999999999999</v>
      </c>
      <c r="H375" s="240">
        <v>0.46</v>
      </c>
      <c r="I375" s="241">
        <v>0.21</v>
      </c>
      <c r="J375" s="201">
        <f t="shared" si="67"/>
        <v>0.33500000000000002</v>
      </c>
      <c r="K375" s="242">
        <v>0</v>
      </c>
      <c r="L375" s="194"/>
      <c r="M375" s="240">
        <v>0.27</v>
      </c>
      <c r="N375" s="241">
        <v>0.24</v>
      </c>
      <c r="O375" s="201">
        <f t="shared" si="68"/>
        <v>0.255</v>
      </c>
      <c r="P375" s="240">
        <v>0.27</v>
      </c>
      <c r="Q375" s="241">
        <v>0.21</v>
      </c>
      <c r="R375" s="201">
        <f t="shared" si="69"/>
        <v>0.24</v>
      </c>
      <c r="S375" s="240">
        <v>0.27</v>
      </c>
      <c r="T375" s="241">
        <v>0.21</v>
      </c>
      <c r="U375" s="201">
        <f t="shared" si="70"/>
        <v>0.24</v>
      </c>
      <c r="V375" s="240">
        <v>0</v>
      </c>
      <c r="W375" s="241">
        <v>0</v>
      </c>
      <c r="X375" s="201">
        <f t="shared" si="71"/>
        <v>0</v>
      </c>
      <c r="Y375" s="242">
        <v>0</v>
      </c>
    </row>
    <row r="376" spans="1:25" ht="15.75" x14ac:dyDescent="0.25">
      <c r="A376" s="31">
        <f>'M&amp;R Stations'!A358</f>
        <v>39317</v>
      </c>
      <c r="B376" s="240" t="s">
        <v>220</v>
      </c>
      <c r="C376" s="241" t="s">
        <v>220</v>
      </c>
      <c r="D376" s="201" t="s">
        <v>220</v>
      </c>
      <c r="E376" s="240">
        <v>0.38</v>
      </c>
      <c r="F376" s="241">
        <v>0.17</v>
      </c>
      <c r="G376" s="201">
        <f t="shared" si="66"/>
        <v>0.27500000000000002</v>
      </c>
      <c r="H376" s="240">
        <v>0.4</v>
      </c>
      <c r="I376" s="241">
        <v>0.18</v>
      </c>
      <c r="J376" s="201">
        <f t="shared" si="67"/>
        <v>0.29000000000000004</v>
      </c>
      <c r="K376" s="242">
        <v>0</v>
      </c>
      <c r="L376" s="194"/>
      <c r="M376" s="240">
        <v>0.27</v>
      </c>
      <c r="N376" s="241">
        <v>0.21</v>
      </c>
      <c r="O376" s="201">
        <f t="shared" si="68"/>
        <v>0.24</v>
      </c>
      <c r="P376" s="240">
        <v>0.27</v>
      </c>
      <c r="Q376" s="241">
        <v>0.21</v>
      </c>
      <c r="R376" s="201">
        <f t="shared" si="69"/>
        <v>0.24</v>
      </c>
      <c r="S376" s="240">
        <v>0.27</v>
      </c>
      <c r="T376" s="241">
        <v>0.24</v>
      </c>
      <c r="U376" s="201">
        <f t="shared" si="70"/>
        <v>0.255</v>
      </c>
      <c r="V376" s="240">
        <v>0</v>
      </c>
      <c r="W376" s="241">
        <v>0</v>
      </c>
      <c r="X376" s="201">
        <f t="shared" si="71"/>
        <v>0</v>
      </c>
      <c r="Y376" s="242">
        <v>0</v>
      </c>
    </row>
    <row r="377" spans="1:25" ht="15.75" x14ac:dyDescent="0.25">
      <c r="A377" s="31">
        <f>'M&amp;R Stations'!A359</f>
        <v>39318</v>
      </c>
      <c r="B377" s="240" t="s">
        <v>220</v>
      </c>
      <c r="C377" s="241" t="s">
        <v>220</v>
      </c>
      <c r="D377" s="201" t="s">
        <v>220</v>
      </c>
      <c r="E377" s="240">
        <v>0.28000000000000003</v>
      </c>
      <c r="F377" s="241">
        <v>0.17</v>
      </c>
      <c r="G377" s="201">
        <f t="shared" si="66"/>
        <v>0.22500000000000003</v>
      </c>
      <c r="H377" s="240">
        <v>0.23</v>
      </c>
      <c r="I377" s="241">
        <v>0.18</v>
      </c>
      <c r="J377" s="201">
        <f t="shared" si="67"/>
        <v>0.20500000000000002</v>
      </c>
      <c r="K377" s="242">
        <v>0</v>
      </c>
      <c r="L377" s="194"/>
      <c r="M377" s="240">
        <v>0.24</v>
      </c>
      <c r="N377" s="241">
        <v>0.24</v>
      </c>
      <c r="O377" s="201">
        <f t="shared" si="68"/>
        <v>0.24</v>
      </c>
      <c r="P377" s="240">
        <v>0.24</v>
      </c>
      <c r="Q377" s="241">
        <v>0.24</v>
      </c>
      <c r="R377" s="201">
        <f t="shared" si="69"/>
        <v>0.24</v>
      </c>
      <c r="S377" s="240">
        <v>0.24</v>
      </c>
      <c r="T377" s="241">
        <v>0.24</v>
      </c>
      <c r="U377" s="201">
        <f t="shared" si="70"/>
        <v>0.24</v>
      </c>
      <c r="V377" s="240">
        <v>0</v>
      </c>
      <c r="W377" s="241">
        <v>0</v>
      </c>
      <c r="X377" s="201">
        <f t="shared" si="71"/>
        <v>0</v>
      </c>
      <c r="Y377" s="242">
        <v>0</v>
      </c>
    </row>
    <row r="378" spans="1:25" ht="15.75" x14ac:dyDescent="0.25">
      <c r="A378" s="31">
        <f>'M&amp;R Stations'!A360</f>
        <v>39319</v>
      </c>
      <c r="B378" s="240" t="s">
        <v>220</v>
      </c>
      <c r="C378" s="241" t="s">
        <v>220</v>
      </c>
      <c r="D378" s="201" t="s">
        <v>220</v>
      </c>
      <c r="E378" s="240">
        <v>0.23</v>
      </c>
      <c r="F378" s="241">
        <v>0.18</v>
      </c>
      <c r="G378" s="201">
        <f t="shared" si="66"/>
        <v>0.20500000000000002</v>
      </c>
      <c r="H378" s="240">
        <v>0.26</v>
      </c>
      <c r="I378" s="241">
        <v>0.18</v>
      </c>
      <c r="J378" s="201">
        <f t="shared" si="67"/>
        <v>0.22</v>
      </c>
      <c r="K378" s="242">
        <v>0</v>
      </c>
      <c r="L378" s="194"/>
      <c r="M378" s="240">
        <v>0.31</v>
      </c>
      <c r="N378" s="241">
        <v>0.27</v>
      </c>
      <c r="O378" s="201">
        <f t="shared" si="68"/>
        <v>0.29000000000000004</v>
      </c>
      <c r="P378" s="240">
        <v>0.31</v>
      </c>
      <c r="Q378" s="241">
        <v>0.27</v>
      </c>
      <c r="R378" s="201">
        <f t="shared" si="69"/>
        <v>0.29000000000000004</v>
      </c>
      <c r="S378" s="240">
        <v>0.27</v>
      </c>
      <c r="T378" s="241">
        <v>0.21</v>
      </c>
      <c r="U378" s="201">
        <f t="shared" si="70"/>
        <v>0.24</v>
      </c>
      <c r="V378" s="240">
        <v>0</v>
      </c>
      <c r="W378" s="241">
        <v>0</v>
      </c>
      <c r="X378" s="201">
        <f t="shared" si="71"/>
        <v>0</v>
      </c>
      <c r="Y378" s="242">
        <v>0</v>
      </c>
    </row>
    <row r="379" spans="1:25" ht="15.75" x14ac:dyDescent="0.25">
      <c r="A379" s="31">
        <f>'M&amp;R Stations'!A361</f>
        <v>39320</v>
      </c>
      <c r="B379" s="240" t="s">
        <v>220</v>
      </c>
      <c r="C379" s="241" t="s">
        <v>220</v>
      </c>
      <c r="D379" s="201" t="s">
        <v>220</v>
      </c>
      <c r="E379" s="240">
        <v>0.26</v>
      </c>
      <c r="F379" s="241">
        <v>0.2</v>
      </c>
      <c r="G379" s="201">
        <f t="shared" si="66"/>
        <v>0.23</v>
      </c>
      <c r="H379" s="240">
        <v>0.32</v>
      </c>
      <c r="I379" s="241">
        <v>0.21</v>
      </c>
      <c r="J379" s="201">
        <f t="shared" si="67"/>
        <v>0.26500000000000001</v>
      </c>
      <c r="K379" s="242">
        <v>0</v>
      </c>
      <c r="L379" s="194"/>
      <c r="M379" s="240">
        <v>0.27</v>
      </c>
      <c r="N379" s="241">
        <v>0.24</v>
      </c>
      <c r="O379" s="201">
        <f t="shared" si="68"/>
        <v>0.255</v>
      </c>
      <c r="P379" s="240">
        <v>0.27</v>
      </c>
      <c r="Q379" s="241">
        <v>0.24</v>
      </c>
      <c r="R379" s="201">
        <f t="shared" si="69"/>
        <v>0.255</v>
      </c>
      <c r="S379" s="240">
        <v>0.27</v>
      </c>
      <c r="T379" s="241">
        <v>0.24</v>
      </c>
      <c r="U379" s="201">
        <f t="shared" si="70"/>
        <v>0.255</v>
      </c>
      <c r="V379" s="240">
        <v>0</v>
      </c>
      <c r="W379" s="241">
        <v>0</v>
      </c>
      <c r="X379" s="201">
        <f t="shared" si="71"/>
        <v>0</v>
      </c>
      <c r="Y379" s="242">
        <v>0</v>
      </c>
    </row>
    <row r="380" spans="1:25" ht="15.75" x14ac:dyDescent="0.25">
      <c r="A380" s="31">
        <f>'M&amp;R Stations'!A362</f>
        <v>39321</v>
      </c>
      <c r="B380" s="240" t="s">
        <v>220</v>
      </c>
      <c r="C380" s="241" t="s">
        <v>220</v>
      </c>
      <c r="D380" s="201" t="s">
        <v>220</v>
      </c>
      <c r="E380" s="240">
        <v>0.25</v>
      </c>
      <c r="F380" s="241">
        <v>0.23</v>
      </c>
      <c r="G380" s="201">
        <f t="shared" si="66"/>
        <v>0.24</v>
      </c>
      <c r="H380" s="240">
        <v>0.28000000000000003</v>
      </c>
      <c r="I380" s="241">
        <v>0.21</v>
      </c>
      <c r="J380" s="201">
        <f t="shared" si="67"/>
        <v>0.245</v>
      </c>
      <c r="K380" s="242">
        <v>0</v>
      </c>
      <c r="L380" s="194"/>
      <c r="M380" s="240">
        <v>0.27</v>
      </c>
      <c r="N380" s="241">
        <v>0.24</v>
      </c>
      <c r="O380" s="201">
        <f t="shared" si="68"/>
        <v>0.255</v>
      </c>
      <c r="P380" s="240">
        <v>0.27</v>
      </c>
      <c r="Q380" s="241">
        <v>0.24</v>
      </c>
      <c r="R380" s="201">
        <f t="shared" si="69"/>
        <v>0.255</v>
      </c>
      <c r="S380" s="240">
        <v>0.27</v>
      </c>
      <c r="T380" s="241">
        <v>0.24</v>
      </c>
      <c r="U380" s="201">
        <f t="shared" si="70"/>
        <v>0.255</v>
      </c>
      <c r="V380" s="240">
        <v>0</v>
      </c>
      <c r="W380" s="241">
        <v>0</v>
      </c>
      <c r="X380" s="201">
        <f t="shared" si="71"/>
        <v>0</v>
      </c>
      <c r="Y380" s="242">
        <v>0</v>
      </c>
    </row>
    <row r="381" spans="1:25" ht="15.75" x14ac:dyDescent="0.25">
      <c r="A381" s="31">
        <f>'M&amp;R Stations'!A363</f>
        <v>39322</v>
      </c>
      <c r="B381" s="240" t="s">
        <v>220</v>
      </c>
      <c r="C381" s="241" t="s">
        <v>220</v>
      </c>
      <c r="D381" s="201" t="s">
        <v>220</v>
      </c>
      <c r="E381" s="240">
        <v>0.28999999999999998</v>
      </c>
      <c r="F381" s="241">
        <v>0.21</v>
      </c>
      <c r="G381" s="201">
        <f t="shared" si="66"/>
        <v>0.25</v>
      </c>
      <c r="H381" s="240">
        <v>0.35</v>
      </c>
      <c r="I381" s="241">
        <v>0.2</v>
      </c>
      <c r="J381" s="201">
        <f t="shared" si="67"/>
        <v>0.27500000000000002</v>
      </c>
      <c r="K381" s="242">
        <v>0</v>
      </c>
      <c r="L381" s="194"/>
      <c r="M381" s="240">
        <v>0.27</v>
      </c>
      <c r="N381" s="241">
        <v>0.24</v>
      </c>
      <c r="O381" s="201">
        <f t="shared" si="68"/>
        <v>0.255</v>
      </c>
      <c r="P381" s="240">
        <v>0.27</v>
      </c>
      <c r="Q381" s="241">
        <v>0.24</v>
      </c>
      <c r="R381" s="201">
        <f t="shared" si="69"/>
        <v>0.255</v>
      </c>
      <c r="S381" s="240">
        <v>0.27</v>
      </c>
      <c r="T381" s="241">
        <v>0.24</v>
      </c>
      <c r="U381" s="201">
        <f t="shared" si="70"/>
        <v>0.255</v>
      </c>
      <c r="V381" s="240">
        <v>0</v>
      </c>
      <c r="W381" s="241">
        <v>0</v>
      </c>
      <c r="X381" s="201">
        <f t="shared" si="71"/>
        <v>0</v>
      </c>
      <c r="Y381" s="242">
        <v>0</v>
      </c>
    </row>
    <row r="382" spans="1:25" ht="15.75" x14ac:dyDescent="0.25">
      <c r="A382" s="31">
        <f>'M&amp;R Stations'!A364</f>
        <v>39323</v>
      </c>
      <c r="B382" s="240" t="s">
        <v>220</v>
      </c>
      <c r="C382" s="241" t="s">
        <v>220</v>
      </c>
      <c r="D382" s="201" t="s">
        <v>220</v>
      </c>
      <c r="E382" s="240">
        <v>0.36</v>
      </c>
      <c r="F382" s="241">
        <v>0.22</v>
      </c>
      <c r="G382" s="201">
        <f t="shared" si="66"/>
        <v>0.28999999999999998</v>
      </c>
      <c r="H382" s="240">
        <v>0.38</v>
      </c>
      <c r="I382" s="241">
        <v>0.19</v>
      </c>
      <c r="J382" s="201">
        <f t="shared" si="67"/>
        <v>0.28500000000000003</v>
      </c>
      <c r="K382" s="242">
        <v>0</v>
      </c>
      <c r="L382" s="194"/>
      <c r="M382" s="240">
        <v>0.27</v>
      </c>
      <c r="N382" s="241">
        <v>0.24</v>
      </c>
      <c r="O382" s="201">
        <f t="shared" si="68"/>
        <v>0.255</v>
      </c>
      <c r="P382" s="240">
        <v>0.27</v>
      </c>
      <c r="Q382" s="241">
        <v>0.24</v>
      </c>
      <c r="R382" s="201">
        <f t="shared" si="69"/>
        <v>0.255</v>
      </c>
      <c r="S382" s="240">
        <v>0.27</v>
      </c>
      <c r="T382" s="241">
        <v>0.24</v>
      </c>
      <c r="U382" s="201">
        <f t="shared" si="70"/>
        <v>0.255</v>
      </c>
      <c r="V382" s="240">
        <v>0</v>
      </c>
      <c r="W382" s="241">
        <v>0</v>
      </c>
      <c r="X382" s="201">
        <f t="shared" si="71"/>
        <v>0</v>
      </c>
      <c r="Y382" s="242">
        <v>0</v>
      </c>
    </row>
    <row r="383" spans="1:25" ht="15.75" x14ac:dyDescent="0.25">
      <c r="A383" s="31">
        <f>'M&amp;R Stations'!A365</f>
        <v>39324</v>
      </c>
      <c r="B383" s="240" t="s">
        <v>220</v>
      </c>
      <c r="C383" s="241" t="s">
        <v>220</v>
      </c>
      <c r="D383" s="201" t="s">
        <v>220</v>
      </c>
      <c r="E383" s="240">
        <v>0.39</v>
      </c>
      <c r="F383" s="241">
        <v>0.2</v>
      </c>
      <c r="G383" s="201">
        <f t="shared" si="66"/>
        <v>0.29500000000000004</v>
      </c>
      <c r="H383" s="240">
        <v>0.37</v>
      </c>
      <c r="I383" s="241">
        <v>0.22</v>
      </c>
      <c r="J383" s="201">
        <f t="shared" si="67"/>
        <v>0.29499999999999998</v>
      </c>
      <c r="K383" s="242">
        <v>0</v>
      </c>
      <c r="L383" s="194"/>
      <c r="M383" s="240">
        <v>0.24</v>
      </c>
      <c r="N383" s="241">
        <v>0.21</v>
      </c>
      <c r="O383" s="201">
        <f t="shared" si="68"/>
        <v>0.22499999999999998</v>
      </c>
      <c r="P383" s="240">
        <v>0.24</v>
      </c>
      <c r="Q383" s="241">
        <v>0.24</v>
      </c>
      <c r="R383" s="201">
        <f t="shared" si="69"/>
        <v>0.24</v>
      </c>
      <c r="S383" s="240">
        <v>0.24</v>
      </c>
      <c r="T383" s="241">
        <v>0.21</v>
      </c>
      <c r="U383" s="201">
        <f t="shared" si="70"/>
        <v>0.22499999999999998</v>
      </c>
      <c r="V383" s="240">
        <v>0</v>
      </c>
      <c r="W383" s="241">
        <v>0</v>
      </c>
      <c r="X383" s="201">
        <f t="shared" si="71"/>
        <v>0</v>
      </c>
      <c r="Y383" s="242">
        <v>0</v>
      </c>
    </row>
    <row r="384" spans="1:25" ht="15.75" x14ac:dyDescent="0.25">
      <c r="A384" s="214">
        <f>'M&amp;R Stations'!A366</f>
        <v>39325</v>
      </c>
      <c r="B384" s="240" t="s">
        <v>220</v>
      </c>
      <c r="C384" s="241" t="s">
        <v>220</v>
      </c>
      <c r="D384" s="201" t="s">
        <v>220</v>
      </c>
      <c r="E384" s="243">
        <v>0.35</v>
      </c>
      <c r="F384" s="244">
        <v>0.22</v>
      </c>
      <c r="G384" s="201">
        <f t="shared" si="66"/>
        <v>0.28499999999999998</v>
      </c>
      <c r="H384" s="243">
        <v>0.35</v>
      </c>
      <c r="I384" s="244">
        <v>0.22</v>
      </c>
      <c r="J384" s="201">
        <f t="shared" si="67"/>
        <v>0.28499999999999998</v>
      </c>
      <c r="K384" s="245">
        <v>0</v>
      </c>
      <c r="L384" s="194"/>
      <c r="M384" s="243">
        <v>0.24</v>
      </c>
      <c r="N384" s="244">
        <v>0.24</v>
      </c>
      <c r="O384" s="201">
        <f t="shared" si="68"/>
        <v>0.24</v>
      </c>
      <c r="P384" s="243">
        <v>0.24</v>
      </c>
      <c r="Q384" s="244">
        <v>0.24</v>
      </c>
      <c r="R384" s="201">
        <f t="shared" si="69"/>
        <v>0.24</v>
      </c>
      <c r="S384" s="243">
        <v>0.24</v>
      </c>
      <c r="T384" s="244">
        <v>0.24</v>
      </c>
      <c r="U384" s="201">
        <f t="shared" si="70"/>
        <v>0.24</v>
      </c>
      <c r="V384" s="243">
        <v>0</v>
      </c>
      <c r="W384" s="244">
        <v>0</v>
      </c>
      <c r="X384" s="201">
        <f t="shared" si="71"/>
        <v>0</v>
      </c>
      <c r="Y384" s="245">
        <v>0</v>
      </c>
    </row>
    <row r="385" spans="1:25" ht="15.75" x14ac:dyDescent="0.25">
      <c r="A385" s="215" t="s">
        <v>17</v>
      </c>
      <c r="B385" s="194"/>
      <c r="C385" s="194"/>
      <c r="D385" s="194"/>
      <c r="E385" s="194"/>
      <c r="F385" s="194"/>
      <c r="G385" s="194"/>
      <c r="H385" s="194"/>
      <c r="I385" s="194"/>
      <c r="J385" s="194"/>
      <c r="K385" s="194"/>
      <c r="L385" s="194"/>
      <c r="M385" s="194"/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</row>
    <row r="387" spans="1:25" ht="15.75" x14ac:dyDescent="0.25">
      <c r="A387" s="22"/>
    </row>
    <row r="388" spans="1:25" ht="15.75" x14ac:dyDescent="0.25">
      <c r="A388" s="22"/>
    </row>
    <row r="389" spans="1:25" ht="15.75" x14ac:dyDescent="0.25">
      <c r="A389" s="22"/>
    </row>
    <row r="390" spans="1:25" ht="15.75" x14ac:dyDescent="0.25">
      <c r="A390" s="22"/>
    </row>
    <row r="391" spans="1:25" ht="15.75" x14ac:dyDescent="0.25">
      <c r="A391" s="22"/>
    </row>
    <row r="392" spans="1:25" ht="15.75" x14ac:dyDescent="0.25">
      <c r="A392" s="22"/>
    </row>
    <row r="393" spans="1:25" ht="15.75" x14ac:dyDescent="0.25">
      <c r="A393" s="22"/>
    </row>
    <row r="394" spans="1:25" ht="15.75" x14ac:dyDescent="0.25">
      <c r="A394" s="22"/>
    </row>
    <row r="395" spans="1:25" ht="15.75" x14ac:dyDescent="0.25">
      <c r="A395" s="22"/>
    </row>
    <row r="396" spans="1:25" ht="15.75" x14ac:dyDescent="0.25">
      <c r="A396" s="22"/>
    </row>
    <row r="397" spans="1:25" ht="15.75" x14ac:dyDescent="0.25">
      <c r="A397" s="22"/>
    </row>
    <row r="398" spans="1:25" ht="15.75" x14ac:dyDescent="0.25">
      <c r="A398" s="22"/>
    </row>
    <row r="399" spans="1:25" ht="15.75" x14ac:dyDescent="0.25">
      <c r="A399" s="22"/>
    </row>
    <row r="400" spans="1:25" ht="15.75" x14ac:dyDescent="0.25">
      <c r="A400" s="22"/>
    </row>
    <row r="401" spans="1:1" ht="15.75" x14ac:dyDescent="0.25">
      <c r="A401" s="22"/>
    </row>
    <row r="402" spans="1:1" ht="15.75" x14ac:dyDescent="0.25">
      <c r="A402" s="22"/>
    </row>
    <row r="403" spans="1:1" ht="15.75" x14ac:dyDescent="0.25">
      <c r="A403" s="22"/>
    </row>
    <row r="404" spans="1:1" ht="15.75" x14ac:dyDescent="0.25">
      <c r="A404" s="22"/>
    </row>
    <row r="405" spans="1:1" ht="15.75" x14ac:dyDescent="0.25">
      <c r="A405" s="22"/>
    </row>
    <row r="406" spans="1:1" ht="15.75" x14ac:dyDescent="0.25">
      <c r="A406" s="22"/>
    </row>
    <row r="407" spans="1:1" ht="15.75" x14ac:dyDescent="0.25">
      <c r="A407" s="22"/>
    </row>
    <row r="408" spans="1:1" ht="15.75" x14ac:dyDescent="0.25">
      <c r="A408" s="22"/>
    </row>
    <row r="409" spans="1:1" ht="15.75" x14ac:dyDescent="0.25">
      <c r="A409" s="22"/>
    </row>
    <row r="410" spans="1:1" ht="15.75" x14ac:dyDescent="0.25">
      <c r="A410" s="22"/>
    </row>
    <row r="411" spans="1:1" ht="15.75" x14ac:dyDescent="0.25">
      <c r="A411" s="22"/>
    </row>
    <row r="412" spans="1:1" ht="15.75" x14ac:dyDescent="0.25">
      <c r="A412" s="22"/>
    </row>
    <row r="413" spans="1:1" ht="15.75" x14ac:dyDescent="0.25">
      <c r="A413" s="22"/>
    </row>
    <row r="414" spans="1:1" ht="15.75" x14ac:dyDescent="0.25">
      <c r="A414" s="22"/>
    </row>
    <row r="415" spans="1:1" ht="15.75" x14ac:dyDescent="0.25">
      <c r="A415" s="22"/>
    </row>
    <row r="416" spans="1:1" ht="15.75" x14ac:dyDescent="0.25">
      <c r="A416" s="22"/>
    </row>
    <row r="417" spans="1:1" ht="15.75" x14ac:dyDescent="0.25">
      <c r="A417" s="22"/>
    </row>
    <row r="418" spans="1:1" ht="15.75" x14ac:dyDescent="0.25">
      <c r="A418" s="22"/>
    </row>
    <row r="419" spans="1:1" ht="15.75" x14ac:dyDescent="0.25">
      <c r="A419" s="22"/>
    </row>
    <row r="420" spans="1:1" ht="15.75" x14ac:dyDescent="0.25">
      <c r="A420" s="22"/>
    </row>
    <row r="421" spans="1:1" ht="15.75" x14ac:dyDescent="0.25">
      <c r="A421" s="22"/>
    </row>
    <row r="422" spans="1:1" ht="15.75" x14ac:dyDescent="0.25">
      <c r="A422" s="22"/>
    </row>
    <row r="423" spans="1:1" ht="15.75" x14ac:dyDescent="0.25">
      <c r="A423" s="22"/>
    </row>
    <row r="424" spans="1:1" ht="15.75" x14ac:dyDescent="0.25">
      <c r="A424" s="22"/>
    </row>
    <row r="425" spans="1:1" ht="15.75" x14ac:dyDescent="0.25">
      <c r="A425" s="22"/>
    </row>
    <row r="426" spans="1:1" ht="15.75" x14ac:dyDescent="0.25">
      <c r="A426" s="22"/>
    </row>
    <row r="427" spans="1:1" ht="15.75" x14ac:dyDescent="0.25">
      <c r="A427" s="22"/>
    </row>
    <row r="428" spans="1:1" ht="15.75" x14ac:dyDescent="0.25">
      <c r="A428" s="22"/>
    </row>
    <row r="429" spans="1:1" ht="15.75" x14ac:dyDescent="0.25">
      <c r="A429" s="22"/>
    </row>
    <row r="430" spans="1:1" ht="15.75" x14ac:dyDescent="0.25">
      <c r="A430" s="22"/>
    </row>
    <row r="431" spans="1:1" ht="15.75" x14ac:dyDescent="0.25">
      <c r="A431" s="22"/>
    </row>
    <row r="432" spans="1:1" ht="15.75" x14ac:dyDescent="0.25">
      <c r="A432" s="22"/>
    </row>
    <row r="433" spans="1:1" ht="15.75" x14ac:dyDescent="0.25">
      <c r="A433" s="22"/>
    </row>
    <row r="434" spans="1:1" ht="15.75" x14ac:dyDescent="0.25">
      <c r="A434" s="22"/>
    </row>
    <row r="435" spans="1:1" ht="15.75" x14ac:dyDescent="0.25">
      <c r="A435" s="22"/>
    </row>
    <row r="436" spans="1:1" ht="15.75" x14ac:dyDescent="0.25">
      <c r="A436" s="22"/>
    </row>
    <row r="437" spans="1:1" ht="15.75" x14ac:dyDescent="0.25">
      <c r="A437" s="22"/>
    </row>
    <row r="438" spans="1:1" ht="15.75" x14ac:dyDescent="0.25">
      <c r="A438" s="22"/>
    </row>
    <row r="439" spans="1:1" ht="15.75" x14ac:dyDescent="0.25">
      <c r="A439" s="22"/>
    </row>
    <row r="440" spans="1:1" ht="15.75" x14ac:dyDescent="0.25">
      <c r="A440" s="22"/>
    </row>
    <row r="441" spans="1:1" ht="15.75" x14ac:dyDescent="0.25">
      <c r="A441" s="22"/>
    </row>
    <row r="442" spans="1:1" ht="15.75" x14ac:dyDescent="0.25">
      <c r="A442" s="22"/>
    </row>
    <row r="443" spans="1:1" ht="15.75" x14ac:dyDescent="0.25">
      <c r="A443" s="22"/>
    </row>
    <row r="444" spans="1:1" ht="15.75" x14ac:dyDescent="0.25">
      <c r="A444" s="22"/>
    </row>
    <row r="445" spans="1:1" ht="15.75" x14ac:dyDescent="0.25">
      <c r="A445" s="22"/>
    </row>
    <row r="446" spans="1:1" ht="15.75" x14ac:dyDescent="0.25">
      <c r="A446" s="22"/>
    </row>
    <row r="447" spans="1:1" ht="15.75" x14ac:dyDescent="0.25">
      <c r="A447" s="22"/>
    </row>
    <row r="448" spans="1:1" ht="15.75" x14ac:dyDescent="0.25">
      <c r="A448" s="22"/>
    </row>
    <row r="449" spans="1:1" ht="15.75" x14ac:dyDescent="0.25">
      <c r="A449" s="22"/>
    </row>
    <row r="450" spans="1:1" ht="15.75" x14ac:dyDescent="0.25">
      <c r="A450" s="22"/>
    </row>
    <row r="451" spans="1:1" ht="15.75" x14ac:dyDescent="0.25">
      <c r="A451" s="22"/>
    </row>
    <row r="452" spans="1:1" ht="15.75" x14ac:dyDescent="0.25">
      <c r="A452" s="22"/>
    </row>
    <row r="453" spans="1:1" ht="15.75" x14ac:dyDescent="0.25">
      <c r="A453" s="22"/>
    </row>
    <row r="454" spans="1:1" ht="15.75" x14ac:dyDescent="0.25">
      <c r="A454" s="22"/>
    </row>
    <row r="455" spans="1:1" ht="15.75" x14ac:dyDescent="0.25">
      <c r="A455" s="22"/>
    </row>
    <row r="456" spans="1:1" ht="15.75" x14ac:dyDescent="0.25">
      <c r="A456" s="22"/>
    </row>
    <row r="457" spans="1:1" ht="15.75" x14ac:dyDescent="0.25">
      <c r="A457" s="22"/>
    </row>
    <row r="458" spans="1:1" ht="15.75" x14ac:dyDescent="0.25">
      <c r="A458" s="22"/>
    </row>
    <row r="459" spans="1:1" ht="15.75" x14ac:dyDescent="0.25">
      <c r="A459" s="22"/>
    </row>
    <row r="460" spans="1:1" ht="15.75" x14ac:dyDescent="0.25">
      <c r="A460" s="22"/>
    </row>
    <row r="461" spans="1:1" ht="15.75" x14ac:dyDescent="0.25">
      <c r="A461" s="22"/>
    </row>
    <row r="462" spans="1:1" ht="15.75" x14ac:dyDescent="0.25">
      <c r="A462" s="22"/>
    </row>
    <row r="463" spans="1:1" ht="15.75" x14ac:dyDescent="0.25">
      <c r="A463" s="22"/>
    </row>
    <row r="464" spans="1:1" ht="15.75" x14ac:dyDescent="0.25">
      <c r="A464" s="22"/>
    </row>
    <row r="465" spans="1:1" ht="15.75" x14ac:dyDescent="0.25">
      <c r="A465" s="22"/>
    </row>
    <row r="466" spans="1:1" ht="15.75" x14ac:dyDescent="0.25">
      <c r="A466" s="22"/>
    </row>
    <row r="467" spans="1:1" ht="15.75" x14ac:dyDescent="0.25">
      <c r="A467" s="22"/>
    </row>
    <row r="468" spans="1:1" ht="15.75" x14ac:dyDescent="0.25">
      <c r="A468" s="22"/>
    </row>
    <row r="469" spans="1:1" ht="15.75" x14ac:dyDescent="0.25">
      <c r="A469" s="22"/>
    </row>
    <row r="470" spans="1:1" ht="15.75" x14ac:dyDescent="0.25">
      <c r="A470" s="22"/>
    </row>
    <row r="471" spans="1:1" ht="15.75" x14ac:dyDescent="0.25">
      <c r="A471" s="22"/>
    </row>
    <row r="472" spans="1:1" ht="15.75" x14ac:dyDescent="0.25">
      <c r="A472" s="22"/>
    </row>
    <row r="473" spans="1:1" ht="15.75" x14ac:dyDescent="0.25">
      <c r="A473" s="22"/>
    </row>
    <row r="474" spans="1:1" ht="15.75" x14ac:dyDescent="0.25">
      <c r="A474" s="22"/>
    </row>
    <row r="475" spans="1:1" ht="15.75" x14ac:dyDescent="0.25">
      <c r="A475" s="22"/>
    </row>
    <row r="476" spans="1:1" ht="15.75" x14ac:dyDescent="0.25">
      <c r="A476" s="22"/>
    </row>
    <row r="477" spans="1:1" ht="15.75" x14ac:dyDescent="0.25">
      <c r="A477" s="22"/>
    </row>
    <row r="478" spans="1:1" ht="15.75" x14ac:dyDescent="0.25">
      <c r="A478" s="22"/>
    </row>
    <row r="479" spans="1:1" ht="15.75" x14ac:dyDescent="0.25">
      <c r="A479" s="22"/>
    </row>
    <row r="480" spans="1:1" ht="15.75" x14ac:dyDescent="0.25">
      <c r="A480" s="22"/>
    </row>
    <row r="481" spans="1:1" ht="15.75" x14ac:dyDescent="0.25">
      <c r="A481" s="22"/>
    </row>
    <row r="482" spans="1:1" ht="15.75" x14ac:dyDescent="0.25">
      <c r="A482" s="22"/>
    </row>
    <row r="483" spans="1:1" ht="15.75" x14ac:dyDescent="0.25">
      <c r="A483" s="22"/>
    </row>
    <row r="484" spans="1:1" ht="15.75" x14ac:dyDescent="0.25">
      <c r="A484" s="22"/>
    </row>
    <row r="485" spans="1:1" ht="15.75" x14ac:dyDescent="0.25">
      <c r="A485" s="22"/>
    </row>
    <row r="486" spans="1:1" ht="15.75" x14ac:dyDescent="0.25">
      <c r="A486" s="22"/>
    </row>
    <row r="487" spans="1:1" ht="15.75" x14ac:dyDescent="0.25">
      <c r="A487" s="22"/>
    </row>
    <row r="488" spans="1:1" ht="15.75" x14ac:dyDescent="0.25">
      <c r="A488" s="22"/>
    </row>
    <row r="489" spans="1:1" ht="15.75" x14ac:dyDescent="0.25">
      <c r="A489" s="22"/>
    </row>
    <row r="490" spans="1:1" ht="15.75" x14ac:dyDescent="0.25">
      <c r="A490" s="22"/>
    </row>
    <row r="491" spans="1:1" ht="15.75" x14ac:dyDescent="0.25">
      <c r="A491" s="22"/>
    </row>
    <row r="492" spans="1:1" ht="15.75" x14ac:dyDescent="0.25">
      <c r="A492" s="22"/>
    </row>
    <row r="493" spans="1:1" ht="15.75" x14ac:dyDescent="0.25">
      <c r="A493" s="22"/>
    </row>
    <row r="494" spans="1:1" ht="15.75" x14ac:dyDescent="0.25">
      <c r="A494" s="22"/>
    </row>
    <row r="495" spans="1:1" ht="15.75" x14ac:dyDescent="0.25">
      <c r="A495" s="22"/>
    </row>
    <row r="496" spans="1:1" ht="15.75" x14ac:dyDescent="0.25">
      <c r="A496" s="22"/>
    </row>
    <row r="497" spans="1:1" ht="15.75" x14ac:dyDescent="0.25">
      <c r="A497" s="22"/>
    </row>
    <row r="498" spans="1:1" ht="15.75" x14ac:dyDescent="0.25">
      <c r="A498" s="22"/>
    </row>
    <row r="499" spans="1:1" ht="15.75" x14ac:dyDescent="0.25">
      <c r="A499" s="22"/>
    </row>
    <row r="500" spans="1:1" ht="15.75" x14ac:dyDescent="0.25">
      <c r="A500" s="22"/>
    </row>
    <row r="501" spans="1:1" ht="15.75" x14ac:dyDescent="0.25">
      <c r="A501" s="22"/>
    </row>
    <row r="502" spans="1:1" ht="15.75" x14ac:dyDescent="0.25">
      <c r="A502" s="22"/>
    </row>
    <row r="503" spans="1:1" ht="15.75" x14ac:dyDescent="0.25">
      <c r="A503" s="22"/>
    </row>
    <row r="504" spans="1:1" ht="15.75" x14ac:dyDescent="0.25">
      <c r="A504" s="22"/>
    </row>
    <row r="505" spans="1:1" ht="15.75" x14ac:dyDescent="0.25">
      <c r="A505" s="22"/>
    </row>
    <row r="506" spans="1:1" ht="15.75" x14ac:dyDescent="0.25">
      <c r="A506" s="22"/>
    </row>
    <row r="507" spans="1:1" ht="15.75" x14ac:dyDescent="0.25">
      <c r="A507" s="22"/>
    </row>
    <row r="508" spans="1:1" ht="15.75" x14ac:dyDescent="0.25">
      <c r="A508" s="22"/>
    </row>
    <row r="509" spans="1:1" ht="15.75" x14ac:dyDescent="0.25">
      <c r="A509" s="22"/>
    </row>
    <row r="510" spans="1:1" ht="15.75" x14ac:dyDescent="0.25">
      <c r="A510" s="22"/>
    </row>
    <row r="511" spans="1:1" ht="15.75" x14ac:dyDescent="0.25">
      <c r="A511" s="22"/>
    </row>
    <row r="512" spans="1:1" ht="15.75" x14ac:dyDescent="0.25">
      <c r="A512" s="22"/>
    </row>
    <row r="513" spans="1:1" ht="15.75" x14ac:dyDescent="0.25">
      <c r="A513" s="22"/>
    </row>
    <row r="514" spans="1:1" ht="15.75" x14ac:dyDescent="0.25">
      <c r="A514" s="22"/>
    </row>
    <row r="515" spans="1:1" ht="15.75" x14ac:dyDescent="0.25">
      <c r="A515" s="22"/>
    </row>
    <row r="516" spans="1:1" ht="15.75" x14ac:dyDescent="0.25">
      <c r="A516" s="22"/>
    </row>
    <row r="517" spans="1:1" ht="15.75" x14ac:dyDescent="0.25">
      <c r="A517" s="22"/>
    </row>
    <row r="518" spans="1:1" ht="15.75" x14ac:dyDescent="0.25">
      <c r="A518" s="22"/>
    </row>
    <row r="519" spans="1:1" ht="15.75" x14ac:dyDescent="0.25">
      <c r="A519" s="22"/>
    </row>
    <row r="520" spans="1:1" ht="15.75" x14ac:dyDescent="0.25">
      <c r="A520" s="22"/>
    </row>
    <row r="521" spans="1:1" ht="15.75" x14ac:dyDescent="0.25">
      <c r="A521" s="22"/>
    </row>
    <row r="522" spans="1:1" ht="15.75" x14ac:dyDescent="0.25">
      <c r="A522" s="22"/>
    </row>
    <row r="523" spans="1:1" ht="15.75" x14ac:dyDescent="0.25">
      <c r="A523" s="22"/>
    </row>
    <row r="524" spans="1:1" ht="15.75" x14ac:dyDescent="0.25">
      <c r="A524" s="22"/>
    </row>
    <row r="525" spans="1:1" ht="15.75" x14ac:dyDescent="0.25">
      <c r="A525" s="22"/>
    </row>
    <row r="526" spans="1:1" ht="15.75" x14ac:dyDescent="0.25">
      <c r="A526" s="22"/>
    </row>
    <row r="527" spans="1:1" ht="15.75" x14ac:dyDescent="0.25">
      <c r="A527" s="22"/>
    </row>
    <row r="528" spans="1:1" ht="15.75" x14ac:dyDescent="0.25">
      <c r="A528" s="22"/>
    </row>
    <row r="529" spans="1:1" ht="15.75" x14ac:dyDescent="0.25">
      <c r="A529" s="22"/>
    </row>
    <row r="530" spans="1:1" ht="15.75" x14ac:dyDescent="0.25">
      <c r="A530" s="22"/>
    </row>
    <row r="531" spans="1:1" ht="15.75" x14ac:dyDescent="0.25">
      <c r="A531" s="22"/>
    </row>
    <row r="532" spans="1:1" ht="15.75" x14ac:dyDescent="0.25">
      <c r="A532" s="22"/>
    </row>
    <row r="533" spans="1:1" ht="15.75" x14ac:dyDescent="0.25">
      <c r="A533" s="22"/>
    </row>
    <row r="534" spans="1:1" ht="15.75" x14ac:dyDescent="0.25">
      <c r="A534" s="22"/>
    </row>
    <row r="535" spans="1:1" ht="15.75" x14ac:dyDescent="0.25">
      <c r="A535" s="22"/>
    </row>
    <row r="536" spans="1:1" ht="15.75" x14ac:dyDescent="0.25">
      <c r="A536" s="22"/>
    </row>
    <row r="537" spans="1:1" ht="15.75" x14ac:dyDescent="0.25">
      <c r="A537" s="22"/>
    </row>
    <row r="538" spans="1:1" ht="15.75" x14ac:dyDescent="0.25">
      <c r="A538" s="22"/>
    </row>
    <row r="539" spans="1:1" ht="15.75" x14ac:dyDescent="0.25">
      <c r="A539" s="22"/>
    </row>
    <row r="540" spans="1:1" ht="15.75" x14ac:dyDescent="0.25">
      <c r="A540" s="22"/>
    </row>
    <row r="541" spans="1:1" ht="15.75" x14ac:dyDescent="0.25">
      <c r="A541" s="22"/>
    </row>
    <row r="542" spans="1:1" ht="15.75" x14ac:dyDescent="0.25">
      <c r="A542" s="22"/>
    </row>
    <row r="543" spans="1:1" ht="15.75" x14ac:dyDescent="0.25">
      <c r="A543" s="22"/>
    </row>
    <row r="544" spans="1:1" ht="15.75" x14ac:dyDescent="0.25">
      <c r="A544" s="22"/>
    </row>
    <row r="545" spans="1:1" ht="15.75" x14ac:dyDescent="0.25">
      <c r="A545" s="22"/>
    </row>
    <row r="546" spans="1:1" ht="15.75" x14ac:dyDescent="0.25">
      <c r="A546" s="22"/>
    </row>
    <row r="547" spans="1:1" ht="15.75" x14ac:dyDescent="0.25">
      <c r="A547" s="22"/>
    </row>
    <row r="548" spans="1:1" ht="15.75" x14ac:dyDescent="0.25">
      <c r="A548" s="22"/>
    </row>
    <row r="549" spans="1:1" ht="15.75" x14ac:dyDescent="0.25">
      <c r="A549" s="22"/>
    </row>
    <row r="550" spans="1:1" ht="15.75" x14ac:dyDescent="0.25">
      <c r="A550" s="22"/>
    </row>
    <row r="551" spans="1:1" ht="15.75" x14ac:dyDescent="0.25">
      <c r="A551" s="22"/>
    </row>
    <row r="552" spans="1:1" ht="15.75" x14ac:dyDescent="0.25">
      <c r="A552" s="22"/>
    </row>
    <row r="553" spans="1:1" ht="15.75" x14ac:dyDescent="0.25">
      <c r="A553" s="22"/>
    </row>
    <row r="554" spans="1:1" ht="15.75" x14ac:dyDescent="0.25">
      <c r="A554" s="22"/>
    </row>
    <row r="555" spans="1:1" ht="15.75" x14ac:dyDescent="0.25">
      <c r="A555" s="22"/>
    </row>
    <row r="556" spans="1:1" ht="15.75" x14ac:dyDescent="0.25">
      <c r="A556" s="22"/>
    </row>
    <row r="557" spans="1:1" ht="15.75" x14ac:dyDescent="0.25">
      <c r="A557" s="22"/>
    </row>
    <row r="558" spans="1:1" ht="15.75" x14ac:dyDescent="0.25">
      <c r="A558" s="22"/>
    </row>
    <row r="559" spans="1:1" ht="15.75" x14ac:dyDescent="0.25">
      <c r="A559" s="22"/>
    </row>
    <row r="560" spans="1:1" ht="15.75" x14ac:dyDescent="0.25">
      <c r="A560" s="22"/>
    </row>
    <row r="561" spans="1:1" ht="15.75" x14ac:dyDescent="0.25">
      <c r="A561" s="22"/>
    </row>
    <row r="562" spans="1:1" ht="15.75" x14ac:dyDescent="0.25">
      <c r="A562" s="22"/>
    </row>
    <row r="563" spans="1:1" ht="15.75" x14ac:dyDescent="0.25">
      <c r="A563" s="22"/>
    </row>
    <row r="564" spans="1:1" ht="15.75" x14ac:dyDescent="0.25">
      <c r="A564" s="22"/>
    </row>
    <row r="565" spans="1:1" ht="15.75" x14ac:dyDescent="0.25">
      <c r="A565" s="22"/>
    </row>
    <row r="566" spans="1:1" ht="15.75" x14ac:dyDescent="0.25">
      <c r="A566" s="22"/>
    </row>
    <row r="567" spans="1:1" ht="15.75" x14ac:dyDescent="0.25">
      <c r="A567" s="22"/>
    </row>
    <row r="568" spans="1:1" ht="15.75" x14ac:dyDescent="0.25">
      <c r="A568" s="22"/>
    </row>
    <row r="569" spans="1:1" ht="15.75" x14ac:dyDescent="0.25">
      <c r="A569" s="22"/>
    </row>
    <row r="570" spans="1:1" ht="15.75" x14ac:dyDescent="0.25">
      <c r="A570" s="22"/>
    </row>
    <row r="571" spans="1:1" ht="15.75" x14ac:dyDescent="0.25">
      <c r="A571" s="22"/>
    </row>
    <row r="572" spans="1:1" ht="15.75" x14ac:dyDescent="0.25">
      <c r="A572" s="22"/>
    </row>
    <row r="573" spans="1:1" ht="15.75" x14ac:dyDescent="0.25">
      <c r="A573" s="22"/>
    </row>
    <row r="574" spans="1:1" ht="15.75" x14ac:dyDescent="0.25">
      <c r="A574" s="22"/>
    </row>
    <row r="575" spans="1:1" ht="15.75" x14ac:dyDescent="0.25">
      <c r="A575" s="22"/>
    </row>
    <row r="576" spans="1:1" ht="15.75" x14ac:dyDescent="0.25">
      <c r="A576" s="22"/>
    </row>
    <row r="577" spans="1:1" ht="15.75" x14ac:dyDescent="0.25">
      <c r="A577" s="22"/>
    </row>
    <row r="578" spans="1:1" ht="15.75" x14ac:dyDescent="0.25">
      <c r="A578" s="22"/>
    </row>
    <row r="579" spans="1:1" ht="15.75" x14ac:dyDescent="0.25">
      <c r="A579" s="22"/>
    </row>
    <row r="580" spans="1:1" ht="15.75" x14ac:dyDescent="0.25">
      <c r="A580" s="22"/>
    </row>
    <row r="581" spans="1:1" ht="15.75" x14ac:dyDescent="0.25">
      <c r="A581" s="22"/>
    </row>
    <row r="582" spans="1:1" ht="15.75" x14ac:dyDescent="0.25">
      <c r="A582" s="22"/>
    </row>
    <row r="583" spans="1:1" ht="15.75" x14ac:dyDescent="0.25">
      <c r="A583" s="22"/>
    </row>
    <row r="584" spans="1:1" ht="15.75" x14ac:dyDescent="0.25">
      <c r="A584" s="22"/>
    </row>
    <row r="585" spans="1:1" ht="15.75" x14ac:dyDescent="0.25">
      <c r="A585" s="22"/>
    </row>
    <row r="586" spans="1:1" ht="15.75" x14ac:dyDescent="0.25">
      <c r="A586" s="22"/>
    </row>
    <row r="587" spans="1:1" ht="15.75" x14ac:dyDescent="0.25">
      <c r="A587" s="22"/>
    </row>
    <row r="588" spans="1:1" ht="15.75" x14ac:dyDescent="0.25">
      <c r="A588" s="22"/>
    </row>
    <row r="589" spans="1:1" ht="15.75" x14ac:dyDescent="0.25">
      <c r="A589" s="22"/>
    </row>
    <row r="590" spans="1:1" ht="15.75" x14ac:dyDescent="0.25">
      <c r="A590" s="22"/>
    </row>
    <row r="591" spans="1:1" ht="15.75" x14ac:dyDescent="0.25">
      <c r="A591" s="22"/>
    </row>
    <row r="592" spans="1:1" ht="15.75" x14ac:dyDescent="0.25">
      <c r="A592" s="22"/>
    </row>
    <row r="593" spans="1:1" ht="15.75" x14ac:dyDescent="0.25">
      <c r="A593" s="22"/>
    </row>
    <row r="594" spans="1:1" ht="15.75" x14ac:dyDescent="0.25">
      <c r="A594" s="22"/>
    </row>
    <row r="595" spans="1:1" ht="15.75" x14ac:dyDescent="0.25">
      <c r="A595" s="22"/>
    </row>
    <row r="596" spans="1:1" ht="15.75" x14ac:dyDescent="0.25">
      <c r="A596" s="22"/>
    </row>
    <row r="597" spans="1:1" ht="15.75" x14ac:dyDescent="0.25">
      <c r="A597" s="22"/>
    </row>
    <row r="598" spans="1:1" ht="15.75" x14ac:dyDescent="0.25">
      <c r="A598" s="22"/>
    </row>
    <row r="599" spans="1:1" ht="15.75" x14ac:dyDescent="0.25">
      <c r="A599" s="22"/>
    </row>
    <row r="600" spans="1:1" ht="15.75" x14ac:dyDescent="0.25">
      <c r="A600" s="22"/>
    </row>
    <row r="601" spans="1:1" ht="15.75" x14ac:dyDescent="0.25">
      <c r="A601" s="22"/>
    </row>
    <row r="602" spans="1:1" ht="15.75" x14ac:dyDescent="0.25">
      <c r="A602" s="22"/>
    </row>
    <row r="603" spans="1:1" ht="15.75" x14ac:dyDescent="0.25">
      <c r="A603" s="22"/>
    </row>
    <row r="604" spans="1:1" ht="15.75" x14ac:dyDescent="0.25">
      <c r="A604" s="22"/>
    </row>
    <row r="605" spans="1:1" ht="15.75" x14ac:dyDescent="0.25">
      <c r="A605" s="22"/>
    </row>
    <row r="606" spans="1:1" ht="15.75" x14ac:dyDescent="0.25">
      <c r="A606" s="22"/>
    </row>
    <row r="607" spans="1:1" ht="15.75" x14ac:dyDescent="0.25">
      <c r="A607" s="22"/>
    </row>
    <row r="608" spans="1:1" ht="15.75" x14ac:dyDescent="0.25">
      <c r="A608" s="22"/>
    </row>
    <row r="609" spans="1:1" ht="15.75" x14ac:dyDescent="0.25">
      <c r="A609" s="22"/>
    </row>
    <row r="610" spans="1:1" ht="15.75" x14ac:dyDescent="0.25">
      <c r="A610" s="22"/>
    </row>
    <row r="611" spans="1:1" ht="15.75" x14ac:dyDescent="0.25">
      <c r="A611" s="22"/>
    </row>
    <row r="612" spans="1:1" ht="15.75" x14ac:dyDescent="0.25">
      <c r="A612" s="22"/>
    </row>
    <row r="613" spans="1:1" ht="15.75" x14ac:dyDescent="0.25">
      <c r="A613" s="22"/>
    </row>
    <row r="614" spans="1:1" ht="15.75" x14ac:dyDescent="0.25">
      <c r="A614" s="22"/>
    </row>
    <row r="615" spans="1:1" ht="15.75" x14ac:dyDescent="0.25">
      <c r="A615" s="22"/>
    </row>
    <row r="616" spans="1:1" ht="15.75" x14ac:dyDescent="0.25">
      <c r="A616" s="22"/>
    </row>
    <row r="617" spans="1:1" ht="15.75" x14ac:dyDescent="0.25">
      <c r="A617" s="22"/>
    </row>
    <row r="618" spans="1:1" ht="15.75" x14ac:dyDescent="0.25">
      <c r="A618" s="22"/>
    </row>
    <row r="619" spans="1:1" ht="15.75" x14ac:dyDescent="0.25">
      <c r="A619" s="22"/>
    </row>
    <row r="620" spans="1:1" ht="15.75" x14ac:dyDescent="0.25">
      <c r="A620" s="22"/>
    </row>
    <row r="621" spans="1:1" ht="15.75" x14ac:dyDescent="0.25">
      <c r="A621" s="22"/>
    </row>
    <row r="622" spans="1:1" ht="15.75" x14ac:dyDescent="0.25">
      <c r="A622" s="22"/>
    </row>
    <row r="623" spans="1:1" ht="15.75" x14ac:dyDescent="0.25">
      <c r="A623" s="22"/>
    </row>
    <row r="624" spans="1:1" ht="15.75" x14ac:dyDescent="0.25">
      <c r="A624" s="22"/>
    </row>
    <row r="625" spans="1:1" ht="15.75" x14ac:dyDescent="0.25">
      <c r="A625" s="22"/>
    </row>
    <row r="626" spans="1:1" ht="15.75" x14ac:dyDescent="0.25">
      <c r="A626" s="22"/>
    </row>
    <row r="627" spans="1:1" ht="15.75" x14ac:dyDescent="0.25">
      <c r="A627" s="22"/>
    </row>
    <row r="628" spans="1:1" ht="15.75" x14ac:dyDescent="0.25">
      <c r="A628" s="22"/>
    </row>
    <row r="629" spans="1:1" ht="15.75" x14ac:dyDescent="0.25">
      <c r="A629" s="22"/>
    </row>
    <row r="630" spans="1:1" ht="15.75" x14ac:dyDescent="0.25">
      <c r="A630" s="22"/>
    </row>
    <row r="631" spans="1:1" ht="15.75" x14ac:dyDescent="0.25">
      <c r="A631" s="22"/>
    </row>
    <row r="632" spans="1:1" ht="15.75" x14ac:dyDescent="0.25">
      <c r="A632" s="22"/>
    </row>
    <row r="633" spans="1:1" ht="15.75" x14ac:dyDescent="0.25">
      <c r="A633" s="22"/>
    </row>
    <row r="634" spans="1:1" ht="15.75" x14ac:dyDescent="0.25">
      <c r="A634" s="22"/>
    </row>
    <row r="635" spans="1:1" ht="15.75" x14ac:dyDescent="0.25">
      <c r="A635" s="22"/>
    </row>
    <row r="636" spans="1:1" ht="15.75" x14ac:dyDescent="0.25">
      <c r="A636" s="22"/>
    </row>
    <row r="637" spans="1:1" ht="15.75" x14ac:dyDescent="0.25">
      <c r="A637" s="22"/>
    </row>
    <row r="638" spans="1:1" ht="15.75" x14ac:dyDescent="0.25">
      <c r="A638" s="22"/>
    </row>
    <row r="639" spans="1:1" ht="15.75" x14ac:dyDescent="0.25">
      <c r="A639" s="22"/>
    </row>
    <row r="640" spans="1:1" ht="15.75" x14ac:dyDescent="0.25">
      <c r="A640" s="22"/>
    </row>
    <row r="641" spans="1:1" ht="15.75" x14ac:dyDescent="0.25">
      <c r="A641" s="22"/>
    </row>
    <row r="642" spans="1:1" ht="15.75" x14ac:dyDescent="0.25">
      <c r="A642" s="22"/>
    </row>
    <row r="643" spans="1:1" ht="15.75" x14ac:dyDescent="0.25">
      <c r="A643" s="22"/>
    </row>
    <row r="644" spans="1:1" ht="15.75" x14ac:dyDescent="0.25">
      <c r="A644" s="22"/>
    </row>
    <row r="645" spans="1:1" ht="15.75" x14ac:dyDescent="0.25">
      <c r="A645" s="22"/>
    </row>
    <row r="646" spans="1:1" ht="15.75" x14ac:dyDescent="0.25">
      <c r="A646" s="22"/>
    </row>
    <row r="647" spans="1:1" ht="15.75" x14ac:dyDescent="0.25">
      <c r="A647" s="22"/>
    </row>
    <row r="648" spans="1:1" ht="15.75" x14ac:dyDescent="0.25">
      <c r="A648" s="22"/>
    </row>
    <row r="649" spans="1:1" ht="15.75" x14ac:dyDescent="0.25">
      <c r="A649" s="22"/>
    </row>
    <row r="650" spans="1:1" ht="15.75" x14ac:dyDescent="0.25">
      <c r="A650" s="22"/>
    </row>
    <row r="651" spans="1:1" ht="15.75" x14ac:dyDescent="0.25">
      <c r="A651" s="22"/>
    </row>
    <row r="652" spans="1:1" ht="15.75" x14ac:dyDescent="0.25">
      <c r="A652" s="22"/>
    </row>
    <row r="653" spans="1:1" ht="15.75" x14ac:dyDescent="0.25">
      <c r="A653" s="22"/>
    </row>
    <row r="654" spans="1:1" ht="15.75" x14ac:dyDescent="0.25">
      <c r="A654" s="22"/>
    </row>
    <row r="655" spans="1:1" ht="15.75" x14ac:dyDescent="0.25">
      <c r="A655" s="22"/>
    </row>
    <row r="656" spans="1:1" ht="15.75" x14ac:dyDescent="0.25">
      <c r="A656" s="22"/>
    </row>
    <row r="657" spans="1:1" ht="15.75" x14ac:dyDescent="0.25">
      <c r="A657" s="22"/>
    </row>
    <row r="658" spans="1:1" ht="15.75" x14ac:dyDescent="0.25">
      <c r="A658" s="22"/>
    </row>
    <row r="659" spans="1:1" ht="15.75" x14ac:dyDescent="0.25">
      <c r="A659" s="22"/>
    </row>
    <row r="660" spans="1:1" ht="15.75" x14ac:dyDescent="0.25">
      <c r="A660" s="22"/>
    </row>
    <row r="661" spans="1:1" ht="15.75" x14ac:dyDescent="0.25">
      <c r="A661" s="22"/>
    </row>
    <row r="662" spans="1:1" ht="15.75" x14ac:dyDescent="0.25">
      <c r="A662" s="22"/>
    </row>
    <row r="663" spans="1:1" ht="15.75" x14ac:dyDescent="0.25">
      <c r="A663" s="22"/>
    </row>
    <row r="664" spans="1:1" ht="15.75" x14ac:dyDescent="0.25">
      <c r="A664" s="22"/>
    </row>
    <row r="665" spans="1:1" ht="15.75" x14ac:dyDescent="0.25">
      <c r="A665" s="22"/>
    </row>
    <row r="666" spans="1:1" ht="15.75" x14ac:dyDescent="0.25">
      <c r="A666" s="22"/>
    </row>
    <row r="667" spans="1:1" ht="15.75" x14ac:dyDescent="0.25">
      <c r="A667" s="22"/>
    </row>
    <row r="668" spans="1:1" ht="15.75" x14ac:dyDescent="0.25">
      <c r="A668" s="22"/>
    </row>
    <row r="669" spans="1:1" ht="15.75" x14ac:dyDescent="0.25">
      <c r="A669" s="22"/>
    </row>
    <row r="670" spans="1:1" ht="15.75" x14ac:dyDescent="0.25">
      <c r="A670" s="22"/>
    </row>
    <row r="671" spans="1:1" ht="15.75" x14ac:dyDescent="0.25">
      <c r="A671" s="22"/>
    </row>
    <row r="672" spans="1:1" ht="15.75" x14ac:dyDescent="0.25">
      <c r="A672" s="22"/>
    </row>
    <row r="673" spans="1:1" ht="15.75" x14ac:dyDescent="0.25">
      <c r="A673" s="22"/>
    </row>
    <row r="674" spans="1:1" ht="15.75" x14ac:dyDescent="0.25">
      <c r="A674" s="22"/>
    </row>
    <row r="675" spans="1:1" ht="15.75" x14ac:dyDescent="0.25">
      <c r="A675" s="22"/>
    </row>
    <row r="676" spans="1:1" ht="15.75" x14ac:dyDescent="0.25">
      <c r="A676" s="22"/>
    </row>
    <row r="677" spans="1:1" ht="15.75" x14ac:dyDescent="0.25">
      <c r="A677" s="22"/>
    </row>
    <row r="678" spans="1:1" ht="15.75" x14ac:dyDescent="0.25">
      <c r="A678" s="22"/>
    </row>
    <row r="679" spans="1:1" ht="15.75" x14ac:dyDescent="0.25">
      <c r="A679" s="22"/>
    </row>
    <row r="680" spans="1:1" ht="15.75" x14ac:dyDescent="0.25">
      <c r="A680" s="22"/>
    </row>
    <row r="681" spans="1:1" ht="15.75" x14ac:dyDescent="0.25">
      <c r="A681" s="22"/>
    </row>
    <row r="682" spans="1:1" ht="15.75" x14ac:dyDescent="0.25">
      <c r="A682" s="22"/>
    </row>
    <row r="683" spans="1:1" ht="15.75" x14ac:dyDescent="0.25">
      <c r="A683" s="22"/>
    </row>
    <row r="684" spans="1:1" ht="15.75" x14ac:dyDescent="0.25">
      <c r="A684" s="22"/>
    </row>
    <row r="685" spans="1:1" ht="15.75" x14ac:dyDescent="0.25">
      <c r="A685" s="22"/>
    </row>
    <row r="686" spans="1:1" ht="15.75" x14ac:dyDescent="0.25">
      <c r="A686" s="22"/>
    </row>
    <row r="687" spans="1:1" ht="15.75" x14ac:dyDescent="0.25">
      <c r="A687" s="22"/>
    </row>
    <row r="688" spans="1:1" ht="15.75" x14ac:dyDescent="0.25">
      <c r="A688" s="22"/>
    </row>
    <row r="689" spans="1:1" ht="15.75" x14ac:dyDescent="0.25">
      <c r="A689" s="22"/>
    </row>
    <row r="690" spans="1:1" ht="15.75" x14ac:dyDescent="0.25">
      <c r="A690" s="22"/>
    </row>
    <row r="691" spans="1:1" ht="15.75" x14ac:dyDescent="0.25">
      <c r="A691" s="22"/>
    </row>
    <row r="692" spans="1:1" ht="15.75" x14ac:dyDescent="0.25">
      <c r="A692" s="22"/>
    </row>
    <row r="693" spans="1:1" ht="15.75" x14ac:dyDescent="0.25">
      <c r="A693" s="22"/>
    </row>
    <row r="694" spans="1:1" ht="15.75" x14ac:dyDescent="0.25">
      <c r="A694" s="22"/>
    </row>
    <row r="695" spans="1:1" ht="15.75" x14ac:dyDescent="0.25">
      <c r="A695" s="22"/>
    </row>
    <row r="696" spans="1:1" ht="15.75" x14ac:dyDescent="0.25">
      <c r="A696" s="22"/>
    </row>
    <row r="697" spans="1:1" ht="15.75" x14ac:dyDescent="0.25">
      <c r="A697" s="22"/>
    </row>
    <row r="698" spans="1:1" ht="15.75" x14ac:dyDescent="0.25">
      <c r="A698" s="22"/>
    </row>
    <row r="699" spans="1:1" ht="15.75" x14ac:dyDescent="0.25">
      <c r="A699" s="22"/>
    </row>
    <row r="700" spans="1:1" ht="15.75" x14ac:dyDescent="0.25">
      <c r="A700" s="22"/>
    </row>
    <row r="701" spans="1:1" ht="15.75" x14ac:dyDescent="0.25">
      <c r="A701" s="22"/>
    </row>
    <row r="702" spans="1:1" ht="15.75" x14ac:dyDescent="0.25">
      <c r="A702" s="22"/>
    </row>
    <row r="703" spans="1:1" ht="15.75" x14ac:dyDescent="0.25">
      <c r="A703" s="22"/>
    </row>
    <row r="704" spans="1:1" ht="15.75" x14ac:dyDescent="0.25">
      <c r="A704" s="22"/>
    </row>
    <row r="705" spans="1:1" ht="15.75" x14ac:dyDescent="0.25">
      <c r="A705" s="22"/>
    </row>
    <row r="706" spans="1:1" ht="15.75" x14ac:dyDescent="0.25">
      <c r="A706" s="22"/>
    </row>
    <row r="707" spans="1:1" ht="15.75" x14ac:dyDescent="0.25">
      <c r="A707" s="22"/>
    </row>
    <row r="708" spans="1:1" ht="15.75" x14ac:dyDescent="0.25">
      <c r="A708" s="22"/>
    </row>
    <row r="709" spans="1:1" ht="15.75" x14ac:dyDescent="0.25">
      <c r="A709" s="22"/>
    </row>
    <row r="710" spans="1:1" ht="15.75" x14ac:dyDescent="0.25">
      <c r="A710" s="22"/>
    </row>
    <row r="711" spans="1:1" ht="15.75" x14ac:dyDescent="0.25">
      <c r="A711" s="22"/>
    </row>
    <row r="712" spans="1:1" ht="15.75" x14ac:dyDescent="0.25">
      <c r="A712" s="22"/>
    </row>
    <row r="713" spans="1:1" ht="15.75" x14ac:dyDescent="0.25">
      <c r="A713" s="22"/>
    </row>
    <row r="714" spans="1:1" ht="15.75" x14ac:dyDescent="0.25">
      <c r="A714" s="22"/>
    </row>
    <row r="715" spans="1:1" ht="15.75" x14ac:dyDescent="0.25">
      <c r="A715" s="22"/>
    </row>
    <row r="716" spans="1:1" ht="15.75" x14ac:dyDescent="0.25">
      <c r="A716" s="22"/>
    </row>
    <row r="717" spans="1:1" ht="15.75" x14ac:dyDescent="0.25">
      <c r="A717" s="22"/>
    </row>
    <row r="718" spans="1:1" ht="15.75" x14ac:dyDescent="0.25">
      <c r="A718" s="22"/>
    </row>
    <row r="719" spans="1:1" ht="15.75" x14ac:dyDescent="0.25">
      <c r="A719" s="22"/>
    </row>
    <row r="720" spans="1:1" ht="15.75" x14ac:dyDescent="0.25">
      <c r="A720" s="22"/>
    </row>
    <row r="721" spans="1:1" ht="15.75" x14ac:dyDescent="0.25">
      <c r="A721" s="22"/>
    </row>
    <row r="722" spans="1:1" ht="15.75" x14ac:dyDescent="0.25">
      <c r="A722" s="22"/>
    </row>
    <row r="723" spans="1:1" ht="15.75" x14ac:dyDescent="0.25">
      <c r="A723" s="22"/>
    </row>
    <row r="724" spans="1:1" ht="15.75" x14ac:dyDescent="0.25">
      <c r="A724" s="22"/>
    </row>
    <row r="725" spans="1:1" ht="15.75" x14ac:dyDescent="0.25">
      <c r="A725" s="22"/>
    </row>
    <row r="726" spans="1:1" ht="15.75" x14ac:dyDescent="0.25">
      <c r="A726" s="22"/>
    </row>
    <row r="727" spans="1:1" ht="15.75" x14ac:dyDescent="0.25">
      <c r="A727" s="22"/>
    </row>
    <row r="728" spans="1:1" ht="15.75" x14ac:dyDescent="0.25">
      <c r="A728" s="22"/>
    </row>
    <row r="729" spans="1:1" ht="15.75" x14ac:dyDescent="0.25">
      <c r="A729" s="22"/>
    </row>
    <row r="730" spans="1:1" ht="15.75" x14ac:dyDescent="0.25">
      <c r="A730" s="22"/>
    </row>
    <row r="731" spans="1:1" ht="15.75" x14ac:dyDescent="0.25">
      <c r="A731" s="22"/>
    </row>
    <row r="732" spans="1:1" ht="15.75" x14ac:dyDescent="0.25">
      <c r="A732" s="22"/>
    </row>
    <row r="733" spans="1:1" ht="15.75" x14ac:dyDescent="0.25">
      <c r="A733" s="22"/>
    </row>
    <row r="734" spans="1:1" ht="15.75" x14ac:dyDescent="0.25">
      <c r="A734" s="22"/>
    </row>
    <row r="735" spans="1:1" ht="15.75" x14ac:dyDescent="0.25">
      <c r="A735" s="22"/>
    </row>
    <row r="736" spans="1:1" ht="15.75" x14ac:dyDescent="0.25">
      <c r="A736" s="22"/>
    </row>
    <row r="737" spans="1:1" ht="15.75" x14ac:dyDescent="0.25">
      <c r="A737" s="22"/>
    </row>
    <row r="738" spans="1:1" ht="15.75" x14ac:dyDescent="0.25">
      <c r="A738" s="22"/>
    </row>
    <row r="739" spans="1:1" ht="15.75" x14ac:dyDescent="0.25">
      <c r="A739" s="22"/>
    </row>
    <row r="740" spans="1:1" ht="15.75" x14ac:dyDescent="0.25">
      <c r="A740" s="22"/>
    </row>
    <row r="741" spans="1:1" ht="15.75" x14ac:dyDescent="0.25">
      <c r="A741" s="22"/>
    </row>
    <row r="742" spans="1:1" ht="15.75" x14ac:dyDescent="0.25">
      <c r="A742" s="22"/>
    </row>
    <row r="743" spans="1:1" ht="15.75" x14ac:dyDescent="0.25">
      <c r="A743" s="22"/>
    </row>
    <row r="744" spans="1:1" ht="15.75" x14ac:dyDescent="0.25">
      <c r="A744" s="22"/>
    </row>
    <row r="745" spans="1:1" ht="15.75" x14ac:dyDescent="0.25">
      <c r="A745" s="22"/>
    </row>
    <row r="746" spans="1:1" ht="15.75" x14ac:dyDescent="0.25">
      <c r="A746" s="22"/>
    </row>
    <row r="747" spans="1:1" ht="15.75" x14ac:dyDescent="0.25">
      <c r="A747" s="22"/>
    </row>
    <row r="748" spans="1:1" ht="15.75" x14ac:dyDescent="0.25">
      <c r="A748" s="22"/>
    </row>
    <row r="749" spans="1:1" ht="15.75" x14ac:dyDescent="0.25">
      <c r="A749" s="22"/>
    </row>
    <row r="750" spans="1:1" ht="15.75" x14ac:dyDescent="0.25">
      <c r="A750" s="22"/>
    </row>
    <row r="751" spans="1:1" ht="15.75" x14ac:dyDescent="0.25">
      <c r="A751" s="22"/>
    </row>
    <row r="752" spans="1:1" ht="15.75" x14ac:dyDescent="0.25">
      <c r="A752" s="20"/>
    </row>
    <row r="753" spans="1:1" ht="15.75" x14ac:dyDescent="0.25">
      <c r="A753" s="20"/>
    </row>
    <row r="754" spans="1:1" ht="15.75" x14ac:dyDescent="0.25">
      <c r="A754" s="20"/>
    </row>
    <row r="755" spans="1:1" ht="15.75" x14ac:dyDescent="0.25">
      <c r="A755" s="20"/>
    </row>
    <row r="756" spans="1:1" ht="15.75" x14ac:dyDescent="0.25">
      <c r="A756" s="20"/>
    </row>
    <row r="757" spans="1:1" ht="15.75" x14ac:dyDescent="0.25">
      <c r="A757" s="20"/>
    </row>
    <row r="758" spans="1:1" ht="15.75" x14ac:dyDescent="0.25">
      <c r="A758" s="20"/>
    </row>
    <row r="759" spans="1:1" ht="15.75" x14ac:dyDescent="0.25">
      <c r="A759" s="20"/>
    </row>
    <row r="760" spans="1:1" ht="15.75" x14ac:dyDescent="0.25">
      <c r="A760" s="20"/>
    </row>
    <row r="761" spans="1:1" ht="15.75" x14ac:dyDescent="0.25">
      <c r="A761" s="20"/>
    </row>
    <row r="762" spans="1:1" ht="15.75" x14ac:dyDescent="0.25">
      <c r="A762" s="20"/>
    </row>
    <row r="763" spans="1:1" ht="15.75" x14ac:dyDescent="0.25">
      <c r="A763" s="20"/>
    </row>
    <row r="764" spans="1:1" ht="15.75" x14ac:dyDescent="0.25">
      <c r="A764" s="20"/>
    </row>
    <row r="765" spans="1:1" ht="15.75" x14ac:dyDescent="0.25">
      <c r="A765" s="20"/>
    </row>
    <row r="766" spans="1:1" ht="15.75" x14ac:dyDescent="0.25">
      <c r="A766" s="20"/>
    </row>
    <row r="767" spans="1:1" ht="15.75" x14ac:dyDescent="0.25">
      <c r="A767" s="20"/>
    </row>
    <row r="768" spans="1:1" ht="15.75" x14ac:dyDescent="0.25">
      <c r="A768" s="20"/>
    </row>
    <row r="769" spans="1:1" ht="15.75" x14ac:dyDescent="0.25">
      <c r="A769" s="20"/>
    </row>
    <row r="770" spans="1:1" ht="15.75" x14ac:dyDescent="0.25">
      <c r="A770" s="20"/>
    </row>
    <row r="771" spans="1:1" ht="15.75" x14ac:dyDescent="0.25">
      <c r="A771" s="20"/>
    </row>
    <row r="772" spans="1:1" ht="15.75" x14ac:dyDescent="0.25">
      <c r="A772" s="20"/>
    </row>
    <row r="773" spans="1:1" ht="15.75" x14ac:dyDescent="0.25">
      <c r="A773" s="20"/>
    </row>
    <row r="774" spans="1:1" ht="15.75" x14ac:dyDescent="0.25">
      <c r="A774" s="20"/>
    </row>
    <row r="775" spans="1:1" ht="15.75" x14ac:dyDescent="0.25">
      <c r="A775" s="20"/>
    </row>
    <row r="776" spans="1:1" ht="15.75" x14ac:dyDescent="0.25">
      <c r="A776" s="20"/>
    </row>
    <row r="777" spans="1:1" ht="15.75" x14ac:dyDescent="0.25">
      <c r="A777" s="20"/>
    </row>
    <row r="778" spans="1:1" ht="15.75" x14ac:dyDescent="0.25">
      <c r="A778" s="20"/>
    </row>
    <row r="779" spans="1:1" ht="15.75" x14ac:dyDescent="0.25">
      <c r="A779" s="20"/>
    </row>
    <row r="780" spans="1:1" ht="15.75" x14ac:dyDescent="0.25">
      <c r="A780" s="20"/>
    </row>
    <row r="781" spans="1:1" ht="15.75" x14ac:dyDescent="0.25">
      <c r="A781" s="20"/>
    </row>
    <row r="782" spans="1:1" ht="15.75" x14ac:dyDescent="0.25">
      <c r="A782" s="20"/>
    </row>
    <row r="783" spans="1:1" ht="15.75" x14ac:dyDescent="0.25">
      <c r="A783" s="20"/>
    </row>
    <row r="784" spans="1:1" ht="15.75" x14ac:dyDescent="0.25">
      <c r="A784" s="20"/>
    </row>
    <row r="785" spans="1:1" ht="15.75" x14ac:dyDescent="0.25">
      <c r="A785" s="20"/>
    </row>
    <row r="786" spans="1:1" ht="15.75" x14ac:dyDescent="0.25">
      <c r="A786" s="20"/>
    </row>
    <row r="787" spans="1:1" ht="15.75" x14ac:dyDescent="0.25">
      <c r="A787" s="20"/>
    </row>
    <row r="788" spans="1:1" ht="15.75" x14ac:dyDescent="0.25">
      <c r="A788" s="20"/>
    </row>
    <row r="789" spans="1:1" ht="15.75" x14ac:dyDescent="0.25">
      <c r="A789" s="20"/>
    </row>
    <row r="790" spans="1:1" ht="15.75" x14ac:dyDescent="0.25">
      <c r="A790" s="20"/>
    </row>
    <row r="791" spans="1:1" ht="15.75" x14ac:dyDescent="0.25">
      <c r="A791" s="20"/>
    </row>
    <row r="792" spans="1:1" ht="15.75" x14ac:dyDescent="0.25">
      <c r="A792" s="20"/>
    </row>
    <row r="793" spans="1:1" ht="15.75" x14ac:dyDescent="0.25">
      <c r="A793" s="20"/>
    </row>
    <row r="794" spans="1:1" ht="15.75" x14ac:dyDescent="0.25">
      <c r="A794" s="20"/>
    </row>
    <row r="795" spans="1:1" ht="15.75" x14ac:dyDescent="0.25">
      <c r="A795" s="20"/>
    </row>
    <row r="796" spans="1:1" ht="15.75" x14ac:dyDescent="0.25">
      <c r="A796" s="20"/>
    </row>
    <row r="797" spans="1:1" ht="15.75" x14ac:dyDescent="0.25">
      <c r="A797" s="20"/>
    </row>
    <row r="798" spans="1:1" ht="15.75" x14ac:dyDescent="0.25">
      <c r="A798" s="20"/>
    </row>
    <row r="799" spans="1:1" ht="15.75" x14ac:dyDescent="0.25">
      <c r="A799" s="20"/>
    </row>
    <row r="800" spans="1:1" ht="15.75" x14ac:dyDescent="0.25">
      <c r="A800" s="20"/>
    </row>
    <row r="801" spans="1:1" ht="15.75" x14ac:dyDescent="0.25">
      <c r="A801" s="20"/>
    </row>
    <row r="802" spans="1:1" ht="15.75" x14ac:dyDescent="0.25">
      <c r="A802" s="20"/>
    </row>
    <row r="803" spans="1:1" ht="15.75" x14ac:dyDescent="0.25">
      <c r="A803" s="20"/>
    </row>
    <row r="804" spans="1:1" ht="15.75" x14ac:dyDescent="0.25">
      <c r="A804" s="20"/>
    </row>
    <row r="805" spans="1:1" ht="15.75" x14ac:dyDescent="0.25">
      <c r="A805" s="20"/>
    </row>
    <row r="806" spans="1:1" ht="15.75" x14ac:dyDescent="0.25">
      <c r="A806" s="20"/>
    </row>
    <row r="807" spans="1:1" ht="15.75" x14ac:dyDescent="0.25">
      <c r="A807" s="20"/>
    </row>
    <row r="808" spans="1:1" ht="15.75" x14ac:dyDescent="0.25">
      <c r="A808" s="20"/>
    </row>
    <row r="809" spans="1:1" ht="15.75" x14ac:dyDescent="0.25">
      <c r="A809" s="20"/>
    </row>
    <row r="810" spans="1:1" ht="15.75" x14ac:dyDescent="0.25">
      <c r="A810" s="20"/>
    </row>
    <row r="811" spans="1:1" ht="15.75" x14ac:dyDescent="0.25">
      <c r="A811" s="20"/>
    </row>
    <row r="812" spans="1:1" ht="15.75" x14ac:dyDescent="0.25">
      <c r="A812" s="20"/>
    </row>
    <row r="813" spans="1:1" ht="15.75" x14ac:dyDescent="0.25">
      <c r="A813" s="20"/>
    </row>
    <row r="814" spans="1:1" ht="15.75" x14ac:dyDescent="0.25">
      <c r="A814" s="20"/>
    </row>
    <row r="815" spans="1:1" ht="15.75" x14ac:dyDescent="0.25">
      <c r="A815" s="20"/>
    </row>
    <row r="816" spans="1:1" ht="15.75" x14ac:dyDescent="0.25">
      <c r="A816" s="20"/>
    </row>
    <row r="817" spans="1:1" ht="15.75" x14ac:dyDescent="0.25">
      <c r="A817" s="20"/>
    </row>
    <row r="818" spans="1:1" ht="15.75" x14ac:dyDescent="0.25">
      <c r="A818" s="20"/>
    </row>
    <row r="819" spans="1:1" ht="15.75" x14ac:dyDescent="0.25">
      <c r="A819" s="20"/>
    </row>
    <row r="820" spans="1:1" ht="15.75" x14ac:dyDescent="0.25">
      <c r="A820" s="20"/>
    </row>
    <row r="821" spans="1:1" ht="15.75" x14ac:dyDescent="0.25">
      <c r="A821" s="20"/>
    </row>
    <row r="822" spans="1:1" ht="15.75" x14ac:dyDescent="0.25">
      <c r="A822" s="20"/>
    </row>
    <row r="823" spans="1:1" ht="15.75" x14ac:dyDescent="0.25">
      <c r="A823" s="20"/>
    </row>
    <row r="824" spans="1:1" ht="15.75" x14ac:dyDescent="0.25">
      <c r="A824" s="20"/>
    </row>
    <row r="825" spans="1:1" ht="15.75" x14ac:dyDescent="0.25">
      <c r="A825" s="20"/>
    </row>
    <row r="826" spans="1:1" ht="15.75" x14ac:dyDescent="0.25">
      <c r="A826" s="20"/>
    </row>
    <row r="827" spans="1:1" ht="15.75" x14ac:dyDescent="0.25">
      <c r="A827" s="20"/>
    </row>
    <row r="828" spans="1:1" ht="15.75" x14ac:dyDescent="0.25">
      <c r="A828" s="20"/>
    </row>
    <row r="829" spans="1:1" ht="15.75" x14ac:dyDescent="0.25">
      <c r="A829" s="20"/>
    </row>
    <row r="830" spans="1:1" ht="15.75" x14ac:dyDescent="0.25">
      <c r="A830" s="20"/>
    </row>
    <row r="831" spans="1:1" ht="15.75" x14ac:dyDescent="0.25">
      <c r="A831" s="20"/>
    </row>
    <row r="832" spans="1:1" ht="15.75" x14ac:dyDescent="0.25">
      <c r="A832" s="20"/>
    </row>
    <row r="833" spans="1:1" ht="15.75" x14ac:dyDescent="0.25">
      <c r="A833" s="20"/>
    </row>
    <row r="834" spans="1:1" ht="15.75" x14ac:dyDescent="0.25">
      <c r="A834" s="20"/>
    </row>
    <row r="835" spans="1:1" ht="15.75" x14ac:dyDescent="0.25">
      <c r="A835" s="20"/>
    </row>
    <row r="836" spans="1:1" ht="15.75" x14ac:dyDescent="0.25">
      <c r="A836" s="20"/>
    </row>
    <row r="837" spans="1:1" ht="15.75" x14ac:dyDescent="0.25">
      <c r="A837" s="20"/>
    </row>
    <row r="838" spans="1:1" ht="15.75" x14ac:dyDescent="0.25">
      <c r="A838" s="20"/>
    </row>
    <row r="839" spans="1:1" ht="15.75" x14ac:dyDescent="0.25">
      <c r="A839" s="20"/>
    </row>
    <row r="840" spans="1:1" ht="15.75" x14ac:dyDescent="0.25">
      <c r="A840" s="20"/>
    </row>
    <row r="841" spans="1:1" ht="15.75" x14ac:dyDescent="0.25">
      <c r="A841" s="20"/>
    </row>
    <row r="842" spans="1:1" ht="15.75" x14ac:dyDescent="0.25">
      <c r="A842" s="20"/>
    </row>
    <row r="843" spans="1:1" ht="15.75" x14ac:dyDescent="0.25">
      <c r="A843" s="20"/>
    </row>
    <row r="844" spans="1:1" ht="15.75" x14ac:dyDescent="0.25">
      <c r="A844" s="20"/>
    </row>
    <row r="845" spans="1:1" ht="15.75" x14ac:dyDescent="0.25">
      <c r="A845" s="20"/>
    </row>
    <row r="846" spans="1:1" ht="15.75" x14ac:dyDescent="0.25">
      <c r="A846" s="20"/>
    </row>
    <row r="847" spans="1:1" ht="15.75" x14ac:dyDescent="0.25">
      <c r="A847" s="20"/>
    </row>
    <row r="848" spans="1:1" ht="15.75" x14ac:dyDescent="0.25">
      <c r="A848" s="20"/>
    </row>
    <row r="849" spans="1:1" ht="15.75" x14ac:dyDescent="0.25">
      <c r="A849" s="20"/>
    </row>
    <row r="850" spans="1:1" ht="15.75" x14ac:dyDescent="0.25">
      <c r="A850" s="20"/>
    </row>
    <row r="851" spans="1:1" ht="15.75" x14ac:dyDescent="0.25">
      <c r="A851" s="20"/>
    </row>
    <row r="852" spans="1:1" ht="15.75" x14ac:dyDescent="0.25">
      <c r="A852" s="20"/>
    </row>
    <row r="853" spans="1:1" ht="15.75" x14ac:dyDescent="0.25">
      <c r="A853" s="20"/>
    </row>
    <row r="854" spans="1:1" ht="15.75" x14ac:dyDescent="0.25">
      <c r="A854" s="20"/>
    </row>
    <row r="855" spans="1:1" ht="15.75" x14ac:dyDescent="0.25">
      <c r="A855" s="20"/>
    </row>
    <row r="856" spans="1:1" ht="15.75" x14ac:dyDescent="0.25">
      <c r="A856" s="20"/>
    </row>
    <row r="857" spans="1:1" ht="15.75" x14ac:dyDescent="0.25">
      <c r="A857" s="20"/>
    </row>
    <row r="858" spans="1:1" ht="15.75" x14ac:dyDescent="0.25">
      <c r="A858" s="20"/>
    </row>
    <row r="859" spans="1:1" ht="15.75" x14ac:dyDescent="0.25">
      <c r="A859" s="20"/>
    </row>
    <row r="860" spans="1:1" ht="15.75" x14ac:dyDescent="0.25">
      <c r="A860" s="20"/>
    </row>
    <row r="861" spans="1:1" ht="15.75" x14ac:dyDescent="0.25">
      <c r="A861" s="20"/>
    </row>
    <row r="862" spans="1:1" ht="15.75" x14ac:dyDescent="0.25">
      <c r="A862" s="20"/>
    </row>
    <row r="863" spans="1:1" ht="15.75" x14ac:dyDescent="0.25">
      <c r="A863" s="20"/>
    </row>
    <row r="864" spans="1:1" ht="15.75" x14ac:dyDescent="0.25">
      <c r="A864" s="20"/>
    </row>
    <row r="865" spans="1:1" ht="15.75" x14ac:dyDescent="0.25">
      <c r="A865" s="20"/>
    </row>
    <row r="866" spans="1:1" ht="15.75" x14ac:dyDescent="0.25">
      <c r="A866" s="20"/>
    </row>
    <row r="867" spans="1:1" ht="15.75" x14ac:dyDescent="0.25">
      <c r="A867" s="20"/>
    </row>
    <row r="868" spans="1:1" ht="15.75" x14ac:dyDescent="0.25">
      <c r="A868" s="20"/>
    </row>
    <row r="869" spans="1:1" ht="15.75" x14ac:dyDescent="0.25">
      <c r="A869" s="20"/>
    </row>
    <row r="870" spans="1:1" ht="15.75" x14ac:dyDescent="0.25">
      <c r="A870" s="20"/>
    </row>
    <row r="871" spans="1:1" ht="15.75" x14ac:dyDescent="0.25">
      <c r="A871" s="20"/>
    </row>
    <row r="872" spans="1:1" ht="15.75" x14ac:dyDescent="0.25">
      <c r="A872" s="20"/>
    </row>
    <row r="873" spans="1:1" ht="15.75" x14ac:dyDescent="0.25">
      <c r="A873" s="20"/>
    </row>
    <row r="874" spans="1:1" ht="15.75" x14ac:dyDescent="0.25">
      <c r="A874" s="20"/>
    </row>
    <row r="875" spans="1:1" ht="15.75" x14ac:dyDescent="0.25">
      <c r="A875" s="20"/>
    </row>
    <row r="876" spans="1:1" ht="15.75" x14ac:dyDescent="0.25">
      <c r="A876" s="20"/>
    </row>
    <row r="877" spans="1:1" ht="15.75" x14ac:dyDescent="0.25">
      <c r="A877" s="20"/>
    </row>
    <row r="878" spans="1:1" ht="15.75" x14ac:dyDescent="0.25">
      <c r="A878" s="20"/>
    </row>
    <row r="879" spans="1:1" ht="15.75" x14ac:dyDescent="0.25">
      <c r="A879" s="20"/>
    </row>
    <row r="880" spans="1:1" ht="15.75" x14ac:dyDescent="0.25">
      <c r="A880" s="20"/>
    </row>
    <row r="881" spans="1:1" ht="15.75" x14ac:dyDescent="0.25">
      <c r="A881" s="20"/>
    </row>
    <row r="882" spans="1:1" ht="15.75" x14ac:dyDescent="0.25">
      <c r="A882" s="20"/>
    </row>
    <row r="883" spans="1:1" ht="15.75" x14ac:dyDescent="0.25">
      <c r="A883" s="20"/>
    </row>
    <row r="884" spans="1:1" ht="15.75" x14ac:dyDescent="0.25">
      <c r="A884" s="20"/>
    </row>
    <row r="885" spans="1:1" ht="15.75" x14ac:dyDescent="0.25">
      <c r="A885" s="20"/>
    </row>
    <row r="886" spans="1:1" ht="15.75" x14ac:dyDescent="0.25">
      <c r="A886" s="20"/>
    </row>
    <row r="887" spans="1:1" ht="15.75" x14ac:dyDescent="0.25">
      <c r="A887" s="20"/>
    </row>
    <row r="888" spans="1:1" ht="15.75" x14ac:dyDescent="0.25">
      <c r="A888" s="20"/>
    </row>
    <row r="889" spans="1:1" ht="15.75" x14ac:dyDescent="0.25">
      <c r="A889" s="20"/>
    </row>
    <row r="890" spans="1:1" ht="15.75" x14ac:dyDescent="0.25">
      <c r="A890" s="20"/>
    </row>
    <row r="891" spans="1:1" ht="15.75" x14ac:dyDescent="0.25">
      <c r="A891" s="20"/>
    </row>
    <row r="892" spans="1:1" ht="15.75" x14ac:dyDescent="0.25">
      <c r="A892" s="20"/>
    </row>
    <row r="893" spans="1:1" ht="15.75" x14ac:dyDescent="0.25">
      <c r="A893" s="20"/>
    </row>
    <row r="894" spans="1:1" ht="15.75" x14ac:dyDescent="0.25">
      <c r="A894" s="20"/>
    </row>
    <row r="895" spans="1:1" ht="15.75" x14ac:dyDescent="0.25">
      <c r="A895" s="20"/>
    </row>
    <row r="896" spans="1:1" ht="15.75" x14ac:dyDescent="0.25">
      <c r="A896" s="20"/>
    </row>
    <row r="897" spans="1:1" ht="15.75" x14ac:dyDescent="0.25">
      <c r="A897" s="20"/>
    </row>
    <row r="898" spans="1:1" ht="15.75" x14ac:dyDescent="0.25">
      <c r="A898" s="20"/>
    </row>
    <row r="899" spans="1:1" ht="15.75" x14ac:dyDescent="0.25">
      <c r="A899" s="20"/>
    </row>
    <row r="900" spans="1:1" ht="15.75" x14ac:dyDescent="0.25">
      <c r="A900" s="20"/>
    </row>
    <row r="901" spans="1:1" ht="15.75" x14ac:dyDescent="0.25">
      <c r="A901" s="20"/>
    </row>
    <row r="902" spans="1:1" ht="15.75" x14ac:dyDescent="0.25">
      <c r="A902" s="20"/>
    </row>
    <row r="903" spans="1:1" ht="15.75" x14ac:dyDescent="0.25">
      <c r="A903" s="20"/>
    </row>
    <row r="904" spans="1:1" ht="15.75" x14ac:dyDescent="0.25">
      <c r="A904" s="20"/>
    </row>
    <row r="905" spans="1:1" ht="15.75" x14ac:dyDescent="0.25">
      <c r="A905" s="20"/>
    </row>
    <row r="906" spans="1:1" ht="15.75" x14ac:dyDescent="0.25">
      <c r="A906" s="20"/>
    </row>
    <row r="907" spans="1:1" ht="15.75" x14ac:dyDescent="0.25">
      <c r="A907" s="20"/>
    </row>
    <row r="908" spans="1:1" ht="15.75" x14ac:dyDescent="0.25">
      <c r="A908" s="20"/>
    </row>
    <row r="909" spans="1:1" ht="15.75" x14ac:dyDescent="0.25">
      <c r="A909" s="20"/>
    </row>
    <row r="910" spans="1:1" ht="15.75" x14ac:dyDescent="0.25">
      <c r="A910" s="20"/>
    </row>
    <row r="911" spans="1:1" ht="15.75" x14ac:dyDescent="0.25">
      <c r="A911" s="20"/>
    </row>
    <row r="912" spans="1:1" ht="15.75" x14ac:dyDescent="0.25">
      <c r="A912" s="20"/>
    </row>
    <row r="913" spans="1:1" ht="15.75" x14ac:dyDescent="0.25">
      <c r="A913" s="20"/>
    </row>
    <row r="914" spans="1:1" ht="15.75" x14ac:dyDescent="0.25">
      <c r="A914" s="20"/>
    </row>
    <row r="915" spans="1:1" ht="15.75" x14ac:dyDescent="0.25">
      <c r="A915" s="20"/>
    </row>
    <row r="916" spans="1:1" ht="15.75" x14ac:dyDescent="0.25">
      <c r="A916" s="20"/>
    </row>
    <row r="917" spans="1:1" ht="15.75" x14ac:dyDescent="0.25">
      <c r="A917" s="20"/>
    </row>
    <row r="918" spans="1:1" ht="15.75" x14ac:dyDescent="0.25">
      <c r="A918" s="20"/>
    </row>
    <row r="919" spans="1:1" ht="15.75" x14ac:dyDescent="0.25">
      <c r="A919" s="20"/>
    </row>
    <row r="920" spans="1:1" ht="15.75" x14ac:dyDescent="0.25">
      <c r="A920" s="20"/>
    </row>
    <row r="921" spans="1:1" ht="15.75" x14ac:dyDescent="0.25">
      <c r="A921" s="20"/>
    </row>
    <row r="922" spans="1:1" ht="15.75" x14ac:dyDescent="0.25">
      <c r="A922" s="20"/>
    </row>
    <row r="923" spans="1:1" ht="15.75" x14ac:dyDescent="0.25">
      <c r="A923" s="20"/>
    </row>
    <row r="924" spans="1:1" ht="15.75" x14ac:dyDescent="0.25">
      <c r="A924" s="20"/>
    </row>
    <row r="925" spans="1:1" ht="15.75" x14ac:dyDescent="0.25">
      <c r="A925" s="20"/>
    </row>
    <row r="926" spans="1:1" ht="15.75" x14ac:dyDescent="0.25">
      <c r="A926" s="20"/>
    </row>
    <row r="927" spans="1:1" ht="15.75" x14ac:dyDescent="0.25">
      <c r="A927" s="20"/>
    </row>
    <row r="928" spans="1:1" ht="15.75" x14ac:dyDescent="0.25">
      <c r="A928" s="20"/>
    </row>
    <row r="929" spans="1:1" ht="15.75" x14ac:dyDescent="0.25">
      <c r="A929" s="20"/>
    </row>
    <row r="930" spans="1:1" ht="15.75" x14ac:dyDescent="0.25">
      <c r="A930" s="20"/>
    </row>
    <row r="931" spans="1:1" ht="15.75" x14ac:dyDescent="0.25">
      <c r="A931" s="20"/>
    </row>
    <row r="932" spans="1:1" ht="15.75" x14ac:dyDescent="0.25">
      <c r="A932" s="20"/>
    </row>
    <row r="933" spans="1:1" ht="15.75" x14ac:dyDescent="0.25">
      <c r="A933" s="20"/>
    </row>
    <row r="934" spans="1:1" ht="15.75" x14ac:dyDescent="0.25">
      <c r="A934" s="20"/>
    </row>
    <row r="935" spans="1:1" ht="15.75" x14ac:dyDescent="0.25">
      <c r="A935" s="20"/>
    </row>
    <row r="936" spans="1:1" ht="15.75" x14ac:dyDescent="0.25">
      <c r="A936" s="20"/>
    </row>
    <row r="937" spans="1:1" ht="15.75" x14ac:dyDescent="0.25">
      <c r="A937" s="20"/>
    </row>
    <row r="938" spans="1:1" ht="15.75" x14ac:dyDescent="0.25">
      <c r="A938" s="20"/>
    </row>
    <row r="939" spans="1:1" ht="15.75" x14ac:dyDescent="0.25">
      <c r="A939" s="20"/>
    </row>
    <row r="940" spans="1:1" ht="15.75" x14ac:dyDescent="0.25">
      <c r="A940" s="20"/>
    </row>
    <row r="941" spans="1:1" ht="15.75" x14ac:dyDescent="0.25">
      <c r="A941" s="20"/>
    </row>
    <row r="942" spans="1:1" ht="15.75" x14ac:dyDescent="0.25">
      <c r="A942" s="20"/>
    </row>
    <row r="943" spans="1:1" ht="15.75" x14ac:dyDescent="0.25">
      <c r="A943" s="20"/>
    </row>
    <row r="944" spans="1:1" ht="15.75" x14ac:dyDescent="0.25">
      <c r="A944" s="20"/>
    </row>
    <row r="945" spans="1:1" ht="15.75" x14ac:dyDescent="0.25">
      <c r="A945" s="20"/>
    </row>
    <row r="946" spans="1:1" ht="15.75" x14ac:dyDescent="0.25">
      <c r="A946" s="20"/>
    </row>
    <row r="947" spans="1:1" ht="15.75" x14ac:dyDescent="0.25">
      <c r="A947" s="20"/>
    </row>
    <row r="948" spans="1:1" ht="15.75" x14ac:dyDescent="0.25">
      <c r="A948" s="20"/>
    </row>
    <row r="949" spans="1:1" ht="15.75" x14ac:dyDescent="0.25">
      <c r="A949" s="20"/>
    </row>
    <row r="950" spans="1:1" ht="15.75" x14ac:dyDescent="0.25">
      <c r="A950" s="20"/>
    </row>
    <row r="951" spans="1:1" ht="15.75" x14ac:dyDescent="0.25">
      <c r="A951" s="20"/>
    </row>
    <row r="952" spans="1:1" ht="15.75" x14ac:dyDescent="0.25">
      <c r="A952" s="20"/>
    </row>
    <row r="953" spans="1:1" ht="15.75" x14ac:dyDescent="0.25">
      <c r="A953" s="20"/>
    </row>
    <row r="954" spans="1:1" ht="15.75" x14ac:dyDescent="0.25">
      <c r="A954" s="20"/>
    </row>
    <row r="955" spans="1:1" ht="15.75" x14ac:dyDescent="0.25">
      <c r="A955" s="20"/>
    </row>
    <row r="956" spans="1:1" ht="15.75" x14ac:dyDescent="0.25">
      <c r="A956" s="20"/>
    </row>
    <row r="957" spans="1:1" ht="15.75" x14ac:dyDescent="0.25">
      <c r="A957" s="20"/>
    </row>
    <row r="958" spans="1:1" ht="15.75" x14ac:dyDescent="0.25">
      <c r="A958" s="20"/>
    </row>
    <row r="959" spans="1:1" ht="15.75" x14ac:dyDescent="0.25">
      <c r="A959" s="20"/>
    </row>
    <row r="960" spans="1:1" ht="15.75" x14ac:dyDescent="0.25">
      <c r="A960" s="20"/>
    </row>
    <row r="961" spans="1:1" ht="15.75" x14ac:dyDescent="0.25">
      <c r="A961" s="11"/>
    </row>
    <row r="962" spans="1:1" ht="15.75" x14ac:dyDescent="0.25">
      <c r="A962" s="11"/>
    </row>
    <row r="963" spans="1:1" ht="15.75" x14ac:dyDescent="0.25">
      <c r="A963" s="11"/>
    </row>
    <row r="964" spans="1:1" ht="15.75" x14ac:dyDescent="0.25">
      <c r="A964" s="11"/>
    </row>
    <row r="965" spans="1:1" ht="15.75" x14ac:dyDescent="0.25">
      <c r="A965" s="11"/>
    </row>
    <row r="966" spans="1:1" ht="15.75" x14ac:dyDescent="0.25">
      <c r="A966" s="11"/>
    </row>
    <row r="967" spans="1:1" ht="15.75" x14ac:dyDescent="0.25">
      <c r="A967" s="11"/>
    </row>
    <row r="968" spans="1:1" ht="15.75" x14ac:dyDescent="0.25">
      <c r="A968" s="11"/>
    </row>
    <row r="969" spans="1:1" ht="15.75" x14ac:dyDescent="0.25">
      <c r="A969" s="11"/>
    </row>
    <row r="970" spans="1:1" ht="15.75" x14ac:dyDescent="0.25">
      <c r="A970" s="11"/>
    </row>
    <row r="971" spans="1:1" ht="15.75" x14ac:dyDescent="0.25">
      <c r="A971" s="11"/>
    </row>
    <row r="972" spans="1:1" ht="15.75" x14ac:dyDescent="0.25">
      <c r="A972" s="11"/>
    </row>
    <row r="973" spans="1:1" ht="15.75" x14ac:dyDescent="0.25">
      <c r="A973" s="11"/>
    </row>
    <row r="974" spans="1:1" ht="15.75" x14ac:dyDescent="0.25">
      <c r="A974" s="11"/>
    </row>
    <row r="975" spans="1:1" ht="15.75" x14ac:dyDescent="0.25">
      <c r="A975" s="11"/>
    </row>
    <row r="976" spans="1:1" ht="15.75" x14ac:dyDescent="0.25">
      <c r="A976" s="11"/>
    </row>
    <row r="977" spans="1:1" ht="15.75" x14ac:dyDescent="0.25">
      <c r="A977" s="11"/>
    </row>
    <row r="978" spans="1:1" ht="15.75" x14ac:dyDescent="0.25">
      <c r="A978" s="11"/>
    </row>
    <row r="979" spans="1:1" ht="15.75" x14ac:dyDescent="0.25">
      <c r="A979" s="11"/>
    </row>
    <row r="980" spans="1:1" ht="15.75" x14ac:dyDescent="0.25">
      <c r="A980" s="11"/>
    </row>
    <row r="981" spans="1:1" ht="15.75" x14ac:dyDescent="0.25">
      <c r="A981" s="11"/>
    </row>
    <row r="982" spans="1:1" ht="15.75" x14ac:dyDescent="0.25">
      <c r="A982" s="11"/>
    </row>
    <row r="983" spans="1:1" ht="15.75" x14ac:dyDescent="0.25">
      <c r="A983" s="11"/>
    </row>
    <row r="984" spans="1:1" ht="15.75" x14ac:dyDescent="0.25">
      <c r="A984" s="11"/>
    </row>
    <row r="985" spans="1:1" ht="15.75" x14ac:dyDescent="0.25">
      <c r="A985" s="11"/>
    </row>
    <row r="986" spans="1:1" ht="15.75" x14ac:dyDescent="0.25">
      <c r="A986" s="11"/>
    </row>
    <row r="987" spans="1:1" ht="15.75" x14ac:dyDescent="0.25">
      <c r="A987" s="11"/>
    </row>
    <row r="988" spans="1:1" ht="15.75" x14ac:dyDescent="0.25">
      <c r="A988" s="11"/>
    </row>
    <row r="989" spans="1:1" ht="15.75" x14ac:dyDescent="0.25">
      <c r="A989" s="11"/>
    </row>
    <row r="990" spans="1:1" ht="15.75" x14ac:dyDescent="0.25">
      <c r="A990" s="11"/>
    </row>
    <row r="991" spans="1:1" ht="15.75" x14ac:dyDescent="0.25">
      <c r="A991" s="11"/>
    </row>
    <row r="992" spans="1:1" ht="15.75" x14ac:dyDescent="0.25">
      <c r="A992" s="11"/>
    </row>
    <row r="993" spans="1:1" ht="15.75" x14ac:dyDescent="0.25">
      <c r="A993" s="11"/>
    </row>
    <row r="994" spans="1:1" ht="15.75" x14ac:dyDescent="0.25">
      <c r="A994" s="11"/>
    </row>
    <row r="995" spans="1:1" ht="15.75" x14ac:dyDescent="0.25">
      <c r="A995" s="11"/>
    </row>
    <row r="996" spans="1:1" ht="15.75" x14ac:dyDescent="0.25">
      <c r="A996" s="11"/>
    </row>
    <row r="997" spans="1:1" ht="15.75" x14ac:dyDescent="0.25">
      <c r="A997" s="11"/>
    </row>
    <row r="998" spans="1:1" ht="15.75" x14ac:dyDescent="0.25">
      <c r="A998" s="11"/>
    </row>
    <row r="999" spans="1:1" ht="15.75" x14ac:dyDescent="0.25">
      <c r="A999" s="11"/>
    </row>
    <row r="1000" spans="1:1" ht="15.75" x14ac:dyDescent="0.25">
      <c r="A1000" s="11"/>
    </row>
    <row r="1001" spans="1:1" ht="15.75" x14ac:dyDescent="0.25">
      <c r="A1001" s="11"/>
    </row>
    <row r="1002" spans="1:1" ht="15.75" x14ac:dyDescent="0.25">
      <c r="A1002" s="11"/>
    </row>
    <row r="1003" spans="1:1" ht="15.75" x14ac:dyDescent="0.25">
      <c r="A1003" s="11"/>
    </row>
    <row r="1004" spans="1:1" ht="15.75" x14ac:dyDescent="0.25">
      <c r="A1004" s="11"/>
    </row>
    <row r="1005" spans="1:1" ht="15.75" x14ac:dyDescent="0.25">
      <c r="A1005" s="11"/>
    </row>
    <row r="1006" spans="1:1" ht="15.75" x14ac:dyDescent="0.25">
      <c r="A1006" s="11"/>
    </row>
    <row r="1007" spans="1:1" ht="15.75" x14ac:dyDescent="0.25">
      <c r="A1007" s="11"/>
    </row>
    <row r="1008" spans="1:1" ht="15.75" x14ac:dyDescent="0.25">
      <c r="A1008" s="11"/>
    </row>
    <row r="1009" spans="1:1" ht="15.75" x14ac:dyDescent="0.25">
      <c r="A1009" s="11"/>
    </row>
    <row r="1010" spans="1:1" ht="15.75" x14ac:dyDescent="0.25">
      <c r="A1010" s="11"/>
    </row>
    <row r="1011" spans="1:1" ht="15.75" x14ac:dyDescent="0.25">
      <c r="A1011" s="11"/>
    </row>
    <row r="1012" spans="1:1" ht="15.75" x14ac:dyDescent="0.25">
      <c r="A1012" s="11"/>
    </row>
    <row r="1013" spans="1:1" ht="15.75" x14ac:dyDescent="0.25">
      <c r="A1013" s="11"/>
    </row>
    <row r="1014" spans="1:1" ht="15.75" x14ac:dyDescent="0.25">
      <c r="A1014" s="11"/>
    </row>
    <row r="1015" spans="1:1" ht="15.75" x14ac:dyDescent="0.25">
      <c r="A1015" s="11"/>
    </row>
    <row r="1016" spans="1:1" ht="15.75" x14ac:dyDescent="0.25">
      <c r="A1016" s="11"/>
    </row>
    <row r="1017" spans="1:1" ht="15.75" x14ac:dyDescent="0.25">
      <c r="A1017" s="11"/>
    </row>
    <row r="1018" spans="1:1" ht="15.75" x14ac:dyDescent="0.25">
      <c r="A1018" s="11"/>
    </row>
    <row r="1019" spans="1:1" ht="15.75" x14ac:dyDescent="0.25">
      <c r="A1019" s="11"/>
    </row>
    <row r="1020" spans="1:1" ht="15.75" x14ac:dyDescent="0.25">
      <c r="A1020" s="11"/>
    </row>
    <row r="1021" spans="1:1" ht="15.75" x14ac:dyDescent="0.25">
      <c r="A1021" s="11"/>
    </row>
    <row r="1022" spans="1:1" ht="15.75" x14ac:dyDescent="0.25">
      <c r="A1022" s="11"/>
    </row>
    <row r="1023" spans="1:1" ht="15.75" x14ac:dyDescent="0.25">
      <c r="A1023" s="11"/>
    </row>
    <row r="1024" spans="1:1" ht="15.75" x14ac:dyDescent="0.25">
      <c r="A1024" s="11"/>
    </row>
    <row r="1025" spans="1:1" ht="15.75" x14ac:dyDescent="0.25">
      <c r="A1025" s="11"/>
    </row>
    <row r="1026" spans="1:1" ht="15.75" x14ac:dyDescent="0.25">
      <c r="A1026" s="11"/>
    </row>
    <row r="1027" spans="1:1" ht="15.75" x14ac:dyDescent="0.25">
      <c r="A1027" s="11"/>
    </row>
    <row r="1028" spans="1:1" ht="15.75" x14ac:dyDescent="0.25">
      <c r="A1028" s="11"/>
    </row>
    <row r="1029" spans="1:1" ht="15.75" x14ac:dyDescent="0.25">
      <c r="A1029" s="11"/>
    </row>
    <row r="1030" spans="1:1" ht="15.75" x14ac:dyDescent="0.25">
      <c r="A1030" s="11"/>
    </row>
    <row r="1031" spans="1:1" ht="15.75" x14ac:dyDescent="0.25">
      <c r="A1031" s="11"/>
    </row>
    <row r="1032" spans="1:1" ht="15.75" x14ac:dyDescent="0.25">
      <c r="A1032" s="11"/>
    </row>
    <row r="1033" spans="1:1" ht="15.75" x14ac:dyDescent="0.25">
      <c r="A1033" s="11"/>
    </row>
    <row r="1034" spans="1:1" ht="15.75" x14ac:dyDescent="0.25">
      <c r="A1034" s="11"/>
    </row>
    <row r="1035" spans="1:1" ht="15.75" x14ac:dyDescent="0.25">
      <c r="A1035" s="11"/>
    </row>
    <row r="1036" spans="1:1" ht="15.75" x14ac:dyDescent="0.25">
      <c r="A1036" s="11"/>
    </row>
    <row r="1037" spans="1:1" ht="15.75" x14ac:dyDescent="0.25">
      <c r="A1037" s="11"/>
    </row>
    <row r="1038" spans="1:1" ht="15.75" x14ac:dyDescent="0.25">
      <c r="A1038" s="11"/>
    </row>
    <row r="1039" spans="1:1" ht="15.75" x14ac:dyDescent="0.25">
      <c r="A1039" s="11"/>
    </row>
    <row r="1040" spans="1:1" ht="15.75" x14ac:dyDescent="0.25">
      <c r="A1040" s="11"/>
    </row>
    <row r="1041" spans="1:1" ht="15.75" x14ac:dyDescent="0.25">
      <c r="A1041" s="11"/>
    </row>
    <row r="1042" spans="1:1" ht="15.75" x14ac:dyDescent="0.25">
      <c r="A1042" s="11"/>
    </row>
    <row r="1043" spans="1:1" ht="15.75" x14ac:dyDescent="0.25">
      <c r="A1043" s="11"/>
    </row>
    <row r="1044" spans="1:1" ht="15.75" x14ac:dyDescent="0.25">
      <c r="A1044" s="11"/>
    </row>
    <row r="1045" spans="1:1" ht="15.75" x14ac:dyDescent="0.25">
      <c r="A1045" s="11"/>
    </row>
    <row r="1046" spans="1:1" ht="15.75" x14ac:dyDescent="0.25">
      <c r="A1046" s="11"/>
    </row>
    <row r="1047" spans="1:1" ht="15.75" x14ac:dyDescent="0.25">
      <c r="A1047" s="11"/>
    </row>
    <row r="1048" spans="1:1" ht="15.75" x14ac:dyDescent="0.25">
      <c r="A1048" s="11"/>
    </row>
    <row r="1049" spans="1:1" ht="15.75" x14ac:dyDescent="0.25">
      <c r="A1049" s="11"/>
    </row>
    <row r="1050" spans="1:1" ht="15.75" x14ac:dyDescent="0.25">
      <c r="A1050" s="11"/>
    </row>
    <row r="1051" spans="1:1" ht="15.75" x14ac:dyDescent="0.25">
      <c r="A1051" s="11"/>
    </row>
    <row r="1052" spans="1:1" ht="15.75" x14ac:dyDescent="0.25">
      <c r="A1052" s="11"/>
    </row>
    <row r="1053" spans="1:1" ht="15.75" x14ac:dyDescent="0.25">
      <c r="A1053" s="11"/>
    </row>
    <row r="1054" spans="1:1" ht="15.75" x14ac:dyDescent="0.25">
      <c r="A1054" s="11"/>
    </row>
    <row r="1055" spans="1:1" ht="15.75" x14ac:dyDescent="0.25">
      <c r="A1055" s="11"/>
    </row>
    <row r="1056" spans="1:1" ht="15.75" x14ac:dyDescent="0.25">
      <c r="A1056" s="11"/>
    </row>
    <row r="1057" spans="1:1" ht="15.75" x14ac:dyDescent="0.25">
      <c r="A1057" s="11"/>
    </row>
    <row r="1058" spans="1:1" ht="15.75" x14ac:dyDescent="0.25">
      <c r="A1058" s="11"/>
    </row>
    <row r="1059" spans="1:1" ht="15.75" x14ac:dyDescent="0.25">
      <c r="A1059" s="11"/>
    </row>
    <row r="1060" spans="1:1" ht="15.75" x14ac:dyDescent="0.25">
      <c r="A1060" s="11"/>
    </row>
    <row r="1061" spans="1:1" ht="15.75" x14ac:dyDescent="0.25">
      <c r="A1061" s="11"/>
    </row>
    <row r="1062" spans="1:1" ht="15.75" x14ac:dyDescent="0.25">
      <c r="A1062" s="11"/>
    </row>
    <row r="1063" spans="1:1" ht="15.75" x14ac:dyDescent="0.25">
      <c r="A1063" s="11"/>
    </row>
    <row r="1064" spans="1:1" ht="15.75" x14ac:dyDescent="0.25">
      <c r="A1064" s="11"/>
    </row>
    <row r="1065" spans="1:1" ht="15.75" x14ac:dyDescent="0.25">
      <c r="A1065" s="11"/>
    </row>
    <row r="1066" spans="1:1" ht="15.75" x14ac:dyDescent="0.25">
      <c r="A1066" s="11"/>
    </row>
    <row r="1067" spans="1:1" ht="15.75" x14ac:dyDescent="0.25">
      <c r="A1067" s="11"/>
    </row>
    <row r="1068" spans="1:1" ht="15.75" x14ac:dyDescent="0.25">
      <c r="A1068" s="11"/>
    </row>
    <row r="1069" spans="1:1" ht="15.75" x14ac:dyDescent="0.25">
      <c r="A1069" s="11"/>
    </row>
    <row r="1070" spans="1:1" ht="15.75" x14ac:dyDescent="0.25">
      <c r="A1070" s="11"/>
    </row>
    <row r="1071" spans="1:1" ht="15.75" x14ac:dyDescent="0.25">
      <c r="A1071" s="11"/>
    </row>
    <row r="1072" spans="1:1" ht="15.75" x14ac:dyDescent="0.25">
      <c r="A1072" s="11"/>
    </row>
    <row r="1073" spans="1:1" ht="15.75" x14ac:dyDescent="0.25">
      <c r="A1073" s="11"/>
    </row>
    <row r="1074" spans="1:1" ht="15.75" x14ac:dyDescent="0.25">
      <c r="A1074" s="11"/>
    </row>
    <row r="1075" spans="1:1" ht="15.75" x14ac:dyDescent="0.25">
      <c r="A1075" s="11"/>
    </row>
    <row r="1076" spans="1:1" ht="15.75" x14ac:dyDescent="0.25">
      <c r="A1076" s="11"/>
    </row>
    <row r="1077" spans="1:1" ht="15.75" x14ac:dyDescent="0.25">
      <c r="A1077" s="11"/>
    </row>
    <row r="1078" spans="1:1" ht="15.75" x14ac:dyDescent="0.25">
      <c r="A1078" s="11"/>
    </row>
    <row r="1079" spans="1:1" ht="15.75" x14ac:dyDescent="0.25">
      <c r="A1079" s="11"/>
    </row>
    <row r="1080" spans="1:1" ht="15.75" x14ac:dyDescent="0.25">
      <c r="A1080" s="11"/>
    </row>
    <row r="1081" spans="1:1" ht="15.75" x14ac:dyDescent="0.25">
      <c r="A1081" s="11"/>
    </row>
    <row r="1082" spans="1:1" ht="15.75" x14ac:dyDescent="0.25">
      <c r="A1082" s="11"/>
    </row>
    <row r="1083" spans="1:1" ht="15.75" x14ac:dyDescent="0.25">
      <c r="A1083" s="11"/>
    </row>
    <row r="1084" spans="1:1" ht="15.75" x14ac:dyDescent="0.25">
      <c r="A1084" s="11"/>
    </row>
    <row r="1085" spans="1:1" ht="15.75" x14ac:dyDescent="0.25">
      <c r="A1085" s="11"/>
    </row>
    <row r="1086" spans="1:1" ht="15.75" x14ac:dyDescent="0.25">
      <c r="A1086" s="11"/>
    </row>
    <row r="1087" spans="1:1" ht="15.75" x14ac:dyDescent="0.25">
      <c r="A1087" s="11"/>
    </row>
    <row r="1088" spans="1:1" ht="15.75" x14ac:dyDescent="0.25">
      <c r="A1088" s="11"/>
    </row>
    <row r="1089" spans="1:1" ht="15.75" x14ac:dyDescent="0.25">
      <c r="A1089" s="11"/>
    </row>
    <row r="1090" spans="1:1" ht="15.75" x14ac:dyDescent="0.25">
      <c r="A1090" s="11"/>
    </row>
    <row r="1091" spans="1:1" ht="15.75" x14ac:dyDescent="0.25">
      <c r="A1091" s="11"/>
    </row>
    <row r="1092" spans="1:1" ht="15.75" x14ac:dyDescent="0.25">
      <c r="A1092" s="11"/>
    </row>
    <row r="1093" spans="1:1" ht="15.75" x14ac:dyDescent="0.25">
      <c r="A1093" s="11"/>
    </row>
    <row r="1094" spans="1:1" ht="15.75" x14ac:dyDescent="0.25">
      <c r="A1094" s="11"/>
    </row>
    <row r="1095" spans="1:1" ht="15.75" x14ac:dyDescent="0.25">
      <c r="A1095" s="11"/>
    </row>
    <row r="1096" spans="1:1" ht="15.75" x14ac:dyDescent="0.25">
      <c r="A1096" s="11"/>
    </row>
    <row r="1097" spans="1:1" ht="15.75" x14ac:dyDescent="0.25">
      <c r="A1097" s="11"/>
    </row>
    <row r="1098" spans="1:1" ht="15.75" x14ac:dyDescent="0.25">
      <c r="A1098" s="11"/>
    </row>
    <row r="1099" spans="1:1" ht="15.75" x14ac:dyDescent="0.25">
      <c r="A1099" s="11"/>
    </row>
    <row r="1100" spans="1:1" ht="15.75" x14ac:dyDescent="0.25">
      <c r="A1100" s="11"/>
    </row>
    <row r="1101" spans="1:1" ht="15.75" x14ac:dyDescent="0.25">
      <c r="A1101" s="11"/>
    </row>
    <row r="1102" spans="1:1" ht="15.75" x14ac:dyDescent="0.25">
      <c r="A1102" s="11"/>
    </row>
    <row r="1103" spans="1:1" ht="15.75" x14ac:dyDescent="0.25">
      <c r="A1103" s="11"/>
    </row>
    <row r="1104" spans="1:1" ht="15.75" x14ac:dyDescent="0.25">
      <c r="A1104" s="11"/>
    </row>
    <row r="1105" spans="1:1" ht="15.75" x14ac:dyDescent="0.25">
      <c r="A1105" s="11"/>
    </row>
    <row r="1106" spans="1:1" ht="15.75" x14ac:dyDescent="0.25">
      <c r="A1106" s="11"/>
    </row>
    <row r="1107" spans="1:1" ht="15.75" x14ac:dyDescent="0.25">
      <c r="A1107" s="11"/>
    </row>
    <row r="1108" spans="1:1" ht="15.75" x14ac:dyDescent="0.25">
      <c r="A1108" s="11"/>
    </row>
    <row r="1109" spans="1:1" ht="15.75" x14ac:dyDescent="0.25">
      <c r="A1109" s="11"/>
    </row>
    <row r="1110" spans="1:1" ht="15.75" x14ac:dyDescent="0.25">
      <c r="A1110" s="11"/>
    </row>
    <row r="1111" spans="1:1" ht="15.75" x14ac:dyDescent="0.25">
      <c r="A1111" s="11"/>
    </row>
    <row r="1112" spans="1:1" ht="15.75" x14ac:dyDescent="0.25">
      <c r="A1112" s="11"/>
    </row>
    <row r="1113" spans="1:1" ht="15.75" x14ac:dyDescent="0.25">
      <c r="A1113" s="11"/>
    </row>
    <row r="1114" spans="1:1" ht="15.75" x14ac:dyDescent="0.25">
      <c r="A1114" s="11"/>
    </row>
    <row r="1115" spans="1:1" ht="15.75" x14ac:dyDescent="0.25">
      <c r="A1115" s="11"/>
    </row>
    <row r="1116" spans="1:1" ht="15.75" x14ac:dyDescent="0.25">
      <c r="A1116" s="11"/>
    </row>
    <row r="1117" spans="1:1" ht="15.75" x14ac:dyDescent="0.25">
      <c r="A1117" s="11"/>
    </row>
    <row r="1118" spans="1:1" ht="15.75" x14ac:dyDescent="0.25">
      <c r="A1118" s="11"/>
    </row>
    <row r="1119" spans="1:1" ht="15.75" x14ac:dyDescent="0.25">
      <c r="A1119" s="11"/>
    </row>
    <row r="1120" spans="1:1" ht="15.75" x14ac:dyDescent="0.25">
      <c r="A1120" s="11"/>
    </row>
    <row r="1121" spans="1:1" ht="15.75" x14ac:dyDescent="0.25">
      <c r="A1121" s="11"/>
    </row>
    <row r="1122" spans="1:1" ht="15.75" x14ac:dyDescent="0.25">
      <c r="A1122" s="11"/>
    </row>
    <row r="1123" spans="1:1" ht="15.75" x14ac:dyDescent="0.25">
      <c r="A1123" s="11"/>
    </row>
    <row r="1124" spans="1:1" ht="15.75" x14ac:dyDescent="0.25">
      <c r="A1124" s="11"/>
    </row>
    <row r="1125" spans="1:1" ht="15.75" x14ac:dyDescent="0.25">
      <c r="A1125" s="11"/>
    </row>
    <row r="1126" spans="1:1" ht="15.75" x14ac:dyDescent="0.25">
      <c r="A1126" s="11"/>
    </row>
    <row r="1127" spans="1:1" ht="15.75" x14ac:dyDescent="0.25">
      <c r="A1127" s="11"/>
    </row>
    <row r="1128" spans="1:1" ht="15.75" x14ac:dyDescent="0.25">
      <c r="A1128" s="11"/>
    </row>
    <row r="1129" spans="1:1" ht="15.75" x14ac:dyDescent="0.25">
      <c r="A1129" s="11"/>
    </row>
    <row r="1130" spans="1:1" ht="15.75" x14ac:dyDescent="0.25">
      <c r="A1130" s="11"/>
    </row>
    <row r="1131" spans="1:1" ht="15.75" x14ac:dyDescent="0.25">
      <c r="A1131" s="11"/>
    </row>
    <row r="1132" spans="1:1" ht="15.75" x14ac:dyDescent="0.25">
      <c r="A1132" s="11"/>
    </row>
    <row r="1133" spans="1:1" ht="15.75" x14ac:dyDescent="0.25">
      <c r="A1133" s="11"/>
    </row>
    <row r="1134" spans="1:1" ht="15.75" x14ac:dyDescent="0.25">
      <c r="A1134" s="11"/>
    </row>
    <row r="1135" spans="1:1" ht="15.75" x14ac:dyDescent="0.25">
      <c r="A1135" s="11"/>
    </row>
    <row r="1136" spans="1:1" ht="15.75" x14ac:dyDescent="0.25">
      <c r="A1136" s="11"/>
    </row>
    <row r="1137" spans="1:1" ht="15.75" x14ac:dyDescent="0.25">
      <c r="A1137" s="11"/>
    </row>
    <row r="1138" spans="1:1" ht="15.75" x14ac:dyDescent="0.25">
      <c r="A1138" s="11"/>
    </row>
    <row r="1139" spans="1:1" ht="15.75" x14ac:dyDescent="0.25">
      <c r="A1139" s="11"/>
    </row>
    <row r="1140" spans="1:1" ht="15.75" x14ac:dyDescent="0.25">
      <c r="A1140" s="11"/>
    </row>
    <row r="1141" spans="1:1" ht="15.75" x14ac:dyDescent="0.25">
      <c r="A1141" s="11"/>
    </row>
    <row r="1142" spans="1:1" ht="15.75" x14ac:dyDescent="0.25">
      <c r="A1142" s="11"/>
    </row>
    <row r="1143" spans="1:1" ht="15.75" x14ac:dyDescent="0.25">
      <c r="A1143" s="11"/>
    </row>
    <row r="1144" spans="1:1" ht="15.75" x14ac:dyDescent="0.25">
      <c r="A1144" s="11"/>
    </row>
    <row r="1145" spans="1:1" ht="15.75" x14ac:dyDescent="0.25">
      <c r="A1145" s="11"/>
    </row>
    <row r="1146" spans="1:1" ht="15.75" x14ac:dyDescent="0.25">
      <c r="A1146" s="11"/>
    </row>
    <row r="1147" spans="1:1" ht="15.75" x14ac:dyDescent="0.25">
      <c r="A1147" s="11"/>
    </row>
    <row r="1148" spans="1:1" ht="15.75" x14ac:dyDescent="0.25">
      <c r="A1148" s="11"/>
    </row>
    <row r="1149" spans="1:1" ht="15.75" x14ac:dyDescent="0.25">
      <c r="A1149" s="11"/>
    </row>
    <row r="1150" spans="1:1" ht="15.75" x14ac:dyDescent="0.25">
      <c r="A1150" s="11"/>
    </row>
    <row r="1151" spans="1:1" ht="15.75" x14ac:dyDescent="0.25">
      <c r="A1151" s="11"/>
    </row>
    <row r="1152" spans="1:1" ht="15.75" x14ac:dyDescent="0.25">
      <c r="A1152" s="11"/>
    </row>
    <row r="1153" spans="1:1" ht="15.75" x14ac:dyDescent="0.25">
      <c r="A1153" s="11"/>
    </row>
    <row r="1154" spans="1:1" ht="15.75" x14ac:dyDescent="0.25">
      <c r="A1154" s="11"/>
    </row>
    <row r="1155" spans="1:1" ht="15.75" x14ac:dyDescent="0.25">
      <c r="A1155" s="11"/>
    </row>
    <row r="1156" spans="1:1" ht="15.75" x14ac:dyDescent="0.25">
      <c r="A1156" s="11"/>
    </row>
    <row r="1157" spans="1:1" ht="15.75" x14ac:dyDescent="0.25">
      <c r="A1157" s="11"/>
    </row>
    <row r="1158" spans="1:1" ht="15.75" x14ac:dyDescent="0.25">
      <c r="A1158" s="11"/>
    </row>
    <row r="1159" spans="1:1" ht="15.75" x14ac:dyDescent="0.25">
      <c r="A1159" s="11"/>
    </row>
    <row r="1160" spans="1:1" ht="15.75" x14ac:dyDescent="0.25">
      <c r="A1160" s="11"/>
    </row>
    <row r="1161" spans="1:1" ht="15.75" x14ac:dyDescent="0.25">
      <c r="A1161" s="11"/>
    </row>
    <row r="1162" spans="1:1" ht="15.75" x14ac:dyDescent="0.25">
      <c r="A1162" s="11"/>
    </row>
    <row r="1163" spans="1:1" ht="15.75" x14ac:dyDescent="0.25">
      <c r="A1163" s="11"/>
    </row>
    <row r="1164" spans="1:1" ht="15.75" x14ac:dyDescent="0.25">
      <c r="A1164" s="11"/>
    </row>
    <row r="1165" spans="1:1" ht="15.75" x14ac:dyDescent="0.25">
      <c r="A1165" s="11"/>
    </row>
    <row r="1166" spans="1:1" ht="15.75" x14ac:dyDescent="0.25">
      <c r="A1166" s="11"/>
    </row>
    <row r="1167" spans="1:1" ht="15.75" x14ac:dyDescent="0.25">
      <c r="A1167" s="11"/>
    </row>
    <row r="1168" spans="1:1" ht="15.75" x14ac:dyDescent="0.25">
      <c r="A1168" s="11"/>
    </row>
    <row r="1169" spans="1:1" ht="15.75" x14ac:dyDescent="0.25">
      <c r="A1169" s="11"/>
    </row>
    <row r="1170" spans="1:1" ht="15.75" x14ac:dyDescent="0.25">
      <c r="A1170" s="11"/>
    </row>
    <row r="1171" spans="1:1" ht="15.75" x14ac:dyDescent="0.25">
      <c r="A1171" s="11"/>
    </row>
    <row r="1172" spans="1:1" ht="15.75" x14ac:dyDescent="0.25">
      <c r="A1172" s="11"/>
    </row>
    <row r="1173" spans="1:1" ht="15.75" x14ac:dyDescent="0.25">
      <c r="A1173" s="11"/>
    </row>
    <row r="1174" spans="1:1" ht="15.75" x14ac:dyDescent="0.25">
      <c r="A1174" s="11"/>
    </row>
    <row r="1175" spans="1:1" ht="15.75" x14ac:dyDescent="0.25">
      <c r="A1175" s="11"/>
    </row>
    <row r="1176" spans="1:1" ht="15.75" x14ac:dyDescent="0.25">
      <c r="A1176" s="11"/>
    </row>
    <row r="1177" spans="1:1" ht="15.75" x14ac:dyDescent="0.25">
      <c r="A1177" s="11"/>
    </row>
    <row r="1178" spans="1:1" ht="15.75" x14ac:dyDescent="0.25">
      <c r="A1178" s="11"/>
    </row>
    <row r="1179" spans="1:1" ht="15.75" x14ac:dyDescent="0.25">
      <c r="A1179" s="11"/>
    </row>
    <row r="1180" spans="1:1" ht="15.75" x14ac:dyDescent="0.25">
      <c r="A1180" s="11"/>
    </row>
    <row r="1181" spans="1:1" ht="15.75" x14ac:dyDescent="0.25">
      <c r="A1181" s="11"/>
    </row>
    <row r="1182" spans="1:1" ht="15.75" x14ac:dyDescent="0.25">
      <c r="A1182" s="11"/>
    </row>
    <row r="1183" spans="1:1" ht="15.75" x14ac:dyDescent="0.25">
      <c r="A1183" s="11"/>
    </row>
    <row r="1184" spans="1:1" ht="15.75" x14ac:dyDescent="0.25">
      <c r="A1184" s="11"/>
    </row>
    <row r="1185" spans="1:1" ht="15.75" x14ac:dyDescent="0.25">
      <c r="A1185" s="11"/>
    </row>
    <row r="1186" spans="1:1" ht="15.75" x14ac:dyDescent="0.25">
      <c r="A1186" s="11"/>
    </row>
    <row r="1187" spans="1:1" ht="15.75" x14ac:dyDescent="0.25">
      <c r="A1187" s="11"/>
    </row>
    <row r="1188" spans="1:1" ht="15.75" x14ac:dyDescent="0.25">
      <c r="A1188" s="11"/>
    </row>
    <row r="1189" spans="1:1" ht="15.75" x14ac:dyDescent="0.25">
      <c r="A1189" s="11"/>
    </row>
    <row r="1190" spans="1:1" ht="15.75" x14ac:dyDescent="0.25">
      <c r="A1190" s="11"/>
    </row>
    <row r="1191" spans="1:1" ht="15.75" x14ac:dyDescent="0.25">
      <c r="A1191" s="11"/>
    </row>
    <row r="1192" spans="1:1" ht="15.75" x14ac:dyDescent="0.25">
      <c r="A1192" s="11"/>
    </row>
    <row r="1193" spans="1:1" ht="15.75" x14ac:dyDescent="0.25">
      <c r="A1193" s="11"/>
    </row>
    <row r="1194" spans="1:1" ht="15.75" x14ac:dyDescent="0.25">
      <c r="A1194" s="11"/>
    </row>
    <row r="1195" spans="1:1" ht="15.75" x14ac:dyDescent="0.25">
      <c r="A1195" s="11"/>
    </row>
    <row r="1196" spans="1:1" ht="15.75" x14ac:dyDescent="0.25">
      <c r="A1196" s="11"/>
    </row>
    <row r="1197" spans="1:1" ht="15.75" x14ac:dyDescent="0.25">
      <c r="A1197" s="11"/>
    </row>
    <row r="1198" spans="1:1" ht="15.75" x14ac:dyDescent="0.25">
      <c r="A1198" s="11"/>
    </row>
    <row r="1199" spans="1:1" ht="15.75" x14ac:dyDescent="0.25">
      <c r="A1199" s="11"/>
    </row>
    <row r="1200" spans="1:1" ht="15.75" x14ac:dyDescent="0.25">
      <c r="A1200" s="11"/>
    </row>
    <row r="1201" spans="1:1" ht="15.75" x14ac:dyDescent="0.25">
      <c r="A1201" s="11"/>
    </row>
    <row r="1202" spans="1:1" ht="15.75" x14ac:dyDescent="0.25">
      <c r="A1202" s="11"/>
    </row>
    <row r="1203" spans="1:1" ht="15.75" x14ac:dyDescent="0.25">
      <c r="A1203" s="11"/>
    </row>
    <row r="1204" spans="1:1" ht="15.75" x14ac:dyDescent="0.25">
      <c r="A1204" s="11"/>
    </row>
    <row r="1205" spans="1:1" ht="15.75" x14ac:dyDescent="0.25">
      <c r="A1205" s="11"/>
    </row>
    <row r="1206" spans="1:1" ht="15.75" x14ac:dyDescent="0.25">
      <c r="A1206" s="11"/>
    </row>
    <row r="1207" spans="1:1" ht="15.75" x14ac:dyDescent="0.25">
      <c r="A1207" s="11"/>
    </row>
    <row r="1208" spans="1:1" ht="15.75" x14ac:dyDescent="0.25">
      <c r="A1208" s="11"/>
    </row>
    <row r="1209" spans="1:1" ht="15.75" x14ac:dyDescent="0.25">
      <c r="A1209" s="11"/>
    </row>
    <row r="1210" spans="1:1" ht="15.75" x14ac:dyDescent="0.25">
      <c r="A1210" s="11"/>
    </row>
    <row r="1211" spans="1:1" ht="15.75" x14ac:dyDescent="0.25">
      <c r="A1211" s="11"/>
    </row>
    <row r="1212" spans="1:1" ht="15.75" x14ac:dyDescent="0.25">
      <c r="A1212" s="11"/>
    </row>
    <row r="1213" spans="1:1" ht="15.75" x14ac:dyDescent="0.25">
      <c r="A1213" s="11"/>
    </row>
    <row r="1214" spans="1:1" ht="15.75" x14ac:dyDescent="0.25">
      <c r="A1214" s="11"/>
    </row>
    <row r="1215" spans="1:1" ht="15.75" x14ac:dyDescent="0.25">
      <c r="A1215" s="11"/>
    </row>
    <row r="1216" spans="1:1" ht="15.75" x14ac:dyDescent="0.25">
      <c r="A1216" s="11"/>
    </row>
    <row r="1217" spans="1:1" ht="15.75" x14ac:dyDescent="0.25">
      <c r="A1217" s="11"/>
    </row>
    <row r="1218" spans="1:1" ht="15.75" x14ac:dyDescent="0.25">
      <c r="A1218" s="11"/>
    </row>
    <row r="1219" spans="1:1" ht="15.75" x14ac:dyDescent="0.25">
      <c r="A1219" s="11"/>
    </row>
    <row r="1220" spans="1:1" ht="15.75" x14ac:dyDescent="0.25">
      <c r="A1220" s="11"/>
    </row>
    <row r="1221" spans="1:1" ht="15.75" x14ac:dyDescent="0.25">
      <c r="A1221" s="11"/>
    </row>
    <row r="1222" spans="1:1" ht="15.75" x14ac:dyDescent="0.25">
      <c r="A1222" s="11"/>
    </row>
    <row r="1223" spans="1:1" ht="15.75" x14ac:dyDescent="0.25">
      <c r="A1223" s="11"/>
    </row>
    <row r="1224" spans="1:1" ht="15.75" x14ac:dyDescent="0.25">
      <c r="A1224" s="11"/>
    </row>
    <row r="1225" spans="1:1" ht="15.75" x14ac:dyDescent="0.25">
      <c r="A1225" s="11"/>
    </row>
    <row r="1226" spans="1:1" ht="15.75" x14ac:dyDescent="0.25">
      <c r="A1226" s="11"/>
    </row>
    <row r="1227" spans="1:1" ht="15.75" x14ac:dyDescent="0.25">
      <c r="A1227" s="11"/>
    </row>
    <row r="1228" spans="1:1" ht="15.75" x14ac:dyDescent="0.25">
      <c r="A1228" s="11"/>
    </row>
    <row r="1229" spans="1:1" ht="15.75" x14ac:dyDescent="0.25">
      <c r="A1229" s="11"/>
    </row>
    <row r="1230" spans="1:1" ht="15.75" x14ac:dyDescent="0.25">
      <c r="A1230" s="11"/>
    </row>
    <row r="1231" spans="1:1" ht="15.75" x14ac:dyDescent="0.25">
      <c r="A1231" s="11"/>
    </row>
    <row r="1232" spans="1:1" ht="15.75" x14ac:dyDescent="0.25">
      <c r="A1232" s="11"/>
    </row>
    <row r="1233" spans="1:1" ht="15.75" x14ac:dyDescent="0.25">
      <c r="A1233" s="11"/>
    </row>
    <row r="1234" spans="1:1" ht="15.75" x14ac:dyDescent="0.25">
      <c r="A1234" s="11"/>
    </row>
    <row r="1235" spans="1:1" ht="15.75" x14ac:dyDescent="0.25">
      <c r="A1235" s="11"/>
    </row>
    <row r="1236" spans="1:1" ht="15.75" x14ac:dyDescent="0.25">
      <c r="A1236" s="11"/>
    </row>
    <row r="1237" spans="1:1" ht="15.75" x14ac:dyDescent="0.25">
      <c r="A1237" s="11"/>
    </row>
    <row r="1238" spans="1:1" ht="15.75" x14ac:dyDescent="0.25">
      <c r="A1238" s="11"/>
    </row>
    <row r="1239" spans="1:1" ht="15.75" x14ac:dyDescent="0.25">
      <c r="A1239" s="11"/>
    </row>
    <row r="1240" spans="1:1" ht="15.75" x14ac:dyDescent="0.25">
      <c r="A1240" s="11"/>
    </row>
    <row r="1241" spans="1:1" ht="15.75" x14ac:dyDescent="0.25">
      <c r="A1241" s="11"/>
    </row>
    <row r="1242" spans="1:1" ht="15.75" x14ac:dyDescent="0.25">
      <c r="A1242" s="11"/>
    </row>
    <row r="1243" spans="1:1" ht="15.75" x14ac:dyDescent="0.25">
      <c r="A1243" s="11"/>
    </row>
    <row r="1244" spans="1:1" ht="15.75" x14ac:dyDescent="0.25">
      <c r="A1244" s="11"/>
    </row>
    <row r="1245" spans="1:1" ht="15.75" x14ac:dyDescent="0.25">
      <c r="A1245" s="11"/>
    </row>
    <row r="1246" spans="1:1" ht="15.75" x14ac:dyDescent="0.25">
      <c r="A1246" s="11"/>
    </row>
    <row r="1247" spans="1:1" ht="15.75" x14ac:dyDescent="0.25">
      <c r="A1247" s="11"/>
    </row>
    <row r="1248" spans="1:1" ht="15.75" x14ac:dyDescent="0.25">
      <c r="A1248" s="11"/>
    </row>
    <row r="1249" spans="1:1" ht="15.75" x14ac:dyDescent="0.25">
      <c r="A1249" s="11"/>
    </row>
    <row r="1250" spans="1:1" ht="15.75" x14ac:dyDescent="0.25">
      <c r="A1250" s="11"/>
    </row>
    <row r="1251" spans="1:1" ht="15.75" x14ac:dyDescent="0.25">
      <c r="A1251" s="11"/>
    </row>
    <row r="1252" spans="1:1" ht="15.75" x14ac:dyDescent="0.25">
      <c r="A1252" s="11"/>
    </row>
    <row r="1253" spans="1:1" ht="15.75" x14ac:dyDescent="0.25">
      <c r="A1253" s="11"/>
    </row>
    <row r="1254" spans="1:1" ht="15.75" x14ac:dyDescent="0.25">
      <c r="A1254" s="11"/>
    </row>
    <row r="1255" spans="1:1" ht="15.75" x14ac:dyDescent="0.25">
      <c r="A1255" s="11"/>
    </row>
    <row r="1256" spans="1:1" ht="15.75" x14ac:dyDescent="0.25">
      <c r="A1256" s="11"/>
    </row>
    <row r="1257" spans="1:1" ht="15.75" x14ac:dyDescent="0.25">
      <c r="A1257" s="11"/>
    </row>
    <row r="1258" spans="1:1" ht="15.75" x14ac:dyDescent="0.25">
      <c r="A1258" s="11"/>
    </row>
    <row r="1259" spans="1:1" ht="15.75" x14ac:dyDescent="0.25">
      <c r="A1259" s="11"/>
    </row>
    <row r="1260" spans="1:1" ht="15.75" x14ac:dyDescent="0.25">
      <c r="A1260" s="11"/>
    </row>
    <row r="1261" spans="1:1" ht="15.75" x14ac:dyDescent="0.25">
      <c r="A1261" s="11"/>
    </row>
    <row r="1262" spans="1:1" ht="15.75" x14ac:dyDescent="0.25">
      <c r="A1262" s="11"/>
    </row>
    <row r="1263" spans="1:1" ht="15.75" x14ac:dyDescent="0.25">
      <c r="A1263" s="11"/>
    </row>
    <row r="1264" spans="1:1" ht="15.75" x14ac:dyDescent="0.25">
      <c r="A1264" s="11"/>
    </row>
    <row r="1265" spans="1:1" ht="15.75" x14ac:dyDescent="0.25">
      <c r="A1265" s="11"/>
    </row>
    <row r="1266" spans="1:1" ht="15.75" x14ac:dyDescent="0.25">
      <c r="A1266" s="11"/>
    </row>
    <row r="1267" spans="1:1" ht="15.75" x14ac:dyDescent="0.25">
      <c r="A1267" s="11"/>
    </row>
    <row r="1268" spans="1:1" ht="15.75" x14ac:dyDescent="0.25">
      <c r="A1268" s="11"/>
    </row>
    <row r="1269" spans="1:1" ht="15.75" x14ac:dyDescent="0.25">
      <c r="A1269" s="11"/>
    </row>
    <row r="1270" spans="1:1" ht="15.75" x14ac:dyDescent="0.25">
      <c r="A1270" s="11"/>
    </row>
    <row r="1271" spans="1:1" ht="15.75" x14ac:dyDescent="0.25">
      <c r="A1271" s="11"/>
    </row>
    <row r="1272" spans="1:1" ht="15.75" x14ac:dyDescent="0.25">
      <c r="A1272" s="11"/>
    </row>
    <row r="1273" spans="1:1" ht="15.75" x14ac:dyDescent="0.25">
      <c r="A1273" s="11"/>
    </row>
    <row r="1274" spans="1:1" ht="15.75" x14ac:dyDescent="0.25">
      <c r="A1274" s="11"/>
    </row>
    <row r="1275" spans="1:1" ht="15.75" x14ac:dyDescent="0.25">
      <c r="A1275" s="11"/>
    </row>
    <row r="1276" spans="1:1" ht="15.75" x14ac:dyDescent="0.25">
      <c r="A1276" s="11"/>
    </row>
    <row r="1277" spans="1:1" ht="15.75" x14ac:dyDescent="0.25">
      <c r="A1277" s="11"/>
    </row>
    <row r="1278" spans="1:1" ht="15.75" x14ac:dyDescent="0.25">
      <c r="A1278" s="11"/>
    </row>
    <row r="1279" spans="1:1" ht="15.75" x14ac:dyDescent="0.25">
      <c r="A1279" s="11"/>
    </row>
    <row r="1280" spans="1:1" ht="15.75" x14ac:dyDescent="0.25">
      <c r="A1280" s="11"/>
    </row>
    <row r="1281" spans="1:1" ht="15.75" x14ac:dyDescent="0.25">
      <c r="A1281" s="11"/>
    </row>
    <row r="1282" spans="1:1" ht="15.75" x14ac:dyDescent="0.25">
      <c r="A1282" s="11"/>
    </row>
    <row r="1283" spans="1:1" ht="15.75" x14ac:dyDescent="0.25">
      <c r="A1283" s="11"/>
    </row>
    <row r="1284" spans="1:1" ht="15.75" x14ac:dyDescent="0.25">
      <c r="A1284" s="11"/>
    </row>
    <row r="1285" spans="1:1" ht="15.75" x14ac:dyDescent="0.25">
      <c r="A1285" s="11"/>
    </row>
    <row r="1286" spans="1:1" ht="15.75" x14ac:dyDescent="0.25">
      <c r="A1286" s="11"/>
    </row>
    <row r="1287" spans="1:1" ht="15.75" x14ac:dyDescent="0.25">
      <c r="A1287" s="11"/>
    </row>
    <row r="1288" spans="1:1" ht="15.75" x14ac:dyDescent="0.25">
      <c r="A1288" s="11"/>
    </row>
    <row r="1289" spans="1:1" ht="15.75" x14ac:dyDescent="0.25">
      <c r="A1289" s="11"/>
    </row>
    <row r="1290" spans="1:1" ht="15.75" x14ac:dyDescent="0.25">
      <c r="A1290" s="11"/>
    </row>
    <row r="1291" spans="1:1" ht="15.75" x14ac:dyDescent="0.25">
      <c r="A1291" s="11"/>
    </row>
    <row r="1292" spans="1:1" ht="15.75" x14ac:dyDescent="0.25">
      <c r="A1292" s="11"/>
    </row>
    <row r="1293" spans="1:1" ht="15.75" x14ac:dyDescent="0.25">
      <c r="A1293" s="11"/>
    </row>
    <row r="1294" spans="1:1" ht="15.75" x14ac:dyDescent="0.25">
      <c r="A1294" s="11"/>
    </row>
    <row r="1295" spans="1:1" ht="15.75" x14ac:dyDescent="0.25">
      <c r="A1295" s="11"/>
    </row>
    <row r="1296" spans="1:1" ht="15.75" x14ac:dyDescent="0.25">
      <c r="A1296" s="11"/>
    </row>
    <row r="1297" spans="1:1" ht="15.75" x14ac:dyDescent="0.25">
      <c r="A1297" s="11"/>
    </row>
    <row r="1298" spans="1:1" ht="15.75" x14ac:dyDescent="0.25">
      <c r="A1298" s="11"/>
    </row>
    <row r="1299" spans="1:1" ht="15.75" x14ac:dyDescent="0.25">
      <c r="A1299" s="11"/>
    </row>
    <row r="1300" spans="1:1" ht="15.75" x14ac:dyDescent="0.25">
      <c r="A1300" s="11"/>
    </row>
    <row r="1301" spans="1:1" ht="15.75" x14ac:dyDescent="0.25">
      <c r="A1301" s="11"/>
    </row>
    <row r="1302" spans="1:1" ht="15.75" x14ac:dyDescent="0.25">
      <c r="A1302" s="11"/>
    </row>
    <row r="1303" spans="1:1" ht="15.75" x14ac:dyDescent="0.25">
      <c r="A1303" s="11"/>
    </row>
    <row r="1304" spans="1:1" ht="15.75" x14ac:dyDescent="0.25">
      <c r="A1304" s="11"/>
    </row>
    <row r="1305" spans="1:1" ht="15.75" x14ac:dyDescent="0.25">
      <c r="A1305" s="11"/>
    </row>
    <row r="1306" spans="1:1" ht="15.75" x14ac:dyDescent="0.25">
      <c r="A1306" s="11"/>
    </row>
    <row r="1307" spans="1:1" ht="15.75" x14ac:dyDescent="0.25">
      <c r="A1307" s="11"/>
    </row>
    <row r="1308" spans="1:1" ht="15.75" x14ac:dyDescent="0.25">
      <c r="A1308" s="11"/>
    </row>
    <row r="1309" spans="1:1" ht="15.75" x14ac:dyDescent="0.25">
      <c r="A1309" s="11"/>
    </row>
    <row r="1310" spans="1:1" ht="15.75" x14ac:dyDescent="0.25">
      <c r="A1310" s="11"/>
    </row>
    <row r="1311" spans="1:1" ht="15.75" x14ac:dyDescent="0.25">
      <c r="A1311" s="11"/>
    </row>
    <row r="1312" spans="1:1" ht="15.75" x14ac:dyDescent="0.25">
      <c r="A1312" s="11"/>
    </row>
    <row r="1313" spans="1:1" ht="15.75" x14ac:dyDescent="0.25">
      <c r="A1313" s="11"/>
    </row>
    <row r="1314" spans="1:1" ht="15.75" x14ac:dyDescent="0.25">
      <c r="A1314" s="11"/>
    </row>
    <row r="1315" spans="1:1" ht="15.75" x14ac:dyDescent="0.25">
      <c r="A1315" s="11"/>
    </row>
    <row r="1316" spans="1:1" ht="15.75" x14ac:dyDescent="0.25">
      <c r="A1316" s="11"/>
    </row>
    <row r="1317" spans="1:1" ht="15.75" x14ac:dyDescent="0.25">
      <c r="A1317" s="11"/>
    </row>
    <row r="1318" spans="1:1" ht="15.75" x14ac:dyDescent="0.25">
      <c r="A1318" s="11"/>
    </row>
    <row r="1319" spans="1:1" ht="15.75" x14ac:dyDescent="0.25">
      <c r="A1319" s="11"/>
    </row>
    <row r="1320" spans="1:1" ht="15.75" x14ac:dyDescent="0.25">
      <c r="A1320" s="11"/>
    </row>
    <row r="1321" spans="1:1" ht="15.75" x14ac:dyDescent="0.25">
      <c r="A1321" s="11"/>
    </row>
    <row r="1322" spans="1:1" ht="15.75" x14ac:dyDescent="0.25">
      <c r="A1322" s="11"/>
    </row>
    <row r="1323" spans="1:1" ht="15.75" x14ac:dyDescent="0.25">
      <c r="A1323" s="11"/>
    </row>
    <row r="1324" spans="1:1" ht="15.75" x14ac:dyDescent="0.25">
      <c r="A1324" s="11"/>
    </row>
    <row r="1325" spans="1:1" ht="15.75" x14ac:dyDescent="0.25">
      <c r="A1325" s="11"/>
    </row>
    <row r="1326" spans="1:1" ht="15.75" x14ac:dyDescent="0.25">
      <c r="A1326" s="11"/>
    </row>
    <row r="1327" spans="1:1" ht="15.75" x14ac:dyDescent="0.25">
      <c r="A1327" s="11"/>
    </row>
    <row r="1328" spans="1:1" ht="15.75" x14ac:dyDescent="0.25">
      <c r="A1328" s="11"/>
    </row>
    <row r="1329" spans="1:1" ht="15.75" x14ac:dyDescent="0.25">
      <c r="A1329" s="11"/>
    </row>
    <row r="1330" spans="1:1" ht="15.75" x14ac:dyDescent="0.25">
      <c r="A1330" s="11"/>
    </row>
    <row r="1331" spans="1:1" ht="15.75" x14ac:dyDescent="0.25">
      <c r="A1331" s="11"/>
    </row>
    <row r="1332" spans="1:1" ht="15.75" x14ac:dyDescent="0.25">
      <c r="A1332" s="11"/>
    </row>
    <row r="1333" spans="1:1" ht="15.75" x14ac:dyDescent="0.25">
      <c r="A1333" s="11"/>
    </row>
    <row r="1334" spans="1:1" ht="15.75" x14ac:dyDescent="0.25">
      <c r="A1334" s="11"/>
    </row>
    <row r="1335" spans="1:1" ht="15.75" x14ac:dyDescent="0.25">
      <c r="A1335" s="11"/>
    </row>
    <row r="1336" spans="1:1" ht="15.75" x14ac:dyDescent="0.25">
      <c r="A1336" s="11"/>
    </row>
    <row r="1337" spans="1:1" ht="15.75" x14ac:dyDescent="0.25">
      <c r="A1337" s="11"/>
    </row>
    <row r="1338" spans="1:1" ht="15.75" x14ac:dyDescent="0.25">
      <c r="A1338" s="11"/>
    </row>
    <row r="1339" spans="1:1" ht="15.75" x14ac:dyDescent="0.25">
      <c r="A1339" s="11"/>
    </row>
    <row r="1340" spans="1:1" ht="15.75" x14ac:dyDescent="0.25">
      <c r="A1340" s="11"/>
    </row>
    <row r="1341" spans="1:1" ht="15.75" x14ac:dyDescent="0.25">
      <c r="A1341" s="11"/>
    </row>
    <row r="1342" spans="1:1" ht="15.75" x14ac:dyDescent="0.25">
      <c r="A1342" s="11"/>
    </row>
    <row r="1343" spans="1:1" ht="15.75" x14ac:dyDescent="0.25">
      <c r="A1343" s="11"/>
    </row>
    <row r="1344" spans="1:1" ht="15.75" x14ac:dyDescent="0.25">
      <c r="A1344" s="11"/>
    </row>
    <row r="1345" spans="1:1" ht="15.75" x14ac:dyDescent="0.25">
      <c r="A1345" s="11"/>
    </row>
    <row r="1346" spans="1:1" ht="15.75" x14ac:dyDescent="0.25">
      <c r="A1346" s="11"/>
    </row>
    <row r="1347" spans="1:1" ht="15.75" x14ac:dyDescent="0.25">
      <c r="A1347" s="11"/>
    </row>
    <row r="1348" spans="1:1" ht="15.75" x14ac:dyDescent="0.25">
      <c r="A1348" s="11"/>
    </row>
    <row r="1349" spans="1:1" ht="15.75" x14ac:dyDescent="0.25">
      <c r="A1349" s="11"/>
    </row>
    <row r="1350" spans="1:1" ht="15.75" x14ac:dyDescent="0.25">
      <c r="A1350" s="11"/>
    </row>
    <row r="1351" spans="1:1" ht="15.75" x14ac:dyDescent="0.25">
      <c r="A1351" s="11"/>
    </row>
    <row r="1352" spans="1:1" ht="15.75" x14ac:dyDescent="0.25">
      <c r="A1352" s="11"/>
    </row>
    <row r="1353" spans="1:1" ht="15.75" x14ac:dyDescent="0.25">
      <c r="A1353" s="11"/>
    </row>
    <row r="1354" spans="1:1" ht="15.75" x14ac:dyDescent="0.25">
      <c r="A1354" s="11"/>
    </row>
    <row r="1355" spans="1:1" ht="15.75" x14ac:dyDescent="0.25">
      <c r="A1355" s="11"/>
    </row>
    <row r="1356" spans="1:1" ht="15.75" x14ac:dyDescent="0.25">
      <c r="A1356" s="11"/>
    </row>
    <row r="1357" spans="1:1" ht="15.75" x14ac:dyDescent="0.25">
      <c r="A1357" s="11"/>
    </row>
    <row r="1358" spans="1:1" ht="15.75" x14ac:dyDescent="0.25">
      <c r="A1358" s="11"/>
    </row>
    <row r="1359" spans="1:1" ht="15.75" x14ac:dyDescent="0.25">
      <c r="A1359" s="11"/>
    </row>
    <row r="1360" spans="1:1" ht="15.75" x14ac:dyDescent="0.25">
      <c r="A1360" s="11"/>
    </row>
    <row r="1361" spans="1:1" ht="15.75" x14ac:dyDescent="0.25">
      <c r="A1361" s="11"/>
    </row>
    <row r="1362" spans="1:1" ht="15.75" x14ac:dyDescent="0.25">
      <c r="A1362" s="11"/>
    </row>
    <row r="1363" spans="1:1" ht="15.75" x14ac:dyDescent="0.25">
      <c r="A1363" s="11"/>
    </row>
    <row r="1364" spans="1:1" ht="15.75" x14ac:dyDescent="0.25">
      <c r="A1364" s="11"/>
    </row>
    <row r="1365" spans="1:1" ht="15.75" x14ac:dyDescent="0.25">
      <c r="A1365" s="11"/>
    </row>
    <row r="1366" spans="1:1" ht="15.75" x14ac:dyDescent="0.25">
      <c r="A1366" s="11"/>
    </row>
    <row r="1367" spans="1:1" ht="15.75" x14ac:dyDescent="0.25">
      <c r="A1367" s="11"/>
    </row>
    <row r="1368" spans="1:1" ht="15.75" x14ac:dyDescent="0.25">
      <c r="A1368" s="11"/>
    </row>
    <row r="1369" spans="1:1" ht="15.75" x14ac:dyDescent="0.25">
      <c r="A1369" s="11"/>
    </row>
    <row r="1370" spans="1:1" ht="15.75" x14ac:dyDescent="0.25">
      <c r="A1370" s="11"/>
    </row>
    <row r="1371" spans="1:1" ht="15.75" x14ac:dyDescent="0.25">
      <c r="A1371" s="11"/>
    </row>
    <row r="1372" spans="1:1" ht="15.75" x14ac:dyDescent="0.25">
      <c r="A1372" s="11"/>
    </row>
    <row r="1373" spans="1:1" ht="15.75" x14ac:dyDescent="0.25">
      <c r="A1373" s="11"/>
    </row>
    <row r="1374" spans="1:1" ht="15.75" x14ac:dyDescent="0.25">
      <c r="A1374" s="11"/>
    </row>
    <row r="1375" spans="1:1" ht="15.75" x14ac:dyDescent="0.25">
      <c r="A1375" s="11"/>
    </row>
    <row r="1376" spans="1:1" ht="15.75" x14ac:dyDescent="0.25">
      <c r="A1376" s="11"/>
    </row>
    <row r="1377" spans="1:1" ht="15.75" x14ac:dyDescent="0.25">
      <c r="A1377" s="11"/>
    </row>
    <row r="1378" spans="1:1" ht="15.75" x14ac:dyDescent="0.25">
      <c r="A1378" s="11"/>
    </row>
    <row r="1379" spans="1:1" ht="15.75" x14ac:dyDescent="0.25">
      <c r="A1379" s="11"/>
    </row>
    <row r="1380" spans="1:1" ht="15.75" x14ac:dyDescent="0.25">
      <c r="A1380" s="11"/>
    </row>
    <row r="1381" spans="1:1" ht="15.75" x14ac:dyDescent="0.25">
      <c r="A1381" s="11"/>
    </row>
    <row r="1382" spans="1:1" ht="15.75" x14ac:dyDescent="0.25">
      <c r="A1382" s="11"/>
    </row>
    <row r="1383" spans="1:1" ht="15.75" x14ac:dyDescent="0.25">
      <c r="A1383" s="11"/>
    </row>
    <row r="1384" spans="1:1" ht="15.75" x14ac:dyDescent="0.25">
      <c r="A1384" s="11"/>
    </row>
    <row r="1385" spans="1:1" ht="15.75" x14ac:dyDescent="0.25">
      <c r="A1385" s="11"/>
    </row>
    <row r="1386" spans="1:1" ht="15.75" x14ac:dyDescent="0.25">
      <c r="A1386" s="11"/>
    </row>
    <row r="1387" spans="1:1" ht="15.75" x14ac:dyDescent="0.25">
      <c r="A1387" s="11"/>
    </row>
    <row r="1388" spans="1:1" ht="15.75" x14ac:dyDescent="0.25">
      <c r="A1388" s="11"/>
    </row>
    <row r="1389" spans="1:1" ht="15.75" x14ac:dyDescent="0.25">
      <c r="A1389" s="11"/>
    </row>
    <row r="1390" spans="1:1" ht="15.75" x14ac:dyDescent="0.25">
      <c r="A1390" s="11"/>
    </row>
    <row r="1391" spans="1:1" ht="15.75" x14ac:dyDescent="0.25">
      <c r="A1391" s="11"/>
    </row>
    <row r="1392" spans="1:1" ht="15.75" x14ac:dyDescent="0.25">
      <c r="A1392" s="11"/>
    </row>
    <row r="1393" spans="1:1" ht="15.75" x14ac:dyDescent="0.25">
      <c r="A1393" s="11"/>
    </row>
    <row r="1394" spans="1:1" ht="15.75" x14ac:dyDescent="0.25">
      <c r="A1394" s="11"/>
    </row>
    <row r="1395" spans="1:1" ht="15.75" x14ac:dyDescent="0.25">
      <c r="A1395" s="11"/>
    </row>
    <row r="1396" spans="1:1" ht="15.75" x14ac:dyDescent="0.25">
      <c r="A1396" s="11"/>
    </row>
    <row r="1397" spans="1:1" ht="15.75" x14ac:dyDescent="0.25">
      <c r="A1397" s="11"/>
    </row>
    <row r="1398" spans="1:1" ht="15.75" x14ac:dyDescent="0.25">
      <c r="A1398" s="11"/>
    </row>
    <row r="1399" spans="1:1" ht="15.75" x14ac:dyDescent="0.25">
      <c r="A1399" s="11"/>
    </row>
    <row r="1400" spans="1:1" ht="15.75" x14ac:dyDescent="0.25">
      <c r="A1400" s="11"/>
    </row>
    <row r="1401" spans="1:1" ht="15.75" x14ac:dyDescent="0.25">
      <c r="A1401" s="11"/>
    </row>
    <row r="1402" spans="1:1" ht="15.75" x14ac:dyDescent="0.25">
      <c r="A1402" s="11"/>
    </row>
    <row r="1403" spans="1:1" ht="15.75" x14ac:dyDescent="0.25">
      <c r="A1403" s="11"/>
    </row>
    <row r="1404" spans="1:1" ht="15.75" x14ac:dyDescent="0.25">
      <c r="A1404" s="11"/>
    </row>
    <row r="1405" spans="1:1" ht="15.75" x14ac:dyDescent="0.25">
      <c r="A1405" s="11"/>
    </row>
    <row r="1406" spans="1:1" ht="15.75" x14ac:dyDescent="0.25">
      <c r="A1406" s="11"/>
    </row>
    <row r="1407" spans="1:1" ht="15.75" x14ac:dyDescent="0.25">
      <c r="A1407" s="11"/>
    </row>
    <row r="1408" spans="1:1" ht="15.75" x14ac:dyDescent="0.25">
      <c r="A1408" s="11"/>
    </row>
    <row r="1409" spans="1:1" ht="15.75" x14ac:dyDescent="0.25">
      <c r="A1409" s="11"/>
    </row>
    <row r="1410" spans="1:1" ht="15.75" x14ac:dyDescent="0.25">
      <c r="A1410" s="11"/>
    </row>
    <row r="1411" spans="1:1" ht="15.75" x14ac:dyDescent="0.25">
      <c r="A1411" s="11"/>
    </row>
    <row r="1412" spans="1:1" ht="15.75" x14ac:dyDescent="0.25">
      <c r="A1412" s="11"/>
    </row>
    <row r="1413" spans="1:1" ht="15.75" x14ac:dyDescent="0.25">
      <c r="A1413" s="11"/>
    </row>
    <row r="1414" spans="1:1" ht="15.75" x14ac:dyDescent="0.25">
      <c r="A1414" s="11"/>
    </row>
    <row r="1415" spans="1:1" ht="15.75" x14ac:dyDescent="0.25">
      <c r="A1415" s="11"/>
    </row>
    <row r="1416" spans="1:1" ht="15.75" x14ac:dyDescent="0.25">
      <c r="A1416" s="11"/>
    </row>
    <row r="1417" spans="1:1" ht="15.75" x14ac:dyDescent="0.25">
      <c r="A1417" s="11"/>
    </row>
    <row r="1418" spans="1:1" ht="15.75" x14ac:dyDescent="0.25">
      <c r="A1418" s="11"/>
    </row>
    <row r="1419" spans="1:1" ht="15.75" x14ac:dyDescent="0.25">
      <c r="A1419" s="11"/>
    </row>
    <row r="1420" spans="1:1" ht="15.75" x14ac:dyDescent="0.25">
      <c r="A1420" s="11"/>
    </row>
    <row r="1421" spans="1:1" ht="15.75" x14ac:dyDescent="0.25">
      <c r="A1421" s="11"/>
    </row>
    <row r="1422" spans="1:1" ht="15.75" x14ac:dyDescent="0.25">
      <c r="A1422" s="11"/>
    </row>
    <row r="1423" spans="1:1" ht="15.75" x14ac:dyDescent="0.25">
      <c r="A1423" s="11"/>
    </row>
    <row r="1424" spans="1:1" ht="15.75" x14ac:dyDescent="0.25">
      <c r="A1424" s="11"/>
    </row>
    <row r="1425" spans="1:1" ht="15.75" x14ac:dyDescent="0.25">
      <c r="A1425" s="11"/>
    </row>
    <row r="1426" spans="1:1" ht="15.75" x14ac:dyDescent="0.25">
      <c r="A1426" s="11"/>
    </row>
    <row r="1427" spans="1:1" ht="15.75" x14ac:dyDescent="0.25">
      <c r="A1427" s="11"/>
    </row>
    <row r="1428" spans="1:1" ht="15.75" x14ac:dyDescent="0.25">
      <c r="A1428" s="11"/>
    </row>
    <row r="1429" spans="1:1" ht="15.75" x14ac:dyDescent="0.25">
      <c r="A1429" s="11"/>
    </row>
    <row r="1430" spans="1:1" ht="15.75" x14ac:dyDescent="0.25">
      <c r="A1430" s="11"/>
    </row>
    <row r="1431" spans="1:1" ht="15.75" x14ac:dyDescent="0.25">
      <c r="A1431" s="11"/>
    </row>
    <row r="1432" spans="1:1" ht="15.75" x14ac:dyDescent="0.25">
      <c r="A1432" s="11"/>
    </row>
    <row r="1433" spans="1:1" ht="15.75" x14ac:dyDescent="0.25">
      <c r="A1433" s="11"/>
    </row>
    <row r="1434" spans="1:1" ht="15.75" x14ac:dyDescent="0.25">
      <c r="A1434" s="11"/>
    </row>
    <row r="1435" spans="1:1" ht="15.75" x14ac:dyDescent="0.25">
      <c r="A1435" s="11"/>
    </row>
    <row r="1436" spans="1:1" ht="15.75" x14ac:dyDescent="0.25">
      <c r="A1436" s="11"/>
    </row>
    <row r="1437" spans="1:1" ht="15.75" x14ac:dyDescent="0.25">
      <c r="A1437" s="11"/>
    </row>
    <row r="1438" spans="1:1" ht="15.75" x14ac:dyDescent="0.25">
      <c r="A1438" s="11"/>
    </row>
    <row r="1439" spans="1:1" ht="15.75" x14ac:dyDescent="0.25">
      <c r="A1439" s="11"/>
    </row>
    <row r="1440" spans="1:1" ht="15.75" x14ac:dyDescent="0.25">
      <c r="A1440" s="11"/>
    </row>
    <row r="1441" spans="1:1" ht="15.75" x14ac:dyDescent="0.25">
      <c r="A1441" s="11"/>
    </row>
    <row r="1442" spans="1:1" ht="15.75" x14ac:dyDescent="0.25">
      <c r="A1442" s="11"/>
    </row>
    <row r="1443" spans="1:1" ht="15.75" x14ac:dyDescent="0.25">
      <c r="A1443" s="11"/>
    </row>
    <row r="1444" spans="1:1" ht="15.75" x14ac:dyDescent="0.25">
      <c r="A1444" s="11"/>
    </row>
    <row r="1445" spans="1:1" ht="15.75" x14ac:dyDescent="0.25">
      <c r="A1445" s="11"/>
    </row>
    <row r="1446" spans="1:1" ht="15.75" x14ac:dyDescent="0.25">
      <c r="A1446" s="11"/>
    </row>
    <row r="1447" spans="1:1" ht="15.75" x14ac:dyDescent="0.25">
      <c r="A1447" s="11"/>
    </row>
    <row r="1448" spans="1:1" ht="15.75" x14ac:dyDescent="0.25">
      <c r="A1448" s="11"/>
    </row>
    <row r="1449" spans="1:1" ht="15.75" x14ac:dyDescent="0.25">
      <c r="A1449" s="11"/>
    </row>
    <row r="1450" spans="1:1" ht="15.75" x14ac:dyDescent="0.25">
      <c r="A1450" s="11"/>
    </row>
    <row r="1451" spans="1:1" ht="15.75" x14ac:dyDescent="0.25">
      <c r="A1451" s="11"/>
    </row>
    <row r="1452" spans="1:1" ht="15.75" x14ac:dyDescent="0.25">
      <c r="A1452" s="11"/>
    </row>
    <row r="1453" spans="1:1" ht="15.75" x14ac:dyDescent="0.25">
      <c r="A1453" s="11"/>
    </row>
    <row r="1454" spans="1:1" ht="15.75" x14ac:dyDescent="0.25">
      <c r="A1454" s="11"/>
    </row>
    <row r="1455" spans="1:1" ht="15.75" x14ac:dyDescent="0.25">
      <c r="A1455" s="11"/>
    </row>
    <row r="1456" spans="1:1" ht="15.75" x14ac:dyDescent="0.25">
      <c r="A1456" s="11"/>
    </row>
    <row r="1457" spans="1:1" ht="15.75" x14ac:dyDescent="0.25">
      <c r="A1457" s="11"/>
    </row>
    <row r="1458" spans="1:1" ht="15.75" x14ac:dyDescent="0.25">
      <c r="A1458" s="11"/>
    </row>
    <row r="1459" spans="1:1" ht="15.75" x14ac:dyDescent="0.25">
      <c r="A1459" s="11"/>
    </row>
    <row r="1460" spans="1:1" ht="15.75" x14ac:dyDescent="0.25">
      <c r="A1460" s="11"/>
    </row>
    <row r="1461" spans="1:1" ht="15.75" x14ac:dyDescent="0.25">
      <c r="A1461" s="11"/>
    </row>
    <row r="1462" spans="1:1" ht="15.75" x14ac:dyDescent="0.25">
      <c r="A1462" s="11"/>
    </row>
    <row r="1463" spans="1:1" ht="15.75" x14ac:dyDescent="0.25">
      <c r="A1463" s="11"/>
    </row>
    <row r="1464" spans="1:1" ht="15.75" x14ac:dyDescent="0.25">
      <c r="A1464" s="11"/>
    </row>
    <row r="1465" spans="1:1" ht="15.75" x14ac:dyDescent="0.25">
      <c r="A1465" s="11"/>
    </row>
    <row r="1466" spans="1:1" ht="15.75" x14ac:dyDescent="0.25">
      <c r="A1466" s="11"/>
    </row>
    <row r="1467" spans="1:1" ht="15.75" x14ac:dyDescent="0.25">
      <c r="A1467" s="11"/>
    </row>
    <row r="1468" spans="1:1" ht="15.75" x14ac:dyDescent="0.25">
      <c r="A1468" s="11"/>
    </row>
    <row r="1469" spans="1:1" ht="15.75" x14ac:dyDescent="0.25">
      <c r="A1469" s="11"/>
    </row>
    <row r="1470" spans="1:1" ht="15.75" x14ac:dyDescent="0.25">
      <c r="A1470" s="11"/>
    </row>
    <row r="1471" spans="1:1" ht="15.75" x14ac:dyDescent="0.25">
      <c r="A1471" s="11"/>
    </row>
    <row r="1472" spans="1:1" ht="15.75" x14ac:dyDescent="0.25">
      <c r="A1472" s="11"/>
    </row>
    <row r="1473" spans="1:1" ht="15.75" x14ac:dyDescent="0.25">
      <c r="A1473" s="11"/>
    </row>
    <row r="1474" spans="1:1" ht="15.75" x14ac:dyDescent="0.25">
      <c r="A1474" s="11"/>
    </row>
    <row r="1475" spans="1:1" ht="15.75" x14ac:dyDescent="0.25">
      <c r="A1475" s="11"/>
    </row>
    <row r="1476" spans="1:1" ht="15.75" x14ac:dyDescent="0.25">
      <c r="A1476" s="11"/>
    </row>
    <row r="1477" spans="1:1" ht="15.75" x14ac:dyDescent="0.25">
      <c r="A1477" s="11"/>
    </row>
    <row r="1478" spans="1:1" ht="15.75" x14ac:dyDescent="0.25">
      <c r="A1478" s="11"/>
    </row>
    <row r="1479" spans="1:1" ht="15.75" x14ac:dyDescent="0.25">
      <c r="A1479" s="11"/>
    </row>
    <row r="1480" spans="1:1" ht="15.75" x14ac:dyDescent="0.25">
      <c r="A1480" s="11"/>
    </row>
    <row r="1481" spans="1:1" ht="15.75" x14ac:dyDescent="0.25">
      <c r="A1481" s="11"/>
    </row>
    <row r="1482" spans="1:1" ht="15.75" x14ac:dyDescent="0.25">
      <c r="A1482" s="11"/>
    </row>
    <row r="1483" spans="1:1" ht="15.75" x14ac:dyDescent="0.25">
      <c r="A1483" s="11"/>
    </row>
    <row r="1484" spans="1:1" ht="15.75" x14ac:dyDescent="0.25">
      <c r="A1484" s="11"/>
    </row>
    <row r="1485" spans="1:1" ht="15.75" x14ac:dyDescent="0.25">
      <c r="A1485" s="11"/>
    </row>
    <row r="1486" spans="1:1" ht="15.75" x14ac:dyDescent="0.25">
      <c r="A1486" s="11"/>
    </row>
    <row r="1487" spans="1:1" ht="15.75" x14ac:dyDescent="0.25">
      <c r="A1487" s="11"/>
    </row>
    <row r="1488" spans="1:1" ht="15.75" x14ac:dyDescent="0.25">
      <c r="A1488" s="11"/>
    </row>
    <row r="1489" spans="1:1" ht="15.75" x14ac:dyDescent="0.25">
      <c r="A1489" s="11"/>
    </row>
    <row r="1490" spans="1:1" ht="15.75" x14ac:dyDescent="0.25">
      <c r="A1490" s="11"/>
    </row>
    <row r="1491" spans="1:1" ht="15.75" x14ac:dyDescent="0.25">
      <c r="A1491" s="11"/>
    </row>
    <row r="1492" spans="1:1" ht="15.75" x14ac:dyDescent="0.25">
      <c r="A1492" s="11"/>
    </row>
    <row r="1493" spans="1:1" ht="15.75" x14ac:dyDescent="0.25">
      <c r="A1493" s="11"/>
    </row>
    <row r="1494" spans="1:1" ht="15.75" x14ac:dyDescent="0.25">
      <c r="A1494" s="11"/>
    </row>
    <row r="1495" spans="1:1" ht="15.75" x14ac:dyDescent="0.25">
      <c r="A1495" s="11"/>
    </row>
    <row r="1496" spans="1:1" ht="15.75" x14ac:dyDescent="0.25">
      <c r="A1496" s="11"/>
    </row>
    <row r="1497" spans="1:1" ht="15.75" x14ac:dyDescent="0.25">
      <c r="A1497" s="11"/>
    </row>
    <row r="1498" spans="1:1" ht="15.75" x14ac:dyDescent="0.25">
      <c r="A1498" s="11"/>
    </row>
    <row r="1499" spans="1:1" ht="15.75" x14ac:dyDescent="0.25">
      <c r="A1499" s="11"/>
    </row>
    <row r="1500" spans="1:1" ht="15.75" x14ac:dyDescent="0.25">
      <c r="A1500" s="11"/>
    </row>
    <row r="1501" spans="1:1" ht="15.75" x14ac:dyDescent="0.25">
      <c r="A1501" s="11"/>
    </row>
    <row r="1502" spans="1:1" ht="15.75" x14ac:dyDescent="0.25">
      <c r="A1502" s="11"/>
    </row>
    <row r="1503" spans="1:1" ht="15.75" x14ac:dyDescent="0.25">
      <c r="A1503" s="11"/>
    </row>
    <row r="1504" spans="1:1" ht="15.75" x14ac:dyDescent="0.25">
      <c r="A1504" s="11"/>
    </row>
    <row r="1505" spans="1:1" ht="15.75" x14ac:dyDescent="0.25">
      <c r="A1505" s="11"/>
    </row>
    <row r="1506" spans="1:1" ht="15.75" x14ac:dyDescent="0.25">
      <c r="A1506" s="11"/>
    </row>
    <row r="1507" spans="1:1" ht="15.75" x14ac:dyDescent="0.25">
      <c r="A1507" s="11"/>
    </row>
    <row r="1508" spans="1:1" ht="15.75" x14ac:dyDescent="0.25">
      <c r="A1508" s="11"/>
    </row>
    <row r="1509" spans="1:1" ht="15.75" x14ac:dyDescent="0.25">
      <c r="A1509" s="11"/>
    </row>
    <row r="1510" spans="1:1" ht="15.75" x14ac:dyDescent="0.25">
      <c r="A1510" s="11"/>
    </row>
    <row r="1511" spans="1:1" ht="15.75" x14ac:dyDescent="0.25">
      <c r="A1511" s="11"/>
    </row>
    <row r="1512" spans="1:1" ht="15.75" x14ac:dyDescent="0.25">
      <c r="A1512" s="11"/>
    </row>
    <row r="1513" spans="1:1" ht="15.75" x14ac:dyDescent="0.25">
      <c r="A1513" s="11"/>
    </row>
    <row r="1514" spans="1:1" ht="15.75" x14ac:dyDescent="0.25">
      <c r="A1514" s="11"/>
    </row>
    <row r="1515" spans="1:1" ht="15.75" x14ac:dyDescent="0.25">
      <c r="A1515" s="11"/>
    </row>
    <row r="1516" spans="1:1" ht="15.75" x14ac:dyDescent="0.25">
      <c r="A1516" s="11"/>
    </row>
    <row r="1517" spans="1:1" ht="15.75" x14ac:dyDescent="0.25">
      <c r="A1517" s="11"/>
    </row>
    <row r="1518" spans="1:1" ht="15.75" x14ac:dyDescent="0.25">
      <c r="A1518" s="11"/>
    </row>
    <row r="1519" spans="1:1" ht="15.75" x14ac:dyDescent="0.25">
      <c r="A1519" s="11"/>
    </row>
    <row r="1520" spans="1:1" ht="15.75" x14ac:dyDescent="0.25">
      <c r="A1520" s="11"/>
    </row>
    <row r="1521" spans="1:1" ht="15.75" x14ac:dyDescent="0.25">
      <c r="A1521" s="11"/>
    </row>
    <row r="1522" spans="1:1" ht="15.75" x14ac:dyDescent="0.25">
      <c r="A1522" s="11"/>
    </row>
    <row r="1523" spans="1:1" ht="15.75" x14ac:dyDescent="0.25">
      <c r="A1523" s="11"/>
    </row>
    <row r="1524" spans="1:1" ht="15.75" x14ac:dyDescent="0.25">
      <c r="A1524" s="11"/>
    </row>
    <row r="1525" spans="1:1" ht="15.75" x14ac:dyDescent="0.25">
      <c r="A1525" s="11"/>
    </row>
    <row r="1526" spans="1:1" ht="15.75" x14ac:dyDescent="0.25">
      <c r="A1526" s="11"/>
    </row>
    <row r="1527" spans="1:1" ht="15.75" x14ac:dyDescent="0.25">
      <c r="A1527" s="11"/>
    </row>
    <row r="1528" spans="1:1" ht="15.75" x14ac:dyDescent="0.25">
      <c r="A1528" s="11"/>
    </row>
    <row r="1529" spans="1:1" ht="15.75" x14ac:dyDescent="0.25">
      <c r="A1529" s="11"/>
    </row>
    <row r="1530" spans="1:1" ht="15.75" x14ac:dyDescent="0.25">
      <c r="A1530" s="11"/>
    </row>
    <row r="1531" spans="1:1" ht="15.75" x14ac:dyDescent="0.25">
      <c r="A1531" s="11"/>
    </row>
    <row r="1532" spans="1:1" ht="15.75" x14ac:dyDescent="0.25">
      <c r="A1532" s="11"/>
    </row>
    <row r="1533" spans="1:1" ht="15.75" x14ac:dyDescent="0.25">
      <c r="A1533" s="11"/>
    </row>
    <row r="1534" spans="1:1" ht="15.75" x14ac:dyDescent="0.25">
      <c r="A1534" s="11"/>
    </row>
    <row r="1535" spans="1:1" ht="15.75" x14ac:dyDescent="0.25">
      <c r="A1535" s="11"/>
    </row>
    <row r="1536" spans="1:1" ht="15.75" x14ac:dyDescent="0.25">
      <c r="A1536" s="11"/>
    </row>
    <row r="1537" spans="1:1" ht="15.75" x14ac:dyDescent="0.25">
      <c r="A1537" s="11"/>
    </row>
    <row r="1538" spans="1:1" ht="15.75" x14ac:dyDescent="0.25">
      <c r="A1538" s="11"/>
    </row>
    <row r="1539" spans="1:1" ht="15.75" x14ac:dyDescent="0.25">
      <c r="A1539" s="11"/>
    </row>
    <row r="1540" spans="1:1" ht="15.75" x14ac:dyDescent="0.25">
      <c r="A1540" s="11"/>
    </row>
    <row r="1541" spans="1:1" ht="15.75" x14ac:dyDescent="0.25">
      <c r="A1541" s="11"/>
    </row>
    <row r="1542" spans="1:1" ht="15.75" x14ac:dyDescent="0.25">
      <c r="A1542" s="11"/>
    </row>
    <row r="1543" spans="1:1" ht="15.75" x14ac:dyDescent="0.25">
      <c r="A1543" s="11"/>
    </row>
    <row r="1544" spans="1:1" ht="15.75" x14ac:dyDescent="0.25">
      <c r="A1544" s="11"/>
    </row>
    <row r="1545" spans="1:1" ht="15.75" x14ac:dyDescent="0.25">
      <c r="A1545" s="11"/>
    </row>
    <row r="1546" spans="1:1" ht="15.75" x14ac:dyDescent="0.25">
      <c r="A1546" s="11"/>
    </row>
    <row r="1547" spans="1:1" ht="15.75" x14ac:dyDescent="0.25">
      <c r="A1547" s="11"/>
    </row>
    <row r="1548" spans="1:1" ht="15.75" x14ac:dyDescent="0.25">
      <c r="A1548" s="11"/>
    </row>
    <row r="1549" spans="1:1" ht="15.75" x14ac:dyDescent="0.25">
      <c r="A1549" s="11"/>
    </row>
    <row r="1550" spans="1:1" ht="15.75" x14ac:dyDescent="0.25">
      <c r="A1550" s="11"/>
    </row>
    <row r="1551" spans="1:1" ht="15.75" x14ac:dyDescent="0.25">
      <c r="A1551" s="11"/>
    </row>
    <row r="1552" spans="1:1" ht="15.75" x14ac:dyDescent="0.25">
      <c r="A1552" s="11"/>
    </row>
    <row r="1553" spans="1:1" ht="15.75" x14ac:dyDescent="0.25">
      <c r="A1553" s="11"/>
    </row>
    <row r="1554" spans="1:1" ht="15.75" x14ac:dyDescent="0.25">
      <c r="A1554" s="11"/>
    </row>
    <row r="1555" spans="1:1" ht="15.75" x14ac:dyDescent="0.25">
      <c r="A1555" s="11"/>
    </row>
    <row r="1556" spans="1:1" ht="15.75" x14ac:dyDescent="0.25">
      <c r="A1556" s="11"/>
    </row>
    <row r="1557" spans="1:1" ht="15.75" x14ac:dyDescent="0.25">
      <c r="A1557" s="11"/>
    </row>
    <row r="1558" spans="1:1" ht="15.75" x14ac:dyDescent="0.25">
      <c r="A1558" s="11"/>
    </row>
    <row r="1559" spans="1:1" ht="15.75" x14ac:dyDescent="0.25">
      <c r="A1559" s="11"/>
    </row>
    <row r="1560" spans="1:1" ht="15.75" x14ac:dyDescent="0.25">
      <c r="A1560" s="11"/>
    </row>
    <row r="1561" spans="1:1" ht="15.75" x14ac:dyDescent="0.25">
      <c r="A1561" s="11"/>
    </row>
    <row r="1562" spans="1:1" ht="15.75" x14ac:dyDescent="0.25">
      <c r="A1562" s="11"/>
    </row>
    <row r="1563" spans="1:1" ht="15.75" x14ac:dyDescent="0.25">
      <c r="A1563" s="11"/>
    </row>
    <row r="1564" spans="1:1" ht="15.75" x14ac:dyDescent="0.25">
      <c r="A1564" s="11"/>
    </row>
    <row r="1565" spans="1:1" ht="15.75" x14ac:dyDescent="0.25">
      <c r="A1565" s="11"/>
    </row>
    <row r="1566" spans="1:1" ht="15.75" x14ac:dyDescent="0.25">
      <c r="A1566" s="11"/>
    </row>
    <row r="1567" spans="1:1" ht="15.75" x14ac:dyDescent="0.25">
      <c r="A1567" s="11"/>
    </row>
    <row r="1568" spans="1:1" ht="15.75" x14ac:dyDescent="0.25">
      <c r="A1568" s="11"/>
    </row>
    <row r="1569" spans="1:1" ht="15.75" x14ac:dyDescent="0.25">
      <c r="A1569" s="11"/>
    </row>
    <row r="1570" spans="1:1" ht="15.75" x14ac:dyDescent="0.25">
      <c r="A1570" s="11"/>
    </row>
    <row r="1571" spans="1:1" ht="15.75" x14ac:dyDescent="0.25">
      <c r="A1571" s="11"/>
    </row>
    <row r="1572" spans="1:1" ht="15.75" x14ac:dyDescent="0.25">
      <c r="A1572" s="11"/>
    </row>
    <row r="1573" spans="1:1" ht="15.75" x14ac:dyDescent="0.25">
      <c r="A1573" s="11"/>
    </row>
    <row r="1574" spans="1:1" ht="15.75" x14ac:dyDescent="0.25">
      <c r="A1574" s="11"/>
    </row>
    <row r="1575" spans="1:1" ht="15.75" x14ac:dyDescent="0.25">
      <c r="A1575" s="11"/>
    </row>
    <row r="1576" spans="1:1" ht="15.75" x14ac:dyDescent="0.25">
      <c r="A1576" s="11"/>
    </row>
    <row r="1577" spans="1:1" ht="15.75" x14ac:dyDescent="0.25">
      <c r="A1577" s="11"/>
    </row>
    <row r="1578" spans="1:1" ht="15.75" x14ac:dyDescent="0.25">
      <c r="A1578" s="11"/>
    </row>
    <row r="1579" spans="1:1" ht="15.75" x14ac:dyDescent="0.25">
      <c r="A1579" s="11"/>
    </row>
    <row r="1580" spans="1:1" ht="15.75" x14ac:dyDescent="0.25">
      <c r="A1580" s="11"/>
    </row>
    <row r="1581" spans="1:1" ht="15.75" x14ac:dyDescent="0.25">
      <c r="A1581" s="11"/>
    </row>
    <row r="1582" spans="1:1" ht="15.75" x14ac:dyDescent="0.25">
      <c r="A1582" s="11"/>
    </row>
    <row r="1583" spans="1:1" ht="15.75" x14ac:dyDescent="0.25">
      <c r="A1583" s="11"/>
    </row>
    <row r="1584" spans="1:1" ht="15.75" x14ac:dyDescent="0.25">
      <c r="A1584" s="11"/>
    </row>
    <row r="1585" spans="1:1" ht="15.75" x14ac:dyDescent="0.25">
      <c r="A1585" s="11"/>
    </row>
    <row r="1586" spans="1:1" ht="15.75" x14ac:dyDescent="0.25">
      <c r="A1586" s="11"/>
    </row>
    <row r="1587" spans="1:1" ht="15.75" x14ac:dyDescent="0.25">
      <c r="A1587" s="11"/>
    </row>
    <row r="1588" spans="1:1" ht="15.75" x14ac:dyDescent="0.25">
      <c r="A1588" s="11"/>
    </row>
    <row r="1589" spans="1:1" ht="15.75" x14ac:dyDescent="0.25">
      <c r="A1589" s="11"/>
    </row>
    <row r="1590" spans="1:1" ht="15.75" x14ac:dyDescent="0.25">
      <c r="A1590" s="11"/>
    </row>
    <row r="1591" spans="1:1" ht="15.75" x14ac:dyDescent="0.25">
      <c r="A1591" s="11"/>
    </row>
    <row r="1592" spans="1:1" ht="15.75" x14ac:dyDescent="0.25">
      <c r="A1592" s="11"/>
    </row>
    <row r="1593" spans="1:1" ht="15.75" x14ac:dyDescent="0.25">
      <c r="A1593" s="11"/>
    </row>
    <row r="1594" spans="1:1" ht="15.75" x14ac:dyDescent="0.25">
      <c r="A1594" s="11"/>
    </row>
    <row r="1595" spans="1:1" ht="15.75" x14ac:dyDescent="0.25">
      <c r="A1595" s="11"/>
    </row>
    <row r="1596" spans="1:1" ht="15.75" x14ac:dyDescent="0.25">
      <c r="A1596" s="11"/>
    </row>
    <row r="1597" spans="1:1" ht="15.75" x14ac:dyDescent="0.25">
      <c r="A1597" s="11"/>
    </row>
    <row r="1598" spans="1:1" ht="15.75" x14ac:dyDescent="0.25">
      <c r="A1598" s="11"/>
    </row>
    <row r="1599" spans="1:1" ht="15.75" x14ac:dyDescent="0.25">
      <c r="A1599" s="11"/>
    </row>
    <row r="1600" spans="1:1" ht="15.75" x14ac:dyDescent="0.25">
      <c r="A1600" s="11"/>
    </row>
    <row r="1601" spans="1:1" ht="15.75" x14ac:dyDescent="0.25">
      <c r="A1601" s="11"/>
    </row>
    <row r="1602" spans="1:1" ht="15.75" x14ac:dyDescent="0.25">
      <c r="A1602" s="11"/>
    </row>
    <row r="1603" spans="1:1" ht="15.75" x14ac:dyDescent="0.25">
      <c r="A1603" s="11"/>
    </row>
    <row r="1604" spans="1:1" ht="15.75" x14ac:dyDescent="0.25">
      <c r="A1604" s="11"/>
    </row>
    <row r="1605" spans="1:1" ht="15.75" x14ac:dyDescent="0.25">
      <c r="A1605" s="11"/>
    </row>
    <row r="1606" spans="1:1" ht="15.75" x14ac:dyDescent="0.25">
      <c r="A1606" s="11"/>
    </row>
    <row r="1607" spans="1:1" ht="15.75" x14ac:dyDescent="0.25">
      <c r="A1607" s="11"/>
    </row>
    <row r="1608" spans="1:1" ht="15.75" x14ac:dyDescent="0.25">
      <c r="A1608" s="11"/>
    </row>
    <row r="1609" spans="1:1" ht="15.75" x14ac:dyDescent="0.25">
      <c r="A1609" s="11"/>
    </row>
    <row r="1610" spans="1:1" ht="15.75" x14ac:dyDescent="0.25">
      <c r="A1610" s="11"/>
    </row>
    <row r="1611" spans="1:1" ht="15.75" x14ac:dyDescent="0.25">
      <c r="A1611" s="11"/>
    </row>
    <row r="1612" spans="1:1" ht="15.75" x14ac:dyDescent="0.25">
      <c r="A1612" s="11"/>
    </row>
    <row r="1613" spans="1:1" ht="15.75" x14ac:dyDescent="0.25">
      <c r="A1613" s="11"/>
    </row>
    <row r="1614" spans="1:1" ht="15.75" x14ac:dyDescent="0.25">
      <c r="A1614" s="11"/>
    </row>
    <row r="1615" spans="1:1" ht="15.75" x14ac:dyDescent="0.25">
      <c r="A1615" s="11"/>
    </row>
    <row r="1616" spans="1:1" ht="15.75" x14ac:dyDescent="0.25">
      <c r="A1616" s="11"/>
    </row>
    <row r="1617" spans="1:1" ht="15.75" x14ac:dyDescent="0.25">
      <c r="A1617" s="11"/>
    </row>
    <row r="1618" spans="1:1" ht="15.75" x14ac:dyDescent="0.25">
      <c r="A1618" s="11"/>
    </row>
    <row r="1619" spans="1:1" ht="15.75" x14ac:dyDescent="0.25">
      <c r="A1619" s="11"/>
    </row>
    <row r="1620" spans="1:1" ht="15.75" x14ac:dyDescent="0.25">
      <c r="A1620" s="11"/>
    </row>
    <row r="1621" spans="1:1" ht="15.75" x14ac:dyDescent="0.25">
      <c r="A1621" s="11"/>
    </row>
    <row r="1622" spans="1:1" ht="15.75" x14ac:dyDescent="0.25">
      <c r="A1622" s="11"/>
    </row>
    <row r="1623" spans="1:1" ht="15.75" x14ac:dyDescent="0.25">
      <c r="A1623" s="11"/>
    </row>
    <row r="1624" spans="1:1" ht="15.75" x14ac:dyDescent="0.25">
      <c r="A1624" s="11"/>
    </row>
    <row r="1625" spans="1:1" ht="15.75" x14ac:dyDescent="0.25">
      <c r="A1625" s="11"/>
    </row>
    <row r="1626" spans="1:1" ht="15.75" x14ac:dyDescent="0.25">
      <c r="A1626" s="11"/>
    </row>
    <row r="1627" spans="1:1" ht="15.75" x14ac:dyDescent="0.25">
      <c r="A1627" s="11"/>
    </row>
    <row r="1628" spans="1:1" ht="15.75" x14ac:dyDescent="0.25">
      <c r="A1628" s="11"/>
    </row>
    <row r="1629" spans="1:1" ht="15.75" x14ac:dyDescent="0.25">
      <c r="A1629" s="11"/>
    </row>
    <row r="1630" spans="1:1" ht="15.75" x14ac:dyDescent="0.25">
      <c r="A1630" s="11"/>
    </row>
    <row r="1631" spans="1:1" ht="15.75" x14ac:dyDescent="0.25">
      <c r="A1631" s="11"/>
    </row>
    <row r="1632" spans="1:1" ht="15.75" x14ac:dyDescent="0.25">
      <c r="A1632" s="11"/>
    </row>
    <row r="1633" spans="1:1" ht="15.75" x14ac:dyDescent="0.25">
      <c r="A1633" s="11"/>
    </row>
    <row r="1634" spans="1:1" ht="15.75" x14ac:dyDescent="0.25">
      <c r="A1634" s="11"/>
    </row>
    <row r="1635" spans="1:1" ht="15.75" x14ac:dyDescent="0.25">
      <c r="A1635" s="11"/>
    </row>
    <row r="1636" spans="1:1" ht="15.75" x14ac:dyDescent="0.25">
      <c r="A1636" s="11"/>
    </row>
    <row r="1637" spans="1:1" ht="15.75" x14ac:dyDescent="0.25">
      <c r="A1637" s="11"/>
    </row>
    <row r="1638" spans="1:1" ht="15.75" x14ac:dyDescent="0.25">
      <c r="A1638" s="11"/>
    </row>
    <row r="1639" spans="1:1" ht="15.75" x14ac:dyDescent="0.25">
      <c r="A1639" s="11"/>
    </row>
    <row r="1640" spans="1:1" ht="15.75" x14ac:dyDescent="0.25">
      <c r="A1640" s="11"/>
    </row>
    <row r="1641" spans="1:1" ht="15.75" x14ac:dyDescent="0.25">
      <c r="A1641" s="11"/>
    </row>
    <row r="1642" spans="1:1" ht="15.75" x14ac:dyDescent="0.25">
      <c r="A1642" s="11"/>
    </row>
    <row r="1643" spans="1:1" ht="15.75" x14ac:dyDescent="0.25">
      <c r="A1643" s="11"/>
    </row>
    <row r="1644" spans="1:1" ht="15.75" x14ac:dyDescent="0.25">
      <c r="A1644" s="11"/>
    </row>
    <row r="1645" spans="1:1" ht="15.75" x14ac:dyDescent="0.25">
      <c r="A1645" s="11"/>
    </row>
    <row r="1646" spans="1:1" ht="15.75" x14ac:dyDescent="0.25">
      <c r="A1646" s="11"/>
    </row>
    <row r="1647" spans="1:1" ht="15.75" x14ac:dyDescent="0.25">
      <c r="A1647" s="11"/>
    </row>
    <row r="1648" spans="1:1" ht="15.75" x14ac:dyDescent="0.25">
      <c r="A1648" s="11"/>
    </row>
    <row r="1649" spans="1:1" ht="15.75" x14ac:dyDescent="0.25">
      <c r="A1649" s="11"/>
    </row>
    <row r="1650" spans="1:1" ht="15.75" x14ac:dyDescent="0.25">
      <c r="A1650" s="11"/>
    </row>
    <row r="1651" spans="1:1" ht="15.75" x14ac:dyDescent="0.25">
      <c r="A1651" s="11"/>
    </row>
    <row r="1652" spans="1:1" ht="15.75" x14ac:dyDescent="0.25">
      <c r="A1652" s="11"/>
    </row>
    <row r="1653" spans="1:1" ht="15.75" x14ac:dyDescent="0.25">
      <c r="A1653" s="11"/>
    </row>
    <row r="1654" spans="1:1" ht="15.75" x14ac:dyDescent="0.25">
      <c r="A1654" s="11"/>
    </row>
    <row r="1655" spans="1:1" ht="15.75" x14ac:dyDescent="0.25">
      <c r="A1655" s="11"/>
    </row>
    <row r="1656" spans="1:1" ht="15.75" x14ac:dyDescent="0.25">
      <c r="A1656" s="11"/>
    </row>
    <row r="1657" spans="1:1" ht="15.75" x14ac:dyDescent="0.25">
      <c r="A1657" s="11"/>
    </row>
    <row r="1658" spans="1:1" ht="15.75" x14ac:dyDescent="0.25">
      <c r="A1658" s="11"/>
    </row>
    <row r="1659" spans="1:1" ht="15.75" x14ac:dyDescent="0.25">
      <c r="A1659" s="11"/>
    </row>
    <row r="1660" spans="1:1" ht="15.75" x14ac:dyDescent="0.25">
      <c r="A1660" s="11"/>
    </row>
    <row r="1661" spans="1:1" ht="15.75" x14ac:dyDescent="0.25">
      <c r="A1661" s="11"/>
    </row>
    <row r="1662" spans="1:1" ht="15.75" x14ac:dyDescent="0.25">
      <c r="A1662" s="11"/>
    </row>
    <row r="1663" spans="1:1" ht="15.75" x14ac:dyDescent="0.25">
      <c r="A1663" s="11"/>
    </row>
    <row r="1664" spans="1:1" ht="15.75" x14ac:dyDescent="0.25">
      <c r="A1664" s="11"/>
    </row>
    <row r="1665" spans="1:1" ht="15.75" x14ac:dyDescent="0.25">
      <c r="A1665" s="11"/>
    </row>
    <row r="1666" spans="1:1" ht="15.75" x14ac:dyDescent="0.25">
      <c r="A1666" s="11"/>
    </row>
    <row r="1667" spans="1:1" ht="15.75" x14ac:dyDescent="0.25">
      <c r="A1667" s="11"/>
    </row>
    <row r="1668" spans="1:1" ht="15.75" x14ac:dyDescent="0.25">
      <c r="A1668" s="11"/>
    </row>
    <row r="1669" spans="1:1" ht="15.75" x14ac:dyDescent="0.25">
      <c r="A1669" s="11"/>
    </row>
    <row r="1670" spans="1:1" ht="15.75" x14ac:dyDescent="0.25">
      <c r="A1670" s="11"/>
    </row>
    <row r="1671" spans="1:1" ht="15.75" x14ac:dyDescent="0.25">
      <c r="A1671" s="11"/>
    </row>
    <row r="1672" spans="1:1" ht="15.75" x14ac:dyDescent="0.25">
      <c r="A1672" s="11"/>
    </row>
    <row r="1673" spans="1:1" ht="15.75" x14ac:dyDescent="0.25">
      <c r="A1673" s="11"/>
    </row>
    <row r="1674" spans="1:1" ht="15.75" x14ac:dyDescent="0.25">
      <c r="A1674" s="11"/>
    </row>
    <row r="1675" spans="1:1" ht="15.75" x14ac:dyDescent="0.25">
      <c r="A1675" s="11"/>
    </row>
    <row r="1676" spans="1:1" ht="15.75" x14ac:dyDescent="0.25">
      <c r="A1676" s="11"/>
    </row>
    <row r="1677" spans="1:1" ht="15.75" x14ac:dyDescent="0.25">
      <c r="A1677" s="11"/>
    </row>
    <row r="1678" spans="1:1" ht="15.75" x14ac:dyDescent="0.25">
      <c r="A1678" s="11"/>
    </row>
    <row r="1679" spans="1:1" ht="15.75" x14ac:dyDescent="0.25">
      <c r="A1679" s="11"/>
    </row>
    <row r="1680" spans="1:1" ht="15.75" x14ac:dyDescent="0.25">
      <c r="A1680" s="11"/>
    </row>
    <row r="1681" spans="1:1" ht="15.75" x14ac:dyDescent="0.25">
      <c r="A1681" s="11"/>
    </row>
    <row r="1682" spans="1:1" ht="15.75" x14ac:dyDescent="0.25">
      <c r="A1682" s="11"/>
    </row>
    <row r="1683" spans="1:1" ht="15.75" x14ac:dyDescent="0.25">
      <c r="A1683" s="11"/>
    </row>
    <row r="1684" spans="1:1" ht="15.75" x14ac:dyDescent="0.25">
      <c r="A1684" s="11"/>
    </row>
    <row r="1685" spans="1:1" ht="15.75" x14ac:dyDescent="0.25">
      <c r="A1685" s="11"/>
    </row>
    <row r="1686" spans="1:1" ht="15.75" x14ac:dyDescent="0.25">
      <c r="A1686" s="11"/>
    </row>
    <row r="1687" spans="1:1" ht="15.75" x14ac:dyDescent="0.25">
      <c r="A1687" s="11"/>
    </row>
    <row r="1688" spans="1:1" ht="15.75" x14ac:dyDescent="0.25">
      <c r="A1688" s="11"/>
    </row>
    <row r="1689" spans="1:1" ht="15.75" x14ac:dyDescent="0.25">
      <c r="A1689" s="11"/>
    </row>
    <row r="1690" spans="1:1" ht="15.75" x14ac:dyDescent="0.25">
      <c r="A1690" s="11"/>
    </row>
    <row r="1691" spans="1:1" ht="15.75" x14ac:dyDescent="0.25">
      <c r="A1691" s="11"/>
    </row>
    <row r="1692" spans="1:1" ht="15.75" x14ac:dyDescent="0.25">
      <c r="A1692" s="11"/>
    </row>
    <row r="1693" spans="1:1" ht="15.75" x14ac:dyDescent="0.25">
      <c r="A1693" s="11"/>
    </row>
    <row r="1694" spans="1:1" ht="15.75" x14ac:dyDescent="0.25">
      <c r="A1694" s="11"/>
    </row>
    <row r="1695" spans="1:1" ht="15.75" x14ac:dyDescent="0.25">
      <c r="A1695" s="11"/>
    </row>
    <row r="1696" spans="1:1" ht="15.75" x14ac:dyDescent="0.25">
      <c r="A1696" s="11"/>
    </row>
    <row r="1697" spans="1:1" ht="15.75" x14ac:dyDescent="0.25">
      <c r="A1697" s="11"/>
    </row>
    <row r="1698" spans="1:1" ht="15.75" x14ac:dyDescent="0.25">
      <c r="A1698" s="11"/>
    </row>
    <row r="1699" spans="1:1" ht="15.75" x14ac:dyDescent="0.25">
      <c r="A1699" s="11"/>
    </row>
    <row r="1700" spans="1:1" ht="15.75" x14ac:dyDescent="0.25">
      <c r="A1700" s="11"/>
    </row>
    <row r="1701" spans="1:1" ht="15.75" x14ac:dyDescent="0.25">
      <c r="A1701" s="11"/>
    </row>
    <row r="1702" spans="1:1" ht="15.75" x14ac:dyDescent="0.25">
      <c r="A1702" s="11"/>
    </row>
    <row r="1703" spans="1:1" ht="15.75" x14ac:dyDescent="0.25">
      <c r="A1703" s="11"/>
    </row>
    <row r="1704" spans="1:1" ht="15.75" x14ac:dyDescent="0.25">
      <c r="A1704" s="11"/>
    </row>
    <row r="1705" spans="1:1" ht="15.75" x14ac:dyDescent="0.25">
      <c r="A1705" s="11"/>
    </row>
    <row r="1706" spans="1:1" ht="15.75" x14ac:dyDescent="0.25">
      <c r="A1706" s="11"/>
    </row>
    <row r="1707" spans="1:1" ht="15.75" x14ac:dyDescent="0.25">
      <c r="A1707" s="11"/>
    </row>
    <row r="1708" spans="1:1" ht="15.75" x14ac:dyDescent="0.25">
      <c r="A1708" s="11"/>
    </row>
    <row r="1709" spans="1:1" ht="15.75" x14ac:dyDescent="0.25">
      <c r="A1709" s="11"/>
    </row>
    <row r="1710" spans="1:1" ht="15.75" x14ac:dyDescent="0.25">
      <c r="A1710" s="11"/>
    </row>
    <row r="1711" spans="1:1" ht="15.75" x14ac:dyDescent="0.25">
      <c r="A1711" s="11"/>
    </row>
    <row r="1712" spans="1:1" ht="15.75" x14ac:dyDescent="0.25">
      <c r="A1712" s="11"/>
    </row>
    <row r="1713" spans="1:1" ht="15.75" x14ac:dyDescent="0.25">
      <c r="A1713" s="11"/>
    </row>
    <row r="1714" spans="1:1" ht="15.75" x14ac:dyDescent="0.25">
      <c r="A1714" s="11"/>
    </row>
    <row r="1715" spans="1:1" ht="15.75" x14ac:dyDescent="0.25">
      <c r="A1715" s="11"/>
    </row>
    <row r="1716" spans="1:1" ht="15.75" x14ac:dyDescent="0.25">
      <c r="A1716" s="11"/>
    </row>
    <row r="1717" spans="1:1" ht="15.75" x14ac:dyDescent="0.25">
      <c r="A1717" s="11"/>
    </row>
    <row r="1718" spans="1:1" ht="15.75" x14ac:dyDescent="0.25">
      <c r="A1718" s="11"/>
    </row>
    <row r="1719" spans="1:1" ht="15.75" x14ac:dyDescent="0.25">
      <c r="A1719" s="11"/>
    </row>
    <row r="1720" spans="1:1" ht="15.75" x14ac:dyDescent="0.25">
      <c r="A1720" s="11"/>
    </row>
    <row r="1721" spans="1:1" ht="15.75" x14ac:dyDescent="0.25">
      <c r="A1721" s="11"/>
    </row>
    <row r="1722" spans="1:1" ht="15.75" x14ac:dyDescent="0.25">
      <c r="A1722" s="11"/>
    </row>
    <row r="1723" spans="1:1" ht="15.75" x14ac:dyDescent="0.25">
      <c r="A1723" s="11"/>
    </row>
    <row r="1724" spans="1:1" ht="15.75" x14ac:dyDescent="0.25">
      <c r="A1724" s="11"/>
    </row>
    <row r="1725" spans="1:1" ht="15.75" x14ac:dyDescent="0.25">
      <c r="A1725" s="11"/>
    </row>
    <row r="1726" spans="1:1" ht="15.75" x14ac:dyDescent="0.25">
      <c r="A1726" s="11"/>
    </row>
    <row r="1727" spans="1:1" ht="15.75" x14ac:dyDescent="0.25">
      <c r="A1727" s="11"/>
    </row>
    <row r="1728" spans="1:1" ht="15.75" x14ac:dyDescent="0.25">
      <c r="A1728" s="11"/>
    </row>
    <row r="1729" spans="1:1" ht="15.75" x14ac:dyDescent="0.25">
      <c r="A1729" s="11"/>
    </row>
    <row r="1730" spans="1:1" ht="15.75" x14ac:dyDescent="0.25">
      <c r="A1730" s="11"/>
    </row>
    <row r="1731" spans="1:1" ht="15.75" x14ac:dyDescent="0.25">
      <c r="A1731" s="11"/>
    </row>
    <row r="1732" spans="1:1" ht="15.75" x14ac:dyDescent="0.25">
      <c r="A1732" s="11"/>
    </row>
    <row r="1733" spans="1:1" ht="15.75" x14ac:dyDescent="0.25">
      <c r="A1733" s="11"/>
    </row>
    <row r="1734" spans="1:1" ht="15.75" x14ac:dyDescent="0.25">
      <c r="A1734" s="11"/>
    </row>
    <row r="1735" spans="1:1" ht="15.75" x14ac:dyDescent="0.25">
      <c r="A1735" s="11"/>
    </row>
    <row r="1736" spans="1:1" ht="15.75" x14ac:dyDescent="0.25">
      <c r="A1736" s="11"/>
    </row>
    <row r="1737" spans="1:1" ht="15.75" x14ac:dyDescent="0.25">
      <c r="A1737" s="11"/>
    </row>
    <row r="1738" spans="1:1" ht="15.75" x14ac:dyDescent="0.25">
      <c r="A1738" s="11"/>
    </row>
    <row r="1739" spans="1:1" ht="15.75" x14ac:dyDescent="0.25">
      <c r="A1739" s="11"/>
    </row>
    <row r="1740" spans="1:1" ht="15.75" x14ac:dyDescent="0.25">
      <c r="A1740" s="11"/>
    </row>
    <row r="1741" spans="1:1" ht="15.75" x14ac:dyDescent="0.25">
      <c r="A1741" s="11"/>
    </row>
    <row r="1742" spans="1:1" ht="15.75" x14ac:dyDescent="0.25">
      <c r="A1742" s="11"/>
    </row>
    <row r="1743" spans="1:1" ht="15.75" x14ac:dyDescent="0.25">
      <c r="A1743" s="11"/>
    </row>
    <row r="1744" spans="1:1" ht="15.75" x14ac:dyDescent="0.25">
      <c r="A1744" s="11"/>
    </row>
    <row r="1745" spans="1:1" ht="15.75" x14ac:dyDescent="0.25">
      <c r="A1745" s="11"/>
    </row>
    <row r="1746" spans="1:1" ht="15.75" x14ac:dyDescent="0.25">
      <c r="A1746" s="11"/>
    </row>
    <row r="1747" spans="1:1" ht="15.75" x14ac:dyDescent="0.25">
      <c r="A1747" s="11"/>
    </row>
    <row r="1748" spans="1:1" ht="15.75" x14ac:dyDescent="0.25">
      <c r="A1748" s="11"/>
    </row>
    <row r="1749" spans="1:1" ht="15.75" x14ac:dyDescent="0.25">
      <c r="A1749" s="11"/>
    </row>
    <row r="1750" spans="1:1" ht="15.75" x14ac:dyDescent="0.25">
      <c r="A1750" s="11"/>
    </row>
    <row r="1751" spans="1:1" ht="15.75" x14ac:dyDescent="0.25">
      <c r="A1751" s="11"/>
    </row>
    <row r="1752" spans="1:1" ht="15.75" x14ac:dyDescent="0.25">
      <c r="A1752" s="11"/>
    </row>
    <row r="1753" spans="1:1" ht="15.75" x14ac:dyDescent="0.25">
      <c r="A1753" s="11"/>
    </row>
    <row r="1754" spans="1:1" ht="15.75" x14ac:dyDescent="0.25">
      <c r="A1754" s="11"/>
    </row>
    <row r="1755" spans="1:1" ht="15.75" x14ac:dyDescent="0.25">
      <c r="A1755" s="11"/>
    </row>
    <row r="1756" spans="1:1" ht="15.75" x14ac:dyDescent="0.25">
      <c r="A1756" s="11"/>
    </row>
    <row r="1757" spans="1:1" ht="15.75" x14ac:dyDescent="0.25">
      <c r="A1757" s="11"/>
    </row>
    <row r="1758" spans="1:1" ht="15.75" x14ac:dyDescent="0.25">
      <c r="A1758" s="11"/>
    </row>
    <row r="1759" spans="1:1" ht="15.75" x14ac:dyDescent="0.25">
      <c r="A1759" s="11"/>
    </row>
    <row r="1760" spans="1:1" ht="15.75" x14ac:dyDescent="0.25">
      <c r="A1760" s="11"/>
    </row>
    <row r="1761" spans="1:1" ht="15.75" x14ac:dyDescent="0.25">
      <c r="A1761" s="11"/>
    </row>
    <row r="1762" spans="1:1" ht="15.75" x14ac:dyDescent="0.25">
      <c r="A1762" s="11"/>
    </row>
    <row r="1763" spans="1:1" ht="15.75" x14ac:dyDescent="0.25">
      <c r="A1763" s="11"/>
    </row>
    <row r="1764" spans="1:1" ht="15.75" x14ac:dyDescent="0.25">
      <c r="A1764" s="11"/>
    </row>
    <row r="1765" spans="1:1" ht="15.75" x14ac:dyDescent="0.25">
      <c r="A1765" s="11"/>
    </row>
    <row r="1766" spans="1:1" ht="15.75" x14ac:dyDescent="0.25">
      <c r="A1766" s="11"/>
    </row>
    <row r="1767" spans="1:1" ht="15.75" x14ac:dyDescent="0.25">
      <c r="A1767" s="11"/>
    </row>
    <row r="1768" spans="1:1" ht="15.75" x14ac:dyDescent="0.25">
      <c r="A1768" s="11"/>
    </row>
    <row r="1769" spans="1:1" ht="15.75" x14ac:dyDescent="0.25">
      <c r="A1769" s="11"/>
    </row>
    <row r="1770" spans="1:1" ht="15.75" x14ac:dyDescent="0.25">
      <c r="A1770" s="11"/>
    </row>
    <row r="1771" spans="1:1" ht="15.75" x14ac:dyDescent="0.25">
      <c r="A1771" s="11"/>
    </row>
    <row r="1772" spans="1:1" ht="15.75" x14ac:dyDescent="0.25">
      <c r="A1772" s="11"/>
    </row>
    <row r="1773" spans="1:1" ht="15.75" x14ac:dyDescent="0.25">
      <c r="A1773" s="11"/>
    </row>
    <row r="1774" spans="1:1" ht="15.75" x14ac:dyDescent="0.25">
      <c r="A1774" s="11"/>
    </row>
    <row r="1775" spans="1:1" ht="15.75" x14ac:dyDescent="0.25">
      <c r="A1775" s="11"/>
    </row>
    <row r="1776" spans="1:1" ht="15.75" x14ac:dyDescent="0.25">
      <c r="A1776" s="11"/>
    </row>
    <row r="1777" spans="1:1" ht="15.75" x14ac:dyDescent="0.25">
      <c r="A1777" s="11"/>
    </row>
    <row r="1778" spans="1:1" ht="15.75" x14ac:dyDescent="0.25">
      <c r="A1778" s="11"/>
    </row>
    <row r="1779" spans="1:1" ht="15.75" x14ac:dyDescent="0.25">
      <c r="A1779" s="11"/>
    </row>
    <row r="1780" spans="1:1" ht="15.75" x14ac:dyDescent="0.25">
      <c r="A1780" s="11"/>
    </row>
    <row r="1781" spans="1:1" ht="15.75" x14ac:dyDescent="0.25">
      <c r="A1781" s="11"/>
    </row>
    <row r="1782" spans="1:1" ht="15.75" x14ac:dyDescent="0.25">
      <c r="A1782" s="11"/>
    </row>
    <row r="1783" spans="1:1" ht="15.75" x14ac:dyDescent="0.25">
      <c r="A1783" s="11"/>
    </row>
    <row r="1784" spans="1:1" ht="15.75" x14ac:dyDescent="0.25">
      <c r="A1784" s="11"/>
    </row>
    <row r="1785" spans="1:1" ht="15.75" x14ac:dyDescent="0.25">
      <c r="A1785" s="11"/>
    </row>
    <row r="1786" spans="1:1" ht="15.75" x14ac:dyDescent="0.25">
      <c r="A1786" s="11"/>
    </row>
    <row r="1787" spans="1:1" ht="15.75" x14ac:dyDescent="0.25">
      <c r="A1787" s="11"/>
    </row>
    <row r="1788" spans="1:1" ht="15.75" x14ac:dyDescent="0.25">
      <c r="A1788" s="11"/>
    </row>
    <row r="1789" spans="1:1" ht="15.75" x14ac:dyDescent="0.25">
      <c r="A1789" s="11"/>
    </row>
    <row r="1790" spans="1:1" ht="15.75" x14ac:dyDescent="0.25">
      <c r="A1790" s="11"/>
    </row>
    <row r="1791" spans="1:1" ht="15.75" x14ac:dyDescent="0.25">
      <c r="A1791" s="11"/>
    </row>
    <row r="1792" spans="1:1" ht="15.75" x14ac:dyDescent="0.25">
      <c r="A1792" s="11"/>
    </row>
    <row r="1793" spans="1:1" ht="15.75" x14ac:dyDescent="0.25">
      <c r="A1793" s="11"/>
    </row>
    <row r="1794" spans="1:1" ht="15.75" x14ac:dyDescent="0.25">
      <c r="A1794" s="11"/>
    </row>
    <row r="1795" spans="1:1" ht="15.75" x14ac:dyDescent="0.25">
      <c r="A1795" s="11"/>
    </row>
    <row r="1796" spans="1:1" ht="15.75" x14ac:dyDescent="0.25">
      <c r="A1796" s="11"/>
    </row>
    <row r="1797" spans="1:1" ht="15.75" x14ac:dyDescent="0.25">
      <c r="A1797" s="11"/>
    </row>
    <row r="1798" spans="1:1" ht="15.75" x14ac:dyDescent="0.25">
      <c r="A1798" s="11"/>
    </row>
    <row r="1799" spans="1:1" ht="15.75" x14ac:dyDescent="0.25">
      <c r="A1799" s="11"/>
    </row>
    <row r="1800" spans="1:1" ht="15.75" x14ac:dyDescent="0.25">
      <c r="A1800" s="11"/>
    </row>
    <row r="1801" spans="1:1" ht="15.75" x14ac:dyDescent="0.25">
      <c r="A1801" s="11"/>
    </row>
    <row r="1802" spans="1:1" ht="15.75" x14ac:dyDescent="0.25">
      <c r="A1802" s="11"/>
    </row>
    <row r="1803" spans="1:1" ht="15.75" x14ac:dyDescent="0.25">
      <c r="A1803" s="11"/>
    </row>
    <row r="1804" spans="1:1" ht="15.75" x14ac:dyDescent="0.25">
      <c r="A1804" s="11"/>
    </row>
    <row r="1805" spans="1:1" ht="15.75" x14ac:dyDescent="0.25">
      <c r="A1805" s="11"/>
    </row>
    <row r="1806" spans="1:1" ht="15.75" x14ac:dyDescent="0.25">
      <c r="A1806" s="11"/>
    </row>
    <row r="1807" spans="1:1" ht="15.75" x14ac:dyDescent="0.25">
      <c r="A1807" s="11"/>
    </row>
    <row r="1808" spans="1:1" ht="15.75" x14ac:dyDescent="0.25">
      <c r="A1808" s="11"/>
    </row>
    <row r="1809" spans="1:1" ht="15.75" x14ac:dyDescent="0.25">
      <c r="A1809" s="11"/>
    </row>
    <row r="1810" spans="1:1" ht="15.75" x14ac:dyDescent="0.25">
      <c r="A1810" s="11"/>
    </row>
    <row r="1811" spans="1:1" ht="15.75" x14ac:dyDescent="0.25">
      <c r="A1811" s="11"/>
    </row>
    <row r="1812" spans="1:1" ht="15.75" x14ac:dyDescent="0.25">
      <c r="A1812" s="11"/>
    </row>
    <row r="1813" spans="1:1" ht="15.75" x14ac:dyDescent="0.25">
      <c r="A1813" s="11"/>
    </row>
    <row r="1814" spans="1:1" ht="15.75" x14ac:dyDescent="0.25">
      <c r="A1814" s="11"/>
    </row>
    <row r="1815" spans="1:1" ht="15.75" x14ac:dyDescent="0.25">
      <c r="A1815" s="11"/>
    </row>
    <row r="1816" spans="1:1" ht="15.75" x14ac:dyDescent="0.25">
      <c r="A1816" s="11"/>
    </row>
    <row r="1817" spans="1:1" ht="15.75" x14ac:dyDescent="0.25">
      <c r="A1817" s="11"/>
    </row>
    <row r="1818" spans="1:1" ht="15.75" x14ac:dyDescent="0.25">
      <c r="A1818" s="11"/>
    </row>
    <row r="1819" spans="1:1" ht="15.75" x14ac:dyDescent="0.25">
      <c r="A1819" s="11"/>
    </row>
    <row r="1820" spans="1:1" ht="15.75" x14ac:dyDescent="0.25">
      <c r="A1820" s="11"/>
    </row>
    <row r="1821" spans="1:1" ht="15.75" x14ac:dyDescent="0.25">
      <c r="A1821" s="11"/>
    </row>
    <row r="1822" spans="1:1" ht="15.75" x14ac:dyDescent="0.25">
      <c r="A1822" s="11"/>
    </row>
    <row r="1823" spans="1:1" ht="15.75" x14ac:dyDescent="0.25">
      <c r="A1823" s="11"/>
    </row>
    <row r="1824" spans="1:1" ht="15.75" x14ac:dyDescent="0.25">
      <c r="A1824" s="11"/>
    </row>
    <row r="1825" spans="1:1" ht="15.75" x14ac:dyDescent="0.25">
      <c r="A1825" s="11"/>
    </row>
    <row r="1826" spans="1:1" ht="15.75" x14ac:dyDescent="0.25">
      <c r="A1826" s="11"/>
    </row>
    <row r="1827" spans="1:1" ht="15.75" x14ac:dyDescent="0.25">
      <c r="A1827" s="11"/>
    </row>
    <row r="1828" spans="1:1" ht="15.75" x14ac:dyDescent="0.25">
      <c r="A1828" s="11"/>
    </row>
    <row r="1829" spans="1:1" ht="15.75" x14ac:dyDescent="0.25">
      <c r="A1829" s="11"/>
    </row>
    <row r="1830" spans="1:1" ht="15.75" x14ac:dyDescent="0.25">
      <c r="A1830" s="11"/>
    </row>
    <row r="1831" spans="1:1" ht="15.75" x14ac:dyDescent="0.25">
      <c r="A1831" s="11"/>
    </row>
    <row r="1832" spans="1:1" ht="15.75" x14ac:dyDescent="0.25">
      <c r="A1832" s="11"/>
    </row>
    <row r="1833" spans="1:1" ht="15.75" x14ac:dyDescent="0.25">
      <c r="A1833" s="11"/>
    </row>
    <row r="1834" spans="1:1" ht="15.75" x14ac:dyDescent="0.25">
      <c r="A1834" s="11"/>
    </row>
    <row r="1835" spans="1:1" ht="15.75" x14ac:dyDescent="0.25">
      <c r="A1835" s="11"/>
    </row>
    <row r="1836" spans="1:1" ht="15.75" x14ac:dyDescent="0.25">
      <c r="A1836" s="11"/>
    </row>
    <row r="1837" spans="1:1" ht="15.75" x14ac:dyDescent="0.25">
      <c r="A1837" s="11"/>
    </row>
    <row r="1838" spans="1:1" ht="15.75" x14ac:dyDescent="0.25">
      <c r="A1838" s="11"/>
    </row>
    <row r="1839" spans="1:1" ht="15.75" x14ac:dyDescent="0.25">
      <c r="A1839" s="11"/>
    </row>
    <row r="1840" spans="1:1" ht="15.75" x14ac:dyDescent="0.25">
      <c r="A1840" s="11"/>
    </row>
    <row r="1841" spans="1:1" ht="15.75" x14ac:dyDescent="0.25">
      <c r="A1841" s="11"/>
    </row>
    <row r="1842" spans="1:1" ht="15.75" x14ac:dyDescent="0.25">
      <c r="A1842" s="11"/>
    </row>
    <row r="1843" spans="1:1" ht="15.75" x14ac:dyDescent="0.25">
      <c r="A1843" s="11"/>
    </row>
    <row r="1844" spans="1:1" ht="15.75" x14ac:dyDescent="0.25">
      <c r="A1844" s="11"/>
    </row>
    <row r="1845" spans="1:1" ht="15.75" x14ac:dyDescent="0.25">
      <c r="A1845" s="11"/>
    </row>
    <row r="1846" spans="1:1" ht="15.75" x14ac:dyDescent="0.25">
      <c r="A1846" s="11"/>
    </row>
    <row r="1847" spans="1:1" ht="15.75" x14ac:dyDescent="0.25">
      <c r="A1847" s="11"/>
    </row>
    <row r="1848" spans="1:1" ht="15.75" x14ac:dyDescent="0.25">
      <c r="A1848" s="11"/>
    </row>
    <row r="1849" spans="1:1" ht="15.75" x14ac:dyDescent="0.25">
      <c r="A1849" s="11"/>
    </row>
    <row r="1850" spans="1:1" ht="15.75" x14ac:dyDescent="0.25">
      <c r="A1850" s="11"/>
    </row>
    <row r="1851" spans="1:1" ht="15.75" x14ac:dyDescent="0.25">
      <c r="A1851" s="11"/>
    </row>
    <row r="1852" spans="1:1" ht="15.75" x14ac:dyDescent="0.25">
      <c r="A1852" s="11"/>
    </row>
    <row r="1853" spans="1:1" ht="15.75" x14ac:dyDescent="0.25">
      <c r="A1853" s="11"/>
    </row>
    <row r="1854" spans="1:1" ht="15.75" x14ac:dyDescent="0.25">
      <c r="A1854" s="11"/>
    </row>
    <row r="1855" spans="1:1" ht="15.75" x14ac:dyDescent="0.25">
      <c r="A1855" s="11"/>
    </row>
    <row r="1856" spans="1:1" ht="15.75" x14ac:dyDescent="0.25">
      <c r="A1856" s="11"/>
    </row>
    <row r="1857" spans="1:1" ht="15.75" x14ac:dyDescent="0.25">
      <c r="A1857" s="11"/>
    </row>
    <row r="1858" spans="1:1" ht="15.75" x14ac:dyDescent="0.25">
      <c r="A1858" s="11"/>
    </row>
    <row r="1859" spans="1:1" ht="15.75" x14ac:dyDescent="0.25">
      <c r="A1859" s="11"/>
    </row>
    <row r="1860" spans="1:1" ht="15.75" x14ac:dyDescent="0.25">
      <c r="A1860" s="11"/>
    </row>
    <row r="1861" spans="1:1" ht="15.75" x14ac:dyDescent="0.25">
      <c r="A1861" s="11"/>
    </row>
    <row r="1862" spans="1:1" ht="15.75" x14ac:dyDescent="0.25">
      <c r="A1862" s="11"/>
    </row>
    <row r="1863" spans="1:1" ht="15.75" x14ac:dyDescent="0.25">
      <c r="A1863" s="11"/>
    </row>
    <row r="1864" spans="1:1" ht="15.75" x14ac:dyDescent="0.25">
      <c r="A1864" s="11"/>
    </row>
    <row r="1865" spans="1:1" ht="15.75" x14ac:dyDescent="0.25">
      <c r="A1865" s="11"/>
    </row>
    <row r="1866" spans="1:1" ht="15.75" x14ac:dyDescent="0.25">
      <c r="A1866" s="11"/>
    </row>
    <row r="1867" spans="1:1" ht="15.75" x14ac:dyDescent="0.25">
      <c r="A1867" s="11"/>
    </row>
    <row r="1868" spans="1:1" ht="15.75" x14ac:dyDescent="0.25">
      <c r="A1868" s="11"/>
    </row>
    <row r="1869" spans="1:1" ht="15.75" x14ac:dyDescent="0.25">
      <c r="A1869" s="11"/>
    </row>
    <row r="1870" spans="1:1" ht="15.75" x14ac:dyDescent="0.25">
      <c r="A1870" s="11"/>
    </row>
    <row r="1871" spans="1:1" ht="15.75" x14ac:dyDescent="0.25">
      <c r="A1871" s="11"/>
    </row>
    <row r="1872" spans="1:1" ht="15.75" x14ac:dyDescent="0.25">
      <c r="A1872" s="11"/>
    </row>
    <row r="1873" spans="1:1" ht="15.75" x14ac:dyDescent="0.25">
      <c r="A1873" s="11"/>
    </row>
    <row r="1874" spans="1:1" ht="15.75" x14ac:dyDescent="0.25">
      <c r="A1874" s="11"/>
    </row>
    <row r="1875" spans="1:1" ht="15.75" x14ac:dyDescent="0.25">
      <c r="A1875" s="11"/>
    </row>
    <row r="1876" spans="1:1" ht="15.75" x14ac:dyDescent="0.25">
      <c r="A1876" s="11"/>
    </row>
    <row r="1877" spans="1:1" ht="15.75" x14ac:dyDescent="0.25">
      <c r="A1877" s="11"/>
    </row>
    <row r="1878" spans="1:1" ht="15.75" x14ac:dyDescent="0.25">
      <c r="A1878" s="11"/>
    </row>
    <row r="1879" spans="1:1" ht="15.75" x14ac:dyDescent="0.25">
      <c r="A1879" s="11"/>
    </row>
    <row r="1880" spans="1:1" ht="15.75" x14ac:dyDescent="0.25">
      <c r="A1880" s="11"/>
    </row>
    <row r="1881" spans="1:1" ht="15.75" x14ac:dyDescent="0.25">
      <c r="A1881" s="11"/>
    </row>
    <row r="1882" spans="1:1" ht="15.75" x14ac:dyDescent="0.25">
      <c r="A1882" s="11"/>
    </row>
    <row r="1883" spans="1:1" ht="15.75" x14ac:dyDescent="0.25">
      <c r="A1883" s="11"/>
    </row>
    <row r="1884" spans="1:1" ht="15.75" x14ac:dyDescent="0.25">
      <c r="A1884" s="11"/>
    </row>
    <row r="1885" spans="1:1" ht="15.75" x14ac:dyDescent="0.25">
      <c r="A1885" s="11"/>
    </row>
    <row r="1886" spans="1:1" ht="15.75" x14ac:dyDescent="0.25">
      <c r="A1886" s="11"/>
    </row>
    <row r="1887" spans="1:1" ht="15.75" x14ac:dyDescent="0.25">
      <c r="A1887" s="11"/>
    </row>
    <row r="1888" spans="1:1" ht="15.75" x14ac:dyDescent="0.25">
      <c r="A1888" s="11"/>
    </row>
    <row r="1889" spans="1:1" ht="15.75" x14ac:dyDescent="0.25">
      <c r="A1889" s="11"/>
    </row>
    <row r="1890" spans="1:1" ht="15.75" x14ac:dyDescent="0.25">
      <c r="A1890" s="11"/>
    </row>
    <row r="1891" spans="1:1" ht="15.75" x14ac:dyDescent="0.25">
      <c r="A1891" s="11"/>
    </row>
    <row r="1892" spans="1:1" ht="15.75" x14ac:dyDescent="0.25">
      <c r="A1892" s="11"/>
    </row>
    <row r="1893" spans="1:1" ht="15.75" x14ac:dyDescent="0.25">
      <c r="A1893" s="11"/>
    </row>
    <row r="1894" spans="1:1" ht="15.75" x14ac:dyDescent="0.25">
      <c r="A1894" s="11"/>
    </row>
    <row r="1895" spans="1:1" ht="15.75" x14ac:dyDescent="0.25">
      <c r="A1895" s="11"/>
    </row>
    <row r="1896" spans="1:1" ht="15.75" x14ac:dyDescent="0.25">
      <c r="A1896" s="11"/>
    </row>
    <row r="1897" spans="1:1" ht="15.75" x14ac:dyDescent="0.25">
      <c r="A1897" s="11"/>
    </row>
    <row r="1898" spans="1:1" ht="15.75" x14ac:dyDescent="0.25">
      <c r="A1898" s="11"/>
    </row>
    <row r="1899" spans="1:1" ht="15.75" x14ac:dyDescent="0.25">
      <c r="A1899" s="11"/>
    </row>
    <row r="1900" spans="1:1" ht="15.75" x14ac:dyDescent="0.25">
      <c r="A1900" s="11"/>
    </row>
    <row r="1901" spans="1:1" ht="15.75" x14ac:dyDescent="0.25">
      <c r="A1901" s="11"/>
    </row>
    <row r="1902" spans="1:1" ht="15.75" x14ac:dyDescent="0.25">
      <c r="A1902" s="11"/>
    </row>
    <row r="1903" spans="1:1" ht="15.75" x14ac:dyDescent="0.25">
      <c r="A1903" s="11"/>
    </row>
    <row r="1904" spans="1:1" ht="15.75" x14ac:dyDescent="0.25">
      <c r="A1904" s="11"/>
    </row>
    <row r="1905" spans="1:1" ht="15.75" x14ac:dyDescent="0.25">
      <c r="A1905" s="11"/>
    </row>
    <row r="1906" spans="1:1" ht="15.75" x14ac:dyDescent="0.25">
      <c r="A1906" s="11"/>
    </row>
    <row r="1907" spans="1:1" ht="15.75" x14ac:dyDescent="0.25">
      <c r="A1907" s="11"/>
    </row>
    <row r="1908" spans="1:1" ht="15.75" x14ac:dyDescent="0.25">
      <c r="A1908" s="11"/>
    </row>
    <row r="1909" spans="1:1" ht="15.75" x14ac:dyDescent="0.25">
      <c r="A1909" s="11"/>
    </row>
    <row r="1910" spans="1:1" ht="15.75" x14ac:dyDescent="0.25">
      <c r="A1910" s="11"/>
    </row>
    <row r="1911" spans="1:1" ht="15.75" x14ac:dyDescent="0.25">
      <c r="A1911" s="11"/>
    </row>
    <row r="1912" spans="1:1" ht="15.75" x14ac:dyDescent="0.25">
      <c r="A1912" s="11"/>
    </row>
    <row r="1913" spans="1:1" ht="15.75" x14ac:dyDescent="0.25">
      <c r="A1913" s="11"/>
    </row>
    <row r="1914" spans="1:1" ht="15.75" x14ac:dyDescent="0.25">
      <c r="A1914" s="11"/>
    </row>
    <row r="1915" spans="1:1" ht="15.75" x14ac:dyDescent="0.25">
      <c r="A1915" s="11"/>
    </row>
    <row r="1916" spans="1:1" ht="15.75" x14ac:dyDescent="0.25">
      <c r="A1916" s="11"/>
    </row>
    <row r="1917" spans="1:1" ht="15.75" x14ac:dyDescent="0.25">
      <c r="A1917" s="11"/>
    </row>
    <row r="1918" spans="1:1" ht="15.75" x14ac:dyDescent="0.25">
      <c r="A1918" s="11"/>
    </row>
    <row r="1919" spans="1:1" ht="15.75" x14ac:dyDescent="0.25">
      <c r="A1919" s="11"/>
    </row>
    <row r="1920" spans="1:1" ht="15.75" x14ac:dyDescent="0.25">
      <c r="A1920" s="11"/>
    </row>
    <row r="1921" spans="1:1" ht="15.75" x14ac:dyDescent="0.25">
      <c r="A1921" s="11"/>
    </row>
    <row r="1922" spans="1:1" ht="15.75" x14ac:dyDescent="0.25">
      <c r="A1922" s="11"/>
    </row>
    <row r="1923" spans="1:1" ht="15.75" x14ac:dyDescent="0.25">
      <c r="A1923" s="11"/>
    </row>
    <row r="1924" spans="1:1" ht="15.75" x14ac:dyDescent="0.25">
      <c r="A1924" s="11"/>
    </row>
    <row r="1925" spans="1:1" ht="15.75" x14ac:dyDescent="0.25">
      <c r="A1925" s="11"/>
    </row>
    <row r="1926" spans="1:1" ht="15.75" x14ac:dyDescent="0.25">
      <c r="A1926" s="11"/>
    </row>
    <row r="1927" spans="1:1" ht="15.75" x14ac:dyDescent="0.25">
      <c r="A1927" s="11"/>
    </row>
    <row r="1928" spans="1:1" ht="15.75" x14ac:dyDescent="0.25">
      <c r="A1928" s="11"/>
    </row>
    <row r="1929" spans="1:1" ht="15.75" x14ac:dyDescent="0.25">
      <c r="A1929" s="11"/>
    </row>
    <row r="1930" spans="1:1" ht="15.75" x14ac:dyDescent="0.25">
      <c r="A1930" s="11"/>
    </row>
    <row r="1931" spans="1:1" ht="15.75" x14ac:dyDescent="0.25">
      <c r="A1931" s="11"/>
    </row>
    <row r="1932" spans="1:1" ht="15.75" x14ac:dyDescent="0.25">
      <c r="A1932" s="11"/>
    </row>
    <row r="1933" spans="1:1" ht="15.75" x14ac:dyDescent="0.25">
      <c r="A1933" s="11"/>
    </row>
    <row r="1934" spans="1:1" ht="15.75" x14ac:dyDescent="0.25">
      <c r="A1934" s="11"/>
    </row>
    <row r="1935" spans="1:1" ht="15.75" x14ac:dyDescent="0.25">
      <c r="A1935" s="11"/>
    </row>
    <row r="1936" spans="1:1" ht="15.75" x14ac:dyDescent="0.25">
      <c r="A1936" s="11"/>
    </row>
    <row r="1937" spans="1:1" ht="15.75" x14ac:dyDescent="0.25">
      <c r="A1937" s="11"/>
    </row>
    <row r="1938" spans="1:1" ht="15.75" x14ac:dyDescent="0.25">
      <c r="A1938" s="11"/>
    </row>
    <row r="1939" spans="1:1" ht="15.75" x14ac:dyDescent="0.25">
      <c r="A1939" s="11"/>
    </row>
    <row r="1940" spans="1:1" ht="15.75" x14ac:dyDescent="0.25">
      <c r="A1940" s="11"/>
    </row>
    <row r="1941" spans="1:1" ht="15.75" x14ac:dyDescent="0.25">
      <c r="A1941" s="11"/>
    </row>
    <row r="1942" spans="1:1" ht="15.75" x14ac:dyDescent="0.25">
      <c r="A1942" s="11"/>
    </row>
    <row r="1943" spans="1:1" ht="15.75" x14ac:dyDescent="0.25">
      <c r="A1943" s="11"/>
    </row>
    <row r="1944" spans="1:1" ht="15.75" x14ac:dyDescent="0.25">
      <c r="A1944" s="11"/>
    </row>
    <row r="1945" spans="1:1" ht="15.75" x14ac:dyDescent="0.25">
      <c r="A1945" s="11"/>
    </row>
    <row r="1946" spans="1:1" ht="15.75" x14ac:dyDescent="0.25">
      <c r="A1946" s="11"/>
    </row>
    <row r="1947" spans="1:1" ht="15.75" x14ac:dyDescent="0.25">
      <c r="A1947" s="11"/>
    </row>
    <row r="1948" spans="1:1" ht="15.75" x14ac:dyDescent="0.25">
      <c r="A1948" s="11"/>
    </row>
    <row r="1949" spans="1:1" ht="15.75" x14ac:dyDescent="0.25">
      <c r="A1949" s="11"/>
    </row>
    <row r="1950" spans="1:1" ht="15.75" x14ac:dyDescent="0.25">
      <c r="A1950" s="11"/>
    </row>
    <row r="1951" spans="1:1" ht="15.75" x14ac:dyDescent="0.25">
      <c r="A1951" s="11"/>
    </row>
    <row r="1952" spans="1:1" ht="15.75" x14ac:dyDescent="0.25">
      <c r="A1952" s="11"/>
    </row>
    <row r="1953" spans="1:1" ht="15.75" x14ac:dyDescent="0.25">
      <c r="A1953" s="11"/>
    </row>
    <row r="1954" spans="1:1" ht="15.75" x14ac:dyDescent="0.25">
      <c r="A1954" s="11"/>
    </row>
    <row r="1955" spans="1:1" ht="15.75" x14ac:dyDescent="0.25">
      <c r="A1955" s="11"/>
    </row>
    <row r="1956" spans="1:1" ht="15.75" x14ac:dyDescent="0.25">
      <c r="A1956" s="11"/>
    </row>
    <row r="1957" spans="1:1" ht="15.75" x14ac:dyDescent="0.25">
      <c r="A1957" s="11"/>
    </row>
    <row r="1958" spans="1:1" ht="15.75" x14ac:dyDescent="0.25">
      <c r="A1958" s="11"/>
    </row>
    <row r="1959" spans="1:1" ht="15.75" x14ac:dyDescent="0.25">
      <c r="A1959" s="11"/>
    </row>
    <row r="1960" spans="1:1" ht="15.75" x14ac:dyDescent="0.25">
      <c r="A1960" s="11"/>
    </row>
    <row r="1961" spans="1:1" ht="15.75" x14ac:dyDescent="0.25">
      <c r="A1961" s="11"/>
    </row>
    <row r="1962" spans="1:1" ht="15.75" x14ac:dyDescent="0.25">
      <c r="A1962" s="11"/>
    </row>
    <row r="1963" spans="1:1" ht="15.75" x14ac:dyDescent="0.25">
      <c r="A1963" s="11"/>
    </row>
    <row r="1964" spans="1:1" ht="15.75" x14ac:dyDescent="0.25">
      <c r="A1964" s="11"/>
    </row>
    <row r="1965" spans="1:1" ht="15.75" x14ac:dyDescent="0.25">
      <c r="A1965" s="11"/>
    </row>
    <row r="1966" spans="1:1" ht="15.75" x14ac:dyDescent="0.25">
      <c r="A1966" s="11"/>
    </row>
    <row r="1967" spans="1:1" ht="15.75" x14ac:dyDescent="0.25">
      <c r="A1967" s="11"/>
    </row>
    <row r="1968" spans="1:1" ht="15.75" x14ac:dyDescent="0.25">
      <c r="A1968" s="11"/>
    </row>
    <row r="1969" spans="1:1" ht="15.75" x14ac:dyDescent="0.25">
      <c r="A1969" s="11"/>
    </row>
    <row r="1970" spans="1:1" ht="15.75" x14ac:dyDescent="0.25">
      <c r="A1970" s="11"/>
    </row>
    <row r="1971" spans="1:1" ht="15.75" x14ac:dyDescent="0.25">
      <c r="A1971" s="11"/>
    </row>
    <row r="1972" spans="1:1" ht="15.75" x14ac:dyDescent="0.25">
      <c r="A1972" s="11"/>
    </row>
    <row r="1973" spans="1:1" ht="15.75" x14ac:dyDescent="0.25">
      <c r="A1973" s="11"/>
    </row>
    <row r="1974" spans="1:1" ht="15.75" x14ac:dyDescent="0.25">
      <c r="A1974" s="11"/>
    </row>
    <row r="1975" spans="1:1" ht="15.75" x14ac:dyDescent="0.25">
      <c r="A1975" s="11"/>
    </row>
    <row r="1976" spans="1:1" ht="15.75" x14ac:dyDescent="0.25">
      <c r="A1976" s="11"/>
    </row>
    <row r="1977" spans="1:1" ht="15.75" x14ac:dyDescent="0.25">
      <c r="A1977" s="11"/>
    </row>
    <row r="1978" spans="1:1" ht="15.75" x14ac:dyDescent="0.25">
      <c r="A1978" s="11"/>
    </row>
    <row r="1979" spans="1:1" ht="15.75" x14ac:dyDescent="0.25">
      <c r="A1979" s="11"/>
    </row>
    <row r="1980" spans="1:1" ht="15.75" x14ac:dyDescent="0.25">
      <c r="A1980" s="11"/>
    </row>
    <row r="1981" spans="1:1" ht="15.75" x14ac:dyDescent="0.25">
      <c r="A1981" s="11"/>
    </row>
    <row r="1982" spans="1:1" ht="15.75" x14ac:dyDescent="0.25">
      <c r="A1982" s="11"/>
    </row>
    <row r="1983" spans="1:1" ht="15.75" x14ac:dyDescent="0.25">
      <c r="A1983" s="11"/>
    </row>
    <row r="1984" spans="1:1" ht="15.75" x14ac:dyDescent="0.25">
      <c r="A1984" s="11"/>
    </row>
    <row r="1985" spans="1:1" ht="15.75" x14ac:dyDescent="0.25">
      <c r="A1985" s="11"/>
    </row>
    <row r="1986" spans="1:1" ht="15.75" x14ac:dyDescent="0.25">
      <c r="A1986" s="11"/>
    </row>
    <row r="1987" spans="1:1" ht="15.75" x14ac:dyDescent="0.25">
      <c r="A1987" s="11"/>
    </row>
    <row r="1988" spans="1:1" ht="15.75" x14ac:dyDescent="0.25">
      <c r="A1988" s="11"/>
    </row>
    <row r="1989" spans="1:1" ht="15.75" x14ac:dyDescent="0.25">
      <c r="A1989" s="11"/>
    </row>
    <row r="1990" spans="1:1" ht="15.75" x14ac:dyDescent="0.25">
      <c r="A1990" s="11"/>
    </row>
    <row r="1991" spans="1:1" ht="15.75" x14ac:dyDescent="0.25">
      <c r="A1991" s="11"/>
    </row>
    <row r="1992" spans="1:1" ht="15.75" x14ac:dyDescent="0.25">
      <c r="A1992" s="11"/>
    </row>
    <row r="1993" spans="1:1" ht="15.75" x14ac:dyDescent="0.25">
      <c r="A1993" s="11"/>
    </row>
    <row r="1994" spans="1:1" ht="15.75" x14ac:dyDescent="0.25">
      <c r="A1994" s="11"/>
    </row>
    <row r="1995" spans="1:1" ht="15.75" x14ac:dyDescent="0.25">
      <c r="A1995" s="11"/>
    </row>
    <row r="1996" spans="1:1" ht="15.75" x14ac:dyDescent="0.25">
      <c r="A1996" s="11"/>
    </row>
    <row r="1997" spans="1:1" ht="15.75" x14ac:dyDescent="0.25">
      <c r="A1997" s="11"/>
    </row>
    <row r="1998" spans="1:1" ht="15.75" x14ac:dyDescent="0.25">
      <c r="A1998" s="11"/>
    </row>
    <row r="1999" spans="1:1" ht="15.75" x14ac:dyDescent="0.25">
      <c r="A1999" s="11"/>
    </row>
    <row r="2000" spans="1:1" ht="15.75" x14ac:dyDescent="0.25">
      <c r="A2000" s="11"/>
    </row>
    <row r="2001" spans="1:1" ht="15.75" x14ac:dyDescent="0.25">
      <c r="A2001" s="11"/>
    </row>
    <row r="2002" spans="1:1" ht="15.75" x14ac:dyDescent="0.25">
      <c r="A2002" s="11"/>
    </row>
    <row r="2003" spans="1:1" ht="15.75" x14ac:dyDescent="0.25">
      <c r="A2003" s="11"/>
    </row>
    <row r="2004" spans="1:1" ht="15.75" x14ac:dyDescent="0.25">
      <c r="A2004" s="11"/>
    </row>
    <row r="2005" spans="1:1" ht="15.75" x14ac:dyDescent="0.25">
      <c r="A2005" s="11"/>
    </row>
    <row r="2006" spans="1:1" ht="15.75" x14ac:dyDescent="0.25">
      <c r="A2006" s="11"/>
    </row>
    <row r="2007" spans="1:1" ht="15.75" x14ac:dyDescent="0.25">
      <c r="A2007" s="11"/>
    </row>
    <row r="2008" spans="1:1" ht="15.75" x14ac:dyDescent="0.25">
      <c r="A2008" s="11"/>
    </row>
    <row r="2009" spans="1:1" ht="15.75" x14ac:dyDescent="0.25">
      <c r="A2009" s="11"/>
    </row>
    <row r="2010" spans="1:1" ht="15.75" x14ac:dyDescent="0.25">
      <c r="A2010" s="11"/>
    </row>
    <row r="2011" spans="1:1" ht="15.75" x14ac:dyDescent="0.25">
      <c r="A2011" s="11"/>
    </row>
    <row r="2012" spans="1:1" ht="15.75" x14ac:dyDescent="0.25">
      <c r="A2012" s="11"/>
    </row>
    <row r="2013" spans="1:1" ht="15.75" x14ac:dyDescent="0.25">
      <c r="A2013" s="11"/>
    </row>
    <row r="2014" spans="1:1" ht="15.75" x14ac:dyDescent="0.25">
      <c r="A2014" s="11"/>
    </row>
    <row r="2015" spans="1:1" ht="15.75" x14ac:dyDescent="0.25">
      <c r="A2015" s="11"/>
    </row>
    <row r="2016" spans="1:1" ht="15.75" x14ac:dyDescent="0.25">
      <c r="A2016" s="11"/>
    </row>
    <row r="2017" spans="1:1" ht="15.75" x14ac:dyDescent="0.25">
      <c r="A2017" s="11"/>
    </row>
    <row r="2018" spans="1:1" ht="15.75" x14ac:dyDescent="0.25">
      <c r="A2018" s="11"/>
    </row>
    <row r="2019" spans="1:1" ht="15.75" x14ac:dyDescent="0.25">
      <c r="A2019" s="11"/>
    </row>
    <row r="2020" spans="1:1" ht="15.75" x14ac:dyDescent="0.25">
      <c r="A2020" s="11"/>
    </row>
    <row r="2021" spans="1:1" ht="15.75" x14ac:dyDescent="0.25">
      <c r="A2021" s="11"/>
    </row>
    <row r="2022" spans="1:1" ht="15.75" x14ac:dyDescent="0.25">
      <c r="A2022" s="11"/>
    </row>
    <row r="2023" spans="1:1" ht="15.75" x14ac:dyDescent="0.25">
      <c r="A2023" s="11"/>
    </row>
    <row r="2024" spans="1:1" ht="15.75" x14ac:dyDescent="0.25">
      <c r="A2024" s="11"/>
    </row>
    <row r="2025" spans="1:1" ht="15.75" x14ac:dyDescent="0.25">
      <c r="A2025" s="11"/>
    </row>
    <row r="2026" spans="1:1" ht="15.75" x14ac:dyDescent="0.25">
      <c r="A2026" s="11"/>
    </row>
    <row r="2027" spans="1:1" ht="15.75" x14ac:dyDescent="0.25">
      <c r="A2027" s="11"/>
    </row>
    <row r="2028" spans="1:1" ht="15.75" x14ac:dyDescent="0.25">
      <c r="A2028" s="11"/>
    </row>
    <row r="2029" spans="1:1" ht="15.75" x14ac:dyDescent="0.25">
      <c r="A2029" s="11"/>
    </row>
    <row r="2030" spans="1:1" ht="15.75" x14ac:dyDescent="0.25">
      <c r="A2030" s="11"/>
    </row>
    <row r="2031" spans="1:1" ht="15.75" x14ac:dyDescent="0.25">
      <c r="A2031" s="11"/>
    </row>
    <row r="2032" spans="1:1" ht="15.75" x14ac:dyDescent="0.25">
      <c r="A2032" s="11"/>
    </row>
    <row r="2033" spans="1:1" ht="15.75" x14ac:dyDescent="0.25">
      <c r="A2033" s="11"/>
    </row>
    <row r="2034" spans="1:1" ht="15.75" x14ac:dyDescent="0.25">
      <c r="A2034" s="11"/>
    </row>
    <row r="2035" spans="1:1" ht="15.75" x14ac:dyDescent="0.25">
      <c r="A2035" s="11"/>
    </row>
    <row r="2036" spans="1:1" ht="15.75" x14ac:dyDescent="0.25">
      <c r="A2036" s="11"/>
    </row>
    <row r="2037" spans="1:1" ht="15.75" x14ac:dyDescent="0.25">
      <c r="A2037" s="11"/>
    </row>
    <row r="2038" spans="1:1" ht="15.75" x14ac:dyDescent="0.25">
      <c r="A2038" s="11"/>
    </row>
    <row r="2039" spans="1:1" ht="15.75" x14ac:dyDescent="0.25">
      <c r="A2039" s="11"/>
    </row>
    <row r="2040" spans="1:1" ht="15.75" x14ac:dyDescent="0.25">
      <c r="A2040" s="11"/>
    </row>
    <row r="2041" spans="1:1" ht="15.75" x14ac:dyDescent="0.25">
      <c r="A2041" s="11"/>
    </row>
    <row r="2042" spans="1:1" ht="15.75" x14ac:dyDescent="0.25">
      <c r="A2042" s="11"/>
    </row>
    <row r="2043" spans="1:1" ht="15.75" x14ac:dyDescent="0.25">
      <c r="A2043" s="11"/>
    </row>
    <row r="2044" spans="1:1" ht="15.75" x14ac:dyDescent="0.25">
      <c r="A2044" s="11"/>
    </row>
    <row r="2045" spans="1:1" ht="15.75" x14ac:dyDescent="0.25">
      <c r="A2045" s="11"/>
    </row>
    <row r="2046" spans="1:1" ht="15.75" x14ac:dyDescent="0.25">
      <c r="A2046" s="11"/>
    </row>
    <row r="2047" spans="1:1" ht="15.75" x14ac:dyDescent="0.25">
      <c r="A2047" s="11"/>
    </row>
    <row r="2048" spans="1:1" ht="15.75" x14ac:dyDescent="0.25">
      <c r="A2048" s="11"/>
    </row>
    <row r="2049" spans="1:1" ht="15.75" x14ac:dyDescent="0.25">
      <c r="A2049" s="11"/>
    </row>
    <row r="2050" spans="1:1" ht="15.75" x14ac:dyDescent="0.25">
      <c r="A2050" s="11"/>
    </row>
    <row r="2051" spans="1:1" ht="15.75" x14ac:dyDescent="0.25">
      <c r="A2051" s="11"/>
    </row>
    <row r="2052" spans="1:1" ht="15.75" x14ac:dyDescent="0.25">
      <c r="A2052" s="11"/>
    </row>
    <row r="2053" spans="1:1" ht="15.75" x14ac:dyDescent="0.25">
      <c r="A2053" s="11"/>
    </row>
    <row r="2054" spans="1:1" ht="15.75" x14ac:dyDescent="0.25">
      <c r="A2054" s="11"/>
    </row>
    <row r="2055" spans="1:1" ht="15.75" x14ac:dyDescent="0.25">
      <c r="A2055" s="11"/>
    </row>
    <row r="2056" spans="1:1" ht="15.75" x14ac:dyDescent="0.25">
      <c r="A2056" s="11"/>
    </row>
    <row r="2057" spans="1:1" ht="15.75" x14ac:dyDescent="0.25">
      <c r="A2057" s="11"/>
    </row>
    <row r="2058" spans="1:1" ht="15.75" x14ac:dyDescent="0.25">
      <c r="A2058" s="11"/>
    </row>
    <row r="2059" spans="1:1" ht="15.75" x14ac:dyDescent="0.25">
      <c r="A2059" s="11"/>
    </row>
    <row r="2060" spans="1:1" ht="15.75" x14ac:dyDescent="0.25">
      <c r="A2060" s="11"/>
    </row>
    <row r="2061" spans="1:1" ht="15.75" x14ac:dyDescent="0.25">
      <c r="A2061" s="11"/>
    </row>
    <row r="2062" spans="1:1" ht="15.75" x14ac:dyDescent="0.25">
      <c r="A2062" s="11"/>
    </row>
    <row r="2063" spans="1:1" ht="15.75" x14ac:dyDescent="0.25">
      <c r="A2063" s="11"/>
    </row>
    <row r="2064" spans="1:1" ht="15.75" x14ac:dyDescent="0.25">
      <c r="A2064" s="11"/>
    </row>
    <row r="2065" spans="1:1" ht="15.75" x14ac:dyDescent="0.25">
      <c r="A2065" s="11"/>
    </row>
    <row r="2066" spans="1:1" ht="15.75" x14ac:dyDescent="0.25">
      <c r="A2066" s="11"/>
    </row>
    <row r="2067" spans="1:1" ht="15.75" x14ac:dyDescent="0.25">
      <c r="A2067" s="11"/>
    </row>
    <row r="2068" spans="1:1" ht="15.75" x14ac:dyDescent="0.25">
      <c r="A2068" s="11"/>
    </row>
    <row r="2069" spans="1:1" ht="15.75" x14ac:dyDescent="0.25">
      <c r="A2069" s="11"/>
    </row>
    <row r="2070" spans="1:1" ht="15.75" x14ac:dyDescent="0.25">
      <c r="A2070" s="11"/>
    </row>
    <row r="2071" spans="1:1" ht="15.75" x14ac:dyDescent="0.25">
      <c r="A2071" s="11"/>
    </row>
    <row r="2072" spans="1:1" ht="15.75" x14ac:dyDescent="0.25">
      <c r="A2072" s="11"/>
    </row>
    <row r="2073" spans="1:1" ht="15.75" x14ac:dyDescent="0.25">
      <c r="A2073" s="11"/>
    </row>
    <row r="2074" spans="1:1" ht="15.75" x14ac:dyDescent="0.25">
      <c r="A2074" s="11"/>
    </row>
    <row r="2075" spans="1:1" ht="15.75" x14ac:dyDescent="0.25">
      <c r="A2075" s="11"/>
    </row>
    <row r="2076" spans="1:1" ht="15.75" x14ac:dyDescent="0.25">
      <c r="A2076" s="11"/>
    </row>
    <row r="2077" spans="1:1" ht="15.75" x14ac:dyDescent="0.25">
      <c r="A2077" s="11"/>
    </row>
    <row r="2078" spans="1:1" ht="15.75" x14ac:dyDescent="0.25">
      <c r="A2078" s="11"/>
    </row>
    <row r="2079" spans="1:1" ht="15.75" x14ac:dyDescent="0.25">
      <c r="A2079" s="11"/>
    </row>
    <row r="2080" spans="1:1" ht="15.75" x14ac:dyDescent="0.25">
      <c r="A2080" s="11"/>
    </row>
    <row r="2081" spans="1:1" ht="15.75" x14ac:dyDescent="0.25">
      <c r="A2081" s="11"/>
    </row>
    <row r="2082" spans="1:1" ht="15.75" x14ac:dyDescent="0.25">
      <c r="A2082" s="11"/>
    </row>
    <row r="2083" spans="1:1" ht="15.75" x14ac:dyDescent="0.25">
      <c r="A2083" s="11"/>
    </row>
    <row r="2084" spans="1:1" ht="15.75" x14ac:dyDescent="0.25">
      <c r="A2084" s="11"/>
    </row>
    <row r="2085" spans="1:1" ht="15.75" x14ac:dyDescent="0.25">
      <c r="A2085" s="11"/>
    </row>
    <row r="2086" spans="1:1" ht="15.75" x14ac:dyDescent="0.25">
      <c r="A2086" s="11"/>
    </row>
    <row r="2087" spans="1:1" ht="15.75" x14ac:dyDescent="0.25">
      <c r="A2087" s="11"/>
    </row>
    <row r="2088" spans="1:1" ht="15.75" x14ac:dyDescent="0.25">
      <c r="A2088" s="11"/>
    </row>
    <row r="2089" spans="1:1" ht="15.75" x14ac:dyDescent="0.25">
      <c r="A2089" s="11"/>
    </row>
    <row r="2090" spans="1:1" ht="15.75" x14ac:dyDescent="0.25">
      <c r="A2090" s="11"/>
    </row>
    <row r="2091" spans="1:1" ht="15.75" x14ac:dyDescent="0.25">
      <c r="A2091" s="11"/>
    </row>
    <row r="2092" spans="1:1" ht="15.75" x14ac:dyDescent="0.25">
      <c r="A2092" s="11"/>
    </row>
    <row r="2093" spans="1:1" ht="15.75" x14ac:dyDescent="0.25">
      <c r="A2093" s="11"/>
    </row>
    <row r="2094" spans="1:1" ht="15.75" x14ac:dyDescent="0.25">
      <c r="A2094" s="11"/>
    </row>
    <row r="2095" spans="1:1" ht="15.75" x14ac:dyDescent="0.25">
      <c r="A2095" s="11"/>
    </row>
    <row r="2096" spans="1:1" ht="15.75" x14ac:dyDescent="0.25">
      <c r="A2096" s="11"/>
    </row>
    <row r="2097" spans="1:1" ht="15.75" x14ac:dyDescent="0.25">
      <c r="A2097" s="11"/>
    </row>
    <row r="2098" spans="1:1" ht="15.75" x14ac:dyDescent="0.25">
      <c r="A2098" s="11"/>
    </row>
    <row r="2099" spans="1:1" ht="15.75" x14ac:dyDescent="0.25">
      <c r="A2099" s="11"/>
    </row>
    <row r="2100" spans="1:1" ht="15.75" x14ac:dyDescent="0.25">
      <c r="A2100" s="11"/>
    </row>
    <row r="2101" spans="1:1" ht="15.75" x14ac:dyDescent="0.25">
      <c r="A2101" s="11"/>
    </row>
    <row r="2102" spans="1:1" ht="15.75" x14ac:dyDescent="0.25">
      <c r="A2102" s="11"/>
    </row>
    <row r="2103" spans="1:1" ht="15.75" x14ac:dyDescent="0.25">
      <c r="A2103" s="11"/>
    </row>
    <row r="2104" spans="1:1" ht="15.75" x14ac:dyDescent="0.25">
      <c r="A2104" s="11"/>
    </row>
    <row r="2105" spans="1:1" ht="15.75" x14ac:dyDescent="0.25">
      <c r="A2105" s="11"/>
    </row>
    <row r="2106" spans="1:1" ht="15.75" x14ac:dyDescent="0.25">
      <c r="A2106" s="11"/>
    </row>
    <row r="2107" spans="1:1" ht="15.75" x14ac:dyDescent="0.25">
      <c r="A2107" s="11"/>
    </row>
    <row r="2108" spans="1:1" ht="15.75" x14ac:dyDescent="0.25">
      <c r="A2108" s="11"/>
    </row>
    <row r="2109" spans="1:1" ht="15.75" x14ac:dyDescent="0.25">
      <c r="A2109" s="11"/>
    </row>
    <row r="2110" spans="1:1" ht="15.75" x14ac:dyDescent="0.25">
      <c r="A2110" s="11"/>
    </row>
    <row r="2111" spans="1:1" ht="15.75" x14ac:dyDescent="0.25">
      <c r="A2111" s="11"/>
    </row>
    <row r="2112" spans="1:1" ht="15.75" x14ac:dyDescent="0.25">
      <c r="A2112" s="11"/>
    </row>
    <row r="2113" spans="1:1" ht="15.75" x14ac:dyDescent="0.25">
      <c r="A2113" s="11"/>
    </row>
    <row r="2114" spans="1:1" ht="15.75" x14ac:dyDescent="0.25">
      <c r="A2114" s="11"/>
    </row>
    <row r="2115" spans="1:1" ht="15.75" x14ac:dyDescent="0.25">
      <c r="A2115" s="11"/>
    </row>
    <row r="2116" spans="1:1" ht="15.75" x14ac:dyDescent="0.25">
      <c r="A2116" s="11"/>
    </row>
    <row r="2117" spans="1:1" ht="15.75" x14ac:dyDescent="0.25">
      <c r="A2117" s="11"/>
    </row>
    <row r="2118" spans="1:1" ht="15.75" x14ac:dyDescent="0.25">
      <c r="A2118" s="11"/>
    </row>
    <row r="2119" spans="1:1" ht="15.75" x14ac:dyDescent="0.25">
      <c r="A2119" s="11"/>
    </row>
    <row r="2120" spans="1:1" ht="15.75" x14ac:dyDescent="0.25">
      <c r="A2120" s="11"/>
    </row>
    <row r="2121" spans="1:1" ht="15.75" x14ac:dyDescent="0.25">
      <c r="A2121" s="11"/>
    </row>
    <row r="2122" spans="1:1" ht="15.75" x14ac:dyDescent="0.25">
      <c r="A2122" s="11"/>
    </row>
    <row r="2123" spans="1:1" ht="15.75" x14ac:dyDescent="0.25">
      <c r="A2123" s="11"/>
    </row>
    <row r="2124" spans="1:1" ht="15.75" x14ac:dyDescent="0.25">
      <c r="A2124" s="11"/>
    </row>
    <row r="2125" spans="1:1" ht="15.75" x14ac:dyDescent="0.25">
      <c r="A2125" s="11"/>
    </row>
    <row r="2126" spans="1:1" ht="15.75" x14ac:dyDescent="0.25">
      <c r="A2126" s="11"/>
    </row>
    <row r="2127" spans="1:1" ht="15.75" x14ac:dyDescent="0.25">
      <c r="A2127" s="11"/>
    </row>
    <row r="2128" spans="1:1" ht="15.75" x14ac:dyDescent="0.25">
      <c r="A2128" s="11"/>
    </row>
    <row r="2129" spans="1:1" ht="15.75" x14ac:dyDescent="0.25">
      <c r="A2129" s="11"/>
    </row>
    <row r="2130" spans="1:1" ht="15.75" x14ac:dyDescent="0.25">
      <c r="A2130" s="11"/>
    </row>
    <row r="2131" spans="1:1" ht="15.75" x14ac:dyDescent="0.25">
      <c r="A2131" s="11"/>
    </row>
    <row r="2132" spans="1:1" ht="15.75" x14ac:dyDescent="0.25">
      <c r="A2132" s="11"/>
    </row>
    <row r="2133" spans="1:1" ht="15.75" x14ac:dyDescent="0.25">
      <c r="A2133" s="11"/>
    </row>
    <row r="2134" spans="1:1" ht="15.75" x14ac:dyDescent="0.25">
      <c r="A2134" s="11"/>
    </row>
    <row r="2135" spans="1:1" ht="15.75" x14ac:dyDescent="0.25">
      <c r="A2135" s="11"/>
    </row>
    <row r="2136" spans="1:1" ht="15.75" x14ac:dyDescent="0.25">
      <c r="A2136" s="11"/>
    </row>
    <row r="2137" spans="1:1" ht="15.75" x14ac:dyDescent="0.25">
      <c r="A2137" s="11"/>
    </row>
    <row r="2138" spans="1:1" ht="15.75" x14ac:dyDescent="0.25">
      <c r="A2138" s="11"/>
    </row>
    <row r="2139" spans="1:1" ht="15.75" x14ac:dyDescent="0.25">
      <c r="A2139" s="11"/>
    </row>
    <row r="2140" spans="1:1" ht="15.75" x14ac:dyDescent="0.25">
      <c r="A2140" s="11"/>
    </row>
    <row r="2141" spans="1:1" ht="15.75" x14ac:dyDescent="0.25">
      <c r="A2141" s="11"/>
    </row>
    <row r="2142" spans="1:1" ht="15.75" x14ac:dyDescent="0.25">
      <c r="A2142" s="11"/>
    </row>
    <row r="2143" spans="1:1" ht="15.75" x14ac:dyDescent="0.25">
      <c r="A2143" s="11"/>
    </row>
    <row r="2144" spans="1:1" ht="15.75" x14ac:dyDescent="0.25">
      <c r="A2144" s="11"/>
    </row>
    <row r="2145" spans="1:1" ht="15.75" x14ac:dyDescent="0.25">
      <c r="A2145" s="11"/>
    </row>
    <row r="2146" spans="1:1" ht="15.75" x14ac:dyDescent="0.25">
      <c r="A2146" s="11"/>
    </row>
    <row r="2147" spans="1:1" ht="15.75" x14ac:dyDescent="0.25">
      <c r="A2147" s="11"/>
    </row>
    <row r="2148" spans="1:1" ht="15.75" x14ac:dyDescent="0.25">
      <c r="A2148" s="11"/>
    </row>
    <row r="2149" spans="1:1" ht="15.75" x14ac:dyDescent="0.25">
      <c r="A2149" s="11"/>
    </row>
    <row r="2150" spans="1:1" ht="15.75" x14ac:dyDescent="0.25">
      <c r="A2150" s="11"/>
    </row>
    <row r="2151" spans="1:1" ht="15.75" x14ac:dyDescent="0.25">
      <c r="A2151" s="11"/>
    </row>
    <row r="2152" spans="1:1" ht="15.75" x14ac:dyDescent="0.25">
      <c r="A2152" s="11"/>
    </row>
    <row r="2153" spans="1:1" ht="15.75" x14ac:dyDescent="0.25">
      <c r="A2153" s="11"/>
    </row>
    <row r="2154" spans="1:1" ht="15.75" x14ac:dyDescent="0.25">
      <c r="A2154" s="11"/>
    </row>
    <row r="2155" spans="1:1" ht="15.75" x14ac:dyDescent="0.25">
      <c r="A2155" s="11"/>
    </row>
    <row r="2156" spans="1:1" ht="15.75" x14ac:dyDescent="0.25">
      <c r="A2156" s="11"/>
    </row>
    <row r="2157" spans="1:1" ht="15.75" x14ac:dyDescent="0.25">
      <c r="A2157" s="11"/>
    </row>
    <row r="2158" spans="1:1" ht="15.75" x14ac:dyDescent="0.25">
      <c r="A2158" s="11"/>
    </row>
    <row r="2159" spans="1:1" ht="15.75" x14ac:dyDescent="0.25">
      <c r="A2159" s="11"/>
    </row>
    <row r="2160" spans="1:1" ht="15.75" x14ac:dyDescent="0.25">
      <c r="A2160" s="11"/>
    </row>
    <row r="2161" spans="1:1" ht="15.75" x14ac:dyDescent="0.25">
      <c r="A2161" s="11"/>
    </row>
    <row r="2162" spans="1:1" ht="15.75" x14ac:dyDescent="0.25">
      <c r="A2162" s="11"/>
    </row>
    <row r="2163" spans="1:1" ht="15.75" x14ac:dyDescent="0.25">
      <c r="A2163" s="11"/>
    </row>
    <row r="2164" spans="1:1" ht="15.75" x14ac:dyDescent="0.25">
      <c r="A2164" s="11"/>
    </row>
    <row r="2165" spans="1:1" ht="15.75" x14ac:dyDescent="0.25">
      <c r="A2165" s="11"/>
    </row>
    <row r="2166" spans="1:1" ht="15.75" x14ac:dyDescent="0.25">
      <c r="A2166" s="11"/>
    </row>
    <row r="2167" spans="1:1" ht="15.75" x14ac:dyDescent="0.25">
      <c r="A2167" s="11"/>
    </row>
    <row r="2168" spans="1:1" ht="15.75" x14ac:dyDescent="0.25">
      <c r="A2168" s="11"/>
    </row>
    <row r="2169" spans="1:1" ht="15.75" x14ac:dyDescent="0.25">
      <c r="A2169" s="11"/>
    </row>
    <row r="2170" spans="1:1" ht="15.75" x14ac:dyDescent="0.25">
      <c r="A2170" s="11"/>
    </row>
    <row r="2171" spans="1:1" ht="15.75" x14ac:dyDescent="0.25">
      <c r="A2171" s="11"/>
    </row>
    <row r="2172" spans="1:1" ht="15.75" x14ac:dyDescent="0.25">
      <c r="A2172" s="11"/>
    </row>
    <row r="2173" spans="1:1" ht="15.75" x14ac:dyDescent="0.25">
      <c r="A2173" s="11"/>
    </row>
    <row r="2174" spans="1:1" ht="15.75" x14ac:dyDescent="0.25">
      <c r="A2174" s="11"/>
    </row>
    <row r="2175" spans="1:1" ht="15.75" x14ac:dyDescent="0.25">
      <c r="A2175" s="11"/>
    </row>
    <row r="2176" spans="1:1" ht="15.75" x14ac:dyDescent="0.25">
      <c r="A2176" s="11"/>
    </row>
    <row r="2177" spans="1:1" ht="15.75" x14ac:dyDescent="0.25">
      <c r="A2177" s="11"/>
    </row>
    <row r="2178" spans="1:1" ht="15.75" x14ac:dyDescent="0.25">
      <c r="A2178" s="11"/>
    </row>
    <row r="2179" spans="1:1" ht="15.75" x14ac:dyDescent="0.25">
      <c r="A2179" s="11"/>
    </row>
    <row r="2180" spans="1:1" ht="15.75" x14ac:dyDescent="0.25">
      <c r="A2180" s="11"/>
    </row>
    <row r="2181" spans="1:1" ht="15.75" x14ac:dyDescent="0.25">
      <c r="A2181" s="11"/>
    </row>
    <row r="2182" spans="1:1" ht="15.75" x14ac:dyDescent="0.25">
      <c r="A2182" s="11"/>
    </row>
    <row r="2183" spans="1:1" ht="15.75" x14ac:dyDescent="0.25">
      <c r="A2183" s="11"/>
    </row>
    <row r="2184" spans="1:1" ht="15.75" x14ac:dyDescent="0.25">
      <c r="A2184" s="11"/>
    </row>
    <row r="2185" spans="1:1" ht="15.75" x14ac:dyDescent="0.25">
      <c r="A2185" s="11"/>
    </row>
    <row r="2186" spans="1:1" ht="15.75" x14ac:dyDescent="0.25">
      <c r="A2186" s="11"/>
    </row>
    <row r="2187" spans="1:1" ht="15.75" x14ac:dyDescent="0.25">
      <c r="A2187" s="11"/>
    </row>
    <row r="2188" spans="1:1" ht="15.75" x14ac:dyDescent="0.25">
      <c r="A2188" s="11"/>
    </row>
    <row r="2189" spans="1:1" ht="15.75" x14ac:dyDescent="0.25">
      <c r="A2189" s="11"/>
    </row>
    <row r="2190" spans="1:1" ht="15.75" x14ac:dyDescent="0.25">
      <c r="A2190" s="11"/>
    </row>
    <row r="2191" spans="1:1" ht="15.75" x14ac:dyDescent="0.25">
      <c r="A2191" s="11"/>
    </row>
    <row r="2192" spans="1:1" ht="15.75" x14ac:dyDescent="0.25">
      <c r="A2192" s="11"/>
    </row>
    <row r="2193" spans="1:1" ht="15.75" x14ac:dyDescent="0.25">
      <c r="A2193" s="11"/>
    </row>
    <row r="2194" spans="1:1" ht="15.75" x14ac:dyDescent="0.25">
      <c r="A2194" s="11"/>
    </row>
    <row r="2195" spans="1:1" ht="15.75" x14ac:dyDescent="0.25">
      <c r="A2195" s="11"/>
    </row>
    <row r="2196" spans="1:1" ht="15.75" x14ac:dyDescent="0.25">
      <c r="A2196" s="11"/>
    </row>
    <row r="2197" spans="1:1" ht="15.75" x14ac:dyDescent="0.25">
      <c r="A2197" s="11"/>
    </row>
    <row r="2198" spans="1:1" ht="15.75" x14ac:dyDescent="0.25">
      <c r="A2198" s="11"/>
    </row>
    <row r="2199" spans="1:1" ht="15.75" x14ac:dyDescent="0.25">
      <c r="A2199" s="11"/>
    </row>
    <row r="2200" spans="1:1" ht="15.75" x14ac:dyDescent="0.25">
      <c r="A2200" s="11"/>
    </row>
    <row r="2201" spans="1:1" ht="15.75" x14ac:dyDescent="0.25">
      <c r="A2201" s="11"/>
    </row>
    <row r="2202" spans="1:1" ht="15.75" x14ac:dyDescent="0.25">
      <c r="A2202" s="11"/>
    </row>
    <row r="2203" spans="1:1" ht="15.75" x14ac:dyDescent="0.25">
      <c r="A2203" s="11"/>
    </row>
    <row r="2204" spans="1:1" ht="15.75" x14ac:dyDescent="0.25">
      <c r="A2204" s="11"/>
    </row>
    <row r="2205" spans="1:1" ht="15.75" x14ac:dyDescent="0.25">
      <c r="A2205" s="11"/>
    </row>
    <row r="2206" spans="1:1" ht="15.75" x14ac:dyDescent="0.25">
      <c r="A2206" s="11"/>
    </row>
    <row r="2207" spans="1:1" ht="15.75" x14ac:dyDescent="0.25">
      <c r="A2207" s="11"/>
    </row>
    <row r="2208" spans="1:1" ht="15.75" x14ac:dyDescent="0.25">
      <c r="A2208" s="11"/>
    </row>
    <row r="2209" spans="1:1" ht="15.75" x14ac:dyDescent="0.25">
      <c r="A2209" s="11"/>
    </row>
    <row r="2210" spans="1:1" ht="15.75" x14ac:dyDescent="0.25">
      <c r="A2210" s="11"/>
    </row>
    <row r="2211" spans="1:1" ht="15.75" x14ac:dyDescent="0.25">
      <c r="A2211" s="11"/>
    </row>
    <row r="2212" spans="1:1" ht="15.75" x14ac:dyDescent="0.25">
      <c r="A2212" s="11"/>
    </row>
    <row r="2213" spans="1:1" ht="15.75" x14ac:dyDescent="0.25">
      <c r="A2213" s="11"/>
    </row>
    <row r="2214" spans="1:1" ht="15.75" x14ac:dyDescent="0.25">
      <c r="A2214" s="11"/>
    </row>
    <row r="2215" spans="1:1" ht="15.75" x14ac:dyDescent="0.25">
      <c r="A2215" s="11"/>
    </row>
    <row r="2216" spans="1:1" ht="15.75" x14ac:dyDescent="0.25">
      <c r="A2216" s="11"/>
    </row>
    <row r="2217" spans="1:1" ht="15.75" x14ac:dyDescent="0.25">
      <c r="A2217" s="11"/>
    </row>
    <row r="2218" spans="1:1" ht="15.75" x14ac:dyDescent="0.25">
      <c r="A2218" s="11"/>
    </row>
    <row r="2219" spans="1:1" ht="15.75" x14ac:dyDescent="0.25">
      <c r="A2219" s="11"/>
    </row>
    <row r="2220" spans="1:1" ht="15.75" x14ac:dyDescent="0.25">
      <c r="A2220" s="11"/>
    </row>
    <row r="2221" spans="1:1" ht="15.75" x14ac:dyDescent="0.25">
      <c r="A2221" s="11"/>
    </row>
    <row r="2222" spans="1:1" ht="15.75" x14ac:dyDescent="0.25">
      <c r="A2222" s="11"/>
    </row>
    <row r="2223" spans="1:1" ht="15.75" x14ac:dyDescent="0.25">
      <c r="A2223" s="11"/>
    </row>
    <row r="2224" spans="1:1" ht="15.75" x14ac:dyDescent="0.25">
      <c r="A2224" s="11"/>
    </row>
    <row r="2225" spans="1:1" ht="15.75" x14ac:dyDescent="0.25">
      <c r="A2225" s="11"/>
    </row>
    <row r="2226" spans="1:1" ht="15.75" x14ac:dyDescent="0.25">
      <c r="A2226" s="11"/>
    </row>
    <row r="2227" spans="1:1" ht="15.75" x14ac:dyDescent="0.25">
      <c r="A2227" s="11"/>
    </row>
    <row r="2228" spans="1:1" ht="15.75" x14ac:dyDescent="0.25">
      <c r="A2228" s="11"/>
    </row>
    <row r="2229" spans="1:1" ht="15.75" x14ac:dyDescent="0.25">
      <c r="A2229" s="11"/>
    </row>
    <row r="2230" spans="1:1" ht="15.75" x14ac:dyDescent="0.25">
      <c r="A2230" s="11"/>
    </row>
    <row r="2231" spans="1:1" ht="15.75" x14ac:dyDescent="0.25">
      <c r="A2231" s="11"/>
    </row>
    <row r="2232" spans="1:1" ht="15.75" x14ac:dyDescent="0.25">
      <c r="A2232" s="11"/>
    </row>
    <row r="2233" spans="1:1" ht="15.75" x14ac:dyDescent="0.25">
      <c r="A2233" s="11"/>
    </row>
    <row r="2234" spans="1:1" ht="15.75" x14ac:dyDescent="0.25">
      <c r="A2234" s="11"/>
    </row>
    <row r="2235" spans="1:1" ht="15.75" x14ac:dyDescent="0.25">
      <c r="A2235" s="11"/>
    </row>
    <row r="2236" spans="1:1" ht="15.75" x14ac:dyDescent="0.25">
      <c r="A2236" s="11"/>
    </row>
    <row r="2237" spans="1:1" ht="15.75" x14ac:dyDescent="0.25">
      <c r="A2237" s="11"/>
    </row>
    <row r="2238" spans="1:1" ht="15.75" x14ac:dyDescent="0.25">
      <c r="A2238" s="11"/>
    </row>
    <row r="2239" spans="1:1" ht="15.75" x14ac:dyDescent="0.25">
      <c r="A2239" s="11"/>
    </row>
    <row r="2240" spans="1:1" ht="15.75" x14ac:dyDescent="0.25">
      <c r="A2240" s="11"/>
    </row>
    <row r="2241" spans="1:1" ht="15.75" x14ac:dyDescent="0.25">
      <c r="A2241" s="11"/>
    </row>
    <row r="2242" spans="1:1" ht="15.75" x14ac:dyDescent="0.25">
      <c r="A2242" s="11"/>
    </row>
    <row r="2243" spans="1:1" ht="15.75" x14ac:dyDescent="0.25">
      <c r="A2243" s="11"/>
    </row>
    <row r="2244" spans="1:1" ht="15.75" x14ac:dyDescent="0.25">
      <c r="A2244" s="11"/>
    </row>
    <row r="2245" spans="1:1" ht="15.75" x14ac:dyDescent="0.25">
      <c r="A2245" s="11"/>
    </row>
    <row r="2246" spans="1:1" ht="15.75" x14ac:dyDescent="0.25">
      <c r="A2246" s="11"/>
    </row>
    <row r="2247" spans="1:1" ht="15.75" x14ac:dyDescent="0.25">
      <c r="A2247" s="11"/>
    </row>
    <row r="2248" spans="1:1" ht="15.75" x14ac:dyDescent="0.25">
      <c r="A2248" s="11"/>
    </row>
    <row r="2249" spans="1:1" ht="15.75" x14ac:dyDescent="0.25">
      <c r="A2249" s="11"/>
    </row>
    <row r="2250" spans="1:1" ht="15.75" x14ac:dyDescent="0.25">
      <c r="A2250" s="11"/>
    </row>
    <row r="2251" spans="1:1" ht="15.75" x14ac:dyDescent="0.25">
      <c r="A2251" s="11"/>
    </row>
    <row r="2252" spans="1:1" ht="15.75" x14ac:dyDescent="0.25">
      <c r="A2252" s="11"/>
    </row>
    <row r="2253" spans="1:1" ht="15.75" x14ac:dyDescent="0.25">
      <c r="A2253" s="11"/>
    </row>
    <row r="2254" spans="1:1" ht="15.75" x14ac:dyDescent="0.25">
      <c r="A2254" s="11"/>
    </row>
    <row r="2255" spans="1:1" ht="15.75" x14ac:dyDescent="0.25">
      <c r="A2255" s="11"/>
    </row>
    <row r="2256" spans="1:1" ht="15.75" x14ac:dyDescent="0.25">
      <c r="A2256" s="11"/>
    </row>
    <row r="2257" spans="1:1" ht="15.75" x14ac:dyDescent="0.25">
      <c r="A2257" s="11"/>
    </row>
    <row r="2258" spans="1:1" ht="15.75" x14ac:dyDescent="0.25">
      <c r="A2258" s="11"/>
    </row>
    <row r="2259" spans="1:1" ht="15.75" x14ac:dyDescent="0.25">
      <c r="A2259" s="11"/>
    </row>
    <row r="2260" spans="1:1" ht="15.75" x14ac:dyDescent="0.25">
      <c r="A2260" s="11"/>
    </row>
    <row r="2261" spans="1:1" ht="15.75" x14ac:dyDescent="0.25">
      <c r="A2261" s="11"/>
    </row>
    <row r="2262" spans="1:1" ht="15.75" x14ac:dyDescent="0.25">
      <c r="A2262" s="11"/>
    </row>
    <row r="2263" spans="1:1" ht="15.75" x14ac:dyDescent="0.25">
      <c r="A2263" s="11"/>
    </row>
    <row r="2264" spans="1:1" ht="15.75" x14ac:dyDescent="0.25">
      <c r="A2264" s="11"/>
    </row>
    <row r="2265" spans="1:1" ht="15.75" x14ac:dyDescent="0.25">
      <c r="A2265" s="11"/>
    </row>
    <row r="2266" spans="1:1" ht="15.75" x14ac:dyDescent="0.25">
      <c r="A2266" s="11"/>
    </row>
    <row r="2267" spans="1:1" ht="15.75" x14ac:dyDescent="0.25">
      <c r="A2267" s="11"/>
    </row>
    <row r="2268" spans="1:1" ht="15.75" x14ac:dyDescent="0.25">
      <c r="A2268" s="11"/>
    </row>
    <row r="2269" spans="1:1" ht="15.75" x14ac:dyDescent="0.25">
      <c r="A2269" s="11"/>
    </row>
    <row r="2270" spans="1:1" ht="15.75" x14ac:dyDescent="0.25">
      <c r="A2270" s="11"/>
    </row>
    <row r="2271" spans="1:1" ht="15.75" x14ac:dyDescent="0.25">
      <c r="A2271" s="11"/>
    </row>
    <row r="2272" spans="1:1" ht="15.75" x14ac:dyDescent="0.25">
      <c r="A2272" s="11"/>
    </row>
    <row r="2273" spans="1:1" ht="15.75" x14ac:dyDescent="0.25">
      <c r="A2273" s="11"/>
    </row>
    <row r="2274" spans="1:1" ht="15.75" x14ac:dyDescent="0.25">
      <c r="A2274" s="11"/>
    </row>
    <row r="2275" spans="1:1" ht="15.75" x14ac:dyDescent="0.25">
      <c r="A2275" s="11"/>
    </row>
    <row r="2276" spans="1:1" ht="15.75" x14ac:dyDescent="0.25">
      <c r="A2276" s="11"/>
    </row>
    <row r="2277" spans="1:1" ht="15.75" x14ac:dyDescent="0.25">
      <c r="A2277" s="11"/>
    </row>
    <row r="2278" spans="1:1" ht="15.75" x14ac:dyDescent="0.25">
      <c r="A2278" s="11"/>
    </row>
    <row r="2279" spans="1:1" ht="15.75" x14ac:dyDescent="0.25">
      <c r="A2279" s="11"/>
    </row>
    <row r="2280" spans="1:1" ht="15.75" x14ac:dyDescent="0.25">
      <c r="A2280" s="11"/>
    </row>
    <row r="2281" spans="1:1" ht="15.75" x14ac:dyDescent="0.25">
      <c r="A2281" s="11"/>
    </row>
    <row r="2282" spans="1:1" ht="15.75" x14ac:dyDescent="0.25">
      <c r="A2282" s="11"/>
    </row>
    <row r="2283" spans="1:1" ht="15.75" x14ac:dyDescent="0.25">
      <c r="A2283" s="11"/>
    </row>
    <row r="2284" spans="1:1" ht="15.75" x14ac:dyDescent="0.25">
      <c r="A2284" s="11"/>
    </row>
    <row r="2285" spans="1:1" ht="15.75" x14ac:dyDescent="0.25">
      <c r="A2285" s="11"/>
    </row>
    <row r="2286" spans="1:1" ht="15.75" x14ac:dyDescent="0.25">
      <c r="A2286" s="11"/>
    </row>
    <row r="2287" spans="1:1" ht="15.75" x14ac:dyDescent="0.25">
      <c r="A2287" s="11"/>
    </row>
    <row r="2288" spans="1:1" ht="15.75" x14ac:dyDescent="0.25">
      <c r="A2288" s="11"/>
    </row>
    <row r="2289" spans="1:1" ht="15.75" x14ac:dyDescent="0.25">
      <c r="A2289" s="11"/>
    </row>
    <row r="2290" spans="1:1" ht="15.75" x14ac:dyDescent="0.25">
      <c r="A2290" s="11"/>
    </row>
    <row r="2291" spans="1:1" ht="15.75" x14ac:dyDescent="0.25">
      <c r="A2291" s="11"/>
    </row>
    <row r="2292" spans="1:1" ht="15.75" x14ac:dyDescent="0.25">
      <c r="A2292" s="11"/>
    </row>
    <row r="2293" spans="1:1" ht="15.75" x14ac:dyDescent="0.25">
      <c r="A2293" s="11"/>
    </row>
    <row r="2294" spans="1:1" ht="15.75" x14ac:dyDescent="0.25">
      <c r="A2294" s="11"/>
    </row>
    <row r="2295" spans="1:1" ht="15.75" x14ac:dyDescent="0.25">
      <c r="A2295" s="11"/>
    </row>
    <row r="2296" spans="1:1" ht="15.75" x14ac:dyDescent="0.25">
      <c r="A2296" s="11"/>
    </row>
    <row r="2297" spans="1:1" ht="15.75" x14ac:dyDescent="0.25">
      <c r="A2297" s="11"/>
    </row>
    <row r="2298" spans="1:1" ht="15.75" x14ac:dyDescent="0.25">
      <c r="A2298" s="11"/>
    </row>
    <row r="2299" spans="1:1" ht="15.75" x14ac:dyDescent="0.25">
      <c r="A2299" s="11"/>
    </row>
    <row r="2300" spans="1:1" ht="15.75" x14ac:dyDescent="0.25">
      <c r="A2300" s="11"/>
    </row>
    <row r="2301" spans="1:1" ht="15.75" x14ac:dyDescent="0.25">
      <c r="A2301" s="11"/>
    </row>
    <row r="2302" spans="1:1" ht="15.75" x14ac:dyDescent="0.25">
      <c r="A2302" s="11"/>
    </row>
    <row r="2303" spans="1:1" ht="15.75" x14ac:dyDescent="0.25">
      <c r="A2303" s="11"/>
    </row>
    <row r="2304" spans="1:1" ht="15.75" x14ac:dyDescent="0.25">
      <c r="A2304" s="11"/>
    </row>
    <row r="2305" spans="1:1" ht="15.75" x14ac:dyDescent="0.25">
      <c r="A2305" s="11"/>
    </row>
    <row r="2306" spans="1:1" ht="15.75" x14ac:dyDescent="0.25">
      <c r="A2306" s="11"/>
    </row>
    <row r="2307" spans="1:1" ht="15.75" x14ac:dyDescent="0.25">
      <c r="A2307" s="11"/>
    </row>
    <row r="2308" spans="1:1" ht="15.75" x14ac:dyDescent="0.25">
      <c r="A2308" s="11"/>
    </row>
    <row r="2309" spans="1:1" ht="15.75" x14ac:dyDescent="0.25">
      <c r="A2309" s="11"/>
    </row>
    <row r="2310" spans="1:1" ht="15.75" x14ac:dyDescent="0.25">
      <c r="A2310" s="11"/>
    </row>
    <row r="2311" spans="1:1" ht="15.75" x14ac:dyDescent="0.25">
      <c r="A2311" s="11"/>
    </row>
    <row r="2312" spans="1:1" ht="15.75" x14ac:dyDescent="0.25">
      <c r="A2312" s="11"/>
    </row>
    <row r="2313" spans="1:1" ht="15.75" x14ac:dyDescent="0.25">
      <c r="A2313" s="11"/>
    </row>
    <row r="2314" spans="1:1" ht="15.75" x14ac:dyDescent="0.25">
      <c r="A2314" s="11"/>
    </row>
    <row r="2315" spans="1:1" ht="15.75" x14ac:dyDescent="0.25">
      <c r="A2315" s="11"/>
    </row>
    <row r="2316" spans="1:1" ht="15.75" x14ac:dyDescent="0.25">
      <c r="A2316" s="11"/>
    </row>
    <row r="2317" spans="1:1" ht="15.75" x14ac:dyDescent="0.25">
      <c r="A2317" s="11"/>
    </row>
    <row r="2318" spans="1:1" ht="15.75" x14ac:dyDescent="0.25">
      <c r="A2318" s="11"/>
    </row>
    <row r="2319" spans="1:1" ht="15.75" x14ac:dyDescent="0.25">
      <c r="A2319" s="11"/>
    </row>
    <row r="2320" spans="1:1" ht="15.75" x14ac:dyDescent="0.25">
      <c r="A2320" s="11"/>
    </row>
    <row r="2321" spans="1:1" ht="15.75" x14ac:dyDescent="0.25">
      <c r="A2321" s="11"/>
    </row>
    <row r="2322" spans="1:1" ht="15.75" x14ac:dyDescent="0.25">
      <c r="A2322" s="11"/>
    </row>
    <row r="2323" spans="1:1" ht="15.75" x14ac:dyDescent="0.25">
      <c r="A2323" s="11"/>
    </row>
    <row r="2324" spans="1:1" ht="15.75" x14ac:dyDescent="0.25">
      <c r="A2324" s="11"/>
    </row>
    <row r="2325" spans="1:1" ht="15.75" x14ac:dyDescent="0.25">
      <c r="A2325" s="11"/>
    </row>
    <row r="2326" spans="1:1" ht="15.75" x14ac:dyDescent="0.25">
      <c r="A2326" s="11"/>
    </row>
    <row r="2327" spans="1:1" ht="15.75" x14ac:dyDescent="0.25">
      <c r="A2327" s="11"/>
    </row>
    <row r="2328" spans="1:1" ht="15.75" x14ac:dyDescent="0.25">
      <c r="A2328" s="11"/>
    </row>
    <row r="2329" spans="1:1" ht="15.75" x14ac:dyDescent="0.25">
      <c r="A2329" s="11"/>
    </row>
    <row r="2330" spans="1:1" ht="15.75" x14ac:dyDescent="0.25">
      <c r="A2330" s="11"/>
    </row>
    <row r="2331" spans="1:1" ht="15.75" x14ac:dyDescent="0.25">
      <c r="A2331" s="11"/>
    </row>
    <row r="2332" spans="1:1" ht="15.75" x14ac:dyDescent="0.25">
      <c r="A2332" s="11"/>
    </row>
    <row r="2333" spans="1:1" ht="15.75" x14ac:dyDescent="0.25">
      <c r="A2333" s="11"/>
    </row>
    <row r="2334" spans="1:1" ht="15.75" x14ac:dyDescent="0.25">
      <c r="A2334" s="11"/>
    </row>
    <row r="2335" spans="1:1" ht="15.75" x14ac:dyDescent="0.25">
      <c r="A2335" s="11"/>
    </row>
    <row r="2336" spans="1:1" ht="15.75" x14ac:dyDescent="0.25">
      <c r="A2336" s="11"/>
    </row>
    <row r="2337" spans="1:1" ht="15.75" x14ac:dyDescent="0.25">
      <c r="A2337" s="11"/>
    </row>
    <row r="2338" spans="1:1" ht="15.75" x14ac:dyDescent="0.25">
      <c r="A2338" s="11"/>
    </row>
    <row r="2339" spans="1:1" ht="15.75" x14ac:dyDescent="0.25">
      <c r="A2339" s="11"/>
    </row>
    <row r="2340" spans="1:1" ht="15.75" x14ac:dyDescent="0.25">
      <c r="A2340" s="11"/>
    </row>
    <row r="2341" spans="1:1" ht="15.75" x14ac:dyDescent="0.25">
      <c r="A2341" s="11"/>
    </row>
    <row r="2342" spans="1:1" ht="15.75" x14ac:dyDescent="0.25">
      <c r="A2342" s="11"/>
    </row>
    <row r="2343" spans="1:1" ht="15.75" x14ac:dyDescent="0.25">
      <c r="A2343" s="11"/>
    </row>
    <row r="2344" spans="1:1" ht="15.75" x14ac:dyDescent="0.25">
      <c r="A2344" s="11"/>
    </row>
    <row r="2345" spans="1:1" ht="15.75" x14ac:dyDescent="0.25">
      <c r="A2345" s="11"/>
    </row>
    <row r="2346" spans="1:1" ht="15.75" x14ac:dyDescent="0.25">
      <c r="A2346" s="11"/>
    </row>
    <row r="2347" spans="1:1" ht="15.75" x14ac:dyDescent="0.25">
      <c r="A2347" s="11"/>
    </row>
    <row r="2348" spans="1:1" ht="15.75" x14ac:dyDescent="0.25">
      <c r="A2348" s="11"/>
    </row>
    <row r="2349" spans="1:1" ht="15.75" x14ac:dyDescent="0.25">
      <c r="A2349" s="11"/>
    </row>
    <row r="2350" spans="1:1" ht="15.75" x14ac:dyDescent="0.25">
      <c r="A2350" s="11"/>
    </row>
    <row r="2351" spans="1:1" ht="15.75" x14ac:dyDescent="0.25">
      <c r="A2351" s="11"/>
    </row>
    <row r="2352" spans="1:1" ht="15.75" x14ac:dyDescent="0.25">
      <c r="A2352" s="11"/>
    </row>
    <row r="2353" spans="1:1" ht="15.75" x14ac:dyDescent="0.25">
      <c r="A2353" s="11"/>
    </row>
    <row r="2354" spans="1:1" ht="15.75" x14ac:dyDescent="0.25">
      <c r="A2354" s="11"/>
    </row>
    <row r="2355" spans="1:1" ht="15.75" x14ac:dyDescent="0.25">
      <c r="A2355" s="11"/>
    </row>
    <row r="2356" spans="1:1" ht="15.75" x14ac:dyDescent="0.25">
      <c r="A2356" s="11"/>
    </row>
    <row r="2357" spans="1:1" ht="15.75" x14ac:dyDescent="0.25">
      <c r="A2357" s="11"/>
    </row>
    <row r="2358" spans="1:1" ht="15.75" x14ac:dyDescent="0.25">
      <c r="A2358" s="11"/>
    </row>
    <row r="2359" spans="1:1" ht="15.75" x14ac:dyDescent="0.25">
      <c r="A2359" s="11"/>
    </row>
    <row r="2360" spans="1:1" ht="15.75" x14ac:dyDescent="0.25">
      <c r="A2360" s="11"/>
    </row>
    <row r="2361" spans="1:1" ht="15.75" x14ac:dyDescent="0.25">
      <c r="A2361" s="11"/>
    </row>
    <row r="2362" spans="1:1" ht="15.75" x14ac:dyDescent="0.25">
      <c r="A2362" s="11"/>
    </row>
    <row r="2363" spans="1:1" ht="15.75" x14ac:dyDescent="0.25">
      <c r="A2363" s="11"/>
    </row>
    <row r="2364" spans="1:1" ht="15.75" x14ac:dyDescent="0.25">
      <c r="A2364" s="11"/>
    </row>
    <row r="2365" spans="1:1" ht="15.75" x14ac:dyDescent="0.25">
      <c r="A2365" s="11"/>
    </row>
    <row r="2366" spans="1:1" ht="15.75" x14ac:dyDescent="0.25">
      <c r="A2366" s="11"/>
    </row>
    <row r="2367" spans="1:1" ht="15.75" x14ac:dyDescent="0.25">
      <c r="A2367" s="11"/>
    </row>
    <row r="2368" spans="1:1" ht="15.75" x14ac:dyDescent="0.25">
      <c r="A2368" s="11"/>
    </row>
    <row r="2369" spans="1:1" ht="15.75" x14ac:dyDescent="0.25">
      <c r="A2369" s="11"/>
    </row>
    <row r="2370" spans="1:1" ht="15.75" x14ac:dyDescent="0.25">
      <c r="A2370" s="11"/>
    </row>
    <row r="2371" spans="1:1" ht="15.75" x14ac:dyDescent="0.25">
      <c r="A2371" s="11"/>
    </row>
    <row r="2372" spans="1:1" ht="15.75" x14ac:dyDescent="0.25">
      <c r="A2372" s="11"/>
    </row>
    <row r="2373" spans="1:1" ht="15.75" x14ac:dyDescent="0.25">
      <c r="A2373" s="11"/>
    </row>
    <row r="2374" spans="1:1" ht="15.75" x14ac:dyDescent="0.25">
      <c r="A2374" s="11"/>
    </row>
    <row r="2375" spans="1:1" ht="15.75" x14ac:dyDescent="0.25">
      <c r="A2375" s="11"/>
    </row>
    <row r="2376" spans="1:1" ht="15.75" x14ac:dyDescent="0.25">
      <c r="A2376" s="11"/>
    </row>
    <row r="2377" spans="1:1" ht="15.75" x14ac:dyDescent="0.25">
      <c r="A2377" s="11"/>
    </row>
    <row r="2378" spans="1:1" ht="15.75" x14ac:dyDescent="0.25">
      <c r="A2378" s="11"/>
    </row>
    <row r="2379" spans="1:1" ht="15.75" x14ac:dyDescent="0.25">
      <c r="A2379" s="11"/>
    </row>
    <row r="2380" spans="1:1" ht="15.75" x14ac:dyDescent="0.25">
      <c r="A2380" s="11"/>
    </row>
    <row r="2381" spans="1:1" ht="15.75" x14ac:dyDescent="0.25">
      <c r="A2381" s="11"/>
    </row>
    <row r="2382" spans="1:1" ht="15.75" x14ac:dyDescent="0.25">
      <c r="A2382" s="11"/>
    </row>
    <row r="2383" spans="1:1" ht="15.75" x14ac:dyDescent="0.25">
      <c r="A2383" s="11"/>
    </row>
    <row r="2384" spans="1:1" ht="15.75" x14ac:dyDescent="0.25">
      <c r="A2384" s="11"/>
    </row>
    <row r="2385" spans="1:1" ht="15.75" x14ac:dyDescent="0.25">
      <c r="A2385" s="11"/>
    </row>
    <row r="2386" spans="1:1" ht="15.75" x14ac:dyDescent="0.25">
      <c r="A2386" s="11"/>
    </row>
    <row r="2387" spans="1:1" ht="15.75" x14ac:dyDescent="0.25">
      <c r="A2387" s="11"/>
    </row>
    <row r="2388" spans="1:1" ht="15.75" x14ac:dyDescent="0.25">
      <c r="A2388" s="11"/>
    </row>
    <row r="2389" spans="1:1" ht="15.75" x14ac:dyDescent="0.25">
      <c r="A2389" s="11"/>
    </row>
    <row r="2390" spans="1:1" ht="15.75" x14ac:dyDescent="0.25">
      <c r="A2390" s="11"/>
    </row>
    <row r="2391" spans="1:1" ht="15.75" x14ac:dyDescent="0.25">
      <c r="A2391" s="11"/>
    </row>
    <row r="2392" spans="1:1" ht="15.75" x14ac:dyDescent="0.25">
      <c r="A2392" s="11"/>
    </row>
    <row r="2393" spans="1:1" ht="15.75" x14ac:dyDescent="0.25">
      <c r="A2393" s="11"/>
    </row>
    <row r="2394" spans="1:1" ht="15.75" x14ac:dyDescent="0.25">
      <c r="A2394" s="11"/>
    </row>
    <row r="2395" spans="1:1" ht="15.75" x14ac:dyDescent="0.25">
      <c r="A2395" s="11"/>
    </row>
    <row r="2396" spans="1:1" ht="15.75" x14ac:dyDescent="0.25">
      <c r="A2396" s="11"/>
    </row>
    <row r="2397" spans="1:1" ht="15.75" x14ac:dyDescent="0.25">
      <c r="A2397" s="11"/>
    </row>
    <row r="2398" spans="1:1" ht="15.75" x14ac:dyDescent="0.25">
      <c r="A2398" s="11"/>
    </row>
    <row r="2399" spans="1:1" ht="15.75" x14ac:dyDescent="0.25">
      <c r="A2399" s="11"/>
    </row>
    <row r="2400" spans="1:1" ht="15.75" x14ac:dyDescent="0.25">
      <c r="A2400" s="11"/>
    </row>
    <row r="2401" spans="1:1" ht="15.75" x14ac:dyDescent="0.25">
      <c r="A2401" s="11"/>
    </row>
    <row r="2402" spans="1:1" ht="15.75" x14ac:dyDescent="0.25">
      <c r="A2402" s="11"/>
    </row>
    <row r="2403" spans="1:1" ht="15.75" x14ac:dyDescent="0.25">
      <c r="A2403" s="11"/>
    </row>
    <row r="2404" spans="1:1" ht="15.75" x14ac:dyDescent="0.25">
      <c r="A2404" s="11"/>
    </row>
    <row r="2405" spans="1:1" ht="15.75" x14ac:dyDescent="0.25">
      <c r="A2405" s="11"/>
    </row>
    <row r="2406" spans="1:1" ht="15.75" x14ac:dyDescent="0.25">
      <c r="A2406" s="11"/>
    </row>
    <row r="2407" spans="1:1" ht="15.75" x14ac:dyDescent="0.25">
      <c r="A2407" s="11"/>
    </row>
    <row r="2408" spans="1:1" ht="15.75" x14ac:dyDescent="0.25">
      <c r="A2408" s="11"/>
    </row>
    <row r="2409" spans="1:1" ht="15.75" x14ac:dyDescent="0.25">
      <c r="A2409" s="11"/>
    </row>
    <row r="2410" spans="1:1" ht="15.75" x14ac:dyDescent="0.25">
      <c r="A2410" s="11"/>
    </row>
    <row r="2411" spans="1:1" ht="15.75" x14ac:dyDescent="0.25">
      <c r="A2411" s="11"/>
    </row>
    <row r="2412" spans="1:1" ht="15.75" x14ac:dyDescent="0.25">
      <c r="A2412" s="11"/>
    </row>
    <row r="2413" spans="1:1" ht="15.75" x14ac:dyDescent="0.25">
      <c r="A2413" s="11"/>
    </row>
    <row r="2414" spans="1:1" ht="15.75" x14ac:dyDescent="0.25">
      <c r="A2414" s="11"/>
    </row>
    <row r="2415" spans="1:1" ht="15.75" x14ac:dyDescent="0.25">
      <c r="A2415" s="11"/>
    </row>
    <row r="2416" spans="1:1" ht="15.75" x14ac:dyDescent="0.25">
      <c r="A2416" s="11"/>
    </row>
    <row r="2417" spans="1:1" ht="15.75" x14ac:dyDescent="0.25">
      <c r="A2417" s="11"/>
    </row>
    <row r="2418" spans="1:1" ht="15.75" x14ac:dyDescent="0.25">
      <c r="A2418" s="11"/>
    </row>
    <row r="2419" spans="1:1" ht="15.75" x14ac:dyDescent="0.25">
      <c r="A2419" s="11"/>
    </row>
    <row r="2420" spans="1:1" ht="15.75" x14ac:dyDescent="0.25">
      <c r="A2420" s="11"/>
    </row>
    <row r="2421" spans="1:1" ht="15.75" x14ac:dyDescent="0.25">
      <c r="A2421" s="11"/>
    </row>
    <row r="2422" spans="1:1" ht="15.75" x14ac:dyDescent="0.25">
      <c r="A2422" s="11"/>
    </row>
    <row r="2423" spans="1:1" ht="15.75" x14ac:dyDescent="0.25">
      <c r="A2423" s="11"/>
    </row>
    <row r="2424" spans="1:1" ht="15.75" x14ac:dyDescent="0.25">
      <c r="A2424" s="11"/>
    </row>
    <row r="2425" spans="1:1" ht="15.75" x14ac:dyDescent="0.25">
      <c r="A2425" s="11"/>
    </row>
    <row r="2426" spans="1:1" ht="15.75" x14ac:dyDescent="0.25">
      <c r="A2426" s="11"/>
    </row>
    <row r="2427" spans="1:1" ht="15.75" x14ac:dyDescent="0.25">
      <c r="A2427" s="11"/>
    </row>
    <row r="2428" spans="1:1" ht="15.75" x14ac:dyDescent="0.25">
      <c r="A2428" s="11"/>
    </row>
    <row r="2429" spans="1:1" ht="15.75" x14ac:dyDescent="0.25">
      <c r="A2429" s="11"/>
    </row>
    <row r="2430" spans="1:1" ht="15.75" x14ac:dyDescent="0.25">
      <c r="A2430" s="11"/>
    </row>
    <row r="2431" spans="1:1" ht="15.75" x14ac:dyDescent="0.25">
      <c r="A2431" s="11"/>
    </row>
    <row r="2432" spans="1:1" ht="15.75" x14ac:dyDescent="0.25">
      <c r="A2432" s="11"/>
    </row>
    <row r="2433" spans="1:1" ht="15.75" x14ac:dyDescent="0.25">
      <c r="A2433" s="11"/>
    </row>
    <row r="2434" spans="1:1" ht="15.75" x14ac:dyDescent="0.25">
      <c r="A2434" s="11"/>
    </row>
    <row r="2435" spans="1:1" ht="15.75" x14ac:dyDescent="0.25">
      <c r="A2435" s="11"/>
    </row>
    <row r="2436" spans="1:1" ht="15.75" x14ac:dyDescent="0.25">
      <c r="A2436" s="11"/>
    </row>
    <row r="2437" spans="1:1" ht="15.75" x14ac:dyDescent="0.25">
      <c r="A2437" s="11"/>
    </row>
    <row r="2438" spans="1:1" ht="15.75" x14ac:dyDescent="0.25">
      <c r="A2438" s="11"/>
    </row>
    <row r="2439" spans="1:1" ht="15.75" x14ac:dyDescent="0.25">
      <c r="A2439" s="11"/>
    </row>
    <row r="2440" spans="1:1" ht="15.75" x14ac:dyDescent="0.25">
      <c r="A2440" s="11"/>
    </row>
    <row r="2441" spans="1:1" ht="15.75" x14ac:dyDescent="0.25">
      <c r="A2441" s="11"/>
    </row>
    <row r="2442" spans="1:1" ht="15.75" x14ac:dyDescent="0.25">
      <c r="A2442" s="11"/>
    </row>
    <row r="2443" spans="1:1" ht="15.75" x14ac:dyDescent="0.25">
      <c r="A2443" s="11"/>
    </row>
    <row r="2444" spans="1:1" ht="15.75" x14ac:dyDescent="0.25">
      <c r="A2444" s="11"/>
    </row>
    <row r="2445" spans="1:1" ht="15.75" x14ac:dyDescent="0.25">
      <c r="A2445" s="11"/>
    </row>
    <row r="2446" spans="1:1" ht="15.75" x14ac:dyDescent="0.25">
      <c r="A2446" s="11"/>
    </row>
    <row r="2447" spans="1:1" ht="15.75" x14ac:dyDescent="0.25">
      <c r="A2447" s="11"/>
    </row>
    <row r="2448" spans="1:1" ht="15.75" x14ac:dyDescent="0.25">
      <c r="A2448" s="11"/>
    </row>
    <row r="2449" spans="1:1" ht="15.75" x14ac:dyDescent="0.25">
      <c r="A2449" s="11"/>
    </row>
    <row r="2450" spans="1:1" ht="15.75" x14ac:dyDescent="0.25">
      <c r="A2450" s="11"/>
    </row>
    <row r="2451" spans="1:1" ht="15.75" x14ac:dyDescent="0.25">
      <c r="A2451" s="11"/>
    </row>
    <row r="2452" spans="1:1" ht="15.75" x14ac:dyDescent="0.25">
      <c r="A2452" s="11"/>
    </row>
    <row r="2453" spans="1:1" ht="15.75" x14ac:dyDescent="0.25">
      <c r="A2453" s="11"/>
    </row>
    <row r="2454" spans="1:1" ht="15.75" x14ac:dyDescent="0.25">
      <c r="A2454" s="11"/>
    </row>
    <row r="2455" spans="1:1" ht="15.75" x14ac:dyDescent="0.25">
      <c r="A2455" s="11"/>
    </row>
    <row r="2456" spans="1:1" ht="15.75" x14ac:dyDescent="0.25">
      <c r="A2456" s="11"/>
    </row>
    <row r="2457" spans="1:1" ht="15.75" x14ac:dyDescent="0.25">
      <c r="A2457" s="11"/>
    </row>
    <row r="2458" spans="1:1" ht="15.75" x14ac:dyDescent="0.25">
      <c r="A2458" s="11"/>
    </row>
    <row r="2459" spans="1:1" ht="15.75" x14ac:dyDescent="0.25">
      <c r="A2459" s="11"/>
    </row>
    <row r="2460" spans="1:1" ht="15.75" x14ac:dyDescent="0.25">
      <c r="A2460" s="11"/>
    </row>
    <row r="2461" spans="1:1" ht="15.75" x14ac:dyDescent="0.25">
      <c r="A2461" s="11"/>
    </row>
    <row r="2462" spans="1:1" ht="15.75" x14ac:dyDescent="0.25">
      <c r="A2462" s="11"/>
    </row>
    <row r="2463" spans="1:1" ht="15.75" x14ac:dyDescent="0.25">
      <c r="A2463" s="11"/>
    </row>
    <row r="2464" spans="1:1" ht="15.75" x14ac:dyDescent="0.25">
      <c r="A2464" s="11"/>
    </row>
    <row r="2465" spans="1:1" ht="15.75" x14ac:dyDescent="0.25">
      <c r="A2465" s="11"/>
    </row>
    <row r="2466" spans="1:1" ht="15.75" x14ac:dyDescent="0.25">
      <c r="A2466" s="11"/>
    </row>
    <row r="2467" spans="1:1" ht="15.75" x14ac:dyDescent="0.25">
      <c r="A2467" s="11"/>
    </row>
    <row r="2468" spans="1:1" ht="15.75" x14ac:dyDescent="0.25">
      <c r="A2468" s="11"/>
    </row>
    <row r="2469" spans="1:1" ht="15.75" x14ac:dyDescent="0.25">
      <c r="A2469" s="11"/>
    </row>
    <row r="2470" spans="1:1" ht="15.75" x14ac:dyDescent="0.25">
      <c r="A2470" s="11"/>
    </row>
    <row r="2471" spans="1:1" ht="15.75" x14ac:dyDescent="0.25">
      <c r="A2471" s="11"/>
    </row>
    <row r="2472" spans="1:1" ht="15.75" x14ac:dyDescent="0.25">
      <c r="A2472" s="11"/>
    </row>
    <row r="2473" spans="1:1" ht="15.75" x14ac:dyDescent="0.25">
      <c r="A2473" s="11"/>
    </row>
    <row r="2474" spans="1:1" ht="15.75" x14ac:dyDescent="0.25">
      <c r="A2474" s="11"/>
    </row>
    <row r="2475" spans="1:1" ht="15.75" x14ac:dyDescent="0.25">
      <c r="A2475" s="11"/>
    </row>
    <row r="2476" spans="1:1" ht="15.75" x14ac:dyDescent="0.25">
      <c r="A2476" s="11"/>
    </row>
    <row r="2477" spans="1:1" ht="15.75" x14ac:dyDescent="0.25">
      <c r="A2477" s="11"/>
    </row>
    <row r="2478" spans="1:1" ht="15.75" x14ac:dyDescent="0.25">
      <c r="A2478" s="11"/>
    </row>
    <row r="2479" spans="1:1" ht="15.75" x14ac:dyDescent="0.25">
      <c r="A2479" s="11"/>
    </row>
    <row r="2480" spans="1:1" ht="15.75" x14ac:dyDescent="0.25">
      <c r="A2480" s="11"/>
    </row>
    <row r="2481" spans="1:1" ht="15.75" x14ac:dyDescent="0.25">
      <c r="A2481" s="11"/>
    </row>
    <row r="2482" spans="1:1" ht="15.75" x14ac:dyDescent="0.25">
      <c r="A2482" s="11"/>
    </row>
    <row r="2483" spans="1:1" ht="15.75" x14ac:dyDescent="0.25">
      <c r="A2483" s="11"/>
    </row>
    <row r="2484" spans="1:1" ht="15.75" x14ac:dyDescent="0.25">
      <c r="A2484" s="11"/>
    </row>
    <row r="2485" spans="1:1" ht="15.75" x14ac:dyDescent="0.25">
      <c r="A2485" s="11"/>
    </row>
    <row r="2486" spans="1:1" ht="15.75" x14ac:dyDescent="0.25">
      <c r="A2486" s="11"/>
    </row>
    <row r="2487" spans="1:1" ht="15.75" x14ac:dyDescent="0.25">
      <c r="A2487" s="11"/>
    </row>
    <row r="2488" spans="1:1" ht="15.75" x14ac:dyDescent="0.25">
      <c r="A2488" s="11"/>
    </row>
    <row r="2489" spans="1:1" ht="15.75" x14ac:dyDescent="0.25">
      <c r="A2489" s="11"/>
    </row>
    <row r="2490" spans="1:1" ht="15.75" x14ac:dyDescent="0.25">
      <c r="A2490" s="11"/>
    </row>
    <row r="2491" spans="1:1" ht="15.75" x14ac:dyDescent="0.25">
      <c r="A2491" s="11"/>
    </row>
    <row r="2492" spans="1:1" ht="15.75" x14ac:dyDescent="0.25">
      <c r="A2492" s="11"/>
    </row>
    <row r="2493" spans="1:1" ht="15.75" x14ac:dyDescent="0.25">
      <c r="A2493" s="11"/>
    </row>
    <row r="2494" spans="1:1" ht="15.75" x14ac:dyDescent="0.25">
      <c r="A2494" s="11"/>
    </row>
    <row r="2495" spans="1:1" ht="15.75" x14ac:dyDescent="0.25">
      <c r="A2495" s="11"/>
    </row>
    <row r="2496" spans="1:1" ht="15.75" x14ac:dyDescent="0.25">
      <c r="A2496" s="11"/>
    </row>
    <row r="2497" spans="1:1" ht="15.75" x14ac:dyDescent="0.25">
      <c r="A2497" s="11"/>
    </row>
    <row r="2498" spans="1:1" ht="15.75" x14ac:dyDescent="0.25">
      <c r="A2498" s="11"/>
    </row>
    <row r="2499" spans="1:1" ht="15.75" x14ac:dyDescent="0.25">
      <c r="A2499" s="11"/>
    </row>
    <row r="2500" spans="1:1" ht="15.75" x14ac:dyDescent="0.25">
      <c r="A2500" s="11"/>
    </row>
    <row r="2501" spans="1:1" ht="15.75" x14ac:dyDescent="0.25">
      <c r="A2501" s="11"/>
    </row>
    <row r="2502" spans="1:1" ht="15.75" x14ac:dyDescent="0.25">
      <c r="A2502" s="11"/>
    </row>
    <row r="2503" spans="1:1" ht="15.75" x14ac:dyDescent="0.25">
      <c r="A2503" s="11"/>
    </row>
    <row r="2504" spans="1:1" ht="15.75" x14ac:dyDescent="0.25">
      <c r="A2504" s="11"/>
    </row>
    <row r="2505" spans="1:1" ht="15.75" x14ac:dyDescent="0.25">
      <c r="A2505" s="11"/>
    </row>
    <row r="2506" spans="1:1" ht="15.75" x14ac:dyDescent="0.25">
      <c r="A2506" s="11"/>
    </row>
    <row r="2507" spans="1:1" ht="15.75" x14ac:dyDescent="0.25">
      <c r="A2507" s="11"/>
    </row>
    <row r="2508" spans="1:1" ht="15.75" x14ac:dyDescent="0.25">
      <c r="A2508" s="11"/>
    </row>
    <row r="2509" spans="1:1" ht="15.75" x14ac:dyDescent="0.25">
      <c r="A2509" s="11"/>
    </row>
    <row r="2510" spans="1:1" ht="15.75" x14ac:dyDescent="0.25">
      <c r="A2510" s="11"/>
    </row>
    <row r="2511" spans="1:1" ht="15.75" x14ac:dyDescent="0.25">
      <c r="A2511" s="11"/>
    </row>
    <row r="2512" spans="1:1" ht="15.75" x14ac:dyDescent="0.25">
      <c r="A2512" s="11"/>
    </row>
    <row r="2513" spans="1:1" ht="15.75" x14ac:dyDescent="0.25">
      <c r="A2513" s="11"/>
    </row>
    <row r="2514" spans="1:1" ht="15.75" x14ac:dyDescent="0.25">
      <c r="A2514" s="11"/>
    </row>
    <row r="2515" spans="1:1" ht="15.75" x14ac:dyDescent="0.25">
      <c r="A2515" s="11"/>
    </row>
    <row r="2516" spans="1:1" ht="15.75" x14ac:dyDescent="0.25">
      <c r="A2516" s="11"/>
    </row>
    <row r="2517" spans="1:1" ht="15.75" x14ac:dyDescent="0.25">
      <c r="A2517" s="11"/>
    </row>
    <row r="2518" spans="1:1" ht="15.75" x14ac:dyDescent="0.25">
      <c r="A2518" s="11"/>
    </row>
    <row r="2519" spans="1:1" ht="15.75" x14ac:dyDescent="0.25">
      <c r="A2519" s="11"/>
    </row>
    <row r="2520" spans="1:1" ht="15.75" x14ac:dyDescent="0.25">
      <c r="A2520" s="11"/>
    </row>
    <row r="2521" spans="1:1" ht="15.75" x14ac:dyDescent="0.25">
      <c r="A2521" s="11"/>
    </row>
    <row r="2522" spans="1:1" ht="15.75" x14ac:dyDescent="0.25">
      <c r="A2522" s="11"/>
    </row>
    <row r="2523" spans="1:1" ht="15.75" x14ac:dyDescent="0.25">
      <c r="A2523" s="11"/>
    </row>
    <row r="2524" spans="1:1" ht="15.75" x14ac:dyDescent="0.25">
      <c r="A2524" s="11"/>
    </row>
    <row r="2525" spans="1:1" ht="15.75" x14ac:dyDescent="0.25">
      <c r="A2525" s="11"/>
    </row>
    <row r="2526" spans="1:1" ht="15.75" x14ac:dyDescent="0.25">
      <c r="A2526" s="11"/>
    </row>
    <row r="2527" spans="1:1" ht="15.75" x14ac:dyDescent="0.25">
      <c r="A2527" s="11"/>
    </row>
    <row r="2528" spans="1:1" ht="15.75" x14ac:dyDescent="0.25">
      <c r="A2528" s="11"/>
    </row>
    <row r="2529" spans="1:1" ht="15.75" x14ac:dyDescent="0.25">
      <c r="A2529" s="11"/>
    </row>
    <row r="2530" spans="1:1" ht="15.75" x14ac:dyDescent="0.25">
      <c r="A2530" s="11"/>
    </row>
    <row r="2531" spans="1:1" ht="15.75" x14ac:dyDescent="0.25">
      <c r="A2531" s="11"/>
    </row>
    <row r="2532" spans="1:1" ht="15.75" x14ac:dyDescent="0.25">
      <c r="A2532" s="11"/>
    </row>
    <row r="2533" spans="1:1" ht="15.75" x14ac:dyDescent="0.25">
      <c r="A2533" s="11"/>
    </row>
    <row r="2534" spans="1:1" ht="15.75" x14ac:dyDescent="0.25">
      <c r="A2534" s="11"/>
    </row>
    <row r="2535" spans="1:1" ht="15.75" x14ac:dyDescent="0.25">
      <c r="A2535" s="11"/>
    </row>
    <row r="2536" spans="1:1" ht="15.75" x14ac:dyDescent="0.25">
      <c r="A2536" s="11"/>
    </row>
    <row r="2537" spans="1:1" ht="15.75" x14ac:dyDescent="0.25">
      <c r="A2537" s="11"/>
    </row>
    <row r="2538" spans="1:1" ht="15.75" x14ac:dyDescent="0.25">
      <c r="A2538" s="11"/>
    </row>
    <row r="2539" spans="1:1" ht="15.75" x14ac:dyDescent="0.25">
      <c r="A2539" s="11"/>
    </row>
    <row r="2540" spans="1:1" ht="15.75" x14ac:dyDescent="0.25">
      <c r="A2540" s="11"/>
    </row>
    <row r="2541" spans="1:1" ht="15.75" x14ac:dyDescent="0.25">
      <c r="A2541" s="11"/>
    </row>
    <row r="2542" spans="1:1" ht="15.75" x14ac:dyDescent="0.25">
      <c r="A2542" s="11"/>
    </row>
    <row r="2543" spans="1:1" ht="15.75" x14ac:dyDescent="0.25">
      <c r="A2543" s="11"/>
    </row>
    <row r="2544" spans="1:1" ht="15.75" x14ac:dyDescent="0.25">
      <c r="A2544" s="11"/>
    </row>
    <row r="2545" spans="1:1" ht="15.75" x14ac:dyDescent="0.25">
      <c r="A2545" s="11"/>
    </row>
    <row r="2546" spans="1:1" ht="15.75" x14ac:dyDescent="0.25">
      <c r="A2546" s="11"/>
    </row>
    <row r="2547" spans="1:1" ht="15.75" x14ac:dyDescent="0.25">
      <c r="A2547" s="11"/>
    </row>
    <row r="2548" spans="1:1" ht="15.75" x14ac:dyDescent="0.25">
      <c r="A2548" s="11"/>
    </row>
    <row r="2549" spans="1:1" ht="15.75" x14ac:dyDescent="0.25">
      <c r="A2549" s="11"/>
    </row>
    <row r="2550" spans="1:1" ht="15.75" x14ac:dyDescent="0.25">
      <c r="A2550" s="11"/>
    </row>
    <row r="2551" spans="1:1" ht="15.75" x14ac:dyDescent="0.25">
      <c r="A2551" s="11"/>
    </row>
    <row r="2552" spans="1:1" ht="15.75" x14ac:dyDescent="0.25">
      <c r="A2552" s="11"/>
    </row>
    <row r="2553" spans="1:1" ht="15.75" x14ac:dyDescent="0.25">
      <c r="A2553" s="11"/>
    </row>
    <row r="2554" spans="1:1" ht="15.75" x14ac:dyDescent="0.25">
      <c r="A2554" s="11"/>
    </row>
    <row r="2555" spans="1:1" ht="15.75" x14ac:dyDescent="0.25">
      <c r="A2555" s="11"/>
    </row>
    <row r="2556" spans="1:1" ht="15.75" x14ac:dyDescent="0.25">
      <c r="A2556" s="11"/>
    </row>
    <row r="2557" spans="1:1" ht="15.75" x14ac:dyDescent="0.25">
      <c r="A2557" s="11"/>
    </row>
    <row r="2558" spans="1:1" ht="15.75" x14ac:dyDescent="0.25">
      <c r="A2558" s="11"/>
    </row>
    <row r="2559" spans="1:1" ht="15.75" x14ac:dyDescent="0.25">
      <c r="A2559" s="11"/>
    </row>
    <row r="2560" spans="1:1" ht="15.75" x14ac:dyDescent="0.25">
      <c r="A2560" s="11"/>
    </row>
    <row r="2561" spans="1:1" ht="15.75" x14ac:dyDescent="0.25">
      <c r="A2561" s="11"/>
    </row>
    <row r="2562" spans="1:1" ht="15.75" x14ac:dyDescent="0.25">
      <c r="A2562" s="11"/>
    </row>
    <row r="2563" spans="1:1" ht="15.75" x14ac:dyDescent="0.25">
      <c r="A2563" s="11"/>
    </row>
    <row r="2564" spans="1:1" ht="15.75" x14ac:dyDescent="0.25">
      <c r="A2564" s="11"/>
    </row>
    <row r="2565" spans="1:1" ht="15.75" x14ac:dyDescent="0.25">
      <c r="A2565" s="11"/>
    </row>
    <row r="2566" spans="1:1" ht="15.75" x14ac:dyDescent="0.25">
      <c r="A2566" s="11"/>
    </row>
    <row r="2567" spans="1:1" ht="15.75" x14ac:dyDescent="0.25">
      <c r="A2567" s="11"/>
    </row>
    <row r="2568" spans="1:1" ht="15.75" x14ac:dyDescent="0.25">
      <c r="A2568" s="11"/>
    </row>
    <row r="2569" spans="1:1" ht="15.75" x14ac:dyDescent="0.25">
      <c r="A2569" s="11"/>
    </row>
    <row r="2570" spans="1:1" ht="15.75" x14ac:dyDescent="0.25">
      <c r="A2570" s="11"/>
    </row>
    <row r="2571" spans="1:1" ht="15.75" x14ac:dyDescent="0.25">
      <c r="A2571" s="11"/>
    </row>
    <row r="2572" spans="1:1" ht="15.75" x14ac:dyDescent="0.25">
      <c r="A2572" s="11"/>
    </row>
    <row r="2573" spans="1:1" ht="15.75" x14ac:dyDescent="0.25">
      <c r="A2573" s="11"/>
    </row>
    <row r="2574" spans="1:1" ht="15.75" x14ac:dyDescent="0.25">
      <c r="A2574" s="11"/>
    </row>
    <row r="2575" spans="1:1" ht="15.75" x14ac:dyDescent="0.25">
      <c r="A2575" s="11"/>
    </row>
    <row r="2576" spans="1:1" ht="15.75" x14ac:dyDescent="0.25">
      <c r="A2576" s="11"/>
    </row>
    <row r="2577" spans="1:1" ht="15.75" x14ac:dyDescent="0.25">
      <c r="A2577" s="11"/>
    </row>
    <row r="2578" spans="1:1" ht="15.75" x14ac:dyDescent="0.25">
      <c r="A2578" s="11"/>
    </row>
    <row r="2579" spans="1:1" ht="15.75" x14ac:dyDescent="0.25">
      <c r="A2579" s="11"/>
    </row>
    <row r="2580" spans="1:1" ht="15.75" x14ac:dyDescent="0.25">
      <c r="A2580" s="11"/>
    </row>
    <row r="2581" spans="1:1" ht="15.75" x14ac:dyDescent="0.25">
      <c r="A2581" s="11"/>
    </row>
    <row r="2582" spans="1:1" ht="15.75" x14ac:dyDescent="0.25">
      <c r="A2582" s="11"/>
    </row>
    <row r="2583" spans="1:1" ht="15.75" x14ac:dyDescent="0.25">
      <c r="A2583" s="11"/>
    </row>
    <row r="2584" spans="1:1" ht="15.75" x14ac:dyDescent="0.25">
      <c r="A2584" s="11"/>
    </row>
    <row r="2585" spans="1:1" ht="15.75" x14ac:dyDescent="0.25">
      <c r="A2585" s="11"/>
    </row>
    <row r="2586" spans="1:1" ht="15.75" x14ac:dyDescent="0.25">
      <c r="A2586" s="11"/>
    </row>
    <row r="2587" spans="1:1" ht="15.75" x14ac:dyDescent="0.25">
      <c r="A2587" s="11"/>
    </row>
    <row r="2588" spans="1:1" ht="15.75" x14ac:dyDescent="0.25">
      <c r="A2588" s="11"/>
    </row>
    <row r="2589" spans="1:1" ht="15.75" x14ac:dyDescent="0.25">
      <c r="A2589" s="11"/>
    </row>
    <row r="2590" spans="1:1" ht="15.75" x14ac:dyDescent="0.25">
      <c r="A2590" s="11"/>
    </row>
    <row r="2591" spans="1:1" ht="15.75" x14ac:dyDescent="0.25">
      <c r="A2591" s="11"/>
    </row>
    <row r="2592" spans="1:1" ht="15.75" x14ac:dyDescent="0.25">
      <c r="A2592" s="11"/>
    </row>
    <row r="2593" spans="1:1" ht="15.75" x14ac:dyDescent="0.25">
      <c r="A2593" s="11"/>
    </row>
    <row r="2594" spans="1:1" ht="15.75" x14ac:dyDescent="0.25">
      <c r="A2594" s="11"/>
    </row>
    <row r="2595" spans="1:1" ht="15.75" x14ac:dyDescent="0.25">
      <c r="A2595" s="11"/>
    </row>
    <row r="2596" spans="1:1" ht="15.75" x14ac:dyDescent="0.25">
      <c r="A2596" s="11"/>
    </row>
    <row r="2597" spans="1:1" ht="15.75" x14ac:dyDescent="0.25">
      <c r="A2597" s="11"/>
    </row>
    <row r="2598" spans="1:1" ht="15.75" x14ac:dyDescent="0.25">
      <c r="A2598" s="11"/>
    </row>
    <row r="2599" spans="1:1" ht="15.75" x14ac:dyDescent="0.25">
      <c r="A2599" s="11"/>
    </row>
    <row r="2600" spans="1:1" ht="15.75" x14ac:dyDescent="0.25">
      <c r="A2600" s="11"/>
    </row>
    <row r="2601" spans="1:1" ht="15.75" x14ac:dyDescent="0.25">
      <c r="A2601" s="11"/>
    </row>
    <row r="2602" spans="1:1" ht="15.75" x14ac:dyDescent="0.25">
      <c r="A2602" s="11"/>
    </row>
    <row r="2603" spans="1:1" ht="15.75" x14ac:dyDescent="0.25">
      <c r="A2603" s="11"/>
    </row>
    <row r="2604" spans="1:1" ht="15.75" x14ac:dyDescent="0.25">
      <c r="A2604" s="11"/>
    </row>
    <row r="2605" spans="1:1" ht="15.75" x14ac:dyDescent="0.25">
      <c r="A2605" s="11"/>
    </row>
    <row r="2606" spans="1:1" ht="15.75" x14ac:dyDescent="0.25">
      <c r="A2606" s="11"/>
    </row>
    <row r="2607" spans="1:1" ht="15.75" x14ac:dyDescent="0.25">
      <c r="A2607" s="11"/>
    </row>
    <row r="2608" spans="1:1" ht="15.75" x14ac:dyDescent="0.25">
      <c r="A2608" s="11"/>
    </row>
    <row r="2609" spans="1:1" ht="15.75" x14ac:dyDescent="0.25">
      <c r="A2609" s="11"/>
    </row>
    <row r="2610" spans="1:1" ht="15.75" x14ac:dyDescent="0.25">
      <c r="A2610" s="11"/>
    </row>
    <row r="2611" spans="1:1" ht="15.75" x14ac:dyDescent="0.25">
      <c r="A2611" s="11"/>
    </row>
    <row r="2612" spans="1:1" ht="15.75" x14ac:dyDescent="0.25">
      <c r="A2612" s="11"/>
    </row>
    <row r="2613" spans="1:1" ht="15.75" x14ac:dyDescent="0.25">
      <c r="A2613" s="11"/>
    </row>
    <row r="2614" spans="1:1" ht="15.75" x14ac:dyDescent="0.25">
      <c r="A2614" s="11"/>
    </row>
    <row r="2615" spans="1:1" ht="15.75" x14ac:dyDescent="0.25">
      <c r="A2615" s="11"/>
    </row>
    <row r="2616" spans="1:1" ht="15.75" x14ac:dyDescent="0.25">
      <c r="A2616" s="11"/>
    </row>
    <row r="2617" spans="1:1" ht="15.75" x14ac:dyDescent="0.25">
      <c r="A2617" s="11"/>
    </row>
    <row r="2618" spans="1:1" ht="15.75" x14ac:dyDescent="0.25">
      <c r="A2618" s="11"/>
    </row>
    <row r="2619" spans="1:1" ht="15.75" x14ac:dyDescent="0.25">
      <c r="A2619" s="11"/>
    </row>
    <row r="2620" spans="1:1" ht="15.75" x14ac:dyDescent="0.25">
      <c r="A2620" s="11"/>
    </row>
    <row r="2621" spans="1:1" ht="15.75" x14ac:dyDescent="0.25">
      <c r="A2621" s="11"/>
    </row>
    <row r="2622" spans="1:1" ht="15.75" x14ac:dyDescent="0.25">
      <c r="A2622" s="11"/>
    </row>
    <row r="2623" spans="1:1" ht="15.75" x14ac:dyDescent="0.25">
      <c r="A2623" s="11"/>
    </row>
    <row r="2624" spans="1:1" ht="15.75" x14ac:dyDescent="0.25">
      <c r="A2624" s="11"/>
    </row>
    <row r="2625" spans="1:1" ht="15.75" x14ac:dyDescent="0.25">
      <c r="A2625" s="11"/>
    </row>
    <row r="2626" spans="1:1" ht="15.75" x14ac:dyDescent="0.25">
      <c r="A2626" s="11"/>
    </row>
    <row r="2627" spans="1:1" ht="15.75" x14ac:dyDescent="0.25">
      <c r="A2627" s="11"/>
    </row>
    <row r="2628" spans="1:1" ht="15.75" x14ac:dyDescent="0.25">
      <c r="A2628" s="11"/>
    </row>
    <row r="2629" spans="1:1" ht="15.75" x14ac:dyDescent="0.25">
      <c r="A2629" s="11"/>
    </row>
    <row r="2630" spans="1:1" ht="15.75" x14ac:dyDescent="0.25">
      <c r="A2630" s="11"/>
    </row>
    <row r="2631" spans="1:1" ht="15.75" x14ac:dyDescent="0.25">
      <c r="A2631" s="11"/>
    </row>
    <row r="2632" spans="1:1" ht="15.75" x14ac:dyDescent="0.25">
      <c r="A2632" s="11"/>
    </row>
    <row r="2633" spans="1:1" ht="15.75" x14ac:dyDescent="0.25">
      <c r="A2633" s="11"/>
    </row>
    <row r="2634" spans="1:1" ht="15.75" x14ac:dyDescent="0.25">
      <c r="A2634" s="11"/>
    </row>
    <row r="2635" spans="1:1" ht="15.75" x14ac:dyDescent="0.25">
      <c r="A2635" s="11"/>
    </row>
    <row r="2636" spans="1:1" ht="15.75" x14ac:dyDescent="0.25">
      <c r="A2636" s="11"/>
    </row>
    <row r="2637" spans="1:1" ht="15.75" x14ac:dyDescent="0.25">
      <c r="A2637" s="11"/>
    </row>
    <row r="2638" spans="1:1" ht="15.75" x14ac:dyDescent="0.25">
      <c r="A2638" s="11"/>
    </row>
    <row r="2639" spans="1:1" ht="15.75" x14ac:dyDescent="0.25">
      <c r="A2639" s="11"/>
    </row>
    <row r="2640" spans="1:1" ht="15.75" x14ac:dyDescent="0.25">
      <c r="A2640" s="11"/>
    </row>
    <row r="2641" spans="1:1" ht="15.75" x14ac:dyDescent="0.25">
      <c r="A2641" s="11"/>
    </row>
    <row r="2642" spans="1:1" ht="15.75" x14ac:dyDescent="0.25">
      <c r="A2642" s="11"/>
    </row>
    <row r="2643" spans="1:1" ht="15.75" x14ac:dyDescent="0.25">
      <c r="A2643" s="11"/>
    </row>
    <row r="2644" spans="1:1" ht="15.75" x14ac:dyDescent="0.25">
      <c r="A2644" s="11"/>
    </row>
    <row r="2645" spans="1:1" ht="15.75" x14ac:dyDescent="0.25">
      <c r="A2645" s="11"/>
    </row>
    <row r="2646" spans="1:1" ht="15.75" x14ac:dyDescent="0.25">
      <c r="A2646" s="11"/>
    </row>
    <row r="2647" spans="1:1" ht="15.75" x14ac:dyDescent="0.25">
      <c r="A2647" s="11"/>
    </row>
    <row r="2648" spans="1:1" ht="15.75" x14ac:dyDescent="0.25">
      <c r="A2648" s="11"/>
    </row>
    <row r="2649" spans="1:1" ht="15.75" x14ac:dyDescent="0.25">
      <c r="A2649" s="11"/>
    </row>
    <row r="2650" spans="1:1" ht="15.75" x14ac:dyDescent="0.25">
      <c r="A2650" s="11"/>
    </row>
    <row r="2651" spans="1:1" ht="15.75" x14ac:dyDescent="0.25">
      <c r="A2651" s="11"/>
    </row>
    <row r="2652" spans="1:1" ht="15.75" x14ac:dyDescent="0.25">
      <c r="A2652" s="11"/>
    </row>
    <row r="2653" spans="1:1" ht="15.75" x14ac:dyDescent="0.25">
      <c r="A2653" s="11"/>
    </row>
    <row r="2654" spans="1:1" ht="15.75" x14ac:dyDescent="0.25">
      <c r="A2654" s="11"/>
    </row>
    <row r="2655" spans="1:1" ht="15.75" x14ac:dyDescent="0.25">
      <c r="A2655" s="11"/>
    </row>
    <row r="2656" spans="1:1" ht="15.75" x14ac:dyDescent="0.25">
      <c r="A2656" s="11"/>
    </row>
    <row r="2657" spans="1:1" ht="15.75" x14ac:dyDescent="0.25">
      <c r="A2657" s="11"/>
    </row>
    <row r="2658" spans="1:1" ht="15.75" x14ac:dyDescent="0.25">
      <c r="A2658" s="11"/>
    </row>
    <row r="2659" spans="1:1" ht="15.75" x14ac:dyDescent="0.25">
      <c r="A2659" s="11"/>
    </row>
    <row r="2660" spans="1:1" ht="15.75" x14ac:dyDescent="0.25">
      <c r="A2660" s="11"/>
    </row>
    <row r="2661" spans="1:1" ht="15.75" x14ac:dyDescent="0.25">
      <c r="A2661" s="11"/>
    </row>
    <row r="2662" spans="1:1" ht="15.75" x14ac:dyDescent="0.25">
      <c r="A2662" s="11"/>
    </row>
    <row r="2663" spans="1:1" ht="15.75" x14ac:dyDescent="0.25">
      <c r="A2663" s="11"/>
    </row>
    <row r="2664" spans="1:1" ht="15.75" x14ac:dyDescent="0.25">
      <c r="A2664" s="11"/>
    </row>
    <row r="2665" spans="1:1" ht="15.75" x14ac:dyDescent="0.25">
      <c r="A2665" s="11"/>
    </row>
    <row r="2666" spans="1:1" ht="15.75" x14ac:dyDescent="0.25">
      <c r="A2666" s="11"/>
    </row>
    <row r="2667" spans="1:1" ht="15.75" x14ac:dyDescent="0.25">
      <c r="A2667" s="11"/>
    </row>
    <row r="2668" spans="1:1" ht="15.75" x14ac:dyDescent="0.25">
      <c r="A2668" s="11"/>
    </row>
    <row r="2669" spans="1:1" ht="15.75" x14ac:dyDescent="0.25">
      <c r="A2669" s="11"/>
    </row>
    <row r="2670" spans="1:1" ht="15.75" x14ac:dyDescent="0.25">
      <c r="A2670" s="11"/>
    </row>
    <row r="2671" spans="1:1" ht="15.75" x14ac:dyDescent="0.25">
      <c r="A2671" s="11"/>
    </row>
    <row r="2672" spans="1:1" ht="15.75" x14ac:dyDescent="0.25">
      <c r="A2672" s="11"/>
    </row>
    <row r="2673" spans="1:1" ht="15.75" x14ac:dyDescent="0.25">
      <c r="A2673" s="11"/>
    </row>
    <row r="2674" spans="1:1" ht="15.75" x14ac:dyDescent="0.25">
      <c r="A2674" s="11"/>
    </row>
    <row r="2675" spans="1:1" ht="15.75" x14ac:dyDescent="0.25">
      <c r="A2675" s="11"/>
    </row>
    <row r="2676" spans="1:1" ht="15.75" x14ac:dyDescent="0.25">
      <c r="A2676" s="11"/>
    </row>
    <row r="2677" spans="1:1" ht="15.75" x14ac:dyDescent="0.25">
      <c r="A2677" s="11"/>
    </row>
    <row r="2678" spans="1:1" ht="15.75" x14ac:dyDescent="0.25">
      <c r="A2678" s="11"/>
    </row>
    <row r="2679" spans="1:1" ht="15.75" x14ac:dyDescent="0.25">
      <c r="A2679" s="11"/>
    </row>
    <row r="2680" spans="1:1" ht="15.75" x14ac:dyDescent="0.25">
      <c r="A2680" s="11"/>
    </row>
    <row r="2681" spans="1:1" ht="15.75" x14ac:dyDescent="0.25">
      <c r="A2681" s="11"/>
    </row>
    <row r="2682" spans="1:1" ht="15.75" x14ac:dyDescent="0.25">
      <c r="A2682" s="11"/>
    </row>
    <row r="2683" spans="1:1" ht="15.75" x14ac:dyDescent="0.25">
      <c r="A2683" s="11"/>
    </row>
    <row r="2684" spans="1:1" ht="15.75" x14ac:dyDescent="0.25">
      <c r="A2684" s="11"/>
    </row>
    <row r="2685" spans="1:1" ht="15.75" x14ac:dyDescent="0.25">
      <c r="A2685" s="11"/>
    </row>
    <row r="2686" spans="1:1" ht="15.75" x14ac:dyDescent="0.25">
      <c r="A2686" s="11"/>
    </row>
    <row r="2687" spans="1:1" ht="15.75" x14ac:dyDescent="0.25">
      <c r="A2687" s="11"/>
    </row>
    <row r="2688" spans="1:1" ht="15.75" x14ac:dyDescent="0.25">
      <c r="A2688" s="11"/>
    </row>
    <row r="2689" spans="1:1" ht="15.75" x14ac:dyDescent="0.25">
      <c r="A2689" s="11"/>
    </row>
    <row r="2690" spans="1:1" ht="15.75" x14ac:dyDescent="0.25">
      <c r="A2690" s="11"/>
    </row>
    <row r="2691" spans="1:1" ht="15.75" x14ac:dyDescent="0.25">
      <c r="A2691" s="11"/>
    </row>
    <row r="2692" spans="1:1" ht="15.75" x14ac:dyDescent="0.25">
      <c r="A2692" s="11"/>
    </row>
    <row r="2693" spans="1:1" ht="15.75" x14ac:dyDescent="0.25">
      <c r="A2693" s="11"/>
    </row>
    <row r="2694" spans="1:1" ht="15.75" x14ac:dyDescent="0.25">
      <c r="A2694" s="11"/>
    </row>
    <row r="2695" spans="1:1" ht="15.75" x14ac:dyDescent="0.25">
      <c r="A2695" s="11"/>
    </row>
    <row r="2696" spans="1:1" ht="15.75" x14ac:dyDescent="0.25">
      <c r="A2696" s="11"/>
    </row>
    <row r="2697" spans="1:1" ht="15.75" x14ac:dyDescent="0.25">
      <c r="A2697" s="11"/>
    </row>
    <row r="2698" spans="1:1" ht="15.75" x14ac:dyDescent="0.25">
      <c r="A2698" s="11"/>
    </row>
    <row r="2699" spans="1:1" ht="15.75" x14ac:dyDescent="0.25">
      <c r="A2699" s="11"/>
    </row>
    <row r="2700" spans="1:1" ht="15.75" x14ac:dyDescent="0.25">
      <c r="A2700" s="11"/>
    </row>
    <row r="2701" spans="1:1" ht="15.75" x14ac:dyDescent="0.25">
      <c r="A2701" s="11"/>
    </row>
    <row r="2702" spans="1:1" ht="15.75" x14ac:dyDescent="0.25">
      <c r="A2702" s="11"/>
    </row>
    <row r="2703" spans="1:1" ht="15.75" x14ac:dyDescent="0.25">
      <c r="A2703" s="11"/>
    </row>
    <row r="2704" spans="1:1" ht="15.75" x14ac:dyDescent="0.25">
      <c r="A2704" s="11"/>
    </row>
    <row r="2705" spans="1:1" ht="15.75" x14ac:dyDescent="0.25">
      <c r="A2705" s="11"/>
    </row>
    <row r="2706" spans="1:1" ht="15.75" x14ac:dyDescent="0.25">
      <c r="A2706" s="11"/>
    </row>
    <row r="2707" spans="1:1" ht="15.75" x14ac:dyDescent="0.25">
      <c r="A2707" s="11"/>
    </row>
    <row r="2708" spans="1:1" ht="15.75" x14ac:dyDescent="0.25">
      <c r="A2708" s="11"/>
    </row>
    <row r="2709" spans="1:1" ht="15.75" x14ac:dyDescent="0.25">
      <c r="A2709" s="11"/>
    </row>
    <row r="2710" spans="1:1" ht="15.75" x14ac:dyDescent="0.25">
      <c r="A2710" s="11"/>
    </row>
    <row r="2711" spans="1:1" ht="15.75" x14ac:dyDescent="0.25">
      <c r="A2711" s="11"/>
    </row>
    <row r="2712" spans="1:1" ht="15.75" x14ac:dyDescent="0.25">
      <c r="A2712" s="11"/>
    </row>
    <row r="2713" spans="1:1" ht="15.75" x14ac:dyDescent="0.25">
      <c r="A2713" s="11"/>
    </row>
    <row r="2714" spans="1:1" ht="15.75" x14ac:dyDescent="0.25">
      <c r="A2714" s="11"/>
    </row>
    <row r="2715" spans="1:1" ht="15.75" x14ac:dyDescent="0.25">
      <c r="A2715" s="11"/>
    </row>
    <row r="2716" spans="1:1" ht="15.75" x14ac:dyDescent="0.25">
      <c r="A2716" s="11"/>
    </row>
    <row r="2717" spans="1:1" ht="15.75" x14ac:dyDescent="0.25">
      <c r="A2717" s="11"/>
    </row>
    <row r="2718" spans="1:1" ht="15.75" x14ac:dyDescent="0.25">
      <c r="A2718" s="11"/>
    </row>
    <row r="2719" spans="1:1" ht="15.75" x14ac:dyDescent="0.25">
      <c r="A2719" s="11"/>
    </row>
    <row r="2720" spans="1:1" ht="15.75" x14ac:dyDescent="0.25">
      <c r="A2720" s="11"/>
    </row>
    <row r="2721" spans="1:1" ht="15.75" x14ac:dyDescent="0.25">
      <c r="A2721" s="11"/>
    </row>
    <row r="2722" spans="1:1" ht="15.75" x14ac:dyDescent="0.25">
      <c r="A2722" s="11"/>
    </row>
    <row r="2723" spans="1:1" ht="15.75" x14ac:dyDescent="0.25">
      <c r="A2723" s="11"/>
    </row>
    <row r="2724" spans="1:1" ht="15.75" x14ac:dyDescent="0.25">
      <c r="A2724" s="11"/>
    </row>
    <row r="2725" spans="1:1" ht="15.75" x14ac:dyDescent="0.25">
      <c r="A2725" s="11"/>
    </row>
    <row r="2726" spans="1:1" ht="15.75" x14ac:dyDescent="0.25">
      <c r="A2726" s="11"/>
    </row>
    <row r="2727" spans="1:1" ht="15.75" x14ac:dyDescent="0.25">
      <c r="A2727" s="11"/>
    </row>
    <row r="2728" spans="1:1" ht="15.75" x14ac:dyDescent="0.25">
      <c r="A2728" s="11"/>
    </row>
    <row r="2729" spans="1:1" ht="15.75" x14ac:dyDescent="0.25">
      <c r="A2729" s="11"/>
    </row>
    <row r="2730" spans="1:1" ht="15.75" x14ac:dyDescent="0.25">
      <c r="A2730" s="11"/>
    </row>
    <row r="2731" spans="1:1" ht="15.75" x14ac:dyDescent="0.25">
      <c r="A2731" s="11"/>
    </row>
    <row r="2732" spans="1:1" ht="15.75" x14ac:dyDescent="0.25">
      <c r="A2732" s="11"/>
    </row>
    <row r="2733" spans="1:1" ht="15.75" x14ac:dyDescent="0.25">
      <c r="A2733" s="11"/>
    </row>
    <row r="2734" spans="1:1" ht="15.75" x14ac:dyDescent="0.25">
      <c r="A2734" s="11"/>
    </row>
    <row r="2735" spans="1:1" ht="15.75" x14ac:dyDescent="0.25">
      <c r="A2735" s="11"/>
    </row>
    <row r="2736" spans="1:1" ht="15.75" x14ac:dyDescent="0.25">
      <c r="A2736" s="11"/>
    </row>
    <row r="2737" spans="1:1" ht="15.75" x14ac:dyDescent="0.25">
      <c r="A2737" s="11"/>
    </row>
    <row r="2738" spans="1:1" ht="15.75" x14ac:dyDescent="0.25">
      <c r="A2738" s="11"/>
    </row>
    <row r="2739" spans="1:1" ht="15.75" x14ac:dyDescent="0.25">
      <c r="A2739" s="11"/>
    </row>
    <row r="2740" spans="1:1" ht="15.75" x14ac:dyDescent="0.25">
      <c r="A2740" s="11"/>
    </row>
    <row r="2741" spans="1:1" ht="15.75" x14ac:dyDescent="0.25">
      <c r="A2741" s="11"/>
    </row>
    <row r="2742" spans="1:1" ht="15.75" x14ac:dyDescent="0.25">
      <c r="A2742" s="11"/>
    </row>
    <row r="2743" spans="1:1" ht="15.75" x14ac:dyDescent="0.25">
      <c r="A2743" s="11"/>
    </row>
    <row r="2744" spans="1:1" ht="15.75" x14ac:dyDescent="0.25">
      <c r="A2744" s="11"/>
    </row>
    <row r="2745" spans="1:1" ht="15.75" x14ac:dyDescent="0.25">
      <c r="A2745" s="11"/>
    </row>
    <row r="2746" spans="1:1" ht="15.75" x14ac:dyDescent="0.25">
      <c r="A2746" s="11"/>
    </row>
    <row r="2747" spans="1:1" ht="15.75" x14ac:dyDescent="0.25">
      <c r="A2747" s="11"/>
    </row>
    <row r="2748" spans="1:1" ht="15.75" x14ac:dyDescent="0.25">
      <c r="A2748" s="11"/>
    </row>
    <row r="2749" spans="1:1" ht="15.75" x14ac:dyDescent="0.25">
      <c r="A2749" s="11"/>
    </row>
    <row r="2750" spans="1:1" ht="15.75" x14ac:dyDescent="0.25">
      <c r="A2750" s="11"/>
    </row>
    <row r="2751" spans="1:1" ht="15.75" x14ac:dyDescent="0.25">
      <c r="A2751" s="11"/>
    </row>
    <row r="2752" spans="1:1" ht="15.75" x14ac:dyDescent="0.25">
      <c r="A2752" s="11"/>
    </row>
    <row r="2753" spans="1:1" ht="15.75" x14ac:dyDescent="0.25">
      <c r="A2753" s="11"/>
    </row>
    <row r="2754" spans="1:1" ht="15.75" x14ac:dyDescent="0.25">
      <c r="A2754" s="11"/>
    </row>
    <row r="2755" spans="1:1" ht="15.75" x14ac:dyDescent="0.25">
      <c r="A2755" s="11"/>
    </row>
    <row r="2756" spans="1:1" ht="15.75" x14ac:dyDescent="0.25">
      <c r="A2756" s="11"/>
    </row>
    <row r="2757" spans="1:1" ht="15.75" x14ac:dyDescent="0.25">
      <c r="A2757" s="11"/>
    </row>
    <row r="2758" spans="1:1" ht="15.75" x14ac:dyDescent="0.25">
      <c r="A2758" s="11"/>
    </row>
    <row r="2759" spans="1:1" ht="15.75" x14ac:dyDescent="0.25">
      <c r="A2759" s="11"/>
    </row>
    <row r="2760" spans="1:1" ht="15.75" x14ac:dyDescent="0.25">
      <c r="A2760" s="11"/>
    </row>
    <row r="2761" spans="1:1" ht="15.75" x14ac:dyDescent="0.25">
      <c r="A2761" s="11"/>
    </row>
    <row r="2762" spans="1:1" ht="15.75" x14ac:dyDescent="0.25">
      <c r="A2762" s="11"/>
    </row>
    <row r="2763" spans="1:1" ht="15.75" x14ac:dyDescent="0.25">
      <c r="A2763" s="11"/>
    </row>
    <row r="2764" spans="1:1" ht="15.75" x14ac:dyDescent="0.25">
      <c r="A2764" s="11"/>
    </row>
    <row r="2765" spans="1:1" ht="15.75" x14ac:dyDescent="0.25">
      <c r="A2765" s="11"/>
    </row>
    <row r="2766" spans="1:1" ht="15.75" x14ac:dyDescent="0.25">
      <c r="A2766" s="11"/>
    </row>
    <row r="2767" spans="1:1" ht="15.75" x14ac:dyDescent="0.25">
      <c r="A2767" s="11"/>
    </row>
    <row r="2768" spans="1:1" ht="15.75" x14ac:dyDescent="0.25">
      <c r="A2768" s="11"/>
    </row>
    <row r="2769" spans="1:1" ht="15.75" x14ac:dyDescent="0.25">
      <c r="A2769" s="11"/>
    </row>
    <row r="2770" spans="1:1" ht="15.75" x14ac:dyDescent="0.25">
      <c r="A2770" s="11"/>
    </row>
    <row r="2771" spans="1:1" ht="15.75" x14ac:dyDescent="0.25">
      <c r="A2771" s="11"/>
    </row>
    <row r="2772" spans="1:1" ht="15.75" x14ac:dyDescent="0.25">
      <c r="A2772" s="11"/>
    </row>
    <row r="2773" spans="1:1" ht="15.75" x14ac:dyDescent="0.25">
      <c r="A2773" s="11"/>
    </row>
    <row r="2774" spans="1:1" ht="15.75" x14ac:dyDescent="0.25">
      <c r="A2774" s="11"/>
    </row>
    <row r="2775" spans="1:1" ht="15.75" x14ac:dyDescent="0.25">
      <c r="A2775" s="11"/>
    </row>
    <row r="2776" spans="1:1" ht="15.75" x14ac:dyDescent="0.25">
      <c r="A2776" s="11"/>
    </row>
    <row r="2777" spans="1:1" ht="15.75" x14ac:dyDescent="0.25">
      <c r="A2777" s="11"/>
    </row>
    <row r="2778" spans="1:1" ht="15.75" x14ac:dyDescent="0.25">
      <c r="A2778" s="11"/>
    </row>
    <row r="2779" spans="1:1" ht="15.75" x14ac:dyDescent="0.25">
      <c r="A2779" s="11"/>
    </row>
    <row r="2780" spans="1:1" ht="15.75" x14ac:dyDescent="0.25">
      <c r="A2780" s="11"/>
    </row>
    <row r="2781" spans="1:1" ht="15.75" x14ac:dyDescent="0.25">
      <c r="A2781" s="11"/>
    </row>
    <row r="2782" spans="1:1" ht="15.75" x14ac:dyDescent="0.25">
      <c r="A2782" s="11"/>
    </row>
    <row r="2783" spans="1:1" ht="15.75" x14ac:dyDescent="0.25">
      <c r="A2783" s="11"/>
    </row>
    <row r="2784" spans="1:1" ht="15.75" x14ac:dyDescent="0.25">
      <c r="A2784" s="11"/>
    </row>
    <row r="2785" spans="1:1" ht="15.75" x14ac:dyDescent="0.25">
      <c r="A2785" s="11"/>
    </row>
    <row r="2786" spans="1:1" ht="15.75" x14ac:dyDescent="0.25">
      <c r="A2786" s="11"/>
    </row>
    <row r="2787" spans="1:1" ht="15.75" x14ac:dyDescent="0.25">
      <c r="A2787" s="11"/>
    </row>
    <row r="2788" spans="1:1" ht="15.75" x14ac:dyDescent="0.25">
      <c r="A2788" s="11"/>
    </row>
    <row r="2789" spans="1:1" ht="15.75" x14ac:dyDescent="0.25">
      <c r="A2789" s="11"/>
    </row>
    <row r="2790" spans="1:1" ht="15.75" x14ac:dyDescent="0.25">
      <c r="A2790" s="11"/>
    </row>
    <row r="2791" spans="1:1" ht="15.75" x14ac:dyDescent="0.25">
      <c r="A2791" s="11"/>
    </row>
    <row r="2792" spans="1:1" ht="15.75" x14ac:dyDescent="0.25">
      <c r="A2792" s="11"/>
    </row>
    <row r="2793" spans="1:1" ht="15.75" x14ac:dyDescent="0.25">
      <c r="A2793" s="11"/>
    </row>
    <row r="2794" spans="1:1" ht="15.75" x14ac:dyDescent="0.25">
      <c r="A2794" s="11"/>
    </row>
    <row r="2795" spans="1:1" ht="15.75" x14ac:dyDescent="0.25">
      <c r="A2795" s="11"/>
    </row>
    <row r="2796" spans="1:1" ht="15.75" x14ac:dyDescent="0.25">
      <c r="A2796" s="11"/>
    </row>
    <row r="2797" spans="1:1" ht="15.75" x14ac:dyDescent="0.25">
      <c r="A2797" s="11"/>
    </row>
    <row r="2798" spans="1:1" ht="15.75" x14ac:dyDescent="0.25">
      <c r="A2798" s="11"/>
    </row>
    <row r="2799" spans="1:1" ht="15.75" x14ac:dyDescent="0.25">
      <c r="A2799" s="11"/>
    </row>
    <row r="2800" spans="1:1" ht="15.75" x14ac:dyDescent="0.25">
      <c r="A2800" s="11"/>
    </row>
    <row r="2801" spans="1:1" ht="15.75" x14ac:dyDescent="0.25">
      <c r="A2801" s="11"/>
    </row>
    <row r="2802" spans="1:1" ht="15.75" x14ac:dyDescent="0.25">
      <c r="A2802" s="11"/>
    </row>
    <row r="2803" spans="1:1" ht="15.75" x14ac:dyDescent="0.25">
      <c r="A2803" s="11"/>
    </row>
    <row r="2804" spans="1:1" ht="15.75" x14ac:dyDescent="0.25">
      <c r="A2804" s="11"/>
    </row>
    <row r="2805" spans="1:1" ht="15.75" x14ac:dyDescent="0.25">
      <c r="A2805" s="11"/>
    </row>
    <row r="2806" spans="1:1" ht="15.75" x14ac:dyDescent="0.25">
      <c r="A2806" s="11"/>
    </row>
    <row r="2807" spans="1:1" ht="15.75" x14ac:dyDescent="0.25">
      <c r="A2807" s="11"/>
    </row>
    <row r="2808" spans="1:1" ht="15.75" x14ac:dyDescent="0.25">
      <c r="A2808" s="11"/>
    </row>
    <row r="2809" spans="1:1" ht="15.75" x14ac:dyDescent="0.25">
      <c r="A2809" s="11"/>
    </row>
    <row r="2810" spans="1:1" ht="15.75" x14ac:dyDescent="0.25">
      <c r="A2810" s="11"/>
    </row>
    <row r="2811" spans="1:1" ht="15.75" x14ac:dyDescent="0.25">
      <c r="A2811" s="11"/>
    </row>
    <row r="2812" spans="1:1" ht="15.75" x14ac:dyDescent="0.25">
      <c r="A2812" s="11"/>
    </row>
    <row r="2813" spans="1:1" ht="15.75" x14ac:dyDescent="0.25">
      <c r="A2813" s="11"/>
    </row>
    <row r="2814" spans="1:1" ht="15.75" x14ac:dyDescent="0.25">
      <c r="A2814" s="11"/>
    </row>
    <row r="2815" spans="1:1" ht="15.75" x14ac:dyDescent="0.25">
      <c r="A2815" s="11"/>
    </row>
    <row r="2816" spans="1:1" ht="15.75" x14ac:dyDescent="0.25">
      <c r="A2816" s="11"/>
    </row>
    <row r="2817" spans="1:1" ht="15.75" x14ac:dyDescent="0.25">
      <c r="A2817" s="11"/>
    </row>
    <row r="2818" spans="1:1" ht="15.75" x14ac:dyDescent="0.25">
      <c r="A2818" s="11"/>
    </row>
    <row r="2819" spans="1:1" ht="15.75" x14ac:dyDescent="0.25">
      <c r="A2819" s="11"/>
    </row>
    <row r="2820" spans="1:1" ht="15.75" x14ac:dyDescent="0.25">
      <c r="A2820" s="11"/>
    </row>
    <row r="2821" spans="1:1" ht="15.75" x14ac:dyDescent="0.25">
      <c r="A2821" s="11"/>
    </row>
    <row r="2822" spans="1:1" ht="15.75" x14ac:dyDescent="0.25">
      <c r="A2822" s="11"/>
    </row>
    <row r="2823" spans="1:1" ht="15.75" x14ac:dyDescent="0.25">
      <c r="A2823" s="11"/>
    </row>
    <row r="2824" spans="1:1" ht="15.75" x14ac:dyDescent="0.25">
      <c r="A2824" s="11"/>
    </row>
    <row r="2825" spans="1:1" ht="15.75" x14ac:dyDescent="0.25">
      <c r="A2825" s="11"/>
    </row>
    <row r="2826" spans="1:1" ht="15.75" x14ac:dyDescent="0.25">
      <c r="A2826" s="11"/>
    </row>
    <row r="2827" spans="1:1" ht="15.75" x14ac:dyDescent="0.25">
      <c r="A2827" s="11"/>
    </row>
    <row r="2828" spans="1:1" ht="15.75" x14ac:dyDescent="0.25">
      <c r="A2828" s="11"/>
    </row>
    <row r="2829" spans="1:1" ht="15.75" x14ac:dyDescent="0.25">
      <c r="A2829" s="11"/>
    </row>
    <row r="2830" spans="1:1" ht="15.75" x14ac:dyDescent="0.25">
      <c r="A2830" s="11"/>
    </row>
    <row r="2831" spans="1:1" ht="15.75" x14ac:dyDescent="0.25">
      <c r="A2831" s="11"/>
    </row>
    <row r="2832" spans="1:1" ht="15.75" x14ac:dyDescent="0.25">
      <c r="A2832" s="11"/>
    </row>
    <row r="2833" spans="1:1" ht="15.75" x14ac:dyDescent="0.25">
      <c r="A2833" s="11"/>
    </row>
    <row r="2834" spans="1:1" ht="15.75" x14ac:dyDescent="0.25">
      <c r="A2834" s="11"/>
    </row>
    <row r="2835" spans="1:1" ht="15.75" x14ac:dyDescent="0.25">
      <c r="A2835" s="11"/>
    </row>
    <row r="2836" spans="1:1" ht="15.75" x14ac:dyDescent="0.25">
      <c r="A2836" s="11"/>
    </row>
    <row r="2837" spans="1:1" ht="15.75" x14ac:dyDescent="0.25">
      <c r="A2837" s="11"/>
    </row>
    <row r="2838" spans="1:1" ht="15.75" x14ac:dyDescent="0.25">
      <c r="A2838" s="11"/>
    </row>
    <row r="2839" spans="1:1" ht="15.75" x14ac:dyDescent="0.25">
      <c r="A2839" s="11"/>
    </row>
    <row r="2840" spans="1:1" ht="15.75" x14ac:dyDescent="0.25">
      <c r="A2840" s="11"/>
    </row>
    <row r="2841" spans="1:1" ht="15.75" x14ac:dyDescent="0.25">
      <c r="A2841" s="11"/>
    </row>
    <row r="2842" spans="1:1" ht="15.75" x14ac:dyDescent="0.25">
      <c r="A2842" s="11"/>
    </row>
    <row r="2843" spans="1:1" ht="15.75" x14ac:dyDescent="0.25">
      <c r="A2843" s="11"/>
    </row>
    <row r="2844" spans="1:1" ht="15.75" x14ac:dyDescent="0.25">
      <c r="A2844" s="11"/>
    </row>
    <row r="2845" spans="1:1" ht="15.75" x14ac:dyDescent="0.25">
      <c r="A2845" s="11"/>
    </row>
    <row r="2846" spans="1:1" ht="15.75" x14ac:dyDescent="0.25">
      <c r="A2846" s="11"/>
    </row>
    <row r="2847" spans="1:1" ht="15.75" x14ac:dyDescent="0.25">
      <c r="A2847" s="11"/>
    </row>
    <row r="2848" spans="1:1" ht="15.75" x14ac:dyDescent="0.25">
      <c r="A2848" s="11"/>
    </row>
    <row r="2849" spans="1:1" ht="15.75" x14ac:dyDescent="0.25">
      <c r="A2849" s="11"/>
    </row>
    <row r="2850" spans="1:1" ht="15.75" x14ac:dyDescent="0.25">
      <c r="A2850" s="11"/>
    </row>
    <row r="2851" spans="1:1" ht="15.75" x14ac:dyDescent="0.25">
      <c r="A2851" s="11"/>
    </row>
    <row r="2852" spans="1:1" ht="15.75" x14ac:dyDescent="0.25">
      <c r="A2852" s="11"/>
    </row>
    <row r="2853" spans="1:1" ht="15.75" x14ac:dyDescent="0.25">
      <c r="A2853" s="11"/>
    </row>
    <row r="2854" spans="1:1" ht="15.75" x14ac:dyDescent="0.25">
      <c r="A2854" s="11"/>
    </row>
    <row r="2855" spans="1:1" ht="15.75" x14ac:dyDescent="0.25">
      <c r="A2855" s="11"/>
    </row>
    <row r="2856" spans="1:1" ht="15.75" x14ac:dyDescent="0.25">
      <c r="A2856" s="11"/>
    </row>
    <row r="2857" spans="1:1" ht="15.75" x14ac:dyDescent="0.25">
      <c r="A2857" s="11"/>
    </row>
    <row r="2858" spans="1:1" ht="15.75" x14ac:dyDescent="0.25">
      <c r="A2858" s="11"/>
    </row>
    <row r="2859" spans="1:1" ht="15.75" x14ac:dyDescent="0.25">
      <c r="A2859" s="11"/>
    </row>
    <row r="2860" spans="1:1" ht="15.75" x14ac:dyDescent="0.25">
      <c r="A2860" s="11"/>
    </row>
    <row r="2861" spans="1:1" ht="15.75" x14ac:dyDescent="0.25">
      <c r="A2861" s="11"/>
    </row>
    <row r="2862" spans="1:1" ht="15.75" x14ac:dyDescent="0.25">
      <c r="A2862" s="11"/>
    </row>
    <row r="2863" spans="1:1" ht="15.75" x14ac:dyDescent="0.25">
      <c r="A2863" s="11"/>
    </row>
    <row r="2864" spans="1:1" ht="15.75" x14ac:dyDescent="0.25">
      <c r="A2864" s="11"/>
    </row>
    <row r="2865" spans="1:1" ht="15.75" x14ac:dyDescent="0.25">
      <c r="A2865" s="11"/>
    </row>
    <row r="2866" spans="1:1" ht="15.75" x14ac:dyDescent="0.25">
      <c r="A2866" s="11"/>
    </row>
    <row r="2867" spans="1:1" ht="15.75" x14ac:dyDescent="0.25">
      <c r="A2867" s="11"/>
    </row>
    <row r="2868" spans="1:1" ht="15.75" x14ac:dyDescent="0.25">
      <c r="A2868" s="11"/>
    </row>
    <row r="2869" spans="1:1" ht="15.75" x14ac:dyDescent="0.25">
      <c r="A2869" s="11"/>
    </row>
    <row r="2870" spans="1:1" ht="15.75" x14ac:dyDescent="0.25">
      <c r="A2870" s="11"/>
    </row>
    <row r="2871" spans="1:1" ht="15.75" x14ac:dyDescent="0.25">
      <c r="A2871" s="11"/>
    </row>
    <row r="2872" spans="1:1" ht="15.75" x14ac:dyDescent="0.25">
      <c r="A2872" s="11"/>
    </row>
    <row r="2873" spans="1:1" ht="15.75" x14ac:dyDescent="0.25">
      <c r="A2873" s="11"/>
    </row>
    <row r="2874" spans="1:1" ht="15.75" x14ac:dyDescent="0.25">
      <c r="A2874" s="11"/>
    </row>
    <row r="2875" spans="1:1" ht="15.75" x14ac:dyDescent="0.25">
      <c r="A2875" s="11"/>
    </row>
    <row r="2876" spans="1:1" ht="15.75" x14ac:dyDescent="0.25">
      <c r="A2876" s="11"/>
    </row>
    <row r="2877" spans="1:1" ht="15.75" x14ac:dyDescent="0.25">
      <c r="A2877" s="11"/>
    </row>
    <row r="2878" spans="1:1" ht="15.75" x14ac:dyDescent="0.25">
      <c r="A2878" s="11"/>
    </row>
    <row r="2879" spans="1:1" ht="15.75" x14ac:dyDescent="0.25">
      <c r="A2879" s="11"/>
    </row>
    <row r="2880" spans="1:1" ht="15.75" x14ac:dyDescent="0.25">
      <c r="A2880" s="11"/>
    </row>
    <row r="2881" spans="1:1" ht="15.75" x14ac:dyDescent="0.25">
      <c r="A2881" s="11"/>
    </row>
    <row r="2882" spans="1:1" ht="15.75" x14ac:dyDescent="0.25">
      <c r="A2882" s="11"/>
    </row>
    <row r="2883" spans="1:1" ht="15.75" x14ac:dyDescent="0.25">
      <c r="A2883" s="11"/>
    </row>
    <row r="2884" spans="1:1" ht="15.75" x14ac:dyDescent="0.25">
      <c r="A2884" s="11"/>
    </row>
    <row r="2885" spans="1:1" ht="15.75" x14ac:dyDescent="0.25">
      <c r="A2885" s="11"/>
    </row>
    <row r="2886" spans="1:1" ht="15.75" x14ac:dyDescent="0.25">
      <c r="A2886" s="11"/>
    </row>
    <row r="2887" spans="1:1" ht="15.75" x14ac:dyDescent="0.25">
      <c r="A2887" s="11"/>
    </row>
    <row r="2888" spans="1:1" ht="15.75" x14ac:dyDescent="0.25">
      <c r="A2888" s="11"/>
    </row>
    <row r="2889" spans="1:1" ht="15.75" x14ac:dyDescent="0.25">
      <c r="A2889" s="11"/>
    </row>
    <row r="2890" spans="1:1" ht="15.75" x14ac:dyDescent="0.25">
      <c r="A2890" s="11"/>
    </row>
    <row r="2891" spans="1:1" ht="15.75" x14ac:dyDescent="0.25">
      <c r="A2891" s="11"/>
    </row>
    <row r="2892" spans="1:1" ht="15.75" x14ac:dyDescent="0.25">
      <c r="A2892" s="11"/>
    </row>
    <row r="2893" spans="1:1" ht="15.75" x14ac:dyDescent="0.25">
      <c r="A2893" s="11"/>
    </row>
    <row r="2894" spans="1:1" ht="15.75" x14ac:dyDescent="0.25">
      <c r="A2894" s="11"/>
    </row>
    <row r="2895" spans="1:1" ht="15.75" x14ac:dyDescent="0.25">
      <c r="A2895" s="11"/>
    </row>
    <row r="2896" spans="1:1" ht="15.75" x14ac:dyDescent="0.25">
      <c r="A2896" s="11"/>
    </row>
    <row r="2897" spans="1:1" ht="15.75" x14ac:dyDescent="0.25">
      <c r="A2897" s="11"/>
    </row>
    <row r="2898" spans="1:1" ht="15.75" x14ac:dyDescent="0.25">
      <c r="A2898" s="11"/>
    </row>
    <row r="2899" spans="1:1" ht="15.75" x14ac:dyDescent="0.25">
      <c r="A2899" s="11"/>
    </row>
    <row r="2900" spans="1:1" ht="15.75" x14ac:dyDescent="0.25">
      <c r="A2900" s="11"/>
    </row>
    <row r="2901" spans="1:1" ht="15.75" x14ac:dyDescent="0.25">
      <c r="A2901" s="11"/>
    </row>
    <row r="2902" spans="1:1" ht="15.75" x14ac:dyDescent="0.25">
      <c r="A2902" s="11"/>
    </row>
    <row r="2903" spans="1:1" ht="15.75" x14ac:dyDescent="0.25">
      <c r="A2903" s="11"/>
    </row>
    <row r="2904" spans="1:1" ht="15.75" x14ac:dyDescent="0.25">
      <c r="A2904" s="11"/>
    </row>
    <row r="2905" spans="1:1" ht="15.75" x14ac:dyDescent="0.25">
      <c r="A2905" s="11"/>
    </row>
    <row r="2906" spans="1:1" ht="15.75" x14ac:dyDescent="0.25">
      <c r="A2906" s="11"/>
    </row>
    <row r="2907" spans="1:1" ht="15.75" x14ac:dyDescent="0.25">
      <c r="A2907" s="11"/>
    </row>
    <row r="2908" spans="1:1" ht="15.75" x14ac:dyDescent="0.25">
      <c r="A2908" s="11"/>
    </row>
    <row r="2909" spans="1:1" ht="15.75" x14ac:dyDescent="0.25">
      <c r="A2909" s="11"/>
    </row>
    <row r="2910" spans="1:1" ht="15.75" x14ac:dyDescent="0.25">
      <c r="A2910" s="11"/>
    </row>
    <row r="2911" spans="1:1" ht="15.75" x14ac:dyDescent="0.25">
      <c r="A2911" s="11"/>
    </row>
    <row r="2912" spans="1:1" ht="15.75" x14ac:dyDescent="0.25">
      <c r="A2912" s="11"/>
    </row>
    <row r="2913" spans="1:1" ht="15.75" x14ac:dyDescent="0.25">
      <c r="A2913" s="11"/>
    </row>
    <row r="2914" spans="1:1" ht="15.75" x14ac:dyDescent="0.25">
      <c r="A2914" s="11"/>
    </row>
    <row r="2915" spans="1:1" ht="15.75" x14ac:dyDescent="0.25">
      <c r="A2915" s="11"/>
    </row>
    <row r="2916" spans="1:1" ht="15.75" x14ac:dyDescent="0.25">
      <c r="A2916" s="11"/>
    </row>
    <row r="2917" spans="1:1" ht="15.75" x14ac:dyDescent="0.25">
      <c r="A2917" s="11"/>
    </row>
    <row r="2918" spans="1:1" ht="15.75" x14ac:dyDescent="0.25">
      <c r="A2918" s="11"/>
    </row>
    <row r="2919" spans="1:1" ht="15.75" x14ac:dyDescent="0.25">
      <c r="A2919" s="11"/>
    </row>
    <row r="2920" spans="1:1" ht="15.75" x14ac:dyDescent="0.25">
      <c r="A2920" s="11"/>
    </row>
    <row r="2921" spans="1:1" ht="15.75" x14ac:dyDescent="0.25">
      <c r="A2921" s="11"/>
    </row>
    <row r="2922" spans="1:1" ht="15.75" x14ac:dyDescent="0.25">
      <c r="A2922" s="11"/>
    </row>
    <row r="2923" spans="1:1" ht="15.75" x14ac:dyDescent="0.25">
      <c r="A2923" s="11"/>
    </row>
    <row r="2924" spans="1:1" ht="15.75" x14ac:dyDescent="0.25">
      <c r="A2924" s="11"/>
    </row>
    <row r="2925" spans="1:1" ht="15.75" x14ac:dyDescent="0.25">
      <c r="A2925" s="11"/>
    </row>
    <row r="2926" spans="1:1" ht="15.75" x14ac:dyDescent="0.25">
      <c r="A2926" s="11"/>
    </row>
    <row r="2927" spans="1:1" ht="15.75" x14ac:dyDescent="0.25">
      <c r="A2927" s="11"/>
    </row>
    <row r="2928" spans="1:1" ht="15.75" x14ac:dyDescent="0.25">
      <c r="A2928" s="11"/>
    </row>
    <row r="2929" spans="1:1" ht="15.75" x14ac:dyDescent="0.25">
      <c r="A2929" s="11"/>
    </row>
    <row r="2930" spans="1:1" ht="15.75" x14ac:dyDescent="0.25">
      <c r="A2930" s="11"/>
    </row>
    <row r="2931" spans="1:1" ht="15.75" x14ac:dyDescent="0.25">
      <c r="A2931" s="11"/>
    </row>
    <row r="2932" spans="1:1" ht="15.75" x14ac:dyDescent="0.25">
      <c r="A2932" s="11"/>
    </row>
    <row r="2933" spans="1:1" ht="15.75" x14ac:dyDescent="0.25">
      <c r="A2933" s="11"/>
    </row>
    <row r="2934" spans="1:1" ht="15.75" x14ac:dyDescent="0.25">
      <c r="A2934" s="11"/>
    </row>
    <row r="2935" spans="1:1" ht="15.75" x14ac:dyDescent="0.25">
      <c r="A2935" s="11"/>
    </row>
    <row r="2936" spans="1:1" ht="15.75" x14ac:dyDescent="0.25">
      <c r="A2936" s="11"/>
    </row>
    <row r="2937" spans="1:1" ht="15.75" x14ac:dyDescent="0.25">
      <c r="A2937" s="11"/>
    </row>
    <row r="2938" spans="1:1" ht="15.75" x14ac:dyDescent="0.25">
      <c r="A2938" s="11"/>
    </row>
    <row r="2939" spans="1:1" ht="15.75" x14ac:dyDescent="0.25">
      <c r="A2939" s="11"/>
    </row>
    <row r="2940" spans="1:1" ht="15.75" x14ac:dyDescent="0.25">
      <c r="A2940" s="11"/>
    </row>
    <row r="2941" spans="1:1" ht="15.75" x14ac:dyDescent="0.25">
      <c r="A2941" s="11"/>
    </row>
    <row r="2942" spans="1:1" ht="15.75" x14ac:dyDescent="0.25">
      <c r="A2942" s="11"/>
    </row>
    <row r="2943" spans="1:1" ht="15.75" x14ac:dyDescent="0.25">
      <c r="A2943" s="11"/>
    </row>
    <row r="2944" spans="1:1" ht="15.75" x14ac:dyDescent="0.25">
      <c r="A2944" s="11"/>
    </row>
    <row r="2945" spans="1:1" ht="15.75" x14ac:dyDescent="0.25">
      <c r="A2945" s="11"/>
    </row>
    <row r="2946" spans="1:1" ht="15.75" x14ac:dyDescent="0.25">
      <c r="A2946" s="11"/>
    </row>
    <row r="2947" spans="1:1" ht="15.75" x14ac:dyDescent="0.25">
      <c r="A2947" s="11"/>
    </row>
    <row r="2948" spans="1:1" ht="15.75" x14ac:dyDescent="0.25">
      <c r="A2948" s="11"/>
    </row>
    <row r="2949" spans="1:1" ht="15.75" x14ac:dyDescent="0.25">
      <c r="A2949" s="11"/>
    </row>
    <row r="2950" spans="1:1" ht="15.75" x14ac:dyDescent="0.25">
      <c r="A2950" s="11"/>
    </row>
    <row r="2951" spans="1:1" ht="15.75" x14ac:dyDescent="0.25">
      <c r="A2951" s="11"/>
    </row>
    <row r="2952" spans="1:1" ht="15.75" x14ac:dyDescent="0.25">
      <c r="A2952" s="11"/>
    </row>
    <row r="2953" spans="1:1" ht="15.75" x14ac:dyDescent="0.25">
      <c r="A2953" s="11"/>
    </row>
    <row r="2954" spans="1:1" ht="15.75" x14ac:dyDescent="0.25">
      <c r="A2954" s="11"/>
    </row>
    <row r="2955" spans="1:1" ht="15.75" x14ac:dyDescent="0.25">
      <c r="A2955" s="11"/>
    </row>
    <row r="2956" spans="1:1" ht="15.75" x14ac:dyDescent="0.25">
      <c r="A2956" s="11"/>
    </row>
    <row r="2957" spans="1:1" ht="15.75" x14ac:dyDescent="0.25">
      <c r="A2957" s="11"/>
    </row>
    <row r="2958" spans="1:1" ht="15.75" x14ac:dyDescent="0.25">
      <c r="A2958" s="11"/>
    </row>
    <row r="2959" spans="1:1" ht="15.75" x14ac:dyDescent="0.25">
      <c r="A2959" s="11"/>
    </row>
    <row r="2960" spans="1:1" ht="15.75" x14ac:dyDescent="0.25">
      <c r="A2960" s="11"/>
    </row>
    <row r="2961" spans="1:1" ht="15.75" x14ac:dyDescent="0.25">
      <c r="A2961" s="11"/>
    </row>
    <row r="2962" spans="1:1" ht="15.75" x14ac:dyDescent="0.25">
      <c r="A2962" s="11"/>
    </row>
    <row r="2963" spans="1:1" ht="15.75" x14ac:dyDescent="0.25">
      <c r="A2963" s="11"/>
    </row>
    <row r="2964" spans="1:1" ht="15.75" x14ac:dyDescent="0.25">
      <c r="A2964" s="11"/>
    </row>
    <row r="2965" spans="1:1" ht="15.75" x14ac:dyDescent="0.25">
      <c r="A2965" s="11"/>
    </row>
    <row r="2966" spans="1:1" ht="15.75" x14ac:dyDescent="0.25">
      <c r="A2966" s="11"/>
    </row>
    <row r="2967" spans="1:1" ht="15.75" x14ac:dyDescent="0.25">
      <c r="A2967" s="11"/>
    </row>
    <row r="2968" spans="1:1" ht="15.75" x14ac:dyDescent="0.25">
      <c r="A2968" s="11"/>
    </row>
    <row r="2969" spans="1:1" ht="15.75" x14ac:dyDescent="0.25">
      <c r="A2969" s="11"/>
    </row>
    <row r="2970" spans="1:1" ht="15.75" x14ac:dyDescent="0.25">
      <c r="A2970" s="11"/>
    </row>
    <row r="2971" spans="1:1" ht="15.75" x14ac:dyDescent="0.25">
      <c r="A2971" s="11"/>
    </row>
    <row r="2972" spans="1:1" ht="15.75" x14ac:dyDescent="0.25">
      <c r="A2972" s="11"/>
    </row>
    <row r="2973" spans="1:1" ht="15.75" x14ac:dyDescent="0.25">
      <c r="A2973" s="11"/>
    </row>
    <row r="2974" spans="1:1" ht="15.75" x14ac:dyDescent="0.25">
      <c r="A2974" s="11"/>
    </row>
    <row r="2975" spans="1:1" ht="15.75" x14ac:dyDescent="0.25">
      <c r="A2975" s="11"/>
    </row>
    <row r="2976" spans="1:1" ht="15.75" x14ac:dyDescent="0.25">
      <c r="A2976" s="11"/>
    </row>
    <row r="2977" spans="1:1" ht="15.75" x14ac:dyDescent="0.25">
      <c r="A2977" s="11"/>
    </row>
    <row r="2978" spans="1:1" ht="15.75" x14ac:dyDescent="0.25">
      <c r="A2978" s="11"/>
    </row>
    <row r="2979" spans="1:1" ht="15.75" x14ac:dyDescent="0.25">
      <c r="A2979" s="11"/>
    </row>
    <row r="2980" spans="1:1" ht="15.75" x14ac:dyDescent="0.25">
      <c r="A2980" s="11"/>
    </row>
    <row r="2981" spans="1:1" ht="15.75" x14ac:dyDescent="0.25">
      <c r="A2981" s="11"/>
    </row>
    <row r="2982" spans="1:1" ht="15.75" x14ac:dyDescent="0.25">
      <c r="A2982" s="11"/>
    </row>
    <row r="2983" spans="1:1" ht="15.75" x14ac:dyDescent="0.25">
      <c r="A2983" s="11"/>
    </row>
    <row r="2984" spans="1:1" ht="15.75" x14ac:dyDescent="0.25">
      <c r="A2984" s="11"/>
    </row>
    <row r="2985" spans="1:1" ht="15.75" x14ac:dyDescent="0.25">
      <c r="A2985" s="11"/>
    </row>
    <row r="2986" spans="1:1" ht="15.75" x14ac:dyDescent="0.25">
      <c r="A2986" s="11"/>
    </row>
    <row r="2987" spans="1:1" ht="15.75" x14ac:dyDescent="0.25">
      <c r="A2987" s="11"/>
    </row>
    <row r="2988" spans="1:1" ht="15.75" x14ac:dyDescent="0.25">
      <c r="A2988" s="11"/>
    </row>
    <row r="2989" spans="1:1" ht="15.75" x14ac:dyDescent="0.25">
      <c r="A2989" s="11"/>
    </row>
    <row r="2990" spans="1:1" ht="15.75" x14ac:dyDescent="0.25">
      <c r="A2990" s="11"/>
    </row>
    <row r="2991" spans="1:1" ht="15.75" x14ac:dyDescent="0.25">
      <c r="A2991" s="11"/>
    </row>
    <row r="2992" spans="1:1" ht="15.75" x14ac:dyDescent="0.25">
      <c r="A2992" s="11"/>
    </row>
    <row r="2993" spans="1:1" ht="15.75" x14ac:dyDescent="0.25">
      <c r="A2993" s="11"/>
    </row>
    <row r="2994" spans="1:1" ht="15.75" x14ac:dyDescent="0.25">
      <c r="A2994" s="11"/>
    </row>
    <row r="2995" spans="1:1" ht="15.75" x14ac:dyDescent="0.25">
      <c r="A2995" s="11"/>
    </row>
    <row r="2996" spans="1:1" ht="15.75" x14ac:dyDescent="0.25">
      <c r="A2996" s="11"/>
    </row>
    <row r="2997" spans="1:1" ht="15.75" x14ac:dyDescent="0.25">
      <c r="A2997" s="11"/>
    </row>
    <row r="2998" spans="1:1" ht="15.75" x14ac:dyDescent="0.25">
      <c r="A2998" s="11"/>
    </row>
    <row r="2999" spans="1:1" ht="15.75" x14ac:dyDescent="0.25">
      <c r="A2999" s="11"/>
    </row>
    <row r="3000" spans="1:1" ht="15.75" x14ac:dyDescent="0.25">
      <c r="A3000" s="11"/>
    </row>
    <row r="3001" spans="1:1" ht="15.75" x14ac:dyDescent="0.25">
      <c r="A3001" s="11"/>
    </row>
    <row r="3002" spans="1:1" ht="15.75" x14ac:dyDescent="0.25">
      <c r="A3002" s="11"/>
    </row>
    <row r="3003" spans="1:1" ht="15.75" x14ac:dyDescent="0.25">
      <c r="A3003" s="11"/>
    </row>
    <row r="3004" spans="1:1" ht="15.75" x14ac:dyDescent="0.25">
      <c r="A3004" s="11"/>
    </row>
    <row r="3005" spans="1:1" ht="15.75" x14ac:dyDescent="0.25">
      <c r="A3005" s="11"/>
    </row>
    <row r="3006" spans="1:1" ht="15.75" x14ac:dyDescent="0.25">
      <c r="A3006" s="11"/>
    </row>
    <row r="3007" spans="1:1" ht="15.75" x14ac:dyDescent="0.25">
      <c r="A3007" s="11"/>
    </row>
    <row r="3008" spans="1:1" ht="15.75" x14ac:dyDescent="0.25">
      <c r="A3008" s="11"/>
    </row>
    <row r="3009" spans="1:1" ht="15.75" x14ac:dyDescent="0.25">
      <c r="A3009" s="11"/>
    </row>
    <row r="3010" spans="1:1" ht="15.75" x14ac:dyDescent="0.25">
      <c r="A3010" s="11"/>
    </row>
    <row r="3011" spans="1:1" ht="15.75" x14ac:dyDescent="0.25">
      <c r="A3011" s="11"/>
    </row>
    <row r="3012" spans="1:1" ht="15.75" x14ac:dyDescent="0.25">
      <c r="A3012" s="11"/>
    </row>
    <row r="3013" spans="1:1" ht="15.75" x14ac:dyDescent="0.25">
      <c r="A3013" s="11"/>
    </row>
    <row r="3014" spans="1:1" ht="15.75" x14ac:dyDescent="0.25">
      <c r="A3014" s="11"/>
    </row>
    <row r="3015" spans="1:1" ht="15.75" x14ac:dyDescent="0.25">
      <c r="A3015" s="11"/>
    </row>
    <row r="3016" spans="1:1" ht="15.75" x14ac:dyDescent="0.25">
      <c r="A3016" s="11"/>
    </row>
    <row r="3017" spans="1:1" ht="15.75" x14ac:dyDescent="0.25">
      <c r="A3017" s="11"/>
    </row>
    <row r="3018" spans="1:1" ht="15.75" x14ac:dyDescent="0.25">
      <c r="A3018" s="11"/>
    </row>
    <row r="3019" spans="1:1" ht="15.75" x14ac:dyDescent="0.25">
      <c r="A3019" s="11"/>
    </row>
    <row r="3020" spans="1:1" ht="15.75" x14ac:dyDescent="0.25">
      <c r="A3020" s="11"/>
    </row>
    <row r="3021" spans="1:1" ht="15.75" x14ac:dyDescent="0.25">
      <c r="A3021" s="11"/>
    </row>
    <row r="3022" spans="1:1" ht="15.75" x14ac:dyDescent="0.25">
      <c r="A3022" s="11"/>
    </row>
    <row r="3023" spans="1:1" ht="15.75" x14ac:dyDescent="0.25">
      <c r="A3023" s="11"/>
    </row>
    <row r="3024" spans="1:1" ht="15.75" x14ac:dyDescent="0.25">
      <c r="A3024" s="11"/>
    </row>
    <row r="3025" spans="1:1" ht="15.75" x14ac:dyDescent="0.25">
      <c r="A3025" s="11"/>
    </row>
    <row r="3026" spans="1:1" ht="15.75" x14ac:dyDescent="0.25">
      <c r="A3026" s="11"/>
    </row>
    <row r="3027" spans="1:1" ht="15.75" x14ac:dyDescent="0.25">
      <c r="A3027" s="11"/>
    </row>
    <row r="3028" spans="1:1" ht="15.75" x14ac:dyDescent="0.25">
      <c r="A3028" s="11"/>
    </row>
    <row r="3029" spans="1:1" ht="15.75" x14ac:dyDescent="0.25">
      <c r="A3029" s="11"/>
    </row>
    <row r="3030" spans="1:1" ht="15.75" x14ac:dyDescent="0.25">
      <c r="A3030" s="11"/>
    </row>
    <row r="3031" spans="1:1" ht="15.75" x14ac:dyDescent="0.25">
      <c r="A3031" s="11"/>
    </row>
    <row r="3032" spans="1:1" ht="15.75" x14ac:dyDescent="0.25">
      <c r="A3032" s="11"/>
    </row>
    <row r="3033" spans="1:1" ht="15.75" x14ac:dyDescent="0.25">
      <c r="A3033" s="11"/>
    </row>
    <row r="3034" spans="1:1" ht="15.75" x14ac:dyDescent="0.25">
      <c r="A3034" s="11"/>
    </row>
    <row r="3035" spans="1:1" ht="15.75" x14ac:dyDescent="0.25">
      <c r="A3035" s="11"/>
    </row>
    <row r="3036" spans="1:1" ht="15.75" x14ac:dyDescent="0.25">
      <c r="A3036" s="11"/>
    </row>
    <row r="3037" spans="1:1" ht="15.75" x14ac:dyDescent="0.25">
      <c r="A3037" s="11"/>
    </row>
    <row r="3038" spans="1:1" ht="15.75" x14ac:dyDescent="0.25">
      <c r="A3038" s="11"/>
    </row>
    <row r="3039" spans="1:1" ht="15.75" x14ac:dyDescent="0.25">
      <c r="A3039" s="11"/>
    </row>
    <row r="3040" spans="1:1" ht="15.75" x14ac:dyDescent="0.25">
      <c r="A3040" s="11"/>
    </row>
    <row r="3041" spans="1:1" ht="15.75" x14ac:dyDescent="0.25">
      <c r="A3041" s="11"/>
    </row>
    <row r="3042" spans="1:1" ht="15.75" x14ac:dyDescent="0.25">
      <c r="A3042" s="11"/>
    </row>
    <row r="3043" spans="1:1" ht="15.75" x14ac:dyDescent="0.25">
      <c r="A3043" s="11"/>
    </row>
    <row r="3044" spans="1:1" ht="15.75" x14ac:dyDescent="0.25">
      <c r="A3044" s="11"/>
    </row>
    <row r="3045" spans="1:1" ht="15.75" x14ac:dyDescent="0.25">
      <c r="A3045" s="11"/>
    </row>
    <row r="3046" spans="1:1" ht="15.75" x14ac:dyDescent="0.25">
      <c r="A3046" s="11"/>
    </row>
    <row r="3047" spans="1:1" ht="15.75" x14ac:dyDescent="0.25">
      <c r="A3047" s="11"/>
    </row>
    <row r="3048" spans="1:1" ht="15.75" x14ac:dyDescent="0.25">
      <c r="A3048" s="11"/>
    </row>
    <row r="3049" spans="1:1" ht="15.75" x14ac:dyDescent="0.25">
      <c r="A3049" s="11"/>
    </row>
    <row r="3050" spans="1:1" ht="15.75" x14ac:dyDescent="0.25">
      <c r="A3050" s="11"/>
    </row>
    <row r="3051" spans="1:1" ht="15.75" x14ac:dyDescent="0.25">
      <c r="A3051" s="11"/>
    </row>
    <row r="3052" spans="1:1" ht="15.75" x14ac:dyDescent="0.25">
      <c r="A3052" s="11"/>
    </row>
    <row r="3053" spans="1:1" ht="15.75" x14ac:dyDescent="0.25">
      <c r="A3053" s="11"/>
    </row>
    <row r="3054" spans="1:1" ht="15.75" x14ac:dyDescent="0.25">
      <c r="A3054" s="11"/>
    </row>
    <row r="3055" spans="1:1" ht="15.75" x14ac:dyDescent="0.25">
      <c r="A3055" s="11"/>
    </row>
    <row r="3056" spans="1:1" ht="15.75" x14ac:dyDescent="0.25">
      <c r="A3056" s="11"/>
    </row>
    <row r="3057" spans="1:1" ht="15.75" x14ac:dyDescent="0.25">
      <c r="A3057" s="11"/>
    </row>
    <row r="3058" spans="1:1" ht="15.75" x14ac:dyDescent="0.25">
      <c r="A3058" s="11"/>
    </row>
    <row r="3059" spans="1:1" ht="15.75" x14ac:dyDescent="0.25">
      <c r="A3059" s="11"/>
    </row>
    <row r="3060" spans="1:1" ht="15.75" x14ac:dyDescent="0.25">
      <c r="A3060" s="11"/>
    </row>
    <row r="3061" spans="1:1" ht="15.75" x14ac:dyDescent="0.25">
      <c r="A3061" s="11"/>
    </row>
    <row r="3062" spans="1:1" ht="15.75" x14ac:dyDescent="0.25">
      <c r="A3062" s="11"/>
    </row>
    <row r="3063" spans="1:1" ht="15.75" x14ac:dyDescent="0.25">
      <c r="A3063" s="11"/>
    </row>
    <row r="3064" spans="1:1" ht="15.75" x14ac:dyDescent="0.25">
      <c r="A3064" s="11"/>
    </row>
    <row r="3065" spans="1:1" ht="15.75" x14ac:dyDescent="0.25">
      <c r="A3065" s="11"/>
    </row>
    <row r="3066" spans="1:1" ht="15.75" x14ac:dyDescent="0.25">
      <c r="A3066" s="11"/>
    </row>
    <row r="3067" spans="1:1" ht="15.75" x14ac:dyDescent="0.25">
      <c r="A3067" s="11"/>
    </row>
    <row r="3068" spans="1:1" ht="15.75" x14ac:dyDescent="0.25">
      <c r="A3068" s="11"/>
    </row>
    <row r="3069" spans="1:1" ht="15.75" x14ac:dyDescent="0.25">
      <c r="A3069" s="11"/>
    </row>
    <row r="3070" spans="1:1" ht="15.75" x14ac:dyDescent="0.25">
      <c r="A3070" s="11"/>
    </row>
    <row r="3071" spans="1:1" ht="15.75" x14ac:dyDescent="0.25">
      <c r="A3071" s="11"/>
    </row>
    <row r="3072" spans="1:1" ht="15.75" x14ac:dyDescent="0.25">
      <c r="A3072" s="11"/>
    </row>
    <row r="3073" spans="1:1" ht="15.75" x14ac:dyDescent="0.25">
      <c r="A3073" s="11"/>
    </row>
    <row r="3074" spans="1:1" ht="15.75" x14ac:dyDescent="0.25">
      <c r="A3074" s="11"/>
    </row>
    <row r="3075" spans="1:1" ht="15.75" x14ac:dyDescent="0.25">
      <c r="A3075" s="11"/>
    </row>
    <row r="3076" spans="1:1" ht="15.75" x14ac:dyDescent="0.25">
      <c r="A3076" s="11"/>
    </row>
    <row r="3077" spans="1:1" ht="15.75" x14ac:dyDescent="0.25">
      <c r="A3077" s="11"/>
    </row>
    <row r="3078" spans="1:1" ht="15.75" x14ac:dyDescent="0.25">
      <c r="A3078" s="11"/>
    </row>
    <row r="3079" spans="1:1" ht="15.75" x14ac:dyDescent="0.25">
      <c r="A3079" s="11"/>
    </row>
    <row r="3080" spans="1:1" ht="15.75" x14ac:dyDescent="0.25">
      <c r="A3080" s="11"/>
    </row>
    <row r="3081" spans="1:1" ht="15.75" x14ac:dyDescent="0.25">
      <c r="A3081" s="11"/>
    </row>
    <row r="3082" spans="1:1" ht="15.75" x14ac:dyDescent="0.25">
      <c r="A3082" s="11"/>
    </row>
    <row r="3083" spans="1:1" ht="15.75" x14ac:dyDescent="0.25">
      <c r="A3083" s="11"/>
    </row>
    <row r="3084" spans="1:1" ht="15.75" x14ac:dyDescent="0.25">
      <c r="A3084" s="11"/>
    </row>
    <row r="3085" spans="1:1" ht="15.75" x14ac:dyDescent="0.25">
      <c r="A3085" s="11"/>
    </row>
    <row r="3086" spans="1:1" ht="15.75" x14ac:dyDescent="0.25">
      <c r="A3086" s="11"/>
    </row>
    <row r="3087" spans="1:1" ht="15.75" x14ac:dyDescent="0.25">
      <c r="A3087" s="11"/>
    </row>
    <row r="3088" spans="1:1" ht="15.75" x14ac:dyDescent="0.25">
      <c r="A3088" s="11"/>
    </row>
    <row r="3089" spans="1:1" ht="15.75" x14ac:dyDescent="0.25">
      <c r="A3089" s="11"/>
    </row>
    <row r="3090" spans="1:1" ht="15.75" x14ac:dyDescent="0.25">
      <c r="A3090" s="11"/>
    </row>
    <row r="3091" spans="1:1" ht="15.75" x14ac:dyDescent="0.25">
      <c r="A3091" s="11"/>
    </row>
    <row r="3092" spans="1:1" ht="15.75" x14ac:dyDescent="0.25">
      <c r="A3092" s="11"/>
    </row>
    <row r="3093" spans="1:1" ht="15.75" x14ac:dyDescent="0.25">
      <c r="A3093" s="11"/>
    </row>
    <row r="3094" spans="1:1" ht="15.75" x14ac:dyDescent="0.25">
      <c r="A3094" s="11"/>
    </row>
    <row r="3095" spans="1:1" ht="15.75" x14ac:dyDescent="0.25">
      <c r="A3095" s="11"/>
    </row>
    <row r="3096" spans="1:1" ht="15.75" x14ac:dyDescent="0.25">
      <c r="A3096" s="11"/>
    </row>
    <row r="3097" spans="1:1" ht="15.75" x14ac:dyDescent="0.25">
      <c r="A3097" s="11"/>
    </row>
    <row r="3098" spans="1:1" ht="15.75" x14ac:dyDescent="0.25">
      <c r="A3098" s="11"/>
    </row>
    <row r="3099" spans="1:1" ht="15.75" x14ac:dyDescent="0.25">
      <c r="A3099" s="11"/>
    </row>
    <row r="3100" spans="1:1" ht="15.75" x14ac:dyDescent="0.25">
      <c r="A3100" s="11"/>
    </row>
    <row r="3101" spans="1:1" ht="15.75" x14ac:dyDescent="0.25">
      <c r="A3101" s="11"/>
    </row>
    <row r="3102" spans="1:1" ht="15.75" x14ac:dyDescent="0.25">
      <c r="A3102" s="11"/>
    </row>
    <row r="3103" spans="1:1" ht="15.75" x14ac:dyDescent="0.25">
      <c r="A3103" s="11"/>
    </row>
    <row r="3104" spans="1:1" ht="15.75" x14ac:dyDescent="0.25">
      <c r="A3104" s="11"/>
    </row>
    <row r="3105" spans="1:1" ht="15.75" x14ac:dyDescent="0.25">
      <c r="A3105" s="11"/>
    </row>
    <row r="3106" spans="1:1" ht="15.75" x14ac:dyDescent="0.25">
      <c r="A3106" s="11"/>
    </row>
    <row r="3107" spans="1:1" ht="15.75" x14ac:dyDescent="0.25">
      <c r="A3107" s="11"/>
    </row>
    <row r="3108" spans="1:1" ht="15.75" x14ac:dyDescent="0.25">
      <c r="A3108" s="11"/>
    </row>
    <row r="3109" spans="1:1" ht="15.75" x14ac:dyDescent="0.25">
      <c r="A3109" s="11"/>
    </row>
    <row r="3110" spans="1:1" ht="15.75" x14ac:dyDescent="0.25">
      <c r="A3110" s="11"/>
    </row>
    <row r="3111" spans="1:1" ht="15.75" x14ac:dyDescent="0.25">
      <c r="A3111" s="11"/>
    </row>
    <row r="3112" spans="1:1" ht="15.75" x14ac:dyDescent="0.25">
      <c r="A3112" s="11"/>
    </row>
    <row r="3113" spans="1:1" ht="15.75" x14ac:dyDescent="0.25">
      <c r="A3113" s="11"/>
    </row>
    <row r="3114" spans="1:1" ht="15.75" x14ac:dyDescent="0.25">
      <c r="A3114" s="11"/>
    </row>
    <row r="3115" spans="1:1" ht="15.75" x14ac:dyDescent="0.25">
      <c r="A3115" s="11"/>
    </row>
    <row r="3116" spans="1:1" ht="15.75" x14ac:dyDescent="0.25">
      <c r="A3116" s="11"/>
    </row>
    <row r="3117" spans="1:1" ht="15.75" x14ac:dyDescent="0.25">
      <c r="A3117" s="11"/>
    </row>
    <row r="3118" spans="1:1" ht="15.75" x14ac:dyDescent="0.25">
      <c r="A3118" s="11"/>
    </row>
    <row r="3119" spans="1:1" ht="15.75" x14ac:dyDescent="0.25">
      <c r="A3119" s="11"/>
    </row>
    <row r="3120" spans="1:1" ht="15.75" x14ac:dyDescent="0.25">
      <c r="A3120" s="11"/>
    </row>
    <row r="3121" spans="1:1" ht="15.75" x14ac:dyDescent="0.25">
      <c r="A3121" s="11"/>
    </row>
    <row r="3122" spans="1:1" ht="15.75" x14ac:dyDescent="0.25">
      <c r="A3122" s="11"/>
    </row>
    <row r="3123" spans="1:1" ht="15.75" x14ac:dyDescent="0.25">
      <c r="A3123" s="11"/>
    </row>
    <row r="3124" spans="1:1" ht="15.75" x14ac:dyDescent="0.25">
      <c r="A3124" s="11"/>
    </row>
    <row r="3125" spans="1:1" ht="15.75" x14ac:dyDescent="0.25">
      <c r="A3125" s="11"/>
    </row>
    <row r="3126" spans="1:1" ht="15.75" x14ac:dyDescent="0.25">
      <c r="A3126" s="11"/>
    </row>
    <row r="3127" spans="1:1" ht="15.75" x14ac:dyDescent="0.25">
      <c r="A3127" s="11"/>
    </row>
    <row r="3128" spans="1:1" ht="15.75" x14ac:dyDescent="0.25">
      <c r="A3128" s="11"/>
    </row>
    <row r="3129" spans="1:1" ht="15.75" x14ac:dyDescent="0.25">
      <c r="A3129" s="11"/>
    </row>
    <row r="3130" spans="1:1" ht="15.75" x14ac:dyDescent="0.25">
      <c r="A3130" s="11"/>
    </row>
    <row r="3131" spans="1:1" ht="15.75" x14ac:dyDescent="0.25">
      <c r="A3131" s="11"/>
    </row>
    <row r="3132" spans="1:1" ht="15.75" x14ac:dyDescent="0.25">
      <c r="A3132" s="11"/>
    </row>
    <row r="3133" spans="1:1" ht="15.75" x14ac:dyDescent="0.25">
      <c r="A3133" s="11"/>
    </row>
    <row r="3134" spans="1:1" ht="15.75" x14ac:dyDescent="0.25">
      <c r="A3134" s="11"/>
    </row>
    <row r="3135" spans="1:1" ht="15.75" x14ac:dyDescent="0.25">
      <c r="A3135" s="11"/>
    </row>
    <row r="3136" spans="1:1" ht="15.75" x14ac:dyDescent="0.25">
      <c r="A3136" s="11"/>
    </row>
    <row r="3137" spans="1:1" ht="15.75" x14ac:dyDescent="0.25">
      <c r="A3137" s="11"/>
    </row>
    <row r="3138" spans="1:1" ht="15.75" x14ac:dyDescent="0.25">
      <c r="A3138" s="11"/>
    </row>
    <row r="3139" spans="1:1" ht="15.75" x14ac:dyDescent="0.25">
      <c r="A3139" s="11"/>
    </row>
    <row r="3140" spans="1:1" ht="15.75" x14ac:dyDescent="0.25">
      <c r="A3140" s="11"/>
    </row>
    <row r="3141" spans="1:1" ht="15.75" x14ac:dyDescent="0.25">
      <c r="A3141" s="11"/>
    </row>
    <row r="3142" spans="1:1" ht="15.75" x14ac:dyDescent="0.25">
      <c r="A3142" s="11"/>
    </row>
    <row r="3143" spans="1:1" ht="15.75" x14ac:dyDescent="0.25">
      <c r="A3143" s="11"/>
    </row>
    <row r="3144" spans="1:1" ht="15.75" x14ac:dyDescent="0.25">
      <c r="A3144" s="11"/>
    </row>
    <row r="3145" spans="1:1" ht="15.75" x14ac:dyDescent="0.25">
      <c r="A3145" s="11"/>
    </row>
    <row r="3146" spans="1:1" ht="15.75" x14ac:dyDescent="0.25">
      <c r="A3146" s="11"/>
    </row>
    <row r="3147" spans="1:1" ht="15.75" x14ac:dyDescent="0.25">
      <c r="A3147" s="11"/>
    </row>
    <row r="3148" spans="1:1" ht="15.75" x14ac:dyDescent="0.25">
      <c r="A3148" s="11"/>
    </row>
    <row r="3149" spans="1:1" ht="15.75" x14ac:dyDescent="0.25">
      <c r="A3149" s="11"/>
    </row>
    <row r="3150" spans="1:1" ht="15.75" x14ac:dyDescent="0.25">
      <c r="A3150" s="11"/>
    </row>
    <row r="3151" spans="1:1" ht="15.75" x14ac:dyDescent="0.25">
      <c r="A3151" s="11"/>
    </row>
    <row r="3152" spans="1:1" ht="15.75" x14ac:dyDescent="0.25">
      <c r="A3152" s="11"/>
    </row>
    <row r="3153" spans="1:1" ht="15.75" x14ac:dyDescent="0.25">
      <c r="A3153" s="11"/>
    </row>
    <row r="3154" spans="1:1" ht="15.75" x14ac:dyDescent="0.25">
      <c r="A3154" s="11"/>
    </row>
    <row r="3155" spans="1:1" ht="15.75" x14ac:dyDescent="0.25">
      <c r="A3155" s="11"/>
    </row>
    <row r="3156" spans="1:1" ht="15.75" x14ac:dyDescent="0.25">
      <c r="A3156" s="11"/>
    </row>
    <row r="3157" spans="1:1" ht="15.75" x14ac:dyDescent="0.25">
      <c r="A3157" s="11"/>
    </row>
    <row r="3158" spans="1:1" ht="15.75" x14ac:dyDescent="0.25">
      <c r="A3158" s="11"/>
    </row>
    <row r="3159" spans="1:1" ht="15.75" x14ac:dyDescent="0.25">
      <c r="A3159" s="11"/>
    </row>
    <row r="3160" spans="1:1" ht="15.75" x14ac:dyDescent="0.25">
      <c r="A3160" s="11"/>
    </row>
    <row r="3161" spans="1:1" ht="15.75" x14ac:dyDescent="0.25">
      <c r="A3161" s="11"/>
    </row>
    <row r="3162" spans="1:1" ht="15.75" x14ac:dyDescent="0.25">
      <c r="A3162" s="11"/>
    </row>
    <row r="3163" spans="1:1" ht="15.75" x14ac:dyDescent="0.25">
      <c r="A3163" s="11"/>
    </row>
    <row r="3164" spans="1:1" ht="15.75" x14ac:dyDescent="0.25">
      <c r="A3164" s="11"/>
    </row>
    <row r="3165" spans="1:1" ht="15.75" x14ac:dyDescent="0.25">
      <c r="A3165" s="11"/>
    </row>
    <row r="3166" spans="1:1" ht="15.75" x14ac:dyDescent="0.25">
      <c r="A3166" s="11"/>
    </row>
    <row r="3167" spans="1:1" ht="15.75" x14ac:dyDescent="0.25">
      <c r="A3167" s="11"/>
    </row>
    <row r="3168" spans="1:1" ht="15.75" x14ac:dyDescent="0.25">
      <c r="A3168" s="11"/>
    </row>
    <row r="3169" spans="1:1" ht="15.75" x14ac:dyDescent="0.25">
      <c r="A3169" s="11"/>
    </row>
    <row r="3170" spans="1:1" ht="15.75" x14ac:dyDescent="0.25">
      <c r="A3170" s="11"/>
    </row>
    <row r="3171" spans="1:1" ht="15.75" x14ac:dyDescent="0.25">
      <c r="A3171" s="11"/>
    </row>
    <row r="3172" spans="1:1" ht="15.75" x14ac:dyDescent="0.25">
      <c r="A3172" s="11"/>
    </row>
    <row r="3173" spans="1:1" ht="15.75" x14ac:dyDescent="0.25">
      <c r="A3173" s="11"/>
    </row>
    <row r="3174" spans="1:1" ht="15.75" x14ac:dyDescent="0.25">
      <c r="A3174" s="11"/>
    </row>
    <row r="3175" spans="1:1" ht="15.75" x14ac:dyDescent="0.25">
      <c r="A3175" s="11"/>
    </row>
    <row r="3176" spans="1:1" ht="15.75" x14ac:dyDescent="0.25">
      <c r="A3176" s="11"/>
    </row>
    <row r="3177" spans="1:1" ht="15.75" x14ac:dyDescent="0.25">
      <c r="A3177" s="11"/>
    </row>
    <row r="3178" spans="1:1" ht="15.75" x14ac:dyDescent="0.25">
      <c r="A3178" s="11"/>
    </row>
    <row r="3179" spans="1:1" ht="15.75" x14ac:dyDescent="0.25">
      <c r="A3179" s="11"/>
    </row>
    <row r="3180" spans="1:1" ht="15.75" x14ac:dyDescent="0.25">
      <c r="A3180" s="11"/>
    </row>
    <row r="3181" spans="1:1" ht="15.75" x14ac:dyDescent="0.25">
      <c r="A3181" s="11"/>
    </row>
    <row r="3182" spans="1:1" ht="15.75" x14ac:dyDescent="0.25">
      <c r="A3182" s="11"/>
    </row>
    <row r="3183" spans="1:1" ht="15.75" x14ac:dyDescent="0.25">
      <c r="A3183" s="11"/>
    </row>
    <row r="3184" spans="1:1" ht="15.75" x14ac:dyDescent="0.25">
      <c r="A3184" s="11"/>
    </row>
    <row r="3185" spans="1:1" ht="15.75" x14ac:dyDescent="0.25">
      <c r="A3185" s="11"/>
    </row>
    <row r="3186" spans="1:1" ht="15.75" x14ac:dyDescent="0.25">
      <c r="A3186" s="11"/>
    </row>
    <row r="3187" spans="1:1" ht="15.75" x14ac:dyDescent="0.25">
      <c r="A3187" s="11"/>
    </row>
    <row r="3188" spans="1:1" ht="15.75" x14ac:dyDescent="0.25">
      <c r="A3188" s="11"/>
    </row>
    <row r="3189" spans="1:1" ht="15.75" x14ac:dyDescent="0.25">
      <c r="A3189" s="11"/>
    </row>
    <row r="3190" spans="1:1" ht="15.75" x14ac:dyDescent="0.25">
      <c r="A3190" s="11"/>
    </row>
    <row r="3191" spans="1:1" ht="15.75" x14ac:dyDescent="0.25">
      <c r="A3191" s="11"/>
    </row>
    <row r="3192" spans="1:1" ht="15.75" x14ac:dyDescent="0.25">
      <c r="A3192" s="11"/>
    </row>
    <row r="3193" spans="1:1" ht="15.75" x14ac:dyDescent="0.25">
      <c r="A3193" s="11"/>
    </row>
    <row r="3194" spans="1:1" ht="15.75" x14ac:dyDescent="0.25">
      <c r="A3194" s="11"/>
    </row>
    <row r="3195" spans="1:1" ht="15.75" x14ac:dyDescent="0.25">
      <c r="A3195" s="11"/>
    </row>
    <row r="3196" spans="1:1" ht="15.75" x14ac:dyDescent="0.25">
      <c r="A3196" s="11"/>
    </row>
    <row r="3197" spans="1:1" ht="15.75" x14ac:dyDescent="0.25">
      <c r="A3197" s="11"/>
    </row>
    <row r="3198" spans="1:1" ht="15.75" x14ac:dyDescent="0.25">
      <c r="A3198" s="11"/>
    </row>
    <row r="3199" spans="1:1" ht="15.75" x14ac:dyDescent="0.25">
      <c r="A3199" s="11"/>
    </row>
    <row r="3200" spans="1:1" ht="15.75" x14ac:dyDescent="0.25">
      <c r="A3200" s="11"/>
    </row>
    <row r="3201" spans="1:1" ht="15.75" x14ac:dyDescent="0.25">
      <c r="A3201" s="11"/>
    </row>
    <row r="3202" spans="1:1" ht="15.75" x14ac:dyDescent="0.25">
      <c r="A3202" s="11"/>
    </row>
    <row r="3203" spans="1:1" ht="15.75" x14ac:dyDescent="0.25">
      <c r="A3203" s="11"/>
    </row>
    <row r="3204" spans="1:1" ht="15.75" x14ac:dyDescent="0.25">
      <c r="A3204" s="11"/>
    </row>
    <row r="3205" spans="1:1" ht="15.75" x14ac:dyDescent="0.25">
      <c r="A3205" s="11"/>
    </row>
    <row r="3206" spans="1:1" ht="15.75" x14ac:dyDescent="0.25">
      <c r="A3206" s="11"/>
    </row>
    <row r="3207" spans="1:1" ht="15.75" x14ac:dyDescent="0.25">
      <c r="A3207" s="11"/>
    </row>
    <row r="3208" spans="1:1" ht="15.75" x14ac:dyDescent="0.25">
      <c r="A3208" s="11"/>
    </row>
    <row r="3209" spans="1:1" ht="15.75" x14ac:dyDescent="0.25">
      <c r="A3209" s="11"/>
    </row>
    <row r="3210" spans="1:1" ht="15.75" x14ac:dyDescent="0.25">
      <c r="A3210" s="11"/>
    </row>
    <row r="3211" spans="1:1" ht="15.75" x14ac:dyDescent="0.25">
      <c r="A3211" s="11"/>
    </row>
    <row r="3212" spans="1:1" ht="15.75" x14ac:dyDescent="0.25">
      <c r="A3212" s="11"/>
    </row>
    <row r="3213" spans="1:1" ht="15.75" x14ac:dyDescent="0.25">
      <c r="A3213" s="11"/>
    </row>
    <row r="3214" spans="1:1" ht="15.75" x14ac:dyDescent="0.25">
      <c r="A3214" s="11"/>
    </row>
    <row r="3215" spans="1:1" ht="15.75" x14ac:dyDescent="0.25">
      <c r="A3215" s="11"/>
    </row>
    <row r="3216" spans="1:1" ht="15.75" x14ac:dyDescent="0.25">
      <c r="A3216" s="11"/>
    </row>
    <row r="3217" spans="1:1" ht="15.75" x14ac:dyDescent="0.25">
      <c r="A3217" s="11"/>
    </row>
    <row r="3218" spans="1:1" ht="15.75" x14ac:dyDescent="0.25">
      <c r="A3218" s="11"/>
    </row>
    <row r="3219" spans="1:1" ht="15.75" x14ac:dyDescent="0.25">
      <c r="A3219" s="11"/>
    </row>
    <row r="3220" spans="1:1" ht="15.75" x14ac:dyDescent="0.25">
      <c r="A3220" s="11"/>
    </row>
    <row r="3221" spans="1:1" ht="15.75" x14ac:dyDescent="0.25">
      <c r="A3221" s="11"/>
    </row>
    <row r="3222" spans="1:1" ht="15.75" x14ac:dyDescent="0.25">
      <c r="A3222" s="11"/>
    </row>
    <row r="3223" spans="1:1" ht="15.75" x14ac:dyDescent="0.25">
      <c r="A3223" s="11"/>
    </row>
    <row r="3224" spans="1:1" ht="15.75" x14ac:dyDescent="0.25">
      <c r="A3224" s="11"/>
    </row>
    <row r="3225" spans="1:1" ht="15.75" x14ac:dyDescent="0.25">
      <c r="A3225" s="11"/>
    </row>
    <row r="3226" spans="1:1" ht="15.75" x14ac:dyDescent="0.25">
      <c r="A3226" s="11"/>
    </row>
    <row r="3227" spans="1:1" ht="15.75" x14ac:dyDescent="0.25">
      <c r="A3227" s="11"/>
    </row>
    <row r="3228" spans="1:1" ht="15.75" x14ac:dyDescent="0.25">
      <c r="A3228" s="11"/>
    </row>
    <row r="3229" spans="1:1" ht="15.75" x14ac:dyDescent="0.25">
      <c r="A3229" s="11"/>
    </row>
    <row r="3230" spans="1:1" ht="15.75" x14ac:dyDescent="0.25">
      <c r="A3230" s="11"/>
    </row>
    <row r="3231" spans="1:1" ht="15.75" x14ac:dyDescent="0.25">
      <c r="A3231" s="11"/>
    </row>
    <row r="3232" spans="1:1" ht="15.75" x14ac:dyDescent="0.25">
      <c r="A3232" s="11"/>
    </row>
    <row r="3233" spans="1:1" ht="15.75" x14ac:dyDescent="0.25">
      <c r="A3233" s="11"/>
    </row>
    <row r="3234" spans="1:1" ht="15.75" x14ac:dyDescent="0.25">
      <c r="A3234" s="11"/>
    </row>
    <row r="3235" spans="1:1" ht="15.75" x14ac:dyDescent="0.25">
      <c r="A3235" s="11"/>
    </row>
    <row r="3236" spans="1:1" ht="15.75" x14ac:dyDescent="0.25">
      <c r="A3236" s="11"/>
    </row>
    <row r="3237" spans="1:1" ht="15.75" x14ac:dyDescent="0.25">
      <c r="A3237" s="11"/>
    </row>
    <row r="3238" spans="1:1" ht="15.75" x14ac:dyDescent="0.25">
      <c r="A3238" s="11"/>
    </row>
    <row r="3239" spans="1:1" ht="15.75" x14ac:dyDescent="0.25">
      <c r="A3239" s="11"/>
    </row>
    <row r="3240" spans="1:1" ht="15.75" x14ac:dyDescent="0.25">
      <c r="A3240" s="11"/>
    </row>
    <row r="3241" spans="1:1" ht="15.75" x14ac:dyDescent="0.25">
      <c r="A3241" s="11"/>
    </row>
    <row r="3242" spans="1:1" ht="15.75" x14ac:dyDescent="0.25">
      <c r="A3242" s="11"/>
    </row>
    <row r="3243" spans="1:1" ht="15.75" x14ac:dyDescent="0.25">
      <c r="A3243" s="11"/>
    </row>
    <row r="3244" spans="1:1" ht="15.75" x14ac:dyDescent="0.25">
      <c r="A3244" s="11"/>
    </row>
    <row r="3245" spans="1:1" ht="15.75" x14ac:dyDescent="0.25">
      <c r="A3245" s="11"/>
    </row>
    <row r="3246" spans="1:1" ht="15.75" x14ac:dyDescent="0.25">
      <c r="A3246" s="11"/>
    </row>
    <row r="3247" spans="1:1" ht="15.75" x14ac:dyDescent="0.25">
      <c r="A3247" s="11"/>
    </row>
    <row r="3248" spans="1:1" ht="15.75" x14ac:dyDescent="0.25">
      <c r="A3248" s="11"/>
    </row>
    <row r="3249" spans="1:1" ht="15.75" x14ac:dyDescent="0.25">
      <c r="A3249" s="11"/>
    </row>
    <row r="3250" spans="1:1" ht="15.75" x14ac:dyDescent="0.25">
      <c r="A3250" s="11"/>
    </row>
    <row r="3251" spans="1:1" ht="15.75" x14ac:dyDescent="0.25">
      <c r="A3251" s="11"/>
    </row>
    <row r="3252" spans="1:1" ht="15.75" x14ac:dyDescent="0.25">
      <c r="A3252" s="11"/>
    </row>
    <row r="3253" spans="1:1" ht="15.75" x14ac:dyDescent="0.25">
      <c r="A3253" s="11"/>
    </row>
    <row r="3254" spans="1:1" ht="15.75" x14ac:dyDescent="0.25">
      <c r="A3254" s="11"/>
    </row>
    <row r="3255" spans="1:1" ht="15.75" x14ac:dyDescent="0.25">
      <c r="A3255" s="11"/>
    </row>
    <row r="3256" spans="1:1" ht="15.75" x14ac:dyDescent="0.25">
      <c r="A3256" s="11"/>
    </row>
    <row r="3257" spans="1:1" ht="15.75" x14ac:dyDescent="0.25">
      <c r="A3257" s="11"/>
    </row>
    <row r="3258" spans="1:1" ht="15.75" x14ac:dyDescent="0.25">
      <c r="A3258" s="11"/>
    </row>
    <row r="3259" spans="1:1" ht="15.75" x14ac:dyDescent="0.25">
      <c r="A3259" s="11"/>
    </row>
    <row r="3260" spans="1:1" ht="15.75" x14ac:dyDescent="0.25">
      <c r="A3260" s="11"/>
    </row>
    <row r="3261" spans="1:1" ht="15.75" x14ac:dyDescent="0.25">
      <c r="A3261" s="11"/>
    </row>
    <row r="3262" spans="1:1" ht="15.75" x14ac:dyDescent="0.25">
      <c r="A3262" s="11"/>
    </row>
    <row r="3263" spans="1:1" ht="15.75" x14ac:dyDescent="0.25">
      <c r="A3263" s="11"/>
    </row>
    <row r="3264" spans="1:1" ht="15.75" x14ac:dyDescent="0.25">
      <c r="A3264" s="11"/>
    </row>
    <row r="3265" spans="1:1" ht="15.75" x14ac:dyDescent="0.25">
      <c r="A3265" s="11"/>
    </row>
    <row r="3266" spans="1:1" ht="15.75" x14ac:dyDescent="0.25">
      <c r="A3266" s="11"/>
    </row>
    <row r="3267" spans="1:1" ht="15.75" x14ac:dyDescent="0.25">
      <c r="A3267" s="11"/>
    </row>
    <row r="3268" spans="1:1" ht="15.75" x14ac:dyDescent="0.25">
      <c r="A3268" s="11"/>
    </row>
    <row r="3269" spans="1:1" ht="15.75" x14ac:dyDescent="0.25">
      <c r="A3269" s="11"/>
    </row>
    <row r="3270" spans="1:1" ht="15.75" x14ac:dyDescent="0.25">
      <c r="A3270" s="11"/>
    </row>
    <row r="3271" spans="1:1" ht="15.75" x14ac:dyDescent="0.25">
      <c r="A3271" s="11"/>
    </row>
    <row r="3272" spans="1:1" ht="15.75" x14ac:dyDescent="0.25">
      <c r="A3272" s="11"/>
    </row>
    <row r="3273" spans="1:1" ht="15.75" x14ac:dyDescent="0.25">
      <c r="A3273" s="11"/>
    </row>
    <row r="3274" spans="1:1" ht="15.75" x14ac:dyDescent="0.25">
      <c r="A3274" s="11"/>
    </row>
    <row r="3275" spans="1:1" ht="15.75" x14ac:dyDescent="0.25">
      <c r="A3275" s="11"/>
    </row>
    <row r="3276" spans="1:1" ht="15.75" x14ac:dyDescent="0.25">
      <c r="A3276" s="11"/>
    </row>
    <row r="3277" spans="1:1" ht="15.75" x14ac:dyDescent="0.25">
      <c r="A3277" s="11"/>
    </row>
    <row r="3278" spans="1:1" ht="15.75" x14ac:dyDescent="0.25">
      <c r="A3278" s="11"/>
    </row>
    <row r="3279" spans="1:1" ht="15.75" x14ac:dyDescent="0.25">
      <c r="A3279" s="11"/>
    </row>
    <row r="3280" spans="1:1" ht="15.75" x14ac:dyDescent="0.25">
      <c r="A3280" s="11"/>
    </row>
    <row r="3281" spans="1:1" ht="15.75" x14ac:dyDescent="0.25">
      <c r="A3281" s="11"/>
    </row>
    <row r="3282" spans="1:1" ht="15.75" x14ac:dyDescent="0.25">
      <c r="A3282" s="11"/>
    </row>
    <row r="3283" spans="1:1" ht="15.75" x14ac:dyDescent="0.25">
      <c r="A3283" s="11"/>
    </row>
    <row r="3284" spans="1:1" ht="15.75" x14ac:dyDescent="0.25">
      <c r="A3284" s="11"/>
    </row>
    <row r="3285" spans="1:1" ht="15.75" x14ac:dyDescent="0.25">
      <c r="A3285" s="11"/>
    </row>
    <row r="3286" spans="1:1" ht="15.75" x14ac:dyDescent="0.25">
      <c r="A3286" s="11"/>
    </row>
    <row r="3287" spans="1:1" ht="15.75" x14ac:dyDescent="0.25">
      <c r="A3287" s="11"/>
    </row>
    <row r="3288" spans="1:1" ht="15.75" x14ac:dyDescent="0.25">
      <c r="A3288" s="11"/>
    </row>
    <row r="3289" spans="1:1" ht="15.75" x14ac:dyDescent="0.25">
      <c r="A3289" s="11"/>
    </row>
    <row r="3290" spans="1:1" ht="15.75" x14ac:dyDescent="0.25">
      <c r="A3290" s="11"/>
    </row>
    <row r="3291" spans="1:1" ht="15.75" x14ac:dyDescent="0.25">
      <c r="A3291" s="11"/>
    </row>
    <row r="3292" spans="1:1" ht="15.75" x14ac:dyDescent="0.25">
      <c r="A3292" s="11"/>
    </row>
    <row r="3293" spans="1:1" ht="15.75" x14ac:dyDescent="0.25">
      <c r="A3293" s="11"/>
    </row>
    <row r="3294" spans="1:1" ht="15.75" x14ac:dyDescent="0.25">
      <c r="A3294" s="11"/>
    </row>
    <row r="3295" spans="1:1" ht="15.75" x14ac:dyDescent="0.25">
      <c r="A3295" s="11"/>
    </row>
    <row r="3296" spans="1:1" ht="15.75" x14ac:dyDescent="0.25">
      <c r="A3296" s="11"/>
    </row>
    <row r="3297" spans="1:1" ht="15.75" x14ac:dyDescent="0.25">
      <c r="A3297" s="11"/>
    </row>
    <row r="3298" spans="1:1" ht="15.75" x14ac:dyDescent="0.25">
      <c r="A3298" s="11"/>
    </row>
    <row r="3299" spans="1:1" ht="15.75" x14ac:dyDescent="0.25">
      <c r="A3299" s="11"/>
    </row>
    <row r="3300" spans="1:1" ht="15.75" x14ac:dyDescent="0.25">
      <c r="A3300" s="11"/>
    </row>
    <row r="3301" spans="1:1" ht="15.75" x14ac:dyDescent="0.25">
      <c r="A3301" s="11"/>
    </row>
    <row r="3302" spans="1:1" ht="15.75" x14ac:dyDescent="0.25">
      <c r="A3302" s="11"/>
    </row>
    <row r="3303" spans="1:1" ht="15.75" x14ac:dyDescent="0.25">
      <c r="A3303" s="11"/>
    </row>
    <row r="3304" spans="1:1" ht="15.75" x14ac:dyDescent="0.25">
      <c r="A3304" s="11"/>
    </row>
    <row r="3305" spans="1:1" ht="15.75" x14ac:dyDescent="0.25">
      <c r="A3305" s="11"/>
    </row>
    <row r="3306" spans="1:1" ht="15.75" x14ac:dyDescent="0.25">
      <c r="A3306" s="11"/>
    </row>
    <row r="3307" spans="1:1" ht="15.75" x14ac:dyDescent="0.25">
      <c r="A3307" s="11"/>
    </row>
    <row r="3308" spans="1:1" ht="15.75" x14ac:dyDescent="0.25">
      <c r="A3308" s="11"/>
    </row>
    <row r="3309" spans="1:1" ht="15.75" x14ac:dyDescent="0.25">
      <c r="A3309" s="11"/>
    </row>
    <row r="3310" spans="1:1" ht="15.75" x14ac:dyDescent="0.25">
      <c r="A3310" s="11"/>
    </row>
    <row r="3311" spans="1:1" ht="15.75" x14ac:dyDescent="0.25">
      <c r="A3311" s="11"/>
    </row>
    <row r="3312" spans="1:1" ht="15.75" x14ac:dyDescent="0.25">
      <c r="A3312" s="11"/>
    </row>
    <row r="3313" spans="1:1" ht="15.75" x14ac:dyDescent="0.25">
      <c r="A3313" s="11"/>
    </row>
    <row r="3314" spans="1:1" ht="15.75" x14ac:dyDescent="0.25">
      <c r="A3314" s="11"/>
    </row>
    <row r="3315" spans="1:1" ht="15.75" x14ac:dyDescent="0.25">
      <c r="A3315" s="11"/>
    </row>
    <row r="3316" spans="1:1" ht="15.75" x14ac:dyDescent="0.25">
      <c r="A3316" s="11"/>
    </row>
    <row r="3317" spans="1:1" ht="15.75" x14ac:dyDescent="0.25">
      <c r="A3317" s="11"/>
    </row>
    <row r="3318" spans="1:1" ht="15.75" x14ac:dyDescent="0.25">
      <c r="A3318" s="11"/>
    </row>
    <row r="3319" spans="1:1" ht="15.75" x14ac:dyDescent="0.25">
      <c r="A3319" s="11"/>
    </row>
    <row r="3320" spans="1:1" ht="15.75" x14ac:dyDescent="0.25">
      <c r="A3320" s="11"/>
    </row>
    <row r="3321" spans="1:1" ht="15.75" x14ac:dyDescent="0.25">
      <c r="A3321" s="11"/>
    </row>
    <row r="3322" spans="1:1" ht="15.75" x14ac:dyDescent="0.25">
      <c r="A3322" s="11"/>
    </row>
    <row r="3323" spans="1:1" ht="15.75" x14ac:dyDescent="0.25">
      <c r="A3323" s="11"/>
    </row>
    <row r="3324" spans="1:1" ht="15.75" x14ac:dyDescent="0.25">
      <c r="A3324" s="11"/>
    </row>
    <row r="3325" spans="1:1" ht="15.75" x14ac:dyDescent="0.25">
      <c r="A3325" s="11"/>
    </row>
    <row r="3326" spans="1:1" ht="15.75" x14ac:dyDescent="0.25">
      <c r="A3326" s="11"/>
    </row>
    <row r="3327" spans="1:1" ht="15.75" x14ac:dyDescent="0.25">
      <c r="A3327" s="11"/>
    </row>
    <row r="3328" spans="1:1" ht="15.75" x14ac:dyDescent="0.25">
      <c r="A3328" s="11"/>
    </row>
    <row r="3329" spans="1:1" ht="15.75" x14ac:dyDescent="0.25">
      <c r="A3329" s="11"/>
    </row>
    <row r="3330" spans="1:1" ht="15.75" x14ac:dyDescent="0.25">
      <c r="A3330" s="11"/>
    </row>
    <row r="3331" spans="1:1" ht="15.75" x14ac:dyDescent="0.25">
      <c r="A3331" s="11"/>
    </row>
    <row r="3332" spans="1:1" ht="15.75" x14ac:dyDescent="0.25">
      <c r="A3332" s="11"/>
    </row>
    <row r="3333" spans="1:1" ht="15.75" x14ac:dyDescent="0.25">
      <c r="A3333" s="11"/>
    </row>
    <row r="3334" spans="1:1" ht="15.75" x14ac:dyDescent="0.25">
      <c r="A3334" s="11"/>
    </row>
    <row r="3335" spans="1:1" ht="15.75" x14ac:dyDescent="0.25">
      <c r="A3335" s="11"/>
    </row>
    <row r="3336" spans="1:1" ht="15.75" x14ac:dyDescent="0.25">
      <c r="A3336" s="11"/>
    </row>
    <row r="3337" spans="1:1" ht="15.75" x14ac:dyDescent="0.25">
      <c r="A3337" s="11"/>
    </row>
    <row r="3338" spans="1:1" ht="15.75" x14ac:dyDescent="0.25">
      <c r="A3338" s="11"/>
    </row>
    <row r="3339" spans="1:1" ht="15.75" x14ac:dyDescent="0.25">
      <c r="A3339" s="11"/>
    </row>
    <row r="3340" spans="1:1" ht="15.75" x14ac:dyDescent="0.25">
      <c r="A3340" s="11"/>
    </row>
    <row r="3341" spans="1:1" ht="15.75" x14ac:dyDescent="0.25">
      <c r="A3341" s="11"/>
    </row>
    <row r="3342" spans="1:1" ht="15.75" x14ac:dyDescent="0.25">
      <c r="A3342" s="11"/>
    </row>
    <row r="3343" spans="1:1" ht="15.75" x14ac:dyDescent="0.25">
      <c r="A3343" s="11"/>
    </row>
    <row r="3344" spans="1:1" ht="15.75" x14ac:dyDescent="0.25">
      <c r="A3344" s="11"/>
    </row>
    <row r="3345" spans="1:1" ht="15.75" x14ac:dyDescent="0.25">
      <c r="A3345" s="11"/>
    </row>
    <row r="3346" spans="1:1" ht="15.75" x14ac:dyDescent="0.25">
      <c r="A3346" s="11"/>
    </row>
    <row r="3347" spans="1:1" ht="15.75" x14ac:dyDescent="0.25">
      <c r="A3347" s="11"/>
    </row>
    <row r="3348" spans="1:1" ht="15.75" x14ac:dyDescent="0.25">
      <c r="A3348" s="11"/>
    </row>
    <row r="3349" spans="1:1" ht="15.75" x14ac:dyDescent="0.25">
      <c r="A3349" s="11"/>
    </row>
    <row r="3350" spans="1:1" ht="15.75" x14ac:dyDescent="0.25">
      <c r="A3350" s="11"/>
    </row>
    <row r="3351" spans="1:1" ht="15.75" x14ac:dyDescent="0.25">
      <c r="A3351" s="11"/>
    </row>
    <row r="3352" spans="1:1" ht="15.75" x14ac:dyDescent="0.25">
      <c r="A3352" s="11"/>
    </row>
    <row r="3353" spans="1:1" ht="15.75" x14ac:dyDescent="0.25">
      <c r="A3353" s="11"/>
    </row>
    <row r="3354" spans="1:1" ht="15.75" x14ac:dyDescent="0.25">
      <c r="A3354" s="11"/>
    </row>
    <row r="3355" spans="1:1" ht="15.75" x14ac:dyDescent="0.25">
      <c r="A3355" s="11"/>
    </row>
    <row r="3356" spans="1:1" ht="15.75" x14ac:dyDescent="0.25">
      <c r="A3356" s="11"/>
    </row>
    <row r="3357" spans="1:1" ht="15.75" x14ac:dyDescent="0.25">
      <c r="A3357" s="11"/>
    </row>
    <row r="3358" spans="1:1" ht="15.75" x14ac:dyDescent="0.25">
      <c r="A3358" s="11"/>
    </row>
    <row r="3359" spans="1:1" ht="15.75" x14ac:dyDescent="0.25">
      <c r="A3359" s="11"/>
    </row>
    <row r="3360" spans="1:1" ht="15.75" x14ac:dyDescent="0.25">
      <c r="A3360" s="11"/>
    </row>
    <row r="3361" spans="1:1" ht="15.75" x14ac:dyDescent="0.25">
      <c r="A3361" s="11"/>
    </row>
    <row r="3362" spans="1:1" ht="15.75" x14ac:dyDescent="0.25">
      <c r="A3362" s="11"/>
    </row>
    <row r="3363" spans="1:1" ht="15.75" x14ac:dyDescent="0.25">
      <c r="A3363" s="11"/>
    </row>
    <row r="3364" spans="1:1" ht="15.75" x14ac:dyDescent="0.25">
      <c r="A3364" s="11"/>
    </row>
    <row r="3365" spans="1:1" ht="15.75" x14ac:dyDescent="0.25">
      <c r="A3365" s="11"/>
    </row>
    <row r="3366" spans="1:1" ht="15.75" x14ac:dyDescent="0.25">
      <c r="A3366" s="11"/>
    </row>
    <row r="3367" spans="1:1" ht="15.75" x14ac:dyDescent="0.25">
      <c r="A3367" s="11"/>
    </row>
    <row r="3368" spans="1:1" ht="15.75" x14ac:dyDescent="0.25">
      <c r="A3368" s="11"/>
    </row>
    <row r="3369" spans="1:1" ht="15.75" x14ac:dyDescent="0.25">
      <c r="A3369" s="11"/>
    </row>
    <row r="3370" spans="1:1" ht="15.75" x14ac:dyDescent="0.25">
      <c r="A3370" s="11"/>
    </row>
    <row r="3371" spans="1:1" ht="15.75" x14ac:dyDescent="0.25">
      <c r="A3371" s="11"/>
    </row>
    <row r="3372" spans="1:1" ht="15.75" x14ac:dyDescent="0.25">
      <c r="A3372" s="11"/>
    </row>
    <row r="3373" spans="1:1" ht="15.75" x14ac:dyDescent="0.25">
      <c r="A3373" s="11"/>
    </row>
    <row r="3374" spans="1:1" ht="15.75" x14ac:dyDescent="0.25">
      <c r="A3374" s="11"/>
    </row>
    <row r="3375" spans="1:1" ht="15.75" x14ac:dyDescent="0.25">
      <c r="A3375" s="11"/>
    </row>
    <row r="3376" spans="1:1" ht="15.75" x14ac:dyDescent="0.25">
      <c r="A3376" s="11"/>
    </row>
    <row r="3377" spans="1:1" ht="15.75" x14ac:dyDescent="0.25">
      <c r="A3377" s="11"/>
    </row>
    <row r="3378" spans="1:1" ht="15.75" x14ac:dyDescent="0.25">
      <c r="A3378" s="11"/>
    </row>
    <row r="3379" spans="1:1" ht="15.75" x14ac:dyDescent="0.25">
      <c r="A3379" s="11"/>
    </row>
    <row r="3380" spans="1:1" ht="15.75" x14ac:dyDescent="0.25">
      <c r="A3380" s="11"/>
    </row>
    <row r="3381" spans="1:1" ht="15.75" x14ac:dyDescent="0.25">
      <c r="A3381" s="11"/>
    </row>
    <row r="3382" spans="1:1" ht="15.75" x14ac:dyDescent="0.25">
      <c r="A3382" s="11"/>
    </row>
    <row r="3383" spans="1:1" ht="15.75" x14ac:dyDescent="0.25">
      <c r="A3383" s="11"/>
    </row>
    <row r="3384" spans="1:1" ht="15.75" x14ac:dyDescent="0.25">
      <c r="A3384" s="11"/>
    </row>
    <row r="3385" spans="1:1" ht="15.75" x14ac:dyDescent="0.25">
      <c r="A3385" s="11"/>
    </row>
    <row r="3386" spans="1:1" ht="15.75" x14ac:dyDescent="0.25">
      <c r="A3386" s="11"/>
    </row>
    <row r="3387" spans="1:1" ht="15.75" x14ac:dyDescent="0.25">
      <c r="A3387" s="11"/>
    </row>
    <row r="3388" spans="1:1" ht="15.75" x14ac:dyDescent="0.25">
      <c r="A3388" s="11"/>
    </row>
    <row r="3389" spans="1:1" ht="15.75" x14ac:dyDescent="0.25">
      <c r="A3389" s="11"/>
    </row>
    <row r="3390" spans="1:1" ht="15.75" x14ac:dyDescent="0.25">
      <c r="A3390" s="11"/>
    </row>
    <row r="3391" spans="1:1" ht="15.75" x14ac:dyDescent="0.25">
      <c r="A3391" s="11"/>
    </row>
    <row r="3392" spans="1:1" ht="15.75" x14ac:dyDescent="0.25">
      <c r="A3392" s="11"/>
    </row>
    <row r="3393" spans="1:1" ht="15.75" x14ac:dyDescent="0.25">
      <c r="A3393" s="11"/>
    </row>
    <row r="3394" spans="1:1" ht="15.75" x14ac:dyDescent="0.25">
      <c r="A3394" s="11"/>
    </row>
    <row r="3395" spans="1:1" ht="15.75" x14ac:dyDescent="0.25">
      <c r="A3395" s="11"/>
    </row>
    <row r="3396" spans="1:1" ht="15.75" x14ac:dyDescent="0.25">
      <c r="A3396" s="11"/>
    </row>
    <row r="3397" spans="1:1" ht="15.75" x14ac:dyDescent="0.25">
      <c r="A3397" s="11"/>
    </row>
    <row r="3398" spans="1:1" ht="15.75" x14ac:dyDescent="0.25">
      <c r="A3398" s="11"/>
    </row>
    <row r="3399" spans="1:1" ht="15.75" x14ac:dyDescent="0.25">
      <c r="A3399" s="11"/>
    </row>
    <row r="3400" spans="1:1" ht="15.75" x14ac:dyDescent="0.25">
      <c r="A3400" s="11"/>
    </row>
    <row r="3401" spans="1:1" ht="15.75" x14ac:dyDescent="0.25">
      <c r="A3401" s="11"/>
    </row>
    <row r="3402" spans="1:1" ht="15.75" x14ac:dyDescent="0.25">
      <c r="A3402" s="11"/>
    </row>
    <row r="3403" spans="1:1" ht="15.75" x14ac:dyDescent="0.25">
      <c r="A3403" s="11"/>
    </row>
    <row r="3404" spans="1:1" ht="15.75" x14ac:dyDescent="0.25">
      <c r="A3404" s="11"/>
    </row>
    <row r="3405" spans="1:1" ht="15.75" x14ac:dyDescent="0.25">
      <c r="A3405" s="11"/>
    </row>
    <row r="3406" spans="1:1" ht="15.75" x14ac:dyDescent="0.25">
      <c r="A3406" s="11"/>
    </row>
    <row r="3407" spans="1:1" ht="15.75" x14ac:dyDescent="0.25">
      <c r="A3407" s="11"/>
    </row>
    <row r="3408" spans="1:1" ht="15.75" x14ac:dyDescent="0.25">
      <c r="A3408" s="11"/>
    </row>
    <row r="3409" spans="1:1" ht="15.75" x14ac:dyDescent="0.25">
      <c r="A3409" s="11"/>
    </row>
    <row r="3410" spans="1:1" ht="15.75" x14ac:dyDescent="0.25">
      <c r="A3410" s="11"/>
    </row>
    <row r="3411" spans="1:1" ht="15.75" x14ac:dyDescent="0.25">
      <c r="A3411" s="11"/>
    </row>
    <row r="3412" spans="1:1" ht="15.75" x14ac:dyDescent="0.25">
      <c r="A3412" s="11"/>
    </row>
    <row r="3413" spans="1:1" ht="15.75" x14ac:dyDescent="0.25">
      <c r="A3413" s="11"/>
    </row>
    <row r="3414" spans="1:1" ht="15.75" x14ac:dyDescent="0.25">
      <c r="A3414" s="11"/>
    </row>
    <row r="3415" spans="1:1" ht="15.75" x14ac:dyDescent="0.25">
      <c r="A3415" s="11"/>
    </row>
    <row r="3416" spans="1:1" ht="15.75" x14ac:dyDescent="0.25">
      <c r="A3416" s="11"/>
    </row>
    <row r="3417" spans="1:1" ht="15.75" x14ac:dyDescent="0.25">
      <c r="A3417" s="11"/>
    </row>
    <row r="3418" spans="1:1" ht="15.75" x14ac:dyDescent="0.25">
      <c r="A3418" s="11"/>
    </row>
    <row r="3419" spans="1:1" ht="15.75" x14ac:dyDescent="0.25">
      <c r="A3419" s="11"/>
    </row>
    <row r="3420" spans="1:1" ht="15.75" x14ac:dyDescent="0.25">
      <c r="A3420" s="11"/>
    </row>
    <row r="3421" spans="1:1" ht="15.75" x14ac:dyDescent="0.25">
      <c r="A3421" s="11"/>
    </row>
    <row r="3422" spans="1:1" ht="15.75" x14ac:dyDescent="0.25">
      <c r="A3422" s="11"/>
    </row>
    <row r="3423" spans="1:1" ht="15.75" x14ac:dyDescent="0.25">
      <c r="A3423" s="11"/>
    </row>
    <row r="3424" spans="1:1" ht="15.75" x14ac:dyDescent="0.25">
      <c r="A3424" s="11"/>
    </row>
    <row r="3425" spans="1:1" ht="15.75" x14ac:dyDescent="0.25">
      <c r="A3425" s="11"/>
    </row>
    <row r="3426" spans="1:1" ht="15.75" x14ac:dyDescent="0.25">
      <c r="A3426" s="11"/>
    </row>
    <row r="3427" spans="1:1" ht="15.75" x14ac:dyDescent="0.25">
      <c r="A3427" s="11"/>
    </row>
    <row r="3428" spans="1:1" ht="15.75" x14ac:dyDescent="0.25">
      <c r="A3428" s="11"/>
    </row>
    <row r="3429" spans="1:1" ht="15.75" x14ac:dyDescent="0.25">
      <c r="A3429" s="11"/>
    </row>
    <row r="3430" spans="1:1" ht="15.75" x14ac:dyDescent="0.25">
      <c r="A3430" s="11"/>
    </row>
    <row r="3431" spans="1:1" ht="15.75" x14ac:dyDescent="0.25">
      <c r="A3431" s="11"/>
    </row>
    <row r="3432" spans="1:1" ht="15.75" x14ac:dyDescent="0.25">
      <c r="A3432" s="11"/>
    </row>
    <row r="3433" spans="1:1" ht="15.75" x14ac:dyDescent="0.25">
      <c r="A3433" s="11"/>
    </row>
    <row r="3434" spans="1:1" ht="15.75" x14ac:dyDescent="0.25">
      <c r="A3434" s="11"/>
    </row>
    <row r="3435" spans="1:1" ht="15.75" x14ac:dyDescent="0.25">
      <c r="A3435" s="11"/>
    </row>
    <row r="3436" spans="1:1" ht="15.75" x14ac:dyDescent="0.25">
      <c r="A3436" s="11"/>
    </row>
    <row r="3437" spans="1:1" ht="15.75" x14ac:dyDescent="0.25">
      <c r="A3437" s="11"/>
    </row>
    <row r="3438" spans="1:1" ht="15.75" x14ac:dyDescent="0.25">
      <c r="A3438" s="11"/>
    </row>
    <row r="3439" spans="1:1" ht="15.75" x14ac:dyDescent="0.25">
      <c r="A3439" s="11"/>
    </row>
    <row r="3440" spans="1:1" ht="15.75" x14ac:dyDescent="0.25">
      <c r="A3440" s="11"/>
    </row>
    <row r="3441" spans="1:1" ht="15.75" x14ac:dyDescent="0.25">
      <c r="A3441" s="11"/>
    </row>
    <row r="3442" spans="1:1" ht="15.75" x14ac:dyDescent="0.25">
      <c r="A3442" s="11"/>
    </row>
    <row r="3443" spans="1:1" ht="15.75" x14ac:dyDescent="0.25">
      <c r="A3443" s="11"/>
    </row>
    <row r="3444" spans="1:1" ht="15.75" x14ac:dyDescent="0.25">
      <c r="A3444" s="11"/>
    </row>
    <row r="3445" spans="1:1" ht="15.75" x14ac:dyDescent="0.25">
      <c r="A3445" s="11"/>
    </row>
    <row r="3446" spans="1:1" ht="15.75" x14ac:dyDescent="0.25">
      <c r="A3446" s="11"/>
    </row>
    <row r="3447" spans="1:1" ht="15.75" x14ac:dyDescent="0.25">
      <c r="A3447" s="11"/>
    </row>
    <row r="3448" spans="1:1" ht="15.75" x14ac:dyDescent="0.25">
      <c r="A3448" s="11"/>
    </row>
    <row r="3449" spans="1:1" ht="15.75" x14ac:dyDescent="0.25">
      <c r="A3449" s="11"/>
    </row>
    <row r="3450" spans="1:1" ht="15.75" x14ac:dyDescent="0.25">
      <c r="A3450" s="11"/>
    </row>
    <row r="3451" spans="1:1" ht="15.75" x14ac:dyDescent="0.25">
      <c r="A3451" s="11"/>
    </row>
    <row r="3452" spans="1:1" ht="15.75" x14ac:dyDescent="0.25">
      <c r="A3452" s="11"/>
    </row>
    <row r="3453" spans="1:1" ht="15.75" x14ac:dyDescent="0.25">
      <c r="A3453" s="11"/>
    </row>
    <row r="3454" spans="1:1" ht="15.75" x14ac:dyDescent="0.25">
      <c r="A3454" s="11"/>
    </row>
    <row r="3455" spans="1:1" ht="15.75" x14ac:dyDescent="0.25">
      <c r="A3455" s="11"/>
    </row>
    <row r="3456" spans="1:1" ht="15.75" x14ac:dyDescent="0.25">
      <c r="A3456" s="11"/>
    </row>
    <row r="3457" spans="1:1" ht="15.75" x14ac:dyDescent="0.25">
      <c r="A3457" s="11"/>
    </row>
    <row r="3458" spans="1:1" ht="15.75" x14ac:dyDescent="0.25">
      <c r="A3458" s="11"/>
    </row>
    <row r="3459" spans="1:1" ht="15.75" x14ac:dyDescent="0.25">
      <c r="A3459" s="11"/>
    </row>
    <row r="3460" spans="1:1" ht="15.75" x14ac:dyDescent="0.25">
      <c r="A3460" s="11"/>
    </row>
    <row r="3461" spans="1:1" ht="15.75" x14ac:dyDescent="0.25">
      <c r="A3461" s="11"/>
    </row>
    <row r="3462" spans="1:1" ht="15.75" x14ac:dyDescent="0.25">
      <c r="A3462" s="11"/>
    </row>
    <row r="3463" spans="1:1" ht="15.75" x14ac:dyDescent="0.25">
      <c r="A3463" s="11"/>
    </row>
    <row r="3464" spans="1:1" ht="15.75" x14ac:dyDescent="0.25">
      <c r="A3464" s="11"/>
    </row>
    <row r="3465" spans="1:1" ht="15.75" x14ac:dyDescent="0.25">
      <c r="A3465" s="11"/>
    </row>
    <row r="3466" spans="1:1" ht="15.75" x14ac:dyDescent="0.25">
      <c r="A3466" s="11"/>
    </row>
    <row r="3467" spans="1:1" ht="15.75" x14ac:dyDescent="0.25">
      <c r="A3467" s="11"/>
    </row>
    <row r="3468" spans="1:1" ht="15.75" x14ac:dyDescent="0.25">
      <c r="A3468" s="11"/>
    </row>
    <row r="3469" spans="1:1" ht="15.75" x14ac:dyDescent="0.25">
      <c r="A3469" s="11"/>
    </row>
    <row r="3470" spans="1:1" ht="15.75" x14ac:dyDescent="0.25">
      <c r="A3470" s="11"/>
    </row>
    <row r="3471" spans="1:1" ht="15.75" x14ac:dyDescent="0.25">
      <c r="A3471" s="11"/>
    </row>
    <row r="3472" spans="1:1" ht="15.75" x14ac:dyDescent="0.25">
      <c r="A3472" s="11"/>
    </row>
    <row r="3473" spans="1:1" ht="15.75" x14ac:dyDescent="0.25">
      <c r="A3473" s="11"/>
    </row>
    <row r="3474" spans="1:1" ht="15.75" x14ac:dyDescent="0.25">
      <c r="A3474" s="11"/>
    </row>
    <row r="3475" spans="1:1" ht="15.75" x14ac:dyDescent="0.25">
      <c r="A3475" s="11"/>
    </row>
    <row r="3476" spans="1:1" ht="15.75" x14ac:dyDescent="0.25">
      <c r="A3476" s="11"/>
    </row>
    <row r="3477" spans="1:1" ht="15.75" x14ac:dyDescent="0.25">
      <c r="A3477" s="11"/>
    </row>
    <row r="3478" spans="1:1" ht="15.75" x14ac:dyDescent="0.25">
      <c r="A3478" s="11"/>
    </row>
    <row r="3479" spans="1:1" ht="15.75" x14ac:dyDescent="0.25">
      <c r="A3479" s="11"/>
    </row>
    <row r="3480" spans="1:1" ht="15.75" x14ac:dyDescent="0.25">
      <c r="A3480" s="11"/>
    </row>
    <row r="3481" spans="1:1" ht="15.75" x14ac:dyDescent="0.25">
      <c r="A3481" s="11"/>
    </row>
    <row r="3482" spans="1:1" ht="15.75" x14ac:dyDescent="0.25">
      <c r="A3482" s="11"/>
    </row>
    <row r="3483" spans="1:1" ht="15.75" x14ac:dyDescent="0.25">
      <c r="A3483" s="11"/>
    </row>
    <row r="3484" spans="1:1" ht="15.75" x14ac:dyDescent="0.25">
      <c r="A3484" s="11"/>
    </row>
    <row r="3485" spans="1:1" ht="15.75" x14ac:dyDescent="0.25">
      <c r="A3485" s="11"/>
    </row>
    <row r="3486" spans="1:1" ht="15.75" x14ac:dyDescent="0.25">
      <c r="A3486" s="11"/>
    </row>
    <row r="3487" spans="1:1" ht="15.75" x14ac:dyDescent="0.25">
      <c r="A3487" s="11"/>
    </row>
    <row r="3488" spans="1:1" ht="15.75" x14ac:dyDescent="0.25">
      <c r="A3488" s="11"/>
    </row>
    <row r="3489" spans="1:1" ht="15.75" x14ac:dyDescent="0.25">
      <c r="A3489" s="11"/>
    </row>
    <row r="3490" spans="1:1" ht="15.75" x14ac:dyDescent="0.25">
      <c r="A3490" s="11"/>
    </row>
    <row r="3491" spans="1:1" ht="15.75" x14ac:dyDescent="0.25">
      <c r="A3491" s="11"/>
    </row>
    <row r="3492" spans="1:1" ht="15.75" x14ac:dyDescent="0.25">
      <c r="A3492" s="11"/>
    </row>
    <row r="3493" spans="1:1" ht="15.75" x14ac:dyDescent="0.25">
      <c r="A3493" s="11"/>
    </row>
    <row r="3494" spans="1:1" ht="15.75" x14ac:dyDescent="0.25">
      <c r="A3494" s="11"/>
    </row>
    <row r="3495" spans="1:1" ht="15.75" x14ac:dyDescent="0.25">
      <c r="A3495" s="11"/>
    </row>
    <row r="3496" spans="1:1" ht="15.75" x14ac:dyDescent="0.25">
      <c r="A3496" s="11"/>
    </row>
    <row r="3497" spans="1:1" ht="15.75" x14ac:dyDescent="0.25">
      <c r="A3497" s="11"/>
    </row>
    <row r="3498" spans="1:1" ht="15.75" x14ac:dyDescent="0.25">
      <c r="A3498" s="11"/>
    </row>
    <row r="3499" spans="1:1" ht="15.75" x14ac:dyDescent="0.25">
      <c r="A3499" s="11"/>
    </row>
    <row r="3500" spans="1:1" ht="15.75" x14ac:dyDescent="0.25">
      <c r="A3500" s="11"/>
    </row>
    <row r="3501" spans="1:1" ht="15.75" x14ac:dyDescent="0.25">
      <c r="A3501" s="11"/>
    </row>
    <row r="3502" spans="1:1" ht="15.75" x14ac:dyDescent="0.25">
      <c r="A3502" s="11"/>
    </row>
    <row r="3503" spans="1:1" ht="15.75" x14ac:dyDescent="0.25">
      <c r="A3503" s="11"/>
    </row>
    <row r="3504" spans="1:1" ht="15.75" x14ac:dyDescent="0.25">
      <c r="A3504" s="11"/>
    </row>
    <row r="3505" spans="1:1" ht="15.75" x14ac:dyDescent="0.25">
      <c r="A3505" s="11"/>
    </row>
    <row r="3506" spans="1:1" ht="15.75" x14ac:dyDescent="0.25">
      <c r="A3506" s="11"/>
    </row>
    <row r="3507" spans="1:1" ht="15.75" x14ac:dyDescent="0.25">
      <c r="A3507" s="11"/>
    </row>
    <row r="3508" spans="1:1" ht="15.75" x14ac:dyDescent="0.25">
      <c r="A3508" s="11"/>
    </row>
    <row r="3509" spans="1:1" ht="15.75" x14ac:dyDescent="0.25">
      <c r="A3509" s="11"/>
    </row>
    <row r="3510" spans="1:1" ht="15.75" x14ac:dyDescent="0.25">
      <c r="A3510" s="11"/>
    </row>
    <row r="3511" spans="1:1" ht="15.75" x14ac:dyDescent="0.25">
      <c r="A3511" s="11"/>
    </row>
    <row r="3512" spans="1:1" ht="15.75" x14ac:dyDescent="0.25">
      <c r="A3512" s="11"/>
    </row>
    <row r="3513" spans="1:1" ht="15.75" x14ac:dyDescent="0.25">
      <c r="A3513" s="11"/>
    </row>
    <row r="3514" spans="1:1" ht="15.75" x14ac:dyDescent="0.25">
      <c r="A3514" s="11"/>
    </row>
    <row r="3515" spans="1:1" ht="15.75" x14ac:dyDescent="0.25">
      <c r="A3515" s="11"/>
    </row>
    <row r="3516" spans="1:1" ht="15.75" x14ac:dyDescent="0.25">
      <c r="A3516" s="11"/>
    </row>
    <row r="3517" spans="1:1" ht="15.75" x14ac:dyDescent="0.25">
      <c r="A3517" s="11"/>
    </row>
    <row r="3518" spans="1:1" ht="15.75" x14ac:dyDescent="0.25">
      <c r="A3518" s="11"/>
    </row>
    <row r="3519" spans="1:1" ht="15.75" x14ac:dyDescent="0.25">
      <c r="A3519" s="11"/>
    </row>
    <row r="3520" spans="1:1" ht="15.75" x14ac:dyDescent="0.25">
      <c r="A3520" s="11"/>
    </row>
    <row r="3521" spans="1:1" ht="15.75" x14ac:dyDescent="0.25">
      <c r="A3521" s="11"/>
    </row>
    <row r="3522" spans="1:1" ht="15.75" x14ac:dyDescent="0.25">
      <c r="A3522" s="11"/>
    </row>
    <row r="3523" spans="1:1" ht="15.75" x14ac:dyDescent="0.25">
      <c r="A3523" s="11"/>
    </row>
    <row r="3524" spans="1:1" ht="15.75" x14ac:dyDescent="0.25">
      <c r="A3524" s="11"/>
    </row>
    <row r="3525" spans="1:1" ht="15.75" x14ac:dyDescent="0.25">
      <c r="A3525" s="11"/>
    </row>
    <row r="3526" spans="1:1" ht="15.75" x14ac:dyDescent="0.25">
      <c r="A3526" s="11"/>
    </row>
    <row r="3527" spans="1:1" ht="15.75" x14ac:dyDescent="0.25">
      <c r="A3527" s="11"/>
    </row>
    <row r="3528" spans="1:1" ht="15.75" x14ac:dyDescent="0.25">
      <c r="A3528" s="11"/>
    </row>
    <row r="3529" spans="1:1" ht="15.75" x14ac:dyDescent="0.25">
      <c r="A3529" s="11"/>
    </row>
    <row r="3530" spans="1:1" ht="15.75" x14ac:dyDescent="0.25">
      <c r="A3530" s="11"/>
    </row>
    <row r="3531" spans="1:1" ht="15.75" x14ac:dyDescent="0.25">
      <c r="A3531" s="11"/>
    </row>
    <row r="3532" spans="1:1" ht="15.75" x14ac:dyDescent="0.25">
      <c r="A3532" s="11"/>
    </row>
    <row r="3533" spans="1:1" ht="15.75" x14ac:dyDescent="0.25">
      <c r="A3533" s="11"/>
    </row>
    <row r="3534" spans="1:1" ht="15.75" x14ac:dyDescent="0.25">
      <c r="A3534" s="11"/>
    </row>
    <row r="3535" spans="1:1" ht="15.75" x14ac:dyDescent="0.25">
      <c r="A3535" s="11"/>
    </row>
    <row r="3536" spans="1:1" ht="15.75" x14ac:dyDescent="0.25">
      <c r="A3536" s="11"/>
    </row>
    <row r="3537" spans="1:1" ht="15.75" x14ac:dyDescent="0.25">
      <c r="A3537" s="11"/>
    </row>
    <row r="3538" spans="1:1" ht="15.75" x14ac:dyDescent="0.25">
      <c r="A3538" s="11"/>
    </row>
    <row r="3539" spans="1:1" ht="15.75" x14ac:dyDescent="0.25">
      <c r="A3539" s="11"/>
    </row>
    <row r="3540" spans="1:1" ht="15.75" x14ac:dyDescent="0.25">
      <c r="A3540" s="11"/>
    </row>
    <row r="3541" spans="1:1" ht="15.75" x14ac:dyDescent="0.25">
      <c r="A3541" s="11"/>
    </row>
    <row r="3542" spans="1:1" ht="15.75" x14ac:dyDescent="0.25">
      <c r="A3542" s="11"/>
    </row>
    <row r="3543" spans="1:1" ht="15.75" x14ac:dyDescent="0.25">
      <c r="A3543" s="11"/>
    </row>
    <row r="3544" spans="1:1" ht="15.75" x14ac:dyDescent="0.25">
      <c r="A3544" s="11"/>
    </row>
    <row r="3545" spans="1:1" ht="15.75" x14ac:dyDescent="0.25">
      <c r="A3545" s="11"/>
    </row>
    <row r="3546" spans="1:1" ht="15.75" x14ac:dyDescent="0.25">
      <c r="A3546" s="11"/>
    </row>
    <row r="3547" spans="1:1" ht="15.75" x14ac:dyDescent="0.25">
      <c r="A3547" s="11"/>
    </row>
    <row r="3548" spans="1:1" ht="15.75" x14ac:dyDescent="0.25">
      <c r="A3548" s="11"/>
    </row>
    <row r="3549" spans="1:1" ht="15.75" x14ac:dyDescent="0.25">
      <c r="A3549" s="11"/>
    </row>
    <row r="3550" spans="1:1" ht="15.75" x14ac:dyDescent="0.25">
      <c r="A3550" s="11"/>
    </row>
    <row r="3551" spans="1:1" ht="15.75" x14ac:dyDescent="0.25">
      <c r="A3551" s="11"/>
    </row>
    <row r="3552" spans="1:1" ht="15.75" x14ac:dyDescent="0.25">
      <c r="A3552" s="11"/>
    </row>
    <row r="3553" spans="1:1" ht="15.75" x14ac:dyDescent="0.25">
      <c r="A3553" s="11"/>
    </row>
    <row r="3554" spans="1:1" ht="15.75" x14ac:dyDescent="0.25">
      <c r="A3554" s="11"/>
    </row>
    <row r="3555" spans="1:1" ht="15.75" x14ac:dyDescent="0.25">
      <c r="A3555" s="11"/>
    </row>
    <row r="3556" spans="1:1" ht="15.75" x14ac:dyDescent="0.25">
      <c r="A3556" s="11"/>
    </row>
    <row r="3557" spans="1:1" ht="15.75" x14ac:dyDescent="0.25">
      <c r="A3557" s="11"/>
    </row>
    <row r="3558" spans="1:1" ht="15.75" x14ac:dyDescent="0.25">
      <c r="A3558" s="11"/>
    </row>
    <row r="3559" spans="1:1" ht="15.75" x14ac:dyDescent="0.25">
      <c r="A3559" s="11"/>
    </row>
    <row r="3560" spans="1:1" ht="15.75" x14ac:dyDescent="0.25">
      <c r="A3560" s="11"/>
    </row>
    <row r="3561" spans="1:1" ht="15.75" x14ac:dyDescent="0.25">
      <c r="A3561" s="11"/>
    </row>
    <row r="3562" spans="1:1" ht="15.75" x14ac:dyDescent="0.25">
      <c r="A3562" s="11"/>
    </row>
    <row r="3563" spans="1:1" ht="15.75" x14ac:dyDescent="0.25">
      <c r="A3563" s="11"/>
    </row>
    <row r="3564" spans="1:1" ht="15.75" x14ac:dyDescent="0.25">
      <c r="A3564" s="11"/>
    </row>
    <row r="3565" spans="1:1" ht="15.75" x14ac:dyDescent="0.25">
      <c r="A3565" s="11"/>
    </row>
    <row r="3566" spans="1:1" ht="15.75" x14ac:dyDescent="0.25">
      <c r="A3566" s="11"/>
    </row>
    <row r="3567" spans="1:1" ht="15.75" x14ac:dyDescent="0.25">
      <c r="A3567" s="11"/>
    </row>
    <row r="3568" spans="1:1" ht="15.75" x14ac:dyDescent="0.25">
      <c r="A3568" s="11"/>
    </row>
    <row r="3569" spans="1:1" ht="15.75" x14ac:dyDescent="0.25">
      <c r="A3569" s="11"/>
    </row>
    <row r="3570" spans="1:1" ht="15.75" x14ac:dyDescent="0.25">
      <c r="A3570" s="11"/>
    </row>
    <row r="3571" spans="1:1" ht="15.75" x14ac:dyDescent="0.25">
      <c r="A3571" s="11"/>
    </row>
    <row r="3572" spans="1:1" ht="15.75" x14ac:dyDescent="0.25">
      <c r="A3572" s="11"/>
    </row>
    <row r="3573" spans="1:1" ht="15.75" x14ac:dyDescent="0.25">
      <c r="A3573" s="11"/>
    </row>
    <row r="3574" spans="1:1" ht="15.75" x14ac:dyDescent="0.25">
      <c r="A3574" s="11"/>
    </row>
    <row r="3575" spans="1:1" ht="15.75" x14ac:dyDescent="0.25">
      <c r="A3575" s="11"/>
    </row>
    <row r="3576" spans="1:1" ht="15.75" x14ac:dyDescent="0.25">
      <c r="A3576" s="11"/>
    </row>
    <row r="3577" spans="1:1" ht="15.75" x14ac:dyDescent="0.25">
      <c r="A3577" s="11"/>
    </row>
    <row r="3578" spans="1:1" ht="15.75" x14ac:dyDescent="0.25">
      <c r="A3578" s="11"/>
    </row>
    <row r="3579" spans="1:1" ht="15.75" x14ac:dyDescent="0.25">
      <c r="A3579" s="11"/>
    </row>
    <row r="3580" spans="1:1" ht="15.75" x14ac:dyDescent="0.25">
      <c r="A3580" s="11"/>
    </row>
    <row r="3581" spans="1:1" ht="15.75" x14ac:dyDescent="0.25">
      <c r="A3581" s="11"/>
    </row>
    <row r="3582" spans="1:1" ht="15.75" x14ac:dyDescent="0.25">
      <c r="A3582" s="11"/>
    </row>
    <row r="3583" spans="1:1" ht="15.75" x14ac:dyDescent="0.25">
      <c r="A3583" s="11"/>
    </row>
    <row r="3584" spans="1:1" ht="15.75" x14ac:dyDescent="0.25">
      <c r="A3584" s="11"/>
    </row>
    <row r="3585" spans="1:1" ht="15.75" x14ac:dyDescent="0.25">
      <c r="A3585" s="11"/>
    </row>
    <row r="3586" spans="1:1" ht="15.75" x14ac:dyDescent="0.25">
      <c r="A3586" s="11"/>
    </row>
    <row r="3587" spans="1:1" ht="15.75" x14ac:dyDescent="0.25">
      <c r="A3587" s="11"/>
    </row>
    <row r="3588" spans="1:1" ht="15.75" x14ac:dyDescent="0.25">
      <c r="A3588" s="11"/>
    </row>
    <row r="3589" spans="1:1" ht="15.75" x14ac:dyDescent="0.25">
      <c r="A3589" s="11"/>
    </row>
    <row r="3590" spans="1:1" ht="15.75" x14ac:dyDescent="0.25">
      <c r="A3590" s="11"/>
    </row>
    <row r="3591" spans="1:1" ht="15.75" x14ac:dyDescent="0.25">
      <c r="A3591" s="11"/>
    </row>
    <row r="3592" spans="1:1" ht="15.75" x14ac:dyDescent="0.25">
      <c r="A3592" s="11"/>
    </row>
    <row r="3593" spans="1:1" ht="15.75" x14ac:dyDescent="0.25">
      <c r="A3593" s="11"/>
    </row>
    <row r="3594" spans="1:1" ht="15.75" x14ac:dyDescent="0.25">
      <c r="A3594" s="11"/>
    </row>
    <row r="3595" spans="1:1" ht="15.75" x14ac:dyDescent="0.25">
      <c r="A3595" s="11"/>
    </row>
    <row r="3596" spans="1:1" ht="15.75" x14ac:dyDescent="0.25">
      <c r="A3596" s="11"/>
    </row>
    <row r="3597" spans="1:1" ht="15.75" x14ac:dyDescent="0.25">
      <c r="A3597" s="11"/>
    </row>
    <row r="3598" spans="1:1" ht="15.75" x14ac:dyDescent="0.25">
      <c r="A3598" s="11"/>
    </row>
    <row r="3599" spans="1:1" ht="15.75" x14ac:dyDescent="0.25">
      <c r="A3599" s="11"/>
    </row>
    <row r="3600" spans="1:1" ht="15.75" x14ac:dyDescent="0.25">
      <c r="A3600" s="11"/>
    </row>
    <row r="3601" spans="1:1" ht="15.75" x14ac:dyDescent="0.25">
      <c r="A3601" s="11"/>
    </row>
    <row r="3602" spans="1:1" ht="15.75" x14ac:dyDescent="0.25">
      <c r="A3602" s="11"/>
    </row>
    <row r="3603" spans="1:1" ht="15.75" x14ac:dyDescent="0.25">
      <c r="A3603" s="11"/>
    </row>
    <row r="3604" spans="1:1" ht="15.75" x14ac:dyDescent="0.25">
      <c r="A3604" s="11"/>
    </row>
    <row r="3605" spans="1:1" ht="15.75" x14ac:dyDescent="0.25">
      <c r="A3605" s="11"/>
    </row>
    <row r="3606" spans="1:1" ht="15.75" x14ac:dyDescent="0.25">
      <c r="A3606" s="11"/>
    </row>
    <row r="3607" spans="1:1" ht="15.75" x14ac:dyDescent="0.25">
      <c r="A3607" s="11"/>
    </row>
    <row r="3608" spans="1:1" ht="15.75" x14ac:dyDescent="0.25">
      <c r="A3608" s="11"/>
    </row>
    <row r="3609" spans="1:1" ht="15.75" x14ac:dyDescent="0.25">
      <c r="A3609" s="11"/>
    </row>
    <row r="3610" spans="1:1" ht="15.75" x14ac:dyDescent="0.25">
      <c r="A3610" s="11"/>
    </row>
    <row r="3611" spans="1:1" ht="15.75" x14ac:dyDescent="0.25">
      <c r="A3611" s="11"/>
    </row>
    <row r="3612" spans="1:1" ht="15.75" x14ac:dyDescent="0.25">
      <c r="A3612" s="11"/>
    </row>
    <row r="3613" spans="1:1" ht="15.75" x14ac:dyDescent="0.25">
      <c r="A3613" s="11"/>
    </row>
    <row r="3614" spans="1:1" ht="15.75" x14ac:dyDescent="0.25">
      <c r="A3614" s="11"/>
    </row>
    <row r="3615" spans="1:1" ht="15.75" x14ac:dyDescent="0.25">
      <c r="A3615" s="11"/>
    </row>
    <row r="3616" spans="1:1" ht="15.75" x14ac:dyDescent="0.25">
      <c r="A3616" s="11"/>
    </row>
    <row r="3617" spans="1:1" ht="15.75" x14ac:dyDescent="0.25">
      <c r="A3617" s="11"/>
    </row>
    <row r="3618" spans="1:1" ht="15.75" x14ac:dyDescent="0.25">
      <c r="A3618" s="11"/>
    </row>
    <row r="3619" spans="1:1" ht="15.75" x14ac:dyDescent="0.25">
      <c r="A3619" s="11"/>
    </row>
    <row r="3620" spans="1:1" ht="15.75" x14ac:dyDescent="0.25">
      <c r="A3620" s="11"/>
    </row>
    <row r="3621" spans="1:1" ht="15.75" x14ac:dyDescent="0.25">
      <c r="A3621" s="11"/>
    </row>
    <row r="3622" spans="1:1" ht="15.75" x14ac:dyDescent="0.25">
      <c r="A3622" s="11"/>
    </row>
    <row r="3623" spans="1:1" ht="15.75" x14ac:dyDescent="0.25">
      <c r="A3623" s="11"/>
    </row>
    <row r="3624" spans="1:1" ht="15.75" x14ac:dyDescent="0.25">
      <c r="A3624" s="11"/>
    </row>
    <row r="3625" spans="1:1" ht="15.75" x14ac:dyDescent="0.25">
      <c r="A3625" s="11"/>
    </row>
    <row r="3626" spans="1:1" ht="15.75" x14ac:dyDescent="0.25">
      <c r="A3626" s="11"/>
    </row>
    <row r="3627" spans="1:1" ht="15.75" x14ac:dyDescent="0.25">
      <c r="A3627" s="11"/>
    </row>
    <row r="3628" spans="1:1" ht="15.75" x14ac:dyDescent="0.25">
      <c r="A3628" s="11"/>
    </row>
    <row r="3629" spans="1:1" ht="15.75" x14ac:dyDescent="0.25">
      <c r="A3629" s="11"/>
    </row>
    <row r="3630" spans="1:1" ht="15.75" x14ac:dyDescent="0.25">
      <c r="A3630" s="11"/>
    </row>
    <row r="3631" spans="1:1" ht="15.75" x14ac:dyDescent="0.25">
      <c r="A3631" s="11"/>
    </row>
    <row r="3632" spans="1:1" ht="15.75" x14ac:dyDescent="0.25">
      <c r="A3632" s="11"/>
    </row>
    <row r="3633" spans="1:1" ht="15.75" x14ac:dyDescent="0.25">
      <c r="A3633" s="11"/>
    </row>
    <row r="3634" spans="1:1" ht="15.75" x14ac:dyDescent="0.25">
      <c r="A3634" s="11"/>
    </row>
    <row r="3635" spans="1:1" ht="15.75" x14ac:dyDescent="0.25">
      <c r="A3635" s="11"/>
    </row>
    <row r="3636" spans="1:1" ht="15.75" x14ac:dyDescent="0.25">
      <c r="A3636" s="11"/>
    </row>
    <row r="3637" spans="1:1" ht="15.75" x14ac:dyDescent="0.25">
      <c r="A3637" s="11"/>
    </row>
    <row r="3638" spans="1:1" ht="15.75" x14ac:dyDescent="0.25">
      <c r="A3638" s="11"/>
    </row>
    <row r="3639" spans="1:1" ht="15.75" x14ac:dyDescent="0.25">
      <c r="A3639" s="11"/>
    </row>
    <row r="3640" spans="1:1" ht="15.75" x14ac:dyDescent="0.25">
      <c r="A3640" s="11"/>
    </row>
    <row r="3641" spans="1:1" ht="15.75" x14ac:dyDescent="0.25">
      <c r="A3641" s="11"/>
    </row>
    <row r="3642" spans="1:1" ht="15.75" x14ac:dyDescent="0.25">
      <c r="A3642" s="11"/>
    </row>
    <row r="3643" spans="1:1" ht="15.75" x14ac:dyDescent="0.25">
      <c r="A3643" s="11"/>
    </row>
    <row r="3644" spans="1:1" ht="15.75" x14ac:dyDescent="0.25">
      <c r="A3644" s="11"/>
    </row>
    <row r="3645" spans="1:1" ht="15.75" x14ac:dyDescent="0.25">
      <c r="A3645" s="11"/>
    </row>
    <row r="3646" spans="1:1" ht="15.75" x14ac:dyDescent="0.25">
      <c r="A3646" s="11"/>
    </row>
    <row r="3647" spans="1:1" ht="15.75" x14ac:dyDescent="0.25">
      <c r="A3647" s="11"/>
    </row>
    <row r="3648" spans="1:1" ht="15.75" x14ac:dyDescent="0.25">
      <c r="A3648" s="11"/>
    </row>
    <row r="3649" spans="1:1" ht="15.75" x14ac:dyDescent="0.25">
      <c r="A3649" s="11"/>
    </row>
    <row r="3650" spans="1:1" ht="15.75" x14ac:dyDescent="0.25">
      <c r="A3650" s="11"/>
    </row>
    <row r="3651" spans="1:1" ht="15.75" x14ac:dyDescent="0.25">
      <c r="A3651" s="11"/>
    </row>
    <row r="3652" spans="1:1" ht="15.75" x14ac:dyDescent="0.25">
      <c r="A3652" s="11"/>
    </row>
    <row r="3653" spans="1:1" ht="15.75" x14ac:dyDescent="0.25">
      <c r="A3653" s="11"/>
    </row>
    <row r="3654" spans="1:1" ht="15.75" x14ac:dyDescent="0.25">
      <c r="A3654" s="11"/>
    </row>
    <row r="3655" spans="1:1" ht="15.75" x14ac:dyDescent="0.25">
      <c r="A3655" s="11"/>
    </row>
    <row r="3656" spans="1:1" ht="15.75" x14ac:dyDescent="0.25">
      <c r="A3656" s="11"/>
    </row>
    <row r="3657" spans="1:1" ht="15.75" x14ac:dyDescent="0.25">
      <c r="A3657" s="11"/>
    </row>
    <row r="3658" spans="1:1" ht="15.75" x14ac:dyDescent="0.25">
      <c r="A3658" s="11"/>
    </row>
    <row r="3659" spans="1:1" ht="15.75" x14ac:dyDescent="0.25">
      <c r="A3659" s="11"/>
    </row>
    <row r="3660" spans="1:1" ht="15.75" x14ac:dyDescent="0.25">
      <c r="A3660" s="11"/>
    </row>
    <row r="3661" spans="1:1" ht="15.75" x14ac:dyDescent="0.25">
      <c r="A3661" s="11"/>
    </row>
    <row r="3662" spans="1:1" ht="15.75" x14ac:dyDescent="0.25">
      <c r="A3662" s="11"/>
    </row>
    <row r="3663" spans="1:1" ht="15.75" x14ac:dyDescent="0.25">
      <c r="A3663" s="11"/>
    </row>
    <row r="3664" spans="1:1" ht="15.75" x14ac:dyDescent="0.25">
      <c r="A3664" s="11"/>
    </row>
    <row r="3665" spans="1:1" ht="15.75" x14ac:dyDescent="0.25">
      <c r="A3665" s="11"/>
    </row>
    <row r="3666" spans="1:1" ht="15.75" x14ac:dyDescent="0.25">
      <c r="A3666" s="11"/>
    </row>
    <row r="3667" spans="1:1" ht="15.75" x14ac:dyDescent="0.25">
      <c r="A3667" s="11"/>
    </row>
    <row r="3668" spans="1:1" ht="15.75" x14ac:dyDescent="0.25">
      <c r="A3668" s="11"/>
    </row>
    <row r="3669" spans="1:1" ht="15.75" x14ac:dyDescent="0.25">
      <c r="A3669" s="11"/>
    </row>
    <row r="3670" spans="1:1" ht="15.75" x14ac:dyDescent="0.25">
      <c r="A3670" s="11"/>
    </row>
    <row r="3671" spans="1:1" ht="15.75" x14ac:dyDescent="0.25">
      <c r="A3671" s="11"/>
    </row>
    <row r="3672" spans="1:1" ht="15.75" x14ac:dyDescent="0.25">
      <c r="A3672" s="11"/>
    </row>
    <row r="3673" spans="1:1" ht="15.75" x14ac:dyDescent="0.25">
      <c r="A3673" s="11"/>
    </row>
    <row r="3674" spans="1:1" ht="15.75" x14ac:dyDescent="0.25">
      <c r="A3674" s="11"/>
    </row>
    <row r="3675" spans="1:1" ht="15.75" x14ac:dyDescent="0.25">
      <c r="A3675" s="11"/>
    </row>
    <row r="3676" spans="1:1" ht="15.75" x14ac:dyDescent="0.25">
      <c r="A3676" s="11"/>
    </row>
    <row r="3677" spans="1:1" ht="15.75" x14ac:dyDescent="0.25">
      <c r="A3677" s="11"/>
    </row>
    <row r="3678" spans="1:1" ht="15.75" x14ac:dyDescent="0.25">
      <c r="A3678" s="11"/>
    </row>
    <row r="3679" spans="1:1" ht="15.75" x14ac:dyDescent="0.25">
      <c r="A3679" s="11"/>
    </row>
    <row r="3680" spans="1:1" ht="15.75" x14ac:dyDescent="0.25">
      <c r="A3680" s="11"/>
    </row>
    <row r="3681" spans="1:1" ht="15.75" x14ac:dyDescent="0.25">
      <c r="A3681" s="11"/>
    </row>
    <row r="3682" spans="1:1" ht="15.75" x14ac:dyDescent="0.25">
      <c r="A3682" s="11"/>
    </row>
    <row r="3683" spans="1:1" ht="15.75" x14ac:dyDescent="0.25">
      <c r="A3683" s="11"/>
    </row>
    <row r="3684" spans="1:1" ht="15.75" x14ac:dyDescent="0.25">
      <c r="A3684" s="11"/>
    </row>
    <row r="3685" spans="1:1" ht="15.75" x14ac:dyDescent="0.25">
      <c r="A3685" s="11"/>
    </row>
    <row r="3686" spans="1:1" ht="15.75" x14ac:dyDescent="0.25">
      <c r="A3686" s="11"/>
    </row>
    <row r="3687" spans="1:1" ht="15.75" x14ac:dyDescent="0.25">
      <c r="A3687" s="11"/>
    </row>
    <row r="3688" spans="1:1" ht="15.75" x14ac:dyDescent="0.25">
      <c r="A3688" s="11"/>
    </row>
    <row r="3689" spans="1:1" ht="15.75" x14ac:dyDescent="0.25">
      <c r="A3689" s="11"/>
    </row>
    <row r="3690" spans="1:1" ht="15.75" x14ac:dyDescent="0.25">
      <c r="A3690" s="11"/>
    </row>
    <row r="3691" spans="1:1" ht="15.75" x14ac:dyDescent="0.25">
      <c r="A3691" s="11"/>
    </row>
    <row r="3692" spans="1:1" ht="15.75" x14ac:dyDescent="0.25">
      <c r="A3692" s="11"/>
    </row>
    <row r="3693" spans="1:1" ht="15.75" x14ac:dyDescent="0.25">
      <c r="A3693" s="11"/>
    </row>
    <row r="3694" spans="1:1" ht="15.75" x14ac:dyDescent="0.25">
      <c r="A3694" s="11"/>
    </row>
    <row r="3695" spans="1:1" ht="15.75" x14ac:dyDescent="0.25">
      <c r="A3695" s="11"/>
    </row>
    <row r="3696" spans="1:1" ht="15.75" x14ac:dyDescent="0.25">
      <c r="A3696" s="11"/>
    </row>
    <row r="3697" spans="1:1" ht="15.75" x14ac:dyDescent="0.25">
      <c r="A3697" s="11"/>
    </row>
    <row r="3698" spans="1:1" ht="15.75" x14ac:dyDescent="0.25">
      <c r="A3698" s="11"/>
    </row>
    <row r="3699" spans="1:1" ht="15.75" x14ac:dyDescent="0.25">
      <c r="A3699" s="11"/>
    </row>
    <row r="3700" spans="1:1" ht="15.75" x14ac:dyDescent="0.25">
      <c r="A3700" s="11"/>
    </row>
    <row r="3701" spans="1:1" ht="15.75" x14ac:dyDescent="0.25">
      <c r="A3701" s="11"/>
    </row>
    <row r="3702" spans="1:1" ht="15.75" x14ac:dyDescent="0.25">
      <c r="A3702" s="11"/>
    </row>
    <row r="3703" spans="1:1" ht="15.75" x14ac:dyDescent="0.25">
      <c r="A3703" s="11"/>
    </row>
    <row r="3704" spans="1:1" ht="15.75" x14ac:dyDescent="0.25">
      <c r="A3704" s="11"/>
    </row>
    <row r="3705" spans="1:1" ht="15.75" x14ac:dyDescent="0.25">
      <c r="A3705" s="11"/>
    </row>
    <row r="3706" spans="1:1" ht="15.75" x14ac:dyDescent="0.25">
      <c r="A3706" s="11"/>
    </row>
    <row r="3707" spans="1:1" ht="15.75" x14ac:dyDescent="0.25">
      <c r="A3707" s="11"/>
    </row>
    <row r="3708" spans="1:1" ht="15.75" x14ac:dyDescent="0.25">
      <c r="A3708" s="11"/>
    </row>
    <row r="3709" spans="1:1" ht="15.75" x14ac:dyDescent="0.25">
      <c r="A3709" s="11"/>
    </row>
    <row r="3710" spans="1:1" ht="15.75" x14ac:dyDescent="0.25">
      <c r="A3710" s="11"/>
    </row>
    <row r="3711" spans="1:1" ht="15.75" x14ac:dyDescent="0.25">
      <c r="A3711" s="11"/>
    </row>
    <row r="3712" spans="1:1" ht="15.75" x14ac:dyDescent="0.25">
      <c r="A3712" s="11"/>
    </row>
    <row r="3713" spans="1:1" ht="15.75" x14ac:dyDescent="0.25">
      <c r="A3713" s="11"/>
    </row>
    <row r="3714" spans="1:1" ht="15.75" x14ac:dyDescent="0.25">
      <c r="A3714" s="11"/>
    </row>
    <row r="3715" spans="1:1" ht="15.75" x14ac:dyDescent="0.25">
      <c r="A3715" s="11"/>
    </row>
    <row r="3716" spans="1:1" ht="15.75" x14ac:dyDescent="0.25">
      <c r="A3716" s="11"/>
    </row>
    <row r="3717" spans="1:1" ht="15.75" x14ac:dyDescent="0.25">
      <c r="A3717" s="11"/>
    </row>
    <row r="3718" spans="1:1" ht="15.75" x14ac:dyDescent="0.25">
      <c r="A3718" s="11"/>
    </row>
    <row r="3719" spans="1:1" ht="15.75" x14ac:dyDescent="0.25">
      <c r="A3719" s="11"/>
    </row>
    <row r="3720" spans="1:1" ht="15.75" x14ac:dyDescent="0.25">
      <c r="A3720" s="11"/>
    </row>
    <row r="3721" spans="1:1" ht="15.75" x14ac:dyDescent="0.25">
      <c r="A3721" s="11"/>
    </row>
    <row r="3722" spans="1:1" ht="15.75" x14ac:dyDescent="0.25">
      <c r="A3722" s="11"/>
    </row>
    <row r="3723" spans="1:1" ht="15.75" x14ac:dyDescent="0.25">
      <c r="A3723" s="11"/>
    </row>
    <row r="3724" spans="1:1" ht="15.75" x14ac:dyDescent="0.25">
      <c r="A3724" s="11"/>
    </row>
    <row r="3725" spans="1:1" ht="15.75" x14ac:dyDescent="0.25">
      <c r="A3725" s="11"/>
    </row>
    <row r="3726" spans="1:1" ht="15.75" x14ac:dyDescent="0.25">
      <c r="A3726" s="11"/>
    </row>
    <row r="3727" spans="1:1" ht="15.75" x14ac:dyDescent="0.25">
      <c r="A3727" s="11"/>
    </row>
    <row r="3728" spans="1:1" ht="15.75" x14ac:dyDescent="0.25">
      <c r="A3728" s="11"/>
    </row>
    <row r="3729" spans="1:1" ht="15.75" x14ac:dyDescent="0.25">
      <c r="A3729" s="11"/>
    </row>
    <row r="3730" spans="1:1" ht="15.75" x14ac:dyDescent="0.25">
      <c r="A3730" s="11"/>
    </row>
    <row r="3731" spans="1:1" ht="15.75" x14ac:dyDescent="0.25">
      <c r="A3731" s="11"/>
    </row>
    <row r="3732" spans="1:1" ht="15.75" x14ac:dyDescent="0.25">
      <c r="A3732" s="11"/>
    </row>
    <row r="3733" spans="1:1" ht="15.75" x14ac:dyDescent="0.25">
      <c r="A3733" s="11"/>
    </row>
    <row r="3734" spans="1:1" ht="15.75" x14ac:dyDescent="0.25">
      <c r="A3734" s="11"/>
    </row>
    <row r="3735" spans="1:1" ht="15.75" x14ac:dyDescent="0.25">
      <c r="A3735" s="11"/>
    </row>
    <row r="3736" spans="1:1" ht="15.75" x14ac:dyDescent="0.25">
      <c r="A3736" s="11"/>
    </row>
    <row r="3737" spans="1:1" ht="15.75" x14ac:dyDescent="0.25">
      <c r="A3737" s="11"/>
    </row>
    <row r="3738" spans="1:1" ht="15.75" x14ac:dyDescent="0.25">
      <c r="A3738" s="11"/>
    </row>
    <row r="3739" spans="1:1" ht="15.75" x14ac:dyDescent="0.25">
      <c r="A3739" s="11"/>
    </row>
    <row r="3740" spans="1:1" ht="15.75" x14ac:dyDescent="0.25">
      <c r="A3740" s="11"/>
    </row>
    <row r="3741" spans="1:1" ht="15.75" x14ac:dyDescent="0.25">
      <c r="A3741" s="11"/>
    </row>
    <row r="3742" spans="1:1" ht="15.75" x14ac:dyDescent="0.25">
      <c r="A3742" s="11"/>
    </row>
    <row r="3743" spans="1:1" ht="15.75" x14ac:dyDescent="0.25">
      <c r="A3743" s="11"/>
    </row>
    <row r="3744" spans="1:1" ht="15.75" x14ac:dyDescent="0.25">
      <c r="A3744" s="11"/>
    </row>
    <row r="3745" spans="1:1" ht="15.75" x14ac:dyDescent="0.25">
      <c r="A3745" s="11"/>
    </row>
    <row r="3746" spans="1:1" ht="15.75" x14ac:dyDescent="0.25">
      <c r="A3746" s="11"/>
    </row>
    <row r="3747" spans="1:1" ht="15.75" x14ac:dyDescent="0.25">
      <c r="A3747" s="11"/>
    </row>
    <row r="3748" spans="1:1" ht="15.75" x14ac:dyDescent="0.25">
      <c r="A3748" s="11"/>
    </row>
    <row r="3749" spans="1:1" ht="15.75" x14ac:dyDescent="0.25">
      <c r="A3749" s="11"/>
    </row>
    <row r="3750" spans="1:1" ht="15.75" x14ac:dyDescent="0.25">
      <c r="A3750" s="11"/>
    </row>
    <row r="3751" spans="1:1" ht="15.75" x14ac:dyDescent="0.25">
      <c r="A3751" s="11"/>
    </row>
    <row r="3752" spans="1:1" ht="15.75" x14ac:dyDescent="0.25">
      <c r="A3752" s="11"/>
    </row>
    <row r="3753" spans="1:1" ht="15.75" x14ac:dyDescent="0.25">
      <c r="A3753" s="11"/>
    </row>
    <row r="3754" spans="1:1" ht="15.75" x14ac:dyDescent="0.25">
      <c r="A3754" s="11"/>
    </row>
    <row r="3755" spans="1:1" ht="15.75" x14ac:dyDescent="0.25">
      <c r="A3755" s="11"/>
    </row>
    <row r="3756" spans="1:1" ht="15.75" x14ac:dyDescent="0.25">
      <c r="A3756" s="11"/>
    </row>
    <row r="3757" spans="1:1" ht="15.75" x14ac:dyDescent="0.25">
      <c r="A3757" s="11"/>
    </row>
    <row r="3758" spans="1:1" ht="15.75" x14ac:dyDescent="0.25">
      <c r="A3758" s="11"/>
    </row>
    <row r="3759" spans="1:1" ht="15.75" x14ac:dyDescent="0.25">
      <c r="A3759" s="11"/>
    </row>
    <row r="3760" spans="1:1" ht="15.75" x14ac:dyDescent="0.25">
      <c r="A3760" s="11"/>
    </row>
    <row r="3761" spans="1:1" ht="15.75" x14ac:dyDescent="0.25">
      <c r="A3761" s="11"/>
    </row>
    <row r="3762" spans="1:1" ht="15.75" x14ac:dyDescent="0.25">
      <c r="A3762" s="11"/>
    </row>
    <row r="3763" spans="1:1" ht="15.75" x14ac:dyDescent="0.25">
      <c r="A3763" s="11"/>
    </row>
    <row r="3764" spans="1:1" ht="15.75" x14ac:dyDescent="0.25">
      <c r="A3764" s="11"/>
    </row>
    <row r="3765" spans="1:1" ht="15.75" x14ac:dyDescent="0.25">
      <c r="A3765" s="11"/>
    </row>
    <row r="3766" spans="1:1" ht="15.75" x14ac:dyDescent="0.25">
      <c r="A3766" s="11"/>
    </row>
    <row r="3767" spans="1:1" ht="15.75" x14ac:dyDescent="0.25">
      <c r="A3767" s="11"/>
    </row>
    <row r="3768" spans="1:1" ht="15.75" x14ac:dyDescent="0.25">
      <c r="A3768" s="11"/>
    </row>
    <row r="3769" spans="1:1" ht="15.75" x14ac:dyDescent="0.25">
      <c r="A3769" s="11"/>
    </row>
    <row r="3770" spans="1:1" ht="15.75" x14ac:dyDescent="0.25">
      <c r="A3770" s="11"/>
    </row>
    <row r="3771" spans="1:1" ht="15.75" x14ac:dyDescent="0.25">
      <c r="A3771" s="11"/>
    </row>
    <row r="3772" spans="1:1" ht="15.75" x14ac:dyDescent="0.25">
      <c r="A3772" s="11"/>
    </row>
    <row r="3773" spans="1:1" ht="15.75" x14ac:dyDescent="0.25">
      <c r="A3773" s="11"/>
    </row>
    <row r="3774" spans="1:1" ht="15.75" x14ac:dyDescent="0.25">
      <c r="A3774" s="11"/>
    </row>
    <row r="3775" spans="1:1" ht="15.75" x14ac:dyDescent="0.25">
      <c r="A3775" s="11"/>
    </row>
    <row r="3776" spans="1:1" ht="15.75" x14ac:dyDescent="0.25">
      <c r="A3776" s="11"/>
    </row>
    <row r="3777" spans="1:1" ht="15.75" x14ac:dyDescent="0.25">
      <c r="A3777" s="11"/>
    </row>
    <row r="3778" spans="1:1" ht="15.75" x14ac:dyDescent="0.25">
      <c r="A3778" s="11"/>
    </row>
    <row r="3779" spans="1:1" ht="15.75" x14ac:dyDescent="0.25">
      <c r="A3779" s="11"/>
    </row>
    <row r="3780" spans="1:1" ht="15.75" x14ac:dyDescent="0.25">
      <c r="A3780" s="11"/>
    </row>
    <row r="3781" spans="1:1" ht="15.75" x14ac:dyDescent="0.25">
      <c r="A3781" s="11"/>
    </row>
    <row r="3782" spans="1:1" ht="15.75" x14ac:dyDescent="0.25">
      <c r="A3782" s="11"/>
    </row>
    <row r="3783" spans="1:1" ht="15.75" x14ac:dyDescent="0.25">
      <c r="A3783" s="11"/>
    </row>
    <row r="3784" spans="1:1" ht="15.75" x14ac:dyDescent="0.25">
      <c r="A3784" s="11"/>
    </row>
    <row r="3785" spans="1:1" ht="15.75" x14ac:dyDescent="0.25">
      <c r="A3785" s="11"/>
    </row>
    <row r="3786" spans="1:1" ht="15.75" x14ac:dyDescent="0.25">
      <c r="A3786" s="11"/>
    </row>
    <row r="3787" spans="1:1" ht="15.75" x14ac:dyDescent="0.25">
      <c r="A3787" s="11"/>
    </row>
    <row r="3788" spans="1:1" ht="15.75" x14ac:dyDescent="0.25">
      <c r="A3788" s="11"/>
    </row>
    <row r="3789" spans="1:1" ht="15.75" x14ac:dyDescent="0.25">
      <c r="A3789" s="11"/>
    </row>
    <row r="3790" spans="1:1" ht="15.75" x14ac:dyDescent="0.25">
      <c r="A3790" s="11"/>
    </row>
    <row r="3791" spans="1:1" ht="15.75" x14ac:dyDescent="0.25">
      <c r="A3791" s="11"/>
    </row>
    <row r="3792" spans="1:1" ht="15.75" x14ac:dyDescent="0.25">
      <c r="A3792" s="11"/>
    </row>
    <row r="3793" spans="1:1" ht="15.75" x14ac:dyDescent="0.25">
      <c r="A3793" s="11"/>
    </row>
    <row r="3794" spans="1:1" ht="15.75" x14ac:dyDescent="0.25">
      <c r="A3794" s="11"/>
    </row>
    <row r="3795" spans="1:1" ht="15.75" x14ac:dyDescent="0.25">
      <c r="A3795" s="11"/>
    </row>
    <row r="3796" spans="1:1" ht="15.75" x14ac:dyDescent="0.25">
      <c r="A3796" s="11"/>
    </row>
    <row r="3797" spans="1:1" ht="15.75" x14ac:dyDescent="0.25">
      <c r="A3797" s="11"/>
    </row>
    <row r="3798" spans="1:1" ht="15.75" x14ac:dyDescent="0.25">
      <c r="A3798" s="11"/>
    </row>
    <row r="3799" spans="1:1" ht="15.75" x14ac:dyDescent="0.25">
      <c r="A3799" s="11"/>
    </row>
    <row r="3800" spans="1:1" ht="15.75" x14ac:dyDescent="0.25">
      <c r="A3800" s="11"/>
    </row>
    <row r="3801" spans="1:1" ht="15.75" x14ac:dyDescent="0.25">
      <c r="A3801" s="11"/>
    </row>
    <row r="3802" spans="1:1" ht="15.75" x14ac:dyDescent="0.25">
      <c r="A3802" s="11"/>
    </row>
    <row r="3803" spans="1:1" ht="15.75" x14ac:dyDescent="0.25">
      <c r="A3803" s="11"/>
    </row>
    <row r="3804" spans="1:1" ht="15.75" x14ac:dyDescent="0.25">
      <c r="A3804" s="11"/>
    </row>
    <row r="3805" spans="1:1" ht="15.75" x14ac:dyDescent="0.25">
      <c r="A3805" s="11"/>
    </row>
    <row r="3806" spans="1:1" ht="15.75" x14ac:dyDescent="0.25">
      <c r="A3806" s="11"/>
    </row>
    <row r="3807" spans="1:1" ht="15.75" x14ac:dyDescent="0.25">
      <c r="A3807" s="11"/>
    </row>
    <row r="3808" spans="1:1" ht="15.75" x14ac:dyDescent="0.25">
      <c r="A3808" s="11"/>
    </row>
    <row r="3809" spans="1:1" ht="15.75" x14ac:dyDescent="0.25">
      <c r="A3809" s="11"/>
    </row>
    <row r="3810" spans="1:1" ht="15.75" x14ac:dyDescent="0.25">
      <c r="A3810" s="11"/>
    </row>
    <row r="3811" spans="1:1" ht="15.75" x14ac:dyDescent="0.25">
      <c r="A3811" s="11"/>
    </row>
    <row r="3812" spans="1:1" ht="15.75" x14ac:dyDescent="0.25">
      <c r="A3812" s="11"/>
    </row>
    <row r="3813" spans="1:1" ht="15.75" x14ac:dyDescent="0.25">
      <c r="A3813" s="11"/>
    </row>
    <row r="3814" spans="1:1" ht="15.75" x14ac:dyDescent="0.25">
      <c r="A3814" s="11"/>
    </row>
    <row r="3815" spans="1:1" ht="15.75" x14ac:dyDescent="0.25">
      <c r="A3815" s="11"/>
    </row>
    <row r="3816" spans="1:1" ht="15.75" x14ac:dyDescent="0.25">
      <c r="A3816" s="11"/>
    </row>
    <row r="3817" spans="1:1" ht="15.75" x14ac:dyDescent="0.25">
      <c r="A3817" s="11"/>
    </row>
    <row r="3818" spans="1:1" ht="15.75" x14ac:dyDescent="0.25">
      <c r="A3818" s="11"/>
    </row>
    <row r="3819" spans="1:1" ht="15.75" x14ac:dyDescent="0.25">
      <c r="A3819" s="11"/>
    </row>
    <row r="3820" spans="1:1" ht="15.75" x14ac:dyDescent="0.25">
      <c r="A3820" s="11"/>
    </row>
    <row r="3821" spans="1:1" ht="15.75" x14ac:dyDescent="0.25">
      <c r="A3821" s="11"/>
    </row>
    <row r="3822" spans="1:1" ht="15.75" x14ac:dyDescent="0.25">
      <c r="A3822" s="11"/>
    </row>
    <row r="3823" spans="1:1" ht="15.75" x14ac:dyDescent="0.25">
      <c r="A3823" s="11"/>
    </row>
    <row r="3824" spans="1:1" ht="15.75" x14ac:dyDescent="0.25">
      <c r="A3824" s="11"/>
    </row>
    <row r="3825" spans="1:1" ht="15.75" x14ac:dyDescent="0.25">
      <c r="A3825" s="11"/>
    </row>
    <row r="3826" spans="1:1" ht="15.75" x14ac:dyDescent="0.25">
      <c r="A3826" s="11"/>
    </row>
    <row r="3827" spans="1:1" ht="15.75" x14ac:dyDescent="0.25">
      <c r="A3827" s="11"/>
    </row>
    <row r="3828" spans="1:1" ht="15.75" x14ac:dyDescent="0.25">
      <c r="A3828" s="11"/>
    </row>
    <row r="3829" spans="1:1" ht="15.75" x14ac:dyDescent="0.25">
      <c r="A3829" s="11"/>
    </row>
    <row r="3830" spans="1:1" ht="15.75" x14ac:dyDescent="0.25">
      <c r="A3830" s="11"/>
    </row>
    <row r="3831" spans="1:1" ht="15.75" x14ac:dyDescent="0.25">
      <c r="A3831" s="11"/>
    </row>
    <row r="3832" spans="1:1" ht="15.75" x14ac:dyDescent="0.25">
      <c r="A3832" s="11"/>
    </row>
    <row r="3833" spans="1:1" ht="15.75" x14ac:dyDescent="0.25">
      <c r="A3833" s="11"/>
    </row>
    <row r="3834" spans="1:1" ht="15.75" x14ac:dyDescent="0.25">
      <c r="A3834" s="11"/>
    </row>
    <row r="3835" spans="1:1" ht="15.75" x14ac:dyDescent="0.25">
      <c r="A3835" s="11"/>
    </row>
    <row r="3836" spans="1:1" ht="15.75" x14ac:dyDescent="0.25">
      <c r="A3836" s="11"/>
    </row>
    <row r="3837" spans="1:1" ht="15.75" x14ac:dyDescent="0.25">
      <c r="A3837" s="11"/>
    </row>
    <row r="3838" spans="1:1" ht="15.75" x14ac:dyDescent="0.25">
      <c r="A3838" s="11"/>
    </row>
    <row r="3839" spans="1:1" ht="15.75" x14ac:dyDescent="0.25">
      <c r="A3839" s="11"/>
    </row>
    <row r="3840" spans="1:1" ht="15.75" x14ac:dyDescent="0.25">
      <c r="A3840" s="11"/>
    </row>
    <row r="3841" spans="1:1" ht="15.75" x14ac:dyDescent="0.25">
      <c r="A3841" s="11"/>
    </row>
    <row r="3842" spans="1:1" ht="15.75" x14ac:dyDescent="0.25">
      <c r="A3842" s="11"/>
    </row>
    <row r="3843" spans="1:1" ht="15.75" x14ac:dyDescent="0.25">
      <c r="A3843" s="11"/>
    </row>
    <row r="3844" spans="1:1" ht="15.75" x14ac:dyDescent="0.25">
      <c r="A3844" s="11"/>
    </row>
    <row r="3845" spans="1:1" ht="15.75" x14ac:dyDescent="0.25">
      <c r="A3845" s="11"/>
    </row>
    <row r="3846" spans="1:1" ht="15.75" x14ac:dyDescent="0.25">
      <c r="A3846" s="11"/>
    </row>
    <row r="3847" spans="1:1" ht="15.75" x14ac:dyDescent="0.25">
      <c r="A3847" s="11"/>
    </row>
    <row r="3848" spans="1:1" ht="15.75" x14ac:dyDescent="0.25">
      <c r="A3848" s="11"/>
    </row>
    <row r="3849" spans="1:1" ht="15.75" x14ac:dyDescent="0.25">
      <c r="A3849" s="11"/>
    </row>
    <row r="3850" spans="1:1" ht="15.75" x14ac:dyDescent="0.25">
      <c r="A3850" s="11"/>
    </row>
    <row r="3851" spans="1:1" ht="15.75" x14ac:dyDescent="0.25">
      <c r="A3851" s="11"/>
    </row>
    <row r="3852" spans="1:1" ht="15.75" x14ac:dyDescent="0.25">
      <c r="A3852" s="11"/>
    </row>
    <row r="3853" spans="1:1" ht="15.75" x14ac:dyDescent="0.25">
      <c r="A3853" s="11"/>
    </row>
    <row r="3854" spans="1:1" ht="15.75" x14ac:dyDescent="0.25">
      <c r="A3854" s="11"/>
    </row>
    <row r="3855" spans="1:1" ht="15.75" x14ac:dyDescent="0.25">
      <c r="A3855" s="11"/>
    </row>
    <row r="3856" spans="1:1" ht="15.75" x14ac:dyDescent="0.25">
      <c r="A3856" s="11"/>
    </row>
    <row r="3857" spans="1:1" ht="15.75" x14ac:dyDescent="0.25">
      <c r="A3857" s="11"/>
    </row>
    <row r="3858" spans="1:1" ht="15.75" x14ac:dyDescent="0.25">
      <c r="A3858" s="11"/>
    </row>
    <row r="3859" spans="1:1" ht="15.75" x14ac:dyDescent="0.25">
      <c r="A3859" s="11"/>
    </row>
    <row r="3860" spans="1:1" ht="15.75" x14ac:dyDescent="0.25">
      <c r="A3860" s="11"/>
    </row>
    <row r="3861" spans="1:1" ht="15.75" x14ac:dyDescent="0.25">
      <c r="A3861" s="11"/>
    </row>
    <row r="3862" spans="1:1" ht="15.75" x14ac:dyDescent="0.25">
      <c r="A3862" s="11"/>
    </row>
    <row r="3863" spans="1:1" ht="15.75" x14ac:dyDescent="0.25">
      <c r="A3863" s="11"/>
    </row>
    <row r="3864" spans="1:1" ht="15.75" x14ac:dyDescent="0.25">
      <c r="A3864" s="11"/>
    </row>
    <row r="3865" spans="1:1" ht="15.75" x14ac:dyDescent="0.25">
      <c r="A3865" s="11"/>
    </row>
    <row r="3866" spans="1:1" ht="15.75" x14ac:dyDescent="0.25">
      <c r="A3866" s="11"/>
    </row>
    <row r="3867" spans="1:1" ht="15.75" x14ac:dyDescent="0.25">
      <c r="A3867" s="11"/>
    </row>
    <row r="3868" spans="1:1" ht="15.75" x14ac:dyDescent="0.25">
      <c r="A3868" s="11"/>
    </row>
    <row r="3869" spans="1:1" ht="15.75" x14ac:dyDescent="0.25">
      <c r="A3869" s="11"/>
    </row>
    <row r="3870" spans="1:1" ht="15.75" x14ac:dyDescent="0.25">
      <c r="A3870" s="11"/>
    </row>
    <row r="3871" spans="1:1" ht="15.75" x14ac:dyDescent="0.25">
      <c r="A3871" s="11"/>
    </row>
    <row r="3872" spans="1:1" ht="15.75" x14ac:dyDescent="0.25">
      <c r="A3872" s="11"/>
    </row>
    <row r="3873" spans="1:1" ht="15.75" x14ac:dyDescent="0.25">
      <c r="A3873" s="11"/>
    </row>
    <row r="3874" spans="1:1" ht="15.75" x14ac:dyDescent="0.25">
      <c r="A3874" s="11"/>
    </row>
    <row r="3875" spans="1:1" ht="15.75" x14ac:dyDescent="0.25">
      <c r="A3875" s="11"/>
    </row>
    <row r="3876" spans="1:1" ht="15.75" x14ac:dyDescent="0.25">
      <c r="A3876" s="11"/>
    </row>
    <row r="3877" spans="1:1" ht="15.75" x14ac:dyDescent="0.25">
      <c r="A3877" s="11"/>
    </row>
    <row r="3878" spans="1:1" ht="15.75" x14ac:dyDescent="0.25">
      <c r="A3878" s="11"/>
    </row>
    <row r="3879" spans="1:1" ht="15.75" x14ac:dyDescent="0.25">
      <c r="A3879" s="11"/>
    </row>
    <row r="3880" spans="1:1" ht="15.75" x14ac:dyDescent="0.25">
      <c r="A3880" s="11"/>
    </row>
    <row r="3881" spans="1:1" ht="15.75" x14ac:dyDescent="0.25">
      <c r="A3881" s="11"/>
    </row>
    <row r="3882" spans="1:1" ht="15.75" x14ac:dyDescent="0.25">
      <c r="A3882" s="11"/>
    </row>
    <row r="3883" spans="1:1" ht="15.75" x14ac:dyDescent="0.25">
      <c r="A3883" s="11"/>
    </row>
    <row r="3884" spans="1:1" ht="15.75" x14ac:dyDescent="0.25">
      <c r="A3884" s="11"/>
    </row>
    <row r="3885" spans="1:1" ht="15.75" x14ac:dyDescent="0.25">
      <c r="A3885" s="11"/>
    </row>
    <row r="3886" spans="1:1" ht="15.75" x14ac:dyDescent="0.25">
      <c r="A3886" s="11"/>
    </row>
    <row r="3887" spans="1:1" ht="15.75" x14ac:dyDescent="0.25">
      <c r="A3887" s="11"/>
    </row>
    <row r="3888" spans="1:1" ht="15.75" x14ac:dyDescent="0.25">
      <c r="A3888" s="11"/>
    </row>
    <row r="3889" spans="1:1" ht="15.75" x14ac:dyDescent="0.25">
      <c r="A3889" s="11"/>
    </row>
    <row r="3890" spans="1:1" ht="15.75" x14ac:dyDescent="0.25">
      <c r="A3890" s="11"/>
    </row>
    <row r="3891" spans="1:1" ht="15.75" x14ac:dyDescent="0.25">
      <c r="A3891" s="11"/>
    </row>
    <row r="3892" spans="1:1" ht="15.75" x14ac:dyDescent="0.25">
      <c r="A3892" s="11"/>
    </row>
    <row r="3893" spans="1:1" ht="15.75" x14ac:dyDescent="0.25">
      <c r="A3893" s="11"/>
    </row>
    <row r="3894" spans="1:1" ht="15.75" x14ac:dyDescent="0.25">
      <c r="A3894" s="11"/>
    </row>
    <row r="3895" spans="1:1" ht="15.75" x14ac:dyDescent="0.25">
      <c r="A3895" s="11"/>
    </row>
    <row r="3896" spans="1:1" ht="15.75" x14ac:dyDescent="0.25">
      <c r="A3896" s="11"/>
    </row>
    <row r="3897" spans="1:1" ht="15.75" x14ac:dyDescent="0.25">
      <c r="A3897" s="11"/>
    </row>
    <row r="3898" spans="1:1" ht="15.75" x14ac:dyDescent="0.25">
      <c r="A3898" s="11"/>
    </row>
    <row r="3899" spans="1:1" ht="15.75" x14ac:dyDescent="0.25">
      <c r="A3899" s="11"/>
    </row>
    <row r="3900" spans="1:1" ht="15.75" x14ac:dyDescent="0.25">
      <c r="A3900" s="11"/>
    </row>
    <row r="3901" spans="1:1" ht="15.75" x14ac:dyDescent="0.25">
      <c r="A3901" s="11"/>
    </row>
    <row r="3902" spans="1:1" ht="15.75" x14ac:dyDescent="0.25">
      <c r="A3902" s="11"/>
    </row>
    <row r="3903" spans="1:1" ht="15.75" x14ac:dyDescent="0.25">
      <c r="A3903" s="11"/>
    </row>
    <row r="3904" spans="1:1" ht="15.75" x14ac:dyDescent="0.25">
      <c r="A3904" s="11"/>
    </row>
    <row r="3905" spans="1:1" ht="15.75" x14ac:dyDescent="0.25">
      <c r="A3905" s="11"/>
    </row>
    <row r="3906" spans="1:1" ht="15.75" x14ac:dyDescent="0.25">
      <c r="A3906" s="11"/>
    </row>
    <row r="3907" spans="1:1" ht="15.75" x14ac:dyDescent="0.25">
      <c r="A3907" s="11"/>
    </row>
    <row r="3908" spans="1:1" ht="15.75" x14ac:dyDescent="0.25">
      <c r="A3908" s="11"/>
    </row>
    <row r="3909" spans="1:1" ht="15.75" x14ac:dyDescent="0.25">
      <c r="A3909" s="11"/>
    </row>
    <row r="3910" spans="1:1" ht="15.75" x14ac:dyDescent="0.25">
      <c r="A3910" s="11"/>
    </row>
    <row r="3911" spans="1:1" ht="15.75" x14ac:dyDescent="0.25">
      <c r="A3911" s="11"/>
    </row>
    <row r="3912" spans="1:1" ht="15.75" x14ac:dyDescent="0.25">
      <c r="A3912" s="11"/>
    </row>
    <row r="3913" spans="1:1" ht="15.75" x14ac:dyDescent="0.25">
      <c r="A3913" s="11"/>
    </row>
    <row r="3914" spans="1:1" ht="15.75" x14ac:dyDescent="0.25">
      <c r="A3914" s="11"/>
    </row>
    <row r="3915" spans="1:1" ht="15.75" x14ac:dyDescent="0.25">
      <c r="A3915" s="11"/>
    </row>
    <row r="3916" spans="1:1" ht="15.75" x14ac:dyDescent="0.25">
      <c r="A3916" s="11"/>
    </row>
    <row r="3917" spans="1:1" ht="15.75" x14ac:dyDescent="0.25">
      <c r="A3917" s="11"/>
    </row>
    <row r="3918" spans="1:1" ht="15.75" x14ac:dyDescent="0.25">
      <c r="A3918" s="11"/>
    </row>
    <row r="3919" spans="1:1" ht="15.75" x14ac:dyDescent="0.25">
      <c r="A3919" s="11"/>
    </row>
    <row r="3920" spans="1:1" ht="15.75" x14ac:dyDescent="0.25">
      <c r="A3920" s="11"/>
    </row>
    <row r="3921" spans="1:1" ht="15.75" x14ac:dyDescent="0.25">
      <c r="A3921" s="11"/>
    </row>
    <row r="3922" spans="1:1" ht="15.75" x14ac:dyDescent="0.25">
      <c r="A3922" s="11"/>
    </row>
    <row r="3923" spans="1:1" ht="15.75" x14ac:dyDescent="0.25">
      <c r="A3923" s="11"/>
    </row>
    <row r="3924" spans="1:1" ht="15.75" x14ac:dyDescent="0.25">
      <c r="A3924" s="11"/>
    </row>
    <row r="3925" spans="1:1" ht="15.75" x14ac:dyDescent="0.25">
      <c r="A3925" s="11"/>
    </row>
    <row r="3926" spans="1:1" ht="15.75" x14ac:dyDescent="0.25">
      <c r="A3926" s="11"/>
    </row>
    <row r="3927" spans="1:1" ht="15.75" x14ac:dyDescent="0.25">
      <c r="A3927" s="11"/>
    </row>
    <row r="3928" spans="1:1" ht="15.75" x14ac:dyDescent="0.25">
      <c r="A3928" s="11"/>
    </row>
    <row r="3929" spans="1:1" ht="15.75" x14ac:dyDescent="0.25">
      <c r="A3929" s="11"/>
    </row>
    <row r="3930" spans="1:1" ht="15.75" x14ac:dyDescent="0.25">
      <c r="A3930" s="11"/>
    </row>
    <row r="3931" spans="1:1" ht="15.75" x14ac:dyDescent="0.25">
      <c r="A3931" s="11"/>
    </row>
    <row r="3932" spans="1:1" ht="15.75" x14ac:dyDescent="0.25">
      <c r="A3932" s="11"/>
    </row>
    <row r="3933" spans="1:1" ht="15.75" x14ac:dyDescent="0.25">
      <c r="A3933" s="11"/>
    </row>
    <row r="3934" spans="1:1" ht="15.75" x14ac:dyDescent="0.25">
      <c r="A3934" s="11"/>
    </row>
    <row r="3935" spans="1:1" ht="15.75" x14ac:dyDescent="0.25">
      <c r="A3935" s="11"/>
    </row>
    <row r="3936" spans="1:1" ht="15.75" x14ac:dyDescent="0.25">
      <c r="A3936" s="11"/>
    </row>
    <row r="3937" spans="1:1" ht="15.75" x14ac:dyDescent="0.25">
      <c r="A3937" s="11"/>
    </row>
    <row r="3938" spans="1:1" ht="15.75" x14ac:dyDescent="0.25">
      <c r="A3938" s="11"/>
    </row>
    <row r="3939" spans="1:1" ht="15.75" x14ac:dyDescent="0.25">
      <c r="A3939" s="11"/>
    </row>
    <row r="3940" spans="1:1" ht="15.75" x14ac:dyDescent="0.25">
      <c r="A3940" s="11"/>
    </row>
    <row r="3941" spans="1:1" ht="15.75" x14ac:dyDescent="0.25">
      <c r="A3941" s="11"/>
    </row>
    <row r="3942" spans="1:1" ht="15.75" x14ac:dyDescent="0.25">
      <c r="A3942" s="11"/>
    </row>
    <row r="3943" spans="1:1" ht="15.75" x14ac:dyDescent="0.25">
      <c r="A3943" s="11"/>
    </row>
    <row r="3944" spans="1:1" ht="15.75" x14ac:dyDescent="0.25">
      <c r="A3944" s="11"/>
    </row>
    <row r="3945" spans="1:1" ht="15.75" x14ac:dyDescent="0.25">
      <c r="A3945" s="11"/>
    </row>
    <row r="3946" spans="1:1" ht="15.75" x14ac:dyDescent="0.25">
      <c r="A3946" s="11"/>
    </row>
    <row r="3947" spans="1:1" ht="15.75" x14ac:dyDescent="0.25">
      <c r="A3947" s="11"/>
    </row>
    <row r="3948" spans="1:1" ht="15.75" x14ac:dyDescent="0.25">
      <c r="A3948" s="11"/>
    </row>
    <row r="3949" spans="1:1" ht="15.75" x14ac:dyDescent="0.25">
      <c r="A3949" s="11"/>
    </row>
    <row r="3950" spans="1:1" ht="15.75" x14ac:dyDescent="0.25">
      <c r="A3950" s="11"/>
    </row>
    <row r="3951" spans="1:1" ht="15.75" x14ac:dyDescent="0.25">
      <c r="A3951" s="11"/>
    </row>
    <row r="3952" spans="1:1" ht="15.75" x14ac:dyDescent="0.25">
      <c r="A3952" s="11"/>
    </row>
    <row r="3953" spans="1:1" ht="15.75" x14ac:dyDescent="0.25">
      <c r="A3953" s="11"/>
    </row>
    <row r="3954" spans="1:1" ht="15.75" x14ac:dyDescent="0.25">
      <c r="A3954" s="11"/>
    </row>
    <row r="3955" spans="1:1" ht="15.75" x14ac:dyDescent="0.25">
      <c r="A3955" s="11"/>
    </row>
    <row r="3956" spans="1:1" ht="15.75" x14ac:dyDescent="0.25">
      <c r="A3956" s="11"/>
    </row>
    <row r="3957" spans="1:1" ht="15.75" x14ac:dyDescent="0.25">
      <c r="A3957" s="11"/>
    </row>
    <row r="3958" spans="1:1" ht="15.75" x14ac:dyDescent="0.25">
      <c r="A3958" s="11"/>
    </row>
    <row r="3959" spans="1:1" ht="15.75" x14ac:dyDescent="0.25">
      <c r="A3959" s="11"/>
    </row>
    <row r="3960" spans="1:1" ht="15.75" x14ac:dyDescent="0.25">
      <c r="A3960" s="11"/>
    </row>
    <row r="3961" spans="1:1" ht="15.75" x14ac:dyDescent="0.25">
      <c r="A3961" s="11"/>
    </row>
    <row r="3962" spans="1:1" ht="15.75" x14ac:dyDescent="0.25">
      <c r="A3962" s="11"/>
    </row>
    <row r="3963" spans="1:1" ht="15.75" x14ac:dyDescent="0.25">
      <c r="A3963" s="11"/>
    </row>
    <row r="3964" spans="1:1" ht="15.75" x14ac:dyDescent="0.25">
      <c r="A3964" s="11"/>
    </row>
    <row r="3965" spans="1:1" ht="15.75" x14ac:dyDescent="0.25">
      <c r="A3965" s="11"/>
    </row>
    <row r="3966" spans="1:1" ht="15.75" x14ac:dyDescent="0.25">
      <c r="A3966" s="11"/>
    </row>
    <row r="3967" spans="1:1" ht="15.75" x14ac:dyDescent="0.25">
      <c r="A3967" s="11"/>
    </row>
    <row r="3968" spans="1:1" ht="15.75" x14ac:dyDescent="0.25">
      <c r="A3968" s="11"/>
    </row>
    <row r="3969" spans="1:1" ht="15.75" x14ac:dyDescent="0.25">
      <c r="A3969" s="11"/>
    </row>
    <row r="3970" spans="1:1" ht="15.75" x14ac:dyDescent="0.25">
      <c r="A3970" s="11"/>
    </row>
    <row r="3971" spans="1:1" ht="15.75" x14ac:dyDescent="0.25">
      <c r="A3971" s="11"/>
    </row>
    <row r="3972" spans="1:1" ht="15.75" x14ac:dyDescent="0.25">
      <c r="A3972" s="11"/>
    </row>
    <row r="3973" spans="1:1" ht="15.75" x14ac:dyDescent="0.25">
      <c r="A3973" s="11"/>
    </row>
    <row r="3974" spans="1:1" ht="15.75" x14ac:dyDescent="0.25">
      <c r="A3974" s="11"/>
    </row>
    <row r="3975" spans="1:1" ht="15.75" x14ac:dyDescent="0.25">
      <c r="A3975" s="11"/>
    </row>
    <row r="3976" spans="1:1" ht="15.75" x14ac:dyDescent="0.25">
      <c r="A3976" s="11"/>
    </row>
    <row r="3977" spans="1:1" ht="15.75" x14ac:dyDescent="0.25">
      <c r="A3977" s="11"/>
    </row>
    <row r="3978" spans="1:1" ht="15.75" x14ac:dyDescent="0.25">
      <c r="A3978" s="11"/>
    </row>
    <row r="3979" spans="1:1" ht="15.75" x14ac:dyDescent="0.25">
      <c r="A3979" s="11"/>
    </row>
    <row r="3980" spans="1:1" ht="15.75" x14ac:dyDescent="0.25">
      <c r="A3980" s="11"/>
    </row>
    <row r="3981" spans="1:1" ht="15.75" x14ac:dyDescent="0.25">
      <c r="A3981" s="11"/>
    </row>
    <row r="3982" spans="1:1" ht="15.75" x14ac:dyDescent="0.25">
      <c r="A3982" s="11"/>
    </row>
    <row r="3983" spans="1:1" ht="15.75" x14ac:dyDescent="0.25">
      <c r="A3983" s="11"/>
    </row>
    <row r="3984" spans="1:1" ht="15.75" x14ac:dyDescent="0.25">
      <c r="A3984" s="11"/>
    </row>
    <row r="3985" spans="1:1" ht="15.75" x14ac:dyDescent="0.25">
      <c r="A3985" s="11"/>
    </row>
    <row r="3986" spans="1:1" ht="15.75" x14ac:dyDescent="0.25">
      <c r="A3986" s="11"/>
    </row>
    <row r="3987" spans="1:1" ht="15.75" x14ac:dyDescent="0.25">
      <c r="A3987" s="11"/>
    </row>
    <row r="3988" spans="1:1" ht="15.75" x14ac:dyDescent="0.25">
      <c r="A3988" s="11"/>
    </row>
    <row r="3989" spans="1:1" ht="15.75" x14ac:dyDescent="0.25">
      <c r="A3989" s="11"/>
    </row>
    <row r="3990" spans="1:1" ht="15.75" x14ac:dyDescent="0.25">
      <c r="A3990" s="11"/>
    </row>
    <row r="3991" spans="1:1" ht="15.75" x14ac:dyDescent="0.25">
      <c r="A3991" s="11"/>
    </row>
    <row r="3992" spans="1:1" ht="15.75" x14ac:dyDescent="0.25">
      <c r="A3992" s="11"/>
    </row>
    <row r="3993" spans="1:1" ht="15.75" x14ac:dyDescent="0.25">
      <c r="A3993" s="11"/>
    </row>
    <row r="3994" spans="1:1" ht="15.75" x14ac:dyDescent="0.25">
      <c r="A3994" s="11"/>
    </row>
    <row r="3995" spans="1:1" ht="15.75" x14ac:dyDescent="0.25">
      <c r="A3995" s="11"/>
    </row>
    <row r="3996" spans="1:1" ht="15.75" x14ac:dyDescent="0.25">
      <c r="A3996" s="11"/>
    </row>
    <row r="3997" spans="1:1" ht="15.75" x14ac:dyDescent="0.25">
      <c r="A3997" s="11"/>
    </row>
    <row r="3998" spans="1:1" ht="15.75" x14ac:dyDescent="0.25">
      <c r="A3998" s="11"/>
    </row>
    <row r="3999" spans="1:1" ht="15.75" x14ac:dyDescent="0.25">
      <c r="A3999" s="11"/>
    </row>
    <row r="4000" spans="1:1" ht="15.75" x14ac:dyDescent="0.25">
      <c r="A4000" s="11"/>
    </row>
    <row r="4001" spans="1:1" ht="15.75" x14ac:dyDescent="0.25">
      <c r="A4001" s="11"/>
    </row>
    <row r="4002" spans="1:1" ht="15.75" x14ac:dyDescent="0.25">
      <c r="A4002" s="11"/>
    </row>
    <row r="4003" spans="1:1" ht="15.75" x14ac:dyDescent="0.25">
      <c r="A4003" s="11"/>
    </row>
    <row r="4004" spans="1:1" ht="15.75" x14ac:dyDescent="0.25">
      <c r="A4004" s="11"/>
    </row>
    <row r="4005" spans="1:1" ht="15.75" x14ac:dyDescent="0.25">
      <c r="A4005" s="11"/>
    </row>
    <row r="4006" spans="1:1" ht="15.75" x14ac:dyDescent="0.25">
      <c r="A4006" s="11"/>
    </row>
    <row r="4007" spans="1:1" ht="15.75" x14ac:dyDescent="0.25">
      <c r="A4007" s="11"/>
    </row>
    <row r="4008" spans="1:1" ht="15.75" x14ac:dyDescent="0.25">
      <c r="A4008" s="11"/>
    </row>
    <row r="4009" spans="1:1" ht="15.75" x14ac:dyDescent="0.25">
      <c r="A4009" s="11"/>
    </row>
    <row r="4010" spans="1:1" ht="15.75" x14ac:dyDescent="0.25">
      <c r="A4010" s="11"/>
    </row>
    <row r="4011" spans="1:1" ht="15.75" x14ac:dyDescent="0.25">
      <c r="A4011" s="11"/>
    </row>
    <row r="4012" spans="1:1" ht="15.75" x14ac:dyDescent="0.25">
      <c r="A4012" s="11"/>
    </row>
    <row r="4013" spans="1:1" ht="15.75" x14ac:dyDescent="0.25">
      <c r="A4013" s="11"/>
    </row>
    <row r="4014" spans="1:1" ht="15.75" x14ac:dyDescent="0.25">
      <c r="A4014" s="11"/>
    </row>
    <row r="4015" spans="1:1" ht="15.75" x14ac:dyDescent="0.25">
      <c r="A4015" s="11"/>
    </row>
    <row r="4016" spans="1:1" ht="15.75" x14ac:dyDescent="0.25">
      <c r="A4016" s="11"/>
    </row>
    <row r="4017" spans="1:1" ht="15.75" x14ac:dyDescent="0.25">
      <c r="A4017" s="11"/>
    </row>
    <row r="4018" spans="1:1" ht="15.75" x14ac:dyDescent="0.25">
      <c r="A4018" s="11"/>
    </row>
    <row r="4019" spans="1:1" ht="15.75" x14ac:dyDescent="0.25">
      <c r="A4019" s="11"/>
    </row>
    <row r="4020" spans="1:1" ht="15.75" x14ac:dyDescent="0.25">
      <c r="A4020" s="11"/>
    </row>
    <row r="4021" spans="1:1" ht="15.75" x14ac:dyDescent="0.25">
      <c r="A4021" s="11"/>
    </row>
    <row r="4022" spans="1:1" ht="15.75" x14ac:dyDescent="0.25">
      <c r="A4022" s="11"/>
    </row>
    <row r="4023" spans="1:1" ht="15.75" x14ac:dyDescent="0.25">
      <c r="A4023" s="11"/>
    </row>
    <row r="4024" spans="1:1" ht="15.75" x14ac:dyDescent="0.25">
      <c r="A4024" s="11"/>
    </row>
    <row r="4025" spans="1:1" ht="15.75" x14ac:dyDescent="0.25">
      <c r="A4025" s="11"/>
    </row>
    <row r="4026" spans="1:1" ht="15.75" x14ac:dyDescent="0.25">
      <c r="A4026" s="11"/>
    </row>
    <row r="4027" spans="1:1" ht="15.75" x14ac:dyDescent="0.25">
      <c r="A4027" s="11"/>
    </row>
    <row r="4028" spans="1:1" ht="15.75" x14ac:dyDescent="0.25">
      <c r="A4028" s="11"/>
    </row>
    <row r="4029" spans="1:1" ht="15.75" x14ac:dyDescent="0.25">
      <c r="A4029" s="11"/>
    </row>
    <row r="4030" spans="1:1" ht="15.75" x14ac:dyDescent="0.25">
      <c r="A4030" s="11"/>
    </row>
    <row r="4031" spans="1:1" ht="15.75" x14ac:dyDescent="0.25">
      <c r="A4031" s="11"/>
    </row>
    <row r="4032" spans="1:1" ht="15.75" x14ac:dyDescent="0.25">
      <c r="A4032" s="11"/>
    </row>
    <row r="4033" spans="1:1" ht="15.75" x14ac:dyDescent="0.25">
      <c r="A4033" s="11"/>
    </row>
    <row r="4034" spans="1:1" ht="15.75" x14ac:dyDescent="0.25">
      <c r="A4034" s="11"/>
    </row>
    <row r="4035" spans="1:1" ht="15.75" x14ac:dyDescent="0.25">
      <c r="A4035" s="11"/>
    </row>
    <row r="4036" spans="1:1" ht="15.75" x14ac:dyDescent="0.25">
      <c r="A4036" s="11"/>
    </row>
    <row r="4037" spans="1:1" ht="15.75" x14ac:dyDescent="0.25">
      <c r="A4037" s="11"/>
    </row>
    <row r="4038" spans="1:1" ht="15.75" x14ac:dyDescent="0.25">
      <c r="A4038" s="11"/>
    </row>
    <row r="4039" spans="1:1" ht="15.75" x14ac:dyDescent="0.25">
      <c r="A4039" s="11"/>
    </row>
    <row r="4040" spans="1:1" ht="15.75" x14ac:dyDescent="0.25">
      <c r="A4040" s="11"/>
    </row>
    <row r="4041" spans="1:1" ht="15.75" x14ac:dyDescent="0.25">
      <c r="A4041" s="11"/>
    </row>
    <row r="4042" spans="1:1" ht="15.75" x14ac:dyDescent="0.25">
      <c r="A4042" s="11"/>
    </row>
    <row r="4043" spans="1:1" ht="15.75" x14ac:dyDescent="0.25">
      <c r="A4043" s="11"/>
    </row>
    <row r="4044" spans="1:1" ht="15.75" x14ac:dyDescent="0.25">
      <c r="A4044" s="11"/>
    </row>
    <row r="4045" spans="1:1" ht="15.75" x14ac:dyDescent="0.25">
      <c r="A4045" s="11"/>
    </row>
    <row r="4046" spans="1:1" ht="15.75" x14ac:dyDescent="0.25">
      <c r="A4046" s="11"/>
    </row>
    <row r="4047" spans="1:1" ht="15.75" x14ac:dyDescent="0.25">
      <c r="A4047" s="11"/>
    </row>
    <row r="4048" spans="1:1" ht="15.75" x14ac:dyDescent="0.25">
      <c r="A4048" s="11"/>
    </row>
    <row r="4049" spans="1:1" ht="15.75" x14ac:dyDescent="0.25">
      <c r="A4049" s="11"/>
    </row>
    <row r="4050" spans="1:1" ht="15.75" x14ac:dyDescent="0.25">
      <c r="A4050" s="11"/>
    </row>
    <row r="4051" spans="1:1" ht="15.75" x14ac:dyDescent="0.25">
      <c r="A4051" s="11"/>
    </row>
    <row r="4052" spans="1:1" ht="15.75" x14ac:dyDescent="0.25">
      <c r="A4052" s="11"/>
    </row>
    <row r="4053" spans="1:1" ht="15.75" x14ac:dyDescent="0.25">
      <c r="A4053" s="11"/>
    </row>
    <row r="4054" spans="1:1" ht="15.75" x14ac:dyDescent="0.25">
      <c r="A4054" s="11"/>
    </row>
    <row r="4055" spans="1:1" ht="15.75" x14ac:dyDescent="0.25">
      <c r="A4055" s="11"/>
    </row>
    <row r="4056" spans="1:1" ht="15.75" x14ac:dyDescent="0.25">
      <c r="A4056" s="11"/>
    </row>
    <row r="4057" spans="1:1" ht="15.75" x14ac:dyDescent="0.25">
      <c r="A4057" s="11"/>
    </row>
    <row r="4058" spans="1:1" ht="15.75" x14ac:dyDescent="0.25">
      <c r="A4058" s="11"/>
    </row>
    <row r="4059" spans="1:1" ht="15.75" x14ac:dyDescent="0.25">
      <c r="A4059" s="11"/>
    </row>
    <row r="4060" spans="1:1" ht="15.75" x14ac:dyDescent="0.25">
      <c r="A4060" s="11"/>
    </row>
    <row r="4061" spans="1:1" ht="15.75" x14ac:dyDescent="0.25">
      <c r="A4061" s="11"/>
    </row>
    <row r="4062" spans="1:1" ht="15.75" x14ac:dyDescent="0.25">
      <c r="A4062" s="11"/>
    </row>
    <row r="4063" spans="1:1" ht="15.75" x14ac:dyDescent="0.25">
      <c r="A4063" s="11"/>
    </row>
    <row r="4064" spans="1:1" ht="15.75" x14ac:dyDescent="0.25">
      <c r="A4064" s="11"/>
    </row>
    <row r="4065" spans="1:1" ht="15.75" x14ac:dyDescent="0.25">
      <c r="A4065" s="11"/>
    </row>
    <row r="4066" spans="1:1" ht="15.75" x14ac:dyDescent="0.25">
      <c r="A4066" s="11"/>
    </row>
    <row r="4067" spans="1:1" ht="15.75" x14ac:dyDescent="0.25">
      <c r="A4067" s="11"/>
    </row>
    <row r="4068" spans="1:1" ht="15.75" x14ac:dyDescent="0.25">
      <c r="A4068" s="11"/>
    </row>
    <row r="4069" spans="1:1" ht="15.75" x14ac:dyDescent="0.25">
      <c r="A4069" s="11"/>
    </row>
    <row r="4070" spans="1:1" ht="15.75" x14ac:dyDescent="0.25">
      <c r="A4070" s="11"/>
    </row>
    <row r="4071" spans="1:1" ht="15.75" x14ac:dyDescent="0.25">
      <c r="A4071" s="11"/>
    </row>
    <row r="4072" spans="1:1" ht="15.75" x14ac:dyDescent="0.25">
      <c r="A4072" s="11"/>
    </row>
    <row r="4073" spans="1:1" ht="15.75" x14ac:dyDescent="0.25">
      <c r="A4073" s="11"/>
    </row>
    <row r="4074" spans="1:1" ht="15.75" x14ac:dyDescent="0.25">
      <c r="A4074" s="11"/>
    </row>
    <row r="4075" spans="1:1" ht="15.75" x14ac:dyDescent="0.25">
      <c r="A4075" s="11"/>
    </row>
    <row r="4076" spans="1:1" ht="15.75" x14ac:dyDescent="0.25">
      <c r="A4076" s="11"/>
    </row>
    <row r="4077" spans="1:1" ht="15.75" x14ac:dyDescent="0.25">
      <c r="A4077" s="11"/>
    </row>
    <row r="4078" spans="1:1" ht="15.75" x14ac:dyDescent="0.25">
      <c r="A4078" s="11"/>
    </row>
    <row r="4079" spans="1:1" ht="15.75" x14ac:dyDescent="0.25">
      <c r="A4079" s="11"/>
    </row>
    <row r="4080" spans="1:1" ht="15.75" x14ac:dyDescent="0.25">
      <c r="A4080" s="11"/>
    </row>
    <row r="4081" spans="1:1" ht="15.75" x14ac:dyDescent="0.25">
      <c r="A4081" s="11"/>
    </row>
    <row r="4082" spans="1:1" ht="15.75" x14ac:dyDescent="0.25">
      <c r="A4082" s="11"/>
    </row>
    <row r="4083" spans="1:1" ht="15.75" x14ac:dyDescent="0.25">
      <c r="A4083" s="11"/>
    </row>
    <row r="4084" spans="1:1" ht="15.75" x14ac:dyDescent="0.25">
      <c r="A4084" s="11"/>
    </row>
    <row r="4085" spans="1:1" ht="15.75" x14ac:dyDescent="0.25">
      <c r="A4085" s="11"/>
    </row>
    <row r="4086" spans="1:1" ht="15.75" x14ac:dyDescent="0.25">
      <c r="A4086" s="11"/>
    </row>
    <row r="4087" spans="1:1" ht="15.75" x14ac:dyDescent="0.25">
      <c r="A4087" s="11"/>
    </row>
    <row r="4088" spans="1:1" ht="15.75" x14ac:dyDescent="0.25">
      <c r="A4088" s="11"/>
    </row>
    <row r="4089" spans="1:1" ht="15.75" x14ac:dyDescent="0.25">
      <c r="A4089" s="11"/>
    </row>
    <row r="4090" spans="1:1" ht="15.75" x14ac:dyDescent="0.25">
      <c r="A4090" s="11"/>
    </row>
    <row r="4091" spans="1:1" ht="15.75" x14ac:dyDescent="0.25">
      <c r="A4091" s="11"/>
    </row>
    <row r="4092" spans="1:1" ht="15.75" x14ac:dyDescent="0.25">
      <c r="A4092" s="11"/>
    </row>
    <row r="4093" spans="1:1" ht="15.75" x14ac:dyDescent="0.25">
      <c r="A4093" s="11"/>
    </row>
    <row r="4094" spans="1:1" ht="15.75" x14ac:dyDescent="0.25">
      <c r="A4094" s="11"/>
    </row>
    <row r="4095" spans="1:1" ht="15.75" x14ac:dyDescent="0.25">
      <c r="A4095" s="11"/>
    </row>
    <row r="4096" spans="1:1" ht="15.75" x14ac:dyDescent="0.25">
      <c r="A4096" s="11"/>
    </row>
    <row r="4097" spans="1:1" ht="15.75" x14ac:dyDescent="0.25">
      <c r="A4097" s="11"/>
    </row>
    <row r="4098" spans="1:1" ht="15.75" x14ac:dyDescent="0.25">
      <c r="A4098" s="11"/>
    </row>
    <row r="4099" spans="1:1" ht="15.75" x14ac:dyDescent="0.25">
      <c r="A4099" s="11"/>
    </row>
    <row r="4100" spans="1:1" ht="15.75" x14ac:dyDescent="0.25">
      <c r="A4100" s="11"/>
    </row>
    <row r="4101" spans="1:1" ht="15.75" x14ac:dyDescent="0.25">
      <c r="A4101" s="11"/>
    </row>
    <row r="4102" spans="1:1" ht="15.75" x14ac:dyDescent="0.25">
      <c r="A4102" s="11"/>
    </row>
    <row r="4103" spans="1:1" ht="15.75" x14ac:dyDescent="0.25">
      <c r="A4103" s="11"/>
    </row>
    <row r="4104" spans="1:1" ht="15.75" x14ac:dyDescent="0.25">
      <c r="A4104" s="11"/>
    </row>
    <row r="4105" spans="1:1" ht="15.75" x14ac:dyDescent="0.25">
      <c r="A4105" s="11"/>
    </row>
    <row r="4106" spans="1:1" ht="15.75" x14ac:dyDescent="0.25">
      <c r="A4106" s="11"/>
    </row>
    <row r="4107" spans="1:1" ht="15.75" x14ac:dyDescent="0.25">
      <c r="A4107" s="11"/>
    </row>
    <row r="4108" spans="1:1" ht="15.75" x14ac:dyDescent="0.25">
      <c r="A4108" s="11"/>
    </row>
    <row r="4109" spans="1:1" ht="15.75" x14ac:dyDescent="0.25">
      <c r="A4109" s="11"/>
    </row>
    <row r="4110" spans="1:1" ht="15.75" x14ac:dyDescent="0.25">
      <c r="A4110" s="11"/>
    </row>
    <row r="4111" spans="1:1" ht="15.75" x14ac:dyDescent="0.25">
      <c r="A4111" s="11"/>
    </row>
    <row r="4112" spans="1:1" ht="15.75" x14ac:dyDescent="0.25">
      <c r="A4112" s="11"/>
    </row>
    <row r="4113" spans="1:1" ht="15.75" x14ac:dyDescent="0.25">
      <c r="A4113" s="11"/>
    </row>
    <row r="4114" spans="1:1" ht="15.75" x14ac:dyDescent="0.25">
      <c r="A4114" s="11"/>
    </row>
    <row r="4115" spans="1:1" ht="15.75" x14ac:dyDescent="0.25">
      <c r="A4115" s="11"/>
    </row>
    <row r="4116" spans="1:1" ht="15.75" x14ac:dyDescent="0.25">
      <c r="A4116" s="11"/>
    </row>
    <row r="4117" spans="1:1" ht="15.75" x14ac:dyDescent="0.25">
      <c r="A4117" s="11"/>
    </row>
    <row r="4118" spans="1:1" ht="15.75" x14ac:dyDescent="0.25">
      <c r="A4118" s="11"/>
    </row>
    <row r="4119" spans="1:1" ht="15.75" x14ac:dyDescent="0.25">
      <c r="A4119" s="11"/>
    </row>
    <row r="4120" spans="1:1" ht="15.75" x14ac:dyDescent="0.25">
      <c r="A4120" s="11"/>
    </row>
    <row r="4121" spans="1:1" ht="15.75" x14ac:dyDescent="0.25">
      <c r="A4121" s="11"/>
    </row>
    <row r="4122" spans="1:1" ht="15.75" x14ac:dyDescent="0.25">
      <c r="A4122" s="11"/>
    </row>
    <row r="4123" spans="1:1" ht="15.75" x14ac:dyDescent="0.25">
      <c r="A4123" s="11"/>
    </row>
    <row r="4124" spans="1:1" ht="15.75" x14ac:dyDescent="0.25">
      <c r="A4124" s="11"/>
    </row>
    <row r="4125" spans="1:1" ht="15.75" x14ac:dyDescent="0.25">
      <c r="A4125" s="11"/>
    </row>
    <row r="4126" spans="1:1" ht="15.75" x14ac:dyDescent="0.25">
      <c r="A4126" s="11"/>
    </row>
    <row r="4127" spans="1:1" ht="15.75" x14ac:dyDescent="0.25">
      <c r="A4127" s="11"/>
    </row>
    <row r="4128" spans="1:1" ht="15.75" x14ac:dyDescent="0.25">
      <c r="A4128" s="11"/>
    </row>
    <row r="4129" spans="1:1" ht="15.75" x14ac:dyDescent="0.25">
      <c r="A4129" s="11"/>
    </row>
    <row r="4130" spans="1:1" ht="15.75" x14ac:dyDescent="0.25">
      <c r="A4130" s="11"/>
    </row>
    <row r="4131" spans="1:1" ht="15.75" x14ac:dyDescent="0.25">
      <c r="A4131" s="11"/>
    </row>
    <row r="4132" spans="1:1" ht="15.75" x14ac:dyDescent="0.25">
      <c r="A4132" s="11"/>
    </row>
    <row r="4133" spans="1:1" ht="15.75" x14ac:dyDescent="0.25">
      <c r="A4133" s="11"/>
    </row>
    <row r="4134" spans="1:1" ht="15.75" x14ac:dyDescent="0.25">
      <c r="A4134" s="11"/>
    </row>
    <row r="4135" spans="1:1" ht="15.75" x14ac:dyDescent="0.25">
      <c r="A4135" s="11"/>
    </row>
    <row r="4136" spans="1:1" ht="15.75" x14ac:dyDescent="0.25">
      <c r="A4136" s="11"/>
    </row>
    <row r="4137" spans="1:1" ht="15.75" x14ac:dyDescent="0.25">
      <c r="A4137" s="11"/>
    </row>
    <row r="4138" spans="1:1" ht="15.75" x14ac:dyDescent="0.25">
      <c r="A4138" s="11"/>
    </row>
    <row r="4139" spans="1:1" ht="15.75" x14ac:dyDescent="0.25">
      <c r="A4139" s="11"/>
    </row>
    <row r="4140" spans="1:1" ht="15.75" x14ac:dyDescent="0.25">
      <c r="A4140" s="11"/>
    </row>
    <row r="4141" spans="1:1" ht="15.75" x14ac:dyDescent="0.25">
      <c r="A4141" s="11"/>
    </row>
    <row r="4142" spans="1:1" ht="15.75" x14ac:dyDescent="0.25">
      <c r="A4142" s="11"/>
    </row>
    <row r="4143" spans="1:1" ht="15.75" x14ac:dyDescent="0.25">
      <c r="A4143" s="11"/>
    </row>
    <row r="4144" spans="1:1" ht="15.75" x14ac:dyDescent="0.25">
      <c r="A4144" s="11"/>
    </row>
    <row r="4145" spans="1:1" ht="15.75" x14ac:dyDescent="0.25">
      <c r="A4145" s="11"/>
    </row>
    <row r="4146" spans="1:1" ht="15.75" x14ac:dyDescent="0.25">
      <c r="A4146" s="11"/>
    </row>
    <row r="4147" spans="1:1" ht="15.75" x14ac:dyDescent="0.25">
      <c r="A4147" s="11"/>
    </row>
    <row r="4148" spans="1:1" ht="15.75" x14ac:dyDescent="0.25">
      <c r="A4148" s="11"/>
    </row>
    <row r="4149" spans="1:1" ht="15.75" x14ac:dyDescent="0.25">
      <c r="A4149" s="11"/>
    </row>
    <row r="4150" spans="1:1" ht="15.75" x14ac:dyDescent="0.25">
      <c r="A4150" s="11"/>
    </row>
    <row r="4151" spans="1:1" ht="15.75" x14ac:dyDescent="0.25">
      <c r="A4151" s="11"/>
    </row>
    <row r="4152" spans="1:1" ht="15.75" x14ac:dyDescent="0.25">
      <c r="A4152" s="11"/>
    </row>
    <row r="4153" spans="1:1" ht="15.75" x14ac:dyDescent="0.25">
      <c r="A4153" s="11"/>
    </row>
    <row r="4154" spans="1:1" ht="15.75" x14ac:dyDescent="0.25">
      <c r="A4154" s="11"/>
    </row>
    <row r="4155" spans="1:1" ht="15.75" x14ac:dyDescent="0.25">
      <c r="A4155" s="11"/>
    </row>
    <row r="4156" spans="1:1" ht="15.75" x14ac:dyDescent="0.25">
      <c r="A4156" s="11"/>
    </row>
    <row r="4157" spans="1:1" ht="15.75" x14ac:dyDescent="0.25">
      <c r="A4157" s="11"/>
    </row>
    <row r="4158" spans="1:1" ht="15.75" x14ac:dyDescent="0.25">
      <c r="A4158" s="11"/>
    </row>
    <row r="4159" spans="1:1" ht="15.75" x14ac:dyDescent="0.25">
      <c r="A4159" s="11"/>
    </row>
    <row r="4160" spans="1:1" ht="15.75" x14ac:dyDescent="0.25">
      <c r="A4160" s="11"/>
    </row>
    <row r="4161" spans="1:1" ht="15.75" x14ac:dyDescent="0.25">
      <c r="A4161" s="11"/>
    </row>
    <row r="4162" spans="1:1" ht="15.75" x14ac:dyDescent="0.25">
      <c r="A4162" s="11"/>
    </row>
    <row r="4163" spans="1:1" ht="15.75" x14ac:dyDescent="0.25">
      <c r="A4163" s="11"/>
    </row>
    <row r="4164" spans="1:1" ht="15.75" x14ac:dyDescent="0.25">
      <c r="A4164" s="11"/>
    </row>
    <row r="4165" spans="1:1" ht="15.75" x14ac:dyDescent="0.25">
      <c r="A4165" s="11"/>
    </row>
    <row r="4166" spans="1:1" ht="15.75" x14ac:dyDescent="0.25">
      <c r="A4166" s="11"/>
    </row>
    <row r="4167" spans="1:1" ht="15.75" x14ac:dyDescent="0.25">
      <c r="A4167" s="11"/>
    </row>
    <row r="4168" spans="1:1" ht="15.75" x14ac:dyDescent="0.25">
      <c r="A4168" s="11"/>
    </row>
    <row r="4169" spans="1:1" ht="15.75" x14ac:dyDescent="0.25">
      <c r="A4169" s="11"/>
    </row>
    <row r="4170" spans="1:1" ht="15.75" x14ac:dyDescent="0.25">
      <c r="A4170" s="11"/>
    </row>
    <row r="4171" spans="1:1" ht="15.75" x14ac:dyDescent="0.25">
      <c r="A4171" s="11"/>
    </row>
    <row r="4172" spans="1:1" ht="15.75" x14ac:dyDescent="0.25">
      <c r="A4172" s="11"/>
    </row>
    <row r="4173" spans="1:1" ht="15.75" x14ac:dyDescent="0.25">
      <c r="A4173" s="11"/>
    </row>
    <row r="4174" spans="1:1" ht="15.75" x14ac:dyDescent="0.25">
      <c r="A4174" s="11"/>
    </row>
    <row r="4175" spans="1:1" ht="15.75" x14ac:dyDescent="0.25">
      <c r="A4175" s="11"/>
    </row>
    <row r="4176" spans="1:1" ht="15.75" x14ac:dyDescent="0.25">
      <c r="A4176" s="11"/>
    </row>
    <row r="4177" spans="1:1" ht="15.75" x14ac:dyDescent="0.25">
      <c r="A4177" s="11"/>
    </row>
    <row r="4178" spans="1:1" ht="15.75" x14ac:dyDescent="0.25">
      <c r="A4178" s="11"/>
    </row>
    <row r="4179" spans="1:1" ht="15.75" x14ac:dyDescent="0.25">
      <c r="A4179" s="11"/>
    </row>
    <row r="4180" spans="1:1" ht="15.75" x14ac:dyDescent="0.25">
      <c r="A4180" s="11"/>
    </row>
    <row r="4181" spans="1:1" ht="15.75" x14ac:dyDescent="0.25">
      <c r="A4181" s="11"/>
    </row>
    <row r="4182" spans="1:1" ht="15.75" x14ac:dyDescent="0.25">
      <c r="A4182" s="11"/>
    </row>
    <row r="4183" spans="1:1" ht="15.75" x14ac:dyDescent="0.25">
      <c r="A4183" s="11"/>
    </row>
    <row r="4184" spans="1:1" ht="15.75" x14ac:dyDescent="0.25">
      <c r="A4184" s="11"/>
    </row>
    <row r="4185" spans="1:1" ht="15.75" x14ac:dyDescent="0.25">
      <c r="A4185" s="11"/>
    </row>
    <row r="4186" spans="1:1" ht="15.75" x14ac:dyDescent="0.25">
      <c r="A4186" s="11"/>
    </row>
    <row r="4187" spans="1:1" ht="15.75" x14ac:dyDescent="0.25">
      <c r="A4187" s="11"/>
    </row>
    <row r="4188" spans="1:1" ht="15.75" x14ac:dyDescent="0.25">
      <c r="A4188" s="11"/>
    </row>
    <row r="4189" spans="1:1" ht="15.75" x14ac:dyDescent="0.25">
      <c r="A4189" s="11"/>
    </row>
    <row r="4190" spans="1:1" ht="15.75" x14ac:dyDescent="0.25">
      <c r="A4190" s="11"/>
    </row>
    <row r="4191" spans="1:1" ht="15.75" x14ac:dyDescent="0.25">
      <c r="A4191" s="11"/>
    </row>
    <row r="4192" spans="1:1" ht="15.75" x14ac:dyDescent="0.25">
      <c r="A4192" s="11"/>
    </row>
    <row r="4193" spans="1:1" ht="15.75" x14ac:dyDescent="0.25">
      <c r="A4193" s="11"/>
    </row>
    <row r="4194" spans="1:1" ht="15.75" x14ac:dyDescent="0.25">
      <c r="A4194" s="11"/>
    </row>
    <row r="4195" spans="1:1" ht="15.75" x14ac:dyDescent="0.25">
      <c r="A4195" s="11"/>
    </row>
    <row r="4196" spans="1:1" ht="15.75" x14ac:dyDescent="0.25">
      <c r="A4196" s="11"/>
    </row>
    <row r="4197" spans="1:1" ht="15.75" x14ac:dyDescent="0.25">
      <c r="A4197" s="11"/>
    </row>
    <row r="4198" spans="1:1" ht="15.75" x14ac:dyDescent="0.25">
      <c r="A4198" s="11"/>
    </row>
    <row r="4199" spans="1:1" ht="15.75" x14ac:dyDescent="0.25">
      <c r="A4199" s="11"/>
    </row>
    <row r="4200" spans="1:1" ht="15.75" x14ac:dyDescent="0.25">
      <c r="A4200" s="11"/>
    </row>
    <row r="4201" spans="1:1" ht="15.75" x14ac:dyDescent="0.25">
      <c r="A4201" s="11"/>
    </row>
    <row r="4202" spans="1:1" ht="15.75" x14ac:dyDescent="0.25">
      <c r="A4202" s="11"/>
    </row>
    <row r="4203" spans="1:1" ht="15.75" x14ac:dyDescent="0.25">
      <c r="A4203" s="11"/>
    </row>
    <row r="4204" spans="1:1" ht="15.75" x14ac:dyDescent="0.25">
      <c r="A4204" s="11"/>
    </row>
    <row r="4205" spans="1:1" ht="15.75" x14ac:dyDescent="0.25">
      <c r="A4205" s="11"/>
    </row>
    <row r="4206" spans="1:1" ht="15.75" x14ac:dyDescent="0.25">
      <c r="A4206" s="11"/>
    </row>
    <row r="4207" spans="1:1" ht="15.75" x14ac:dyDescent="0.25">
      <c r="A4207" s="11"/>
    </row>
    <row r="4208" spans="1:1" ht="15.75" x14ac:dyDescent="0.25">
      <c r="A4208" s="11"/>
    </row>
    <row r="4209" spans="1:1" ht="15.75" x14ac:dyDescent="0.25">
      <c r="A4209" s="11"/>
    </row>
    <row r="4210" spans="1:1" ht="15.75" x14ac:dyDescent="0.25">
      <c r="A4210" s="11"/>
    </row>
    <row r="4211" spans="1:1" ht="15.75" x14ac:dyDescent="0.25">
      <c r="A4211" s="11"/>
    </row>
    <row r="4212" spans="1:1" ht="15.75" x14ac:dyDescent="0.25">
      <c r="A4212" s="11"/>
    </row>
    <row r="4213" spans="1:1" ht="15.75" x14ac:dyDescent="0.25">
      <c r="A4213" s="11"/>
    </row>
    <row r="4214" spans="1:1" ht="15.75" x14ac:dyDescent="0.25">
      <c r="A4214" s="11"/>
    </row>
    <row r="4215" spans="1:1" ht="15.75" x14ac:dyDescent="0.25">
      <c r="A4215" s="11"/>
    </row>
    <row r="4216" spans="1:1" ht="15.75" x14ac:dyDescent="0.25">
      <c r="A4216" s="11"/>
    </row>
    <row r="4217" spans="1:1" ht="15.75" x14ac:dyDescent="0.25">
      <c r="A4217" s="11"/>
    </row>
    <row r="4218" spans="1:1" ht="15.75" x14ac:dyDescent="0.25">
      <c r="A4218" s="11"/>
    </row>
    <row r="4219" spans="1:1" ht="15.75" x14ac:dyDescent="0.25">
      <c r="A4219" s="11"/>
    </row>
    <row r="4220" spans="1:1" ht="15.75" x14ac:dyDescent="0.25">
      <c r="A4220" s="11"/>
    </row>
    <row r="4221" spans="1:1" ht="15.75" x14ac:dyDescent="0.25">
      <c r="A4221" s="11"/>
    </row>
    <row r="4222" spans="1:1" ht="15.75" x14ac:dyDescent="0.25">
      <c r="A4222" s="11"/>
    </row>
    <row r="4223" spans="1:1" ht="15.75" x14ac:dyDescent="0.25">
      <c r="A4223" s="11"/>
    </row>
    <row r="4224" spans="1:1" ht="15.75" x14ac:dyDescent="0.25">
      <c r="A4224" s="11"/>
    </row>
    <row r="4225" spans="1:1" ht="15.75" x14ac:dyDescent="0.25">
      <c r="A4225" s="11"/>
    </row>
    <row r="4226" spans="1:1" ht="15.75" x14ac:dyDescent="0.25">
      <c r="A4226" s="11"/>
    </row>
    <row r="4227" spans="1:1" ht="15.75" x14ac:dyDescent="0.25">
      <c r="A4227" s="11"/>
    </row>
    <row r="4228" spans="1:1" ht="15.75" x14ac:dyDescent="0.25">
      <c r="A4228" s="11"/>
    </row>
    <row r="4229" spans="1:1" ht="15.75" x14ac:dyDescent="0.25">
      <c r="A4229" s="11"/>
    </row>
    <row r="4230" spans="1:1" ht="15.75" x14ac:dyDescent="0.25">
      <c r="A4230" s="11"/>
    </row>
    <row r="4231" spans="1:1" ht="15.75" x14ac:dyDescent="0.25">
      <c r="A4231" s="11"/>
    </row>
    <row r="4232" spans="1:1" ht="15.75" x14ac:dyDescent="0.25">
      <c r="A4232" s="11"/>
    </row>
    <row r="4233" spans="1:1" ht="15.75" x14ac:dyDescent="0.25">
      <c r="A4233" s="11"/>
    </row>
    <row r="4234" spans="1:1" ht="15.75" x14ac:dyDescent="0.25">
      <c r="A4234" s="11"/>
    </row>
    <row r="4235" spans="1:1" ht="15.75" x14ac:dyDescent="0.25">
      <c r="A4235" s="11"/>
    </row>
    <row r="4236" spans="1:1" ht="15.75" x14ac:dyDescent="0.25">
      <c r="A4236" s="11"/>
    </row>
    <row r="4237" spans="1:1" ht="15.75" x14ac:dyDescent="0.25">
      <c r="A4237" s="11"/>
    </row>
    <row r="4238" spans="1:1" ht="15.75" x14ac:dyDescent="0.25">
      <c r="A4238" s="11"/>
    </row>
    <row r="4239" spans="1:1" ht="15.75" x14ac:dyDescent="0.25">
      <c r="A4239" s="11"/>
    </row>
    <row r="4240" spans="1:1" ht="15.75" x14ac:dyDescent="0.25">
      <c r="A4240" s="11"/>
    </row>
    <row r="4241" spans="1:1" ht="15.75" x14ac:dyDescent="0.25">
      <c r="A4241" s="11"/>
    </row>
    <row r="4242" spans="1:1" ht="15.75" x14ac:dyDescent="0.25">
      <c r="A4242" s="11"/>
    </row>
    <row r="4243" spans="1:1" ht="15.75" x14ac:dyDescent="0.25">
      <c r="A4243" s="11"/>
    </row>
    <row r="4244" spans="1:1" ht="15.75" x14ac:dyDescent="0.25">
      <c r="A4244" s="11"/>
    </row>
    <row r="4245" spans="1:1" ht="15.75" x14ac:dyDescent="0.25">
      <c r="A4245" s="11"/>
    </row>
    <row r="4246" spans="1:1" ht="15.75" x14ac:dyDescent="0.25">
      <c r="A4246" s="11"/>
    </row>
    <row r="4247" spans="1:1" ht="15.75" x14ac:dyDescent="0.25">
      <c r="A4247" s="11"/>
    </row>
    <row r="4248" spans="1:1" ht="15.75" x14ac:dyDescent="0.25">
      <c r="A4248" s="11"/>
    </row>
    <row r="4249" spans="1:1" ht="15.75" x14ac:dyDescent="0.25">
      <c r="A4249" s="11"/>
    </row>
    <row r="4250" spans="1:1" ht="15.75" x14ac:dyDescent="0.25">
      <c r="A4250" s="11"/>
    </row>
    <row r="4251" spans="1:1" ht="15.75" x14ac:dyDescent="0.25">
      <c r="A4251" s="11"/>
    </row>
    <row r="4252" spans="1:1" ht="15.75" x14ac:dyDescent="0.25">
      <c r="A4252" s="11"/>
    </row>
    <row r="4253" spans="1:1" ht="15.75" x14ac:dyDescent="0.25">
      <c r="A4253" s="11"/>
    </row>
    <row r="4254" spans="1:1" ht="15.75" x14ac:dyDescent="0.25">
      <c r="A4254" s="11"/>
    </row>
    <row r="4255" spans="1:1" ht="15.75" x14ac:dyDescent="0.25">
      <c r="A4255" s="11"/>
    </row>
    <row r="4256" spans="1:1" ht="15.75" x14ac:dyDescent="0.25">
      <c r="A4256" s="11"/>
    </row>
    <row r="4257" spans="1:1" ht="15.75" x14ac:dyDescent="0.25">
      <c r="A4257" s="11"/>
    </row>
    <row r="4258" spans="1:1" ht="15.75" x14ac:dyDescent="0.25">
      <c r="A4258" s="11"/>
    </row>
    <row r="4259" spans="1:1" ht="15.75" x14ac:dyDescent="0.25">
      <c r="A4259" s="11"/>
    </row>
    <row r="4260" spans="1:1" ht="15.75" x14ac:dyDescent="0.25">
      <c r="A4260" s="11"/>
    </row>
    <row r="4261" spans="1:1" ht="15.75" x14ac:dyDescent="0.25">
      <c r="A4261" s="11"/>
    </row>
    <row r="4262" spans="1:1" ht="15.75" x14ac:dyDescent="0.25">
      <c r="A4262" s="11"/>
    </row>
    <row r="4263" spans="1:1" ht="15.75" x14ac:dyDescent="0.25">
      <c r="A4263" s="11"/>
    </row>
    <row r="4264" spans="1:1" ht="15.75" x14ac:dyDescent="0.25">
      <c r="A4264" s="11"/>
    </row>
    <row r="4265" spans="1:1" ht="15.75" x14ac:dyDescent="0.25">
      <c r="A4265" s="11"/>
    </row>
    <row r="4266" spans="1:1" ht="15.75" x14ac:dyDescent="0.25">
      <c r="A4266" s="11"/>
    </row>
    <row r="4267" spans="1:1" ht="15.75" x14ac:dyDescent="0.25">
      <c r="A4267" s="11"/>
    </row>
    <row r="4268" spans="1:1" ht="15.75" x14ac:dyDescent="0.25">
      <c r="A4268" s="11"/>
    </row>
    <row r="4269" spans="1:1" ht="15.75" x14ac:dyDescent="0.25">
      <c r="A4269" s="11"/>
    </row>
    <row r="4270" spans="1:1" ht="15.75" x14ac:dyDescent="0.25">
      <c r="A4270" s="11"/>
    </row>
    <row r="4271" spans="1:1" ht="15.75" x14ac:dyDescent="0.25">
      <c r="A4271" s="11"/>
    </row>
    <row r="4272" spans="1:1" ht="15.75" x14ac:dyDescent="0.25">
      <c r="A4272" s="11"/>
    </row>
    <row r="4273" spans="1:1" ht="15.75" x14ac:dyDescent="0.25">
      <c r="A4273" s="11"/>
    </row>
    <row r="4274" spans="1:1" ht="15.75" x14ac:dyDescent="0.25">
      <c r="A4274" s="11"/>
    </row>
    <row r="4275" spans="1:1" ht="15.75" x14ac:dyDescent="0.25">
      <c r="A4275" s="11"/>
    </row>
    <row r="4276" spans="1:1" ht="15.75" x14ac:dyDescent="0.25">
      <c r="A4276" s="11"/>
    </row>
    <row r="4277" spans="1:1" ht="15.75" x14ac:dyDescent="0.25">
      <c r="A4277" s="11"/>
    </row>
    <row r="4278" spans="1:1" ht="15.75" x14ac:dyDescent="0.25">
      <c r="A4278" s="11"/>
    </row>
    <row r="4279" spans="1:1" ht="15.75" x14ac:dyDescent="0.25">
      <c r="A4279" s="11"/>
    </row>
    <row r="4280" spans="1:1" ht="15.75" x14ac:dyDescent="0.25">
      <c r="A4280" s="11"/>
    </row>
    <row r="4281" spans="1:1" ht="15.75" x14ac:dyDescent="0.25">
      <c r="A4281" s="11"/>
    </row>
    <row r="4282" spans="1:1" ht="15.75" x14ac:dyDescent="0.25">
      <c r="A4282" s="11"/>
    </row>
    <row r="4283" spans="1:1" ht="15.75" x14ac:dyDescent="0.25">
      <c r="A4283" s="11"/>
    </row>
    <row r="4284" spans="1:1" ht="15.75" x14ac:dyDescent="0.25">
      <c r="A4284" s="11"/>
    </row>
    <row r="4285" spans="1:1" ht="15.75" x14ac:dyDescent="0.25">
      <c r="A4285" s="11"/>
    </row>
    <row r="4286" spans="1:1" ht="15.75" x14ac:dyDescent="0.25">
      <c r="A4286" s="11"/>
    </row>
    <row r="4287" spans="1:1" ht="15.75" x14ac:dyDescent="0.25">
      <c r="A4287" s="11"/>
    </row>
    <row r="4288" spans="1:1" ht="15.75" x14ac:dyDescent="0.25">
      <c r="A4288" s="11"/>
    </row>
    <row r="4289" spans="1:1" ht="15.75" x14ac:dyDescent="0.25">
      <c r="A4289" s="11"/>
    </row>
    <row r="4290" spans="1:1" ht="15.75" x14ac:dyDescent="0.25">
      <c r="A4290" s="11"/>
    </row>
    <row r="4291" spans="1:1" ht="15.75" x14ac:dyDescent="0.25">
      <c r="A4291" s="11"/>
    </row>
    <row r="4292" spans="1:1" ht="15.75" x14ac:dyDescent="0.25">
      <c r="A4292" s="11"/>
    </row>
    <row r="4293" spans="1:1" ht="15.75" x14ac:dyDescent="0.25">
      <c r="A4293" s="11"/>
    </row>
    <row r="4294" spans="1:1" ht="15.75" x14ac:dyDescent="0.25">
      <c r="A4294" s="11"/>
    </row>
    <row r="4295" spans="1:1" ht="15.75" x14ac:dyDescent="0.25">
      <c r="A4295" s="11"/>
    </row>
    <row r="4296" spans="1:1" ht="15.75" x14ac:dyDescent="0.25">
      <c r="A4296" s="11"/>
    </row>
    <row r="4297" spans="1:1" ht="15.75" x14ac:dyDescent="0.25">
      <c r="A4297" s="11"/>
    </row>
    <row r="4298" spans="1:1" ht="15.75" x14ac:dyDescent="0.25">
      <c r="A4298" s="11"/>
    </row>
    <row r="4299" spans="1:1" ht="15.75" x14ac:dyDescent="0.25">
      <c r="A4299" s="11"/>
    </row>
    <row r="4300" spans="1:1" ht="15.75" x14ac:dyDescent="0.25">
      <c r="A4300" s="11"/>
    </row>
    <row r="4301" spans="1:1" ht="15.75" x14ac:dyDescent="0.25">
      <c r="A4301" s="11"/>
    </row>
    <row r="4302" spans="1:1" ht="15.75" x14ac:dyDescent="0.25">
      <c r="A4302" s="11"/>
    </row>
    <row r="4303" spans="1:1" ht="15.75" x14ac:dyDescent="0.25">
      <c r="A4303" s="11"/>
    </row>
    <row r="4304" spans="1:1" ht="15.75" x14ac:dyDescent="0.25">
      <c r="A4304" s="11"/>
    </row>
    <row r="4305" spans="1:1" ht="15.75" x14ac:dyDescent="0.25">
      <c r="A4305" s="11"/>
    </row>
    <row r="4306" spans="1:1" ht="15.75" x14ac:dyDescent="0.25">
      <c r="A4306" s="11"/>
    </row>
    <row r="4307" spans="1:1" ht="15.75" x14ac:dyDescent="0.25">
      <c r="A4307" s="11"/>
    </row>
    <row r="4308" spans="1:1" ht="15.75" x14ac:dyDescent="0.25">
      <c r="A4308" s="11"/>
    </row>
    <row r="4309" spans="1:1" ht="15.75" x14ac:dyDescent="0.25">
      <c r="A4309" s="11"/>
    </row>
    <row r="4310" spans="1:1" ht="15.75" x14ac:dyDescent="0.25">
      <c r="A4310" s="11"/>
    </row>
    <row r="4311" spans="1:1" ht="15.75" x14ac:dyDescent="0.25">
      <c r="A4311" s="11"/>
    </row>
    <row r="4312" spans="1:1" ht="15.75" x14ac:dyDescent="0.25">
      <c r="A4312" s="11"/>
    </row>
    <row r="4313" spans="1:1" ht="15.75" x14ac:dyDescent="0.25">
      <c r="A4313" s="11"/>
    </row>
    <row r="4314" spans="1:1" ht="15.75" x14ac:dyDescent="0.25">
      <c r="A4314" s="11"/>
    </row>
    <row r="4315" spans="1:1" ht="15.75" x14ac:dyDescent="0.25">
      <c r="A4315" s="11"/>
    </row>
    <row r="4316" spans="1:1" ht="15.75" x14ac:dyDescent="0.25">
      <c r="A4316" s="11"/>
    </row>
    <row r="4317" spans="1:1" ht="15.75" x14ac:dyDescent="0.25">
      <c r="A4317" s="11"/>
    </row>
    <row r="4318" spans="1:1" ht="15.75" x14ac:dyDescent="0.25">
      <c r="A4318" s="11"/>
    </row>
    <row r="4319" spans="1:1" ht="15.75" x14ac:dyDescent="0.25">
      <c r="A4319" s="11"/>
    </row>
    <row r="4320" spans="1:1" ht="15.75" x14ac:dyDescent="0.25">
      <c r="A4320" s="11"/>
    </row>
    <row r="4321" spans="1:1" ht="15.75" x14ac:dyDescent="0.25">
      <c r="A4321" s="11"/>
    </row>
    <row r="4322" spans="1:1" ht="15.75" x14ac:dyDescent="0.25">
      <c r="A4322" s="11"/>
    </row>
    <row r="4323" spans="1:1" ht="15.75" x14ac:dyDescent="0.25">
      <c r="A4323" s="11"/>
    </row>
    <row r="4324" spans="1:1" ht="15.75" x14ac:dyDescent="0.25">
      <c r="A4324" s="11"/>
    </row>
    <row r="4325" spans="1:1" ht="15.75" x14ac:dyDescent="0.25">
      <c r="A4325" s="11"/>
    </row>
    <row r="4326" spans="1:1" ht="15.75" x14ac:dyDescent="0.25">
      <c r="A4326" s="11"/>
    </row>
    <row r="4327" spans="1:1" ht="15.75" x14ac:dyDescent="0.25">
      <c r="A4327" s="11"/>
    </row>
    <row r="4328" spans="1:1" ht="15.75" x14ac:dyDescent="0.25">
      <c r="A4328" s="11"/>
    </row>
    <row r="4329" spans="1:1" ht="15.75" x14ac:dyDescent="0.25">
      <c r="A4329" s="11"/>
    </row>
    <row r="4330" spans="1:1" ht="15.75" x14ac:dyDescent="0.25">
      <c r="A4330" s="11"/>
    </row>
    <row r="4331" spans="1:1" ht="15.75" x14ac:dyDescent="0.25">
      <c r="A4331" s="11"/>
    </row>
    <row r="4332" spans="1:1" ht="15.75" x14ac:dyDescent="0.25">
      <c r="A4332" s="11"/>
    </row>
    <row r="4333" spans="1:1" ht="15.75" x14ac:dyDescent="0.25">
      <c r="A4333" s="11"/>
    </row>
    <row r="4334" spans="1:1" ht="15.75" x14ac:dyDescent="0.25">
      <c r="A4334" s="11"/>
    </row>
    <row r="4335" spans="1:1" ht="15.75" x14ac:dyDescent="0.25">
      <c r="A4335" s="11"/>
    </row>
    <row r="4336" spans="1:1" ht="15.75" x14ac:dyDescent="0.25">
      <c r="A4336" s="11"/>
    </row>
    <row r="4337" spans="1:1" ht="15.75" x14ac:dyDescent="0.25">
      <c r="A4337" s="11"/>
    </row>
    <row r="4338" spans="1:1" ht="15.75" x14ac:dyDescent="0.25">
      <c r="A4338" s="11"/>
    </row>
    <row r="4339" spans="1:1" ht="15.75" x14ac:dyDescent="0.25">
      <c r="A4339" s="11"/>
    </row>
    <row r="4340" spans="1:1" ht="15.75" x14ac:dyDescent="0.25">
      <c r="A4340" s="11"/>
    </row>
    <row r="4341" spans="1:1" ht="15.75" x14ac:dyDescent="0.25">
      <c r="A4341" s="11"/>
    </row>
    <row r="4342" spans="1:1" ht="15.75" x14ac:dyDescent="0.25">
      <c r="A4342" s="11"/>
    </row>
    <row r="4343" spans="1:1" ht="15.75" x14ac:dyDescent="0.25">
      <c r="A4343" s="11"/>
    </row>
    <row r="4344" spans="1:1" ht="15.75" x14ac:dyDescent="0.25">
      <c r="A4344" s="11"/>
    </row>
    <row r="4345" spans="1:1" ht="15.75" x14ac:dyDescent="0.25">
      <c r="A4345" s="11"/>
    </row>
    <row r="4346" spans="1:1" ht="15.75" x14ac:dyDescent="0.25">
      <c r="A4346" s="11"/>
    </row>
    <row r="4347" spans="1:1" ht="15.75" x14ac:dyDescent="0.25">
      <c r="A4347" s="11"/>
    </row>
    <row r="4348" spans="1:1" ht="15.75" x14ac:dyDescent="0.25">
      <c r="A4348" s="11"/>
    </row>
    <row r="4349" spans="1:1" ht="15.75" x14ac:dyDescent="0.25">
      <c r="A4349" s="11"/>
    </row>
    <row r="4350" spans="1:1" ht="15.75" x14ac:dyDescent="0.25">
      <c r="A4350" s="11"/>
    </row>
    <row r="4351" spans="1:1" ht="15.75" x14ac:dyDescent="0.25">
      <c r="A4351" s="11"/>
    </row>
    <row r="4352" spans="1:1" ht="15.75" x14ac:dyDescent="0.25">
      <c r="A4352" s="11"/>
    </row>
    <row r="4353" spans="1:1" ht="15.75" x14ac:dyDescent="0.25">
      <c r="A4353" s="11"/>
    </row>
    <row r="4354" spans="1:1" ht="15.75" x14ac:dyDescent="0.25">
      <c r="A4354" s="11"/>
    </row>
    <row r="4355" spans="1:1" ht="15.75" x14ac:dyDescent="0.25">
      <c r="A4355" s="11"/>
    </row>
    <row r="4356" spans="1:1" ht="15.75" x14ac:dyDescent="0.25">
      <c r="A4356" s="11"/>
    </row>
    <row r="4357" spans="1:1" ht="15.75" x14ac:dyDescent="0.25">
      <c r="A4357" s="11"/>
    </row>
    <row r="4358" spans="1:1" ht="15.75" x14ac:dyDescent="0.25">
      <c r="A4358" s="11"/>
    </row>
    <row r="4359" spans="1:1" ht="15.75" x14ac:dyDescent="0.25">
      <c r="A4359" s="11"/>
    </row>
    <row r="4360" spans="1:1" ht="15.75" x14ac:dyDescent="0.25">
      <c r="A4360" s="11"/>
    </row>
    <row r="4361" spans="1:1" ht="15.75" x14ac:dyDescent="0.25">
      <c r="A4361" s="11"/>
    </row>
    <row r="4362" spans="1:1" ht="15.75" x14ac:dyDescent="0.25">
      <c r="A4362" s="11"/>
    </row>
    <row r="4363" spans="1:1" ht="15.75" x14ac:dyDescent="0.25">
      <c r="A4363" s="11"/>
    </row>
    <row r="4364" spans="1:1" ht="15.75" x14ac:dyDescent="0.25">
      <c r="A4364" s="11"/>
    </row>
    <row r="4365" spans="1:1" ht="15.75" x14ac:dyDescent="0.25">
      <c r="A4365" s="11"/>
    </row>
    <row r="4366" spans="1:1" ht="15.75" x14ac:dyDescent="0.25">
      <c r="A4366" s="11"/>
    </row>
    <row r="4367" spans="1:1" ht="15.75" x14ac:dyDescent="0.25">
      <c r="A4367" s="11"/>
    </row>
    <row r="4368" spans="1:1" ht="15.75" x14ac:dyDescent="0.25">
      <c r="A4368" s="11"/>
    </row>
    <row r="4369" spans="1:1" ht="15.75" x14ac:dyDescent="0.25">
      <c r="A4369" s="11"/>
    </row>
    <row r="4370" spans="1:1" ht="15.75" x14ac:dyDescent="0.25">
      <c r="A4370" s="11"/>
    </row>
    <row r="4371" spans="1:1" ht="15.75" x14ac:dyDescent="0.25">
      <c r="A4371" s="11"/>
    </row>
    <row r="4372" spans="1:1" ht="15.75" x14ac:dyDescent="0.25">
      <c r="A4372" s="11"/>
    </row>
    <row r="4373" spans="1:1" ht="15.75" x14ac:dyDescent="0.25">
      <c r="A4373" s="11"/>
    </row>
    <row r="4374" spans="1:1" ht="15.75" x14ac:dyDescent="0.25">
      <c r="A4374" s="11"/>
    </row>
    <row r="4375" spans="1:1" ht="15.75" x14ac:dyDescent="0.25">
      <c r="A4375" s="11"/>
    </row>
    <row r="4376" spans="1:1" ht="15.75" x14ac:dyDescent="0.25">
      <c r="A4376" s="11"/>
    </row>
    <row r="4377" spans="1:1" ht="15.75" x14ac:dyDescent="0.25">
      <c r="A4377" s="11"/>
    </row>
    <row r="4378" spans="1:1" ht="15.75" x14ac:dyDescent="0.25">
      <c r="A4378" s="11"/>
    </row>
    <row r="4379" spans="1:1" ht="15.75" x14ac:dyDescent="0.25">
      <c r="A4379" s="11"/>
    </row>
    <row r="4380" spans="1:1" ht="15.75" x14ac:dyDescent="0.25">
      <c r="A4380" s="11"/>
    </row>
    <row r="4381" spans="1:1" ht="15.75" x14ac:dyDescent="0.25">
      <c r="A4381" s="11"/>
    </row>
    <row r="4382" spans="1:1" ht="15.75" x14ac:dyDescent="0.25">
      <c r="A4382" s="11"/>
    </row>
    <row r="4383" spans="1:1" ht="15.75" x14ac:dyDescent="0.25">
      <c r="A4383" s="11"/>
    </row>
    <row r="4384" spans="1:1" ht="15.75" x14ac:dyDescent="0.25">
      <c r="A4384" s="11"/>
    </row>
    <row r="4385" spans="1:1" ht="15.75" x14ac:dyDescent="0.25">
      <c r="A4385" s="11"/>
    </row>
    <row r="4386" spans="1:1" ht="15.75" x14ac:dyDescent="0.25">
      <c r="A4386" s="11"/>
    </row>
    <row r="4387" spans="1:1" ht="15.75" x14ac:dyDescent="0.25">
      <c r="A4387" s="11"/>
    </row>
    <row r="4388" spans="1:1" ht="15.75" x14ac:dyDescent="0.25">
      <c r="A4388" s="11"/>
    </row>
    <row r="4389" spans="1:1" ht="15.75" x14ac:dyDescent="0.25">
      <c r="A4389" s="11"/>
    </row>
    <row r="4390" spans="1:1" ht="15.75" x14ac:dyDescent="0.25">
      <c r="A4390" s="11"/>
    </row>
    <row r="4391" spans="1:1" ht="15.75" x14ac:dyDescent="0.25">
      <c r="A4391" s="11"/>
    </row>
    <row r="4392" spans="1:1" ht="15.75" x14ac:dyDescent="0.25">
      <c r="A4392" s="11"/>
    </row>
    <row r="4393" spans="1:1" ht="15.75" x14ac:dyDescent="0.25">
      <c r="A4393" s="11"/>
    </row>
    <row r="4394" spans="1:1" ht="15.75" x14ac:dyDescent="0.25">
      <c r="A4394" s="11"/>
    </row>
    <row r="4395" spans="1:1" ht="15.75" x14ac:dyDescent="0.25">
      <c r="A4395" s="11"/>
    </row>
    <row r="4396" spans="1:1" ht="15.75" x14ac:dyDescent="0.25">
      <c r="A4396" s="11"/>
    </row>
    <row r="4397" spans="1:1" ht="15.75" x14ac:dyDescent="0.25">
      <c r="A4397" s="11"/>
    </row>
    <row r="4398" spans="1:1" ht="15.75" x14ac:dyDescent="0.25">
      <c r="A4398" s="11"/>
    </row>
    <row r="4399" spans="1:1" ht="15.75" x14ac:dyDescent="0.25">
      <c r="A4399" s="11"/>
    </row>
    <row r="4400" spans="1:1" ht="15.75" x14ac:dyDescent="0.25">
      <c r="A4400" s="11"/>
    </row>
    <row r="4401" spans="1:1" ht="15.75" x14ac:dyDescent="0.25">
      <c r="A4401" s="11"/>
    </row>
    <row r="4402" spans="1:1" ht="15.75" x14ac:dyDescent="0.25">
      <c r="A4402" s="11"/>
    </row>
    <row r="4403" spans="1:1" ht="15.75" x14ac:dyDescent="0.25">
      <c r="A4403" s="11"/>
    </row>
    <row r="4404" spans="1:1" ht="15.75" x14ac:dyDescent="0.25">
      <c r="A4404" s="11"/>
    </row>
    <row r="4405" spans="1:1" ht="15.75" x14ac:dyDescent="0.25">
      <c r="A4405" s="11"/>
    </row>
    <row r="4406" spans="1:1" ht="15.75" x14ac:dyDescent="0.25">
      <c r="A4406" s="11"/>
    </row>
    <row r="4407" spans="1:1" ht="15.75" x14ac:dyDescent="0.25">
      <c r="A4407" s="11"/>
    </row>
    <row r="4408" spans="1:1" ht="15.75" x14ac:dyDescent="0.25">
      <c r="A4408" s="11"/>
    </row>
    <row r="4409" spans="1:1" ht="15.75" x14ac:dyDescent="0.25">
      <c r="A4409" s="11"/>
    </row>
    <row r="4410" spans="1:1" ht="15.75" x14ac:dyDescent="0.25">
      <c r="A4410" s="11"/>
    </row>
    <row r="4411" spans="1:1" ht="15.75" x14ac:dyDescent="0.25">
      <c r="A4411" s="11"/>
    </row>
    <row r="4412" spans="1:1" ht="15.75" x14ac:dyDescent="0.25">
      <c r="A4412" s="11"/>
    </row>
    <row r="4413" spans="1:1" ht="15.75" x14ac:dyDescent="0.25">
      <c r="A4413" s="11"/>
    </row>
    <row r="4414" spans="1:1" ht="15.75" x14ac:dyDescent="0.25">
      <c r="A4414" s="11"/>
    </row>
    <row r="4415" spans="1:1" ht="15.75" x14ac:dyDescent="0.25">
      <c r="A4415" s="11"/>
    </row>
    <row r="4416" spans="1:1" ht="15.75" x14ac:dyDescent="0.25">
      <c r="A4416" s="11"/>
    </row>
    <row r="4417" spans="1:1" ht="15.75" x14ac:dyDescent="0.25">
      <c r="A4417" s="11"/>
    </row>
    <row r="4418" spans="1:1" ht="15.75" x14ac:dyDescent="0.25">
      <c r="A4418" s="11"/>
    </row>
    <row r="4419" spans="1:1" ht="15.75" x14ac:dyDescent="0.25">
      <c r="A4419" s="11"/>
    </row>
    <row r="4420" spans="1:1" ht="15.75" x14ac:dyDescent="0.25">
      <c r="A4420" s="11"/>
    </row>
    <row r="4421" spans="1:1" ht="15.75" x14ac:dyDescent="0.25">
      <c r="A4421" s="11"/>
    </row>
    <row r="4422" spans="1:1" ht="15.75" x14ac:dyDescent="0.25">
      <c r="A4422" s="11"/>
    </row>
    <row r="4423" spans="1:1" ht="15.75" x14ac:dyDescent="0.25">
      <c r="A4423" s="11"/>
    </row>
    <row r="4424" spans="1:1" ht="15.75" x14ac:dyDescent="0.25">
      <c r="A4424" s="11"/>
    </row>
    <row r="4425" spans="1:1" ht="15.75" x14ac:dyDescent="0.25">
      <c r="A4425" s="11"/>
    </row>
    <row r="4426" spans="1:1" ht="15.75" x14ac:dyDescent="0.25">
      <c r="A4426" s="11"/>
    </row>
    <row r="4427" spans="1:1" ht="15.75" x14ac:dyDescent="0.25">
      <c r="A4427" s="11"/>
    </row>
    <row r="4428" spans="1:1" ht="15.75" x14ac:dyDescent="0.25">
      <c r="A4428" s="11"/>
    </row>
    <row r="4429" spans="1:1" ht="15.75" x14ac:dyDescent="0.25">
      <c r="A4429" s="11"/>
    </row>
    <row r="4430" spans="1:1" ht="15.75" x14ac:dyDescent="0.25">
      <c r="A4430" s="11"/>
    </row>
    <row r="4431" spans="1:1" ht="15.75" x14ac:dyDescent="0.25">
      <c r="A4431" s="11"/>
    </row>
    <row r="4432" spans="1:1" ht="15.75" x14ac:dyDescent="0.25">
      <c r="A4432" s="11"/>
    </row>
    <row r="4433" spans="1:1" ht="15.75" x14ac:dyDescent="0.25">
      <c r="A4433" s="11"/>
    </row>
    <row r="4434" spans="1:1" ht="15.75" x14ac:dyDescent="0.25">
      <c r="A4434" s="11"/>
    </row>
    <row r="4435" spans="1:1" ht="15.75" x14ac:dyDescent="0.25">
      <c r="A4435" s="11"/>
    </row>
    <row r="4436" spans="1:1" ht="15.75" x14ac:dyDescent="0.25">
      <c r="A4436" s="11"/>
    </row>
    <row r="4437" spans="1:1" ht="15.75" x14ac:dyDescent="0.25">
      <c r="A4437" s="11"/>
    </row>
    <row r="4438" spans="1:1" ht="15.75" x14ac:dyDescent="0.25">
      <c r="A4438" s="11"/>
    </row>
    <row r="4439" spans="1:1" ht="15.75" x14ac:dyDescent="0.25">
      <c r="A4439" s="11"/>
    </row>
    <row r="4440" spans="1:1" ht="15.75" x14ac:dyDescent="0.25">
      <c r="A4440" s="11"/>
    </row>
    <row r="4441" spans="1:1" ht="15.75" x14ac:dyDescent="0.25">
      <c r="A4441" s="11"/>
    </row>
    <row r="4442" spans="1:1" ht="15.75" x14ac:dyDescent="0.25">
      <c r="A4442" s="11"/>
    </row>
    <row r="4443" spans="1:1" ht="15.75" x14ac:dyDescent="0.25">
      <c r="A4443" s="11"/>
    </row>
    <row r="4444" spans="1:1" ht="15.75" x14ac:dyDescent="0.25">
      <c r="A4444" s="11"/>
    </row>
    <row r="4445" spans="1:1" ht="15.75" x14ac:dyDescent="0.25">
      <c r="A4445" s="11"/>
    </row>
    <row r="4446" spans="1:1" ht="15.75" x14ac:dyDescent="0.25">
      <c r="A4446" s="11"/>
    </row>
    <row r="4447" spans="1:1" ht="15.75" x14ac:dyDescent="0.25">
      <c r="A4447" s="11"/>
    </row>
    <row r="4448" spans="1:1" ht="15.75" x14ac:dyDescent="0.25">
      <c r="A4448" s="11"/>
    </row>
    <row r="4449" spans="1:1" ht="15.75" x14ac:dyDescent="0.25">
      <c r="A4449" s="11"/>
    </row>
    <row r="4450" spans="1:1" ht="15.75" x14ac:dyDescent="0.25">
      <c r="A4450" s="11"/>
    </row>
    <row r="4451" spans="1:1" ht="15.75" x14ac:dyDescent="0.25">
      <c r="A4451" s="11"/>
    </row>
    <row r="4452" spans="1:1" ht="15.75" x14ac:dyDescent="0.25">
      <c r="A4452" s="11"/>
    </row>
    <row r="4453" spans="1:1" ht="15.75" x14ac:dyDescent="0.25">
      <c r="A4453" s="11"/>
    </row>
    <row r="4454" spans="1:1" ht="15.75" x14ac:dyDescent="0.25">
      <c r="A4454" s="11"/>
    </row>
    <row r="4455" spans="1:1" ht="15.75" x14ac:dyDescent="0.25">
      <c r="A4455" s="11"/>
    </row>
    <row r="4456" spans="1:1" ht="15.75" x14ac:dyDescent="0.25">
      <c r="A4456" s="11"/>
    </row>
    <row r="4457" spans="1:1" ht="15.75" x14ac:dyDescent="0.25">
      <c r="A4457" s="11"/>
    </row>
    <row r="4458" spans="1:1" ht="15.75" x14ac:dyDescent="0.25">
      <c r="A4458" s="11"/>
    </row>
    <row r="4459" spans="1:1" ht="15.75" x14ac:dyDescent="0.25">
      <c r="A4459" s="11"/>
    </row>
    <row r="4460" spans="1:1" ht="15.75" x14ac:dyDescent="0.25">
      <c r="A4460" s="11"/>
    </row>
    <row r="4461" spans="1:1" ht="15.75" x14ac:dyDescent="0.25">
      <c r="A4461" s="11"/>
    </row>
    <row r="4462" spans="1:1" ht="15.75" x14ac:dyDescent="0.25">
      <c r="A4462" s="11"/>
    </row>
    <row r="4463" spans="1:1" ht="15.75" x14ac:dyDescent="0.25">
      <c r="A4463" s="11"/>
    </row>
    <row r="4464" spans="1:1" ht="15.75" x14ac:dyDescent="0.25">
      <c r="A4464" s="11"/>
    </row>
    <row r="4465" spans="1:1" ht="15.75" x14ac:dyDescent="0.25">
      <c r="A4465" s="11"/>
    </row>
    <row r="4466" spans="1:1" ht="15.75" x14ac:dyDescent="0.25">
      <c r="A4466" s="11"/>
    </row>
    <row r="4467" spans="1:1" ht="15.75" x14ac:dyDescent="0.25">
      <c r="A4467" s="11"/>
    </row>
    <row r="4468" spans="1:1" ht="15.75" x14ac:dyDescent="0.25">
      <c r="A4468" s="11"/>
    </row>
    <row r="4469" spans="1:1" ht="15.75" x14ac:dyDescent="0.25">
      <c r="A4469" s="11"/>
    </row>
    <row r="4470" spans="1:1" ht="15.75" x14ac:dyDescent="0.25">
      <c r="A4470" s="11"/>
    </row>
    <row r="4471" spans="1:1" ht="15.75" x14ac:dyDescent="0.25">
      <c r="A4471" s="11"/>
    </row>
    <row r="4472" spans="1:1" ht="15.75" x14ac:dyDescent="0.25">
      <c r="A4472" s="11"/>
    </row>
    <row r="4473" spans="1:1" ht="15.75" x14ac:dyDescent="0.25">
      <c r="A4473" s="11"/>
    </row>
    <row r="4474" spans="1:1" ht="15.75" x14ac:dyDescent="0.25">
      <c r="A4474" s="11"/>
    </row>
    <row r="4475" spans="1:1" ht="15.75" x14ac:dyDescent="0.25">
      <c r="A4475" s="11"/>
    </row>
    <row r="4476" spans="1:1" ht="15.75" x14ac:dyDescent="0.25">
      <c r="A4476" s="11"/>
    </row>
    <row r="4477" spans="1:1" ht="15.75" x14ac:dyDescent="0.25">
      <c r="A4477" s="11"/>
    </row>
    <row r="4478" spans="1:1" ht="15.75" x14ac:dyDescent="0.25">
      <c r="A4478" s="11"/>
    </row>
    <row r="4479" spans="1:1" ht="15.75" x14ac:dyDescent="0.25">
      <c r="A4479" s="11"/>
    </row>
    <row r="4480" spans="1:1" ht="15.75" x14ac:dyDescent="0.25">
      <c r="A4480" s="11"/>
    </row>
    <row r="4481" spans="1:1" ht="15.75" x14ac:dyDescent="0.25">
      <c r="A4481" s="11"/>
    </row>
    <row r="4482" spans="1:1" ht="15.75" x14ac:dyDescent="0.25">
      <c r="A4482" s="11"/>
    </row>
    <row r="4483" spans="1:1" ht="15.75" x14ac:dyDescent="0.25">
      <c r="A4483" s="11"/>
    </row>
    <row r="4484" spans="1:1" ht="15.75" x14ac:dyDescent="0.25">
      <c r="A4484" s="11"/>
    </row>
    <row r="4485" spans="1:1" ht="15.75" x14ac:dyDescent="0.25">
      <c r="A4485" s="11"/>
    </row>
    <row r="4486" spans="1:1" ht="15.75" x14ac:dyDescent="0.25">
      <c r="A4486" s="11"/>
    </row>
    <row r="4487" spans="1:1" ht="15.75" x14ac:dyDescent="0.25">
      <c r="A4487" s="11"/>
    </row>
    <row r="4488" spans="1:1" ht="15.75" x14ac:dyDescent="0.25">
      <c r="A4488" s="11"/>
    </row>
    <row r="4489" spans="1:1" ht="15.75" x14ac:dyDescent="0.25">
      <c r="A4489" s="11"/>
    </row>
    <row r="4490" spans="1:1" ht="15.75" x14ac:dyDescent="0.25">
      <c r="A4490" s="11"/>
    </row>
    <row r="4491" spans="1:1" ht="15.75" x14ac:dyDescent="0.25">
      <c r="A4491" s="11"/>
    </row>
    <row r="4492" spans="1:1" ht="15.75" x14ac:dyDescent="0.25">
      <c r="A4492" s="11"/>
    </row>
    <row r="4493" spans="1:1" ht="15.75" x14ac:dyDescent="0.25">
      <c r="A4493" s="11"/>
    </row>
    <row r="4494" spans="1:1" ht="15.75" x14ac:dyDescent="0.25">
      <c r="A4494" s="11"/>
    </row>
    <row r="4495" spans="1:1" ht="15.75" x14ac:dyDescent="0.25">
      <c r="A4495" s="11"/>
    </row>
    <row r="4496" spans="1:1" ht="15.75" x14ac:dyDescent="0.25">
      <c r="A4496" s="11"/>
    </row>
    <row r="4497" spans="1:1" ht="15.75" x14ac:dyDescent="0.25">
      <c r="A4497" s="11"/>
    </row>
    <row r="4498" spans="1:1" ht="15.75" x14ac:dyDescent="0.25">
      <c r="A4498" s="11"/>
    </row>
    <row r="4499" spans="1:1" ht="15.75" x14ac:dyDescent="0.25">
      <c r="A4499" s="11"/>
    </row>
    <row r="4500" spans="1:1" ht="15.75" x14ac:dyDescent="0.25">
      <c r="A4500" s="11"/>
    </row>
    <row r="4501" spans="1:1" ht="15.75" x14ac:dyDescent="0.25">
      <c r="A4501" s="11"/>
    </row>
    <row r="4502" spans="1:1" ht="15.75" x14ac:dyDescent="0.25">
      <c r="A4502" s="11"/>
    </row>
    <row r="4503" spans="1:1" ht="15.75" x14ac:dyDescent="0.25">
      <c r="A4503" s="11"/>
    </row>
    <row r="4504" spans="1:1" ht="15.75" x14ac:dyDescent="0.25">
      <c r="A4504" s="11"/>
    </row>
    <row r="4505" spans="1:1" ht="15.75" x14ac:dyDescent="0.25">
      <c r="A4505" s="11"/>
    </row>
    <row r="4506" spans="1:1" ht="15.75" x14ac:dyDescent="0.25">
      <c r="A4506" s="11"/>
    </row>
    <row r="4507" spans="1:1" ht="15.75" x14ac:dyDescent="0.25">
      <c r="A4507" s="11"/>
    </row>
    <row r="4508" spans="1:1" ht="15.75" x14ac:dyDescent="0.25">
      <c r="A4508" s="11"/>
    </row>
    <row r="4509" spans="1:1" ht="15.75" x14ac:dyDescent="0.25">
      <c r="A4509" s="11"/>
    </row>
    <row r="4510" spans="1:1" ht="15.75" x14ac:dyDescent="0.25">
      <c r="A4510" s="11"/>
    </row>
    <row r="4511" spans="1:1" ht="15.75" x14ac:dyDescent="0.25">
      <c r="A4511" s="11"/>
    </row>
    <row r="4512" spans="1:1" ht="15.75" x14ac:dyDescent="0.25">
      <c r="A4512" s="11"/>
    </row>
    <row r="4513" spans="1:1" ht="15.75" x14ac:dyDescent="0.25">
      <c r="A4513" s="11"/>
    </row>
    <row r="4514" spans="1:1" ht="15.75" x14ac:dyDescent="0.25">
      <c r="A4514" s="11"/>
    </row>
    <row r="4515" spans="1:1" ht="15.75" x14ac:dyDescent="0.25">
      <c r="A4515" s="11"/>
    </row>
    <row r="4516" spans="1:1" ht="15.75" x14ac:dyDescent="0.25">
      <c r="A4516" s="11"/>
    </row>
    <row r="4517" spans="1:1" ht="15.75" x14ac:dyDescent="0.25">
      <c r="A4517" s="11"/>
    </row>
    <row r="4518" spans="1:1" ht="15.75" x14ac:dyDescent="0.25">
      <c r="A4518" s="11"/>
    </row>
    <row r="4519" spans="1:1" ht="15.75" x14ac:dyDescent="0.25">
      <c r="A4519" s="11"/>
    </row>
    <row r="4520" spans="1:1" ht="15.75" x14ac:dyDescent="0.25">
      <c r="A4520" s="11"/>
    </row>
    <row r="4521" spans="1:1" ht="15.75" x14ac:dyDescent="0.25">
      <c r="A4521" s="11"/>
    </row>
    <row r="4522" spans="1:1" ht="15.75" x14ac:dyDescent="0.25">
      <c r="A4522" s="11"/>
    </row>
    <row r="4523" spans="1:1" ht="15.75" x14ac:dyDescent="0.25">
      <c r="A4523" s="11"/>
    </row>
    <row r="4524" spans="1:1" ht="15.75" x14ac:dyDescent="0.25">
      <c r="A4524" s="11"/>
    </row>
    <row r="4525" spans="1:1" ht="15.75" x14ac:dyDescent="0.25">
      <c r="A4525" s="11"/>
    </row>
    <row r="4526" spans="1:1" ht="15.75" x14ac:dyDescent="0.25">
      <c r="A4526" s="11"/>
    </row>
    <row r="4527" spans="1:1" ht="15.75" x14ac:dyDescent="0.25">
      <c r="A4527" s="11"/>
    </row>
    <row r="4528" spans="1:1" ht="15.75" x14ac:dyDescent="0.25">
      <c r="A4528" s="11"/>
    </row>
    <row r="4529" spans="1:1" ht="15.75" x14ac:dyDescent="0.25">
      <c r="A4529" s="11"/>
    </row>
    <row r="4530" spans="1:1" ht="15.75" x14ac:dyDescent="0.25">
      <c r="A4530" s="11"/>
    </row>
    <row r="4531" spans="1:1" ht="15.75" x14ac:dyDescent="0.25">
      <c r="A4531" s="11"/>
    </row>
    <row r="4532" spans="1:1" ht="15.75" x14ac:dyDescent="0.25">
      <c r="A4532" s="11"/>
    </row>
    <row r="4533" spans="1:1" ht="15.75" x14ac:dyDescent="0.25">
      <c r="A4533" s="11"/>
    </row>
    <row r="4534" spans="1:1" ht="15.75" x14ac:dyDescent="0.25">
      <c r="A4534" s="11"/>
    </row>
    <row r="4535" spans="1:1" ht="15.75" x14ac:dyDescent="0.25">
      <c r="A4535" s="11"/>
    </row>
    <row r="4536" spans="1:1" ht="15.75" x14ac:dyDescent="0.25">
      <c r="A4536" s="11"/>
    </row>
    <row r="4537" spans="1:1" ht="15.75" x14ac:dyDescent="0.25">
      <c r="A4537" s="11"/>
    </row>
    <row r="4538" spans="1:1" ht="15.75" x14ac:dyDescent="0.25">
      <c r="A4538" s="11"/>
    </row>
    <row r="4539" spans="1:1" ht="15.75" x14ac:dyDescent="0.25">
      <c r="A4539" s="11"/>
    </row>
    <row r="4540" spans="1:1" ht="15.75" x14ac:dyDescent="0.25">
      <c r="A4540" s="11"/>
    </row>
    <row r="4541" spans="1:1" ht="15.75" x14ac:dyDescent="0.25">
      <c r="A4541" s="11"/>
    </row>
    <row r="4542" spans="1:1" ht="15.75" x14ac:dyDescent="0.25">
      <c r="A4542" s="11"/>
    </row>
    <row r="4543" spans="1:1" ht="15.75" x14ac:dyDescent="0.25">
      <c r="A4543" s="11"/>
    </row>
    <row r="4544" spans="1:1" ht="15.75" x14ac:dyDescent="0.25">
      <c r="A4544" s="11"/>
    </row>
    <row r="4545" spans="1:1" ht="15.75" x14ac:dyDescent="0.25">
      <c r="A4545" s="11"/>
    </row>
    <row r="4546" spans="1:1" ht="15.75" x14ac:dyDescent="0.25">
      <c r="A4546" s="11"/>
    </row>
    <row r="4547" spans="1:1" ht="15.75" x14ac:dyDescent="0.25">
      <c r="A4547" s="11"/>
    </row>
    <row r="4548" spans="1:1" ht="15.75" x14ac:dyDescent="0.25">
      <c r="A4548" s="11"/>
    </row>
    <row r="4549" spans="1:1" ht="15.75" x14ac:dyDescent="0.25">
      <c r="A4549" s="11"/>
    </row>
    <row r="4550" spans="1:1" ht="15.75" x14ac:dyDescent="0.25">
      <c r="A4550" s="11"/>
    </row>
    <row r="4551" spans="1:1" ht="15.75" x14ac:dyDescent="0.25">
      <c r="A4551" s="11"/>
    </row>
    <row r="4552" spans="1:1" ht="15.75" x14ac:dyDescent="0.25">
      <c r="A4552" s="11"/>
    </row>
    <row r="4553" spans="1:1" ht="15.75" x14ac:dyDescent="0.25">
      <c r="A4553" s="11"/>
    </row>
    <row r="4554" spans="1:1" ht="15.75" x14ac:dyDescent="0.25">
      <c r="A4554" s="11"/>
    </row>
    <row r="4555" spans="1:1" ht="15.75" x14ac:dyDescent="0.25">
      <c r="A4555" s="11"/>
    </row>
    <row r="4556" spans="1:1" ht="15.75" x14ac:dyDescent="0.25">
      <c r="A4556" s="11"/>
    </row>
    <row r="4557" spans="1:1" ht="15.75" x14ac:dyDescent="0.25">
      <c r="A4557" s="11"/>
    </row>
    <row r="4558" spans="1:1" ht="15.75" x14ac:dyDescent="0.25">
      <c r="A4558" s="11"/>
    </row>
    <row r="4559" spans="1:1" ht="15.75" x14ac:dyDescent="0.25">
      <c r="A4559" s="11"/>
    </row>
    <row r="4560" spans="1:1" ht="15.75" x14ac:dyDescent="0.25">
      <c r="A4560" s="11"/>
    </row>
    <row r="4561" spans="1:1" ht="15.75" x14ac:dyDescent="0.25">
      <c r="A4561" s="11"/>
    </row>
    <row r="4562" spans="1:1" ht="15.75" x14ac:dyDescent="0.25">
      <c r="A4562" s="11"/>
    </row>
    <row r="4563" spans="1:1" ht="15.75" x14ac:dyDescent="0.25">
      <c r="A4563" s="11"/>
    </row>
    <row r="4564" spans="1:1" ht="15.75" x14ac:dyDescent="0.25">
      <c r="A4564" s="11"/>
    </row>
    <row r="4565" spans="1:1" ht="15.75" x14ac:dyDescent="0.25">
      <c r="A4565" s="11"/>
    </row>
    <row r="4566" spans="1:1" ht="15.75" x14ac:dyDescent="0.25">
      <c r="A4566" s="11"/>
    </row>
    <row r="4567" spans="1:1" ht="15.75" x14ac:dyDescent="0.25">
      <c r="A4567" s="11"/>
    </row>
    <row r="4568" spans="1:1" ht="15.75" x14ac:dyDescent="0.25">
      <c r="A4568" s="11"/>
    </row>
    <row r="4569" spans="1:1" ht="15.75" x14ac:dyDescent="0.25">
      <c r="A4569" s="11"/>
    </row>
    <row r="4570" spans="1:1" ht="15.75" x14ac:dyDescent="0.25">
      <c r="A4570" s="11"/>
    </row>
    <row r="4571" spans="1:1" ht="15.75" x14ac:dyDescent="0.25">
      <c r="A4571" s="11"/>
    </row>
    <row r="4572" spans="1:1" ht="15.75" x14ac:dyDescent="0.25">
      <c r="A4572" s="11"/>
    </row>
    <row r="4573" spans="1:1" ht="15.75" x14ac:dyDescent="0.25">
      <c r="A4573" s="11"/>
    </row>
    <row r="4574" spans="1:1" ht="15.75" x14ac:dyDescent="0.25">
      <c r="A4574" s="11"/>
    </row>
    <row r="4575" spans="1:1" ht="15.75" x14ac:dyDescent="0.25">
      <c r="A4575" s="11"/>
    </row>
    <row r="4576" spans="1:1" ht="15.75" x14ac:dyDescent="0.25">
      <c r="A4576" s="11"/>
    </row>
    <row r="4577" spans="1:1" ht="15.75" x14ac:dyDescent="0.25">
      <c r="A4577" s="11"/>
    </row>
    <row r="4578" spans="1:1" ht="15.75" x14ac:dyDescent="0.25">
      <c r="A4578" s="11"/>
    </row>
    <row r="4579" spans="1:1" ht="15.75" x14ac:dyDescent="0.25">
      <c r="A4579" s="11"/>
    </row>
    <row r="4580" spans="1:1" ht="15.75" x14ac:dyDescent="0.25">
      <c r="A4580" s="11"/>
    </row>
    <row r="4581" spans="1:1" ht="15.75" x14ac:dyDescent="0.25">
      <c r="A4581" s="11"/>
    </row>
    <row r="4582" spans="1:1" ht="15.75" x14ac:dyDescent="0.25">
      <c r="A4582" s="11"/>
    </row>
    <row r="4583" spans="1:1" ht="15.75" x14ac:dyDescent="0.25">
      <c r="A4583" s="11"/>
    </row>
    <row r="4584" spans="1:1" ht="15.75" x14ac:dyDescent="0.25">
      <c r="A4584" s="11"/>
    </row>
    <row r="4585" spans="1:1" ht="15.75" x14ac:dyDescent="0.25">
      <c r="A4585" s="11"/>
    </row>
    <row r="4586" spans="1:1" ht="15.75" x14ac:dyDescent="0.25">
      <c r="A4586" s="11"/>
    </row>
    <row r="4587" spans="1:1" ht="15.75" x14ac:dyDescent="0.25">
      <c r="A4587" s="11"/>
    </row>
    <row r="4588" spans="1:1" ht="15.75" x14ac:dyDescent="0.25">
      <c r="A4588" s="11"/>
    </row>
    <row r="4589" spans="1:1" ht="15.75" x14ac:dyDescent="0.25">
      <c r="A4589" s="11"/>
    </row>
    <row r="4590" spans="1:1" ht="15.75" x14ac:dyDescent="0.25">
      <c r="A4590" s="11"/>
    </row>
    <row r="4591" spans="1:1" ht="15.75" x14ac:dyDescent="0.25">
      <c r="A4591" s="11"/>
    </row>
    <row r="4592" spans="1:1" ht="15.75" x14ac:dyDescent="0.25">
      <c r="A4592" s="11"/>
    </row>
    <row r="4593" spans="1:1" ht="15.75" x14ac:dyDescent="0.25">
      <c r="A4593" s="11"/>
    </row>
    <row r="4594" spans="1:1" ht="15.75" x14ac:dyDescent="0.25">
      <c r="A4594" s="11"/>
    </row>
    <row r="4595" spans="1:1" ht="15.75" x14ac:dyDescent="0.25">
      <c r="A4595" s="11"/>
    </row>
    <row r="4596" spans="1:1" ht="15.75" x14ac:dyDescent="0.25">
      <c r="A4596" s="11"/>
    </row>
    <row r="4597" spans="1:1" ht="15.75" x14ac:dyDescent="0.25">
      <c r="A4597" s="11"/>
    </row>
    <row r="4598" spans="1:1" ht="15.75" x14ac:dyDescent="0.25">
      <c r="A4598" s="11"/>
    </row>
    <row r="4599" spans="1:1" ht="15.75" x14ac:dyDescent="0.25">
      <c r="A4599" s="11"/>
    </row>
    <row r="4600" spans="1:1" ht="15.75" x14ac:dyDescent="0.25">
      <c r="A4600" s="11"/>
    </row>
    <row r="4601" spans="1:1" ht="15.75" x14ac:dyDescent="0.25">
      <c r="A4601" s="11"/>
    </row>
    <row r="4602" spans="1:1" ht="15.75" x14ac:dyDescent="0.25">
      <c r="A4602" s="11"/>
    </row>
    <row r="4603" spans="1:1" ht="15.75" x14ac:dyDescent="0.25">
      <c r="A4603" s="11"/>
    </row>
    <row r="4604" spans="1:1" ht="15.75" x14ac:dyDescent="0.25">
      <c r="A4604" s="11"/>
    </row>
    <row r="4605" spans="1:1" ht="15.75" x14ac:dyDescent="0.25">
      <c r="A4605" s="11"/>
    </row>
    <row r="4606" spans="1:1" ht="15.75" x14ac:dyDescent="0.25">
      <c r="A4606" s="11"/>
    </row>
    <row r="4607" spans="1:1" ht="15.75" x14ac:dyDescent="0.25">
      <c r="A4607" s="11"/>
    </row>
    <row r="4608" spans="1:1" ht="15.75" x14ac:dyDescent="0.25">
      <c r="A4608" s="11"/>
    </row>
    <row r="4609" spans="1:1" ht="15.75" x14ac:dyDescent="0.25">
      <c r="A4609" s="11"/>
    </row>
    <row r="4610" spans="1:1" ht="15.75" x14ac:dyDescent="0.25">
      <c r="A4610" s="11"/>
    </row>
    <row r="4611" spans="1:1" ht="15.75" x14ac:dyDescent="0.25">
      <c r="A4611" s="11"/>
    </row>
    <row r="4612" spans="1:1" ht="15.75" x14ac:dyDescent="0.25">
      <c r="A4612" s="11"/>
    </row>
    <row r="4613" spans="1:1" ht="15.75" x14ac:dyDescent="0.25">
      <c r="A4613" s="11"/>
    </row>
    <row r="4614" spans="1:1" ht="15.75" x14ac:dyDescent="0.25">
      <c r="A4614" s="11"/>
    </row>
    <row r="4615" spans="1:1" ht="15.75" x14ac:dyDescent="0.25">
      <c r="A4615" s="11"/>
    </row>
    <row r="4616" spans="1:1" ht="15.75" x14ac:dyDescent="0.25">
      <c r="A4616" s="11"/>
    </row>
    <row r="4617" spans="1:1" ht="15.75" x14ac:dyDescent="0.25">
      <c r="A4617" s="11"/>
    </row>
    <row r="4618" spans="1:1" ht="15.75" x14ac:dyDescent="0.25">
      <c r="A4618" s="11"/>
    </row>
    <row r="4619" spans="1:1" ht="15.75" x14ac:dyDescent="0.25">
      <c r="A4619" s="11"/>
    </row>
    <row r="4620" spans="1:1" ht="15.75" x14ac:dyDescent="0.25">
      <c r="A4620" s="11"/>
    </row>
    <row r="4621" spans="1:1" ht="15.75" x14ac:dyDescent="0.25">
      <c r="A4621" s="11"/>
    </row>
    <row r="4622" spans="1:1" ht="15.75" x14ac:dyDescent="0.25">
      <c r="A4622" s="11"/>
    </row>
    <row r="4623" spans="1:1" ht="15.75" x14ac:dyDescent="0.25">
      <c r="A4623" s="11"/>
    </row>
    <row r="4624" spans="1:1" ht="15.75" x14ac:dyDescent="0.25">
      <c r="A4624" s="11"/>
    </row>
    <row r="4625" spans="1:1" ht="15.75" x14ac:dyDescent="0.25">
      <c r="A4625" s="11"/>
    </row>
    <row r="4626" spans="1:1" ht="15.75" x14ac:dyDescent="0.25">
      <c r="A4626" s="11"/>
    </row>
    <row r="4627" spans="1:1" ht="15.75" x14ac:dyDescent="0.25">
      <c r="A4627" s="11"/>
    </row>
    <row r="4628" spans="1:1" ht="15.75" x14ac:dyDescent="0.25">
      <c r="A4628" s="11"/>
    </row>
    <row r="4629" spans="1:1" ht="15.75" x14ac:dyDescent="0.25">
      <c r="A4629" s="11"/>
    </row>
    <row r="4630" spans="1:1" ht="15.75" x14ac:dyDescent="0.25">
      <c r="A4630" s="11"/>
    </row>
    <row r="4631" spans="1:1" ht="15.75" x14ac:dyDescent="0.25">
      <c r="A4631" s="11"/>
    </row>
    <row r="4632" spans="1:1" ht="15.75" x14ac:dyDescent="0.25">
      <c r="A4632" s="11"/>
    </row>
    <row r="4633" spans="1:1" ht="15.75" x14ac:dyDescent="0.25">
      <c r="A4633" s="11"/>
    </row>
    <row r="4634" spans="1:1" ht="15.75" x14ac:dyDescent="0.25">
      <c r="A4634" s="11"/>
    </row>
    <row r="4635" spans="1:1" ht="15.75" x14ac:dyDescent="0.25">
      <c r="A4635" s="11"/>
    </row>
    <row r="4636" spans="1:1" ht="15.75" x14ac:dyDescent="0.25">
      <c r="A4636" s="11"/>
    </row>
    <row r="4637" spans="1:1" ht="15.75" x14ac:dyDescent="0.25">
      <c r="A4637" s="11"/>
    </row>
    <row r="4638" spans="1:1" ht="15.75" x14ac:dyDescent="0.25">
      <c r="A4638" s="11"/>
    </row>
    <row r="4639" spans="1:1" ht="15.75" x14ac:dyDescent="0.25">
      <c r="A4639" s="11"/>
    </row>
    <row r="4640" spans="1:1" ht="15.75" x14ac:dyDescent="0.25">
      <c r="A4640" s="11"/>
    </row>
    <row r="4641" spans="1:1" ht="15.75" x14ac:dyDescent="0.25">
      <c r="A4641" s="11"/>
    </row>
    <row r="4642" spans="1:1" ht="15.75" x14ac:dyDescent="0.25">
      <c r="A4642" s="11"/>
    </row>
    <row r="4643" spans="1:1" ht="15.75" x14ac:dyDescent="0.25">
      <c r="A4643" s="11"/>
    </row>
    <row r="4644" spans="1:1" ht="15.75" x14ac:dyDescent="0.25">
      <c r="A4644" s="11"/>
    </row>
    <row r="4645" spans="1:1" ht="15.75" x14ac:dyDescent="0.25">
      <c r="A4645" s="11"/>
    </row>
    <row r="4646" spans="1:1" ht="15.75" x14ac:dyDescent="0.25">
      <c r="A4646" s="11"/>
    </row>
    <row r="4647" spans="1:1" ht="15.75" x14ac:dyDescent="0.25">
      <c r="A4647" s="11"/>
    </row>
    <row r="4648" spans="1:1" ht="15.75" x14ac:dyDescent="0.25">
      <c r="A4648" s="11"/>
    </row>
    <row r="4649" spans="1:1" ht="15.75" x14ac:dyDescent="0.25">
      <c r="A4649" s="11"/>
    </row>
    <row r="4650" spans="1:1" ht="15.75" x14ac:dyDescent="0.25">
      <c r="A4650" s="11"/>
    </row>
    <row r="4651" spans="1:1" ht="15.75" x14ac:dyDescent="0.25">
      <c r="A4651" s="11"/>
    </row>
    <row r="4652" spans="1:1" ht="15.75" x14ac:dyDescent="0.25">
      <c r="A4652" s="11"/>
    </row>
    <row r="4653" spans="1:1" ht="15.75" x14ac:dyDescent="0.25">
      <c r="A4653" s="11"/>
    </row>
    <row r="4654" spans="1:1" ht="15.75" x14ac:dyDescent="0.25">
      <c r="A4654" s="11"/>
    </row>
    <row r="4655" spans="1:1" ht="15.75" x14ac:dyDescent="0.25">
      <c r="A4655" s="11"/>
    </row>
    <row r="4656" spans="1:1" ht="15.75" x14ac:dyDescent="0.25">
      <c r="A4656" s="11"/>
    </row>
    <row r="4657" spans="1:1" ht="15.75" x14ac:dyDescent="0.25">
      <c r="A4657" s="11"/>
    </row>
    <row r="4658" spans="1:1" ht="15.75" x14ac:dyDescent="0.25">
      <c r="A4658" s="11"/>
    </row>
    <row r="4659" spans="1:1" ht="15.75" x14ac:dyDescent="0.25">
      <c r="A4659" s="11"/>
    </row>
    <row r="4660" spans="1:1" ht="15.75" x14ac:dyDescent="0.25">
      <c r="A4660" s="11"/>
    </row>
    <row r="4661" spans="1:1" ht="15.75" x14ac:dyDescent="0.25">
      <c r="A4661" s="11"/>
    </row>
    <row r="4662" spans="1:1" ht="15.75" x14ac:dyDescent="0.25">
      <c r="A4662" s="11"/>
    </row>
    <row r="4663" spans="1:1" ht="15.75" x14ac:dyDescent="0.25">
      <c r="A4663" s="11"/>
    </row>
    <row r="4664" spans="1:1" ht="15.75" x14ac:dyDescent="0.25">
      <c r="A4664" s="11"/>
    </row>
    <row r="4665" spans="1:1" ht="15.75" x14ac:dyDescent="0.25">
      <c r="A4665" s="11"/>
    </row>
    <row r="4666" spans="1:1" ht="15.75" x14ac:dyDescent="0.25">
      <c r="A4666" s="11"/>
    </row>
    <row r="4667" spans="1:1" ht="15.75" x14ac:dyDescent="0.25">
      <c r="A4667" s="11"/>
    </row>
    <row r="4668" spans="1:1" ht="15.75" x14ac:dyDescent="0.25">
      <c r="A4668" s="11"/>
    </row>
    <row r="4669" spans="1:1" ht="15.75" x14ac:dyDescent="0.25">
      <c r="A4669" s="11"/>
    </row>
    <row r="4670" spans="1:1" ht="15.75" x14ac:dyDescent="0.25">
      <c r="A4670" s="11"/>
    </row>
    <row r="4671" spans="1:1" ht="15.75" x14ac:dyDescent="0.25">
      <c r="A4671" s="11"/>
    </row>
    <row r="4672" spans="1:1" ht="15.75" x14ac:dyDescent="0.25">
      <c r="A4672" s="11"/>
    </row>
    <row r="4673" spans="1:1" ht="15.75" x14ac:dyDescent="0.25">
      <c r="A4673" s="11"/>
    </row>
    <row r="4674" spans="1:1" ht="15.75" x14ac:dyDescent="0.25">
      <c r="A4674" s="11"/>
    </row>
    <row r="4675" spans="1:1" ht="15.75" x14ac:dyDescent="0.25">
      <c r="A4675" s="11"/>
    </row>
    <row r="4676" spans="1:1" ht="15.75" x14ac:dyDescent="0.25">
      <c r="A4676" s="11"/>
    </row>
    <row r="4677" spans="1:1" ht="15.75" x14ac:dyDescent="0.25">
      <c r="A4677" s="11"/>
    </row>
    <row r="4678" spans="1:1" ht="15.75" x14ac:dyDescent="0.25">
      <c r="A4678" s="11"/>
    </row>
    <row r="4679" spans="1:1" ht="15.75" x14ac:dyDescent="0.25">
      <c r="A4679" s="11"/>
    </row>
    <row r="4680" spans="1:1" ht="15.75" x14ac:dyDescent="0.25">
      <c r="A4680" s="11"/>
    </row>
    <row r="4681" spans="1:1" ht="15.75" x14ac:dyDescent="0.25">
      <c r="A4681" s="11"/>
    </row>
    <row r="4682" spans="1:1" ht="15.75" x14ac:dyDescent="0.25">
      <c r="A4682" s="11"/>
    </row>
    <row r="4683" spans="1:1" ht="15.75" x14ac:dyDescent="0.25">
      <c r="A4683" s="11"/>
    </row>
    <row r="4684" spans="1:1" ht="15.75" x14ac:dyDescent="0.25">
      <c r="A4684" s="11"/>
    </row>
    <row r="4685" spans="1:1" ht="15.75" x14ac:dyDescent="0.25">
      <c r="A4685" s="11"/>
    </row>
    <row r="4686" spans="1:1" ht="15.75" x14ac:dyDescent="0.25">
      <c r="A4686" s="11"/>
    </row>
    <row r="4687" spans="1:1" ht="15.75" x14ac:dyDescent="0.25">
      <c r="A4687" s="11"/>
    </row>
    <row r="4688" spans="1:1" ht="15.75" x14ac:dyDescent="0.25">
      <c r="A4688" s="11"/>
    </row>
    <row r="4689" spans="1:1" ht="15.75" x14ac:dyDescent="0.25">
      <c r="A4689" s="11"/>
    </row>
    <row r="4690" spans="1:1" ht="15.75" x14ac:dyDescent="0.25">
      <c r="A4690" s="11"/>
    </row>
    <row r="4691" spans="1:1" ht="15.75" x14ac:dyDescent="0.25">
      <c r="A4691" s="11"/>
    </row>
    <row r="4692" spans="1:1" ht="15.75" x14ac:dyDescent="0.25">
      <c r="A4692" s="11"/>
    </row>
    <row r="4693" spans="1:1" ht="15.75" x14ac:dyDescent="0.25">
      <c r="A4693" s="11"/>
    </row>
    <row r="4694" spans="1:1" ht="15.75" x14ac:dyDescent="0.25">
      <c r="A4694" s="11"/>
    </row>
    <row r="4695" spans="1:1" ht="15.75" x14ac:dyDescent="0.25">
      <c r="A4695" s="11"/>
    </row>
    <row r="4696" spans="1:1" ht="15.75" x14ac:dyDescent="0.25">
      <c r="A4696" s="11"/>
    </row>
    <row r="4697" spans="1:1" ht="15.75" x14ac:dyDescent="0.25">
      <c r="A4697" s="11"/>
    </row>
    <row r="4698" spans="1:1" ht="15.75" x14ac:dyDescent="0.25">
      <c r="A4698" s="11"/>
    </row>
    <row r="4699" spans="1:1" ht="15.75" x14ac:dyDescent="0.25">
      <c r="A4699" s="11"/>
    </row>
    <row r="4700" spans="1:1" ht="15.75" x14ac:dyDescent="0.25">
      <c r="A4700" s="11"/>
    </row>
    <row r="4701" spans="1:1" ht="15.75" x14ac:dyDescent="0.25">
      <c r="A4701" s="11"/>
    </row>
    <row r="4702" spans="1:1" ht="15.75" x14ac:dyDescent="0.25">
      <c r="A4702" s="11"/>
    </row>
    <row r="4703" spans="1:1" ht="15.75" x14ac:dyDescent="0.25">
      <c r="A4703" s="11"/>
    </row>
    <row r="4704" spans="1:1" ht="15.75" x14ac:dyDescent="0.25">
      <c r="A4704" s="11"/>
    </row>
    <row r="4705" spans="1:1" ht="15.75" x14ac:dyDescent="0.25">
      <c r="A4705" s="11"/>
    </row>
    <row r="4706" spans="1:1" ht="15.75" x14ac:dyDescent="0.25">
      <c r="A4706" s="11"/>
    </row>
    <row r="4707" spans="1:1" ht="15.75" x14ac:dyDescent="0.25">
      <c r="A4707" s="11"/>
    </row>
    <row r="4708" spans="1:1" ht="15.75" x14ac:dyDescent="0.25">
      <c r="A4708" s="11"/>
    </row>
    <row r="4709" spans="1:1" ht="15.75" x14ac:dyDescent="0.25">
      <c r="A4709" s="11"/>
    </row>
    <row r="4710" spans="1:1" ht="15.75" x14ac:dyDescent="0.25">
      <c r="A4710" s="11"/>
    </row>
    <row r="4711" spans="1:1" ht="15.75" x14ac:dyDescent="0.25">
      <c r="A4711" s="11"/>
    </row>
    <row r="4712" spans="1:1" ht="15.75" x14ac:dyDescent="0.25">
      <c r="A4712" s="11"/>
    </row>
    <row r="4713" spans="1:1" ht="15.75" x14ac:dyDescent="0.25">
      <c r="A4713" s="11"/>
    </row>
    <row r="4714" spans="1:1" ht="15.75" x14ac:dyDescent="0.25">
      <c r="A4714" s="11"/>
    </row>
    <row r="4715" spans="1:1" ht="15.75" x14ac:dyDescent="0.25">
      <c r="A4715" s="11"/>
    </row>
    <row r="4716" spans="1:1" ht="15.75" x14ac:dyDescent="0.25">
      <c r="A4716" s="11"/>
    </row>
    <row r="4717" spans="1:1" ht="15.75" x14ac:dyDescent="0.25">
      <c r="A4717" s="11"/>
    </row>
    <row r="4718" spans="1:1" ht="15.75" x14ac:dyDescent="0.25">
      <c r="A4718" s="11"/>
    </row>
    <row r="4719" spans="1:1" ht="15.75" x14ac:dyDescent="0.25">
      <c r="A4719" s="11"/>
    </row>
    <row r="4720" spans="1:1" ht="15.75" x14ac:dyDescent="0.25">
      <c r="A4720" s="11"/>
    </row>
    <row r="4721" spans="1:1" ht="15.75" x14ac:dyDescent="0.25">
      <c r="A4721" s="11"/>
    </row>
    <row r="4722" spans="1:1" ht="15.75" x14ac:dyDescent="0.25">
      <c r="A4722" s="11"/>
    </row>
    <row r="4723" spans="1:1" ht="15.75" x14ac:dyDescent="0.25">
      <c r="A4723" s="11"/>
    </row>
    <row r="4724" spans="1:1" ht="15.75" x14ac:dyDescent="0.25">
      <c r="A4724" s="11"/>
    </row>
    <row r="4725" spans="1:1" ht="15.75" x14ac:dyDescent="0.25">
      <c r="A4725" s="11"/>
    </row>
    <row r="4726" spans="1:1" ht="15.75" x14ac:dyDescent="0.25">
      <c r="A4726" s="11"/>
    </row>
    <row r="4727" spans="1:1" ht="15.75" x14ac:dyDescent="0.25">
      <c r="A4727" s="11"/>
    </row>
    <row r="4728" spans="1:1" ht="15.75" x14ac:dyDescent="0.25">
      <c r="A4728" s="11"/>
    </row>
    <row r="4729" spans="1:1" ht="15.75" x14ac:dyDescent="0.25">
      <c r="A4729" s="11"/>
    </row>
    <row r="4730" spans="1:1" ht="15.75" x14ac:dyDescent="0.25">
      <c r="A4730" s="11"/>
    </row>
    <row r="4731" spans="1:1" ht="15.75" x14ac:dyDescent="0.25">
      <c r="A4731" s="11"/>
    </row>
    <row r="4732" spans="1:1" ht="15.75" x14ac:dyDescent="0.25">
      <c r="A4732" s="11"/>
    </row>
    <row r="4733" spans="1:1" ht="15.75" x14ac:dyDescent="0.25">
      <c r="A4733" s="11"/>
    </row>
    <row r="4734" spans="1:1" ht="15.75" x14ac:dyDescent="0.25">
      <c r="A4734" s="11"/>
    </row>
    <row r="4735" spans="1:1" ht="15.75" x14ac:dyDescent="0.25">
      <c r="A4735" s="11"/>
    </row>
    <row r="4736" spans="1:1" ht="15.75" x14ac:dyDescent="0.25">
      <c r="A4736" s="11"/>
    </row>
    <row r="4737" spans="1:1" ht="15.75" x14ac:dyDescent="0.25">
      <c r="A4737" s="11"/>
    </row>
    <row r="4738" spans="1:1" ht="15.75" x14ac:dyDescent="0.25">
      <c r="A4738" s="11"/>
    </row>
    <row r="4739" spans="1:1" ht="15.75" x14ac:dyDescent="0.25">
      <c r="A4739" s="11"/>
    </row>
    <row r="4740" spans="1:1" ht="15.75" x14ac:dyDescent="0.25">
      <c r="A4740" s="11"/>
    </row>
    <row r="4741" spans="1:1" ht="15.75" x14ac:dyDescent="0.25">
      <c r="A4741" s="11"/>
    </row>
    <row r="4742" spans="1:1" ht="15.75" x14ac:dyDescent="0.25">
      <c r="A4742" s="11"/>
    </row>
    <row r="4743" spans="1:1" ht="15.75" x14ac:dyDescent="0.25">
      <c r="A4743" s="11"/>
    </row>
    <row r="4744" spans="1:1" ht="15.75" x14ac:dyDescent="0.25">
      <c r="A4744" s="11"/>
    </row>
    <row r="4745" spans="1:1" ht="15.75" x14ac:dyDescent="0.25">
      <c r="A4745" s="11"/>
    </row>
    <row r="4746" spans="1:1" ht="15.75" x14ac:dyDescent="0.25">
      <c r="A4746" s="11"/>
    </row>
    <row r="4747" spans="1:1" ht="15.75" x14ac:dyDescent="0.25">
      <c r="A4747" s="11"/>
    </row>
    <row r="4748" spans="1:1" ht="15.75" x14ac:dyDescent="0.25">
      <c r="A4748" s="11"/>
    </row>
    <row r="4749" spans="1:1" ht="15.75" x14ac:dyDescent="0.25">
      <c r="A4749" s="11"/>
    </row>
    <row r="4750" spans="1:1" ht="15.75" x14ac:dyDescent="0.25">
      <c r="A4750" s="11"/>
    </row>
    <row r="4751" spans="1:1" ht="15.75" x14ac:dyDescent="0.25">
      <c r="A4751" s="11"/>
    </row>
    <row r="4752" spans="1:1" ht="15.75" x14ac:dyDescent="0.25">
      <c r="A4752" s="11"/>
    </row>
    <row r="4753" spans="1:1" ht="15.75" x14ac:dyDescent="0.25">
      <c r="A4753" s="11"/>
    </row>
    <row r="4754" spans="1:1" ht="15.75" x14ac:dyDescent="0.25">
      <c r="A4754" s="11"/>
    </row>
    <row r="4755" spans="1:1" ht="15.75" x14ac:dyDescent="0.25">
      <c r="A4755" s="11"/>
    </row>
    <row r="4756" spans="1:1" ht="15.75" x14ac:dyDescent="0.25">
      <c r="A4756" s="11"/>
    </row>
    <row r="4757" spans="1:1" ht="15.75" x14ac:dyDescent="0.25">
      <c r="A4757" s="11"/>
    </row>
    <row r="4758" spans="1:1" ht="15.75" x14ac:dyDescent="0.25">
      <c r="A4758" s="11"/>
    </row>
    <row r="4759" spans="1:1" ht="15.75" x14ac:dyDescent="0.25">
      <c r="A4759" s="11"/>
    </row>
    <row r="4760" spans="1:1" ht="15.75" x14ac:dyDescent="0.25">
      <c r="A4760" s="11"/>
    </row>
    <row r="4761" spans="1:1" ht="15.75" x14ac:dyDescent="0.25">
      <c r="A4761" s="11"/>
    </row>
    <row r="4762" spans="1:1" ht="15.75" x14ac:dyDescent="0.25">
      <c r="A4762" s="11"/>
    </row>
    <row r="4763" spans="1:1" ht="15.75" x14ac:dyDescent="0.25">
      <c r="A4763" s="11"/>
    </row>
    <row r="4764" spans="1:1" ht="15.75" x14ac:dyDescent="0.25">
      <c r="A4764" s="11"/>
    </row>
    <row r="4765" spans="1:1" ht="15.75" x14ac:dyDescent="0.25">
      <c r="A4765" s="11"/>
    </row>
    <row r="4766" spans="1:1" ht="15.75" x14ac:dyDescent="0.25">
      <c r="A4766" s="11"/>
    </row>
    <row r="4767" spans="1:1" ht="15.75" x14ac:dyDescent="0.25">
      <c r="A4767" s="11"/>
    </row>
    <row r="4768" spans="1:1" ht="15.75" x14ac:dyDescent="0.25">
      <c r="A4768" s="11"/>
    </row>
    <row r="4769" spans="1:1" ht="15.75" x14ac:dyDescent="0.25">
      <c r="A4769" s="11"/>
    </row>
    <row r="4770" spans="1:1" ht="15.75" x14ac:dyDescent="0.25">
      <c r="A4770" s="11"/>
    </row>
    <row r="4771" spans="1:1" ht="15.75" x14ac:dyDescent="0.25">
      <c r="A4771" s="11"/>
    </row>
    <row r="4772" spans="1:1" ht="15.75" x14ac:dyDescent="0.25">
      <c r="A4772" s="11"/>
    </row>
    <row r="4773" spans="1:1" ht="15.75" x14ac:dyDescent="0.25">
      <c r="A4773" s="11"/>
    </row>
    <row r="4774" spans="1:1" ht="15.75" x14ac:dyDescent="0.25">
      <c r="A4774" s="11"/>
    </row>
    <row r="4775" spans="1:1" ht="15.75" x14ac:dyDescent="0.25">
      <c r="A4775" s="11"/>
    </row>
    <row r="4776" spans="1:1" ht="15.75" x14ac:dyDescent="0.25">
      <c r="A4776" s="11"/>
    </row>
    <row r="4777" spans="1:1" ht="15.75" x14ac:dyDescent="0.25">
      <c r="A4777" s="11"/>
    </row>
    <row r="4778" spans="1:1" ht="15.75" x14ac:dyDescent="0.25">
      <c r="A4778" s="11"/>
    </row>
    <row r="4779" spans="1:1" ht="15.75" x14ac:dyDescent="0.25">
      <c r="A4779" s="11"/>
    </row>
    <row r="4780" spans="1:1" ht="15.75" x14ac:dyDescent="0.25">
      <c r="A4780" s="11"/>
    </row>
    <row r="4781" spans="1:1" ht="15.75" x14ac:dyDescent="0.25">
      <c r="A4781" s="11"/>
    </row>
    <row r="4782" spans="1:1" ht="15.75" x14ac:dyDescent="0.25">
      <c r="A4782" s="11"/>
    </row>
    <row r="4783" spans="1:1" ht="15.75" x14ac:dyDescent="0.25">
      <c r="A4783" s="11"/>
    </row>
    <row r="4784" spans="1:1" ht="15.75" x14ac:dyDescent="0.25">
      <c r="A4784" s="11"/>
    </row>
    <row r="4785" spans="1:1" ht="15.75" x14ac:dyDescent="0.25">
      <c r="A4785" s="11"/>
    </row>
    <row r="4786" spans="1:1" ht="15.75" x14ac:dyDescent="0.25">
      <c r="A4786" s="11"/>
    </row>
    <row r="4787" spans="1:1" ht="15.75" x14ac:dyDescent="0.25">
      <c r="A4787" s="11"/>
    </row>
    <row r="4788" spans="1:1" ht="15.75" x14ac:dyDescent="0.25">
      <c r="A4788" s="11"/>
    </row>
    <row r="4789" spans="1:1" ht="15.75" x14ac:dyDescent="0.25">
      <c r="A4789" s="11"/>
    </row>
    <row r="4790" spans="1:1" ht="15.75" x14ac:dyDescent="0.25">
      <c r="A4790" s="11"/>
    </row>
    <row r="4791" spans="1:1" ht="15.75" x14ac:dyDescent="0.25">
      <c r="A4791" s="11"/>
    </row>
    <row r="4792" spans="1:1" ht="15.75" x14ac:dyDescent="0.25">
      <c r="A4792" s="11"/>
    </row>
    <row r="4793" spans="1:1" ht="15.75" x14ac:dyDescent="0.25">
      <c r="A4793" s="11"/>
    </row>
    <row r="4794" spans="1:1" ht="15.75" x14ac:dyDescent="0.25">
      <c r="A4794" s="11"/>
    </row>
    <row r="4795" spans="1:1" ht="15.75" x14ac:dyDescent="0.25">
      <c r="A4795" s="11"/>
    </row>
    <row r="4796" spans="1:1" ht="15.75" x14ac:dyDescent="0.25">
      <c r="A4796" s="11"/>
    </row>
    <row r="4797" spans="1:1" ht="15.75" x14ac:dyDescent="0.25">
      <c r="A4797" s="11"/>
    </row>
    <row r="4798" spans="1:1" ht="15.75" x14ac:dyDescent="0.25">
      <c r="A4798" s="11"/>
    </row>
    <row r="4799" spans="1:1" ht="15.75" x14ac:dyDescent="0.25">
      <c r="A4799" s="11"/>
    </row>
    <row r="4800" spans="1:1" ht="15.75" x14ac:dyDescent="0.25">
      <c r="A4800" s="11"/>
    </row>
    <row r="4801" spans="1:1" ht="15.75" x14ac:dyDescent="0.25">
      <c r="A4801" s="11"/>
    </row>
    <row r="4802" spans="1:1" ht="15.75" x14ac:dyDescent="0.25">
      <c r="A4802" s="11"/>
    </row>
    <row r="4803" spans="1:1" ht="15.75" x14ac:dyDescent="0.25">
      <c r="A4803" s="11"/>
    </row>
    <row r="4804" spans="1:1" ht="15.75" x14ac:dyDescent="0.25">
      <c r="A4804" s="11"/>
    </row>
    <row r="4805" spans="1:1" ht="15.75" x14ac:dyDescent="0.25">
      <c r="A4805" s="11"/>
    </row>
    <row r="4806" spans="1:1" ht="15.75" x14ac:dyDescent="0.25">
      <c r="A4806" s="11"/>
    </row>
    <row r="4807" spans="1:1" ht="15.75" x14ac:dyDescent="0.25">
      <c r="A4807" s="11"/>
    </row>
    <row r="4808" spans="1:1" ht="15.75" x14ac:dyDescent="0.25">
      <c r="A4808" s="11"/>
    </row>
    <row r="4809" spans="1:1" ht="15.75" x14ac:dyDescent="0.25">
      <c r="A4809" s="11"/>
    </row>
    <row r="4810" spans="1:1" ht="15.75" x14ac:dyDescent="0.25">
      <c r="A4810" s="11"/>
    </row>
    <row r="4811" spans="1:1" ht="15.75" x14ac:dyDescent="0.25">
      <c r="A4811" s="11"/>
    </row>
    <row r="4812" spans="1:1" ht="15.75" x14ac:dyDescent="0.25">
      <c r="A4812" s="11"/>
    </row>
    <row r="4813" spans="1:1" ht="15.75" x14ac:dyDescent="0.25">
      <c r="A4813" s="11"/>
    </row>
    <row r="4814" spans="1:1" ht="15.75" x14ac:dyDescent="0.25">
      <c r="A4814" s="11"/>
    </row>
    <row r="4815" spans="1:1" ht="15.75" x14ac:dyDescent="0.25">
      <c r="A4815" s="11"/>
    </row>
    <row r="4816" spans="1:1" ht="15.75" x14ac:dyDescent="0.25">
      <c r="A4816" s="11"/>
    </row>
    <row r="4817" spans="1:1" ht="15.75" x14ac:dyDescent="0.25">
      <c r="A4817" s="11"/>
    </row>
    <row r="4818" spans="1:1" ht="15.75" x14ac:dyDescent="0.25">
      <c r="A4818" s="11"/>
    </row>
    <row r="4819" spans="1:1" ht="15.75" x14ac:dyDescent="0.25">
      <c r="A4819" s="11"/>
    </row>
    <row r="4820" spans="1:1" ht="15.75" x14ac:dyDescent="0.25">
      <c r="A4820" s="11"/>
    </row>
    <row r="4821" spans="1:1" ht="15.75" x14ac:dyDescent="0.25">
      <c r="A4821" s="11"/>
    </row>
    <row r="4822" spans="1:1" ht="15.75" x14ac:dyDescent="0.25">
      <c r="A4822" s="11"/>
    </row>
    <row r="4823" spans="1:1" ht="15.75" x14ac:dyDescent="0.25">
      <c r="A4823" s="11"/>
    </row>
    <row r="4824" spans="1:1" ht="15.75" x14ac:dyDescent="0.25">
      <c r="A4824" s="11"/>
    </row>
    <row r="4825" spans="1:1" ht="15.75" x14ac:dyDescent="0.25">
      <c r="A4825" s="11"/>
    </row>
    <row r="4826" spans="1:1" ht="15.75" x14ac:dyDescent="0.25">
      <c r="A4826" s="11"/>
    </row>
    <row r="4827" spans="1:1" ht="15.75" x14ac:dyDescent="0.25">
      <c r="A4827" s="11"/>
    </row>
    <row r="4828" spans="1:1" ht="15.75" x14ac:dyDescent="0.25">
      <c r="A4828" s="11"/>
    </row>
    <row r="4829" spans="1:1" ht="15.75" x14ac:dyDescent="0.25">
      <c r="A4829" s="11"/>
    </row>
    <row r="4830" spans="1:1" ht="15.75" x14ac:dyDescent="0.25">
      <c r="A4830" s="11"/>
    </row>
    <row r="4831" spans="1:1" ht="15.75" x14ac:dyDescent="0.25">
      <c r="A4831" s="11"/>
    </row>
    <row r="4832" spans="1:1" ht="15.75" x14ac:dyDescent="0.25">
      <c r="A4832" s="11"/>
    </row>
    <row r="4833" spans="1:1" ht="15.75" x14ac:dyDescent="0.25">
      <c r="A4833" s="11"/>
    </row>
    <row r="4834" spans="1:1" ht="15.75" x14ac:dyDescent="0.25">
      <c r="A4834" s="11"/>
    </row>
    <row r="4835" spans="1:1" ht="15.75" x14ac:dyDescent="0.25">
      <c r="A4835" s="11"/>
    </row>
    <row r="4836" spans="1:1" ht="15.75" x14ac:dyDescent="0.25">
      <c r="A4836" s="11"/>
    </row>
    <row r="4837" spans="1:1" ht="15.75" x14ac:dyDescent="0.25">
      <c r="A4837" s="11"/>
    </row>
    <row r="4838" spans="1:1" ht="15.75" x14ac:dyDescent="0.25">
      <c r="A4838" s="11"/>
    </row>
    <row r="4839" spans="1:1" ht="15.75" x14ac:dyDescent="0.25">
      <c r="A4839" s="11"/>
    </row>
    <row r="4840" spans="1:1" ht="15.75" x14ac:dyDescent="0.25">
      <c r="A4840" s="11"/>
    </row>
    <row r="4841" spans="1:1" ht="15.75" x14ac:dyDescent="0.25">
      <c r="A4841" s="11"/>
    </row>
    <row r="4842" spans="1:1" ht="15.75" x14ac:dyDescent="0.25">
      <c r="A4842" s="11"/>
    </row>
    <row r="4843" spans="1:1" ht="15.75" x14ac:dyDescent="0.25">
      <c r="A4843" s="11"/>
    </row>
    <row r="4844" spans="1:1" ht="15.75" x14ac:dyDescent="0.25">
      <c r="A4844" s="11"/>
    </row>
    <row r="4845" spans="1:1" ht="15.75" x14ac:dyDescent="0.25">
      <c r="A4845" s="11"/>
    </row>
    <row r="4846" spans="1:1" ht="15.75" x14ac:dyDescent="0.25">
      <c r="A4846" s="11"/>
    </row>
    <row r="4847" spans="1:1" ht="15.75" x14ac:dyDescent="0.25">
      <c r="A4847" s="11"/>
    </row>
    <row r="4848" spans="1:1" ht="15.75" x14ac:dyDescent="0.25">
      <c r="A4848" s="11"/>
    </row>
    <row r="4849" spans="1:1" ht="15.75" x14ac:dyDescent="0.25">
      <c r="A4849" s="11"/>
    </row>
    <row r="4850" spans="1:1" ht="15.75" x14ac:dyDescent="0.25">
      <c r="A4850" s="11"/>
    </row>
    <row r="4851" spans="1:1" ht="15.75" x14ac:dyDescent="0.25">
      <c r="A4851" s="11"/>
    </row>
    <row r="4852" spans="1:1" ht="15.75" x14ac:dyDescent="0.25">
      <c r="A4852" s="11"/>
    </row>
    <row r="4853" spans="1:1" ht="15.75" x14ac:dyDescent="0.25">
      <c r="A4853" s="11"/>
    </row>
    <row r="4854" spans="1:1" ht="15.75" x14ac:dyDescent="0.25">
      <c r="A4854" s="11"/>
    </row>
    <row r="4855" spans="1:1" ht="15.75" x14ac:dyDescent="0.25">
      <c r="A4855" s="11"/>
    </row>
    <row r="4856" spans="1:1" ht="15.75" x14ac:dyDescent="0.25">
      <c r="A4856" s="11"/>
    </row>
    <row r="4857" spans="1:1" ht="15.75" x14ac:dyDescent="0.25">
      <c r="A4857" s="11"/>
    </row>
    <row r="4858" spans="1:1" ht="15.75" x14ac:dyDescent="0.25">
      <c r="A4858" s="11"/>
    </row>
    <row r="4859" spans="1:1" ht="15.75" x14ac:dyDescent="0.25">
      <c r="A4859" s="11"/>
    </row>
    <row r="4860" spans="1:1" ht="15.75" x14ac:dyDescent="0.25">
      <c r="A4860" s="11"/>
    </row>
    <row r="4861" spans="1:1" ht="15.75" x14ac:dyDescent="0.25">
      <c r="A4861" s="11"/>
    </row>
    <row r="4862" spans="1:1" ht="15.75" x14ac:dyDescent="0.25">
      <c r="A4862" s="11"/>
    </row>
    <row r="4863" spans="1:1" ht="15.75" x14ac:dyDescent="0.25">
      <c r="A4863" s="11"/>
    </row>
    <row r="4864" spans="1:1" ht="15.75" x14ac:dyDescent="0.25">
      <c r="A4864" s="11"/>
    </row>
    <row r="4865" spans="1:1" ht="15.75" x14ac:dyDescent="0.25">
      <c r="A4865" s="11"/>
    </row>
    <row r="4866" spans="1:1" ht="15.75" x14ac:dyDescent="0.25">
      <c r="A4866" s="11"/>
    </row>
    <row r="4867" spans="1:1" ht="15.75" x14ac:dyDescent="0.25">
      <c r="A4867" s="11"/>
    </row>
    <row r="4868" spans="1:1" ht="15.75" x14ac:dyDescent="0.25">
      <c r="A4868" s="11"/>
    </row>
    <row r="4869" spans="1:1" ht="15.75" x14ac:dyDescent="0.25">
      <c r="A4869" s="11"/>
    </row>
    <row r="4870" spans="1:1" ht="15.75" x14ac:dyDescent="0.25">
      <c r="A4870" s="11"/>
    </row>
    <row r="4871" spans="1:1" ht="15.75" x14ac:dyDescent="0.25">
      <c r="A4871" s="11"/>
    </row>
    <row r="4872" spans="1:1" ht="15.75" x14ac:dyDescent="0.25">
      <c r="A4872" s="11"/>
    </row>
    <row r="4873" spans="1:1" ht="15.75" x14ac:dyDescent="0.25">
      <c r="A4873" s="11"/>
    </row>
    <row r="4874" spans="1:1" ht="15.75" x14ac:dyDescent="0.25">
      <c r="A4874" s="11"/>
    </row>
    <row r="4875" spans="1:1" ht="15.75" x14ac:dyDescent="0.25">
      <c r="A4875" s="11"/>
    </row>
    <row r="4876" spans="1:1" ht="15.75" x14ac:dyDescent="0.25">
      <c r="A4876" s="11"/>
    </row>
    <row r="4877" spans="1:1" ht="15.75" x14ac:dyDescent="0.25">
      <c r="A4877" s="11"/>
    </row>
    <row r="4878" spans="1:1" ht="15.75" x14ac:dyDescent="0.25">
      <c r="A4878" s="11"/>
    </row>
    <row r="4879" spans="1:1" ht="15.75" x14ac:dyDescent="0.25">
      <c r="A4879" s="11"/>
    </row>
    <row r="4880" spans="1:1" ht="15.75" x14ac:dyDescent="0.25">
      <c r="A4880" s="11"/>
    </row>
    <row r="4881" spans="1:1" ht="15.75" x14ac:dyDescent="0.25">
      <c r="A4881" s="11"/>
    </row>
    <row r="4882" spans="1:1" ht="15.75" x14ac:dyDescent="0.25">
      <c r="A4882" s="11"/>
    </row>
    <row r="4883" spans="1:1" ht="15.75" x14ac:dyDescent="0.25">
      <c r="A4883" s="11"/>
    </row>
    <row r="4884" spans="1:1" ht="15.75" x14ac:dyDescent="0.25">
      <c r="A4884" s="11"/>
    </row>
    <row r="4885" spans="1:1" ht="15.75" x14ac:dyDescent="0.25">
      <c r="A4885" s="11"/>
    </row>
    <row r="4886" spans="1:1" ht="15.75" x14ac:dyDescent="0.25">
      <c r="A4886" s="11"/>
    </row>
    <row r="4887" spans="1:1" ht="15.75" x14ac:dyDescent="0.25">
      <c r="A4887" s="11"/>
    </row>
    <row r="4888" spans="1:1" ht="15.75" x14ac:dyDescent="0.25">
      <c r="A4888" s="11"/>
    </row>
    <row r="4889" spans="1:1" ht="15.75" x14ac:dyDescent="0.25">
      <c r="A4889" s="11"/>
    </row>
    <row r="4890" spans="1:1" ht="15.75" x14ac:dyDescent="0.25">
      <c r="A4890" s="11"/>
    </row>
    <row r="4891" spans="1:1" ht="15.75" x14ac:dyDescent="0.25">
      <c r="A4891" s="11"/>
    </row>
    <row r="4892" spans="1:1" ht="15.75" x14ac:dyDescent="0.25">
      <c r="A4892" s="11"/>
    </row>
    <row r="4893" spans="1:1" ht="15.75" x14ac:dyDescent="0.25">
      <c r="A4893" s="11"/>
    </row>
    <row r="4894" spans="1:1" ht="15.75" x14ac:dyDescent="0.25">
      <c r="A4894" s="11"/>
    </row>
    <row r="4895" spans="1:1" ht="15.75" x14ac:dyDescent="0.25">
      <c r="A4895" s="11"/>
    </row>
    <row r="4896" spans="1:1" ht="15.75" x14ac:dyDescent="0.25">
      <c r="A4896" s="11"/>
    </row>
    <row r="4897" spans="1:1" ht="15.75" x14ac:dyDescent="0.25">
      <c r="A4897" s="11"/>
    </row>
    <row r="4898" spans="1:1" ht="15.75" x14ac:dyDescent="0.25">
      <c r="A4898" s="11"/>
    </row>
    <row r="4899" spans="1:1" ht="15.75" x14ac:dyDescent="0.25">
      <c r="A4899" s="11"/>
    </row>
    <row r="4900" spans="1:1" ht="15.75" x14ac:dyDescent="0.25">
      <c r="A4900" s="11"/>
    </row>
    <row r="4901" spans="1:1" ht="15.75" x14ac:dyDescent="0.25">
      <c r="A4901" s="11"/>
    </row>
    <row r="4902" spans="1:1" ht="15.75" x14ac:dyDescent="0.25">
      <c r="A4902" s="11"/>
    </row>
    <row r="4903" spans="1:1" ht="15.75" x14ac:dyDescent="0.25">
      <c r="A4903" s="11"/>
    </row>
    <row r="4904" spans="1:1" ht="15.75" x14ac:dyDescent="0.25">
      <c r="A4904" s="11"/>
    </row>
    <row r="4905" spans="1:1" ht="15.75" x14ac:dyDescent="0.25">
      <c r="A4905" s="11"/>
    </row>
    <row r="4906" spans="1:1" ht="15.75" x14ac:dyDescent="0.25">
      <c r="A4906" s="11"/>
    </row>
    <row r="4907" spans="1:1" ht="15.75" x14ac:dyDescent="0.25">
      <c r="A4907" s="11"/>
    </row>
    <row r="4908" spans="1:1" ht="15.75" x14ac:dyDescent="0.25">
      <c r="A4908" s="11"/>
    </row>
    <row r="4909" spans="1:1" ht="15.75" x14ac:dyDescent="0.25">
      <c r="A4909" s="11"/>
    </row>
    <row r="4910" spans="1:1" ht="15.75" x14ac:dyDescent="0.25">
      <c r="A4910" s="11"/>
    </row>
    <row r="4911" spans="1:1" ht="15.75" x14ac:dyDescent="0.25">
      <c r="A4911" s="11"/>
    </row>
    <row r="4912" spans="1:1" ht="15.75" x14ac:dyDescent="0.25">
      <c r="A4912" s="11"/>
    </row>
    <row r="4913" spans="1:1" ht="15.75" x14ac:dyDescent="0.25">
      <c r="A4913" s="11"/>
    </row>
    <row r="4914" spans="1:1" ht="15.75" x14ac:dyDescent="0.25">
      <c r="A4914" s="11"/>
    </row>
    <row r="4915" spans="1:1" ht="15.75" x14ac:dyDescent="0.25">
      <c r="A4915" s="11"/>
    </row>
    <row r="4916" spans="1:1" ht="15.75" x14ac:dyDescent="0.25">
      <c r="A4916" s="11"/>
    </row>
    <row r="4917" spans="1:1" ht="15.75" x14ac:dyDescent="0.25">
      <c r="A4917" s="11"/>
    </row>
    <row r="4918" spans="1:1" ht="15.75" x14ac:dyDescent="0.25">
      <c r="A4918" s="11"/>
    </row>
    <row r="4919" spans="1:1" ht="15.75" x14ac:dyDescent="0.25">
      <c r="A4919" s="11"/>
    </row>
    <row r="4920" spans="1:1" ht="15.75" x14ac:dyDescent="0.25">
      <c r="A4920" s="11"/>
    </row>
    <row r="4921" spans="1:1" ht="15.75" x14ac:dyDescent="0.25">
      <c r="A4921" s="11"/>
    </row>
    <row r="4922" spans="1:1" ht="15.75" x14ac:dyDescent="0.25">
      <c r="A4922" s="11"/>
    </row>
    <row r="4923" spans="1:1" ht="15.75" x14ac:dyDescent="0.25">
      <c r="A4923" s="11"/>
    </row>
    <row r="4924" spans="1:1" ht="15.75" x14ac:dyDescent="0.25">
      <c r="A4924" s="11"/>
    </row>
    <row r="4925" spans="1:1" ht="15.75" x14ac:dyDescent="0.25">
      <c r="A4925" s="11"/>
    </row>
    <row r="4926" spans="1:1" ht="15.75" x14ac:dyDescent="0.25">
      <c r="A4926" s="11"/>
    </row>
    <row r="4927" spans="1:1" ht="15.75" x14ac:dyDescent="0.25">
      <c r="A4927" s="11"/>
    </row>
    <row r="4928" spans="1:1" ht="15.75" x14ac:dyDescent="0.25">
      <c r="A4928" s="11"/>
    </row>
    <row r="4929" spans="1:1" ht="15.75" x14ac:dyDescent="0.25">
      <c r="A4929" s="11"/>
    </row>
    <row r="4930" spans="1:1" ht="15.75" x14ac:dyDescent="0.25">
      <c r="A4930" s="11"/>
    </row>
    <row r="4931" spans="1:1" ht="15.75" x14ac:dyDescent="0.25">
      <c r="A4931" s="11"/>
    </row>
    <row r="4932" spans="1:1" ht="15.75" x14ac:dyDescent="0.25">
      <c r="A4932" s="11"/>
    </row>
    <row r="4933" spans="1:1" ht="15.75" x14ac:dyDescent="0.25">
      <c r="A4933" s="11"/>
    </row>
    <row r="4934" spans="1:1" ht="15.75" x14ac:dyDescent="0.25">
      <c r="A4934" s="11"/>
    </row>
    <row r="4935" spans="1:1" ht="15.75" x14ac:dyDescent="0.25">
      <c r="A4935" s="11"/>
    </row>
    <row r="4936" spans="1:1" ht="15.75" x14ac:dyDescent="0.25">
      <c r="A4936" s="11"/>
    </row>
    <row r="4937" spans="1:1" ht="15.75" x14ac:dyDescent="0.25">
      <c r="A4937" s="11"/>
    </row>
    <row r="4938" spans="1:1" ht="15.75" x14ac:dyDescent="0.25">
      <c r="A4938" s="11"/>
    </row>
    <row r="4939" spans="1:1" ht="15.75" x14ac:dyDescent="0.25">
      <c r="A4939" s="11"/>
    </row>
    <row r="4940" spans="1:1" ht="15.75" x14ac:dyDescent="0.25">
      <c r="A4940" s="11"/>
    </row>
    <row r="4941" spans="1:1" ht="15.75" x14ac:dyDescent="0.25">
      <c r="A4941" s="11"/>
    </row>
    <row r="4942" spans="1:1" ht="15.75" x14ac:dyDescent="0.25">
      <c r="A4942" s="11"/>
    </row>
    <row r="4943" spans="1:1" ht="15.75" x14ac:dyDescent="0.25">
      <c r="A4943" s="11"/>
    </row>
    <row r="4944" spans="1:1" ht="15.75" x14ac:dyDescent="0.25">
      <c r="A4944" s="11"/>
    </row>
    <row r="4945" spans="1:1" ht="15.75" x14ac:dyDescent="0.25">
      <c r="A4945" s="11"/>
    </row>
    <row r="4946" spans="1:1" ht="15.75" x14ac:dyDescent="0.25">
      <c r="A4946" s="11"/>
    </row>
    <row r="4947" spans="1:1" ht="15.75" x14ac:dyDescent="0.25">
      <c r="A4947" s="11"/>
    </row>
    <row r="4948" spans="1:1" ht="15.75" x14ac:dyDescent="0.25">
      <c r="A4948" s="11"/>
    </row>
    <row r="4949" spans="1:1" ht="15.75" x14ac:dyDescent="0.25">
      <c r="A4949" s="11"/>
    </row>
    <row r="4950" spans="1:1" ht="15.75" x14ac:dyDescent="0.25">
      <c r="A4950" s="11"/>
    </row>
    <row r="4951" spans="1:1" ht="15.75" x14ac:dyDescent="0.25">
      <c r="A4951" s="11"/>
    </row>
    <row r="4952" spans="1:1" ht="15.75" x14ac:dyDescent="0.25">
      <c r="A4952" s="11"/>
    </row>
    <row r="4953" spans="1:1" ht="15.75" x14ac:dyDescent="0.25">
      <c r="A4953" s="11"/>
    </row>
    <row r="4954" spans="1:1" ht="15.75" x14ac:dyDescent="0.25">
      <c r="A4954" s="11"/>
    </row>
    <row r="4955" spans="1:1" ht="15.75" x14ac:dyDescent="0.25">
      <c r="A4955" s="11"/>
    </row>
    <row r="4956" spans="1:1" ht="15.75" x14ac:dyDescent="0.25">
      <c r="A4956" s="11"/>
    </row>
    <row r="4957" spans="1:1" ht="15.75" x14ac:dyDescent="0.25">
      <c r="A4957" s="11"/>
    </row>
    <row r="4958" spans="1:1" ht="15.75" x14ac:dyDescent="0.25">
      <c r="A4958" s="11"/>
    </row>
    <row r="4959" spans="1:1" ht="15.75" x14ac:dyDescent="0.25">
      <c r="A4959" s="11"/>
    </row>
    <row r="4960" spans="1:1" ht="15.75" x14ac:dyDescent="0.25">
      <c r="A4960" s="11"/>
    </row>
    <row r="4961" spans="1:1" ht="15.75" x14ac:dyDescent="0.25">
      <c r="A4961" s="11"/>
    </row>
    <row r="4962" spans="1:1" ht="15.75" x14ac:dyDescent="0.25">
      <c r="A4962" s="11"/>
    </row>
    <row r="4963" spans="1:1" ht="15.75" x14ac:dyDescent="0.25">
      <c r="A4963" s="11"/>
    </row>
    <row r="4964" spans="1:1" ht="15.75" x14ac:dyDescent="0.25">
      <c r="A4964" s="11"/>
    </row>
    <row r="4965" spans="1:1" ht="15.75" x14ac:dyDescent="0.25">
      <c r="A4965" s="11"/>
    </row>
    <row r="4966" spans="1:1" ht="15.75" x14ac:dyDescent="0.25">
      <c r="A4966" s="11"/>
    </row>
    <row r="4967" spans="1:1" ht="15.75" x14ac:dyDescent="0.25">
      <c r="A4967" s="11"/>
    </row>
    <row r="4968" spans="1:1" ht="15.75" x14ac:dyDescent="0.25">
      <c r="A4968" s="11"/>
    </row>
    <row r="4969" spans="1:1" ht="15.75" x14ac:dyDescent="0.25">
      <c r="A4969" s="11"/>
    </row>
    <row r="4970" spans="1:1" ht="15.75" x14ac:dyDescent="0.25">
      <c r="A4970" s="11"/>
    </row>
    <row r="4971" spans="1:1" ht="15.75" x14ac:dyDescent="0.25">
      <c r="A4971" s="11"/>
    </row>
    <row r="4972" spans="1:1" ht="15.75" x14ac:dyDescent="0.25">
      <c r="A4972" s="11"/>
    </row>
    <row r="4973" spans="1:1" ht="15.75" x14ac:dyDescent="0.25">
      <c r="A4973" s="11"/>
    </row>
    <row r="4974" spans="1:1" ht="15.75" x14ac:dyDescent="0.25">
      <c r="A4974" s="11"/>
    </row>
    <row r="4975" spans="1:1" ht="15.75" x14ac:dyDescent="0.25">
      <c r="A4975" s="11"/>
    </row>
    <row r="4976" spans="1:1" ht="15.75" x14ac:dyDescent="0.25">
      <c r="A4976" s="11"/>
    </row>
    <row r="4977" spans="1:1" ht="15.75" x14ac:dyDescent="0.25">
      <c r="A4977" s="11"/>
    </row>
    <row r="4978" spans="1:1" ht="15.75" x14ac:dyDescent="0.25">
      <c r="A4978" s="11"/>
    </row>
    <row r="4979" spans="1:1" ht="15.75" x14ac:dyDescent="0.25">
      <c r="A4979" s="11"/>
    </row>
    <row r="4980" spans="1:1" ht="15.75" x14ac:dyDescent="0.25">
      <c r="A4980" s="11"/>
    </row>
    <row r="4981" spans="1:1" ht="15.75" x14ac:dyDescent="0.25">
      <c r="A4981" s="11"/>
    </row>
    <row r="4982" spans="1:1" ht="15.75" x14ac:dyDescent="0.25">
      <c r="A4982" s="11"/>
    </row>
    <row r="4983" spans="1:1" ht="15.75" x14ac:dyDescent="0.25">
      <c r="A4983" s="11"/>
    </row>
    <row r="4984" spans="1:1" ht="15.75" x14ac:dyDescent="0.25">
      <c r="A4984" s="11"/>
    </row>
    <row r="4985" spans="1:1" ht="15.75" x14ac:dyDescent="0.25">
      <c r="A4985" s="11"/>
    </row>
    <row r="4986" spans="1:1" ht="15.75" x14ac:dyDescent="0.25">
      <c r="A4986" s="11"/>
    </row>
    <row r="4987" spans="1:1" ht="15.75" x14ac:dyDescent="0.25">
      <c r="A4987" s="11"/>
    </row>
    <row r="4988" spans="1:1" ht="15.75" x14ac:dyDescent="0.25">
      <c r="A4988" s="11"/>
    </row>
    <row r="4989" spans="1:1" ht="15.75" x14ac:dyDescent="0.25">
      <c r="A4989" s="11"/>
    </row>
    <row r="4990" spans="1:1" ht="15.75" x14ac:dyDescent="0.25">
      <c r="A4990" s="11"/>
    </row>
    <row r="4991" spans="1:1" ht="15.75" x14ac:dyDescent="0.25">
      <c r="A4991" s="11"/>
    </row>
    <row r="4992" spans="1:1" ht="15.75" x14ac:dyDescent="0.25">
      <c r="A4992" s="11"/>
    </row>
    <row r="4993" spans="1:1" ht="15.75" x14ac:dyDescent="0.25">
      <c r="A4993" s="11"/>
    </row>
    <row r="4994" spans="1:1" ht="15.75" x14ac:dyDescent="0.25">
      <c r="A4994" s="11"/>
    </row>
    <row r="4995" spans="1:1" ht="15.75" x14ac:dyDescent="0.25">
      <c r="A4995" s="11"/>
    </row>
    <row r="4996" spans="1:1" ht="15.75" x14ac:dyDescent="0.25">
      <c r="A4996" s="11"/>
    </row>
    <row r="4997" spans="1:1" ht="15.75" x14ac:dyDescent="0.25">
      <c r="A4997" s="11"/>
    </row>
    <row r="4998" spans="1:1" ht="15.75" x14ac:dyDescent="0.25">
      <c r="A4998" s="11"/>
    </row>
    <row r="4999" spans="1:1" ht="15.75" x14ac:dyDescent="0.25">
      <c r="A4999" s="11"/>
    </row>
    <row r="5000" spans="1:1" ht="15.75" x14ac:dyDescent="0.25">
      <c r="A5000" s="11"/>
    </row>
    <row r="5001" spans="1:1" ht="15.75" x14ac:dyDescent="0.25">
      <c r="A5001" s="11"/>
    </row>
    <row r="5002" spans="1:1" ht="15.75" x14ac:dyDescent="0.25">
      <c r="A5002" s="11"/>
    </row>
    <row r="5003" spans="1:1" ht="15.75" x14ac:dyDescent="0.25">
      <c r="A5003" s="11"/>
    </row>
    <row r="5004" spans="1:1" ht="15.75" x14ac:dyDescent="0.25">
      <c r="A5004" s="11"/>
    </row>
    <row r="5005" spans="1:1" ht="15.75" x14ac:dyDescent="0.25">
      <c r="A5005" s="11"/>
    </row>
    <row r="5006" spans="1:1" ht="15.75" x14ac:dyDescent="0.25">
      <c r="A5006" s="11"/>
    </row>
    <row r="5007" spans="1:1" ht="15.75" x14ac:dyDescent="0.25">
      <c r="A5007" s="11"/>
    </row>
    <row r="5008" spans="1:1" ht="15.75" x14ac:dyDescent="0.25">
      <c r="A5008" s="11"/>
    </row>
    <row r="5009" spans="1:1" ht="15.75" x14ac:dyDescent="0.25">
      <c r="A5009" s="11"/>
    </row>
    <row r="5010" spans="1:1" ht="15.75" x14ac:dyDescent="0.25">
      <c r="A5010" s="11"/>
    </row>
    <row r="5011" spans="1:1" ht="15.75" x14ac:dyDescent="0.25">
      <c r="A5011" s="11"/>
    </row>
    <row r="5012" spans="1:1" ht="15.75" x14ac:dyDescent="0.25">
      <c r="A5012" s="11"/>
    </row>
    <row r="5013" spans="1:1" ht="15.75" x14ac:dyDescent="0.25">
      <c r="A5013" s="11"/>
    </row>
    <row r="5014" spans="1:1" ht="15.75" x14ac:dyDescent="0.25">
      <c r="A5014" s="11"/>
    </row>
    <row r="5015" spans="1:1" ht="15.75" x14ac:dyDescent="0.25">
      <c r="A5015" s="11"/>
    </row>
    <row r="5016" spans="1:1" ht="15.75" x14ac:dyDescent="0.25">
      <c r="A5016" s="11"/>
    </row>
    <row r="5017" spans="1:1" ht="15.75" x14ac:dyDescent="0.25">
      <c r="A5017" s="11"/>
    </row>
    <row r="5018" spans="1:1" ht="15.75" x14ac:dyDescent="0.25">
      <c r="A5018" s="11"/>
    </row>
    <row r="5019" spans="1:1" ht="15.75" x14ac:dyDescent="0.25">
      <c r="A5019" s="11"/>
    </row>
    <row r="5020" spans="1:1" ht="15.75" x14ac:dyDescent="0.25">
      <c r="A5020" s="11"/>
    </row>
    <row r="5021" spans="1:1" ht="15.75" x14ac:dyDescent="0.25">
      <c r="A5021" s="11"/>
    </row>
    <row r="5022" spans="1:1" ht="15.75" x14ac:dyDescent="0.25">
      <c r="A5022" s="11"/>
    </row>
    <row r="5023" spans="1:1" ht="15.75" x14ac:dyDescent="0.25">
      <c r="A5023" s="11"/>
    </row>
    <row r="5024" spans="1:1" ht="15.75" x14ac:dyDescent="0.25">
      <c r="A5024" s="11"/>
    </row>
    <row r="5025" spans="1:1" ht="15.75" x14ac:dyDescent="0.25">
      <c r="A5025" s="11"/>
    </row>
    <row r="5026" spans="1:1" ht="15.75" x14ac:dyDescent="0.25">
      <c r="A5026" s="11"/>
    </row>
    <row r="5027" spans="1:1" ht="15.75" x14ac:dyDescent="0.25">
      <c r="A5027" s="11"/>
    </row>
    <row r="5028" spans="1:1" ht="15.75" x14ac:dyDescent="0.25">
      <c r="A5028" s="11"/>
    </row>
    <row r="5029" spans="1:1" ht="15.75" x14ac:dyDescent="0.25">
      <c r="A5029" s="11"/>
    </row>
    <row r="5030" spans="1:1" ht="15.75" x14ac:dyDescent="0.25">
      <c r="A5030" s="11"/>
    </row>
    <row r="5031" spans="1:1" ht="15.75" x14ac:dyDescent="0.25">
      <c r="A5031" s="11"/>
    </row>
    <row r="5032" spans="1:1" ht="15.75" x14ac:dyDescent="0.25">
      <c r="A5032" s="11"/>
    </row>
    <row r="5033" spans="1:1" ht="15.75" x14ac:dyDescent="0.25">
      <c r="A5033" s="11"/>
    </row>
    <row r="5034" spans="1:1" ht="15.75" x14ac:dyDescent="0.25">
      <c r="A5034" s="11"/>
    </row>
    <row r="5035" spans="1:1" ht="15.75" x14ac:dyDescent="0.25">
      <c r="A5035" s="11"/>
    </row>
    <row r="5036" spans="1:1" ht="15.75" x14ac:dyDescent="0.25">
      <c r="A5036" s="11"/>
    </row>
    <row r="5037" spans="1:1" ht="15.75" x14ac:dyDescent="0.25">
      <c r="A5037" s="11"/>
    </row>
    <row r="5038" spans="1:1" ht="15.75" x14ac:dyDescent="0.25">
      <c r="A5038" s="11"/>
    </row>
    <row r="5039" spans="1:1" ht="15.75" x14ac:dyDescent="0.25">
      <c r="A5039" s="11"/>
    </row>
    <row r="5040" spans="1:1" ht="15.75" x14ac:dyDescent="0.25">
      <c r="A5040" s="11"/>
    </row>
    <row r="5041" spans="1:1" ht="15.75" x14ac:dyDescent="0.25">
      <c r="A5041" s="11"/>
    </row>
    <row r="5042" spans="1:1" ht="15.75" x14ac:dyDescent="0.25">
      <c r="A5042" s="11"/>
    </row>
    <row r="5043" spans="1:1" ht="15.75" x14ac:dyDescent="0.25">
      <c r="A5043" s="11"/>
    </row>
    <row r="5044" spans="1:1" ht="15.75" x14ac:dyDescent="0.25">
      <c r="A5044" s="11"/>
    </row>
    <row r="5045" spans="1:1" ht="15.75" x14ac:dyDescent="0.25">
      <c r="A5045" s="11"/>
    </row>
    <row r="5046" spans="1:1" ht="15.75" x14ac:dyDescent="0.25">
      <c r="A5046" s="11"/>
    </row>
    <row r="5047" spans="1:1" ht="15.75" x14ac:dyDescent="0.25">
      <c r="A5047" s="11"/>
    </row>
    <row r="5048" spans="1:1" ht="15.75" x14ac:dyDescent="0.25">
      <c r="A5048" s="11"/>
    </row>
    <row r="5049" spans="1:1" ht="15.75" x14ac:dyDescent="0.25">
      <c r="A5049" s="11"/>
    </row>
    <row r="5050" spans="1:1" ht="15.75" x14ac:dyDescent="0.25">
      <c r="A5050" s="11"/>
    </row>
    <row r="5051" spans="1:1" ht="15.75" x14ac:dyDescent="0.25">
      <c r="A5051" s="11"/>
    </row>
    <row r="5052" spans="1:1" ht="15.75" x14ac:dyDescent="0.25">
      <c r="A5052" s="11"/>
    </row>
    <row r="5053" spans="1:1" ht="15.75" x14ac:dyDescent="0.25">
      <c r="A5053" s="11"/>
    </row>
    <row r="5054" spans="1:1" ht="15.75" x14ac:dyDescent="0.25">
      <c r="A5054" s="11"/>
    </row>
    <row r="5055" spans="1:1" ht="15.75" x14ac:dyDescent="0.25">
      <c r="A5055" s="11"/>
    </row>
    <row r="5056" spans="1:1" ht="15.75" x14ac:dyDescent="0.25">
      <c r="A5056" s="11"/>
    </row>
    <row r="5057" spans="1:1" ht="15.75" x14ac:dyDescent="0.25">
      <c r="A5057" s="11"/>
    </row>
    <row r="5058" spans="1:1" ht="15.75" x14ac:dyDescent="0.25">
      <c r="A5058" s="11"/>
    </row>
    <row r="5059" spans="1:1" ht="15.75" x14ac:dyDescent="0.25">
      <c r="A5059" s="11"/>
    </row>
    <row r="5060" spans="1:1" ht="15.75" x14ac:dyDescent="0.25">
      <c r="A5060" s="11"/>
    </row>
    <row r="5061" spans="1:1" ht="15.75" x14ac:dyDescent="0.25">
      <c r="A5061" s="11"/>
    </row>
    <row r="5062" spans="1:1" ht="15.75" x14ac:dyDescent="0.25">
      <c r="A5062" s="11"/>
    </row>
    <row r="5063" spans="1:1" ht="15.75" x14ac:dyDescent="0.25">
      <c r="A5063" s="11"/>
    </row>
    <row r="5064" spans="1:1" ht="15.75" x14ac:dyDescent="0.25">
      <c r="A5064" s="11"/>
    </row>
    <row r="5065" spans="1:1" ht="15.75" x14ac:dyDescent="0.25">
      <c r="A5065" s="11"/>
    </row>
    <row r="5066" spans="1:1" ht="15.75" x14ac:dyDescent="0.25">
      <c r="A5066" s="11"/>
    </row>
    <row r="5067" spans="1:1" ht="15.75" x14ac:dyDescent="0.25">
      <c r="A5067" s="11"/>
    </row>
    <row r="5068" spans="1:1" ht="15.75" x14ac:dyDescent="0.25">
      <c r="A5068" s="11"/>
    </row>
    <row r="5069" spans="1:1" ht="15.75" x14ac:dyDescent="0.25">
      <c r="A5069" s="11"/>
    </row>
    <row r="5070" spans="1:1" ht="15.75" x14ac:dyDescent="0.25">
      <c r="A5070" s="11"/>
    </row>
    <row r="5071" spans="1:1" ht="15.75" x14ac:dyDescent="0.25">
      <c r="A5071" s="11"/>
    </row>
    <row r="5072" spans="1:1" ht="15.75" x14ac:dyDescent="0.25">
      <c r="A5072" s="11"/>
    </row>
    <row r="5073" spans="1:1" ht="15.75" x14ac:dyDescent="0.25">
      <c r="A5073" s="11"/>
    </row>
    <row r="5074" spans="1:1" ht="15.75" x14ac:dyDescent="0.25">
      <c r="A5074" s="11"/>
    </row>
    <row r="5075" spans="1:1" ht="15.75" x14ac:dyDescent="0.25">
      <c r="A5075" s="11"/>
    </row>
    <row r="5076" spans="1:1" ht="15.75" x14ac:dyDescent="0.25">
      <c r="A5076" s="11"/>
    </row>
    <row r="5077" spans="1:1" ht="15.75" x14ac:dyDescent="0.25">
      <c r="A5077" s="11"/>
    </row>
    <row r="5078" spans="1:1" ht="15.75" x14ac:dyDescent="0.25">
      <c r="A5078" s="11"/>
    </row>
    <row r="5079" spans="1:1" ht="15.75" x14ac:dyDescent="0.25">
      <c r="A5079" s="11"/>
    </row>
    <row r="5080" spans="1:1" ht="15.75" x14ac:dyDescent="0.25">
      <c r="A5080" s="11"/>
    </row>
    <row r="5081" spans="1:1" ht="15.75" x14ac:dyDescent="0.25">
      <c r="A5081" s="11"/>
    </row>
    <row r="5082" spans="1:1" ht="15.75" x14ac:dyDescent="0.25">
      <c r="A5082" s="11"/>
    </row>
    <row r="5083" spans="1:1" ht="15.75" x14ac:dyDescent="0.25">
      <c r="A5083" s="11"/>
    </row>
    <row r="5084" spans="1:1" ht="15.75" x14ac:dyDescent="0.25">
      <c r="A5084" s="11"/>
    </row>
    <row r="5085" spans="1:1" ht="15.75" x14ac:dyDescent="0.25">
      <c r="A5085" s="11"/>
    </row>
    <row r="5086" spans="1:1" ht="15.75" x14ac:dyDescent="0.25">
      <c r="A5086" s="11"/>
    </row>
    <row r="5087" spans="1:1" ht="15.75" x14ac:dyDescent="0.25">
      <c r="A5087" s="11"/>
    </row>
    <row r="5088" spans="1:1" ht="15.75" x14ac:dyDescent="0.25">
      <c r="A5088" s="11"/>
    </row>
    <row r="5089" spans="1:1" ht="15.75" x14ac:dyDescent="0.25">
      <c r="A5089" s="11"/>
    </row>
    <row r="5090" spans="1:1" ht="15.75" x14ac:dyDescent="0.25">
      <c r="A5090" s="11"/>
    </row>
    <row r="5091" spans="1:1" ht="15.75" x14ac:dyDescent="0.25">
      <c r="A5091" s="11"/>
    </row>
    <row r="5092" spans="1:1" ht="15.75" x14ac:dyDescent="0.25">
      <c r="A5092" s="11"/>
    </row>
    <row r="5093" spans="1:1" ht="15.75" x14ac:dyDescent="0.25">
      <c r="A5093" s="11"/>
    </row>
    <row r="5094" spans="1:1" ht="15.75" x14ac:dyDescent="0.25">
      <c r="A5094" s="11"/>
    </row>
    <row r="5095" spans="1:1" ht="15.75" x14ac:dyDescent="0.25">
      <c r="A5095" s="11"/>
    </row>
    <row r="5096" spans="1:1" ht="15.75" x14ac:dyDescent="0.25">
      <c r="A5096" s="11"/>
    </row>
    <row r="5097" spans="1:1" ht="15.75" x14ac:dyDescent="0.25">
      <c r="A5097" s="11"/>
    </row>
    <row r="5098" spans="1:1" ht="15.75" x14ac:dyDescent="0.25">
      <c r="A5098" s="11"/>
    </row>
    <row r="5099" spans="1:1" ht="15.75" x14ac:dyDescent="0.25">
      <c r="A5099" s="11"/>
    </row>
    <row r="5100" spans="1:1" ht="15.75" x14ac:dyDescent="0.25">
      <c r="A5100" s="11"/>
    </row>
    <row r="5101" spans="1:1" ht="15.75" x14ac:dyDescent="0.25">
      <c r="A5101" s="11"/>
    </row>
    <row r="5102" spans="1:1" ht="15.75" x14ac:dyDescent="0.25">
      <c r="A5102" s="11"/>
    </row>
    <row r="5103" spans="1:1" ht="15.75" x14ac:dyDescent="0.25">
      <c r="A5103" s="11"/>
    </row>
    <row r="5104" spans="1:1" ht="15.75" x14ac:dyDescent="0.25">
      <c r="A5104" s="11"/>
    </row>
    <row r="5105" spans="1:1" ht="15.75" x14ac:dyDescent="0.25">
      <c r="A5105" s="11"/>
    </row>
    <row r="5106" spans="1:1" ht="15.75" x14ac:dyDescent="0.25">
      <c r="A5106" s="11"/>
    </row>
    <row r="5107" spans="1:1" ht="15.75" x14ac:dyDescent="0.25">
      <c r="A5107" s="11"/>
    </row>
    <row r="5108" spans="1:1" ht="15.75" x14ac:dyDescent="0.25">
      <c r="A5108" s="11"/>
    </row>
    <row r="5109" spans="1:1" ht="15.75" x14ac:dyDescent="0.25">
      <c r="A5109" s="11"/>
    </row>
    <row r="5110" spans="1:1" ht="15.75" x14ac:dyDescent="0.25">
      <c r="A5110" s="11"/>
    </row>
    <row r="5111" spans="1:1" ht="15.75" x14ac:dyDescent="0.25">
      <c r="A5111" s="11"/>
    </row>
    <row r="5112" spans="1:1" ht="15.75" x14ac:dyDescent="0.25">
      <c r="A5112" s="11"/>
    </row>
    <row r="5113" spans="1:1" ht="15.75" x14ac:dyDescent="0.25">
      <c r="A5113" s="11"/>
    </row>
    <row r="5114" spans="1:1" ht="15.75" x14ac:dyDescent="0.25">
      <c r="A5114" s="11"/>
    </row>
    <row r="5115" spans="1:1" ht="15.75" x14ac:dyDescent="0.25">
      <c r="A5115" s="11"/>
    </row>
    <row r="5116" spans="1:1" ht="15.75" x14ac:dyDescent="0.25">
      <c r="A5116" s="11"/>
    </row>
    <row r="5117" spans="1:1" ht="15.75" x14ac:dyDescent="0.25">
      <c r="A5117" s="11"/>
    </row>
    <row r="5118" spans="1:1" ht="15.75" x14ac:dyDescent="0.25">
      <c r="A5118" s="11"/>
    </row>
    <row r="5119" spans="1:1" ht="15.75" x14ac:dyDescent="0.25">
      <c r="A5119" s="11"/>
    </row>
    <row r="5120" spans="1:1" ht="15.75" x14ac:dyDescent="0.25">
      <c r="A5120" s="11"/>
    </row>
    <row r="5121" spans="1:1" ht="15.75" x14ac:dyDescent="0.25">
      <c r="A5121" s="11"/>
    </row>
    <row r="5122" spans="1:1" ht="15.75" x14ac:dyDescent="0.25">
      <c r="A5122" s="11"/>
    </row>
    <row r="5123" spans="1:1" ht="15.75" x14ac:dyDescent="0.25">
      <c r="A5123" s="11"/>
    </row>
    <row r="5124" spans="1:1" ht="15.75" x14ac:dyDescent="0.25">
      <c r="A5124" s="11"/>
    </row>
    <row r="5125" spans="1:1" ht="15.75" x14ac:dyDescent="0.25">
      <c r="A5125" s="11"/>
    </row>
    <row r="5126" spans="1:1" ht="15.75" x14ac:dyDescent="0.25">
      <c r="A5126" s="11"/>
    </row>
    <row r="5127" spans="1:1" ht="15.75" x14ac:dyDescent="0.25">
      <c r="A5127" s="11"/>
    </row>
    <row r="5128" spans="1:1" ht="15.75" x14ac:dyDescent="0.25">
      <c r="A5128" s="11"/>
    </row>
    <row r="5129" spans="1:1" ht="15.75" x14ac:dyDescent="0.25">
      <c r="A5129" s="11"/>
    </row>
    <row r="5130" spans="1:1" ht="15.75" x14ac:dyDescent="0.25">
      <c r="A5130" s="11"/>
    </row>
    <row r="5131" spans="1:1" ht="15.75" x14ac:dyDescent="0.25">
      <c r="A5131" s="11"/>
    </row>
    <row r="5132" spans="1:1" ht="15.75" x14ac:dyDescent="0.25">
      <c r="A5132" s="11"/>
    </row>
    <row r="5133" spans="1:1" ht="15.75" x14ac:dyDescent="0.25">
      <c r="A5133" s="11"/>
    </row>
    <row r="5134" spans="1:1" ht="15.75" x14ac:dyDescent="0.25">
      <c r="A5134" s="11"/>
    </row>
    <row r="5135" spans="1:1" ht="15.75" x14ac:dyDescent="0.25">
      <c r="A5135" s="11"/>
    </row>
    <row r="5136" spans="1:1" ht="15.75" x14ac:dyDescent="0.25">
      <c r="A5136" s="11"/>
    </row>
    <row r="5137" spans="1:1" ht="15.75" x14ac:dyDescent="0.25">
      <c r="A5137" s="11"/>
    </row>
    <row r="5138" spans="1:1" ht="15.75" x14ac:dyDescent="0.25">
      <c r="A5138" s="11"/>
    </row>
    <row r="5139" spans="1:1" ht="15.75" x14ac:dyDescent="0.25">
      <c r="A5139" s="11"/>
    </row>
    <row r="5140" spans="1:1" ht="15.75" x14ac:dyDescent="0.25">
      <c r="A5140" s="11"/>
    </row>
    <row r="5141" spans="1:1" ht="15.75" x14ac:dyDescent="0.25">
      <c r="A5141" s="11"/>
    </row>
    <row r="5142" spans="1:1" ht="15.75" x14ac:dyDescent="0.25">
      <c r="A5142" s="11"/>
    </row>
    <row r="5143" spans="1:1" ht="15.75" x14ac:dyDescent="0.25">
      <c r="A5143" s="11"/>
    </row>
    <row r="5144" spans="1:1" ht="15.75" x14ac:dyDescent="0.25">
      <c r="A5144" s="11"/>
    </row>
    <row r="5145" spans="1:1" ht="15.75" x14ac:dyDescent="0.25">
      <c r="A5145" s="11"/>
    </row>
    <row r="5146" spans="1:1" ht="15.75" x14ac:dyDescent="0.25">
      <c r="A5146" s="11"/>
    </row>
    <row r="5147" spans="1:1" ht="15.75" x14ac:dyDescent="0.25">
      <c r="A5147" s="11"/>
    </row>
    <row r="5148" spans="1:1" ht="15.75" x14ac:dyDescent="0.25">
      <c r="A5148" s="11"/>
    </row>
    <row r="5149" spans="1:1" ht="15.75" x14ac:dyDescent="0.25">
      <c r="A5149" s="11"/>
    </row>
    <row r="5150" spans="1:1" ht="15.75" x14ac:dyDescent="0.25">
      <c r="A5150" s="11"/>
    </row>
    <row r="5151" spans="1:1" ht="15.75" x14ac:dyDescent="0.25">
      <c r="A5151" s="11"/>
    </row>
    <row r="5152" spans="1:1" ht="15.75" x14ac:dyDescent="0.25">
      <c r="A5152" s="11"/>
    </row>
    <row r="5153" spans="1:1" ht="15.75" x14ac:dyDescent="0.25">
      <c r="A5153" s="11"/>
    </row>
    <row r="5154" spans="1:1" ht="15.75" x14ac:dyDescent="0.25">
      <c r="A5154" s="11"/>
    </row>
    <row r="5155" spans="1:1" ht="15.75" x14ac:dyDescent="0.25">
      <c r="A5155" s="11"/>
    </row>
    <row r="5156" spans="1:1" ht="15.75" x14ac:dyDescent="0.25">
      <c r="A5156" s="11"/>
    </row>
    <row r="5157" spans="1:1" ht="15.75" x14ac:dyDescent="0.25">
      <c r="A5157" s="11"/>
    </row>
    <row r="5158" spans="1:1" ht="15.75" x14ac:dyDescent="0.25">
      <c r="A5158" s="11"/>
    </row>
    <row r="5159" spans="1:1" ht="15.75" x14ac:dyDescent="0.25">
      <c r="A5159" s="11"/>
    </row>
    <row r="5160" spans="1:1" ht="15.75" x14ac:dyDescent="0.25">
      <c r="A5160" s="11"/>
    </row>
    <row r="5161" spans="1:1" ht="15.75" x14ac:dyDescent="0.25">
      <c r="A5161" s="11"/>
    </row>
    <row r="5162" spans="1:1" ht="15.75" x14ac:dyDescent="0.25">
      <c r="A5162" s="11"/>
    </row>
    <row r="5163" spans="1:1" ht="15.75" x14ac:dyDescent="0.25">
      <c r="A5163" s="11"/>
    </row>
    <row r="5164" spans="1:1" ht="15.75" x14ac:dyDescent="0.25">
      <c r="A5164" s="11"/>
    </row>
    <row r="5165" spans="1:1" ht="15.75" x14ac:dyDescent="0.25">
      <c r="A5165" s="11"/>
    </row>
    <row r="5166" spans="1:1" ht="15.75" x14ac:dyDescent="0.25">
      <c r="A5166" s="11"/>
    </row>
    <row r="5167" spans="1:1" ht="15.75" x14ac:dyDescent="0.25">
      <c r="A5167" s="11"/>
    </row>
    <row r="5168" spans="1:1" ht="15.75" x14ac:dyDescent="0.25">
      <c r="A5168" s="11"/>
    </row>
    <row r="5169" spans="1:1" ht="15.75" x14ac:dyDescent="0.25">
      <c r="A5169" s="11"/>
    </row>
    <row r="5170" spans="1:1" ht="15.75" x14ac:dyDescent="0.25">
      <c r="A5170" s="11"/>
    </row>
    <row r="5171" spans="1:1" ht="15.75" x14ac:dyDescent="0.25">
      <c r="A5171" s="11"/>
    </row>
    <row r="5172" spans="1:1" ht="15.75" x14ac:dyDescent="0.25">
      <c r="A5172" s="11"/>
    </row>
    <row r="5173" spans="1:1" ht="15.75" x14ac:dyDescent="0.25">
      <c r="A5173" s="11"/>
    </row>
    <row r="5174" spans="1:1" ht="15.75" x14ac:dyDescent="0.25">
      <c r="A5174" s="11"/>
    </row>
    <row r="5175" spans="1:1" ht="15.75" x14ac:dyDescent="0.25">
      <c r="A5175" s="11"/>
    </row>
    <row r="5176" spans="1:1" ht="15.75" x14ac:dyDescent="0.25">
      <c r="A5176" s="11"/>
    </row>
    <row r="5177" spans="1:1" ht="15.75" x14ac:dyDescent="0.25">
      <c r="A5177" s="11"/>
    </row>
    <row r="5178" spans="1:1" ht="15.75" x14ac:dyDescent="0.25">
      <c r="A5178" s="11"/>
    </row>
    <row r="5179" spans="1:1" ht="15.75" x14ac:dyDescent="0.25">
      <c r="A5179" s="11"/>
    </row>
    <row r="5180" spans="1:1" ht="15.75" x14ac:dyDescent="0.25">
      <c r="A5180" s="11"/>
    </row>
    <row r="5181" spans="1:1" ht="15.75" x14ac:dyDescent="0.25">
      <c r="A5181" s="11"/>
    </row>
    <row r="5182" spans="1:1" ht="15.75" x14ac:dyDescent="0.25">
      <c r="A5182" s="11"/>
    </row>
    <row r="5183" spans="1:1" ht="15.75" x14ac:dyDescent="0.25">
      <c r="A5183" s="11"/>
    </row>
    <row r="5184" spans="1:1" ht="15.75" x14ac:dyDescent="0.25">
      <c r="A5184" s="11"/>
    </row>
    <row r="5185" spans="1:1" ht="15.75" x14ac:dyDescent="0.25">
      <c r="A5185" s="11"/>
    </row>
    <row r="5186" spans="1:1" ht="15.75" x14ac:dyDescent="0.25">
      <c r="A5186" s="11"/>
    </row>
    <row r="5187" spans="1:1" ht="15.75" x14ac:dyDescent="0.25">
      <c r="A5187" s="11"/>
    </row>
    <row r="5188" spans="1:1" ht="15.75" x14ac:dyDescent="0.25">
      <c r="A5188" s="11"/>
    </row>
    <row r="5189" spans="1:1" ht="15.75" x14ac:dyDescent="0.25">
      <c r="A5189" s="11"/>
    </row>
    <row r="5190" spans="1:1" ht="15.75" x14ac:dyDescent="0.25">
      <c r="A5190" s="11"/>
    </row>
    <row r="5191" spans="1:1" ht="15.75" x14ac:dyDescent="0.25">
      <c r="A5191" s="11"/>
    </row>
    <row r="5192" spans="1:1" ht="15.75" x14ac:dyDescent="0.25">
      <c r="A5192" s="11"/>
    </row>
    <row r="5193" spans="1:1" ht="15.75" x14ac:dyDescent="0.25">
      <c r="A5193" s="11"/>
    </row>
    <row r="5194" spans="1:1" ht="15.75" x14ac:dyDescent="0.25">
      <c r="A5194" s="11"/>
    </row>
    <row r="5195" spans="1:1" ht="15.75" x14ac:dyDescent="0.25">
      <c r="A5195" s="11"/>
    </row>
    <row r="5196" spans="1:1" ht="15.75" x14ac:dyDescent="0.25">
      <c r="A5196" s="11"/>
    </row>
    <row r="5197" spans="1:1" ht="15.75" x14ac:dyDescent="0.25">
      <c r="A5197" s="11"/>
    </row>
    <row r="5198" spans="1:1" ht="15.75" x14ac:dyDescent="0.25">
      <c r="A5198" s="11"/>
    </row>
    <row r="5199" spans="1:1" ht="15.75" x14ac:dyDescent="0.25">
      <c r="A5199" s="11"/>
    </row>
    <row r="5200" spans="1:1" ht="15.75" x14ac:dyDescent="0.25">
      <c r="A5200" s="11"/>
    </row>
    <row r="5201" spans="1:1" ht="15.75" x14ac:dyDescent="0.25">
      <c r="A5201" s="11"/>
    </row>
    <row r="5202" spans="1:1" ht="15.75" x14ac:dyDescent="0.25">
      <c r="A5202" s="11"/>
    </row>
    <row r="5203" spans="1:1" ht="15.75" x14ac:dyDescent="0.25">
      <c r="A5203" s="11"/>
    </row>
    <row r="5204" spans="1:1" ht="15.75" x14ac:dyDescent="0.25">
      <c r="A5204" s="11"/>
    </row>
    <row r="5205" spans="1:1" ht="15.75" x14ac:dyDescent="0.25">
      <c r="A5205" s="11"/>
    </row>
    <row r="5206" spans="1:1" ht="15.75" x14ac:dyDescent="0.25">
      <c r="A5206" s="11"/>
    </row>
    <row r="5207" spans="1:1" ht="15.75" x14ac:dyDescent="0.25">
      <c r="A5207" s="11"/>
    </row>
    <row r="5208" spans="1:1" ht="15.75" x14ac:dyDescent="0.25">
      <c r="A5208" s="11"/>
    </row>
    <row r="5209" spans="1:1" ht="15.75" x14ac:dyDescent="0.25">
      <c r="A5209" s="11"/>
    </row>
    <row r="5210" spans="1:1" ht="15.75" x14ac:dyDescent="0.25">
      <c r="A5210" s="11"/>
    </row>
    <row r="5211" spans="1:1" ht="15.75" x14ac:dyDescent="0.25">
      <c r="A5211" s="11"/>
    </row>
    <row r="5212" spans="1:1" ht="15.75" x14ac:dyDescent="0.25">
      <c r="A5212" s="11"/>
    </row>
    <row r="5213" spans="1:1" ht="15.75" x14ac:dyDescent="0.25">
      <c r="A5213" s="11"/>
    </row>
    <row r="5214" spans="1:1" ht="15.75" x14ac:dyDescent="0.25">
      <c r="A5214" s="11"/>
    </row>
    <row r="5215" spans="1:1" ht="15.75" x14ac:dyDescent="0.25">
      <c r="A5215" s="11"/>
    </row>
    <row r="5216" spans="1:1" ht="15.75" x14ac:dyDescent="0.25">
      <c r="A5216" s="11"/>
    </row>
    <row r="5217" spans="1:1" ht="15.75" x14ac:dyDescent="0.25">
      <c r="A5217" s="11"/>
    </row>
    <row r="5218" spans="1:1" ht="15.75" x14ac:dyDescent="0.25">
      <c r="A5218" s="11"/>
    </row>
    <row r="5219" spans="1:1" ht="15.75" x14ac:dyDescent="0.25">
      <c r="A5219" s="11"/>
    </row>
    <row r="5220" spans="1:1" ht="15.75" x14ac:dyDescent="0.25">
      <c r="A5220" s="11"/>
    </row>
    <row r="5221" spans="1:1" ht="15.75" x14ac:dyDescent="0.25">
      <c r="A5221" s="11"/>
    </row>
    <row r="5222" spans="1:1" ht="15.75" x14ac:dyDescent="0.25">
      <c r="A5222" s="11"/>
    </row>
    <row r="5223" spans="1:1" ht="15.75" x14ac:dyDescent="0.25">
      <c r="A5223" s="11"/>
    </row>
    <row r="5224" spans="1:1" ht="15.75" x14ac:dyDescent="0.25">
      <c r="A5224" s="11"/>
    </row>
    <row r="5225" spans="1:1" ht="15.75" x14ac:dyDescent="0.25">
      <c r="A5225" s="11"/>
    </row>
    <row r="5226" spans="1:1" ht="15.75" x14ac:dyDescent="0.25">
      <c r="A5226" s="11"/>
    </row>
    <row r="5227" spans="1:1" ht="15.75" x14ac:dyDescent="0.25">
      <c r="A5227" s="11"/>
    </row>
    <row r="5228" spans="1:1" ht="15.75" x14ac:dyDescent="0.25">
      <c r="A5228" s="11"/>
    </row>
    <row r="5229" spans="1:1" ht="15.75" x14ac:dyDescent="0.25">
      <c r="A5229" s="11"/>
    </row>
    <row r="5230" spans="1:1" ht="15.75" x14ac:dyDescent="0.25">
      <c r="A5230" s="11"/>
    </row>
    <row r="5231" spans="1:1" ht="15.75" x14ac:dyDescent="0.25">
      <c r="A5231" s="11"/>
    </row>
    <row r="5232" spans="1:1" ht="15.75" x14ac:dyDescent="0.25">
      <c r="A5232" s="11"/>
    </row>
    <row r="5233" spans="1:1" ht="15.75" x14ac:dyDescent="0.25">
      <c r="A5233" s="11"/>
    </row>
    <row r="5234" spans="1:1" ht="15.75" x14ac:dyDescent="0.25">
      <c r="A5234" s="11"/>
    </row>
    <row r="5235" spans="1:1" ht="15.75" x14ac:dyDescent="0.25">
      <c r="A5235" s="11"/>
    </row>
    <row r="5236" spans="1:1" ht="15.75" x14ac:dyDescent="0.25">
      <c r="A5236" s="11"/>
    </row>
    <row r="5237" spans="1:1" ht="15.75" x14ac:dyDescent="0.25">
      <c r="A5237" s="11"/>
    </row>
    <row r="5238" spans="1:1" ht="15.75" x14ac:dyDescent="0.25">
      <c r="A5238" s="11"/>
    </row>
    <row r="5239" spans="1:1" ht="15.75" x14ac:dyDescent="0.25">
      <c r="A5239" s="11"/>
    </row>
    <row r="5240" spans="1:1" ht="15.75" x14ac:dyDescent="0.25">
      <c r="A5240" s="11"/>
    </row>
    <row r="5241" spans="1:1" ht="15.75" x14ac:dyDescent="0.25">
      <c r="A5241" s="11"/>
    </row>
    <row r="5242" spans="1:1" ht="15.75" x14ac:dyDescent="0.25">
      <c r="A5242" s="11"/>
    </row>
    <row r="5243" spans="1:1" ht="15.75" x14ac:dyDescent="0.25">
      <c r="A5243" s="11"/>
    </row>
    <row r="5244" spans="1:1" ht="15.75" x14ac:dyDescent="0.25">
      <c r="A5244" s="11"/>
    </row>
    <row r="5245" spans="1:1" ht="15.75" x14ac:dyDescent="0.25">
      <c r="A5245" s="11"/>
    </row>
    <row r="5246" spans="1:1" ht="15.75" x14ac:dyDescent="0.25">
      <c r="A5246" s="11"/>
    </row>
    <row r="5247" spans="1:1" ht="15.75" x14ac:dyDescent="0.25">
      <c r="A5247" s="11"/>
    </row>
    <row r="5248" spans="1:1" ht="15.75" x14ac:dyDescent="0.25">
      <c r="A5248" s="11"/>
    </row>
    <row r="5249" spans="1:1" ht="15.75" x14ac:dyDescent="0.25">
      <c r="A5249" s="11"/>
    </row>
    <row r="5250" spans="1:1" ht="15.75" x14ac:dyDescent="0.25">
      <c r="A5250" s="11"/>
    </row>
    <row r="5251" spans="1:1" ht="15.75" x14ac:dyDescent="0.25">
      <c r="A5251" s="11"/>
    </row>
    <row r="5252" spans="1:1" ht="15.75" x14ac:dyDescent="0.25">
      <c r="A5252" s="11"/>
    </row>
    <row r="5253" spans="1:1" ht="15.75" x14ac:dyDescent="0.25">
      <c r="A5253" s="11"/>
    </row>
    <row r="5254" spans="1:1" ht="15.75" x14ac:dyDescent="0.25">
      <c r="A5254" s="11"/>
    </row>
    <row r="5255" spans="1:1" ht="15.75" x14ac:dyDescent="0.25">
      <c r="A5255" s="11"/>
    </row>
    <row r="5256" spans="1:1" ht="15.75" x14ac:dyDescent="0.25">
      <c r="A5256" s="11"/>
    </row>
    <row r="5257" spans="1:1" ht="15.75" x14ac:dyDescent="0.25">
      <c r="A5257" s="11"/>
    </row>
    <row r="5258" spans="1:1" ht="15.75" x14ac:dyDescent="0.25">
      <c r="A5258" s="11"/>
    </row>
    <row r="5259" spans="1:1" ht="15.75" x14ac:dyDescent="0.25">
      <c r="A5259" s="11"/>
    </row>
    <row r="5260" spans="1:1" ht="15.75" x14ac:dyDescent="0.25">
      <c r="A5260" s="11"/>
    </row>
    <row r="5261" spans="1:1" ht="15.75" x14ac:dyDescent="0.25">
      <c r="A5261" s="11"/>
    </row>
    <row r="5262" spans="1:1" ht="15.75" x14ac:dyDescent="0.25">
      <c r="A5262" s="11"/>
    </row>
    <row r="5263" spans="1:1" ht="15.75" x14ac:dyDescent="0.25">
      <c r="A5263" s="11"/>
    </row>
    <row r="5264" spans="1:1" ht="15.75" x14ac:dyDescent="0.25">
      <c r="A5264" s="11"/>
    </row>
    <row r="5265" spans="1:1" ht="15.75" x14ac:dyDescent="0.25">
      <c r="A5265" s="11"/>
    </row>
    <row r="5266" spans="1:1" ht="15.75" x14ac:dyDescent="0.25">
      <c r="A5266" s="11"/>
    </row>
    <row r="5267" spans="1:1" ht="15.75" x14ac:dyDescent="0.25">
      <c r="A5267" s="11"/>
    </row>
    <row r="5268" spans="1:1" ht="15.75" x14ac:dyDescent="0.25">
      <c r="A5268" s="11"/>
    </row>
    <row r="5269" spans="1:1" ht="15.75" x14ac:dyDescent="0.25">
      <c r="A5269" s="11"/>
    </row>
    <row r="5270" spans="1:1" ht="15.75" x14ac:dyDescent="0.25">
      <c r="A5270" s="11"/>
    </row>
    <row r="5271" spans="1:1" ht="15.75" x14ac:dyDescent="0.25">
      <c r="A5271" s="11"/>
    </row>
    <row r="5272" spans="1:1" ht="15.75" x14ac:dyDescent="0.25">
      <c r="A5272" s="11"/>
    </row>
    <row r="5273" spans="1:1" ht="15.75" x14ac:dyDescent="0.25">
      <c r="A5273" s="11"/>
    </row>
    <row r="5274" spans="1:1" ht="15.75" x14ac:dyDescent="0.25">
      <c r="A5274" s="11"/>
    </row>
    <row r="5275" spans="1:1" ht="15.75" x14ac:dyDescent="0.25">
      <c r="A5275" s="11"/>
    </row>
    <row r="5276" spans="1:1" ht="15.75" x14ac:dyDescent="0.25">
      <c r="A5276" s="11"/>
    </row>
    <row r="5277" spans="1:1" ht="15.75" x14ac:dyDescent="0.25">
      <c r="A5277" s="11"/>
    </row>
    <row r="5278" spans="1:1" ht="15.75" x14ac:dyDescent="0.25">
      <c r="A5278" s="11"/>
    </row>
    <row r="5279" spans="1:1" ht="15.75" x14ac:dyDescent="0.25">
      <c r="A5279" s="11"/>
    </row>
    <row r="5280" spans="1:1" ht="15.75" x14ac:dyDescent="0.25">
      <c r="A5280" s="11"/>
    </row>
    <row r="5281" spans="1:1" ht="15.75" x14ac:dyDescent="0.25">
      <c r="A5281" s="11"/>
    </row>
    <row r="5282" spans="1:1" ht="15.75" x14ac:dyDescent="0.25">
      <c r="A5282" s="11"/>
    </row>
    <row r="5283" spans="1:1" ht="15.75" x14ac:dyDescent="0.25">
      <c r="A5283" s="11"/>
    </row>
    <row r="5284" spans="1:1" ht="15.75" x14ac:dyDescent="0.25">
      <c r="A5284" s="11"/>
    </row>
    <row r="5285" spans="1:1" ht="15.75" x14ac:dyDescent="0.25">
      <c r="A5285" s="11"/>
    </row>
    <row r="5286" spans="1:1" ht="15.75" x14ac:dyDescent="0.25">
      <c r="A5286" s="11"/>
    </row>
    <row r="5287" spans="1:1" ht="15.75" x14ac:dyDescent="0.25">
      <c r="A5287" s="11"/>
    </row>
    <row r="5288" spans="1:1" ht="15.75" x14ac:dyDescent="0.25">
      <c r="A5288" s="11"/>
    </row>
    <row r="5289" spans="1:1" ht="15.75" x14ac:dyDescent="0.25">
      <c r="A5289" s="11"/>
    </row>
    <row r="5290" spans="1:1" ht="15.75" x14ac:dyDescent="0.25">
      <c r="A5290" s="11"/>
    </row>
    <row r="5291" spans="1:1" ht="15.75" x14ac:dyDescent="0.25">
      <c r="A5291" s="11"/>
    </row>
    <row r="5292" spans="1:1" ht="15.75" x14ac:dyDescent="0.25">
      <c r="A5292" s="11"/>
    </row>
    <row r="5293" spans="1:1" ht="15.75" x14ac:dyDescent="0.25">
      <c r="A5293" s="11"/>
    </row>
    <row r="5294" spans="1:1" ht="15.75" x14ac:dyDescent="0.25">
      <c r="A5294" s="11"/>
    </row>
    <row r="5295" spans="1:1" ht="15.75" x14ac:dyDescent="0.25">
      <c r="A5295" s="11"/>
    </row>
    <row r="5296" spans="1:1" ht="15.75" x14ac:dyDescent="0.25">
      <c r="A5296" s="11"/>
    </row>
    <row r="5297" spans="1:1" ht="15.75" x14ac:dyDescent="0.25">
      <c r="A5297" s="11"/>
    </row>
    <row r="5298" spans="1:1" ht="15.75" x14ac:dyDescent="0.25">
      <c r="A5298" s="11"/>
    </row>
    <row r="5299" spans="1:1" ht="15.75" x14ac:dyDescent="0.25">
      <c r="A5299" s="11"/>
    </row>
    <row r="5300" spans="1:1" ht="15.75" x14ac:dyDescent="0.25">
      <c r="A5300" s="11"/>
    </row>
    <row r="5301" spans="1:1" ht="15.75" x14ac:dyDescent="0.25">
      <c r="A5301" s="11"/>
    </row>
    <row r="5302" spans="1:1" ht="15.75" x14ac:dyDescent="0.25">
      <c r="A5302" s="11"/>
    </row>
    <row r="5303" spans="1:1" ht="15.75" x14ac:dyDescent="0.25">
      <c r="A5303" s="11"/>
    </row>
    <row r="5304" spans="1:1" ht="15.75" x14ac:dyDescent="0.25">
      <c r="A5304" s="11"/>
    </row>
    <row r="5305" spans="1:1" ht="15.75" x14ac:dyDescent="0.25">
      <c r="A5305" s="11"/>
    </row>
    <row r="5306" spans="1:1" ht="15.75" x14ac:dyDescent="0.25">
      <c r="A5306" s="11"/>
    </row>
    <row r="5307" spans="1:1" ht="15.75" x14ac:dyDescent="0.25">
      <c r="A5307" s="11"/>
    </row>
    <row r="5308" spans="1:1" ht="15.75" x14ac:dyDescent="0.25">
      <c r="A5308" s="11"/>
    </row>
    <row r="5309" spans="1:1" ht="15.75" x14ac:dyDescent="0.25">
      <c r="A5309" s="11"/>
    </row>
    <row r="5310" spans="1:1" ht="15.75" x14ac:dyDescent="0.25">
      <c r="A5310" s="11"/>
    </row>
    <row r="5311" spans="1:1" ht="15.75" x14ac:dyDescent="0.25">
      <c r="A5311" s="11"/>
    </row>
    <row r="5312" spans="1:1" ht="15.75" x14ac:dyDescent="0.25">
      <c r="A5312" s="11"/>
    </row>
    <row r="5313" spans="1:1" ht="15.75" x14ac:dyDescent="0.25">
      <c r="A5313" s="11"/>
    </row>
    <row r="5314" spans="1:1" ht="15.75" x14ac:dyDescent="0.25">
      <c r="A5314" s="11"/>
    </row>
    <row r="5315" spans="1:1" ht="15.75" x14ac:dyDescent="0.25">
      <c r="A5315" s="11"/>
    </row>
    <row r="5316" spans="1:1" ht="15.75" x14ac:dyDescent="0.25">
      <c r="A5316" s="11"/>
    </row>
    <row r="5317" spans="1:1" ht="15.75" x14ac:dyDescent="0.25">
      <c r="A5317" s="11"/>
    </row>
    <row r="5318" spans="1:1" ht="15.75" x14ac:dyDescent="0.25">
      <c r="A5318" s="11"/>
    </row>
    <row r="5319" spans="1:1" ht="15.75" x14ac:dyDescent="0.25">
      <c r="A5319" s="11"/>
    </row>
    <row r="5320" spans="1:1" ht="15.75" x14ac:dyDescent="0.25">
      <c r="A5320" s="11"/>
    </row>
    <row r="5321" spans="1:1" ht="15.75" x14ac:dyDescent="0.25">
      <c r="A5321" s="11"/>
    </row>
    <row r="5322" spans="1:1" ht="15.75" x14ac:dyDescent="0.25">
      <c r="A5322" s="11"/>
    </row>
    <row r="5323" spans="1:1" ht="15.75" x14ac:dyDescent="0.25">
      <c r="A5323" s="11"/>
    </row>
    <row r="5324" spans="1:1" ht="15.75" x14ac:dyDescent="0.25">
      <c r="A5324" s="11"/>
    </row>
    <row r="5325" spans="1:1" ht="15.75" x14ac:dyDescent="0.25">
      <c r="A5325" s="11"/>
    </row>
    <row r="5326" spans="1:1" ht="15.75" x14ac:dyDescent="0.25">
      <c r="A5326" s="11"/>
    </row>
    <row r="5327" spans="1:1" ht="15.75" x14ac:dyDescent="0.25">
      <c r="A5327" s="11"/>
    </row>
    <row r="5328" spans="1:1" ht="15.75" x14ac:dyDescent="0.25">
      <c r="A5328" s="11"/>
    </row>
    <row r="5329" spans="1:1" ht="15.75" x14ac:dyDescent="0.25">
      <c r="A5329" s="11"/>
    </row>
    <row r="5330" spans="1:1" ht="15.75" x14ac:dyDescent="0.25">
      <c r="A5330" s="11"/>
    </row>
    <row r="5331" spans="1:1" ht="15.75" x14ac:dyDescent="0.25">
      <c r="A5331" s="11"/>
    </row>
    <row r="5332" spans="1:1" ht="15.75" x14ac:dyDescent="0.25">
      <c r="A5332" s="11"/>
    </row>
    <row r="5333" spans="1:1" ht="15.75" x14ac:dyDescent="0.25">
      <c r="A5333" s="11"/>
    </row>
    <row r="5334" spans="1:1" ht="15.75" x14ac:dyDescent="0.25">
      <c r="A5334" s="11"/>
    </row>
    <row r="5335" spans="1:1" ht="15.75" x14ac:dyDescent="0.25">
      <c r="A5335" s="11"/>
    </row>
    <row r="5336" spans="1:1" ht="15.75" x14ac:dyDescent="0.25">
      <c r="A5336" s="11"/>
    </row>
    <row r="5337" spans="1:1" ht="15.75" x14ac:dyDescent="0.25">
      <c r="A5337" s="11"/>
    </row>
    <row r="5338" spans="1:1" ht="15.75" x14ac:dyDescent="0.25">
      <c r="A5338" s="11"/>
    </row>
    <row r="5339" spans="1:1" ht="15.75" x14ac:dyDescent="0.25">
      <c r="A5339" s="11"/>
    </row>
    <row r="5340" spans="1:1" ht="15.75" x14ac:dyDescent="0.25">
      <c r="A5340" s="11"/>
    </row>
    <row r="5341" spans="1:1" ht="15.75" x14ac:dyDescent="0.25">
      <c r="A5341" s="11"/>
    </row>
    <row r="5342" spans="1:1" ht="15.75" x14ac:dyDescent="0.25">
      <c r="A5342" s="11"/>
    </row>
    <row r="5343" spans="1:1" ht="15.75" x14ac:dyDescent="0.25">
      <c r="A5343" s="11"/>
    </row>
    <row r="5344" spans="1:1" ht="15.75" x14ac:dyDescent="0.25">
      <c r="A5344" s="11"/>
    </row>
    <row r="5345" spans="1:1" ht="15.75" x14ac:dyDescent="0.25">
      <c r="A5345" s="11"/>
    </row>
    <row r="5346" spans="1:1" ht="15.75" x14ac:dyDescent="0.25">
      <c r="A5346" s="11"/>
    </row>
    <row r="5347" spans="1:1" ht="15.75" x14ac:dyDescent="0.25">
      <c r="A5347" s="11"/>
    </row>
    <row r="5348" spans="1:1" ht="15.75" x14ac:dyDescent="0.25">
      <c r="A5348" s="11"/>
    </row>
    <row r="5349" spans="1:1" ht="15.75" x14ac:dyDescent="0.25">
      <c r="A5349" s="11"/>
    </row>
    <row r="5350" spans="1:1" ht="15.75" x14ac:dyDescent="0.25">
      <c r="A5350" s="11"/>
    </row>
    <row r="5351" spans="1:1" ht="15.75" x14ac:dyDescent="0.25">
      <c r="A5351" s="11"/>
    </row>
    <row r="5352" spans="1:1" ht="15.75" x14ac:dyDescent="0.25">
      <c r="A5352" s="11"/>
    </row>
    <row r="5353" spans="1:1" ht="15.75" x14ac:dyDescent="0.25">
      <c r="A5353" s="11"/>
    </row>
    <row r="5354" spans="1:1" ht="15.75" x14ac:dyDescent="0.25">
      <c r="A5354" s="11"/>
    </row>
    <row r="5355" spans="1:1" ht="15.75" x14ac:dyDescent="0.25">
      <c r="A5355" s="11"/>
    </row>
    <row r="5356" spans="1:1" ht="15.75" x14ac:dyDescent="0.25">
      <c r="A5356" s="11"/>
    </row>
    <row r="5357" spans="1:1" ht="15.75" x14ac:dyDescent="0.25">
      <c r="A5357" s="11"/>
    </row>
    <row r="5358" spans="1:1" ht="15.75" x14ac:dyDescent="0.25">
      <c r="A5358" s="11"/>
    </row>
    <row r="5359" spans="1:1" ht="15.75" x14ac:dyDescent="0.25">
      <c r="A5359" s="11"/>
    </row>
    <row r="5360" spans="1:1" ht="15.75" x14ac:dyDescent="0.25">
      <c r="A5360" s="11"/>
    </row>
    <row r="5361" spans="1:1" ht="15.75" x14ac:dyDescent="0.25">
      <c r="A5361" s="11"/>
    </row>
    <row r="5362" spans="1:1" ht="15.75" x14ac:dyDescent="0.25">
      <c r="A5362" s="11"/>
    </row>
    <row r="5363" spans="1:1" ht="15.75" x14ac:dyDescent="0.25">
      <c r="A5363" s="11"/>
    </row>
    <row r="5364" spans="1:1" ht="15.75" x14ac:dyDescent="0.25">
      <c r="A5364" s="11"/>
    </row>
    <row r="5365" spans="1:1" ht="15.75" x14ac:dyDescent="0.25">
      <c r="A5365" s="11"/>
    </row>
    <row r="5366" spans="1:1" ht="15.75" x14ac:dyDescent="0.25">
      <c r="A5366" s="11"/>
    </row>
    <row r="5367" spans="1:1" ht="15.75" x14ac:dyDescent="0.25">
      <c r="A5367" s="11"/>
    </row>
    <row r="5368" spans="1:1" ht="15.75" x14ac:dyDescent="0.25">
      <c r="A5368" s="11"/>
    </row>
    <row r="5369" spans="1:1" ht="15.75" x14ac:dyDescent="0.25">
      <c r="A5369" s="11"/>
    </row>
    <row r="5370" spans="1:1" ht="15.75" x14ac:dyDescent="0.25">
      <c r="A5370" s="11"/>
    </row>
    <row r="5371" spans="1:1" ht="15.75" x14ac:dyDescent="0.25">
      <c r="A5371" s="11"/>
    </row>
    <row r="5372" spans="1:1" ht="15.75" x14ac:dyDescent="0.25">
      <c r="A5372" s="11"/>
    </row>
    <row r="5373" spans="1:1" ht="15.75" x14ac:dyDescent="0.25">
      <c r="A5373" s="11"/>
    </row>
    <row r="5374" spans="1:1" ht="15.75" x14ac:dyDescent="0.25">
      <c r="A5374" s="11"/>
    </row>
    <row r="5375" spans="1:1" ht="15.75" x14ac:dyDescent="0.25">
      <c r="A5375" s="11"/>
    </row>
    <row r="5376" spans="1:1" ht="15.75" x14ac:dyDescent="0.25">
      <c r="A5376" s="11"/>
    </row>
    <row r="5377" spans="1:1" ht="15.75" x14ac:dyDescent="0.25">
      <c r="A5377" s="11"/>
    </row>
    <row r="5378" spans="1:1" ht="15.75" x14ac:dyDescent="0.25">
      <c r="A5378" s="11"/>
    </row>
    <row r="5379" spans="1:1" ht="15.75" x14ac:dyDescent="0.25">
      <c r="A5379" s="11"/>
    </row>
    <row r="5380" spans="1:1" ht="15.75" x14ac:dyDescent="0.25">
      <c r="A5380" s="11"/>
    </row>
    <row r="5381" spans="1:1" ht="15.75" x14ac:dyDescent="0.25">
      <c r="A5381" s="11"/>
    </row>
    <row r="5382" spans="1:1" ht="15.75" x14ac:dyDescent="0.25">
      <c r="A5382" s="11"/>
    </row>
    <row r="5383" spans="1:1" ht="15.75" x14ac:dyDescent="0.25">
      <c r="A5383" s="11"/>
    </row>
    <row r="5384" spans="1:1" ht="15.75" x14ac:dyDescent="0.25">
      <c r="A5384" s="11"/>
    </row>
    <row r="5385" spans="1:1" ht="15.75" x14ac:dyDescent="0.25">
      <c r="A5385" s="11"/>
    </row>
    <row r="5386" spans="1:1" ht="15.75" x14ac:dyDescent="0.25">
      <c r="A5386" s="11"/>
    </row>
    <row r="5387" spans="1:1" ht="15.75" x14ac:dyDescent="0.25">
      <c r="A5387" s="11"/>
    </row>
    <row r="5388" spans="1:1" ht="15.75" x14ac:dyDescent="0.25">
      <c r="A5388" s="11"/>
    </row>
    <row r="5389" spans="1:1" ht="15.75" x14ac:dyDescent="0.25">
      <c r="A5389" s="11"/>
    </row>
    <row r="5390" spans="1:1" ht="15.75" x14ac:dyDescent="0.25">
      <c r="A5390" s="11"/>
    </row>
    <row r="5391" spans="1:1" ht="15.75" x14ac:dyDescent="0.25">
      <c r="A5391" s="11"/>
    </row>
    <row r="5392" spans="1:1" ht="15.75" x14ac:dyDescent="0.25">
      <c r="A5392" s="11"/>
    </row>
    <row r="5393" spans="1:1" ht="15.75" x14ac:dyDescent="0.25">
      <c r="A5393" s="11"/>
    </row>
    <row r="5394" spans="1:1" ht="15.75" x14ac:dyDescent="0.25">
      <c r="A5394" s="11"/>
    </row>
    <row r="5395" spans="1:1" ht="15.75" x14ac:dyDescent="0.25">
      <c r="A5395" s="11"/>
    </row>
    <row r="5396" spans="1:1" ht="15.75" x14ac:dyDescent="0.25">
      <c r="A5396" s="11"/>
    </row>
    <row r="5397" spans="1:1" ht="15.75" x14ac:dyDescent="0.25">
      <c r="A5397" s="11"/>
    </row>
    <row r="5398" spans="1:1" ht="15.75" x14ac:dyDescent="0.25">
      <c r="A5398" s="11"/>
    </row>
    <row r="5399" spans="1:1" ht="15.75" x14ac:dyDescent="0.25">
      <c r="A5399" s="11"/>
    </row>
    <row r="5400" spans="1:1" ht="15.75" x14ac:dyDescent="0.25">
      <c r="A5400" s="11"/>
    </row>
    <row r="5401" spans="1:1" ht="15.75" x14ac:dyDescent="0.25">
      <c r="A5401" s="11"/>
    </row>
    <row r="5402" spans="1:1" ht="15.75" x14ac:dyDescent="0.25">
      <c r="A5402" s="11"/>
    </row>
    <row r="5403" spans="1:1" ht="15.75" x14ac:dyDescent="0.25">
      <c r="A5403" s="11"/>
    </row>
    <row r="5404" spans="1:1" ht="15.75" x14ac:dyDescent="0.25">
      <c r="A5404" s="11"/>
    </row>
    <row r="5405" spans="1:1" ht="15.75" x14ac:dyDescent="0.25">
      <c r="A5405" s="11"/>
    </row>
    <row r="5406" spans="1:1" ht="15.75" x14ac:dyDescent="0.25">
      <c r="A5406" s="11"/>
    </row>
    <row r="5407" spans="1:1" ht="15.75" x14ac:dyDescent="0.25">
      <c r="A5407" s="11"/>
    </row>
    <row r="5408" spans="1:1" ht="15.75" x14ac:dyDescent="0.25">
      <c r="A5408" s="11"/>
    </row>
    <row r="5409" spans="1:1" ht="15.75" x14ac:dyDescent="0.25">
      <c r="A5409" s="11"/>
    </row>
    <row r="5410" spans="1:1" ht="15.75" x14ac:dyDescent="0.25">
      <c r="A5410" s="11"/>
    </row>
    <row r="5411" spans="1:1" ht="15.75" x14ac:dyDescent="0.25">
      <c r="A5411" s="11"/>
    </row>
    <row r="5412" spans="1:1" ht="15.75" x14ac:dyDescent="0.25">
      <c r="A5412" s="11"/>
    </row>
    <row r="5413" spans="1:1" ht="15.75" x14ac:dyDescent="0.25">
      <c r="A5413" s="11"/>
    </row>
    <row r="5414" spans="1:1" ht="15.75" x14ac:dyDescent="0.25">
      <c r="A5414" s="11"/>
    </row>
    <row r="5415" spans="1:1" ht="15.75" x14ac:dyDescent="0.25">
      <c r="A5415" s="11"/>
    </row>
    <row r="5416" spans="1:1" ht="15.75" x14ac:dyDescent="0.25">
      <c r="A5416" s="11"/>
    </row>
    <row r="5417" spans="1:1" ht="15.75" x14ac:dyDescent="0.25">
      <c r="A5417" s="11"/>
    </row>
    <row r="5418" spans="1:1" ht="15.75" x14ac:dyDescent="0.25">
      <c r="A5418" s="11"/>
    </row>
    <row r="5419" spans="1:1" ht="15.75" x14ac:dyDescent="0.25">
      <c r="A5419" s="11"/>
    </row>
    <row r="5420" spans="1:1" ht="15.75" x14ac:dyDescent="0.25">
      <c r="A5420" s="11"/>
    </row>
    <row r="5421" spans="1:1" ht="15.75" x14ac:dyDescent="0.25">
      <c r="A5421" s="11"/>
    </row>
    <row r="5422" spans="1:1" ht="15.75" x14ac:dyDescent="0.25">
      <c r="A5422" s="11"/>
    </row>
    <row r="5423" spans="1:1" ht="15.75" x14ac:dyDescent="0.25">
      <c r="A5423" s="11"/>
    </row>
    <row r="5424" spans="1:1" ht="15.75" x14ac:dyDescent="0.25">
      <c r="A5424" s="11"/>
    </row>
    <row r="5425" spans="1:1" ht="15.75" x14ac:dyDescent="0.25">
      <c r="A5425" s="11"/>
    </row>
    <row r="5426" spans="1:1" ht="15.75" x14ac:dyDescent="0.25">
      <c r="A5426" s="11"/>
    </row>
    <row r="5427" spans="1:1" ht="15.75" x14ac:dyDescent="0.25">
      <c r="A5427" s="11"/>
    </row>
    <row r="5428" spans="1:1" ht="15.75" x14ac:dyDescent="0.25">
      <c r="A5428" s="11"/>
    </row>
    <row r="5429" spans="1:1" ht="15.75" x14ac:dyDescent="0.25">
      <c r="A5429" s="11"/>
    </row>
    <row r="5430" spans="1:1" ht="15.75" x14ac:dyDescent="0.25">
      <c r="A5430" s="11"/>
    </row>
    <row r="5431" spans="1:1" ht="15.75" x14ac:dyDescent="0.25">
      <c r="A5431" s="11"/>
    </row>
    <row r="5432" spans="1:1" ht="15.75" x14ac:dyDescent="0.25">
      <c r="A5432" s="11"/>
    </row>
    <row r="5433" spans="1:1" ht="15.75" x14ac:dyDescent="0.25">
      <c r="A5433" s="11"/>
    </row>
    <row r="5434" spans="1:1" ht="15.75" x14ac:dyDescent="0.25">
      <c r="A5434" s="11"/>
    </row>
    <row r="5435" spans="1:1" ht="15.75" x14ac:dyDescent="0.25">
      <c r="A5435" s="11"/>
    </row>
    <row r="5436" spans="1:1" ht="15.75" x14ac:dyDescent="0.25">
      <c r="A5436" s="11"/>
    </row>
    <row r="5437" spans="1:1" ht="15.75" x14ac:dyDescent="0.25">
      <c r="A5437" s="11"/>
    </row>
    <row r="5438" spans="1:1" ht="15.75" x14ac:dyDescent="0.25">
      <c r="A5438" s="11"/>
    </row>
    <row r="5439" spans="1:1" ht="15.75" x14ac:dyDescent="0.25">
      <c r="A5439" s="11"/>
    </row>
    <row r="5440" spans="1:1" ht="15.75" x14ac:dyDescent="0.25">
      <c r="A5440" s="11"/>
    </row>
    <row r="5441" spans="1:1" ht="15.75" x14ac:dyDescent="0.25">
      <c r="A5441" s="11"/>
    </row>
    <row r="5442" spans="1:1" ht="15.75" x14ac:dyDescent="0.25">
      <c r="A5442" s="11"/>
    </row>
    <row r="5443" spans="1:1" ht="15.75" x14ac:dyDescent="0.25">
      <c r="A5443" s="11"/>
    </row>
    <row r="5444" spans="1:1" ht="15.75" x14ac:dyDescent="0.25">
      <c r="A5444" s="11"/>
    </row>
    <row r="5445" spans="1:1" ht="15.75" x14ac:dyDescent="0.25">
      <c r="A5445" s="11"/>
    </row>
    <row r="5446" spans="1:1" ht="15.75" x14ac:dyDescent="0.25">
      <c r="A5446" s="11"/>
    </row>
    <row r="5447" spans="1:1" ht="15.75" x14ac:dyDescent="0.25">
      <c r="A5447" s="11"/>
    </row>
    <row r="5448" spans="1:1" ht="15.75" x14ac:dyDescent="0.25">
      <c r="A5448" s="11"/>
    </row>
    <row r="5449" spans="1:1" ht="15.75" x14ac:dyDescent="0.25">
      <c r="A5449" s="11"/>
    </row>
    <row r="5450" spans="1:1" ht="15.75" x14ac:dyDescent="0.25">
      <c r="A5450" s="11"/>
    </row>
    <row r="5451" spans="1:1" ht="15.75" x14ac:dyDescent="0.25">
      <c r="A5451" s="11"/>
    </row>
    <row r="5452" spans="1:1" ht="15.75" x14ac:dyDescent="0.25">
      <c r="A5452" s="11"/>
    </row>
    <row r="5453" spans="1:1" ht="15.75" x14ac:dyDescent="0.25">
      <c r="A5453" s="11"/>
    </row>
    <row r="5454" spans="1:1" ht="15.75" x14ac:dyDescent="0.25">
      <c r="A5454" s="11"/>
    </row>
    <row r="5455" spans="1:1" ht="15.75" x14ac:dyDescent="0.25">
      <c r="A5455" s="11"/>
    </row>
    <row r="5456" spans="1:1" ht="15.75" x14ac:dyDescent="0.25">
      <c r="A5456" s="11"/>
    </row>
    <row r="5457" spans="1:1" ht="15.75" x14ac:dyDescent="0.25">
      <c r="A5457" s="11"/>
    </row>
    <row r="5458" spans="1:1" ht="15.75" x14ac:dyDescent="0.25">
      <c r="A5458" s="11"/>
    </row>
    <row r="5459" spans="1:1" ht="15.75" x14ac:dyDescent="0.25">
      <c r="A5459" s="11"/>
    </row>
    <row r="5460" spans="1:1" ht="15.75" x14ac:dyDescent="0.25">
      <c r="A5460" s="11"/>
    </row>
    <row r="5461" spans="1:1" ht="15.75" x14ac:dyDescent="0.25">
      <c r="A5461" s="11"/>
    </row>
    <row r="5462" spans="1:1" ht="15.75" x14ac:dyDescent="0.25">
      <c r="A5462" s="11"/>
    </row>
    <row r="5463" spans="1:1" ht="15.75" x14ac:dyDescent="0.25">
      <c r="A5463" s="11"/>
    </row>
    <row r="5464" spans="1:1" ht="15.75" x14ac:dyDescent="0.25">
      <c r="A5464" s="11"/>
    </row>
    <row r="5465" spans="1:1" ht="15.75" x14ac:dyDescent="0.25">
      <c r="A5465" s="11"/>
    </row>
    <row r="5466" spans="1:1" ht="15.75" x14ac:dyDescent="0.25">
      <c r="A5466" s="11"/>
    </row>
    <row r="5467" spans="1:1" ht="15.75" x14ac:dyDescent="0.25">
      <c r="A5467" s="11"/>
    </row>
    <row r="5468" spans="1:1" ht="15.75" x14ac:dyDescent="0.25">
      <c r="A5468" s="11"/>
    </row>
    <row r="5469" spans="1:1" ht="15.75" x14ac:dyDescent="0.25">
      <c r="A5469" s="11"/>
    </row>
    <row r="5470" spans="1:1" ht="15.75" x14ac:dyDescent="0.25">
      <c r="A5470" s="11"/>
    </row>
    <row r="5471" spans="1:1" ht="15.75" x14ac:dyDescent="0.25">
      <c r="A5471" s="11"/>
    </row>
    <row r="5472" spans="1:1" ht="15.75" x14ac:dyDescent="0.25">
      <c r="A5472" s="11"/>
    </row>
    <row r="5473" spans="1:1" ht="15.75" x14ac:dyDescent="0.25">
      <c r="A5473" s="11"/>
    </row>
    <row r="5474" spans="1:1" ht="15.75" x14ac:dyDescent="0.25">
      <c r="A5474" s="11"/>
    </row>
    <row r="5475" spans="1:1" ht="15.75" x14ac:dyDescent="0.25">
      <c r="A5475" s="11"/>
    </row>
    <row r="5476" spans="1:1" ht="15.75" x14ac:dyDescent="0.25">
      <c r="A5476" s="11"/>
    </row>
    <row r="5477" spans="1:1" ht="15.75" x14ac:dyDescent="0.25">
      <c r="A5477" s="11"/>
    </row>
    <row r="5478" spans="1:1" ht="15.75" x14ac:dyDescent="0.25">
      <c r="A5478" s="11"/>
    </row>
    <row r="5479" spans="1:1" ht="15.75" x14ac:dyDescent="0.25">
      <c r="A5479" s="11"/>
    </row>
    <row r="5480" spans="1:1" ht="15.75" x14ac:dyDescent="0.25">
      <c r="A5480" s="11"/>
    </row>
    <row r="5481" spans="1:1" ht="15.75" x14ac:dyDescent="0.25">
      <c r="A5481" s="11"/>
    </row>
    <row r="5482" spans="1:1" ht="15.75" x14ac:dyDescent="0.25">
      <c r="A5482" s="11"/>
    </row>
    <row r="5483" spans="1:1" ht="15.75" x14ac:dyDescent="0.25">
      <c r="A5483" s="11"/>
    </row>
    <row r="5484" spans="1:1" ht="15.75" x14ac:dyDescent="0.25">
      <c r="A5484" s="11"/>
    </row>
    <row r="5485" spans="1:1" ht="15.75" x14ac:dyDescent="0.25">
      <c r="A5485" s="11"/>
    </row>
    <row r="5486" spans="1:1" ht="15.75" x14ac:dyDescent="0.25">
      <c r="A5486" s="11"/>
    </row>
    <row r="5487" spans="1:1" ht="15.75" x14ac:dyDescent="0.25">
      <c r="A5487" s="11"/>
    </row>
    <row r="5488" spans="1:1" ht="15.75" x14ac:dyDescent="0.25">
      <c r="A5488" s="11"/>
    </row>
    <row r="5489" spans="1:1" ht="15.75" x14ac:dyDescent="0.25">
      <c r="A5489" s="11"/>
    </row>
    <row r="5490" spans="1:1" ht="15.75" x14ac:dyDescent="0.25">
      <c r="A5490" s="11"/>
    </row>
    <row r="5491" spans="1:1" ht="15.75" x14ac:dyDescent="0.25">
      <c r="A5491" s="11"/>
    </row>
    <row r="5492" spans="1:1" ht="15.75" x14ac:dyDescent="0.25">
      <c r="A5492" s="11"/>
    </row>
    <row r="5493" spans="1:1" ht="15.75" x14ac:dyDescent="0.25">
      <c r="A5493" s="11"/>
    </row>
    <row r="5494" spans="1:1" ht="15.75" x14ac:dyDescent="0.25">
      <c r="A5494" s="11"/>
    </row>
    <row r="5495" spans="1:1" ht="15.75" x14ac:dyDescent="0.25">
      <c r="A5495" s="11"/>
    </row>
    <row r="5496" spans="1:1" ht="15.75" x14ac:dyDescent="0.25">
      <c r="A5496" s="11"/>
    </row>
    <row r="5497" spans="1:1" ht="15.75" x14ac:dyDescent="0.25">
      <c r="A5497" s="11"/>
    </row>
    <row r="5498" spans="1:1" ht="15.75" x14ac:dyDescent="0.25">
      <c r="A5498" s="11"/>
    </row>
    <row r="5499" spans="1:1" ht="15.75" x14ac:dyDescent="0.25">
      <c r="A5499" s="11"/>
    </row>
    <row r="5500" spans="1:1" ht="15.75" x14ac:dyDescent="0.25">
      <c r="A5500" s="11"/>
    </row>
    <row r="5501" spans="1:1" ht="15.75" x14ac:dyDescent="0.25">
      <c r="A5501" s="11"/>
    </row>
    <row r="5502" spans="1:1" ht="15.75" x14ac:dyDescent="0.25">
      <c r="A5502" s="11"/>
    </row>
    <row r="5503" spans="1:1" ht="15.75" x14ac:dyDescent="0.25">
      <c r="A5503" s="11"/>
    </row>
    <row r="5504" spans="1:1" ht="15.75" x14ac:dyDescent="0.25">
      <c r="A5504" s="11"/>
    </row>
    <row r="5505" spans="1:1" ht="15.75" x14ac:dyDescent="0.25">
      <c r="A5505" s="11"/>
    </row>
    <row r="5506" spans="1:1" ht="15.75" x14ac:dyDescent="0.25">
      <c r="A5506" s="11"/>
    </row>
    <row r="5507" spans="1:1" ht="15.75" x14ac:dyDescent="0.25">
      <c r="A5507" s="11"/>
    </row>
    <row r="5508" spans="1:1" ht="15.75" x14ac:dyDescent="0.25">
      <c r="A5508" s="11"/>
    </row>
    <row r="5509" spans="1:1" ht="15.75" x14ac:dyDescent="0.25">
      <c r="A5509" s="11"/>
    </row>
    <row r="5510" spans="1:1" ht="15.75" x14ac:dyDescent="0.25">
      <c r="A5510" s="11"/>
    </row>
    <row r="5511" spans="1:1" ht="15.75" x14ac:dyDescent="0.25">
      <c r="A5511" s="11"/>
    </row>
    <row r="5512" spans="1:1" ht="15.75" x14ac:dyDescent="0.25">
      <c r="A5512" s="11"/>
    </row>
    <row r="5513" spans="1:1" ht="15.75" x14ac:dyDescent="0.25">
      <c r="A5513" s="11"/>
    </row>
    <row r="5514" spans="1:1" ht="15.75" x14ac:dyDescent="0.25">
      <c r="A5514" s="11"/>
    </row>
    <row r="5515" spans="1:1" ht="15.75" x14ac:dyDescent="0.25">
      <c r="A5515" s="11"/>
    </row>
    <row r="5516" spans="1:1" ht="15.75" x14ac:dyDescent="0.25">
      <c r="A5516" s="11"/>
    </row>
    <row r="5517" spans="1:1" ht="15.75" x14ac:dyDescent="0.25">
      <c r="A5517" s="11"/>
    </row>
    <row r="5518" spans="1:1" ht="15.75" x14ac:dyDescent="0.25">
      <c r="A5518" s="11"/>
    </row>
    <row r="5519" spans="1:1" ht="15.75" x14ac:dyDescent="0.25">
      <c r="A5519" s="11"/>
    </row>
    <row r="5520" spans="1:1" ht="15.75" x14ac:dyDescent="0.25">
      <c r="A5520" s="11"/>
    </row>
    <row r="5521" spans="1:1" ht="15.75" x14ac:dyDescent="0.25">
      <c r="A5521" s="11"/>
    </row>
    <row r="5522" spans="1:1" ht="15.75" x14ac:dyDescent="0.25">
      <c r="A5522" s="11"/>
    </row>
    <row r="5523" spans="1:1" ht="15.75" x14ac:dyDescent="0.25">
      <c r="A5523" s="11"/>
    </row>
    <row r="5524" spans="1:1" ht="15.75" x14ac:dyDescent="0.25">
      <c r="A5524" s="11"/>
    </row>
    <row r="5525" spans="1:1" ht="15.75" x14ac:dyDescent="0.25">
      <c r="A5525" s="11"/>
    </row>
    <row r="5526" spans="1:1" ht="15.75" x14ac:dyDescent="0.25">
      <c r="A5526" s="11"/>
    </row>
    <row r="5527" spans="1:1" ht="15.75" x14ac:dyDescent="0.25">
      <c r="A5527" s="11"/>
    </row>
    <row r="5528" spans="1:1" ht="15.75" x14ac:dyDescent="0.25">
      <c r="A5528" s="11"/>
    </row>
    <row r="5529" spans="1:1" ht="15.75" x14ac:dyDescent="0.25">
      <c r="A5529" s="11"/>
    </row>
    <row r="5530" spans="1:1" ht="15.75" x14ac:dyDescent="0.25">
      <c r="A5530" s="11"/>
    </row>
    <row r="5531" spans="1:1" ht="15.75" x14ac:dyDescent="0.25">
      <c r="A5531" s="11"/>
    </row>
    <row r="5532" spans="1:1" ht="15.75" x14ac:dyDescent="0.25">
      <c r="A5532" s="11"/>
    </row>
    <row r="5533" spans="1:1" ht="15.75" x14ac:dyDescent="0.25">
      <c r="A5533" s="11"/>
    </row>
    <row r="5534" spans="1:1" ht="15.75" x14ac:dyDescent="0.25">
      <c r="A5534" s="11"/>
    </row>
    <row r="5535" spans="1:1" ht="15.75" x14ac:dyDescent="0.25">
      <c r="A5535" s="11"/>
    </row>
    <row r="5536" spans="1:1" ht="15.75" x14ac:dyDescent="0.25">
      <c r="A5536" s="11"/>
    </row>
    <row r="5537" spans="1:1" ht="15.75" x14ac:dyDescent="0.25">
      <c r="A5537" s="11"/>
    </row>
    <row r="5538" spans="1:1" ht="15.75" x14ac:dyDescent="0.25">
      <c r="A5538" s="11"/>
    </row>
    <row r="5539" spans="1:1" ht="15.75" x14ac:dyDescent="0.25">
      <c r="A5539" s="11"/>
    </row>
    <row r="5540" spans="1:1" ht="15.75" x14ac:dyDescent="0.25">
      <c r="A5540" s="11"/>
    </row>
    <row r="5541" spans="1:1" ht="15.75" x14ac:dyDescent="0.25">
      <c r="A5541" s="11"/>
    </row>
    <row r="5542" spans="1:1" ht="15.75" x14ac:dyDescent="0.25">
      <c r="A5542" s="11"/>
    </row>
    <row r="5543" spans="1:1" ht="15.75" x14ac:dyDescent="0.25">
      <c r="A5543" s="11"/>
    </row>
    <row r="5544" spans="1:1" ht="15.75" x14ac:dyDescent="0.25">
      <c r="A5544" s="11"/>
    </row>
    <row r="5545" spans="1:1" ht="15.75" x14ac:dyDescent="0.25">
      <c r="A5545" s="11"/>
    </row>
    <row r="5546" spans="1:1" ht="15.75" x14ac:dyDescent="0.25">
      <c r="A5546" s="11"/>
    </row>
    <row r="5547" spans="1:1" ht="15.75" x14ac:dyDescent="0.25">
      <c r="A5547" s="11"/>
    </row>
    <row r="5548" spans="1:1" ht="15.75" x14ac:dyDescent="0.25">
      <c r="A5548" s="11"/>
    </row>
    <row r="5549" spans="1:1" ht="15.75" x14ac:dyDescent="0.25">
      <c r="A5549" s="11"/>
    </row>
    <row r="5550" spans="1:1" ht="15.75" x14ac:dyDescent="0.25">
      <c r="A5550" s="11"/>
    </row>
    <row r="5551" spans="1:1" ht="15.75" x14ac:dyDescent="0.25">
      <c r="A5551" s="11"/>
    </row>
    <row r="5552" spans="1:1" ht="15.75" x14ac:dyDescent="0.25">
      <c r="A5552" s="11"/>
    </row>
    <row r="5553" spans="1:1" ht="15.75" x14ac:dyDescent="0.25">
      <c r="A5553" s="11"/>
    </row>
    <row r="5554" spans="1:1" ht="15.75" x14ac:dyDescent="0.25">
      <c r="A5554" s="11"/>
    </row>
    <row r="5555" spans="1:1" ht="15.75" x14ac:dyDescent="0.25">
      <c r="A5555" s="11"/>
    </row>
    <row r="5556" spans="1:1" ht="15.75" x14ac:dyDescent="0.25">
      <c r="A5556" s="11"/>
    </row>
    <row r="5557" spans="1:1" ht="15.75" x14ac:dyDescent="0.25">
      <c r="A5557" s="11"/>
    </row>
    <row r="5558" spans="1:1" ht="15.75" x14ac:dyDescent="0.25">
      <c r="A5558" s="11"/>
    </row>
    <row r="5559" spans="1:1" ht="15.75" x14ac:dyDescent="0.25">
      <c r="A5559" s="11"/>
    </row>
    <row r="5560" spans="1:1" ht="15.75" x14ac:dyDescent="0.25">
      <c r="A5560" s="11"/>
    </row>
    <row r="5561" spans="1:1" ht="15.75" x14ac:dyDescent="0.25">
      <c r="A5561" s="11"/>
    </row>
    <row r="5562" spans="1:1" ht="15.75" x14ac:dyDescent="0.25">
      <c r="A5562" s="11"/>
    </row>
    <row r="5563" spans="1:1" ht="15.75" x14ac:dyDescent="0.25">
      <c r="A5563" s="11"/>
    </row>
    <row r="5564" spans="1:1" ht="15.75" x14ac:dyDescent="0.25">
      <c r="A5564" s="11"/>
    </row>
    <row r="5565" spans="1:1" ht="15.75" x14ac:dyDescent="0.25">
      <c r="A5565" s="11"/>
    </row>
    <row r="5566" spans="1:1" ht="15.75" x14ac:dyDescent="0.25">
      <c r="A5566" s="11"/>
    </row>
    <row r="5567" spans="1:1" ht="15.75" x14ac:dyDescent="0.25">
      <c r="A5567" s="11"/>
    </row>
    <row r="5568" spans="1:1" ht="15.75" x14ac:dyDescent="0.25">
      <c r="A5568" s="11"/>
    </row>
    <row r="5569" spans="1:1" ht="15.75" x14ac:dyDescent="0.25">
      <c r="A5569" s="11"/>
    </row>
    <row r="5570" spans="1:1" ht="15.75" x14ac:dyDescent="0.25">
      <c r="A5570" s="11"/>
    </row>
    <row r="5571" spans="1:1" ht="15.75" x14ac:dyDescent="0.25">
      <c r="A5571" s="11"/>
    </row>
    <row r="5572" spans="1:1" ht="15.75" x14ac:dyDescent="0.25">
      <c r="A5572" s="11"/>
    </row>
    <row r="5573" spans="1:1" ht="15.75" x14ac:dyDescent="0.25">
      <c r="A5573" s="11"/>
    </row>
    <row r="5574" spans="1:1" ht="15.75" x14ac:dyDescent="0.25">
      <c r="A5574" s="11"/>
    </row>
    <row r="5575" spans="1:1" ht="15.75" x14ac:dyDescent="0.25">
      <c r="A5575" s="11"/>
    </row>
    <row r="5576" spans="1:1" ht="15.75" x14ac:dyDescent="0.25">
      <c r="A5576" s="11"/>
    </row>
    <row r="5577" spans="1:1" ht="15.75" x14ac:dyDescent="0.25">
      <c r="A5577" s="11"/>
    </row>
    <row r="5578" spans="1:1" ht="15.75" x14ac:dyDescent="0.25">
      <c r="A5578" s="11"/>
    </row>
    <row r="5579" spans="1:1" ht="15.75" x14ac:dyDescent="0.25">
      <c r="A5579" s="11"/>
    </row>
    <row r="5580" spans="1:1" ht="15.75" x14ac:dyDescent="0.25">
      <c r="A5580" s="11"/>
    </row>
    <row r="5581" spans="1:1" ht="15.75" x14ac:dyDescent="0.25">
      <c r="A5581" s="11"/>
    </row>
    <row r="5582" spans="1:1" ht="15.75" x14ac:dyDescent="0.25">
      <c r="A5582" s="11"/>
    </row>
    <row r="5583" spans="1:1" ht="15.75" x14ac:dyDescent="0.25">
      <c r="A5583" s="11"/>
    </row>
    <row r="5584" spans="1:1" ht="15.75" x14ac:dyDescent="0.25">
      <c r="A5584" s="11"/>
    </row>
    <row r="5585" spans="1:1" ht="15.75" x14ac:dyDescent="0.25">
      <c r="A5585" s="11"/>
    </row>
    <row r="5586" spans="1:1" ht="15.75" x14ac:dyDescent="0.25">
      <c r="A5586" s="11"/>
    </row>
    <row r="5587" spans="1:1" ht="15.75" x14ac:dyDescent="0.25">
      <c r="A5587" s="11"/>
    </row>
    <row r="5588" spans="1:1" ht="15.75" x14ac:dyDescent="0.25">
      <c r="A5588" s="11"/>
    </row>
    <row r="5589" spans="1:1" ht="15.75" x14ac:dyDescent="0.25">
      <c r="A5589" s="11"/>
    </row>
    <row r="5590" spans="1:1" ht="15.75" x14ac:dyDescent="0.25">
      <c r="A5590" s="11"/>
    </row>
    <row r="5591" spans="1:1" ht="15.75" x14ac:dyDescent="0.25">
      <c r="A5591" s="11"/>
    </row>
    <row r="5592" spans="1:1" ht="15.75" x14ac:dyDescent="0.25">
      <c r="A5592" s="11"/>
    </row>
    <row r="5593" spans="1:1" ht="15.75" x14ac:dyDescent="0.25">
      <c r="A5593" s="11"/>
    </row>
    <row r="5594" spans="1:1" ht="15.75" x14ac:dyDescent="0.25">
      <c r="A5594" s="11"/>
    </row>
    <row r="5595" spans="1:1" ht="15.75" x14ac:dyDescent="0.25">
      <c r="A5595" s="11"/>
    </row>
    <row r="5596" spans="1:1" ht="15.75" x14ac:dyDescent="0.25">
      <c r="A5596" s="11"/>
    </row>
    <row r="5597" spans="1:1" ht="15.75" x14ac:dyDescent="0.25">
      <c r="A5597" s="11"/>
    </row>
    <row r="5598" spans="1:1" ht="15.75" x14ac:dyDescent="0.25">
      <c r="A5598" s="11"/>
    </row>
    <row r="5599" spans="1:1" ht="15.75" x14ac:dyDescent="0.25">
      <c r="A5599" s="11"/>
    </row>
    <row r="5600" spans="1:1" ht="15.75" x14ac:dyDescent="0.25">
      <c r="A5600" s="11"/>
    </row>
    <row r="5601" spans="1:1" ht="15.75" x14ac:dyDescent="0.25">
      <c r="A5601" s="11"/>
    </row>
    <row r="5602" spans="1:1" ht="15.75" x14ac:dyDescent="0.25">
      <c r="A5602" s="11"/>
    </row>
    <row r="5603" spans="1:1" ht="15.75" x14ac:dyDescent="0.25">
      <c r="A5603" s="11"/>
    </row>
    <row r="5604" spans="1:1" ht="15.75" x14ac:dyDescent="0.25">
      <c r="A5604" s="11"/>
    </row>
    <row r="5605" spans="1:1" ht="15.75" x14ac:dyDescent="0.25">
      <c r="A5605" s="11"/>
    </row>
    <row r="5606" spans="1:1" ht="15.75" x14ac:dyDescent="0.25">
      <c r="A5606" s="11"/>
    </row>
    <row r="5607" spans="1:1" ht="15.75" x14ac:dyDescent="0.25">
      <c r="A5607" s="11"/>
    </row>
    <row r="5608" spans="1:1" ht="15.75" x14ac:dyDescent="0.25">
      <c r="A5608" s="11"/>
    </row>
    <row r="5609" spans="1:1" ht="15.75" x14ac:dyDescent="0.25">
      <c r="A5609" s="11"/>
    </row>
    <row r="5610" spans="1:1" ht="15.75" x14ac:dyDescent="0.25">
      <c r="A5610" s="11"/>
    </row>
    <row r="5611" spans="1:1" ht="15.75" x14ac:dyDescent="0.25">
      <c r="A5611" s="11"/>
    </row>
    <row r="5612" spans="1:1" ht="15.75" x14ac:dyDescent="0.25">
      <c r="A5612" s="11"/>
    </row>
    <row r="5613" spans="1:1" ht="15.75" x14ac:dyDescent="0.25">
      <c r="A5613" s="11"/>
    </row>
    <row r="5614" spans="1:1" ht="15.75" x14ac:dyDescent="0.25">
      <c r="A5614" s="11"/>
    </row>
    <row r="5615" spans="1:1" ht="15.75" x14ac:dyDescent="0.25">
      <c r="A5615" s="11"/>
    </row>
    <row r="5616" spans="1:1" ht="15.75" x14ac:dyDescent="0.25">
      <c r="A5616" s="11"/>
    </row>
    <row r="5617" spans="1:1" ht="15.75" x14ac:dyDescent="0.25">
      <c r="A5617" s="11"/>
    </row>
    <row r="5618" spans="1:1" ht="15.75" x14ac:dyDescent="0.25">
      <c r="A5618" s="11"/>
    </row>
    <row r="5619" spans="1:1" ht="15.75" x14ac:dyDescent="0.25">
      <c r="A5619" s="11"/>
    </row>
    <row r="5620" spans="1:1" ht="15.75" x14ac:dyDescent="0.25">
      <c r="A5620" s="11"/>
    </row>
    <row r="5621" spans="1:1" ht="15.75" x14ac:dyDescent="0.25">
      <c r="A5621" s="11"/>
    </row>
    <row r="5622" spans="1:1" ht="15.75" x14ac:dyDescent="0.25">
      <c r="A5622" s="11"/>
    </row>
    <row r="5623" spans="1:1" ht="15.75" x14ac:dyDescent="0.25">
      <c r="A5623" s="11"/>
    </row>
    <row r="5624" spans="1:1" ht="15.75" x14ac:dyDescent="0.25">
      <c r="A5624" s="11"/>
    </row>
    <row r="5625" spans="1:1" ht="15.75" x14ac:dyDescent="0.25">
      <c r="A5625" s="11"/>
    </row>
    <row r="5626" spans="1:1" ht="15.75" x14ac:dyDescent="0.25">
      <c r="A5626" s="11"/>
    </row>
    <row r="5627" spans="1:1" ht="15.75" x14ac:dyDescent="0.25">
      <c r="A5627" s="11"/>
    </row>
    <row r="5628" spans="1:1" ht="15.75" x14ac:dyDescent="0.25">
      <c r="A5628" s="11"/>
    </row>
    <row r="5629" spans="1:1" ht="15.75" x14ac:dyDescent="0.25">
      <c r="A5629" s="11"/>
    </row>
    <row r="5630" spans="1:1" ht="15.75" x14ac:dyDescent="0.25">
      <c r="A5630" s="11"/>
    </row>
    <row r="5631" spans="1:1" ht="15.75" x14ac:dyDescent="0.25">
      <c r="A5631" s="11"/>
    </row>
    <row r="5632" spans="1:1" ht="15.75" x14ac:dyDescent="0.25">
      <c r="A5632" s="11"/>
    </row>
    <row r="5633" spans="1:1" ht="15.75" x14ac:dyDescent="0.25">
      <c r="A5633" s="11"/>
    </row>
    <row r="5634" spans="1:1" ht="15.75" x14ac:dyDescent="0.25">
      <c r="A5634" s="11"/>
    </row>
    <row r="5635" spans="1:1" ht="15.75" x14ac:dyDescent="0.25">
      <c r="A5635" s="11"/>
    </row>
    <row r="5636" spans="1:1" ht="15.75" x14ac:dyDescent="0.25">
      <c r="A5636" s="11"/>
    </row>
    <row r="5637" spans="1:1" ht="15.75" x14ac:dyDescent="0.25">
      <c r="A5637" s="11"/>
    </row>
    <row r="5638" spans="1:1" ht="15.75" x14ac:dyDescent="0.25">
      <c r="A5638" s="11"/>
    </row>
    <row r="5639" spans="1:1" ht="15.75" x14ac:dyDescent="0.25">
      <c r="A5639" s="11"/>
    </row>
    <row r="5640" spans="1:1" ht="15.75" x14ac:dyDescent="0.25">
      <c r="A5640" s="11"/>
    </row>
    <row r="5641" spans="1:1" ht="15.75" x14ac:dyDescent="0.25">
      <c r="A5641" s="11"/>
    </row>
    <row r="5642" spans="1:1" ht="15.75" x14ac:dyDescent="0.25">
      <c r="A5642" s="11"/>
    </row>
    <row r="5643" spans="1:1" ht="15.75" x14ac:dyDescent="0.25">
      <c r="A5643" s="11"/>
    </row>
    <row r="5644" spans="1:1" ht="15.75" x14ac:dyDescent="0.25">
      <c r="A5644" s="11"/>
    </row>
    <row r="5645" spans="1:1" ht="15.75" x14ac:dyDescent="0.25">
      <c r="A5645" s="11"/>
    </row>
    <row r="5646" spans="1:1" ht="15.75" x14ac:dyDescent="0.25">
      <c r="A5646" s="11"/>
    </row>
    <row r="5647" spans="1:1" ht="15.75" x14ac:dyDescent="0.25">
      <c r="A5647" s="11"/>
    </row>
    <row r="5648" spans="1:1" ht="15.75" x14ac:dyDescent="0.25">
      <c r="A5648" s="11"/>
    </row>
    <row r="5649" spans="1:1" ht="15.75" x14ac:dyDescent="0.25">
      <c r="A5649" s="11"/>
    </row>
    <row r="5650" spans="1:1" ht="15.75" x14ac:dyDescent="0.25">
      <c r="A5650" s="11"/>
    </row>
    <row r="5651" spans="1:1" ht="15.75" x14ac:dyDescent="0.25">
      <c r="A5651" s="11"/>
    </row>
    <row r="5652" spans="1:1" ht="15.75" x14ac:dyDescent="0.25">
      <c r="A5652" s="11"/>
    </row>
    <row r="5653" spans="1:1" ht="15.75" x14ac:dyDescent="0.25">
      <c r="A5653" s="11"/>
    </row>
    <row r="5654" spans="1:1" ht="15.75" x14ac:dyDescent="0.25">
      <c r="A5654" s="11"/>
    </row>
    <row r="5655" spans="1:1" ht="15.75" x14ac:dyDescent="0.25">
      <c r="A5655" s="11"/>
    </row>
    <row r="5656" spans="1:1" ht="15.75" x14ac:dyDescent="0.25">
      <c r="A5656" s="11"/>
    </row>
    <row r="5657" spans="1:1" ht="15.75" x14ac:dyDescent="0.25">
      <c r="A5657" s="11"/>
    </row>
    <row r="5658" spans="1:1" ht="15.75" x14ac:dyDescent="0.25">
      <c r="A5658" s="11"/>
    </row>
    <row r="5659" spans="1:1" ht="15.75" x14ac:dyDescent="0.25">
      <c r="A5659" s="11"/>
    </row>
    <row r="5660" spans="1:1" ht="15.75" x14ac:dyDescent="0.25">
      <c r="A5660" s="11"/>
    </row>
    <row r="5661" spans="1:1" ht="15.75" x14ac:dyDescent="0.25">
      <c r="A5661" s="11"/>
    </row>
    <row r="5662" spans="1:1" ht="15.75" x14ac:dyDescent="0.25">
      <c r="A5662" s="11"/>
    </row>
    <row r="5663" spans="1:1" ht="15.75" x14ac:dyDescent="0.25">
      <c r="A5663" s="11"/>
    </row>
    <row r="5664" spans="1:1" ht="15.75" x14ac:dyDescent="0.25">
      <c r="A5664" s="11"/>
    </row>
    <row r="5665" spans="1:1" ht="15.75" x14ac:dyDescent="0.25">
      <c r="A5665" s="11"/>
    </row>
    <row r="5666" spans="1:1" ht="15.75" x14ac:dyDescent="0.25">
      <c r="A5666" s="11"/>
    </row>
    <row r="5667" spans="1:1" ht="15.75" x14ac:dyDescent="0.25">
      <c r="A5667" s="11"/>
    </row>
    <row r="5668" spans="1:1" ht="15.75" x14ac:dyDescent="0.25">
      <c r="A5668" s="11"/>
    </row>
    <row r="5669" spans="1:1" ht="15.75" x14ac:dyDescent="0.25">
      <c r="A5669" s="11"/>
    </row>
    <row r="5670" spans="1:1" ht="15.75" x14ac:dyDescent="0.25">
      <c r="A5670" s="11"/>
    </row>
    <row r="5671" spans="1:1" ht="15.75" x14ac:dyDescent="0.25">
      <c r="A5671" s="11"/>
    </row>
    <row r="5672" spans="1:1" ht="15.75" x14ac:dyDescent="0.25">
      <c r="A5672" s="11"/>
    </row>
    <row r="5673" spans="1:1" ht="15.75" x14ac:dyDescent="0.25">
      <c r="A5673" s="11"/>
    </row>
    <row r="5674" spans="1:1" ht="15.75" x14ac:dyDescent="0.25">
      <c r="A5674" s="11"/>
    </row>
    <row r="5675" spans="1:1" ht="15.75" x14ac:dyDescent="0.25">
      <c r="A5675" s="11"/>
    </row>
    <row r="5676" spans="1:1" ht="15.75" x14ac:dyDescent="0.25">
      <c r="A5676" s="11"/>
    </row>
    <row r="5677" spans="1:1" ht="15.75" x14ac:dyDescent="0.25">
      <c r="A5677" s="11"/>
    </row>
    <row r="5678" spans="1:1" ht="15.75" x14ac:dyDescent="0.25">
      <c r="A5678" s="11"/>
    </row>
    <row r="5679" spans="1:1" ht="15.75" x14ac:dyDescent="0.25">
      <c r="A5679" s="11"/>
    </row>
    <row r="5680" spans="1:1" ht="15.75" x14ac:dyDescent="0.25">
      <c r="A5680" s="11"/>
    </row>
    <row r="5681" spans="1:1" ht="15.75" x14ac:dyDescent="0.25">
      <c r="A5681" s="11"/>
    </row>
    <row r="5682" spans="1:1" ht="15.75" x14ac:dyDescent="0.25">
      <c r="A5682" s="11"/>
    </row>
    <row r="5683" spans="1:1" ht="15.75" x14ac:dyDescent="0.25">
      <c r="A5683" s="11"/>
    </row>
    <row r="5684" spans="1:1" ht="15.75" x14ac:dyDescent="0.25">
      <c r="A5684" s="11"/>
    </row>
    <row r="5685" spans="1:1" ht="15.75" x14ac:dyDescent="0.25">
      <c r="A5685" s="11"/>
    </row>
    <row r="5686" spans="1:1" ht="15.75" x14ac:dyDescent="0.25">
      <c r="A5686" s="11"/>
    </row>
    <row r="5687" spans="1:1" ht="15.75" x14ac:dyDescent="0.25">
      <c r="A5687" s="11"/>
    </row>
    <row r="5688" spans="1:1" ht="15.75" x14ac:dyDescent="0.25">
      <c r="A5688" s="11"/>
    </row>
    <row r="5689" spans="1:1" ht="15.75" x14ac:dyDescent="0.25">
      <c r="A5689" s="11"/>
    </row>
    <row r="5690" spans="1:1" ht="15.75" x14ac:dyDescent="0.25">
      <c r="A5690" s="11"/>
    </row>
    <row r="5691" spans="1:1" ht="15.75" x14ac:dyDescent="0.25">
      <c r="A5691" s="11"/>
    </row>
    <row r="5692" spans="1:1" ht="15.75" x14ac:dyDescent="0.25">
      <c r="A5692" s="11"/>
    </row>
    <row r="5693" spans="1:1" ht="15.75" x14ac:dyDescent="0.25">
      <c r="A5693" s="11"/>
    </row>
    <row r="5694" spans="1:1" ht="15.75" x14ac:dyDescent="0.25">
      <c r="A5694" s="11"/>
    </row>
    <row r="5695" spans="1:1" ht="15.75" x14ac:dyDescent="0.25">
      <c r="A5695" s="11"/>
    </row>
    <row r="5696" spans="1:1" ht="15.75" x14ac:dyDescent="0.25">
      <c r="A5696" s="11"/>
    </row>
    <row r="5697" spans="1:1" ht="15.75" x14ac:dyDescent="0.25">
      <c r="A5697" s="11"/>
    </row>
    <row r="5698" spans="1:1" ht="15.75" x14ac:dyDescent="0.25">
      <c r="A5698" s="11"/>
    </row>
    <row r="5699" spans="1:1" ht="15.75" x14ac:dyDescent="0.25">
      <c r="A5699" s="11"/>
    </row>
    <row r="5700" spans="1:1" ht="15.75" x14ac:dyDescent="0.25">
      <c r="A5700" s="11"/>
    </row>
    <row r="5701" spans="1:1" ht="15.75" x14ac:dyDescent="0.25">
      <c r="A5701" s="11"/>
    </row>
    <row r="5702" spans="1:1" ht="15.75" x14ac:dyDescent="0.25">
      <c r="A5702" s="11"/>
    </row>
    <row r="5703" spans="1:1" ht="15.75" x14ac:dyDescent="0.25">
      <c r="A5703" s="11"/>
    </row>
    <row r="5704" spans="1:1" ht="15.75" x14ac:dyDescent="0.25">
      <c r="A5704" s="11"/>
    </row>
    <row r="5705" spans="1:1" ht="15.75" x14ac:dyDescent="0.25">
      <c r="A5705" s="11"/>
    </row>
    <row r="5706" spans="1:1" ht="15.75" x14ac:dyDescent="0.25">
      <c r="A5706" s="11"/>
    </row>
    <row r="5707" spans="1:1" ht="15.75" x14ac:dyDescent="0.25">
      <c r="A5707" s="11"/>
    </row>
    <row r="5708" spans="1:1" ht="15.75" x14ac:dyDescent="0.25">
      <c r="A5708" s="11"/>
    </row>
    <row r="5709" spans="1:1" ht="15.75" x14ac:dyDescent="0.25">
      <c r="A5709" s="11"/>
    </row>
    <row r="5710" spans="1:1" ht="15.75" x14ac:dyDescent="0.25">
      <c r="A5710" s="11"/>
    </row>
    <row r="5711" spans="1:1" ht="15.75" x14ac:dyDescent="0.25">
      <c r="A5711" s="11"/>
    </row>
    <row r="5712" spans="1:1" ht="15.75" x14ac:dyDescent="0.25">
      <c r="A5712" s="11"/>
    </row>
    <row r="5713" spans="1:1" ht="15.75" x14ac:dyDescent="0.25">
      <c r="A5713" s="11"/>
    </row>
    <row r="5714" spans="1:1" ht="15.75" x14ac:dyDescent="0.25">
      <c r="A5714" s="11"/>
    </row>
    <row r="5715" spans="1:1" ht="15.75" x14ac:dyDescent="0.25">
      <c r="A5715" s="11"/>
    </row>
    <row r="5716" spans="1:1" ht="15.75" x14ac:dyDescent="0.25">
      <c r="A5716" s="11"/>
    </row>
    <row r="5717" spans="1:1" ht="15.75" x14ac:dyDescent="0.25">
      <c r="A5717" s="11"/>
    </row>
    <row r="5718" spans="1:1" ht="15.75" x14ac:dyDescent="0.25">
      <c r="A5718" s="11"/>
    </row>
    <row r="5719" spans="1:1" ht="15.75" x14ac:dyDescent="0.25">
      <c r="A5719" s="11"/>
    </row>
    <row r="5720" spans="1:1" ht="15.75" x14ac:dyDescent="0.25">
      <c r="A5720" s="11"/>
    </row>
    <row r="5721" spans="1:1" ht="15.75" x14ac:dyDescent="0.25">
      <c r="A5721" s="11"/>
    </row>
    <row r="5722" spans="1:1" ht="15.75" x14ac:dyDescent="0.25">
      <c r="A5722" s="11"/>
    </row>
    <row r="5723" spans="1:1" ht="15.75" x14ac:dyDescent="0.25">
      <c r="A5723" s="11"/>
    </row>
    <row r="5724" spans="1:1" ht="15.75" x14ac:dyDescent="0.25">
      <c r="A5724" s="11"/>
    </row>
    <row r="5725" spans="1:1" ht="15.75" x14ac:dyDescent="0.25">
      <c r="A5725" s="11"/>
    </row>
    <row r="5726" spans="1:1" ht="15.75" x14ac:dyDescent="0.25">
      <c r="A5726" s="11"/>
    </row>
    <row r="5727" spans="1:1" ht="15.75" x14ac:dyDescent="0.25">
      <c r="A5727" s="11"/>
    </row>
    <row r="5728" spans="1:1" ht="15.75" x14ac:dyDescent="0.25">
      <c r="A5728" s="11"/>
    </row>
    <row r="5729" spans="1:1" ht="15.75" x14ac:dyDescent="0.25">
      <c r="A5729" s="11"/>
    </row>
    <row r="5730" spans="1:1" ht="15.75" x14ac:dyDescent="0.25">
      <c r="A5730" s="11"/>
    </row>
    <row r="5731" spans="1:1" ht="15.75" x14ac:dyDescent="0.25">
      <c r="A5731" s="11"/>
    </row>
    <row r="5732" spans="1:1" ht="15.75" x14ac:dyDescent="0.25">
      <c r="A5732" s="11"/>
    </row>
    <row r="5733" spans="1:1" ht="15.75" x14ac:dyDescent="0.25">
      <c r="A5733" s="11"/>
    </row>
    <row r="5734" spans="1:1" ht="15.75" x14ac:dyDescent="0.25">
      <c r="A5734" s="11"/>
    </row>
    <row r="5735" spans="1:1" ht="15.75" x14ac:dyDescent="0.25">
      <c r="A5735" s="11"/>
    </row>
    <row r="5736" spans="1:1" ht="15.75" x14ac:dyDescent="0.25">
      <c r="A5736" s="11"/>
    </row>
    <row r="5737" spans="1:1" ht="15.75" x14ac:dyDescent="0.25">
      <c r="A5737" s="11"/>
    </row>
    <row r="5738" spans="1:1" ht="15.75" x14ac:dyDescent="0.25">
      <c r="A5738" s="11"/>
    </row>
    <row r="5739" spans="1:1" ht="15.75" x14ac:dyDescent="0.25">
      <c r="A5739" s="11"/>
    </row>
    <row r="5740" spans="1:1" ht="15.75" x14ac:dyDescent="0.25">
      <c r="A5740" s="11"/>
    </row>
    <row r="5741" spans="1:1" ht="15.75" x14ac:dyDescent="0.25">
      <c r="A5741" s="11"/>
    </row>
    <row r="5742" spans="1:1" ht="15.75" x14ac:dyDescent="0.25">
      <c r="A5742" s="11"/>
    </row>
    <row r="5743" spans="1:1" ht="15.75" x14ac:dyDescent="0.25">
      <c r="A5743" s="11"/>
    </row>
    <row r="5744" spans="1:1" ht="15.75" x14ac:dyDescent="0.25">
      <c r="A5744" s="11"/>
    </row>
    <row r="5745" spans="1:1" ht="15.75" x14ac:dyDescent="0.25">
      <c r="A5745" s="11"/>
    </row>
    <row r="5746" spans="1:1" ht="15.75" x14ac:dyDescent="0.25">
      <c r="A5746" s="11"/>
    </row>
    <row r="5747" spans="1:1" ht="15.75" x14ac:dyDescent="0.25">
      <c r="A5747" s="11"/>
    </row>
    <row r="5748" spans="1:1" ht="15.75" x14ac:dyDescent="0.25">
      <c r="A5748" s="11"/>
    </row>
    <row r="5749" spans="1:1" ht="15.75" x14ac:dyDescent="0.25">
      <c r="A5749" s="11"/>
    </row>
    <row r="5750" spans="1:1" ht="15.75" x14ac:dyDescent="0.25">
      <c r="A5750" s="11"/>
    </row>
    <row r="5751" spans="1:1" ht="15.75" x14ac:dyDescent="0.25">
      <c r="A5751" s="11"/>
    </row>
    <row r="5752" spans="1:1" ht="15.75" x14ac:dyDescent="0.25">
      <c r="A5752" s="11"/>
    </row>
    <row r="5753" spans="1:1" ht="15.75" x14ac:dyDescent="0.25">
      <c r="A5753" s="11"/>
    </row>
    <row r="5754" spans="1:1" ht="15.75" x14ac:dyDescent="0.25">
      <c r="A5754" s="11"/>
    </row>
    <row r="5755" spans="1:1" ht="15.75" x14ac:dyDescent="0.25">
      <c r="A5755" s="11"/>
    </row>
    <row r="5756" spans="1:1" ht="15.75" x14ac:dyDescent="0.25">
      <c r="A5756" s="11"/>
    </row>
    <row r="5757" spans="1:1" ht="15.75" x14ac:dyDescent="0.25">
      <c r="A5757" s="11"/>
    </row>
    <row r="5758" spans="1:1" ht="15.75" x14ac:dyDescent="0.25">
      <c r="A5758" s="11"/>
    </row>
    <row r="5759" spans="1:1" ht="15.75" x14ac:dyDescent="0.25">
      <c r="A5759" s="11"/>
    </row>
    <row r="5760" spans="1:1" ht="15.75" x14ac:dyDescent="0.25">
      <c r="A5760" s="11"/>
    </row>
    <row r="5761" spans="1:1" ht="15.75" x14ac:dyDescent="0.25">
      <c r="A5761" s="11"/>
    </row>
    <row r="5762" spans="1:1" ht="15.75" x14ac:dyDescent="0.25">
      <c r="A5762" s="11"/>
    </row>
    <row r="5763" spans="1:1" ht="15.75" x14ac:dyDescent="0.25">
      <c r="A5763" s="11"/>
    </row>
    <row r="5764" spans="1:1" ht="15.75" x14ac:dyDescent="0.25">
      <c r="A5764" s="11"/>
    </row>
    <row r="5765" spans="1:1" ht="15.75" x14ac:dyDescent="0.25">
      <c r="A5765" s="11"/>
    </row>
    <row r="5766" spans="1:1" ht="15.75" x14ac:dyDescent="0.25">
      <c r="A5766" s="11"/>
    </row>
    <row r="5767" spans="1:1" ht="15.75" x14ac:dyDescent="0.25">
      <c r="A5767" s="11"/>
    </row>
    <row r="5768" spans="1:1" ht="15.75" x14ac:dyDescent="0.25">
      <c r="A5768" s="11"/>
    </row>
    <row r="5769" spans="1:1" ht="15.75" x14ac:dyDescent="0.25">
      <c r="A5769" s="11"/>
    </row>
    <row r="5770" spans="1:1" ht="15.75" x14ac:dyDescent="0.25">
      <c r="A5770" s="11"/>
    </row>
    <row r="5771" spans="1:1" ht="15.75" x14ac:dyDescent="0.25">
      <c r="A5771" s="11"/>
    </row>
    <row r="5772" spans="1:1" ht="15.75" x14ac:dyDescent="0.25">
      <c r="A5772" s="11"/>
    </row>
    <row r="5773" spans="1:1" ht="15.75" x14ac:dyDescent="0.25">
      <c r="A5773" s="11"/>
    </row>
    <row r="5774" spans="1:1" ht="15.75" x14ac:dyDescent="0.25">
      <c r="A5774" s="11"/>
    </row>
    <row r="5775" spans="1:1" ht="15.75" x14ac:dyDescent="0.25">
      <c r="A5775" s="11"/>
    </row>
    <row r="5776" spans="1:1" ht="15.75" x14ac:dyDescent="0.25">
      <c r="A5776" s="11"/>
    </row>
    <row r="5777" spans="1:1" ht="15.75" x14ac:dyDescent="0.25">
      <c r="A5777" s="11"/>
    </row>
    <row r="5778" spans="1:1" ht="15.75" x14ac:dyDescent="0.25">
      <c r="A5778" s="11"/>
    </row>
    <row r="5779" spans="1:1" ht="15.75" x14ac:dyDescent="0.25">
      <c r="A5779" s="11"/>
    </row>
    <row r="5780" spans="1:1" ht="15.75" x14ac:dyDescent="0.25">
      <c r="A5780" s="11"/>
    </row>
    <row r="5781" spans="1:1" ht="15.75" x14ac:dyDescent="0.25">
      <c r="A5781" s="11"/>
    </row>
    <row r="5782" spans="1:1" ht="15.75" x14ac:dyDescent="0.25">
      <c r="A5782" s="11"/>
    </row>
    <row r="5783" spans="1:1" ht="15.75" x14ac:dyDescent="0.25">
      <c r="A5783" s="11"/>
    </row>
    <row r="5784" spans="1:1" ht="15.75" x14ac:dyDescent="0.25">
      <c r="A5784" s="11"/>
    </row>
    <row r="5785" spans="1:1" ht="15.75" x14ac:dyDescent="0.25">
      <c r="A5785" s="11"/>
    </row>
    <row r="5786" spans="1:1" ht="15.75" x14ac:dyDescent="0.25">
      <c r="A5786" s="11"/>
    </row>
    <row r="5787" spans="1:1" ht="15.75" x14ac:dyDescent="0.25">
      <c r="A5787" s="11"/>
    </row>
    <row r="5788" spans="1:1" ht="15.75" x14ac:dyDescent="0.25">
      <c r="A5788" s="11"/>
    </row>
    <row r="5789" spans="1:1" ht="15.75" x14ac:dyDescent="0.25">
      <c r="A5789" s="11"/>
    </row>
    <row r="5790" spans="1:1" ht="15.75" x14ac:dyDescent="0.25">
      <c r="A5790" s="11"/>
    </row>
    <row r="5791" spans="1:1" ht="15.75" x14ac:dyDescent="0.25">
      <c r="A5791" s="11"/>
    </row>
    <row r="5792" spans="1:1" ht="15.75" x14ac:dyDescent="0.25">
      <c r="A5792" s="11"/>
    </row>
    <row r="5793" spans="1:1" ht="15.75" x14ac:dyDescent="0.25">
      <c r="A5793" s="11"/>
    </row>
    <row r="5794" spans="1:1" ht="15.75" x14ac:dyDescent="0.25">
      <c r="A5794" s="11"/>
    </row>
    <row r="5795" spans="1:1" ht="15.75" x14ac:dyDescent="0.25">
      <c r="A5795" s="11"/>
    </row>
    <row r="5796" spans="1:1" ht="15.75" x14ac:dyDescent="0.25">
      <c r="A5796" s="11"/>
    </row>
    <row r="5797" spans="1:1" ht="15.75" x14ac:dyDescent="0.25">
      <c r="A5797" s="11"/>
    </row>
    <row r="5798" spans="1:1" ht="15.75" x14ac:dyDescent="0.25">
      <c r="A5798" s="11"/>
    </row>
    <row r="5799" spans="1:1" ht="15.75" x14ac:dyDescent="0.25">
      <c r="A5799" s="11"/>
    </row>
    <row r="5800" spans="1:1" ht="15.75" x14ac:dyDescent="0.25">
      <c r="A5800" s="11"/>
    </row>
    <row r="5801" spans="1:1" ht="15.75" x14ac:dyDescent="0.25">
      <c r="A5801" s="11"/>
    </row>
    <row r="5802" spans="1:1" ht="15.75" x14ac:dyDescent="0.25">
      <c r="A5802" s="11"/>
    </row>
    <row r="5803" spans="1:1" ht="15.75" x14ac:dyDescent="0.25">
      <c r="A5803" s="11"/>
    </row>
    <row r="5804" spans="1:1" ht="15.75" x14ac:dyDescent="0.25">
      <c r="A5804" s="11"/>
    </row>
    <row r="5805" spans="1:1" ht="15.75" x14ac:dyDescent="0.25">
      <c r="A5805" s="11"/>
    </row>
    <row r="5806" spans="1:1" ht="15.75" x14ac:dyDescent="0.25">
      <c r="A5806" s="11"/>
    </row>
    <row r="5807" spans="1:1" ht="15.75" x14ac:dyDescent="0.25">
      <c r="A5807" s="11"/>
    </row>
    <row r="5808" spans="1:1" ht="15.75" x14ac:dyDescent="0.25">
      <c r="A5808" s="11"/>
    </row>
    <row r="5809" spans="1:1" ht="15.75" x14ac:dyDescent="0.25">
      <c r="A5809" s="11"/>
    </row>
    <row r="5810" spans="1:1" ht="15.75" x14ac:dyDescent="0.25">
      <c r="A5810" s="11"/>
    </row>
    <row r="5811" spans="1:1" ht="15.75" x14ac:dyDescent="0.25">
      <c r="A5811" s="11"/>
    </row>
    <row r="5812" spans="1:1" ht="15.75" x14ac:dyDescent="0.25">
      <c r="A5812" s="11"/>
    </row>
    <row r="5813" spans="1:1" ht="15.75" x14ac:dyDescent="0.25">
      <c r="A5813" s="11"/>
    </row>
    <row r="5814" spans="1:1" ht="15.75" x14ac:dyDescent="0.25">
      <c r="A5814" s="11"/>
    </row>
    <row r="5815" spans="1:1" ht="15.75" x14ac:dyDescent="0.25">
      <c r="A5815" s="11"/>
    </row>
    <row r="5816" spans="1:1" ht="15.75" x14ac:dyDescent="0.25">
      <c r="A5816" s="11"/>
    </row>
    <row r="5817" spans="1:1" ht="15.75" x14ac:dyDescent="0.25">
      <c r="A5817" s="11"/>
    </row>
    <row r="5818" spans="1:1" ht="15.75" x14ac:dyDescent="0.25">
      <c r="A5818" s="11"/>
    </row>
    <row r="5819" spans="1:1" ht="15.75" x14ac:dyDescent="0.25">
      <c r="A5819" s="11"/>
    </row>
    <row r="5820" spans="1:1" ht="15.75" x14ac:dyDescent="0.25">
      <c r="A5820" s="11"/>
    </row>
    <row r="5821" spans="1:1" ht="15.75" x14ac:dyDescent="0.25">
      <c r="A5821" s="11"/>
    </row>
    <row r="5822" spans="1:1" ht="15.75" x14ac:dyDescent="0.25">
      <c r="A5822" s="11"/>
    </row>
    <row r="5823" spans="1:1" ht="15.75" x14ac:dyDescent="0.25">
      <c r="A5823" s="11"/>
    </row>
    <row r="5824" spans="1:1" ht="15.75" x14ac:dyDescent="0.25">
      <c r="A5824" s="11"/>
    </row>
    <row r="5825" spans="1:1" ht="15.75" x14ac:dyDescent="0.25">
      <c r="A5825" s="11"/>
    </row>
    <row r="5826" spans="1:1" ht="15.75" x14ac:dyDescent="0.25">
      <c r="A5826" s="11"/>
    </row>
    <row r="5827" spans="1:1" ht="15.75" x14ac:dyDescent="0.25">
      <c r="A5827" s="11"/>
    </row>
    <row r="5828" spans="1:1" ht="15.75" x14ac:dyDescent="0.25">
      <c r="A5828" s="11"/>
    </row>
    <row r="5829" spans="1:1" ht="15.75" x14ac:dyDescent="0.25">
      <c r="A5829" s="11"/>
    </row>
    <row r="5830" spans="1:1" ht="15.75" x14ac:dyDescent="0.25">
      <c r="A5830" s="11"/>
    </row>
    <row r="5831" spans="1:1" ht="15.75" x14ac:dyDescent="0.25">
      <c r="A5831" s="11"/>
    </row>
    <row r="5832" spans="1:1" ht="15.75" x14ac:dyDescent="0.25">
      <c r="A5832" s="11"/>
    </row>
    <row r="5833" spans="1:1" ht="15.75" x14ac:dyDescent="0.25">
      <c r="A5833" s="11"/>
    </row>
    <row r="5834" spans="1:1" ht="15.75" x14ac:dyDescent="0.25">
      <c r="A5834" s="11"/>
    </row>
    <row r="5835" spans="1:1" ht="15.75" x14ac:dyDescent="0.25">
      <c r="A5835" s="11"/>
    </row>
    <row r="5836" spans="1:1" ht="15.75" x14ac:dyDescent="0.25">
      <c r="A5836" s="11"/>
    </row>
    <row r="5837" spans="1:1" ht="15.75" x14ac:dyDescent="0.25">
      <c r="A5837" s="11"/>
    </row>
    <row r="5838" spans="1:1" ht="15.75" x14ac:dyDescent="0.25">
      <c r="A5838" s="11"/>
    </row>
    <row r="5839" spans="1:1" ht="15.75" x14ac:dyDescent="0.25">
      <c r="A5839" s="11"/>
    </row>
    <row r="5840" spans="1:1" ht="15.75" x14ac:dyDescent="0.25">
      <c r="A5840" s="11"/>
    </row>
    <row r="5841" spans="1:1" ht="15.75" x14ac:dyDescent="0.25">
      <c r="A5841" s="11"/>
    </row>
    <row r="5842" spans="1:1" ht="15.75" x14ac:dyDescent="0.25">
      <c r="A5842" s="11"/>
    </row>
    <row r="5843" spans="1:1" ht="15.75" x14ac:dyDescent="0.25">
      <c r="A5843" s="11"/>
    </row>
    <row r="5844" spans="1:1" ht="15.75" x14ac:dyDescent="0.25">
      <c r="A5844" s="11"/>
    </row>
    <row r="5845" spans="1:1" ht="15.75" x14ac:dyDescent="0.25">
      <c r="A5845" s="11"/>
    </row>
    <row r="5846" spans="1:1" ht="15.75" x14ac:dyDescent="0.25">
      <c r="A5846" s="11"/>
    </row>
    <row r="5847" spans="1:1" ht="15.75" x14ac:dyDescent="0.25">
      <c r="A5847" s="11"/>
    </row>
    <row r="5848" spans="1:1" ht="15.75" x14ac:dyDescent="0.25">
      <c r="A5848" s="11"/>
    </row>
    <row r="5849" spans="1:1" ht="15.75" x14ac:dyDescent="0.25">
      <c r="A5849" s="11"/>
    </row>
    <row r="5850" spans="1:1" ht="15.75" x14ac:dyDescent="0.25">
      <c r="A5850" s="11"/>
    </row>
    <row r="5851" spans="1:1" ht="15.75" x14ac:dyDescent="0.25">
      <c r="A5851" s="11"/>
    </row>
    <row r="5852" spans="1:1" ht="15.75" x14ac:dyDescent="0.25">
      <c r="A5852" s="11"/>
    </row>
    <row r="5853" spans="1:1" ht="15.75" x14ac:dyDescent="0.25">
      <c r="A5853" s="11"/>
    </row>
    <row r="5854" spans="1:1" ht="15.75" x14ac:dyDescent="0.25">
      <c r="A5854" s="11"/>
    </row>
    <row r="5855" spans="1:1" ht="15.75" x14ac:dyDescent="0.25">
      <c r="A5855" s="11"/>
    </row>
    <row r="5856" spans="1:1" ht="15.75" x14ac:dyDescent="0.25">
      <c r="A5856" s="11"/>
    </row>
    <row r="5857" spans="1:1" ht="15.75" x14ac:dyDescent="0.25">
      <c r="A5857" s="11"/>
    </row>
    <row r="5858" spans="1:1" ht="15.75" x14ac:dyDescent="0.25">
      <c r="A5858" s="11"/>
    </row>
    <row r="5859" spans="1:1" ht="15.75" x14ac:dyDescent="0.25">
      <c r="A5859" s="11"/>
    </row>
    <row r="5860" spans="1:1" ht="15.75" x14ac:dyDescent="0.25">
      <c r="A5860" s="11"/>
    </row>
    <row r="5861" spans="1:1" ht="15.75" x14ac:dyDescent="0.25">
      <c r="A5861" s="11"/>
    </row>
    <row r="5862" spans="1:1" ht="15.75" x14ac:dyDescent="0.25">
      <c r="A5862" s="11"/>
    </row>
    <row r="5863" spans="1:1" ht="15.75" x14ac:dyDescent="0.25">
      <c r="A5863" s="11"/>
    </row>
    <row r="5864" spans="1:1" ht="15.75" x14ac:dyDescent="0.25">
      <c r="A5864" s="11"/>
    </row>
    <row r="5865" spans="1:1" ht="15.75" x14ac:dyDescent="0.25">
      <c r="A5865" s="11"/>
    </row>
    <row r="5866" spans="1:1" ht="15.75" x14ac:dyDescent="0.25">
      <c r="A5866" s="11"/>
    </row>
    <row r="5867" spans="1:1" ht="15.75" x14ac:dyDescent="0.25">
      <c r="A5867" s="11"/>
    </row>
    <row r="5868" spans="1:1" ht="15.75" x14ac:dyDescent="0.25">
      <c r="A5868" s="11"/>
    </row>
    <row r="5869" spans="1:1" ht="15.75" x14ac:dyDescent="0.25">
      <c r="A5869" s="11"/>
    </row>
    <row r="5870" spans="1:1" ht="15.75" x14ac:dyDescent="0.25">
      <c r="A5870" s="11"/>
    </row>
    <row r="5871" spans="1:1" ht="15.75" x14ac:dyDescent="0.25">
      <c r="A5871" s="11"/>
    </row>
    <row r="5872" spans="1:1" ht="15.75" x14ac:dyDescent="0.25">
      <c r="A5872" s="11"/>
    </row>
    <row r="5873" spans="1:1" ht="15.75" x14ac:dyDescent="0.25">
      <c r="A5873" s="11"/>
    </row>
    <row r="5874" spans="1:1" ht="15.75" x14ac:dyDescent="0.25">
      <c r="A5874" s="11"/>
    </row>
    <row r="5875" spans="1:1" ht="15.75" x14ac:dyDescent="0.25">
      <c r="A5875" s="11"/>
    </row>
    <row r="5876" spans="1:1" ht="15.75" x14ac:dyDescent="0.25">
      <c r="A5876" s="11"/>
    </row>
    <row r="5877" spans="1:1" ht="15.75" x14ac:dyDescent="0.25">
      <c r="A5877" s="11"/>
    </row>
    <row r="5878" spans="1:1" ht="15.75" x14ac:dyDescent="0.25">
      <c r="A5878" s="11"/>
    </row>
    <row r="5879" spans="1:1" ht="15.75" x14ac:dyDescent="0.25">
      <c r="A5879" s="11"/>
    </row>
    <row r="5880" spans="1:1" ht="15.75" x14ac:dyDescent="0.25">
      <c r="A5880" s="11"/>
    </row>
    <row r="5881" spans="1:1" ht="15.75" x14ac:dyDescent="0.25">
      <c r="A5881" s="11"/>
    </row>
    <row r="5882" spans="1:1" ht="15.75" x14ac:dyDescent="0.25">
      <c r="A5882" s="11"/>
    </row>
    <row r="5883" spans="1:1" ht="15.75" x14ac:dyDescent="0.25">
      <c r="A5883" s="11"/>
    </row>
    <row r="5884" spans="1:1" ht="15.75" x14ac:dyDescent="0.25">
      <c r="A5884" s="11"/>
    </row>
    <row r="5885" spans="1:1" ht="15.75" x14ac:dyDescent="0.25">
      <c r="A5885" s="11"/>
    </row>
    <row r="5886" spans="1:1" ht="15.75" x14ac:dyDescent="0.25">
      <c r="A5886" s="11"/>
    </row>
    <row r="5887" spans="1:1" ht="15.75" x14ac:dyDescent="0.25">
      <c r="A5887" s="11"/>
    </row>
    <row r="5888" spans="1:1" ht="15.75" x14ac:dyDescent="0.25">
      <c r="A5888" s="11"/>
    </row>
    <row r="5889" spans="1:1" ht="15.75" x14ac:dyDescent="0.25">
      <c r="A5889" s="11"/>
    </row>
    <row r="5890" spans="1:1" ht="15.75" x14ac:dyDescent="0.25">
      <c r="A5890" s="11"/>
    </row>
    <row r="5891" spans="1:1" ht="15.75" x14ac:dyDescent="0.25">
      <c r="A5891" s="11"/>
    </row>
    <row r="5892" spans="1:1" ht="15.75" x14ac:dyDescent="0.25">
      <c r="A5892" s="11"/>
    </row>
    <row r="5893" spans="1:1" ht="15.75" x14ac:dyDescent="0.25">
      <c r="A5893" s="11"/>
    </row>
    <row r="5894" spans="1:1" ht="15.75" x14ac:dyDescent="0.25">
      <c r="A5894" s="11"/>
    </row>
    <row r="5895" spans="1:1" ht="15.75" x14ac:dyDescent="0.25">
      <c r="A5895" s="11"/>
    </row>
    <row r="5896" spans="1:1" ht="15.75" x14ac:dyDescent="0.25">
      <c r="A5896" s="11"/>
    </row>
    <row r="5897" spans="1:1" ht="15.75" x14ac:dyDescent="0.25">
      <c r="A5897" s="11"/>
    </row>
    <row r="5898" spans="1:1" ht="15.75" x14ac:dyDescent="0.25">
      <c r="A5898" s="11"/>
    </row>
    <row r="5899" spans="1:1" ht="15.75" x14ac:dyDescent="0.25">
      <c r="A5899" s="11"/>
    </row>
    <row r="5900" spans="1:1" ht="15.75" x14ac:dyDescent="0.25">
      <c r="A5900" s="11"/>
    </row>
    <row r="5901" spans="1:1" ht="15.75" x14ac:dyDescent="0.25">
      <c r="A5901" s="11"/>
    </row>
    <row r="5902" spans="1:1" ht="15.75" x14ac:dyDescent="0.25">
      <c r="A5902" s="11"/>
    </row>
    <row r="5903" spans="1:1" ht="15.75" x14ac:dyDescent="0.25">
      <c r="A5903" s="11"/>
    </row>
    <row r="5904" spans="1:1" ht="15.75" x14ac:dyDescent="0.25">
      <c r="A5904" s="11"/>
    </row>
    <row r="5905" spans="1:1" ht="15.75" x14ac:dyDescent="0.25">
      <c r="A5905" s="11"/>
    </row>
    <row r="5906" spans="1:1" ht="15.75" x14ac:dyDescent="0.25">
      <c r="A5906" s="11"/>
    </row>
    <row r="5907" spans="1:1" ht="15.75" x14ac:dyDescent="0.25">
      <c r="A5907" s="11"/>
    </row>
    <row r="5908" spans="1:1" ht="15.75" x14ac:dyDescent="0.25">
      <c r="A5908" s="11"/>
    </row>
    <row r="5909" spans="1:1" ht="15.75" x14ac:dyDescent="0.25">
      <c r="A5909" s="11"/>
    </row>
    <row r="5910" spans="1:1" ht="15.75" x14ac:dyDescent="0.25">
      <c r="A5910" s="11"/>
    </row>
    <row r="5911" spans="1:1" ht="15.75" x14ac:dyDescent="0.25">
      <c r="A5911" s="11"/>
    </row>
    <row r="5912" spans="1:1" ht="15.75" x14ac:dyDescent="0.25">
      <c r="A5912" s="11"/>
    </row>
    <row r="5913" spans="1:1" ht="15.75" x14ac:dyDescent="0.25">
      <c r="A5913" s="11"/>
    </row>
    <row r="5914" spans="1:1" ht="15.75" x14ac:dyDescent="0.25">
      <c r="A5914" s="11"/>
    </row>
    <row r="5915" spans="1:1" ht="15.75" x14ac:dyDescent="0.25">
      <c r="A5915" s="11"/>
    </row>
    <row r="5916" spans="1:1" ht="15.75" x14ac:dyDescent="0.25">
      <c r="A5916" s="11"/>
    </row>
    <row r="5917" spans="1:1" ht="15.75" x14ac:dyDescent="0.25">
      <c r="A5917" s="11"/>
    </row>
    <row r="5918" spans="1:1" ht="15.75" x14ac:dyDescent="0.25">
      <c r="A5918" s="11"/>
    </row>
    <row r="5919" spans="1:1" ht="15.75" x14ac:dyDescent="0.25">
      <c r="A5919" s="11"/>
    </row>
    <row r="5920" spans="1:1" ht="15.75" x14ac:dyDescent="0.25">
      <c r="A5920" s="11"/>
    </row>
    <row r="5921" spans="1:1" ht="15.75" x14ac:dyDescent="0.25">
      <c r="A5921" s="11"/>
    </row>
    <row r="5922" spans="1:1" ht="15.75" x14ac:dyDescent="0.25">
      <c r="A5922" s="11"/>
    </row>
    <row r="5923" spans="1:1" ht="15.75" x14ac:dyDescent="0.25">
      <c r="A5923" s="11"/>
    </row>
    <row r="5924" spans="1:1" ht="15.75" x14ac:dyDescent="0.25">
      <c r="A5924" s="11"/>
    </row>
    <row r="5925" spans="1:1" ht="15.75" x14ac:dyDescent="0.25">
      <c r="A5925" s="11"/>
    </row>
    <row r="5926" spans="1:1" ht="15.75" x14ac:dyDescent="0.25">
      <c r="A5926" s="11"/>
    </row>
    <row r="5927" spans="1:1" ht="15.75" x14ac:dyDescent="0.25">
      <c r="A5927" s="11"/>
    </row>
    <row r="5928" spans="1:1" ht="15.75" x14ac:dyDescent="0.25">
      <c r="A5928" s="11"/>
    </row>
    <row r="5929" spans="1:1" ht="15.75" x14ac:dyDescent="0.25">
      <c r="A5929" s="11"/>
    </row>
    <row r="5930" spans="1:1" ht="15.75" x14ac:dyDescent="0.25">
      <c r="A5930" s="11"/>
    </row>
    <row r="5931" spans="1:1" ht="15.75" x14ac:dyDescent="0.25">
      <c r="A5931" s="11"/>
    </row>
    <row r="5932" spans="1:1" ht="15.75" x14ac:dyDescent="0.25">
      <c r="A5932" s="11"/>
    </row>
    <row r="5933" spans="1:1" ht="15.75" x14ac:dyDescent="0.25">
      <c r="A5933" s="11"/>
    </row>
    <row r="5934" spans="1:1" ht="15.75" x14ac:dyDescent="0.25">
      <c r="A5934" s="11"/>
    </row>
    <row r="5935" spans="1:1" ht="15.75" x14ac:dyDescent="0.25">
      <c r="A5935" s="11"/>
    </row>
    <row r="5936" spans="1:1" ht="15.75" x14ac:dyDescent="0.25">
      <c r="A5936" s="11"/>
    </row>
    <row r="5937" spans="1:1" ht="15.75" x14ac:dyDescent="0.25">
      <c r="A5937" s="11"/>
    </row>
    <row r="5938" spans="1:1" ht="15.75" x14ac:dyDescent="0.25">
      <c r="A5938" s="11"/>
    </row>
    <row r="5939" spans="1:1" ht="15.75" x14ac:dyDescent="0.25">
      <c r="A5939" s="11"/>
    </row>
    <row r="5940" spans="1:1" ht="15.75" x14ac:dyDescent="0.25">
      <c r="A5940" s="11"/>
    </row>
    <row r="5941" spans="1:1" ht="15.75" x14ac:dyDescent="0.25">
      <c r="A5941" s="11"/>
    </row>
    <row r="5942" spans="1:1" ht="15.75" x14ac:dyDescent="0.25">
      <c r="A5942" s="11"/>
    </row>
    <row r="5943" spans="1:1" ht="15.75" x14ac:dyDescent="0.25">
      <c r="A5943" s="11"/>
    </row>
    <row r="5944" spans="1:1" ht="15.75" x14ac:dyDescent="0.25">
      <c r="A5944" s="11"/>
    </row>
    <row r="5945" spans="1:1" ht="15.75" x14ac:dyDescent="0.25">
      <c r="A5945" s="11"/>
    </row>
    <row r="5946" spans="1:1" ht="15.75" x14ac:dyDescent="0.25">
      <c r="A5946" s="11"/>
    </row>
    <row r="5947" spans="1:1" ht="15.75" x14ac:dyDescent="0.25">
      <c r="A5947" s="11"/>
    </row>
    <row r="5948" spans="1:1" ht="15.75" x14ac:dyDescent="0.25">
      <c r="A5948" s="11"/>
    </row>
    <row r="5949" spans="1:1" ht="15.75" x14ac:dyDescent="0.25">
      <c r="A5949" s="11"/>
    </row>
    <row r="5950" spans="1:1" ht="15.75" x14ac:dyDescent="0.25">
      <c r="A5950" s="11"/>
    </row>
    <row r="5951" spans="1:1" ht="15.75" x14ac:dyDescent="0.25">
      <c r="A5951" s="11"/>
    </row>
    <row r="5952" spans="1:1" ht="15.75" x14ac:dyDescent="0.25">
      <c r="A5952" s="11"/>
    </row>
    <row r="5953" spans="1:1" ht="15.75" x14ac:dyDescent="0.25">
      <c r="A5953" s="11"/>
    </row>
    <row r="5954" spans="1:1" ht="15.75" x14ac:dyDescent="0.25">
      <c r="A5954" s="11"/>
    </row>
    <row r="5955" spans="1:1" ht="15.75" x14ac:dyDescent="0.25">
      <c r="A5955" s="11"/>
    </row>
    <row r="5956" spans="1:1" ht="15.75" x14ac:dyDescent="0.25">
      <c r="A5956" s="11"/>
    </row>
    <row r="5957" spans="1:1" ht="15.75" x14ac:dyDescent="0.25">
      <c r="A5957" s="11"/>
    </row>
    <row r="5958" spans="1:1" ht="15.75" x14ac:dyDescent="0.25">
      <c r="A5958" s="11"/>
    </row>
    <row r="5959" spans="1:1" ht="15.75" x14ac:dyDescent="0.25">
      <c r="A5959" s="11"/>
    </row>
    <row r="5960" spans="1:1" ht="15.75" x14ac:dyDescent="0.25">
      <c r="A5960" s="11"/>
    </row>
    <row r="5961" spans="1:1" ht="15.75" x14ac:dyDescent="0.25">
      <c r="A5961" s="11"/>
    </row>
    <row r="5962" spans="1:1" ht="15.75" x14ac:dyDescent="0.25">
      <c r="A5962" s="11"/>
    </row>
    <row r="5963" spans="1:1" ht="15.75" x14ac:dyDescent="0.25">
      <c r="A5963" s="11"/>
    </row>
    <row r="5964" spans="1:1" ht="15.75" x14ac:dyDescent="0.25">
      <c r="A5964" s="11"/>
    </row>
    <row r="5965" spans="1:1" ht="15.75" x14ac:dyDescent="0.25">
      <c r="A5965" s="11"/>
    </row>
    <row r="5966" spans="1:1" ht="15.75" x14ac:dyDescent="0.25">
      <c r="A5966" s="11"/>
    </row>
    <row r="5967" spans="1:1" ht="15.75" x14ac:dyDescent="0.25">
      <c r="A5967" s="11"/>
    </row>
    <row r="5968" spans="1:1" ht="15.75" x14ac:dyDescent="0.25">
      <c r="A5968" s="11"/>
    </row>
    <row r="5969" spans="1:1" ht="15.75" x14ac:dyDescent="0.25">
      <c r="A5969" s="11"/>
    </row>
    <row r="5970" spans="1:1" ht="15.75" x14ac:dyDescent="0.25">
      <c r="A5970" s="11"/>
    </row>
    <row r="5971" spans="1:1" ht="15.75" x14ac:dyDescent="0.25">
      <c r="A5971" s="11"/>
    </row>
    <row r="5972" spans="1:1" ht="15.75" x14ac:dyDescent="0.25">
      <c r="A5972" s="11"/>
    </row>
    <row r="5973" spans="1:1" ht="15.75" x14ac:dyDescent="0.25">
      <c r="A5973" s="11"/>
    </row>
    <row r="5974" spans="1:1" ht="15.75" x14ac:dyDescent="0.25">
      <c r="A5974" s="11"/>
    </row>
    <row r="5975" spans="1:1" ht="15.75" x14ac:dyDescent="0.25">
      <c r="A5975" s="11"/>
    </row>
    <row r="5976" spans="1:1" ht="15.75" x14ac:dyDescent="0.25">
      <c r="A5976" s="11"/>
    </row>
    <row r="5977" spans="1:1" ht="15.75" x14ac:dyDescent="0.25">
      <c r="A5977" s="11"/>
    </row>
    <row r="5978" spans="1:1" ht="15.75" x14ac:dyDescent="0.25">
      <c r="A5978" s="11"/>
    </row>
    <row r="5979" spans="1:1" ht="15.75" x14ac:dyDescent="0.25">
      <c r="A5979" s="11"/>
    </row>
    <row r="5980" spans="1:1" ht="15.75" x14ac:dyDescent="0.25">
      <c r="A5980" s="11"/>
    </row>
    <row r="5981" spans="1:1" ht="15.75" x14ac:dyDescent="0.25">
      <c r="A5981" s="11"/>
    </row>
    <row r="5982" spans="1:1" ht="15.75" x14ac:dyDescent="0.25">
      <c r="A5982" s="11"/>
    </row>
    <row r="5983" spans="1:1" ht="15.75" x14ac:dyDescent="0.25">
      <c r="A5983" s="11"/>
    </row>
    <row r="5984" spans="1:1" ht="15.75" x14ac:dyDescent="0.25">
      <c r="A5984" s="11"/>
    </row>
    <row r="5985" spans="1:1" ht="15.75" x14ac:dyDescent="0.25">
      <c r="A5985" s="11"/>
    </row>
    <row r="5986" spans="1:1" ht="15.75" x14ac:dyDescent="0.25">
      <c r="A5986" s="11"/>
    </row>
    <row r="5987" spans="1:1" ht="15.75" x14ac:dyDescent="0.25">
      <c r="A5987" s="11"/>
    </row>
    <row r="5988" spans="1:1" ht="15.75" x14ac:dyDescent="0.25">
      <c r="A5988" s="11"/>
    </row>
    <row r="5989" spans="1:1" ht="15.75" x14ac:dyDescent="0.25">
      <c r="A5989" s="11"/>
    </row>
    <row r="5990" spans="1:1" ht="15.75" x14ac:dyDescent="0.25">
      <c r="A5990" s="11"/>
    </row>
    <row r="5991" spans="1:1" ht="15.75" x14ac:dyDescent="0.25">
      <c r="A5991" s="11"/>
    </row>
    <row r="5992" spans="1:1" ht="15.75" x14ac:dyDescent="0.25">
      <c r="A5992" s="11"/>
    </row>
    <row r="5993" spans="1:1" ht="15.75" x14ac:dyDescent="0.25">
      <c r="A5993" s="11"/>
    </row>
    <row r="5994" spans="1:1" ht="15.75" x14ac:dyDescent="0.25">
      <c r="A5994" s="11"/>
    </row>
    <row r="5995" spans="1:1" ht="15.75" x14ac:dyDescent="0.25">
      <c r="A5995" s="11"/>
    </row>
    <row r="5996" spans="1:1" ht="15.75" x14ac:dyDescent="0.25">
      <c r="A5996" s="11"/>
    </row>
    <row r="5997" spans="1:1" ht="15.75" x14ac:dyDescent="0.25">
      <c r="A5997" s="11"/>
    </row>
    <row r="5998" spans="1:1" ht="15.75" x14ac:dyDescent="0.25">
      <c r="A5998" s="11"/>
    </row>
    <row r="5999" spans="1:1" ht="15.75" x14ac:dyDescent="0.25">
      <c r="A5999" s="11"/>
    </row>
    <row r="6000" spans="1:1" ht="15.75" x14ac:dyDescent="0.25">
      <c r="A6000" s="11"/>
    </row>
    <row r="6001" spans="1:1" ht="15.75" x14ac:dyDescent="0.25">
      <c r="A6001" s="11"/>
    </row>
    <row r="6002" spans="1:1" ht="15.75" x14ac:dyDescent="0.25">
      <c r="A6002" s="11"/>
    </row>
    <row r="6003" spans="1:1" ht="15.75" x14ac:dyDescent="0.25">
      <c r="A6003" s="11"/>
    </row>
    <row r="6004" spans="1:1" ht="15.75" x14ac:dyDescent="0.25">
      <c r="A6004" s="11"/>
    </row>
    <row r="6005" spans="1:1" ht="15.75" x14ac:dyDescent="0.25">
      <c r="A6005" s="11"/>
    </row>
    <row r="6006" spans="1:1" ht="15.75" x14ac:dyDescent="0.25">
      <c r="A6006" s="11"/>
    </row>
    <row r="6007" spans="1:1" ht="15.75" x14ac:dyDescent="0.25">
      <c r="A6007" s="11"/>
    </row>
    <row r="6008" spans="1:1" ht="15.75" x14ac:dyDescent="0.25">
      <c r="A6008" s="11"/>
    </row>
    <row r="6009" spans="1:1" ht="15.75" x14ac:dyDescent="0.25">
      <c r="A6009" s="11"/>
    </row>
    <row r="6010" spans="1:1" ht="15.75" x14ac:dyDescent="0.25">
      <c r="A6010" s="11"/>
    </row>
    <row r="6011" spans="1:1" ht="15.75" x14ac:dyDescent="0.25">
      <c r="A6011" s="11"/>
    </row>
    <row r="6012" spans="1:1" ht="15.75" x14ac:dyDescent="0.25">
      <c r="A6012" s="11"/>
    </row>
    <row r="6013" spans="1:1" ht="15.75" x14ac:dyDescent="0.25">
      <c r="A6013" s="11"/>
    </row>
    <row r="6014" spans="1:1" ht="15.75" x14ac:dyDescent="0.25">
      <c r="A6014" s="11"/>
    </row>
    <row r="6015" spans="1:1" ht="15.75" x14ac:dyDescent="0.25">
      <c r="A6015" s="11"/>
    </row>
    <row r="6016" spans="1:1" ht="15.75" x14ac:dyDescent="0.25">
      <c r="A6016" s="11"/>
    </row>
    <row r="6017" spans="1:1" ht="15.75" x14ac:dyDescent="0.25">
      <c r="A6017" s="11"/>
    </row>
    <row r="6018" spans="1:1" ht="15.75" x14ac:dyDescent="0.25">
      <c r="A6018" s="11"/>
    </row>
    <row r="6019" spans="1:1" ht="15.75" x14ac:dyDescent="0.25">
      <c r="A6019" s="11"/>
    </row>
    <row r="6020" spans="1:1" ht="15.75" x14ac:dyDescent="0.25">
      <c r="A6020" s="11"/>
    </row>
    <row r="6021" spans="1:1" ht="15.75" x14ac:dyDescent="0.25">
      <c r="A6021" s="11"/>
    </row>
    <row r="6022" spans="1:1" ht="15.75" x14ac:dyDescent="0.25">
      <c r="A6022" s="11"/>
    </row>
    <row r="6023" spans="1:1" ht="15.75" x14ac:dyDescent="0.25">
      <c r="A6023" s="11"/>
    </row>
    <row r="6024" spans="1:1" ht="15.75" x14ac:dyDescent="0.25">
      <c r="A6024" s="11"/>
    </row>
    <row r="6025" spans="1:1" ht="15.75" x14ac:dyDescent="0.25">
      <c r="A6025" s="11"/>
    </row>
    <row r="6026" spans="1:1" ht="15.75" x14ac:dyDescent="0.25">
      <c r="A6026" s="11"/>
    </row>
    <row r="6027" spans="1:1" ht="15.75" x14ac:dyDescent="0.25">
      <c r="A6027" s="11"/>
    </row>
    <row r="6028" spans="1:1" ht="15.75" x14ac:dyDescent="0.25">
      <c r="A6028" s="11"/>
    </row>
    <row r="6029" spans="1:1" ht="15.75" x14ac:dyDescent="0.25">
      <c r="A6029" s="11"/>
    </row>
    <row r="6030" spans="1:1" ht="15.75" x14ac:dyDescent="0.25">
      <c r="A6030" s="11"/>
    </row>
    <row r="6031" spans="1:1" ht="15.75" x14ac:dyDescent="0.25">
      <c r="A6031" s="11"/>
    </row>
    <row r="6032" spans="1:1" ht="15.75" x14ac:dyDescent="0.25">
      <c r="A6032" s="11"/>
    </row>
    <row r="6033" spans="1:1" ht="15.75" x14ac:dyDescent="0.25">
      <c r="A6033" s="11"/>
    </row>
    <row r="6034" spans="1:1" ht="15.75" x14ac:dyDescent="0.25">
      <c r="A6034" s="11"/>
    </row>
    <row r="6035" spans="1:1" ht="15.75" x14ac:dyDescent="0.25">
      <c r="A6035" s="11"/>
    </row>
    <row r="6036" spans="1:1" ht="15.75" x14ac:dyDescent="0.25">
      <c r="A6036" s="11"/>
    </row>
    <row r="6037" spans="1:1" ht="15.75" x14ac:dyDescent="0.25">
      <c r="A6037" s="11"/>
    </row>
    <row r="6038" spans="1:1" ht="15.75" x14ac:dyDescent="0.25">
      <c r="A6038" s="11"/>
    </row>
    <row r="6039" spans="1:1" ht="15.75" x14ac:dyDescent="0.25">
      <c r="A6039" s="11"/>
    </row>
    <row r="6040" spans="1:1" ht="15.75" x14ac:dyDescent="0.25">
      <c r="A6040" s="11"/>
    </row>
    <row r="6041" spans="1:1" ht="15.75" x14ac:dyDescent="0.25">
      <c r="A6041" s="11"/>
    </row>
    <row r="6042" spans="1:1" ht="15.75" x14ac:dyDescent="0.25">
      <c r="A6042" s="11"/>
    </row>
    <row r="6043" spans="1:1" ht="15.75" x14ac:dyDescent="0.25">
      <c r="A6043" s="11"/>
    </row>
    <row r="6044" spans="1:1" ht="15.75" x14ac:dyDescent="0.25">
      <c r="A6044" s="11"/>
    </row>
    <row r="6045" spans="1:1" ht="15.75" x14ac:dyDescent="0.25">
      <c r="A6045" s="11"/>
    </row>
    <row r="6046" spans="1:1" ht="15.75" x14ac:dyDescent="0.25">
      <c r="A6046" s="11"/>
    </row>
    <row r="6047" spans="1:1" ht="15.75" x14ac:dyDescent="0.25">
      <c r="A6047" s="11"/>
    </row>
    <row r="6048" spans="1:1" ht="15.75" x14ac:dyDescent="0.25">
      <c r="A6048" s="11"/>
    </row>
    <row r="6049" spans="1:1" ht="15.75" x14ac:dyDescent="0.25">
      <c r="A6049" s="11"/>
    </row>
    <row r="6050" spans="1:1" ht="15.75" x14ac:dyDescent="0.25">
      <c r="A6050" s="11"/>
    </row>
    <row r="6051" spans="1:1" ht="15.75" x14ac:dyDescent="0.25">
      <c r="A6051" s="11"/>
    </row>
    <row r="6052" spans="1:1" ht="15.75" x14ac:dyDescent="0.25">
      <c r="A6052" s="11"/>
    </row>
    <row r="6053" spans="1:1" ht="15.75" x14ac:dyDescent="0.25">
      <c r="A6053" s="11"/>
    </row>
    <row r="6054" spans="1:1" ht="15.75" x14ac:dyDescent="0.25">
      <c r="A6054" s="11"/>
    </row>
    <row r="6055" spans="1:1" ht="15.75" x14ac:dyDescent="0.25">
      <c r="A6055" s="11"/>
    </row>
    <row r="6056" spans="1:1" ht="15.75" x14ac:dyDescent="0.25">
      <c r="A6056" s="11"/>
    </row>
    <row r="6057" spans="1:1" ht="15.75" x14ac:dyDescent="0.25">
      <c r="A6057" s="11"/>
    </row>
    <row r="6058" spans="1:1" ht="15.75" x14ac:dyDescent="0.25">
      <c r="A6058" s="11"/>
    </row>
    <row r="6059" spans="1:1" ht="15.75" x14ac:dyDescent="0.25">
      <c r="A6059" s="11"/>
    </row>
    <row r="6060" spans="1:1" ht="15.75" x14ac:dyDescent="0.25">
      <c r="A6060" s="11"/>
    </row>
    <row r="6061" spans="1:1" ht="15.75" x14ac:dyDescent="0.25">
      <c r="A6061" s="11"/>
    </row>
    <row r="6062" spans="1:1" ht="15.75" x14ac:dyDescent="0.25">
      <c r="A6062" s="11"/>
    </row>
    <row r="6063" spans="1:1" ht="15.75" x14ac:dyDescent="0.25">
      <c r="A6063" s="11"/>
    </row>
    <row r="6064" spans="1:1" ht="15.75" x14ac:dyDescent="0.25">
      <c r="A6064" s="11"/>
    </row>
    <row r="6065" spans="1:1" ht="15.75" x14ac:dyDescent="0.25">
      <c r="A6065" s="11"/>
    </row>
    <row r="6066" spans="1:1" ht="15.75" x14ac:dyDescent="0.25">
      <c r="A6066" s="11"/>
    </row>
    <row r="6067" spans="1:1" ht="15.75" x14ac:dyDescent="0.25">
      <c r="A6067" s="11"/>
    </row>
    <row r="6068" spans="1:1" ht="15.75" x14ac:dyDescent="0.25">
      <c r="A6068" s="11"/>
    </row>
    <row r="6069" spans="1:1" ht="15.75" x14ac:dyDescent="0.25">
      <c r="A6069" s="11"/>
    </row>
    <row r="6070" spans="1:1" ht="15.75" x14ac:dyDescent="0.25">
      <c r="A6070" s="11"/>
    </row>
    <row r="6071" spans="1:1" ht="15.75" x14ac:dyDescent="0.25">
      <c r="A6071" s="11"/>
    </row>
    <row r="6072" spans="1:1" ht="15.75" x14ac:dyDescent="0.25">
      <c r="A6072" s="11"/>
    </row>
    <row r="6073" spans="1:1" ht="15.75" x14ac:dyDescent="0.25">
      <c r="A6073" s="11"/>
    </row>
    <row r="6074" spans="1:1" ht="15.75" x14ac:dyDescent="0.25">
      <c r="A6074" s="11"/>
    </row>
    <row r="6075" spans="1:1" ht="15.75" x14ac:dyDescent="0.25">
      <c r="A6075" s="11"/>
    </row>
    <row r="6076" spans="1:1" ht="15.75" x14ac:dyDescent="0.25">
      <c r="A6076" s="11"/>
    </row>
    <row r="6077" spans="1:1" ht="15.75" x14ac:dyDescent="0.25">
      <c r="A6077" s="11"/>
    </row>
    <row r="6078" spans="1:1" ht="15.75" x14ac:dyDescent="0.25">
      <c r="A6078" s="11"/>
    </row>
    <row r="6079" spans="1:1" ht="15.75" x14ac:dyDescent="0.25">
      <c r="A6079" s="11"/>
    </row>
    <row r="6080" spans="1:1" ht="15.75" x14ac:dyDescent="0.25">
      <c r="A6080" s="11"/>
    </row>
    <row r="6081" spans="1:1" ht="15.75" x14ac:dyDescent="0.25">
      <c r="A6081" s="11"/>
    </row>
    <row r="6082" spans="1:1" ht="15.75" x14ac:dyDescent="0.25">
      <c r="A6082" s="11"/>
    </row>
    <row r="6083" spans="1:1" ht="15.75" x14ac:dyDescent="0.25">
      <c r="A6083" s="11"/>
    </row>
    <row r="6084" spans="1:1" ht="15.75" x14ac:dyDescent="0.25">
      <c r="A6084" s="11"/>
    </row>
    <row r="6085" spans="1:1" ht="15.75" x14ac:dyDescent="0.25">
      <c r="A6085" s="11"/>
    </row>
    <row r="6086" spans="1:1" ht="15.75" x14ac:dyDescent="0.25">
      <c r="A6086" s="11"/>
    </row>
    <row r="6087" spans="1:1" ht="15.75" x14ac:dyDescent="0.25">
      <c r="A6087" s="11"/>
    </row>
    <row r="6088" spans="1:1" ht="15.75" x14ac:dyDescent="0.25">
      <c r="A6088" s="11"/>
    </row>
    <row r="6089" spans="1:1" ht="15.75" x14ac:dyDescent="0.25">
      <c r="A6089" s="11"/>
    </row>
    <row r="6090" spans="1:1" ht="15.75" x14ac:dyDescent="0.25">
      <c r="A6090" s="11"/>
    </row>
    <row r="6091" spans="1:1" ht="15.75" x14ac:dyDescent="0.25">
      <c r="A6091" s="11"/>
    </row>
    <row r="6092" spans="1:1" ht="15.75" x14ac:dyDescent="0.25">
      <c r="A6092" s="11"/>
    </row>
    <row r="6093" spans="1:1" ht="15.75" x14ac:dyDescent="0.25">
      <c r="A6093" s="11"/>
    </row>
    <row r="6094" spans="1:1" ht="15.75" x14ac:dyDescent="0.25">
      <c r="A6094" s="11"/>
    </row>
    <row r="6095" spans="1:1" ht="15.75" x14ac:dyDescent="0.25">
      <c r="A6095" s="11"/>
    </row>
    <row r="6096" spans="1:1" ht="15.75" x14ac:dyDescent="0.25">
      <c r="A6096" s="11"/>
    </row>
    <row r="6097" spans="1:1" ht="15.75" x14ac:dyDescent="0.25">
      <c r="A6097" s="11"/>
    </row>
    <row r="6098" spans="1:1" ht="15.75" x14ac:dyDescent="0.25">
      <c r="A6098" s="11"/>
    </row>
    <row r="6099" spans="1:1" ht="15.75" x14ac:dyDescent="0.25">
      <c r="A6099" s="11"/>
    </row>
    <row r="6100" spans="1:1" ht="15.75" x14ac:dyDescent="0.25">
      <c r="A6100" s="11"/>
    </row>
    <row r="6101" spans="1:1" ht="15.75" x14ac:dyDescent="0.25">
      <c r="A6101" s="11"/>
    </row>
    <row r="6102" spans="1:1" ht="15.75" x14ac:dyDescent="0.25">
      <c r="A6102" s="11"/>
    </row>
    <row r="6103" spans="1:1" ht="15.75" x14ac:dyDescent="0.25">
      <c r="A6103" s="11"/>
    </row>
    <row r="6104" spans="1:1" ht="15.75" x14ac:dyDescent="0.25">
      <c r="A6104" s="11"/>
    </row>
    <row r="6105" spans="1:1" ht="15.75" x14ac:dyDescent="0.25">
      <c r="A6105" s="11"/>
    </row>
    <row r="6106" spans="1:1" ht="15.75" x14ac:dyDescent="0.25">
      <c r="A6106" s="11"/>
    </row>
    <row r="6107" spans="1:1" ht="15.75" x14ac:dyDescent="0.25">
      <c r="A6107" s="11"/>
    </row>
    <row r="6108" spans="1:1" ht="15.75" x14ac:dyDescent="0.25">
      <c r="A6108" s="11"/>
    </row>
    <row r="6109" spans="1:1" ht="15.75" x14ac:dyDescent="0.25">
      <c r="A6109" s="11"/>
    </row>
    <row r="6110" spans="1:1" ht="15.75" x14ac:dyDescent="0.25">
      <c r="A6110" s="11"/>
    </row>
    <row r="6111" spans="1:1" ht="15.75" x14ac:dyDescent="0.25">
      <c r="A6111" s="11"/>
    </row>
    <row r="6112" spans="1:1" ht="15.75" x14ac:dyDescent="0.25">
      <c r="A6112" s="11"/>
    </row>
    <row r="6113" spans="1:1" ht="15.75" x14ac:dyDescent="0.25">
      <c r="A6113" s="11"/>
    </row>
    <row r="6114" spans="1:1" ht="15.75" x14ac:dyDescent="0.25">
      <c r="A6114" s="11"/>
    </row>
    <row r="6115" spans="1:1" ht="15.75" x14ac:dyDescent="0.25">
      <c r="A6115" s="11"/>
    </row>
    <row r="6116" spans="1:1" ht="15.75" x14ac:dyDescent="0.25">
      <c r="A6116" s="11"/>
    </row>
    <row r="6117" spans="1:1" ht="15.75" x14ac:dyDescent="0.25">
      <c r="A6117" s="11"/>
    </row>
    <row r="6118" spans="1:1" ht="15.75" x14ac:dyDescent="0.25">
      <c r="A6118" s="11"/>
    </row>
    <row r="6119" spans="1:1" ht="15.75" x14ac:dyDescent="0.25">
      <c r="A6119" s="11"/>
    </row>
    <row r="6120" spans="1:1" ht="15.75" x14ac:dyDescent="0.25">
      <c r="A6120" s="11"/>
    </row>
    <row r="6121" spans="1:1" ht="15.75" x14ac:dyDescent="0.25">
      <c r="A6121" s="11"/>
    </row>
    <row r="6122" spans="1:1" ht="15.75" x14ac:dyDescent="0.25">
      <c r="A6122" s="11"/>
    </row>
    <row r="6123" spans="1:1" ht="15.75" x14ac:dyDescent="0.25">
      <c r="A6123" s="11"/>
    </row>
    <row r="6124" spans="1:1" ht="15.75" x14ac:dyDescent="0.25">
      <c r="A6124" s="11"/>
    </row>
    <row r="6125" spans="1:1" ht="15.75" x14ac:dyDescent="0.25">
      <c r="A6125" s="11"/>
    </row>
    <row r="6126" spans="1:1" ht="15.75" x14ac:dyDescent="0.25">
      <c r="A6126" s="11"/>
    </row>
    <row r="6127" spans="1:1" ht="15.75" x14ac:dyDescent="0.25">
      <c r="A6127" s="11"/>
    </row>
    <row r="6128" spans="1:1" ht="15.75" x14ac:dyDescent="0.25">
      <c r="A6128" s="11"/>
    </row>
    <row r="6129" spans="1:1" ht="15.75" x14ac:dyDescent="0.25">
      <c r="A6129" s="11"/>
    </row>
    <row r="6130" spans="1:1" ht="15.75" x14ac:dyDescent="0.25">
      <c r="A6130" s="11"/>
    </row>
    <row r="6131" spans="1:1" ht="15.75" x14ac:dyDescent="0.25">
      <c r="A6131" s="11"/>
    </row>
    <row r="6132" spans="1:1" ht="15.75" x14ac:dyDescent="0.25">
      <c r="A6132" s="11"/>
    </row>
    <row r="6133" spans="1:1" ht="15.75" x14ac:dyDescent="0.25">
      <c r="A6133" s="11"/>
    </row>
    <row r="6134" spans="1:1" ht="15.75" x14ac:dyDescent="0.25">
      <c r="A6134" s="11"/>
    </row>
    <row r="6135" spans="1:1" ht="15.75" x14ac:dyDescent="0.25">
      <c r="A6135" s="11"/>
    </row>
    <row r="6136" spans="1:1" ht="15.75" x14ac:dyDescent="0.25">
      <c r="A6136" s="11"/>
    </row>
    <row r="6137" spans="1:1" ht="15.75" x14ac:dyDescent="0.25">
      <c r="A6137" s="11"/>
    </row>
    <row r="6138" spans="1:1" ht="15.75" x14ac:dyDescent="0.25">
      <c r="A6138" s="11"/>
    </row>
    <row r="6139" spans="1:1" ht="15.75" x14ac:dyDescent="0.25">
      <c r="A6139" s="11"/>
    </row>
    <row r="6140" spans="1:1" ht="15.75" x14ac:dyDescent="0.25">
      <c r="A6140" s="11"/>
    </row>
    <row r="6141" spans="1:1" ht="15.75" x14ac:dyDescent="0.25">
      <c r="A6141" s="11"/>
    </row>
    <row r="6142" spans="1:1" ht="15.75" x14ac:dyDescent="0.25">
      <c r="A6142" s="11"/>
    </row>
    <row r="6143" spans="1:1" ht="15.75" x14ac:dyDescent="0.25">
      <c r="A6143" s="11"/>
    </row>
    <row r="6144" spans="1:1" ht="15.75" x14ac:dyDescent="0.25">
      <c r="A6144" s="11"/>
    </row>
    <row r="6145" spans="1:1" ht="15.75" x14ac:dyDescent="0.25">
      <c r="A6145" s="11"/>
    </row>
    <row r="6146" spans="1:1" ht="15.75" x14ac:dyDescent="0.25">
      <c r="A6146" s="11"/>
    </row>
    <row r="6147" spans="1:1" ht="15.75" x14ac:dyDescent="0.25">
      <c r="A6147" s="11"/>
    </row>
    <row r="6148" spans="1:1" ht="15.75" x14ac:dyDescent="0.25">
      <c r="A6148" s="11"/>
    </row>
    <row r="6149" spans="1:1" ht="15.75" x14ac:dyDescent="0.25">
      <c r="A6149" s="11"/>
    </row>
    <row r="6150" spans="1:1" ht="15.75" x14ac:dyDescent="0.25">
      <c r="A6150" s="11"/>
    </row>
    <row r="6151" spans="1:1" ht="15.75" x14ac:dyDescent="0.25">
      <c r="A6151" s="11"/>
    </row>
    <row r="6152" spans="1:1" ht="15.75" x14ac:dyDescent="0.25">
      <c r="A6152" s="11"/>
    </row>
    <row r="6153" spans="1:1" ht="15.75" x14ac:dyDescent="0.25">
      <c r="A6153" s="11"/>
    </row>
    <row r="6154" spans="1:1" ht="15.75" x14ac:dyDescent="0.25">
      <c r="A6154" s="11"/>
    </row>
    <row r="6155" spans="1:1" ht="15.75" x14ac:dyDescent="0.25">
      <c r="A6155" s="11"/>
    </row>
    <row r="6156" spans="1:1" ht="15.75" x14ac:dyDescent="0.25">
      <c r="A6156" s="11"/>
    </row>
    <row r="6157" spans="1:1" ht="15.75" x14ac:dyDescent="0.25">
      <c r="A6157" s="11"/>
    </row>
    <row r="6158" spans="1:1" ht="15.75" x14ac:dyDescent="0.25">
      <c r="A6158" s="11"/>
    </row>
    <row r="6159" spans="1:1" ht="15.75" x14ac:dyDescent="0.25">
      <c r="A6159" s="11"/>
    </row>
    <row r="6160" spans="1:1" ht="15.75" x14ac:dyDescent="0.25">
      <c r="A6160" s="11"/>
    </row>
    <row r="6161" spans="1:1" ht="15.75" x14ac:dyDescent="0.25">
      <c r="A6161" s="11"/>
    </row>
    <row r="6162" spans="1:1" ht="15.75" x14ac:dyDescent="0.25">
      <c r="A6162" s="11"/>
    </row>
    <row r="6163" spans="1:1" ht="15.75" x14ac:dyDescent="0.25">
      <c r="A6163" s="11"/>
    </row>
    <row r="6164" spans="1:1" ht="15.75" x14ac:dyDescent="0.25">
      <c r="A6164" s="11"/>
    </row>
    <row r="6165" spans="1:1" ht="15.75" x14ac:dyDescent="0.25">
      <c r="A6165" s="11"/>
    </row>
    <row r="6166" spans="1:1" ht="15.75" x14ac:dyDescent="0.25">
      <c r="A6166" s="11"/>
    </row>
    <row r="6167" spans="1:1" ht="15.75" x14ac:dyDescent="0.25">
      <c r="A6167" s="11"/>
    </row>
    <row r="6168" spans="1:1" ht="15.75" x14ac:dyDescent="0.25">
      <c r="A6168" s="11"/>
    </row>
    <row r="6169" spans="1:1" ht="15.75" x14ac:dyDescent="0.25">
      <c r="A6169" s="11"/>
    </row>
    <row r="6170" spans="1:1" ht="15.75" x14ac:dyDescent="0.25">
      <c r="A6170" s="11"/>
    </row>
    <row r="6171" spans="1:1" ht="15.75" x14ac:dyDescent="0.25">
      <c r="A6171" s="11"/>
    </row>
    <row r="6172" spans="1:1" ht="15.75" x14ac:dyDescent="0.25">
      <c r="A6172" s="11"/>
    </row>
    <row r="6173" spans="1:1" ht="15.75" x14ac:dyDescent="0.25">
      <c r="A6173" s="11"/>
    </row>
    <row r="6174" spans="1:1" ht="15.75" x14ac:dyDescent="0.25">
      <c r="A6174" s="11"/>
    </row>
    <row r="6175" spans="1:1" ht="15.75" x14ac:dyDescent="0.25">
      <c r="A6175" s="11"/>
    </row>
    <row r="6176" spans="1:1" ht="15.75" x14ac:dyDescent="0.25">
      <c r="A6176" s="11"/>
    </row>
    <row r="6177" spans="1:1" ht="15.75" x14ac:dyDescent="0.25">
      <c r="A6177" s="11"/>
    </row>
    <row r="6178" spans="1:1" ht="15.75" x14ac:dyDescent="0.25">
      <c r="A6178" s="11"/>
    </row>
    <row r="6179" spans="1:1" ht="15.75" x14ac:dyDescent="0.25">
      <c r="A6179" s="11"/>
    </row>
    <row r="6180" spans="1:1" ht="15.75" x14ac:dyDescent="0.25">
      <c r="A6180" s="11"/>
    </row>
    <row r="6181" spans="1:1" ht="15.75" x14ac:dyDescent="0.25">
      <c r="A6181" s="11"/>
    </row>
    <row r="6182" spans="1:1" ht="15.75" x14ac:dyDescent="0.25">
      <c r="A6182" s="11"/>
    </row>
    <row r="6183" spans="1:1" ht="15.75" x14ac:dyDescent="0.25">
      <c r="A6183" s="11"/>
    </row>
    <row r="6184" spans="1:1" ht="15.75" x14ac:dyDescent="0.25">
      <c r="A6184" s="11"/>
    </row>
    <row r="6185" spans="1:1" ht="15.75" x14ac:dyDescent="0.25">
      <c r="A6185" s="11"/>
    </row>
    <row r="6186" spans="1:1" ht="15.75" x14ac:dyDescent="0.25">
      <c r="A6186" s="11"/>
    </row>
    <row r="6187" spans="1:1" ht="15.75" x14ac:dyDescent="0.25">
      <c r="A6187" s="11"/>
    </row>
    <row r="6188" spans="1:1" ht="15.75" x14ac:dyDescent="0.25">
      <c r="A6188" s="11"/>
    </row>
    <row r="6189" spans="1:1" ht="15.75" x14ac:dyDescent="0.25">
      <c r="A6189" s="11"/>
    </row>
    <row r="6190" spans="1:1" ht="15.75" x14ac:dyDescent="0.25">
      <c r="A6190" s="11"/>
    </row>
    <row r="6191" spans="1:1" ht="15.75" x14ac:dyDescent="0.25">
      <c r="A6191" s="11"/>
    </row>
    <row r="6192" spans="1:1" ht="15.75" x14ac:dyDescent="0.25">
      <c r="A6192" s="11"/>
    </row>
    <row r="6193" spans="1:1" ht="15.75" x14ac:dyDescent="0.25">
      <c r="A6193" s="11"/>
    </row>
    <row r="6194" spans="1:1" ht="15.75" x14ac:dyDescent="0.25">
      <c r="A6194" s="11"/>
    </row>
    <row r="6195" spans="1:1" ht="15.75" x14ac:dyDescent="0.25">
      <c r="A6195" s="11"/>
    </row>
    <row r="6196" spans="1:1" ht="15.75" x14ac:dyDescent="0.25">
      <c r="A6196" s="11"/>
    </row>
    <row r="6197" spans="1:1" ht="15.75" x14ac:dyDescent="0.25">
      <c r="A6197" s="11"/>
    </row>
    <row r="6198" spans="1:1" ht="15.75" x14ac:dyDescent="0.25">
      <c r="A6198" s="11"/>
    </row>
    <row r="6199" spans="1:1" ht="15.75" x14ac:dyDescent="0.25">
      <c r="A6199" s="11"/>
    </row>
    <row r="6200" spans="1:1" ht="15.75" x14ac:dyDescent="0.25">
      <c r="A6200" s="11"/>
    </row>
    <row r="6201" spans="1:1" ht="15.75" x14ac:dyDescent="0.25">
      <c r="A6201" s="11"/>
    </row>
    <row r="6202" spans="1:1" ht="15.75" x14ac:dyDescent="0.25">
      <c r="A6202" s="11"/>
    </row>
    <row r="6203" spans="1:1" ht="15.75" x14ac:dyDescent="0.25">
      <c r="A6203" s="11"/>
    </row>
    <row r="6204" spans="1:1" ht="15.75" x14ac:dyDescent="0.25">
      <c r="A6204" s="11"/>
    </row>
    <row r="6205" spans="1:1" ht="15.75" x14ac:dyDescent="0.25">
      <c r="A6205" s="11"/>
    </row>
    <row r="6206" spans="1:1" ht="15.75" x14ac:dyDescent="0.25">
      <c r="A6206" s="11"/>
    </row>
    <row r="6207" spans="1:1" ht="15.75" x14ac:dyDescent="0.25">
      <c r="A6207" s="11"/>
    </row>
    <row r="6208" spans="1:1" ht="15.75" x14ac:dyDescent="0.25">
      <c r="A6208" s="11"/>
    </row>
    <row r="6209" spans="1:1" ht="15.75" x14ac:dyDescent="0.25">
      <c r="A6209" s="11"/>
    </row>
    <row r="6210" spans="1:1" ht="15.75" x14ac:dyDescent="0.25">
      <c r="A6210" s="11"/>
    </row>
    <row r="6211" spans="1:1" ht="15.75" x14ac:dyDescent="0.25">
      <c r="A6211" s="11"/>
    </row>
    <row r="6212" spans="1:1" ht="15.75" x14ac:dyDescent="0.25">
      <c r="A6212" s="11"/>
    </row>
    <row r="6213" spans="1:1" ht="15.75" x14ac:dyDescent="0.25">
      <c r="A6213" s="11"/>
    </row>
    <row r="6214" spans="1:1" ht="15.75" x14ac:dyDescent="0.25">
      <c r="A6214" s="11"/>
    </row>
    <row r="6215" spans="1:1" ht="15.75" x14ac:dyDescent="0.25">
      <c r="A6215" s="11"/>
    </row>
    <row r="6216" spans="1:1" ht="15.75" x14ac:dyDescent="0.25">
      <c r="A6216" s="11"/>
    </row>
    <row r="6217" spans="1:1" ht="15.75" x14ac:dyDescent="0.25">
      <c r="A6217" s="11"/>
    </row>
    <row r="6218" spans="1:1" ht="15.75" x14ac:dyDescent="0.25">
      <c r="A6218" s="11"/>
    </row>
    <row r="6219" spans="1:1" ht="15.75" x14ac:dyDescent="0.25">
      <c r="A6219" s="11"/>
    </row>
    <row r="6220" spans="1:1" ht="15.75" x14ac:dyDescent="0.25">
      <c r="A6220" s="11"/>
    </row>
    <row r="6221" spans="1:1" ht="15.75" x14ac:dyDescent="0.25">
      <c r="A6221" s="11"/>
    </row>
    <row r="6222" spans="1:1" ht="15.75" x14ac:dyDescent="0.25">
      <c r="A6222" s="11"/>
    </row>
    <row r="6223" spans="1:1" ht="15.75" x14ac:dyDescent="0.25">
      <c r="A6223" s="11"/>
    </row>
    <row r="6224" spans="1:1" ht="15.75" x14ac:dyDescent="0.25">
      <c r="A6224" s="11"/>
    </row>
    <row r="6225" spans="1:1" ht="15.75" x14ac:dyDescent="0.25">
      <c r="A6225" s="11"/>
    </row>
    <row r="6226" spans="1:1" ht="15.75" x14ac:dyDescent="0.25">
      <c r="A6226" s="11"/>
    </row>
    <row r="6227" spans="1:1" ht="15.75" x14ac:dyDescent="0.25">
      <c r="A6227" s="11"/>
    </row>
    <row r="6228" spans="1:1" ht="15.75" x14ac:dyDescent="0.25">
      <c r="A6228" s="11"/>
    </row>
    <row r="6229" spans="1:1" ht="15.75" x14ac:dyDescent="0.25">
      <c r="A6229" s="11"/>
    </row>
    <row r="6230" spans="1:1" ht="15.75" x14ac:dyDescent="0.25">
      <c r="A6230" s="11"/>
    </row>
    <row r="6231" spans="1:1" ht="15.75" x14ac:dyDescent="0.25">
      <c r="A6231" s="11"/>
    </row>
    <row r="6232" spans="1:1" ht="15.75" x14ac:dyDescent="0.25">
      <c r="A6232" s="11"/>
    </row>
    <row r="6233" spans="1:1" ht="15.75" x14ac:dyDescent="0.25">
      <c r="A6233" s="11"/>
    </row>
    <row r="6234" spans="1:1" ht="15.75" x14ac:dyDescent="0.25">
      <c r="A6234" s="11"/>
    </row>
    <row r="6235" spans="1:1" ht="15.75" x14ac:dyDescent="0.25">
      <c r="A6235" s="11"/>
    </row>
    <row r="6236" spans="1:1" ht="15.75" x14ac:dyDescent="0.25">
      <c r="A6236" s="11"/>
    </row>
    <row r="6237" spans="1:1" ht="15.75" x14ac:dyDescent="0.25">
      <c r="A6237" s="11"/>
    </row>
    <row r="6238" spans="1:1" ht="15.75" x14ac:dyDescent="0.25">
      <c r="A6238" s="11"/>
    </row>
    <row r="6239" spans="1:1" ht="15.75" x14ac:dyDescent="0.25">
      <c r="A6239" s="11"/>
    </row>
    <row r="6240" spans="1:1" ht="15.75" x14ac:dyDescent="0.25">
      <c r="A6240" s="11"/>
    </row>
    <row r="6241" spans="1:1" ht="15.75" x14ac:dyDescent="0.25">
      <c r="A6241" s="11"/>
    </row>
    <row r="6242" spans="1:1" ht="15.75" x14ac:dyDescent="0.25">
      <c r="A6242" s="11"/>
    </row>
    <row r="6243" spans="1:1" ht="15.75" x14ac:dyDescent="0.25">
      <c r="A6243" s="11"/>
    </row>
    <row r="6244" spans="1:1" ht="15.75" x14ac:dyDescent="0.25">
      <c r="A6244" s="11"/>
    </row>
    <row r="6245" spans="1:1" ht="15.75" x14ac:dyDescent="0.25">
      <c r="A6245" s="11"/>
    </row>
    <row r="6246" spans="1:1" ht="15.75" x14ac:dyDescent="0.25">
      <c r="A6246" s="11"/>
    </row>
    <row r="6247" spans="1:1" ht="15.75" x14ac:dyDescent="0.25">
      <c r="A6247" s="11"/>
    </row>
    <row r="6248" spans="1:1" ht="15.75" x14ac:dyDescent="0.25">
      <c r="A6248" s="11"/>
    </row>
    <row r="6249" spans="1:1" ht="15.75" x14ac:dyDescent="0.25">
      <c r="A6249" s="11"/>
    </row>
    <row r="6250" spans="1:1" ht="15.75" x14ac:dyDescent="0.25">
      <c r="A6250" s="11"/>
    </row>
    <row r="6251" spans="1:1" ht="15.75" x14ac:dyDescent="0.25">
      <c r="A6251" s="11"/>
    </row>
    <row r="6252" spans="1:1" ht="15.75" x14ac:dyDescent="0.25">
      <c r="A6252" s="11"/>
    </row>
    <row r="6253" spans="1:1" ht="15.75" x14ac:dyDescent="0.25">
      <c r="A6253" s="11"/>
    </row>
    <row r="6254" spans="1:1" ht="15.75" x14ac:dyDescent="0.25">
      <c r="A6254" s="11"/>
    </row>
    <row r="6255" spans="1:1" ht="15.75" x14ac:dyDescent="0.25">
      <c r="A6255" s="11"/>
    </row>
    <row r="6256" spans="1:1" ht="15.75" x14ac:dyDescent="0.25">
      <c r="A6256" s="11"/>
    </row>
    <row r="6257" spans="1:1" ht="15.75" x14ac:dyDescent="0.25">
      <c r="A6257" s="11"/>
    </row>
    <row r="6258" spans="1:1" ht="15.75" x14ac:dyDescent="0.25">
      <c r="A6258" s="11"/>
    </row>
    <row r="6259" spans="1:1" ht="15.75" x14ac:dyDescent="0.25">
      <c r="A6259" s="11"/>
    </row>
    <row r="6260" spans="1:1" ht="15.75" x14ac:dyDescent="0.25">
      <c r="A6260" s="11"/>
    </row>
    <row r="6261" spans="1:1" ht="15.75" x14ac:dyDescent="0.25">
      <c r="A6261" s="11"/>
    </row>
    <row r="6262" spans="1:1" ht="15.75" x14ac:dyDescent="0.25">
      <c r="A6262" s="11"/>
    </row>
    <row r="6263" spans="1:1" ht="15.75" x14ac:dyDescent="0.25">
      <c r="A6263" s="11"/>
    </row>
    <row r="6264" spans="1:1" ht="15.75" x14ac:dyDescent="0.25">
      <c r="A6264" s="11"/>
    </row>
    <row r="6265" spans="1:1" ht="15.75" x14ac:dyDescent="0.25">
      <c r="A6265" s="11"/>
    </row>
    <row r="6266" spans="1:1" ht="15.75" x14ac:dyDescent="0.25">
      <c r="A6266" s="11"/>
    </row>
    <row r="6267" spans="1:1" ht="15.75" x14ac:dyDescent="0.25">
      <c r="A6267" s="11"/>
    </row>
    <row r="6268" spans="1:1" ht="15.75" x14ac:dyDescent="0.25">
      <c r="A6268" s="11"/>
    </row>
    <row r="6269" spans="1:1" ht="15.75" x14ac:dyDescent="0.25">
      <c r="A6269" s="11"/>
    </row>
    <row r="6270" spans="1:1" ht="15.75" x14ac:dyDescent="0.25">
      <c r="A6270" s="11"/>
    </row>
    <row r="6271" spans="1:1" ht="15.75" x14ac:dyDescent="0.25">
      <c r="A6271" s="11"/>
    </row>
    <row r="6272" spans="1:1" ht="15.75" x14ac:dyDescent="0.25">
      <c r="A6272" s="11"/>
    </row>
    <row r="6273" spans="1:1" ht="15.75" x14ac:dyDescent="0.25">
      <c r="A6273" s="11"/>
    </row>
    <row r="6274" spans="1:1" ht="15.75" x14ac:dyDescent="0.25">
      <c r="A6274" s="11"/>
    </row>
    <row r="6275" spans="1:1" ht="15.75" x14ac:dyDescent="0.25">
      <c r="A6275" s="11"/>
    </row>
    <row r="6276" spans="1:1" ht="15.75" x14ac:dyDescent="0.25">
      <c r="A6276" s="11"/>
    </row>
    <row r="6277" spans="1:1" ht="15.75" x14ac:dyDescent="0.25">
      <c r="A6277" s="11"/>
    </row>
    <row r="6278" spans="1:1" ht="15.75" x14ac:dyDescent="0.25">
      <c r="A6278" s="11"/>
    </row>
    <row r="6279" spans="1:1" ht="15.75" x14ac:dyDescent="0.25">
      <c r="A6279" s="11"/>
    </row>
    <row r="6280" spans="1:1" ht="15.75" x14ac:dyDescent="0.25">
      <c r="A6280" s="11"/>
    </row>
    <row r="6281" spans="1:1" ht="15.75" x14ac:dyDescent="0.25">
      <c r="A6281" s="11"/>
    </row>
    <row r="6282" spans="1:1" ht="15.75" x14ac:dyDescent="0.25">
      <c r="A6282" s="11"/>
    </row>
    <row r="6283" spans="1:1" ht="15.75" x14ac:dyDescent="0.25">
      <c r="A6283" s="11"/>
    </row>
    <row r="6284" spans="1:1" ht="15.75" x14ac:dyDescent="0.25">
      <c r="A6284" s="11"/>
    </row>
    <row r="6285" spans="1:1" ht="15.75" x14ac:dyDescent="0.25">
      <c r="A6285" s="11"/>
    </row>
    <row r="6286" spans="1:1" ht="15.75" x14ac:dyDescent="0.25">
      <c r="A6286" s="11"/>
    </row>
    <row r="6287" spans="1:1" ht="15.75" x14ac:dyDescent="0.25">
      <c r="A6287" s="11"/>
    </row>
    <row r="6288" spans="1:1" ht="15.75" x14ac:dyDescent="0.25">
      <c r="A6288" s="11"/>
    </row>
    <row r="6289" spans="1:1" ht="15.75" x14ac:dyDescent="0.25">
      <c r="A6289" s="11"/>
    </row>
    <row r="6290" spans="1:1" ht="15.75" x14ac:dyDescent="0.25">
      <c r="A6290" s="11"/>
    </row>
    <row r="6291" spans="1:1" ht="15.75" x14ac:dyDescent="0.25">
      <c r="A6291" s="11"/>
    </row>
    <row r="6292" spans="1:1" ht="15.75" x14ac:dyDescent="0.25">
      <c r="A6292" s="11"/>
    </row>
    <row r="6293" spans="1:1" ht="15.75" x14ac:dyDescent="0.25">
      <c r="A6293" s="11"/>
    </row>
    <row r="6294" spans="1:1" ht="15.75" x14ac:dyDescent="0.25">
      <c r="A6294" s="11"/>
    </row>
    <row r="6295" spans="1:1" ht="15.75" x14ac:dyDescent="0.25">
      <c r="A6295" s="11"/>
    </row>
    <row r="6296" spans="1:1" ht="15.75" x14ac:dyDescent="0.25">
      <c r="A6296" s="11"/>
    </row>
    <row r="6297" spans="1:1" ht="15.75" x14ac:dyDescent="0.25">
      <c r="A6297" s="11"/>
    </row>
    <row r="6298" spans="1:1" ht="15.75" x14ac:dyDescent="0.25">
      <c r="A6298" s="11"/>
    </row>
    <row r="6299" spans="1:1" ht="15.75" x14ac:dyDescent="0.25">
      <c r="A6299" s="11"/>
    </row>
    <row r="6300" spans="1:1" ht="15.75" x14ac:dyDescent="0.25">
      <c r="A6300" s="11"/>
    </row>
    <row r="6301" spans="1:1" ht="15.75" x14ac:dyDescent="0.25">
      <c r="A6301" s="11"/>
    </row>
    <row r="6302" spans="1:1" ht="15.75" x14ac:dyDescent="0.25">
      <c r="A6302" s="11"/>
    </row>
    <row r="6303" spans="1:1" ht="15.75" x14ac:dyDescent="0.25">
      <c r="A6303" s="11"/>
    </row>
    <row r="6304" spans="1:1" ht="15.75" x14ac:dyDescent="0.25">
      <c r="A6304" s="11"/>
    </row>
    <row r="6305" spans="1:1" ht="15.75" x14ac:dyDescent="0.25">
      <c r="A6305" s="11"/>
    </row>
    <row r="6306" spans="1:1" ht="15.75" x14ac:dyDescent="0.25">
      <c r="A6306" s="11"/>
    </row>
    <row r="6307" spans="1:1" ht="15.75" x14ac:dyDescent="0.25">
      <c r="A6307" s="11"/>
    </row>
    <row r="6308" spans="1:1" ht="15.75" x14ac:dyDescent="0.25">
      <c r="A6308" s="11"/>
    </row>
    <row r="6309" spans="1:1" ht="15.75" x14ac:dyDescent="0.25">
      <c r="A6309" s="11"/>
    </row>
    <row r="6310" spans="1:1" ht="15.75" x14ac:dyDescent="0.25">
      <c r="A6310" s="11"/>
    </row>
    <row r="6311" spans="1:1" ht="15.75" x14ac:dyDescent="0.25">
      <c r="A6311" s="11"/>
    </row>
    <row r="6312" spans="1:1" ht="15.75" x14ac:dyDescent="0.25">
      <c r="A6312" s="11"/>
    </row>
    <row r="6313" spans="1:1" ht="15.75" x14ac:dyDescent="0.25">
      <c r="A6313" s="11"/>
    </row>
    <row r="6314" spans="1:1" ht="15.75" x14ac:dyDescent="0.25">
      <c r="A6314" s="11"/>
    </row>
    <row r="6315" spans="1:1" ht="15.75" x14ac:dyDescent="0.25">
      <c r="A6315" s="11"/>
    </row>
    <row r="6316" spans="1:1" ht="15.75" x14ac:dyDescent="0.25">
      <c r="A6316" s="11"/>
    </row>
    <row r="6317" spans="1:1" ht="15.75" x14ac:dyDescent="0.25">
      <c r="A6317" s="11"/>
    </row>
    <row r="6318" spans="1:1" ht="15.75" x14ac:dyDescent="0.25">
      <c r="A6318" s="11"/>
    </row>
    <row r="6319" spans="1:1" ht="15.75" x14ac:dyDescent="0.25">
      <c r="A6319" s="11"/>
    </row>
    <row r="6320" spans="1:1" ht="15.75" x14ac:dyDescent="0.25">
      <c r="A6320" s="11"/>
    </row>
    <row r="6321" spans="1:1" ht="15.75" x14ac:dyDescent="0.25">
      <c r="A6321" s="11"/>
    </row>
    <row r="6322" spans="1:1" ht="15.75" x14ac:dyDescent="0.25">
      <c r="A6322" s="11"/>
    </row>
    <row r="6323" spans="1:1" ht="15.75" x14ac:dyDescent="0.25">
      <c r="A6323" s="11"/>
    </row>
    <row r="6324" spans="1:1" ht="15.75" x14ac:dyDescent="0.25">
      <c r="A6324" s="11"/>
    </row>
    <row r="6325" spans="1:1" ht="15.75" x14ac:dyDescent="0.25">
      <c r="A6325" s="11"/>
    </row>
    <row r="6326" spans="1:1" ht="15.75" x14ac:dyDescent="0.25">
      <c r="A6326" s="11"/>
    </row>
    <row r="6327" spans="1:1" ht="15.75" x14ac:dyDescent="0.25">
      <c r="A6327" s="11"/>
    </row>
    <row r="6328" spans="1:1" ht="15.75" x14ac:dyDescent="0.25">
      <c r="A6328" s="11"/>
    </row>
    <row r="6329" spans="1:1" ht="15.75" x14ac:dyDescent="0.25">
      <c r="A6329" s="11"/>
    </row>
    <row r="6330" spans="1:1" ht="15.75" x14ac:dyDescent="0.25">
      <c r="A6330" s="11"/>
    </row>
    <row r="6331" spans="1:1" ht="15.75" x14ac:dyDescent="0.25">
      <c r="A6331" s="11"/>
    </row>
    <row r="6332" spans="1:1" ht="15.75" x14ac:dyDescent="0.25">
      <c r="A6332" s="11"/>
    </row>
    <row r="6333" spans="1:1" ht="15.75" x14ac:dyDescent="0.25">
      <c r="A6333" s="11"/>
    </row>
    <row r="6334" spans="1:1" ht="15.75" x14ac:dyDescent="0.25">
      <c r="A6334" s="11"/>
    </row>
    <row r="6335" spans="1:1" ht="15.75" x14ac:dyDescent="0.25">
      <c r="A6335" s="11"/>
    </row>
    <row r="6336" spans="1:1" ht="15.75" x14ac:dyDescent="0.25">
      <c r="A6336" s="11"/>
    </row>
    <row r="6337" spans="1:1" ht="15.75" x14ac:dyDescent="0.25">
      <c r="A6337" s="11"/>
    </row>
    <row r="6338" spans="1:1" ht="15.75" x14ac:dyDescent="0.25">
      <c r="A6338" s="11"/>
    </row>
    <row r="6339" spans="1:1" ht="15.75" x14ac:dyDescent="0.25">
      <c r="A6339" s="11"/>
    </row>
    <row r="6340" spans="1:1" ht="15.75" x14ac:dyDescent="0.25">
      <c r="A6340" s="11"/>
    </row>
    <row r="6341" spans="1:1" ht="15.75" x14ac:dyDescent="0.25">
      <c r="A6341" s="11"/>
    </row>
    <row r="6342" spans="1:1" ht="15.75" x14ac:dyDescent="0.25">
      <c r="A6342" s="11"/>
    </row>
    <row r="6343" spans="1:1" ht="15.75" x14ac:dyDescent="0.25">
      <c r="A6343" s="11"/>
    </row>
    <row r="6344" spans="1:1" ht="15.75" x14ac:dyDescent="0.25">
      <c r="A6344" s="11"/>
    </row>
    <row r="6345" spans="1:1" ht="15.75" x14ac:dyDescent="0.25">
      <c r="A6345" s="11"/>
    </row>
    <row r="6346" spans="1:1" ht="15.75" x14ac:dyDescent="0.25">
      <c r="A6346" s="11"/>
    </row>
    <row r="6347" spans="1:1" ht="15.75" x14ac:dyDescent="0.25">
      <c r="A6347" s="11"/>
    </row>
    <row r="6348" spans="1:1" ht="15.75" x14ac:dyDescent="0.25">
      <c r="A6348" s="11"/>
    </row>
    <row r="6349" spans="1:1" ht="15.75" x14ac:dyDescent="0.25">
      <c r="A6349" s="11"/>
    </row>
    <row r="6350" spans="1:1" ht="15.75" x14ac:dyDescent="0.25">
      <c r="A6350" s="11"/>
    </row>
    <row r="6351" spans="1:1" ht="15.75" x14ac:dyDescent="0.25">
      <c r="A6351" s="11"/>
    </row>
    <row r="6352" spans="1:1" ht="15.75" x14ac:dyDescent="0.25">
      <c r="A6352" s="11"/>
    </row>
    <row r="6353" spans="1:1" ht="15.75" x14ac:dyDescent="0.25">
      <c r="A6353" s="11"/>
    </row>
    <row r="6354" spans="1:1" ht="15.75" x14ac:dyDescent="0.25">
      <c r="A6354" s="11"/>
    </row>
    <row r="6355" spans="1:1" ht="15.75" x14ac:dyDescent="0.25">
      <c r="A6355" s="11"/>
    </row>
    <row r="6356" spans="1:1" ht="15.75" x14ac:dyDescent="0.25">
      <c r="A6356" s="11"/>
    </row>
    <row r="6357" spans="1:1" ht="15.75" x14ac:dyDescent="0.25">
      <c r="A6357" s="11"/>
    </row>
    <row r="6358" spans="1:1" ht="15.75" x14ac:dyDescent="0.25">
      <c r="A6358" s="11"/>
    </row>
    <row r="6359" spans="1:1" ht="15.75" x14ac:dyDescent="0.25">
      <c r="A6359" s="11"/>
    </row>
    <row r="6360" spans="1:1" ht="15.75" x14ac:dyDescent="0.25">
      <c r="A6360" s="11"/>
    </row>
    <row r="6361" spans="1:1" ht="15.75" x14ac:dyDescent="0.25">
      <c r="A6361" s="11"/>
    </row>
    <row r="6362" spans="1:1" ht="15.75" x14ac:dyDescent="0.25">
      <c r="A6362" s="11"/>
    </row>
    <row r="6363" spans="1:1" ht="15.75" x14ac:dyDescent="0.25">
      <c r="A6363" s="11"/>
    </row>
    <row r="6364" spans="1:1" ht="15.75" x14ac:dyDescent="0.25">
      <c r="A6364" s="11"/>
    </row>
    <row r="6365" spans="1:1" ht="15.75" x14ac:dyDescent="0.25">
      <c r="A6365" s="11"/>
    </row>
    <row r="6366" spans="1:1" ht="15.75" x14ac:dyDescent="0.25">
      <c r="A6366" s="11"/>
    </row>
    <row r="6367" spans="1:1" ht="15.75" x14ac:dyDescent="0.25">
      <c r="A6367" s="11"/>
    </row>
    <row r="6368" spans="1:1" ht="15.75" x14ac:dyDescent="0.25">
      <c r="A6368" s="11"/>
    </row>
    <row r="6369" spans="1:1" ht="15.75" x14ac:dyDescent="0.25">
      <c r="A6369" s="11"/>
    </row>
    <row r="6370" spans="1:1" ht="15.75" x14ac:dyDescent="0.25">
      <c r="A6370" s="11"/>
    </row>
    <row r="6371" spans="1:1" ht="15.75" x14ac:dyDescent="0.25">
      <c r="A6371" s="11"/>
    </row>
    <row r="6372" spans="1:1" ht="15.75" x14ac:dyDescent="0.25">
      <c r="A6372" s="11"/>
    </row>
    <row r="6373" spans="1:1" ht="15.75" x14ac:dyDescent="0.25">
      <c r="A6373" s="11"/>
    </row>
    <row r="6374" spans="1:1" ht="15.75" x14ac:dyDescent="0.25">
      <c r="A6374" s="11"/>
    </row>
    <row r="6375" spans="1:1" ht="15.75" x14ac:dyDescent="0.25">
      <c r="A6375" s="11"/>
    </row>
    <row r="6376" spans="1:1" ht="15.75" x14ac:dyDescent="0.25">
      <c r="A6376" s="11"/>
    </row>
    <row r="6377" spans="1:1" ht="15.75" x14ac:dyDescent="0.25">
      <c r="A6377" s="11"/>
    </row>
    <row r="6378" spans="1:1" ht="15.75" x14ac:dyDescent="0.25">
      <c r="A6378" s="11"/>
    </row>
    <row r="6379" spans="1:1" ht="15.75" x14ac:dyDescent="0.25">
      <c r="A6379" s="11"/>
    </row>
    <row r="6380" spans="1:1" ht="15.75" x14ac:dyDescent="0.25">
      <c r="A6380" s="11"/>
    </row>
    <row r="6381" spans="1:1" ht="15.75" x14ac:dyDescent="0.25">
      <c r="A6381" s="11"/>
    </row>
    <row r="6382" spans="1:1" ht="15.75" x14ac:dyDescent="0.25">
      <c r="A6382" s="11"/>
    </row>
    <row r="6383" spans="1:1" ht="15.75" x14ac:dyDescent="0.25">
      <c r="A6383" s="11"/>
    </row>
    <row r="6384" spans="1:1" ht="15.75" x14ac:dyDescent="0.25">
      <c r="A6384" s="11"/>
    </row>
    <row r="6385" spans="1:1" ht="15.75" x14ac:dyDescent="0.25">
      <c r="A6385" s="11"/>
    </row>
    <row r="6386" spans="1:1" ht="15.75" x14ac:dyDescent="0.25">
      <c r="A6386" s="11"/>
    </row>
    <row r="6387" spans="1:1" ht="15.75" x14ac:dyDescent="0.25">
      <c r="A6387" s="11"/>
    </row>
    <row r="6388" spans="1:1" ht="15.75" x14ac:dyDescent="0.25">
      <c r="A6388" s="11"/>
    </row>
    <row r="6389" spans="1:1" ht="15.75" x14ac:dyDescent="0.25">
      <c r="A6389" s="11"/>
    </row>
    <row r="6390" spans="1:1" ht="15.75" x14ac:dyDescent="0.25">
      <c r="A6390" s="11"/>
    </row>
    <row r="6391" spans="1:1" ht="15.75" x14ac:dyDescent="0.25">
      <c r="A6391" s="11"/>
    </row>
    <row r="6392" spans="1:1" ht="15.75" x14ac:dyDescent="0.25">
      <c r="A6392" s="11"/>
    </row>
    <row r="6393" spans="1:1" ht="15.75" x14ac:dyDescent="0.25">
      <c r="A6393" s="11"/>
    </row>
    <row r="6394" spans="1:1" ht="15.75" x14ac:dyDescent="0.25">
      <c r="A6394" s="11"/>
    </row>
    <row r="6395" spans="1:1" ht="15.75" x14ac:dyDescent="0.25">
      <c r="A6395" s="11"/>
    </row>
    <row r="6396" spans="1:1" ht="15.75" x14ac:dyDescent="0.25">
      <c r="A6396" s="11"/>
    </row>
    <row r="6397" spans="1:1" ht="15.75" x14ac:dyDescent="0.25">
      <c r="A6397" s="11"/>
    </row>
    <row r="6398" spans="1:1" ht="15.75" x14ac:dyDescent="0.25">
      <c r="A6398" s="11"/>
    </row>
    <row r="6399" spans="1:1" ht="15.75" x14ac:dyDescent="0.25">
      <c r="A6399" s="11"/>
    </row>
    <row r="6400" spans="1:1" ht="15.75" x14ac:dyDescent="0.25">
      <c r="A6400" s="11"/>
    </row>
    <row r="6401" spans="1:1" ht="15.75" x14ac:dyDescent="0.25">
      <c r="A6401" s="11"/>
    </row>
    <row r="6402" spans="1:1" ht="15.75" x14ac:dyDescent="0.25">
      <c r="A6402" s="11"/>
    </row>
    <row r="6403" spans="1:1" ht="15.75" x14ac:dyDescent="0.25">
      <c r="A6403" s="11"/>
    </row>
    <row r="6404" spans="1:1" ht="15.75" x14ac:dyDescent="0.25">
      <c r="A6404" s="11"/>
    </row>
    <row r="6405" spans="1:1" ht="15.75" x14ac:dyDescent="0.25">
      <c r="A6405" s="11"/>
    </row>
    <row r="6406" spans="1:1" ht="15.75" x14ac:dyDescent="0.25">
      <c r="A6406" s="11"/>
    </row>
    <row r="6407" spans="1:1" ht="15.75" x14ac:dyDescent="0.25">
      <c r="A6407" s="11"/>
    </row>
    <row r="6408" spans="1:1" ht="15.75" x14ac:dyDescent="0.25">
      <c r="A6408" s="11"/>
    </row>
    <row r="6409" spans="1:1" ht="15.75" x14ac:dyDescent="0.25">
      <c r="A6409" s="11"/>
    </row>
    <row r="6410" spans="1:1" ht="15.75" x14ac:dyDescent="0.25">
      <c r="A6410" s="11"/>
    </row>
    <row r="6411" spans="1:1" ht="15.75" x14ac:dyDescent="0.25">
      <c r="A6411" s="11"/>
    </row>
    <row r="6412" spans="1:1" ht="15.75" x14ac:dyDescent="0.25">
      <c r="A6412" s="11"/>
    </row>
    <row r="6413" spans="1:1" ht="15.75" x14ac:dyDescent="0.25">
      <c r="A6413" s="11"/>
    </row>
    <row r="6414" spans="1:1" ht="15.75" x14ac:dyDescent="0.25">
      <c r="A6414" s="11"/>
    </row>
    <row r="6415" spans="1:1" ht="15.75" x14ac:dyDescent="0.25">
      <c r="A6415" s="11"/>
    </row>
    <row r="6416" spans="1:1" ht="15.75" x14ac:dyDescent="0.25">
      <c r="A6416" s="11"/>
    </row>
    <row r="6417" spans="1:1" ht="15.75" x14ac:dyDescent="0.25">
      <c r="A6417" s="11"/>
    </row>
    <row r="6418" spans="1:1" ht="15.75" x14ac:dyDescent="0.25">
      <c r="A6418" s="11"/>
    </row>
    <row r="6419" spans="1:1" ht="15.75" x14ac:dyDescent="0.25">
      <c r="A6419" s="11"/>
    </row>
    <row r="6420" spans="1:1" ht="15.75" x14ac:dyDescent="0.25">
      <c r="A6420" s="11"/>
    </row>
    <row r="6421" spans="1:1" ht="15.75" x14ac:dyDescent="0.25">
      <c r="A6421" s="11"/>
    </row>
    <row r="6422" spans="1:1" ht="15.75" x14ac:dyDescent="0.25">
      <c r="A6422" s="11"/>
    </row>
    <row r="6423" spans="1:1" ht="15.75" x14ac:dyDescent="0.25">
      <c r="A6423" s="11"/>
    </row>
    <row r="6424" spans="1:1" ht="15.75" x14ac:dyDescent="0.25">
      <c r="A6424" s="11"/>
    </row>
    <row r="6425" spans="1:1" ht="15.75" x14ac:dyDescent="0.25">
      <c r="A6425" s="11"/>
    </row>
    <row r="6426" spans="1:1" ht="15.75" x14ac:dyDescent="0.25">
      <c r="A6426" s="11"/>
    </row>
    <row r="6427" spans="1:1" ht="15.75" x14ac:dyDescent="0.25">
      <c r="A6427" s="11"/>
    </row>
    <row r="6428" spans="1:1" ht="15.75" x14ac:dyDescent="0.25">
      <c r="A6428" s="11"/>
    </row>
    <row r="6429" spans="1:1" ht="15.75" x14ac:dyDescent="0.25">
      <c r="A6429" s="11"/>
    </row>
    <row r="6430" spans="1:1" ht="15.75" x14ac:dyDescent="0.25">
      <c r="A6430" s="11"/>
    </row>
    <row r="6431" spans="1:1" ht="15.75" x14ac:dyDescent="0.25">
      <c r="A6431" s="11"/>
    </row>
    <row r="6432" spans="1:1" ht="15.75" x14ac:dyDescent="0.25">
      <c r="A6432" s="11"/>
    </row>
    <row r="6433" spans="1:1" ht="15.75" x14ac:dyDescent="0.25">
      <c r="A6433" s="11"/>
    </row>
    <row r="6434" spans="1:1" ht="15.75" x14ac:dyDescent="0.25">
      <c r="A6434" s="11"/>
    </row>
    <row r="6435" spans="1:1" ht="15.75" x14ac:dyDescent="0.25">
      <c r="A6435" s="11"/>
    </row>
    <row r="6436" spans="1:1" ht="15.75" x14ac:dyDescent="0.25">
      <c r="A6436" s="11"/>
    </row>
    <row r="6437" spans="1:1" ht="15.75" x14ac:dyDescent="0.25">
      <c r="A6437" s="11"/>
    </row>
    <row r="6438" spans="1:1" ht="15.75" x14ac:dyDescent="0.25">
      <c r="A6438" s="11"/>
    </row>
    <row r="6439" spans="1:1" ht="15.75" x14ac:dyDescent="0.25">
      <c r="A6439" s="11"/>
    </row>
    <row r="6440" spans="1:1" ht="15.75" x14ac:dyDescent="0.25">
      <c r="A6440" s="11"/>
    </row>
    <row r="6441" spans="1:1" ht="15.75" x14ac:dyDescent="0.25">
      <c r="A6441" s="11"/>
    </row>
    <row r="6442" spans="1:1" ht="15.75" x14ac:dyDescent="0.25">
      <c r="A6442" s="11"/>
    </row>
    <row r="6443" spans="1:1" ht="15.75" x14ac:dyDescent="0.25">
      <c r="A6443" s="11"/>
    </row>
    <row r="6444" spans="1:1" ht="15.75" x14ac:dyDescent="0.25">
      <c r="A6444" s="11"/>
    </row>
    <row r="6445" spans="1:1" ht="15.75" x14ac:dyDescent="0.25">
      <c r="A6445" s="11"/>
    </row>
    <row r="6446" spans="1:1" ht="15.75" x14ac:dyDescent="0.25">
      <c r="A6446" s="11"/>
    </row>
    <row r="6447" spans="1:1" ht="15.75" x14ac:dyDescent="0.25">
      <c r="A6447" s="11"/>
    </row>
    <row r="6448" spans="1:1" ht="15.75" x14ac:dyDescent="0.25">
      <c r="A6448" s="11"/>
    </row>
    <row r="6449" spans="1:1" ht="15.75" x14ac:dyDescent="0.25">
      <c r="A6449" s="11"/>
    </row>
    <row r="6450" spans="1:1" ht="15.75" x14ac:dyDescent="0.25">
      <c r="A6450" s="11"/>
    </row>
    <row r="6451" spans="1:1" ht="15.75" x14ac:dyDescent="0.25">
      <c r="A6451" s="11"/>
    </row>
    <row r="6452" spans="1:1" ht="15.75" x14ac:dyDescent="0.25">
      <c r="A6452" s="11"/>
    </row>
    <row r="6453" spans="1:1" ht="15.75" x14ac:dyDescent="0.25">
      <c r="A6453" s="11"/>
    </row>
    <row r="6454" spans="1:1" ht="15.75" x14ac:dyDescent="0.25">
      <c r="A6454" s="11"/>
    </row>
    <row r="6455" spans="1:1" ht="15.75" x14ac:dyDescent="0.25">
      <c r="A6455" s="11"/>
    </row>
    <row r="6456" spans="1:1" ht="15.75" x14ac:dyDescent="0.25">
      <c r="A6456" s="11"/>
    </row>
    <row r="6457" spans="1:1" ht="15.75" x14ac:dyDescent="0.25">
      <c r="A6457" s="11"/>
    </row>
    <row r="6458" spans="1:1" ht="15.75" x14ac:dyDescent="0.25">
      <c r="A6458" s="11"/>
    </row>
    <row r="6459" spans="1:1" ht="15.75" x14ac:dyDescent="0.25">
      <c r="A6459" s="11"/>
    </row>
    <row r="6460" spans="1:1" ht="15.75" x14ac:dyDescent="0.25">
      <c r="A6460" s="11"/>
    </row>
    <row r="6461" spans="1:1" ht="15.75" x14ac:dyDescent="0.25">
      <c r="A6461" s="11"/>
    </row>
    <row r="6462" spans="1:1" ht="15.75" x14ac:dyDescent="0.25">
      <c r="A6462" s="11"/>
    </row>
    <row r="6463" spans="1:1" ht="15.75" x14ac:dyDescent="0.25">
      <c r="A6463" s="11"/>
    </row>
    <row r="6464" spans="1:1" ht="15.75" x14ac:dyDescent="0.25">
      <c r="A6464" s="11"/>
    </row>
    <row r="6465" spans="1:1" ht="15.75" x14ac:dyDescent="0.25">
      <c r="A6465" s="11"/>
    </row>
    <row r="6466" spans="1:1" ht="15.75" x14ac:dyDescent="0.25">
      <c r="A6466" s="11"/>
    </row>
    <row r="6467" spans="1:1" ht="15.75" x14ac:dyDescent="0.25">
      <c r="A6467" s="11"/>
    </row>
    <row r="6468" spans="1:1" ht="15.75" x14ac:dyDescent="0.25">
      <c r="A6468" s="11"/>
    </row>
    <row r="6469" spans="1:1" ht="15.75" x14ac:dyDescent="0.25">
      <c r="A6469" s="11"/>
    </row>
    <row r="6470" spans="1:1" ht="15.75" x14ac:dyDescent="0.25">
      <c r="A6470" s="11"/>
    </row>
    <row r="6471" spans="1:1" ht="15.75" x14ac:dyDescent="0.25">
      <c r="A6471" s="11"/>
    </row>
    <row r="6472" spans="1:1" ht="15.75" x14ac:dyDescent="0.25">
      <c r="A6472" s="11"/>
    </row>
    <row r="6473" spans="1:1" ht="15.75" x14ac:dyDescent="0.25">
      <c r="A6473" s="11"/>
    </row>
    <row r="6474" spans="1:1" ht="15.75" x14ac:dyDescent="0.25">
      <c r="A6474" s="11"/>
    </row>
    <row r="6475" spans="1:1" ht="15.75" x14ac:dyDescent="0.25">
      <c r="A6475" s="11"/>
    </row>
    <row r="6476" spans="1:1" ht="15.75" x14ac:dyDescent="0.25">
      <c r="A6476" s="11"/>
    </row>
    <row r="6477" spans="1:1" ht="15.75" x14ac:dyDescent="0.25">
      <c r="A6477" s="11"/>
    </row>
    <row r="6478" spans="1:1" ht="15.75" x14ac:dyDescent="0.25">
      <c r="A6478" s="11"/>
    </row>
    <row r="6479" spans="1:1" ht="15.75" x14ac:dyDescent="0.25">
      <c r="A6479" s="11"/>
    </row>
    <row r="6480" spans="1:1" ht="15.75" x14ac:dyDescent="0.25">
      <c r="A6480" s="11"/>
    </row>
    <row r="6481" spans="1:1" ht="15.75" x14ac:dyDescent="0.25">
      <c r="A6481" s="11"/>
    </row>
    <row r="6482" spans="1:1" ht="15.75" x14ac:dyDescent="0.25">
      <c r="A6482" s="11"/>
    </row>
    <row r="6483" spans="1:1" ht="15.75" x14ac:dyDescent="0.25">
      <c r="A6483" s="11"/>
    </row>
    <row r="6484" spans="1:1" ht="15.75" x14ac:dyDescent="0.25">
      <c r="A6484" s="11"/>
    </row>
    <row r="6485" spans="1:1" ht="15.75" x14ac:dyDescent="0.25">
      <c r="A6485" s="11"/>
    </row>
    <row r="6486" spans="1:1" ht="15.75" x14ac:dyDescent="0.25">
      <c r="A6486" s="11"/>
    </row>
    <row r="6487" spans="1:1" ht="15.75" x14ac:dyDescent="0.25">
      <c r="A6487" s="11"/>
    </row>
    <row r="6488" spans="1:1" ht="15.75" x14ac:dyDescent="0.25">
      <c r="A6488" s="11"/>
    </row>
    <row r="6489" spans="1:1" ht="15.75" x14ac:dyDescent="0.25">
      <c r="A6489" s="11"/>
    </row>
    <row r="6490" spans="1:1" ht="15.75" x14ac:dyDescent="0.25">
      <c r="A6490" s="11"/>
    </row>
    <row r="6491" spans="1:1" ht="15.75" x14ac:dyDescent="0.25">
      <c r="A6491" s="11"/>
    </row>
    <row r="6492" spans="1:1" ht="15.75" x14ac:dyDescent="0.25">
      <c r="A6492" s="11"/>
    </row>
    <row r="6493" spans="1:1" ht="15.75" x14ac:dyDescent="0.25">
      <c r="A6493" s="11"/>
    </row>
    <row r="6494" spans="1:1" ht="15.75" x14ac:dyDescent="0.25">
      <c r="A6494" s="11"/>
    </row>
    <row r="6495" spans="1:1" ht="15.75" x14ac:dyDescent="0.25">
      <c r="A6495" s="11"/>
    </row>
    <row r="6496" spans="1:1" ht="15.75" x14ac:dyDescent="0.25">
      <c r="A6496" s="11"/>
    </row>
    <row r="6497" spans="1:1" ht="15.75" x14ac:dyDescent="0.25">
      <c r="A6497" s="11"/>
    </row>
    <row r="6498" spans="1:1" ht="15.75" x14ac:dyDescent="0.25">
      <c r="A6498" s="11"/>
    </row>
    <row r="6499" spans="1:1" ht="15.75" x14ac:dyDescent="0.25">
      <c r="A6499" s="11"/>
    </row>
    <row r="6500" spans="1:1" ht="15.75" x14ac:dyDescent="0.25">
      <c r="A6500" s="11"/>
    </row>
    <row r="6501" spans="1:1" ht="15.75" x14ac:dyDescent="0.25">
      <c r="A6501" s="11"/>
    </row>
    <row r="6502" spans="1:1" ht="15.75" x14ac:dyDescent="0.25">
      <c r="A6502" s="11"/>
    </row>
    <row r="6503" spans="1:1" ht="15.75" x14ac:dyDescent="0.25">
      <c r="A6503" s="11"/>
    </row>
    <row r="6504" spans="1:1" ht="15.75" x14ac:dyDescent="0.25">
      <c r="A6504" s="11"/>
    </row>
    <row r="6505" spans="1:1" ht="15.75" x14ac:dyDescent="0.25">
      <c r="A6505" s="11"/>
    </row>
    <row r="6506" spans="1:1" ht="15.75" x14ac:dyDescent="0.25">
      <c r="A6506" s="11"/>
    </row>
    <row r="6507" spans="1:1" ht="15.75" x14ac:dyDescent="0.25">
      <c r="A6507" s="11"/>
    </row>
    <row r="6508" spans="1:1" ht="15.75" x14ac:dyDescent="0.25">
      <c r="A6508" s="11"/>
    </row>
    <row r="6509" spans="1:1" ht="15.75" x14ac:dyDescent="0.25">
      <c r="A6509" s="11"/>
    </row>
    <row r="6510" spans="1:1" ht="15.75" x14ac:dyDescent="0.25">
      <c r="A6510" s="11"/>
    </row>
    <row r="6511" spans="1:1" ht="15.75" x14ac:dyDescent="0.25">
      <c r="A6511" s="11"/>
    </row>
    <row r="6512" spans="1:1" ht="15.75" x14ac:dyDescent="0.25">
      <c r="A6512" s="11"/>
    </row>
    <row r="6513" spans="1:1" ht="15.75" x14ac:dyDescent="0.25">
      <c r="A6513" s="11"/>
    </row>
    <row r="6514" spans="1:1" ht="15.75" x14ac:dyDescent="0.25">
      <c r="A6514" s="11"/>
    </row>
    <row r="6515" spans="1:1" ht="15.75" x14ac:dyDescent="0.25">
      <c r="A6515" s="11"/>
    </row>
    <row r="6516" spans="1:1" ht="15.75" x14ac:dyDescent="0.25">
      <c r="A6516" s="11"/>
    </row>
    <row r="6517" spans="1:1" ht="15.75" x14ac:dyDescent="0.25">
      <c r="A6517" s="11"/>
    </row>
    <row r="6518" spans="1:1" ht="15.75" x14ac:dyDescent="0.25">
      <c r="A6518" s="11"/>
    </row>
    <row r="6519" spans="1:1" ht="15.75" x14ac:dyDescent="0.25">
      <c r="A6519" s="11"/>
    </row>
    <row r="6520" spans="1:1" ht="15.75" x14ac:dyDescent="0.25">
      <c r="A6520" s="11"/>
    </row>
    <row r="6521" spans="1:1" ht="15.75" x14ac:dyDescent="0.25">
      <c r="A6521" s="11"/>
    </row>
    <row r="6522" spans="1:1" ht="15.75" x14ac:dyDescent="0.25">
      <c r="A6522" s="11"/>
    </row>
    <row r="6523" spans="1:1" ht="15.75" x14ac:dyDescent="0.25">
      <c r="A6523" s="11"/>
    </row>
    <row r="6524" spans="1:1" ht="15.75" x14ac:dyDescent="0.25">
      <c r="A6524" s="11"/>
    </row>
    <row r="6525" spans="1:1" ht="15.75" x14ac:dyDescent="0.25">
      <c r="A6525" s="11"/>
    </row>
    <row r="6526" spans="1:1" ht="15.75" x14ac:dyDescent="0.25">
      <c r="A6526" s="11"/>
    </row>
    <row r="6527" spans="1:1" ht="15.75" x14ac:dyDescent="0.25">
      <c r="A6527" s="11"/>
    </row>
    <row r="6528" spans="1:1" ht="15.75" x14ac:dyDescent="0.25">
      <c r="A6528" s="11"/>
    </row>
    <row r="6529" spans="1:1" ht="15.75" x14ac:dyDescent="0.25">
      <c r="A6529" s="11"/>
    </row>
    <row r="6530" spans="1:1" ht="15.75" x14ac:dyDescent="0.25">
      <c r="A6530" s="11"/>
    </row>
    <row r="6531" spans="1:1" ht="15.75" x14ac:dyDescent="0.25">
      <c r="A6531" s="11"/>
    </row>
    <row r="6532" spans="1:1" ht="15.75" x14ac:dyDescent="0.25">
      <c r="A6532" s="11"/>
    </row>
    <row r="6533" spans="1:1" ht="15.75" x14ac:dyDescent="0.25">
      <c r="A6533" s="11"/>
    </row>
    <row r="6534" spans="1:1" ht="15.75" x14ac:dyDescent="0.25">
      <c r="A6534" s="11"/>
    </row>
    <row r="6535" spans="1:1" ht="15.75" x14ac:dyDescent="0.25">
      <c r="A6535" s="11"/>
    </row>
    <row r="6536" spans="1:1" ht="15.75" x14ac:dyDescent="0.25">
      <c r="A6536" s="11"/>
    </row>
    <row r="6537" spans="1:1" ht="15.75" x14ac:dyDescent="0.25">
      <c r="A6537" s="11"/>
    </row>
    <row r="6538" spans="1:1" ht="15.75" x14ac:dyDescent="0.25">
      <c r="A6538" s="11"/>
    </row>
    <row r="6539" spans="1:1" ht="15.75" x14ac:dyDescent="0.25">
      <c r="A6539" s="11"/>
    </row>
    <row r="6540" spans="1:1" ht="15.75" x14ac:dyDescent="0.25">
      <c r="A6540" s="11"/>
    </row>
    <row r="6541" spans="1:1" ht="15.75" x14ac:dyDescent="0.25">
      <c r="A6541" s="11"/>
    </row>
    <row r="6542" spans="1:1" ht="15.75" x14ac:dyDescent="0.25">
      <c r="A6542" s="11"/>
    </row>
    <row r="6543" spans="1:1" ht="15.75" x14ac:dyDescent="0.25">
      <c r="A6543" s="11"/>
    </row>
    <row r="6544" spans="1:1" ht="15.75" x14ac:dyDescent="0.25">
      <c r="A6544" s="11"/>
    </row>
    <row r="6545" spans="1:1" ht="15.75" x14ac:dyDescent="0.25">
      <c r="A6545" s="11"/>
    </row>
    <row r="6546" spans="1:1" ht="15.75" x14ac:dyDescent="0.25">
      <c r="A6546" s="11"/>
    </row>
    <row r="6547" spans="1:1" ht="15.75" x14ac:dyDescent="0.25">
      <c r="A6547" s="11"/>
    </row>
    <row r="6548" spans="1:1" ht="15.75" x14ac:dyDescent="0.25">
      <c r="A6548" s="11"/>
    </row>
    <row r="6549" spans="1:1" ht="15.75" x14ac:dyDescent="0.25">
      <c r="A6549" s="11"/>
    </row>
    <row r="6550" spans="1:1" ht="15.75" x14ac:dyDescent="0.25">
      <c r="A6550" s="11"/>
    </row>
    <row r="6551" spans="1:1" ht="15.75" x14ac:dyDescent="0.25">
      <c r="A6551" s="11"/>
    </row>
    <row r="6552" spans="1:1" ht="15.75" x14ac:dyDescent="0.25">
      <c r="A6552" s="11"/>
    </row>
    <row r="6553" spans="1:1" ht="15.75" x14ac:dyDescent="0.25">
      <c r="A6553" s="11"/>
    </row>
    <row r="6554" spans="1:1" ht="15.75" x14ac:dyDescent="0.25">
      <c r="A6554" s="11"/>
    </row>
    <row r="6555" spans="1:1" ht="15.75" x14ac:dyDescent="0.25">
      <c r="A6555" s="11"/>
    </row>
    <row r="6556" spans="1:1" ht="15.75" x14ac:dyDescent="0.25">
      <c r="A6556" s="11"/>
    </row>
    <row r="6557" spans="1:1" ht="15.75" x14ac:dyDescent="0.25">
      <c r="A6557" s="11"/>
    </row>
    <row r="6558" spans="1:1" ht="15.75" x14ac:dyDescent="0.25">
      <c r="A6558" s="11"/>
    </row>
    <row r="6559" spans="1:1" ht="15.75" x14ac:dyDescent="0.25">
      <c r="A6559" s="11"/>
    </row>
    <row r="6560" spans="1:1" ht="15.75" x14ac:dyDescent="0.25">
      <c r="A6560" s="11"/>
    </row>
    <row r="6561" spans="1:1" ht="15.75" x14ac:dyDescent="0.25">
      <c r="A6561" s="11"/>
    </row>
    <row r="6562" spans="1:1" ht="15.75" x14ac:dyDescent="0.25">
      <c r="A6562" s="11"/>
    </row>
    <row r="6563" spans="1:1" ht="15.75" x14ac:dyDescent="0.25">
      <c r="A6563" s="11"/>
    </row>
    <row r="6564" spans="1:1" ht="15.75" x14ac:dyDescent="0.25">
      <c r="A6564" s="11"/>
    </row>
    <row r="6565" spans="1:1" ht="15.75" x14ac:dyDescent="0.25">
      <c r="A6565" s="11"/>
    </row>
    <row r="6566" spans="1:1" ht="15.75" x14ac:dyDescent="0.25">
      <c r="A6566" s="11"/>
    </row>
    <row r="6567" spans="1:1" ht="15.75" x14ac:dyDescent="0.25">
      <c r="A6567" s="11"/>
    </row>
    <row r="6568" spans="1:1" ht="15.75" x14ac:dyDescent="0.25">
      <c r="A6568" s="11"/>
    </row>
    <row r="6569" spans="1:1" ht="15.75" x14ac:dyDescent="0.25">
      <c r="A6569" s="11"/>
    </row>
    <row r="6570" spans="1:1" ht="15.75" x14ac:dyDescent="0.25">
      <c r="A6570" s="11"/>
    </row>
    <row r="6571" spans="1:1" ht="15.75" x14ac:dyDescent="0.25">
      <c r="A6571" s="11"/>
    </row>
    <row r="6572" spans="1:1" ht="15.75" x14ac:dyDescent="0.25">
      <c r="A6572" s="11"/>
    </row>
    <row r="6573" spans="1:1" ht="15.75" x14ac:dyDescent="0.25">
      <c r="A6573" s="11"/>
    </row>
    <row r="6574" spans="1:1" ht="15.75" x14ac:dyDescent="0.25">
      <c r="A6574" s="11"/>
    </row>
    <row r="6575" spans="1:1" ht="15.75" x14ac:dyDescent="0.25">
      <c r="A6575" s="11"/>
    </row>
    <row r="6576" spans="1:1" ht="15.75" x14ac:dyDescent="0.25">
      <c r="A6576" s="11"/>
    </row>
    <row r="6577" spans="1:1" ht="15.75" x14ac:dyDescent="0.25">
      <c r="A6577" s="11"/>
    </row>
    <row r="6578" spans="1:1" ht="15.75" x14ac:dyDescent="0.25">
      <c r="A6578" s="11"/>
    </row>
    <row r="6579" spans="1:1" ht="15.75" x14ac:dyDescent="0.25">
      <c r="A6579" s="11"/>
    </row>
    <row r="6580" spans="1:1" ht="15.75" x14ac:dyDescent="0.25">
      <c r="A6580" s="11"/>
    </row>
    <row r="6581" spans="1:1" ht="15.75" x14ac:dyDescent="0.25">
      <c r="A6581" s="11"/>
    </row>
    <row r="6582" spans="1:1" ht="15.75" x14ac:dyDescent="0.25">
      <c r="A6582" s="11"/>
    </row>
    <row r="6583" spans="1:1" ht="15.75" x14ac:dyDescent="0.25">
      <c r="A6583" s="11"/>
    </row>
    <row r="6584" spans="1:1" ht="15.75" x14ac:dyDescent="0.25">
      <c r="A6584" s="11"/>
    </row>
    <row r="6585" spans="1:1" ht="15.75" x14ac:dyDescent="0.25">
      <c r="A6585" s="11"/>
    </row>
    <row r="6586" spans="1:1" ht="15.75" x14ac:dyDescent="0.25">
      <c r="A6586" s="11"/>
    </row>
    <row r="6587" spans="1:1" ht="15.75" x14ac:dyDescent="0.25">
      <c r="A6587" s="11"/>
    </row>
    <row r="6588" spans="1:1" ht="15.75" x14ac:dyDescent="0.25">
      <c r="A6588" s="11"/>
    </row>
    <row r="6589" spans="1:1" ht="15.75" x14ac:dyDescent="0.25">
      <c r="A6589" s="11"/>
    </row>
    <row r="6590" spans="1:1" ht="15.75" x14ac:dyDescent="0.25">
      <c r="A6590" s="11"/>
    </row>
    <row r="6591" spans="1:1" ht="15.75" x14ac:dyDescent="0.25">
      <c r="A6591" s="11"/>
    </row>
    <row r="6592" spans="1:1" ht="15.75" x14ac:dyDescent="0.25">
      <c r="A6592" s="11"/>
    </row>
    <row r="6593" spans="1:1" ht="15.75" x14ac:dyDescent="0.25">
      <c r="A6593" s="11"/>
    </row>
    <row r="6594" spans="1:1" ht="15.75" x14ac:dyDescent="0.25">
      <c r="A6594" s="11"/>
    </row>
    <row r="6595" spans="1:1" ht="15.75" x14ac:dyDescent="0.25">
      <c r="A6595" s="11"/>
    </row>
    <row r="6596" spans="1:1" ht="15.75" x14ac:dyDescent="0.25">
      <c r="A6596" s="11"/>
    </row>
    <row r="6597" spans="1:1" ht="15.75" x14ac:dyDescent="0.25">
      <c r="A6597" s="11"/>
    </row>
    <row r="6598" spans="1:1" ht="15.75" x14ac:dyDescent="0.25">
      <c r="A6598" s="11"/>
    </row>
    <row r="6599" spans="1:1" ht="15.75" x14ac:dyDescent="0.25">
      <c r="A6599" s="11"/>
    </row>
    <row r="6600" spans="1:1" ht="15.75" x14ac:dyDescent="0.25">
      <c r="A6600" s="11"/>
    </row>
    <row r="6601" spans="1:1" ht="15.75" x14ac:dyDescent="0.25">
      <c r="A6601" s="11"/>
    </row>
    <row r="6602" spans="1:1" ht="15.75" x14ac:dyDescent="0.25">
      <c r="A6602" s="11"/>
    </row>
    <row r="6603" spans="1:1" ht="15.75" x14ac:dyDescent="0.25">
      <c r="A6603" s="11"/>
    </row>
    <row r="6604" spans="1:1" ht="15.75" x14ac:dyDescent="0.25">
      <c r="A6604" s="11"/>
    </row>
    <row r="6605" spans="1:1" ht="15.75" x14ac:dyDescent="0.25">
      <c r="A6605" s="11"/>
    </row>
    <row r="6606" spans="1:1" ht="15.75" x14ac:dyDescent="0.25">
      <c r="A6606" s="11"/>
    </row>
    <row r="6607" spans="1:1" ht="15.75" x14ac:dyDescent="0.25">
      <c r="A6607" s="11"/>
    </row>
    <row r="6608" spans="1:1" ht="15.75" x14ac:dyDescent="0.25">
      <c r="A6608" s="11"/>
    </row>
    <row r="6609" spans="1:1" ht="15.75" x14ac:dyDescent="0.25">
      <c r="A6609" s="11"/>
    </row>
    <row r="6610" spans="1:1" ht="15.75" x14ac:dyDescent="0.25">
      <c r="A6610" s="11"/>
    </row>
    <row r="6611" spans="1:1" ht="15.75" x14ac:dyDescent="0.25">
      <c r="A6611" s="11"/>
    </row>
    <row r="6612" spans="1:1" ht="15.75" x14ac:dyDescent="0.25">
      <c r="A6612" s="11"/>
    </row>
    <row r="6613" spans="1:1" ht="15.75" x14ac:dyDescent="0.25">
      <c r="A6613" s="11"/>
    </row>
    <row r="6614" spans="1:1" ht="15.75" x14ac:dyDescent="0.25">
      <c r="A6614" s="11"/>
    </row>
    <row r="6615" spans="1:1" ht="15.75" x14ac:dyDescent="0.25">
      <c r="A6615" s="11"/>
    </row>
    <row r="6616" spans="1:1" ht="15.75" x14ac:dyDescent="0.25">
      <c r="A6616" s="11"/>
    </row>
    <row r="6617" spans="1:1" ht="15.75" x14ac:dyDescent="0.25">
      <c r="A6617" s="11"/>
    </row>
    <row r="6618" spans="1:1" ht="15.75" x14ac:dyDescent="0.25">
      <c r="A6618" s="11"/>
    </row>
    <row r="6619" spans="1:1" ht="15.75" x14ac:dyDescent="0.25">
      <c r="A6619" s="11"/>
    </row>
    <row r="6620" spans="1:1" ht="15.75" x14ac:dyDescent="0.25">
      <c r="A6620" s="11"/>
    </row>
    <row r="6621" spans="1:1" ht="15.75" x14ac:dyDescent="0.25">
      <c r="A6621" s="11"/>
    </row>
    <row r="6622" spans="1:1" ht="15.75" x14ac:dyDescent="0.25">
      <c r="A6622" s="11"/>
    </row>
    <row r="6623" spans="1:1" ht="15.75" x14ac:dyDescent="0.25">
      <c r="A6623" s="11"/>
    </row>
    <row r="6624" spans="1:1" ht="15.75" x14ac:dyDescent="0.25">
      <c r="A6624" s="11"/>
    </row>
    <row r="6625" spans="1:1" ht="15.75" x14ac:dyDescent="0.25">
      <c r="A6625" s="11"/>
    </row>
    <row r="6626" spans="1:1" ht="15.75" x14ac:dyDescent="0.25">
      <c r="A6626" s="11"/>
    </row>
    <row r="6627" spans="1:1" ht="15.75" x14ac:dyDescent="0.25">
      <c r="A6627" s="11"/>
    </row>
    <row r="6628" spans="1:1" ht="15.75" x14ac:dyDescent="0.25">
      <c r="A6628" s="11"/>
    </row>
    <row r="6629" spans="1:1" ht="15.75" x14ac:dyDescent="0.25">
      <c r="A6629" s="11"/>
    </row>
    <row r="6630" spans="1:1" ht="15.75" x14ac:dyDescent="0.25">
      <c r="A6630" s="11"/>
    </row>
    <row r="6631" spans="1:1" ht="15.75" x14ac:dyDescent="0.25">
      <c r="A6631" s="11"/>
    </row>
    <row r="6632" spans="1:1" ht="15.75" x14ac:dyDescent="0.25">
      <c r="A6632" s="11"/>
    </row>
    <row r="6633" spans="1:1" ht="15.75" x14ac:dyDescent="0.25">
      <c r="A6633" s="11"/>
    </row>
    <row r="6634" spans="1:1" ht="15.75" x14ac:dyDescent="0.25">
      <c r="A6634" s="11"/>
    </row>
    <row r="6635" spans="1:1" ht="15.75" x14ac:dyDescent="0.25">
      <c r="A6635" s="11"/>
    </row>
    <row r="6636" spans="1:1" ht="15.75" x14ac:dyDescent="0.25">
      <c r="A6636" s="11"/>
    </row>
    <row r="6637" spans="1:1" ht="15.75" x14ac:dyDescent="0.25">
      <c r="A6637" s="11"/>
    </row>
    <row r="6638" spans="1:1" ht="15.75" x14ac:dyDescent="0.25">
      <c r="A6638" s="11"/>
    </row>
    <row r="6639" spans="1:1" ht="15.75" x14ac:dyDescent="0.25">
      <c r="A6639" s="11"/>
    </row>
    <row r="6640" spans="1:1" ht="15.75" x14ac:dyDescent="0.25">
      <c r="A6640" s="11"/>
    </row>
    <row r="6641" spans="1:1" ht="15.75" x14ac:dyDescent="0.25">
      <c r="A6641" s="11"/>
    </row>
    <row r="6642" spans="1:1" ht="15.75" x14ac:dyDescent="0.25">
      <c r="A6642" s="11"/>
    </row>
    <row r="6643" spans="1:1" ht="15.75" x14ac:dyDescent="0.25">
      <c r="A6643" s="11"/>
    </row>
    <row r="6644" spans="1:1" ht="15.75" x14ac:dyDescent="0.25">
      <c r="A6644" s="11"/>
    </row>
    <row r="6645" spans="1:1" ht="15.75" x14ac:dyDescent="0.25">
      <c r="A6645" s="11"/>
    </row>
    <row r="6646" spans="1:1" ht="15.75" x14ac:dyDescent="0.25">
      <c r="A6646" s="11"/>
    </row>
    <row r="6647" spans="1:1" ht="15.75" x14ac:dyDescent="0.25">
      <c r="A6647" s="11"/>
    </row>
    <row r="6648" spans="1:1" ht="15.75" x14ac:dyDescent="0.25">
      <c r="A6648" s="11"/>
    </row>
    <row r="6649" spans="1:1" ht="15.75" x14ac:dyDescent="0.25">
      <c r="A6649" s="11"/>
    </row>
    <row r="6650" spans="1:1" ht="15.75" x14ac:dyDescent="0.25">
      <c r="A6650" s="11"/>
    </row>
    <row r="6651" spans="1:1" ht="15.75" x14ac:dyDescent="0.25">
      <c r="A6651" s="11"/>
    </row>
    <row r="6652" spans="1:1" ht="15.75" x14ac:dyDescent="0.25">
      <c r="A6652" s="11"/>
    </row>
    <row r="6653" spans="1:1" ht="15.75" x14ac:dyDescent="0.25">
      <c r="A6653" s="11"/>
    </row>
    <row r="6654" spans="1:1" ht="15.75" x14ac:dyDescent="0.25">
      <c r="A6654" s="11"/>
    </row>
    <row r="6655" spans="1:1" ht="15.75" x14ac:dyDescent="0.25">
      <c r="A6655" s="11"/>
    </row>
    <row r="6656" spans="1:1" ht="15.75" x14ac:dyDescent="0.25">
      <c r="A6656" s="11"/>
    </row>
    <row r="6657" spans="1:1" ht="15.75" x14ac:dyDescent="0.25">
      <c r="A6657" s="11"/>
    </row>
    <row r="6658" spans="1:1" ht="15.75" x14ac:dyDescent="0.25">
      <c r="A6658" s="11"/>
    </row>
    <row r="6659" spans="1:1" ht="15.75" x14ac:dyDescent="0.25">
      <c r="A6659" s="11"/>
    </row>
    <row r="6660" spans="1:1" ht="15.75" x14ac:dyDescent="0.25">
      <c r="A6660" s="11"/>
    </row>
    <row r="6661" spans="1:1" ht="15.75" x14ac:dyDescent="0.25">
      <c r="A6661" s="11"/>
    </row>
    <row r="6662" spans="1:1" ht="15.75" x14ac:dyDescent="0.25">
      <c r="A6662" s="11"/>
    </row>
    <row r="6663" spans="1:1" ht="15.75" x14ac:dyDescent="0.25">
      <c r="A6663" s="11"/>
    </row>
    <row r="6664" spans="1:1" ht="15.75" x14ac:dyDescent="0.25">
      <c r="A6664" s="11"/>
    </row>
    <row r="6665" spans="1:1" ht="15.75" x14ac:dyDescent="0.25">
      <c r="A6665" s="11"/>
    </row>
    <row r="6666" spans="1:1" ht="15.75" x14ac:dyDescent="0.25">
      <c r="A6666" s="11"/>
    </row>
    <row r="6667" spans="1:1" ht="15.75" x14ac:dyDescent="0.25">
      <c r="A6667" s="11"/>
    </row>
    <row r="6668" spans="1:1" ht="15.75" x14ac:dyDescent="0.25">
      <c r="A6668" s="11"/>
    </row>
    <row r="6669" spans="1:1" ht="15.75" x14ac:dyDescent="0.25">
      <c r="A6669" s="11"/>
    </row>
    <row r="6670" spans="1:1" ht="15.75" x14ac:dyDescent="0.25">
      <c r="A6670" s="11"/>
    </row>
    <row r="6671" spans="1:1" ht="15.75" x14ac:dyDescent="0.25">
      <c r="A6671" s="11"/>
    </row>
    <row r="6672" spans="1:1" ht="15.75" x14ac:dyDescent="0.25">
      <c r="A6672" s="11"/>
    </row>
    <row r="6673" spans="1:1" ht="15.75" x14ac:dyDescent="0.25">
      <c r="A6673" s="11"/>
    </row>
    <row r="6674" spans="1:1" ht="15.75" x14ac:dyDescent="0.25">
      <c r="A6674" s="11"/>
    </row>
    <row r="6675" spans="1:1" ht="15.75" x14ac:dyDescent="0.25">
      <c r="A6675" s="11"/>
    </row>
    <row r="6676" spans="1:1" ht="15.75" x14ac:dyDescent="0.25">
      <c r="A6676" s="11"/>
    </row>
    <row r="6677" spans="1:1" ht="15.75" x14ac:dyDescent="0.25">
      <c r="A6677" s="11"/>
    </row>
    <row r="6678" spans="1:1" ht="15.75" x14ac:dyDescent="0.25">
      <c r="A6678" s="11"/>
    </row>
    <row r="6679" spans="1:1" ht="15.75" x14ac:dyDescent="0.25">
      <c r="A6679" s="11"/>
    </row>
    <row r="6680" spans="1:1" ht="15.75" x14ac:dyDescent="0.25">
      <c r="A6680" s="11"/>
    </row>
    <row r="6681" spans="1:1" ht="15.75" x14ac:dyDescent="0.25">
      <c r="A6681" s="11"/>
    </row>
    <row r="6682" spans="1:1" ht="15.75" x14ac:dyDescent="0.25">
      <c r="A6682" s="11"/>
    </row>
    <row r="6683" spans="1:1" ht="15.75" x14ac:dyDescent="0.25">
      <c r="A6683" s="11"/>
    </row>
    <row r="6684" spans="1:1" ht="15.75" x14ac:dyDescent="0.25">
      <c r="A6684" s="11"/>
    </row>
    <row r="6685" spans="1:1" ht="15.75" x14ac:dyDescent="0.25">
      <c r="A6685" s="11"/>
    </row>
    <row r="6686" spans="1:1" ht="15.75" x14ac:dyDescent="0.25">
      <c r="A6686" s="11"/>
    </row>
    <row r="6687" spans="1:1" ht="15.75" x14ac:dyDescent="0.25">
      <c r="A6687" s="11"/>
    </row>
    <row r="6688" spans="1:1" ht="15.75" x14ac:dyDescent="0.25">
      <c r="A6688" s="11"/>
    </row>
    <row r="6689" spans="1:1" ht="15.75" x14ac:dyDescent="0.25">
      <c r="A6689" s="11"/>
    </row>
    <row r="6690" spans="1:1" ht="15.75" x14ac:dyDescent="0.25">
      <c r="A6690" s="11"/>
    </row>
    <row r="6691" spans="1:1" ht="15.75" x14ac:dyDescent="0.25">
      <c r="A6691" s="11"/>
    </row>
    <row r="6692" spans="1:1" ht="15.75" x14ac:dyDescent="0.25">
      <c r="A6692" s="11"/>
    </row>
    <row r="6693" spans="1:1" ht="15.75" x14ac:dyDescent="0.25">
      <c r="A6693" s="11"/>
    </row>
    <row r="6694" spans="1:1" ht="15.75" x14ac:dyDescent="0.25">
      <c r="A6694" s="11"/>
    </row>
    <row r="6695" spans="1:1" ht="15.75" x14ac:dyDescent="0.25">
      <c r="A6695" s="11"/>
    </row>
    <row r="6696" spans="1:1" ht="15.75" x14ac:dyDescent="0.25">
      <c r="A6696" s="11"/>
    </row>
    <row r="6697" spans="1:1" ht="15.75" x14ac:dyDescent="0.25">
      <c r="A6697" s="11"/>
    </row>
    <row r="6698" spans="1:1" ht="15.75" x14ac:dyDescent="0.25">
      <c r="A6698" s="11"/>
    </row>
    <row r="6699" spans="1:1" ht="15.75" x14ac:dyDescent="0.25">
      <c r="A6699" s="11"/>
    </row>
    <row r="6700" spans="1:1" ht="15.75" x14ac:dyDescent="0.25">
      <c r="A6700" s="11"/>
    </row>
    <row r="6701" spans="1:1" ht="15.75" x14ac:dyDescent="0.25">
      <c r="A6701" s="11"/>
    </row>
    <row r="6702" spans="1:1" ht="15.75" x14ac:dyDescent="0.25">
      <c r="A6702" s="11"/>
    </row>
    <row r="6703" spans="1:1" ht="15.75" x14ac:dyDescent="0.25">
      <c r="A6703" s="11"/>
    </row>
    <row r="6704" spans="1:1" ht="15.75" x14ac:dyDescent="0.25">
      <c r="A6704" s="11"/>
    </row>
    <row r="6705" spans="1:1" ht="15.75" x14ac:dyDescent="0.25">
      <c r="A6705" s="11"/>
    </row>
    <row r="6706" spans="1:1" ht="15.75" x14ac:dyDescent="0.25">
      <c r="A6706" s="11"/>
    </row>
    <row r="6707" spans="1:1" ht="15.75" x14ac:dyDescent="0.25">
      <c r="A6707" s="11"/>
    </row>
    <row r="6708" spans="1:1" ht="15.75" x14ac:dyDescent="0.25">
      <c r="A6708" s="11"/>
    </row>
    <row r="6709" spans="1:1" ht="15.75" x14ac:dyDescent="0.25">
      <c r="A6709" s="11"/>
    </row>
    <row r="6710" spans="1:1" ht="15.75" x14ac:dyDescent="0.25">
      <c r="A6710" s="11"/>
    </row>
    <row r="6711" spans="1:1" ht="15.75" x14ac:dyDescent="0.25">
      <c r="A6711" s="11"/>
    </row>
    <row r="6712" spans="1:1" ht="15.75" x14ac:dyDescent="0.25">
      <c r="A6712" s="11"/>
    </row>
    <row r="6713" spans="1:1" ht="15.75" x14ac:dyDescent="0.25">
      <c r="A6713" s="11"/>
    </row>
    <row r="6714" spans="1:1" ht="15.75" x14ac:dyDescent="0.25">
      <c r="A6714" s="11"/>
    </row>
    <row r="6715" spans="1:1" ht="15.75" x14ac:dyDescent="0.25">
      <c r="A6715" s="11"/>
    </row>
    <row r="6716" spans="1:1" ht="15.75" x14ac:dyDescent="0.25">
      <c r="A6716" s="11"/>
    </row>
    <row r="6717" spans="1:1" ht="15.75" x14ac:dyDescent="0.25">
      <c r="A6717" s="11"/>
    </row>
    <row r="6718" spans="1:1" ht="15.75" x14ac:dyDescent="0.25">
      <c r="A6718" s="11"/>
    </row>
    <row r="6719" spans="1:1" ht="15.75" x14ac:dyDescent="0.25">
      <c r="A6719" s="11"/>
    </row>
    <row r="6720" spans="1:1" ht="15.75" x14ac:dyDescent="0.25">
      <c r="A6720" s="11"/>
    </row>
    <row r="6721" spans="1:1" ht="15.75" x14ac:dyDescent="0.25">
      <c r="A6721" s="11"/>
    </row>
    <row r="6722" spans="1:1" ht="15.75" x14ac:dyDescent="0.25">
      <c r="A6722" s="11"/>
    </row>
    <row r="6723" spans="1:1" ht="15.75" x14ac:dyDescent="0.25">
      <c r="A6723" s="11"/>
    </row>
    <row r="6724" spans="1:1" ht="15.75" x14ac:dyDescent="0.25">
      <c r="A6724" s="11"/>
    </row>
    <row r="6725" spans="1:1" ht="15.75" x14ac:dyDescent="0.25">
      <c r="A6725" s="11"/>
    </row>
    <row r="6726" spans="1:1" ht="15.75" x14ac:dyDescent="0.25">
      <c r="A6726" s="11"/>
    </row>
    <row r="6727" spans="1:1" ht="15.75" x14ac:dyDescent="0.25">
      <c r="A6727" s="11"/>
    </row>
    <row r="6728" spans="1:1" ht="15.75" x14ac:dyDescent="0.25">
      <c r="A6728" s="11"/>
    </row>
    <row r="6729" spans="1:1" ht="15.75" x14ac:dyDescent="0.25">
      <c r="A6729" s="11"/>
    </row>
    <row r="6730" spans="1:1" ht="15.75" x14ac:dyDescent="0.25">
      <c r="A6730" s="11"/>
    </row>
    <row r="6731" spans="1:1" ht="15.75" x14ac:dyDescent="0.25">
      <c r="A6731" s="11"/>
    </row>
    <row r="6732" spans="1:1" ht="15.75" x14ac:dyDescent="0.25">
      <c r="A6732" s="11"/>
    </row>
    <row r="6733" spans="1:1" ht="15.75" x14ac:dyDescent="0.25">
      <c r="A6733" s="11"/>
    </row>
    <row r="6734" spans="1:1" ht="15.75" x14ac:dyDescent="0.25">
      <c r="A6734" s="11"/>
    </row>
    <row r="6735" spans="1:1" ht="15.75" x14ac:dyDescent="0.25">
      <c r="A6735" s="11"/>
    </row>
    <row r="6736" spans="1:1" ht="15.75" x14ac:dyDescent="0.25">
      <c r="A6736" s="11"/>
    </row>
    <row r="6737" spans="1:1" ht="15.75" x14ac:dyDescent="0.25">
      <c r="A6737" s="11"/>
    </row>
    <row r="6738" spans="1:1" ht="15.75" x14ac:dyDescent="0.25">
      <c r="A6738" s="11"/>
    </row>
    <row r="6739" spans="1:1" ht="15.75" x14ac:dyDescent="0.25">
      <c r="A6739" s="11"/>
    </row>
    <row r="6740" spans="1:1" ht="15.75" x14ac:dyDescent="0.25">
      <c r="A6740" s="11"/>
    </row>
    <row r="6741" spans="1:1" ht="15.75" x14ac:dyDescent="0.25">
      <c r="A6741" s="11"/>
    </row>
    <row r="6742" spans="1:1" ht="15.75" x14ac:dyDescent="0.25">
      <c r="A6742" s="11"/>
    </row>
    <row r="6743" spans="1:1" ht="15.75" x14ac:dyDescent="0.25">
      <c r="A6743" s="11"/>
    </row>
    <row r="6744" spans="1:1" ht="15.75" x14ac:dyDescent="0.25">
      <c r="A6744" s="11"/>
    </row>
    <row r="6745" spans="1:1" ht="15.75" x14ac:dyDescent="0.25">
      <c r="A6745" s="11"/>
    </row>
    <row r="6746" spans="1:1" ht="15.75" x14ac:dyDescent="0.25">
      <c r="A6746" s="11"/>
    </row>
    <row r="6747" spans="1:1" ht="15.75" x14ac:dyDescent="0.25">
      <c r="A6747" s="11"/>
    </row>
    <row r="6748" spans="1:1" ht="15.75" x14ac:dyDescent="0.25">
      <c r="A6748" s="11"/>
    </row>
    <row r="6749" spans="1:1" ht="15.75" x14ac:dyDescent="0.25">
      <c r="A6749" s="11"/>
    </row>
    <row r="6750" spans="1:1" ht="15.75" x14ac:dyDescent="0.25">
      <c r="A6750" s="11"/>
    </row>
    <row r="6751" spans="1:1" ht="15.75" x14ac:dyDescent="0.25">
      <c r="A6751" s="11"/>
    </row>
    <row r="6752" spans="1:1" ht="15.75" x14ac:dyDescent="0.25">
      <c r="A6752" s="11"/>
    </row>
    <row r="6753" spans="1:1" ht="15.75" x14ac:dyDescent="0.25">
      <c r="A6753" s="11"/>
    </row>
    <row r="6754" spans="1:1" ht="15.75" x14ac:dyDescent="0.25">
      <c r="A6754" s="11"/>
    </row>
    <row r="6755" spans="1:1" ht="15.75" x14ac:dyDescent="0.25">
      <c r="A6755" s="11"/>
    </row>
    <row r="6756" spans="1:1" ht="15.75" x14ac:dyDescent="0.25">
      <c r="A6756" s="11"/>
    </row>
    <row r="6757" spans="1:1" ht="15.75" x14ac:dyDescent="0.25">
      <c r="A6757" s="11"/>
    </row>
    <row r="6758" spans="1:1" ht="15.75" x14ac:dyDescent="0.25">
      <c r="A6758" s="11"/>
    </row>
    <row r="6759" spans="1:1" ht="15.75" x14ac:dyDescent="0.25">
      <c r="A6759" s="11"/>
    </row>
    <row r="6760" spans="1:1" ht="15.75" x14ac:dyDescent="0.25">
      <c r="A6760" s="11"/>
    </row>
    <row r="6761" spans="1:1" ht="15.75" x14ac:dyDescent="0.25">
      <c r="A6761" s="11"/>
    </row>
    <row r="6762" spans="1:1" ht="15.75" x14ac:dyDescent="0.25">
      <c r="A6762" s="11"/>
    </row>
    <row r="6763" spans="1:1" ht="15.75" x14ac:dyDescent="0.25">
      <c r="A6763" s="11"/>
    </row>
    <row r="6764" spans="1:1" ht="15.75" x14ac:dyDescent="0.25">
      <c r="A6764" s="11"/>
    </row>
    <row r="6765" spans="1:1" ht="15.75" x14ac:dyDescent="0.25">
      <c r="A6765" s="11"/>
    </row>
    <row r="6766" spans="1:1" ht="15.75" x14ac:dyDescent="0.25">
      <c r="A6766" s="11"/>
    </row>
    <row r="6767" spans="1:1" ht="15.75" x14ac:dyDescent="0.25">
      <c r="A6767" s="11"/>
    </row>
    <row r="6768" spans="1:1" ht="15.75" x14ac:dyDescent="0.25">
      <c r="A6768" s="11"/>
    </row>
    <row r="6769" spans="1:1" ht="15.75" x14ac:dyDescent="0.25">
      <c r="A6769" s="11"/>
    </row>
    <row r="6770" spans="1:1" ht="15.75" x14ac:dyDescent="0.25">
      <c r="A6770" s="11"/>
    </row>
    <row r="6771" spans="1:1" ht="15.75" x14ac:dyDescent="0.25">
      <c r="A6771" s="11"/>
    </row>
    <row r="6772" spans="1:1" ht="15.75" x14ac:dyDescent="0.25">
      <c r="A6772" s="11"/>
    </row>
    <row r="6773" spans="1:1" ht="15.75" x14ac:dyDescent="0.25">
      <c r="A6773" s="11"/>
    </row>
    <row r="6774" spans="1:1" ht="15.75" x14ac:dyDescent="0.25">
      <c r="A6774" s="11"/>
    </row>
    <row r="6775" spans="1:1" ht="15.75" x14ac:dyDescent="0.25">
      <c r="A6775" s="11"/>
    </row>
    <row r="6776" spans="1:1" ht="15.75" x14ac:dyDescent="0.25">
      <c r="A6776" s="11"/>
    </row>
    <row r="6777" spans="1:1" ht="15.75" x14ac:dyDescent="0.25">
      <c r="A6777" s="11"/>
    </row>
    <row r="6778" spans="1:1" ht="15.75" x14ac:dyDescent="0.25">
      <c r="A6778" s="11"/>
    </row>
    <row r="6779" spans="1:1" ht="15.75" x14ac:dyDescent="0.25">
      <c r="A6779" s="11"/>
    </row>
    <row r="6780" spans="1:1" ht="15.75" x14ac:dyDescent="0.25">
      <c r="A6780" s="11"/>
    </row>
    <row r="6781" spans="1:1" ht="15.75" x14ac:dyDescent="0.25">
      <c r="A6781" s="11"/>
    </row>
    <row r="6782" spans="1:1" ht="15.75" x14ac:dyDescent="0.25">
      <c r="A6782" s="11"/>
    </row>
    <row r="6783" spans="1:1" ht="15.75" x14ac:dyDescent="0.25">
      <c r="A6783" s="11"/>
    </row>
    <row r="6784" spans="1:1" ht="15.75" x14ac:dyDescent="0.25">
      <c r="A6784" s="11"/>
    </row>
    <row r="6785" spans="1:1" ht="15.75" x14ac:dyDescent="0.25">
      <c r="A6785" s="11"/>
    </row>
    <row r="6786" spans="1:1" ht="15.75" x14ac:dyDescent="0.25">
      <c r="A6786" s="11"/>
    </row>
    <row r="6787" spans="1:1" ht="15.75" x14ac:dyDescent="0.25">
      <c r="A6787" s="11"/>
    </row>
    <row r="6788" spans="1:1" ht="15.75" x14ac:dyDescent="0.25">
      <c r="A6788" s="11"/>
    </row>
    <row r="6789" spans="1:1" ht="15.75" x14ac:dyDescent="0.25">
      <c r="A6789" s="11"/>
    </row>
    <row r="6790" spans="1:1" ht="15.75" x14ac:dyDescent="0.25">
      <c r="A6790" s="11"/>
    </row>
    <row r="6791" spans="1:1" ht="15.75" x14ac:dyDescent="0.25">
      <c r="A6791" s="11"/>
    </row>
    <row r="6792" spans="1:1" ht="15.75" x14ac:dyDescent="0.25">
      <c r="A6792" s="11"/>
    </row>
    <row r="6793" spans="1:1" ht="15.75" x14ac:dyDescent="0.25">
      <c r="A6793" s="11"/>
    </row>
    <row r="6794" spans="1:1" ht="15.75" x14ac:dyDescent="0.25">
      <c r="A6794" s="11"/>
    </row>
    <row r="6795" spans="1:1" ht="15.75" x14ac:dyDescent="0.25">
      <c r="A6795" s="11"/>
    </row>
    <row r="6796" spans="1:1" ht="15.75" x14ac:dyDescent="0.25">
      <c r="A6796" s="11"/>
    </row>
    <row r="6797" spans="1:1" ht="15.75" x14ac:dyDescent="0.25">
      <c r="A6797" s="11"/>
    </row>
    <row r="6798" spans="1:1" ht="15.75" x14ac:dyDescent="0.25">
      <c r="A6798" s="11"/>
    </row>
    <row r="6799" spans="1:1" ht="15.75" x14ac:dyDescent="0.25">
      <c r="A6799" s="11"/>
    </row>
    <row r="6800" spans="1:1" ht="15.75" x14ac:dyDescent="0.25">
      <c r="A6800" s="11"/>
    </row>
    <row r="6801" spans="1:1" ht="15.75" x14ac:dyDescent="0.25">
      <c r="A6801" s="11"/>
    </row>
    <row r="6802" spans="1:1" ht="15.75" x14ac:dyDescent="0.25">
      <c r="A6802" s="11"/>
    </row>
    <row r="6803" spans="1:1" ht="15.75" x14ac:dyDescent="0.25">
      <c r="A6803" s="11"/>
    </row>
    <row r="6804" spans="1:1" ht="15.75" x14ac:dyDescent="0.25">
      <c r="A6804" s="11"/>
    </row>
    <row r="6805" spans="1:1" ht="15.75" x14ac:dyDescent="0.25">
      <c r="A6805" s="11"/>
    </row>
    <row r="6806" spans="1:1" ht="15.75" x14ac:dyDescent="0.25">
      <c r="A6806" s="11"/>
    </row>
    <row r="6807" spans="1:1" ht="15.75" x14ac:dyDescent="0.25">
      <c r="A6807" s="11"/>
    </row>
    <row r="6808" spans="1:1" ht="15.75" x14ac:dyDescent="0.25">
      <c r="A6808" s="11"/>
    </row>
    <row r="6809" spans="1:1" ht="15.75" x14ac:dyDescent="0.25">
      <c r="A6809" s="11"/>
    </row>
    <row r="6810" spans="1:1" ht="15.75" x14ac:dyDescent="0.25">
      <c r="A6810" s="11"/>
    </row>
    <row r="6811" spans="1:1" ht="15.75" x14ac:dyDescent="0.25">
      <c r="A6811" s="11"/>
    </row>
    <row r="6812" spans="1:1" ht="15.75" x14ac:dyDescent="0.25">
      <c r="A6812" s="11"/>
    </row>
    <row r="6813" spans="1:1" ht="15.75" x14ac:dyDescent="0.25">
      <c r="A6813" s="11"/>
    </row>
    <row r="6814" spans="1:1" ht="15.75" x14ac:dyDescent="0.25">
      <c r="A6814" s="11"/>
    </row>
    <row r="6815" spans="1:1" ht="15.75" x14ac:dyDescent="0.25">
      <c r="A6815" s="11"/>
    </row>
    <row r="6816" spans="1:1" ht="15.75" x14ac:dyDescent="0.25">
      <c r="A6816" s="11"/>
    </row>
    <row r="6817" spans="1:1" ht="15.75" x14ac:dyDescent="0.25">
      <c r="A6817" s="11"/>
    </row>
    <row r="6818" spans="1:1" ht="15.75" x14ac:dyDescent="0.25">
      <c r="A6818" s="11"/>
    </row>
    <row r="6819" spans="1:1" ht="15.75" x14ac:dyDescent="0.25">
      <c r="A6819" s="11"/>
    </row>
    <row r="6820" spans="1:1" ht="15.75" x14ac:dyDescent="0.25">
      <c r="A6820" s="11"/>
    </row>
    <row r="6821" spans="1:1" ht="15.75" x14ac:dyDescent="0.25">
      <c r="A6821" s="11"/>
    </row>
    <row r="6822" spans="1:1" ht="15.75" x14ac:dyDescent="0.25">
      <c r="A6822" s="11"/>
    </row>
    <row r="6823" spans="1:1" ht="15.75" x14ac:dyDescent="0.25">
      <c r="A6823" s="11"/>
    </row>
    <row r="6824" spans="1:1" ht="15.75" x14ac:dyDescent="0.25">
      <c r="A6824" s="11"/>
    </row>
    <row r="6825" spans="1:1" ht="15.75" x14ac:dyDescent="0.25">
      <c r="A6825" s="11"/>
    </row>
    <row r="6826" spans="1:1" ht="15.75" x14ac:dyDescent="0.25">
      <c r="A6826" s="11"/>
    </row>
    <row r="6827" spans="1:1" ht="15.75" x14ac:dyDescent="0.25">
      <c r="A6827" s="11"/>
    </row>
    <row r="6828" spans="1:1" ht="15.75" x14ac:dyDescent="0.25">
      <c r="A6828" s="11"/>
    </row>
    <row r="6829" spans="1:1" ht="15.75" x14ac:dyDescent="0.25">
      <c r="A6829" s="11"/>
    </row>
    <row r="6830" spans="1:1" ht="15.75" x14ac:dyDescent="0.25">
      <c r="A6830" s="11"/>
    </row>
    <row r="6831" spans="1:1" ht="15.75" x14ac:dyDescent="0.25">
      <c r="A6831" s="11"/>
    </row>
    <row r="6832" spans="1:1" ht="15.75" x14ac:dyDescent="0.25">
      <c r="A6832" s="11"/>
    </row>
    <row r="6833" spans="1:1" ht="15.75" x14ac:dyDescent="0.25">
      <c r="A6833" s="11"/>
    </row>
    <row r="6834" spans="1:1" ht="15.75" x14ac:dyDescent="0.25">
      <c r="A6834" s="11"/>
    </row>
    <row r="6835" spans="1:1" ht="15.75" x14ac:dyDescent="0.25">
      <c r="A6835" s="11"/>
    </row>
    <row r="6836" spans="1:1" ht="15.75" x14ac:dyDescent="0.25">
      <c r="A6836" s="11"/>
    </row>
    <row r="6837" spans="1:1" ht="15.75" x14ac:dyDescent="0.25">
      <c r="A6837" s="11"/>
    </row>
    <row r="6838" spans="1:1" ht="15.75" x14ac:dyDescent="0.25">
      <c r="A6838" s="11"/>
    </row>
    <row r="6839" spans="1:1" ht="15.75" x14ac:dyDescent="0.25">
      <c r="A6839" s="11"/>
    </row>
    <row r="6840" spans="1:1" ht="15.75" x14ac:dyDescent="0.25">
      <c r="A6840" s="11"/>
    </row>
    <row r="6841" spans="1:1" ht="15.75" x14ac:dyDescent="0.25">
      <c r="A6841" s="11"/>
    </row>
    <row r="6842" spans="1:1" ht="15.75" x14ac:dyDescent="0.25">
      <c r="A6842" s="11"/>
    </row>
    <row r="6843" spans="1:1" ht="15.75" x14ac:dyDescent="0.25">
      <c r="A6843" s="11"/>
    </row>
    <row r="6844" spans="1:1" ht="15.75" x14ac:dyDescent="0.25">
      <c r="A6844" s="11"/>
    </row>
    <row r="6845" spans="1:1" ht="15.75" x14ac:dyDescent="0.25">
      <c r="A6845" s="11"/>
    </row>
    <row r="6846" spans="1:1" ht="15.75" x14ac:dyDescent="0.25">
      <c r="A6846" s="11"/>
    </row>
    <row r="6847" spans="1:1" ht="15.75" x14ac:dyDescent="0.25">
      <c r="A6847" s="11"/>
    </row>
    <row r="6848" spans="1:1" ht="15.75" x14ac:dyDescent="0.25">
      <c r="A6848" s="11"/>
    </row>
    <row r="6849" spans="1:1" ht="15.75" x14ac:dyDescent="0.25">
      <c r="A6849" s="11"/>
    </row>
    <row r="6850" spans="1:1" ht="15.75" x14ac:dyDescent="0.25">
      <c r="A6850" s="11"/>
    </row>
    <row r="6851" spans="1:1" ht="15.75" x14ac:dyDescent="0.25">
      <c r="A6851" s="11"/>
    </row>
    <row r="6852" spans="1:1" ht="15.75" x14ac:dyDescent="0.25">
      <c r="A6852" s="11"/>
    </row>
    <row r="6853" spans="1:1" ht="15.75" x14ac:dyDescent="0.25">
      <c r="A6853" s="11"/>
    </row>
    <row r="6854" spans="1:1" ht="15.75" x14ac:dyDescent="0.25">
      <c r="A6854" s="11"/>
    </row>
    <row r="6855" spans="1:1" ht="15.75" x14ac:dyDescent="0.25">
      <c r="A6855" s="11"/>
    </row>
    <row r="6856" spans="1:1" ht="15.75" x14ac:dyDescent="0.25">
      <c r="A6856" s="11"/>
    </row>
    <row r="6857" spans="1:1" ht="15.75" x14ac:dyDescent="0.25">
      <c r="A6857" s="11"/>
    </row>
    <row r="6858" spans="1:1" ht="15.75" x14ac:dyDescent="0.25">
      <c r="A6858" s="11"/>
    </row>
    <row r="6859" spans="1:1" ht="15.75" x14ac:dyDescent="0.25">
      <c r="A6859" s="11"/>
    </row>
    <row r="6860" spans="1:1" ht="15.75" x14ac:dyDescent="0.25">
      <c r="A6860" s="11"/>
    </row>
    <row r="6861" spans="1:1" ht="15.75" x14ac:dyDescent="0.25">
      <c r="A6861" s="11"/>
    </row>
    <row r="6862" spans="1:1" ht="15.75" x14ac:dyDescent="0.25">
      <c r="A6862" s="11"/>
    </row>
    <row r="6863" spans="1:1" ht="15.75" x14ac:dyDescent="0.25">
      <c r="A6863" s="11"/>
    </row>
    <row r="6864" spans="1:1" ht="15.75" x14ac:dyDescent="0.25">
      <c r="A6864" s="11"/>
    </row>
    <row r="6865" spans="1:1" ht="15.75" x14ac:dyDescent="0.25">
      <c r="A6865" s="11"/>
    </row>
    <row r="6866" spans="1:1" ht="15.75" x14ac:dyDescent="0.25">
      <c r="A6866" s="11"/>
    </row>
    <row r="6867" spans="1:1" ht="15.75" x14ac:dyDescent="0.25">
      <c r="A6867" s="11"/>
    </row>
    <row r="6868" spans="1:1" ht="15.75" x14ac:dyDescent="0.25">
      <c r="A6868" s="11"/>
    </row>
    <row r="6869" spans="1:1" ht="15.75" x14ac:dyDescent="0.25">
      <c r="A6869" s="11"/>
    </row>
    <row r="6870" spans="1:1" ht="15.75" x14ac:dyDescent="0.25">
      <c r="A6870" s="11"/>
    </row>
    <row r="6871" spans="1:1" ht="15.75" x14ac:dyDescent="0.25">
      <c r="A6871" s="11"/>
    </row>
    <row r="6872" spans="1:1" ht="15.75" x14ac:dyDescent="0.25">
      <c r="A6872" s="11"/>
    </row>
    <row r="6873" spans="1:1" ht="15.75" x14ac:dyDescent="0.25">
      <c r="A6873" s="11"/>
    </row>
    <row r="6874" spans="1:1" ht="15.75" x14ac:dyDescent="0.25">
      <c r="A6874" s="11"/>
    </row>
    <row r="6875" spans="1:1" ht="15.75" x14ac:dyDescent="0.25">
      <c r="A6875" s="11"/>
    </row>
    <row r="6876" spans="1:1" ht="15.75" x14ac:dyDescent="0.25">
      <c r="A6876" s="11"/>
    </row>
    <row r="6877" spans="1:1" ht="15.75" x14ac:dyDescent="0.25">
      <c r="A6877" s="11"/>
    </row>
    <row r="6878" spans="1:1" ht="15.75" x14ac:dyDescent="0.25">
      <c r="A6878" s="11"/>
    </row>
    <row r="6879" spans="1:1" ht="15.75" x14ac:dyDescent="0.25">
      <c r="A6879" s="11"/>
    </row>
    <row r="6880" spans="1:1" ht="15.75" x14ac:dyDescent="0.25">
      <c r="A6880" s="11"/>
    </row>
    <row r="6881" spans="1:1" ht="15.75" x14ac:dyDescent="0.25">
      <c r="A6881" s="11"/>
    </row>
    <row r="6882" spans="1:1" ht="15.75" x14ac:dyDescent="0.25">
      <c r="A6882" s="11"/>
    </row>
    <row r="6883" spans="1:1" ht="15.75" x14ac:dyDescent="0.25">
      <c r="A6883" s="11"/>
    </row>
    <row r="6884" spans="1:1" ht="15.75" x14ac:dyDescent="0.25">
      <c r="A6884" s="11"/>
    </row>
    <row r="6885" spans="1:1" ht="15.75" x14ac:dyDescent="0.25">
      <c r="A6885" s="11"/>
    </row>
    <row r="6886" spans="1:1" ht="15.75" x14ac:dyDescent="0.25">
      <c r="A6886" s="11"/>
    </row>
    <row r="6887" spans="1:1" ht="15.75" x14ac:dyDescent="0.25">
      <c r="A6887" s="11"/>
    </row>
    <row r="6888" spans="1:1" ht="15.75" x14ac:dyDescent="0.25">
      <c r="A6888" s="11"/>
    </row>
    <row r="6889" spans="1:1" ht="15.75" x14ac:dyDescent="0.25">
      <c r="A6889" s="11"/>
    </row>
    <row r="6890" spans="1:1" ht="15.75" x14ac:dyDescent="0.25">
      <c r="A6890" s="11"/>
    </row>
    <row r="6891" spans="1:1" ht="15.75" x14ac:dyDescent="0.25">
      <c r="A6891" s="11"/>
    </row>
    <row r="6892" spans="1:1" ht="15.75" x14ac:dyDescent="0.25">
      <c r="A6892" s="11"/>
    </row>
    <row r="6893" spans="1:1" ht="15.75" x14ac:dyDescent="0.25">
      <c r="A6893" s="11"/>
    </row>
    <row r="6894" spans="1:1" ht="15.75" x14ac:dyDescent="0.25">
      <c r="A6894" s="11"/>
    </row>
    <row r="6895" spans="1:1" ht="15.75" x14ac:dyDescent="0.25">
      <c r="A6895" s="11"/>
    </row>
    <row r="6896" spans="1:1" ht="15.75" x14ac:dyDescent="0.25">
      <c r="A6896" s="11"/>
    </row>
    <row r="6897" spans="1:1" ht="15.75" x14ac:dyDescent="0.25">
      <c r="A6897" s="11"/>
    </row>
    <row r="6898" spans="1:1" ht="15.75" x14ac:dyDescent="0.25">
      <c r="A6898" s="11"/>
    </row>
    <row r="6899" spans="1:1" ht="15.75" x14ac:dyDescent="0.25">
      <c r="A6899" s="11"/>
    </row>
    <row r="6900" spans="1:1" ht="15.75" x14ac:dyDescent="0.25">
      <c r="A6900" s="11"/>
    </row>
    <row r="6901" spans="1:1" ht="15.75" x14ac:dyDescent="0.25">
      <c r="A6901" s="11"/>
    </row>
    <row r="6902" spans="1:1" ht="15.75" x14ac:dyDescent="0.25">
      <c r="A6902" s="11"/>
    </row>
    <row r="6903" spans="1:1" ht="15.75" x14ac:dyDescent="0.25">
      <c r="A6903" s="11"/>
    </row>
    <row r="6904" spans="1:1" ht="15.75" x14ac:dyDescent="0.25">
      <c r="A6904" s="11"/>
    </row>
    <row r="6905" spans="1:1" ht="15.75" x14ac:dyDescent="0.25">
      <c r="A6905" s="11"/>
    </row>
    <row r="6906" spans="1:1" ht="15.75" x14ac:dyDescent="0.25">
      <c r="A6906" s="11"/>
    </row>
    <row r="6907" spans="1:1" ht="15.75" x14ac:dyDescent="0.25">
      <c r="A6907" s="11"/>
    </row>
    <row r="6908" spans="1:1" ht="15.75" x14ac:dyDescent="0.25">
      <c r="A6908" s="11"/>
    </row>
    <row r="6909" spans="1:1" ht="15.75" x14ac:dyDescent="0.25">
      <c r="A6909" s="11"/>
    </row>
    <row r="6910" spans="1:1" ht="15.75" x14ac:dyDescent="0.25">
      <c r="A6910" s="11"/>
    </row>
    <row r="6911" spans="1:1" ht="15.75" x14ac:dyDescent="0.25">
      <c r="A6911" s="11"/>
    </row>
    <row r="6912" spans="1:1" ht="15.75" x14ac:dyDescent="0.25">
      <c r="A6912" s="11"/>
    </row>
    <row r="6913" spans="1:1" ht="15.75" x14ac:dyDescent="0.25">
      <c r="A6913" s="11"/>
    </row>
    <row r="6914" spans="1:1" ht="15.75" x14ac:dyDescent="0.25">
      <c r="A6914" s="11"/>
    </row>
    <row r="6915" spans="1:1" ht="15.75" x14ac:dyDescent="0.25">
      <c r="A6915" s="11"/>
    </row>
    <row r="6916" spans="1:1" ht="15.75" x14ac:dyDescent="0.25">
      <c r="A6916" s="11"/>
    </row>
    <row r="6917" spans="1:1" ht="15.75" x14ac:dyDescent="0.25">
      <c r="A6917" s="11"/>
    </row>
    <row r="6918" spans="1:1" ht="15.75" x14ac:dyDescent="0.25">
      <c r="A6918" s="11"/>
    </row>
    <row r="6919" spans="1:1" ht="15.75" x14ac:dyDescent="0.25">
      <c r="A6919" s="11"/>
    </row>
    <row r="6920" spans="1:1" ht="15.75" x14ac:dyDescent="0.25">
      <c r="A6920" s="11"/>
    </row>
    <row r="6921" spans="1:1" ht="15.75" x14ac:dyDescent="0.25">
      <c r="A6921" s="11"/>
    </row>
    <row r="6922" spans="1:1" ht="15.75" x14ac:dyDescent="0.25">
      <c r="A6922" s="11"/>
    </row>
    <row r="6923" spans="1:1" ht="15.75" x14ac:dyDescent="0.25">
      <c r="A6923" s="11"/>
    </row>
    <row r="6924" spans="1:1" ht="15.75" x14ac:dyDescent="0.25">
      <c r="A6924" s="11"/>
    </row>
    <row r="6925" spans="1:1" ht="15.75" x14ac:dyDescent="0.25">
      <c r="A6925" s="11"/>
    </row>
    <row r="6926" spans="1:1" ht="15.75" x14ac:dyDescent="0.25">
      <c r="A6926" s="11"/>
    </row>
    <row r="6927" spans="1:1" ht="15.75" x14ac:dyDescent="0.25">
      <c r="A6927" s="11"/>
    </row>
    <row r="6928" spans="1:1" ht="15.75" x14ac:dyDescent="0.25">
      <c r="A6928" s="11"/>
    </row>
    <row r="6929" spans="1:1" ht="15.75" x14ac:dyDescent="0.25">
      <c r="A6929" s="11"/>
    </row>
    <row r="6930" spans="1:1" ht="15.75" x14ac:dyDescent="0.25">
      <c r="A6930" s="11"/>
    </row>
    <row r="6931" spans="1:1" ht="15.75" x14ac:dyDescent="0.25">
      <c r="A6931" s="11"/>
    </row>
    <row r="6932" spans="1:1" ht="15.75" x14ac:dyDescent="0.25">
      <c r="A6932" s="11"/>
    </row>
    <row r="6933" spans="1:1" ht="15.75" x14ac:dyDescent="0.25">
      <c r="A6933" s="11"/>
    </row>
    <row r="6934" spans="1:1" ht="15.75" x14ac:dyDescent="0.25">
      <c r="A6934" s="11"/>
    </row>
    <row r="6935" spans="1:1" ht="15.75" x14ac:dyDescent="0.25">
      <c r="A6935" s="11"/>
    </row>
    <row r="6936" spans="1:1" ht="15.75" x14ac:dyDescent="0.25">
      <c r="A6936" s="11"/>
    </row>
    <row r="6937" spans="1:1" ht="15.75" x14ac:dyDescent="0.25">
      <c r="A6937" s="11"/>
    </row>
    <row r="6938" spans="1:1" ht="15.75" x14ac:dyDescent="0.25">
      <c r="A6938" s="11"/>
    </row>
    <row r="6939" spans="1:1" ht="15.75" x14ac:dyDescent="0.25">
      <c r="A6939" s="11"/>
    </row>
    <row r="6940" spans="1:1" ht="15.75" x14ac:dyDescent="0.25">
      <c r="A6940" s="11"/>
    </row>
    <row r="6941" spans="1:1" ht="15.75" x14ac:dyDescent="0.25">
      <c r="A6941" s="11"/>
    </row>
    <row r="6942" spans="1:1" ht="15.75" x14ac:dyDescent="0.25">
      <c r="A6942" s="11"/>
    </row>
    <row r="6943" spans="1:1" ht="15.75" x14ac:dyDescent="0.25">
      <c r="A6943" s="11"/>
    </row>
    <row r="6944" spans="1:1" ht="15.75" x14ac:dyDescent="0.25">
      <c r="A6944" s="11"/>
    </row>
    <row r="6945" spans="1:1" ht="15.75" x14ac:dyDescent="0.25">
      <c r="A6945" s="11"/>
    </row>
    <row r="6946" spans="1:1" ht="15.75" x14ac:dyDescent="0.25">
      <c r="A6946" s="11"/>
    </row>
    <row r="6947" spans="1:1" ht="15.75" x14ac:dyDescent="0.25">
      <c r="A6947" s="11"/>
    </row>
    <row r="6948" spans="1:1" ht="15.75" x14ac:dyDescent="0.25">
      <c r="A6948" s="11"/>
    </row>
    <row r="6949" spans="1:1" ht="15.75" x14ac:dyDescent="0.25">
      <c r="A6949" s="11"/>
    </row>
    <row r="6950" spans="1:1" ht="15.75" x14ac:dyDescent="0.25">
      <c r="A6950" s="11"/>
    </row>
    <row r="6951" spans="1:1" ht="15.75" x14ac:dyDescent="0.25">
      <c r="A6951" s="11"/>
    </row>
    <row r="6952" spans="1:1" ht="15.75" x14ac:dyDescent="0.25">
      <c r="A6952" s="11"/>
    </row>
    <row r="6953" spans="1:1" ht="15.75" x14ac:dyDescent="0.25">
      <c r="A6953" s="11"/>
    </row>
    <row r="6954" spans="1:1" ht="15.75" x14ac:dyDescent="0.25">
      <c r="A6954" s="11"/>
    </row>
    <row r="6955" spans="1:1" ht="15.75" x14ac:dyDescent="0.25">
      <c r="A6955" s="11"/>
    </row>
    <row r="6956" spans="1:1" ht="15.75" x14ac:dyDescent="0.25">
      <c r="A6956" s="11"/>
    </row>
    <row r="6957" spans="1:1" ht="15.75" x14ac:dyDescent="0.25">
      <c r="A6957" s="11"/>
    </row>
    <row r="6958" spans="1:1" ht="15.75" x14ac:dyDescent="0.25">
      <c r="A6958" s="11"/>
    </row>
    <row r="6959" spans="1:1" ht="15.75" x14ac:dyDescent="0.25">
      <c r="A6959" s="11"/>
    </row>
    <row r="6960" spans="1:1" ht="15.75" x14ac:dyDescent="0.25">
      <c r="A6960" s="11"/>
    </row>
    <row r="6961" spans="1:1" ht="15.75" x14ac:dyDescent="0.25">
      <c r="A6961" s="11"/>
    </row>
    <row r="6962" spans="1:1" ht="15.75" x14ac:dyDescent="0.25">
      <c r="A6962" s="11"/>
    </row>
    <row r="6963" spans="1:1" ht="15.75" x14ac:dyDescent="0.25">
      <c r="A6963" s="11"/>
    </row>
    <row r="6964" spans="1:1" ht="15.75" x14ac:dyDescent="0.25">
      <c r="A6964" s="11"/>
    </row>
    <row r="6965" spans="1:1" ht="15.75" x14ac:dyDescent="0.25">
      <c r="A6965" s="11"/>
    </row>
    <row r="6966" spans="1:1" ht="15.75" x14ac:dyDescent="0.25">
      <c r="A6966" s="11"/>
    </row>
    <row r="6967" spans="1:1" ht="15.75" x14ac:dyDescent="0.25">
      <c r="A6967" s="11"/>
    </row>
    <row r="6968" spans="1:1" ht="15.75" x14ac:dyDescent="0.25">
      <c r="A6968" s="11"/>
    </row>
    <row r="6969" spans="1:1" ht="15.75" x14ac:dyDescent="0.25">
      <c r="A6969" s="11"/>
    </row>
    <row r="6970" spans="1:1" ht="15.75" x14ac:dyDescent="0.25">
      <c r="A6970" s="11"/>
    </row>
    <row r="6971" spans="1:1" ht="15.75" x14ac:dyDescent="0.25">
      <c r="A6971" s="11"/>
    </row>
    <row r="6972" spans="1:1" ht="15.75" x14ac:dyDescent="0.25">
      <c r="A6972" s="11"/>
    </row>
    <row r="6973" spans="1:1" ht="15.75" x14ac:dyDescent="0.25">
      <c r="A6973" s="11"/>
    </row>
    <row r="6974" spans="1:1" ht="15.75" x14ac:dyDescent="0.25">
      <c r="A6974" s="11"/>
    </row>
    <row r="6975" spans="1:1" ht="15.75" x14ac:dyDescent="0.25">
      <c r="A6975" s="11"/>
    </row>
    <row r="6976" spans="1:1" ht="15.75" x14ac:dyDescent="0.25">
      <c r="A6976" s="11"/>
    </row>
    <row r="6977" spans="1:1" ht="15.75" x14ac:dyDescent="0.25">
      <c r="A6977" s="11"/>
    </row>
    <row r="6978" spans="1:1" ht="15.75" x14ac:dyDescent="0.25">
      <c r="A6978" s="11"/>
    </row>
    <row r="6979" spans="1:1" ht="15.75" x14ac:dyDescent="0.25">
      <c r="A6979" s="11"/>
    </row>
    <row r="6980" spans="1:1" ht="15.75" x14ac:dyDescent="0.25">
      <c r="A6980" s="11"/>
    </row>
    <row r="6981" spans="1:1" ht="15.75" x14ac:dyDescent="0.25">
      <c r="A6981" s="11"/>
    </row>
    <row r="6982" spans="1:1" ht="15.75" x14ac:dyDescent="0.25">
      <c r="A6982" s="11"/>
    </row>
    <row r="6983" spans="1:1" ht="15.75" x14ac:dyDescent="0.25">
      <c r="A6983" s="11"/>
    </row>
    <row r="6984" spans="1:1" ht="15.75" x14ac:dyDescent="0.25">
      <c r="A6984" s="11"/>
    </row>
    <row r="6985" spans="1:1" ht="15.75" x14ac:dyDescent="0.25">
      <c r="A6985" s="11"/>
    </row>
    <row r="6986" spans="1:1" ht="15.75" x14ac:dyDescent="0.25">
      <c r="A6986" s="11"/>
    </row>
    <row r="6987" spans="1:1" ht="15.75" x14ac:dyDescent="0.25">
      <c r="A6987" s="11"/>
    </row>
    <row r="6988" spans="1:1" ht="15.75" x14ac:dyDescent="0.25">
      <c r="A6988" s="11"/>
    </row>
    <row r="6989" spans="1:1" ht="15.75" x14ac:dyDescent="0.25">
      <c r="A6989" s="11"/>
    </row>
    <row r="6990" spans="1:1" ht="15.75" x14ac:dyDescent="0.25">
      <c r="A6990" s="11"/>
    </row>
    <row r="6991" spans="1:1" ht="15.75" x14ac:dyDescent="0.25">
      <c r="A6991" s="11"/>
    </row>
    <row r="6992" spans="1:1" ht="15.75" x14ac:dyDescent="0.25">
      <c r="A6992" s="11"/>
    </row>
    <row r="6993" spans="1:1" ht="15.75" x14ac:dyDescent="0.25">
      <c r="A6993" s="11"/>
    </row>
    <row r="6994" spans="1:1" ht="15.75" x14ac:dyDescent="0.25">
      <c r="A6994" s="11"/>
    </row>
    <row r="6995" spans="1:1" ht="15.75" x14ac:dyDescent="0.25">
      <c r="A6995" s="11"/>
    </row>
    <row r="6996" spans="1:1" ht="15.75" x14ac:dyDescent="0.25">
      <c r="A6996" s="11"/>
    </row>
    <row r="6997" spans="1:1" ht="15.75" x14ac:dyDescent="0.25">
      <c r="A6997" s="11"/>
    </row>
    <row r="6998" spans="1:1" ht="15.75" x14ac:dyDescent="0.25">
      <c r="A6998" s="11"/>
    </row>
    <row r="6999" spans="1:1" ht="15.75" x14ac:dyDescent="0.25">
      <c r="A6999" s="11"/>
    </row>
    <row r="7000" spans="1:1" ht="15.75" x14ac:dyDescent="0.25">
      <c r="A7000" s="11"/>
    </row>
    <row r="7001" spans="1:1" ht="15.75" x14ac:dyDescent="0.25">
      <c r="A7001" s="11"/>
    </row>
    <row r="7002" spans="1:1" ht="15.75" x14ac:dyDescent="0.25">
      <c r="A7002" s="11"/>
    </row>
    <row r="7003" spans="1:1" ht="15.75" x14ac:dyDescent="0.25">
      <c r="A7003" s="11"/>
    </row>
    <row r="7004" spans="1:1" ht="15.75" x14ac:dyDescent="0.25">
      <c r="A7004" s="11"/>
    </row>
    <row r="7005" spans="1:1" ht="15.75" x14ac:dyDescent="0.25">
      <c r="A7005" s="11"/>
    </row>
    <row r="7006" spans="1:1" ht="15.75" x14ac:dyDescent="0.25">
      <c r="A7006" s="11"/>
    </row>
    <row r="7007" spans="1:1" ht="15.75" x14ac:dyDescent="0.25">
      <c r="A7007" s="11"/>
    </row>
    <row r="7008" spans="1:1" ht="15.75" x14ac:dyDescent="0.25">
      <c r="A7008" s="11"/>
    </row>
    <row r="7009" spans="1:1" ht="15.75" x14ac:dyDescent="0.25">
      <c r="A7009" s="11"/>
    </row>
    <row r="7010" spans="1:1" ht="15.75" x14ac:dyDescent="0.25">
      <c r="A7010" s="11"/>
    </row>
    <row r="7011" spans="1:1" ht="15.75" x14ac:dyDescent="0.25">
      <c r="A7011" s="11"/>
    </row>
    <row r="7012" spans="1:1" ht="15.75" x14ac:dyDescent="0.25">
      <c r="A7012" s="11"/>
    </row>
    <row r="7013" spans="1:1" ht="15.75" x14ac:dyDescent="0.25">
      <c r="A7013" s="11"/>
    </row>
    <row r="7014" spans="1:1" ht="15.75" x14ac:dyDescent="0.25">
      <c r="A7014" s="11"/>
    </row>
    <row r="7015" spans="1:1" ht="15.75" x14ac:dyDescent="0.25">
      <c r="A7015" s="11"/>
    </row>
    <row r="7016" spans="1:1" ht="15.75" x14ac:dyDescent="0.25">
      <c r="A7016" s="11"/>
    </row>
    <row r="7017" spans="1:1" ht="15.75" x14ac:dyDescent="0.25">
      <c r="A7017" s="11"/>
    </row>
    <row r="7018" spans="1:1" ht="15.75" x14ac:dyDescent="0.25">
      <c r="A7018" s="11"/>
    </row>
    <row r="7019" spans="1:1" ht="15.75" x14ac:dyDescent="0.25">
      <c r="A7019" s="11"/>
    </row>
    <row r="7020" spans="1:1" ht="15.75" x14ac:dyDescent="0.25">
      <c r="A7020" s="11"/>
    </row>
    <row r="7021" spans="1:1" ht="15.75" x14ac:dyDescent="0.25">
      <c r="A7021" s="11"/>
    </row>
    <row r="7022" spans="1:1" ht="15.75" x14ac:dyDescent="0.25">
      <c r="A7022" s="11"/>
    </row>
    <row r="7023" spans="1:1" ht="15.75" x14ac:dyDescent="0.25">
      <c r="A7023" s="11"/>
    </row>
    <row r="7024" spans="1:1" ht="15.75" x14ac:dyDescent="0.25">
      <c r="A7024" s="11"/>
    </row>
    <row r="7025" spans="1:1" ht="15.75" x14ac:dyDescent="0.25">
      <c r="A7025" s="11"/>
    </row>
    <row r="7026" spans="1:1" ht="15.75" x14ac:dyDescent="0.25">
      <c r="A7026" s="11"/>
    </row>
    <row r="7027" spans="1:1" ht="15.75" x14ac:dyDescent="0.25">
      <c r="A7027" s="11"/>
    </row>
    <row r="7028" spans="1:1" ht="15.75" x14ac:dyDescent="0.25">
      <c r="A7028" s="11"/>
    </row>
    <row r="7029" spans="1:1" ht="15.75" x14ac:dyDescent="0.25">
      <c r="A7029" s="11"/>
    </row>
    <row r="7030" spans="1:1" ht="15.75" x14ac:dyDescent="0.25">
      <c r="A7030" s="11"/>
    </row>
    <row r="7031" spans="1:1" ht="15.75" x14ac:dyDescent="0.25">
      <c r="A7031" s="11"/>
    </row>
    <row r="7032" spans="1:1" ht="15.75" x14ac:dyDescent="0.25">
      <c r="A7032" s="11"/>
    </row>
    <row r="7033" spans="1:1" ht="15.75" x14ac:dyDescent="0.25">
      <c r="A7033" s="11"/>
    </row>
    <row r="7034" spans="1:1" ht="15.75" x14ac:dyDescent="0.25">
      <c r="A7034" s="11"/>
    </row>
    <row r="7035" spans="1:1" ht="15.75" x14ac:dyDescent="0.25">
      <c r="A7035" s="11"/>
    </row>
    <row r="7036" spans="1:1" ht="15.75" x14ac:dyDescent="0.25">
      <c r="A7036" s="11"/>
    </row>
    <row r="7037" spans="1:1" ht="15.75" x14ac:dyDescent="0.25">
      <c r="A7037" s="11"/>
    </row>
    <row r="7038" spans="1:1" ht="15.75" x14ac:dyDescent="0.25">
      <c r="A7038" s="11"/>
    </row>
    <row r="7039" spans="1:1" ht="15.75" x14ac:dyDescent="0.25">
      <c r="A7039" s="11"/>
    </row>
    <row r="7040" spans="1:1" ht="15.75" x14ac:dyDescent="0.25">
      <c r="A7040" s="11"/>
    </row>
    <row r="7041" spans="1:1" ht="15.75" x14ac:dyDescent="0.25">
      <c r="A7041" s="11"/>
    </row>
    <row r="7042" spans="1:1" ht="15.75" x14ac:dyDescent="0.25">
      <c r="A7042" s="11"/>
    </row>
    <row r="7043" spans="1:1" ht="15.75" x14ac:dyDescent="0.25">
      <c r="A7043" s="11"/>
    </row>
    <row r="7044" spans="1:1" ht="15.75" x14ac:dyDescent="0.25">
      <c r="A7044" s="11"/>
    </row>
    <row r="7045" spans="1:1" ht="15.75" x14ac:dyDescent="0.25">
      <c r="A7045" s="11"/>
    </row>
    <row r="7046" spans="1:1" ht="15.75" x14ac:dyDescent="0.25">
      <c r="A7046" s="11"/>
    </row>
    <row r="7047" spans="1:1" ht="15.75" x14ac:dyDescent="0.25">
      <c r="A7047" s="11"/>
    </row>
    <row r="7048" spans="1:1" ht="15.75" x14ac:dyDescent="0.25">
      <c r="A7048" s="11"/>
    </row>
    <row r="7049" spans="1:1" ht="15.75" x14ac:dyDescent="0.25">
      <c r="A7049" s="11"/>
    </row>
    <row r="7050" spans="1:1" ht="15.75" x14ac:dyDescent="0.25">
      <c r="A7050" s="11"/>
    </row>
    <row r="7051" spans="1:1" ht="15.75" x14ac:dyDescent="0.25">
      <c r="A7051" s="11"/>
    </row>
    <row r="7052" spans="1:1" ht="15.75" x14ac:dyDescent="0.25">
      <c r="A7052" s="11"/>
    </row>
    <row r="7053" spans="1:1" ht="15.75" x14ac:dyDescent="0.25">
      <c r="A7053" s="11"/>
    </row>
    <row r="7054" spans="1:1" ht="15.75" x14ac:dyDescent="0.25">
      <c r="A7054" s="11"/>
    </row>
    <row r="7055" spans="1:1" ht="15.75" x14ac:dyDescent="0.25">
      <c r="A7055" s="11"/>
    </row>
    <row r="7056" spans="1:1" ht="15.75" x14ac:dyDescent="0.25">
      <c r="A7056" s="11"/>
    </row>
    <row r="7057" spans="1:1" ht="15.75" x14ac:dyDescent="0.25">
      <c r="A7057" s="11"/>
    </row>
    <row r="7058" spans="1:1" ht="15.75" x14ac:dyDescent="0.25">
      <c r="A7058" s="11"/>
    </row>
    <row r="7059" spans="1:1" ht="15.75" x14ac:dyDescent="0.25">
      <c r="A7059" s="11"/>
    </row>
    <row r="7060" spans="1:1" ht="15.75" x14ac:dyDescent="0.25">
      <c r="A7060" s="11"/>
    </row>
    <row r="7061" spans="1:1" ht="15.75" x14ac:dyDescent="0.25">
      <c r="A7061" s="11"/>
    </row>
    <row r="7062" spans="1:1" ht="15.75" x14ac:dyDescent="0.25">
      <c r="A7062" s="11"/>
    </row>
    <row r="7063" spans="1:1" ht="15.75" x14ac:dyDescent="0.25">
      <c r="A7063" s="11"/>
    </row>
    <row r="7064" spans="1:1" ht="15.75" x14ac:dyDescent="0.25">
      <c r="A7064" s="11"/>
    </row>
    <row r="7065" spans="1:1" ht="15.75" x14ac:dyDescent="0.25">
      <c r="A7065" s="11"/>
    </row>
    <row r="7066" spans="1:1" ht="15.75" x14ac:dyDescent="0.25">
      <c r="A7066" s="11"/>
    </row>
    <row r="7067" spans="1:1" ht="15.75" x14ac:dyDescent="0.25">
      <c r="A7067" s="11"/>
    </row>
    <row r="7068" spans="1:1" ht="15.75" x14ac:dyDescent="0.25">
      <c r="A7068" s="11"/>
    </row>
    <row r="7069" spans="1:1" ht="15.75" x14ac:dyDescent="0.25">
      <c r="A7069" s="11"/>
    </row>
    <row r="7070" spans="1:1" ht="15.75" x14ac:dyDescent="0.25">
      <c r="A7070" s="11"/>
    </row>
    <row r="7071" spans="1:1" ht="15.75" x14ac:dyDescent="0.25">
      <c r="A7071" s="11"/>
    </row>
    <row r="7072" spans="1:1" ht="15.75" x14ac:dyDescent="0.25">
      <c r="A7072" s="11"/>
    </row>
    <row r="7073" spans="1:1" ht="15.75" x14ac:dyDescent="0.25">
      <c r="A7073" s="11"/>
    </row>
    <row r="7074" spans="1:1" ht="15.75" x14ac:dyDescent="0.25">
      <c r="A7074" s="11"/>
    </row>
    <row r="7075" spans="1:1" ht="15.75" x14ac:dyDescent="0.25">
      <c r="A7075" s="11"/>
    </row>
    <row r="7076" spans="1:1" ht="15.75" x14ac:dyDescent="0.25">
      <c r="A7076" s="11"/>
    </row>
    <row r="7077" spans="1:1" ht="15.75" x14ac:dyDescent="0.25">
      <c r="A7077" s="11"/>
    </row>
    <row r="7078" spans="1:1" ht="15.75" x14ac:dyDescent="0.25">
      <c r="A7078" s="11"/>
    </row>
    <row r="7079" spans="1:1" ht="15.75" x14ac:dyDescent="0.25">
      <c r="A7079" s="11"/>
    </row>
    <row r="7080" spans="1:1" ht="15.75" x14ac:dyDescent="0.25">
      <c r="A7080" s="11"/>
    </row>
    <row r="7081" spans="1:1" ht="15.75" x14ac:dyDescent="0.25">
      <c r="A7081" s="11"/>
    </row>
    <row r="7082" spans="1:1" ht="15.75" x14ac:dyDescent="0.25">
      <c r="A7082" s="11"/>
    </row>
    <row r="7083" spans="1:1" ht="15.75" x14ac:dyDescent="0.25">
      <c r="A7083" s="11"/>
    </row>
    <row r="7084" spans="1:1" ht="15.75" x14ac:dyDescent="0.25">
      <c r="A7084" s="11"/>
    </row>
    <row r="7085" spans="1:1" ht="15.75" x14ac:dyDescent="0.25">
      <c r="A7085" s="11"/>
    </row>
    <row r="7086" spans="1:1" ht="15.75" x14ac:dyDescent="0.25">
      <c r="A7086" s="11"/>
    </row>
    <row r="7087" spans="1:1" ht="15.75" x14ac:dyDescent="0.25">
      <c r="A7087" s="11"/>
    </row>
    <row r="7088" spans="1:1" ht="15.75" x14ac:dyDescent="0.25">
      <c r="A7088" s="11"/>
    </row>
    <row r="7089" spans="1:1" ht="15.75" x14ac:dyDescent="0.25">
      <c r="A7089" s="11"/>
    </row>
    <row r="7090" spans="1:1" ht="15.75" x14ac:dyDescent="0.25">
      <c r="A7090" s="11"/>
    </row>
    <row r="7091" spans="1:1" ht="15.75" x14ac:dyDescent="0.25">
      <c r="A7091" s="11"/>
    </row>
    <row r="7092" spans="1:1" ht="15.75" x14ac:dyDescent="0.25">
      <c r="A7092" s="11"/>
    </row>
    <row r="7093" spans="1:1" ht="15.75" x14ac:dyDescent="0.25">
      <c r="A7093" s="11"/>
    </row>
    <row r="7094" spans="1:1" ht="15.75" x14ac:dyDescent="0.25">
      <c r="A7094" s="11"/>
    </row>
    <row r="7095" spans="1:1" ht="15.75" x14ac:dyDescent="0.25">
      <c r="A7095" s="11"/>
    </row>
    <row r="7096" spans="1:1" ht="15.75" x14ac:dyDescent="0.25">
      <c r="A7096" s="11"/>
    </row>
    <row r="7097" spans="1:1" ht="15.75" x14ac:dyDescent="0.25">
      <c r="A7097" s="11"/>
    </row>
    <row r="7098" spans="1:1" ht="15.75" x14ac:dyDescent="0.25">
      <c r="A7098" s="11"/>
    </row>
    <row r="7099" spans="1:1" ht="15.75" x14ac:dyDescent="0.25">
      <c r="A7099" s="11"/>
    </row>
    <row r="7100" spans="1:1" ht="15.75" x14ac:dyDescent="0.25">
      <c r="A7100" s="11"/>
    </row>
    <row r="7101" spans="1:1" ht="15.75" x14ac:dyDescent="0.25">
      <c r="A7101" s="11"/>
    </row>
    <row r="7102" spans="1:1" ht="15.75" x14ac:dyDescent="0.25">
      <c r="A7102" s="11"/>
    </row>
    <row r="7103" spans="1:1" ht="15.75" x14ac:dyDescent="0.25">
      <c r="A7103" s="11"/>
    </row>
    <row r="7104" spans="1:1" ht="15.75" x14ac:dyDescent="0.25">
      <c r="A7104" s="11"/>
    </row>
    <row r="7105" spans="1:1" ht="15.75" x14ac:dyDescent="0.25">
      <c r="A7105" s="11"/>
    </row>
    <row r="7106" spans="1:1" ht="15.75" x14ac:dyDescent="0.25">
      <c r="A7106" s="11"/>
    </row>
    <row r="7107" spans="1:1" ht="15.75" x14ac:dyDescent="0.25">
      <c r="A7107" s="11"/>
    </row>
    <row r="7108" spans="1:1" ht="15.75" x14ac:dyDescent="0.25">
      <c r="A7108" s="11"/>
    </row>
    <row r="7109" spans="1:1" ht="15.75" x14ac:dyDescent="0.25">
      <c r="A7109" s="11"/>
    </row>
    <row r="7110" spans="1:1" ht="15.75" x14ac:dyDescent="0.25">
      <c r="A7110" s="11"/>
    </row>
    <row r="7111" spans="1:1" ht="15.75" x14ac:dyDescent="0.25">
      <c r="A7111" s="11"/>
    </row>
    <row r="7112" spans="1:1" ht="15.75" x14ac:dyDescent="0.25">
      <c r="A7112" s="11"/>
    </row>
    <row r="7113" spans="1:1" ht="15.75" x14ac:dyDescent="0.25">
      <c r="A7113" s="11"/>
    </row>
    <row r="7114" spans="1:1" ht="15.75" x14ac:dyDescent="0.25">
      <c r="A7114" s="11"/>
    </row>
    <row r="7115" spans="1:1" ht="15.75" x14ac:dyDescent="0.25">
      <c r="A7115" s="11"/>
    </row>
    <row r="7116" spans="1:1" ht="15.75" x14ac:dyDescent="0.25">
      <c r="A7116" s="11"/>
    </row>
    <row r="7117" spans="1:1" ht="15.75" x14ac:dyDescent="0.25">
      <c r="A7117" s="11"/>
    </row>
    <row r="7118" spans="1:1" ht="15.75" x14ac:dyDescent="0.25">
      <c r="A7118" s="11"/>
    </row>
    <row r="7119" spans="1:1" ht="15.75" x14ac:dyDescent="0.25">
      <c r="A7119" s="11"/>
    </row>
    <row r="7120" spans="1:1" ht="15.75" x14ac:dyDescent="0.25">
      <c r="A7120" s="11"/>
    </row>
    <row r="7121" spans="1:1" ht="15.75" x14ac:dyDescent="0.25">
      <c r="A7121" s="11"/>
    </row>
    <row r="7122" spans="1:1" ht="15.75" x14ac:dyDescent="0.25">
      <c r="A7122" s="11"/>
    </row>
    <row r="7123" spans="1:1" ht="15.75" x14ac:dyDescent="0.25">
      <c r="A7123" s="11"/>
    </row>
    <row r="7124" spans="1:1" ht="15.75" x14ac:dyDescent="0.25">
      <c r="A7124" s="11"/>
    </row>
    <row r="7125" spans="1:1" ht="15.75" x14ac:dyDescent="0.25">
      <c r="A7125" s="11"/>
    </row>
    <row r="7126" spans="1:1" ht="15.75" x14ac:dyDescent="0.25">
      <c r="A7126" s="11"/>
    </row>
    <row r="7127" spans="1:1" ht="15.75" x14ac:dyDescent="0.25">
      <c r="A7127" s="11"/>
    </row>
    <row r="7128" spans="1:1" ht="15.75" x14ac:dyDescent="0.25">
      <c r="A7128" s="11"/>
    </row>
    <row r="7129" spans="1:1" ht="15.75" x14ac:dyDescent="0.25">
      <c r="A7129" s="11"/>
    </row>
    <row r="7130" spans="1:1" ht="15.75" x14ac:dyDescent="0.25">
      <c r="A7130" s="11"/>
    </row>
    <row r="7131" spans="1:1" ht="15.75" x14ac:dyDescent="0.25">
      <c r="A7131" s="11"/>
    </row>
    <row r="7132" spans="1:1" ht="15.75" x14ac:dyDescent="0.25">
      <c r="A7132" s="11"/>
    </row>
    <row r="7133" spans="1:1" ht="15.75" x14ac:dyDescent="0.25">
      <c r="A7133" s="11"/>
    </row>
    <row r="7134" spans="1:1" ht="15.75" x14ac:dyDescent="0.25">
      <c r="A7134" s="11"/>
    </row>
    <row r="7135" spans="1:1" ht="15.75" x14ac:dyDescent="0.25">
      <c r="A7135" s="11"/>
    </row>
    <row r="7136" spans="1:1" ht="15.75" x14ac:dyDescent="0.25">
      <c r="A7136" s="11"/>
    </row>
    <row r="7137" spans="1:1" ht="15.75" x14ac:dyDescent="0.25">
      <c r="A7137" s="11"/>
    </row>
    <row r="7138" spans="1:1" ht="15.75" x14ac:dyDescent="0.25">
      <c r="A7138" s="11"/>
    </row>
    <row r="7139" spans="1:1" ht="15.75" x14ac:dyDescent="0.25">
      <c r="A7139" s="11"/>
    </row>
    <row r="7140" spans="1:1" ht="15.75" x14ac:dyDescent="0.25">
      <c r="A7140" s="11"/>
    </row>
    <row r="7141" spans="1:1" ht="15.75" x14ac:dyDescent="0.25">
      <c r="A7141" s="11"/>
    </row>
    <row r="7142" spans="1:1" ht="15.75" x14ac:dyDescent="0.25">
      <c r="A7142" s="11"/>
    </row>
    <row r="7143" spans="1:1" ht="15.75" x14ac:dyDescent="0.25">
      <c r="A7143" s="11"/>
    </row>
    <row r="7144" spans="1:1" ht="15.75" x14ac:dyDescent="0.25">
      <c r="A7144" s="11"/>
    </row>
    <row r="7145" spans="1:1" ht="15.75" x14ac:dyDescent="0.25">
      <c r="A7145" s="11"/>
    </row>
    <row r="7146" spans="1:1" ht="15.75" x14ac:dyDescent="0.25">
      <c r="A7146" s="11"/>
    </row>
    <row r="7147" spans="1:1" ht="15.75" x14ac:dyDescent="0.25">
      <c r="A7147" s="11"/>
    </row>
    <row r="7148" spans="1:1" ht="15.75" x14ac:dyDescent="0.25">
      <c r="A7148" s="11"/>
    </row>
    <row r="7149" spans="1:1" ht="15.75" x14ac:dyDescent="0.25">
      <c r="A7149" s="11"/>
    </row>
    <row r="7150" spans="1:1" ht="15.75" x14ac:dyDescent="0.25">
      <c r="A7150" s="11"/>
    </row>
    <row r="7151" spans="1:1" ht="15.75" x14ac:dyDescent="0.25">
      <c r="A7151" s="11"/>
    </row>
    <row r="7152" spans="1:1" ht="15.75" x14ac:dyDescent="0.25">
      <c r="A7152" s="11"/>
    </row>
    <row r="7153" spans="1:1" ht="15.75" x14ac:dyDescent="0.25">
      <c r="A7153" s="11"/>
    </row>
    <row r="7154" spans="1:1" ht="15.75" x14ac:dyDescent="0.25">
      <c r="A7154" s="11"/>
    </row>
    <row r="7155" spans="1:1" ht="15.75" x14ac:dyDescent="0.25">
      <c r="A7155" s="11"/>
    </row>
    <row r="7156" spans="1:1" ht="15.75" x14ac:dyDescent="0.25">
      <c r="A7156" s="11"/>
    </row>
    <row r="7157" spans="1:1" ht="15.75" x14ac:dyDescent="0.25">
      <c r="A7157" s="11"/>
    </row>
    <row r="7158" spans="1:1" ht="15.75" x14ac:dyDescent="0.25">
      <c r="A7158" s="11"/>
    </row>
    <row r="7159" spans="1:1" ht="15.75" x14ac:dyDescent="0.25">
      <c r="A7159" s="11"/>
    </row>
    <row r="7160" spans="1:1" ht="15.75" x14ac:dyDescent="0.25">
      <c r="A7160" s="11"/>
    </row>
    <row r="7161" spans="1:1" ht="15.75" x14ac:dyDescent="0.25">
      <c r="A7161" s="11"/>
    </row>
    <row r="7162" spans="1:1" ht="15.75" x14ac:dyDescent="0.25">
      <c r="A7162" s="11"/>
    </row>
    <row r="7163" spans="1:1" ht="15.75" x14ac:dyDescent="0.25">
      <c r="A7163" s="11"/>
    </row>
    <row r="7164" spans="1:1" ht="15.75" x14ac:dyDescent="0.25">
      <c r="A7164" s="11"/>
    </row>
    <row r="7165" spans="1:1" ht="15.75" x14ac:dyDescent="0.25">
      <c r="A7165" s="11"/>
    </row>
    <row r="7166" spans="1:1" ht="15.75" x14ac:dyDescent="0.25">
      <c r="A7166" s="11"/>
    </row>
    <row r="7167" spans="1:1" ht="15.75" x14ac:dyDescent="0.25">
      <c r="A7167" s="11"/>
    </row>
    <row r="7168" spans="1:1" ht="15.75" x14ac:dyDescent="0.25">
      <c r="A7168" s="11"/>
    </row>
    <row r="7169" spans="1:1" ht="15.75" x14ac:dyDescent="0.25">
      <c r="A7169" s="11"/>
    </row>
    <row r="7170" spans="1:1" ht="15.75" x14ac:dyDescent="0.25">
      <c r="A7170" s="11"/>
    </row>
    <row r="7171" spans="1:1" ht="15.75" x14ac:dyDescent="0.25">
      <c r="A7171" s="11"/>
    </row>
    <row r="7172" spans="1:1" ht="15.75" x14ac:dyDescent="0.25">
      <c r="A7172" s="11"/>
    </row>
    <row r="7173" spans="1:1" ht="15.75" x14ac:dyDescent="0.25">
      <c r="A7173" s="11"/>
    </row>
    <row r="7174" spans="1:1" ht="15.75" x14ac:dyDescent="0.25">
      <c r="A7174" s="11"/>
    </row>
    <row r="7175" spans="1:1" ht="15.75" x14ac:dyDescent="0.25">
      <c r="A7175" s="11"/>
    </row>
    <row r="7176" spans="1:1" ht="15.75" x14ac:dyDescent="0.25">
      <c r="A7176" s="11"/>
    </row>
    <row r="7177" spans="1:1" ht="15.75" x14ac:dyDescent="0.25">
      <c r="A7177" s="11"/>
    </row>
    <row r="7178" spans="1:1" ht="15.75" x14ac:dyDescent="0.25">
      <c r="A7178" s="11"/>
    </row>
    <row r="7179" spans="1:1" ht="15.75" x14ac:dyDescent="0.25">
      <c r="A7179" s="11"/>
    </row>
    <row r="7180" spans="1:1" ht="15.75" x14ac:dyDescent="0.25">
      <c r="A7180" s="11"/>
    </row>
    <row r="7181" spans="1:1" ht="15.75" x14ac:dyDescent="0.25">
      <c r="A7181" s="11"/>
    </row>
    <row r="7182" spans="1:1" ht="15.75" x14ac:dyDescent="0.25">
      <c r="A7182" s="11"/>
    </row>
    <row r="7183" spans="1:1" ht="15.75" x14ac:dyDescent="0.25">
      <c r="A7183" s="11"/>
    </row>
    <row r="7184" spans="1:1" ht="15.75" x14ac:dyDescent="0.25">
      <c r="A7184" s="11"/>
    </row>
    <row r="7185" spans="1:1" ht="15.75" x14ac:dyDescent="0.25">
      <c r="A7185" s="11"/>
    </row>
    <row r="7186" spans="1:1" ht="15.75" x14ac:dyDescent="0.25">
      <c r="A7186" s="11"/>
    </row>
    <row r="7187" spans="1:1" ht="15.75" x14ac:dyDescent="0.25">
      <c r="A7187" s="11"/>
    </row>
    <row r="7188" spans="1:1" ht="15.75" x14ac:dyDescent="0.25">
      <c r="A7188" s="11"/>
    </row>
    <row r="7189" spans="1:1" ht="15.75" x14ac:dyDescent="0.25">
      <c r="A7189" s="11"/>
    </row>
    <row r="7190" spans="1:1" ht="15.75" x14ac:dyDescent="0.25">
      <c r="A7190" s="11"/>
    </row>
    <row r="7191" spans="1:1" ht="15.75" x14ac:dyDescent="0.25">
      <c r="A7191" s="11"/>
    </row>
    <row r="7192" spans="1:1" ht="15.75" x14ac:dyDescent="0.25">
      <c r="A7192" s="11"/>
    </row>
    <row r="7193" spans="1:1" ht="15.75" x14ac:dyDescent="0.25">
      <c r="A7193" s="11"/>
    </row>
    <row r="7194" spans="1:1" ht="15.75" x14ac:dyDescent="0.25">
      <c r="A7194" s="11"/>
    </row>
    <row r="7195" spans="1:1" ht="15.75" x14ac:dyDescent="0.25">
      <c r="A7195" s="11"/>
    </row>
    <row r="7196" spans="1:1" ht="15.75" x14ac:dyDescent="0.25">
      <c r="A7196" s="11"/>
    </row>
    <row r="7197" spans="1:1" ht="15.75" x14ac:dyDescent="0.25">
      <c r="A7197" s="11"/>
    </row>
    <row r="7198" spans="1:1" ht="15.75" x14ac:dyDescent="0.25">
      <c r="A7198" s="11"/>
    </row>
    <row r="7199" spans="1:1" ht="15.75" x14ac:dyDescent="0.25">
      <c r="A7199" s="11"/>
    </row>
    <row r="7200" spans="1:1" ht="15.75" x14ac:dyDescent="0.25">
      <c r="A7200" s="11"/>
    </row>
    <row r="7201" spans="1:1" ht="15.75" x14ac:dyDescent="0.25">
      <c r="A7201" s="11"/>
    </row>
    <row r="7202" spans="1:1" ht="15.75" x14ac:dyDescent="0.25">
      <c r="A7202" s="11"/>
    </row>
    <row r="7203" spans="1:1" ht="15.75" x14ac:dyDescent="0.25">
      <c r="A7203" s="11"/>
    </row>
    <row r="7204" spans="1:1" ht="15.75" x14ac:dyDescent="0.25">
      <c r="A7204" s="11"/>
    </row>
    <row r="7205" spans="1:1" ht="15.75" x14ac:dyDescent="0.25">
      <c r="A7205" s="11"/>
    </row>
    <row r="7206" spans="1:1" ht="15.75" x14ac:dyDescent="0.25">
      <c r="A7206" s="11"/>
    </row>
    <row r="7207" spans="1:1" ht="15.75" x14ac:dyDescent="0.25">
      <c r="A7207" s="11"/>
    </row>
    <row r="7208" spans="1:1" ht="15.75" x14ac:dyDescent="0.25">
      <c r="A7208" s="11"/>
    </row>
    <row r="7209" spans="1:1" ht="15.75" x14ac:dyDescent="0.25">
      <c r="A7209" s="11"/>
    </row>
    <row r="7210" spans="1:1" ht="15.75" x14ac:dyDescent="0.25">
      <c r="A7210" s="11"/>
    </row>
    <row r="7211" spans="1:1" ht="15.75" x14ac:dyDescent="0.25">
      <c r="A7211" s="11"/>
    </row>
    <row r="7212" spans="1:1" ht="15.75" x14ac:dyDescent="0.25">
      <c r="A7212" s="11"/>
    </row>
    <row r="7213" spans="1:1" ht="15.75" x14ac:dyDescent="0.25">
      <c r="A7213" s="11"/>
    </row>
    <row r="7214" spans="1:1" ht="15.75" x14ac:dyDescent="0.25">
      <c r="A7214" s="11"/>
    </row>
    <row r="7215" spans="1:1" ht="15.75" x14ac:dyDescent="0.25">
      <c r="A7215" s="11"/>
    </row>
    <row r="7216" spans="1:1" ht="15.75" x14ac:dyDescent="0.25">
      <c r="A7216" s="11"/>
    </row>
    <row r="7217" spans="1:1" ht="15.75" x14ac:dyDescent="0.25">
      <c r="A7217" s="11"/>
    </row>
    <row r="7218" spans="1:1" ht="15.75" x14ac:dyDescent="0.25">
      <c r="A7218" s="11"/>
    </row>
    <row r="7219" spans="1:1" ht="15.75" x14ac:dyDescent="0.25">
      <c r="A7219" s="11"/>
    </row>
    <row r="7220" spans="1:1" ht="15.75" x14ac:dyDescent="0.25">
      <c r="A7220" s="11"/>
    </row>
    <row r="7221" spans="1:1" ht="15.75" x14ac:dyDescent="0.25">
      <c r="A7221" s="11"/>
    </row>
    <row r="7222" spans="1:1" ht="15.75" x14ac:dyDescent="0.25">
      <c r="A7222" s="11"/>
    </row>
    <row r="7223" spans="1:1" ht="15.75" x14ac:dyDescent="0.25">
      <c r="A7223" s="11"/>
    </row>
    <row r="7224" spans="1:1" ht="15.75" x14ac:dyDescent="0.25">
      <c r="A7224" s="11"/>
    </row>
    <row r="7225" spans="1:1" ht="15.75" x14ac:dyDescent="0.25">
      <c r="A7225" s="11"/>
    </row>
    <row r="7226" spans="1:1" ht="15.75" x14ac:dyDescent="0.25">
      <c r="A7226" s="11"/>
    </row>
    <row r="7227" spans="1:1" ht="15.75" x14ac:dyDescent="0.25">
      <c r="A7227" s="11"/>
    </row>
    <row r="7228" spans="1:1" ht="15.75" x14ac:dyDescent="0.25">
      <c r="A7228" s="11"/>
    </row>
    <row r="7229" spans="1:1" ht="15.75" x14ac:dyDescent="0.25">
      <c r="A7229" s="11"/>
    </row>
    <row r="7230" spans="1:1" ht="15.75" x14ac:dyDescent="0.25">
      <c r="A7230" s="11"/>
    </row>
    <row r="7231" spans="1:1" ht="15.75" x14ac:dyDescent="0.25">
      <c r="A7231" s="11"/>
    </row>
    <row r="7232" spans="1:1" ht="15.75" x14ac:dyDescent="0.25">
      <c r="A7232" s="11"/>
    </row>
    <row r="7233" spans="1:1" ht="15.75" x14ac:dyDescent="0.25">
      <c r="A7233" s="11"/>
    </row>
    <row r="7234" spans="1:1" ht="15.75" x14ac:dyDescent="0.25">
      <c r="A7234" s="11"/>
    </row>
    <row r="7235" spans="1:1" ht="15.75" x14ac:dyDescent="0.25">
      <c r="A7235" s="11"/>
    </row>
    <row r="7236" spans="1:1" ht="15.75" x14ac:dyDescent="0.25">
      <c r="A7236" s="11"/>
    </row>
    <row r="7237" spans="1:1" ht="15.75" x14ac:dyDescent="0.25">
      <c r="A7237" s="11"/>
    </row>
    <row r="7238" spans="1:1" ht="15.75" x14ac:dyDescent="0.25">
      <c r="A7238" s="11"/>
    </row>
    <row r="7239" spans="1:1" ht="15.75" x14ac:dyDescent="0.25">
      <c r="A7239" s="11"/>
    </row>
    <row r="7240" spans="1:1" ht="15.75" x14ac:dyDescent="0.25">
      <c r="A7240" s="11"/>
    </row>
    <row r="7241" spans="1:1" ht="15.75" x14ac:dyDescent="0.25">
      <c r="A7241" s="11"/>
    </row>
    <row r="7242" spans="1:1" ht="15.75" x14ac:dyDescent="0.25">
      <c r="A7242" s="11"/>
    </row>
    <row r="7243" spans="1:1" ht="15.75" x14ac:dyDescent="0.25">
      <c r="A7243" s="11"/>
    </row>
    <row r="7244" spans="1:1" ht="15.75" x14ac:dyDescent="0.25">
      <c r="A7244" s="11"/>
    </row>
    <row r="7245" spans="1:1" ht="15.75" x14ac:dyDescent="0.25">
      <c r="A7245" s="11"/>
    </row>
    <row r="7246" spans="1:1" ht="15.75" x14ac:dyDescent="0.25">
      <c r="A7246" s="11"/>
    </row>
    <row r="7247" spans="1:1" ht="15.75" x14ac:dyDescent="0.25">
      <c r="A7247" s="11"/>
    </row>
    <row r="7248" spans="1:1" ht="15.75" x14ac:dyDescent="0.25">
      <c r="A7248" s="11"/>
    </row>
    <row r="7249" spans="1:1" ht="15.75" x14ac:dyDescent="0.25">
      <c r="A7249" s="11"/>
    </row>
    <row r="7250" spans="1:1" ht="15.75" x14ac:dyDescent="0.25">
      <c r="A7250" s="11"/>
    </row>
    <row r="7251" spans="1:1" ht="15.75" x14ac:dyDescent="0.25">
      <c r="A7251" s="11"/>
    </row>
    <row r="7252" spans="1:1" ht="15.75" x14ac:dyDescent="0.25">
      <c r="A7252" s="11"/>
    </row>
    <row r="7253" spans="1:1" ht="15.75" x14ac:dyDescent="0.25">
      <c r="A7253" s="11"/>
    </row>
    <row r="7254" spans="1:1" ht="15.75" x14ac:dyDescent="0.25">
      <c r="A7254" s="11"/>
    </row>
    <row r="7255" spans="1:1" ht="15.75" x14ac:dyDescent="0.25">
      <c r="A7255" s="11"/>
    </row>
    <row r="7256" spans="1:1" ht="15.75" x14ac:dyDescent="0.25">
      <c r="A7256" s="11"/>
    </row>
    <row r="7257" spans="1:1" ht="15.75" x14ac:dyDescent="0.25">
      <c r="A7257" s="11"/>
    </row>
    <row r="7258" spans="1:1" ht="15.75" x14ac:dyDescent="0.25">
      <c r="A7258" s="11"/>
    </row>
    <row r="7259" spans="1:1" ht="15.75" x14ac:dyDescent="0.25">
      <c r="A7259" s="11"/>
    </row>
    <row r="7260" spans="1:1" ht="15.75" x14ac:dyDescent="0.25">
      <c r="A7260" s="11"/>
    </row>
    <row r="7261" spans="1:1" ht="15.75" x14ac:dyDescent="0.25">
      <c r="A7261" s="11"/>
    </row>
    <row r="7262" spans="1:1" ht="15.75" x14ac:dyDescent="0.25">
      <c r="A7262" s="11"/>
    </row>
    <row r="7263" spans="1:1" ht="15.75" x14ac:dyDescent="0.25">
      <c r="A7263" s="11"/>
    </row>
    <row r="7264" spans="1:1" ht="15.75" x14ac:dyDescent="0.25">
      <c r="A7264" s="11"/>
    </row>
    <row r="7265" spans="1:1" ht="15.75" x14ac:dyDescent="0.25">
      <c r="A7265" s="11"/>
    </row>
    <row r="7266" spans="1:1" ht="15.75" x14ac:dyDescent="0.25">
      <c r="A7266" s="11"/>
    </row>
    <row r="7267" spans="1:1" ht="15.75" x14ac:dyDescent="0.25">
      <c r="A7267" s="11"/>
    </row>
    <row r="7268" spans="1:1" ht="15.75" x14ac:dyDescent="0.25">
      <c r="A7268" s="11"/>
    </row>
    <row r="7269" spans="1:1" ht="15.75" x14ac:dyDescent="0.25">
      <c r="A7269" s="11"/>
    </row>
    <row r="7270" spans="1:1" ht="15.75" x14ac:dyDescent="0.25">
      <c r="A7270" s="11"/>
    </row>
    <row r="7271" spans="1:1" ht="15.75" x14ac:dyDescent="0.25">
      <c r="A7271" s="11"/>
    </row>
    <row r="7272" spans="1:1" ht="15.75" x14ac:dyDescent="0.25">
      <c r="A7272" s="11"/>
    </row>
    <row r="7273" spans="1:1" ht="15.75" x14ac:dyDescent="0.25">
      <c r="A7273" s="11"/>
    </row>
    <row r="7274" spans="1:1" ht="15.75" x14ac:dyDescent="0.25">
      <c r="A7274" s="11"/>
    </row>
    <row r="7275" spans="1:1" ht="15.75" x14ac:dyDescent="0.25">
      <c r="A7275" s="11"/>
    </row>
    <row r="7276" spans="1:1" ht="15.75" x14ac:dyDescent="0.25">
      <c r="A7276" s="11"/>
    </row>
    <row r="7277" spans="1:1" ht="15.75" x14ac:dyDescent="0.25">
      <c r="A7277" s="11"/>
    </row>
    <row r="7278" spans="1:1" ht="15.75" x14ac:dyDescent="0.25">
      <c r="A7278" s="11"/>
    </row>
    <row r="7279" spans="1:1" ht="15.75" x14ac:dyDescent="0.25">
      <c r="A7279" s="11"/>
    </row>
    <row r="7280" spans="1:1" ht="15.75" x14ac:dyDescent="0.25">
      <c r="A7280" s="11"/>
    </row>
    <row r="7281" spans="1:1" ht="15.75" x14ac:dyDescent="0.25">
      <c r="A7281" s="11"/>
    </row>
    <row r="7282" spans="1:1" ht="15.75" x14ac:dyDescent="0.25">
      <c r="A7282" s="11"/>
    </row>
    <row r="7283" spans="1:1" ht="15.75" x14ac:dyDescent="0.25">
      <c r="A7283" s="11"/>
    </row>
    <row r="7284" spans="1:1" ht="15.75" x14ac:dyDescent="0.25">
      <c r="A7284" s="11"/>
    </row>
    <row r="7285" spans="1:1" ht="15.75" x14ac:dyDescent="0.25">
      <c r="A7285" s="11"/>
    </row>
    <row r="7286" spans="1:1" ht="15.75" x14ac:dyDescent="0.25">
      <c r="A7286" s="11"/>
    </row>
    <row r="7287" spans="1:1" ht="15.75" x14ac:dyDescent="0.25">
      <c r="A7287" s="11"/>
    </row>
    <row r="7288" spans="1:1" ht="15.75" x14ac:dyDescent="0.25">
      <c r="A7288" s="11"/>
    </row>
    <row r="7289" spans="1:1" ht="15.75" x14ac:dyDescent="0.25">
      <c r="A7289" s="11"/>
    </row>
    <row r="7290" spans="1:1" ht="15.75" x14ac:dyDescent="0.25">
      <c r="A7290" s="11"/>
    </row>
    <row r="7291" spans="1:1" ht="15.75" x14ac:dyDescent="0.25">
      <c r="A7291" s="11"/>
    </row>
    <row r="7292" spans="1:1" ht="15.75" x14ac:dyDescent="0.25">
      <c r="A7292" s="11"/>
    </row>
    <row r="7293" spans="1:1" ht="15.75" x14ac:dyDescent="0.25">
      <c r="A7293" s="11"/>
    </row>
    <row r="7294" spans="1:1" ht="15.75" x14ac:dyDescent="0.25">
      <c r="A7294" s="11"/>
    </row>
    <row r="7295" spans="1:1" ht="15.75" x14ac:dyDescent="0.25">
      <c r="A7295" s="11"/>
    </row>
    <row r="7296" spans="1:1" ht="15.75" x14ac:dyDescent="0.25">
      <c r="A7296" s="11"/>
    </row>
    <row r="7297" spans="1:1" ht="15.75" x14ac:dyDescent="0.25">
      <c r="A7297" s="11"/>
    </row>
    <row r="7298" spans="1:1" ht="15.75" x14ac:dyDescent="0.25">
      <c r="A7298" s="11"/>
    </row>
    <row r="7299" spans="1:1" ht="15.75" x14ac:dyDescent="0.25">
      <c r="A7299" s="11"/>
    </row>
    <row r="7300" spans="1:1" ht="15.75" x14ac:dyDescent="0.25">
      <c r="A7300" s="11"/>
    </row>
    <row r="7301" spans="1:1" ht="15.75" x14ac:dyDescent="0.25">
      <c r="A7301" s="11"/>
    </row>
    <row r="7302" spans="1:1" ht="15.75" x14ac:dyDescent="0.25">
      <c r="A7302" s="11"/>
    </row>
    <row r="7303" spans="1:1" ht="15.75" x14ac:dyDescent="0.25">
      <c r="A7303" s="11"/>
    </row>
    <row r="7304" spans="1:1" ht="15.75" x14ac:dyDescent="0.25">
      <c r="A7304" s="11"/>
    </row>
    <row r="7305" spans="1:1" ht="15.75" x14ac:dyDescent="0.25">
      <c r="A7305" s="11"/>
    </row>
    <row r="7306" spans="1:1" ht="15.75" x14ac:dyDescent="0.25">
      <c r="A7306" s="11"/>
    </row>
    <row r="7307" spans="1:1" ht="15.75" x14ac:dyDescent="0.25">
      <c r="A7307" s="11"/>
    </row>
    <row r="7308" spans="1:1" ht="15.75" x14ac:dyDescent="0.25">
      <c r="A7308" s="11"/>
    </row>
    <row r="7309" spans="1:1" ht="15.75" x14ac:dyDescent="0.25">
      <c r="A7309" s="11"/>
    </row>
    <row r="7310" spans="1:1" ht="15.75" x14ac:dyDescent="0.25">
      <c r="A7310" s="11"/>
    </row>
    <row r="7311" spans="1:1" ht="15.75" x14ac:dyDescent="0.25">
      <c r="A7311" s="11"/>
    </row>
    <row r="7312" spans="1:1" ht="15.75" x14ac:dyDescent="0.25">
      <c r="A7312" s="11"/>
    </row>
    <row r="7313" spans="1:1" ht="15.75" x14ac:dyDescent="0.25">
      <c r="A7313" s="11"/>
    </row>
    <row r="7314" spans="1:1" ht="15.75" x14ac:dyDescent="0.25">
      <c r="A7314" s="11"/>
    </row>
    <row r="7315" spans="1:1" ht="15.75" x14ac:dyDescent="0.25">
      <c r="A7315" s="11"/>
    </row>
    <row r="7316" spans="1:1" ht="15.75" x14ac:dyDescent="0.25">
      <c r="A7316" s="11"/>
    </row>
    <row r="7317" spans="1:1" ht="15.75" x14ac:dyDescent="0.25">
      <c r="A7317" s="11"/>
    </row>
    <row r="7318" spans="1:1" ht="15.75" x14ac:dyDescent="0.25">
      <c r="A7318" s="11"/>
    </row>
    <row r="7319" spans="1:1" ht="15.75" x14ac:dyDescent="0.25">
      <c r="A7319" s="11"/>
    </row>
    <row r="7320" spans="1:1" ht="15.75" x14ac:dyDescent="0.25">
      <c r="A7320" s="11"/>
    </row>
    <row r="7321" spans="1:1" ht="15.75" x14ac:dyDescent="0.25">
      <c r="A7321" s="11"/>
    </row>
    <row r="7322" spans="1:1" ht="15.75" x14ac:dyDescent="0.25">
      <c r="A7322" s="11"/>
    </row>
    <row r="7323" spans="1:1" ht="15.75" x14ac:dyDescent="0.25">
      <c r="A7323" s="11"/>
    </row>
    <row r="7324" spans="1:1" ht="15.75" x14ac:dyDescent="0.25">
      <c r="A7324" s="11"/>
    </row>
    <row r="7325" spans="1:1" ht="15.75" x14ac:dyDescent="0.25">
      <c r="A7325" s="11"/>
    </row>
    <row r="7326" spans="1:1" ht="15.75" x14ac:dyDescent="0.25">
      <c r="A7326" s="11"/>
    </row>
    <row r="7327" spans="1:1" ht="15.75" x14ac:dyDescent="0.25">
      <c r="A7327" s="11"/>
    </row>
    <row r="7328" spans="1:1" ht="15.75" x14ac:dyDescent="0.25">
      <c r="A7328" s="11"/>
    </row>
    <row r="7329" spans="1:1" ht="15.75" x14ac:dyDescent="0.25">
      <c r="A7329" s="11"/>
    </row>
    <row r="7330" spans="1:1" ht="15.75" x14ac:dyDescent="0.25">
      <c r="A7330" s="11"/>
    </row>
    <row r="7331" spans="1:1" ht="15.75" x14ac:dyDescent="0.25">
      <c r="A7331" s="11"/>
    </row>
    <row r="7332" spans="1:1" ht="15.75" x14ac:dyDescent="0.25">
      <c r="A7332" s="11"/>
    </row>
    <row r="7333" spans="1:1" ht="15.75" x14ac:dyDescent="0.25">
      <c r="A7333" s="11"/>
    </row>
    <row r="7334" spans="1:1" ht="15.75" x14ac:dyDescent="0.25">
      <c r="A7334" s="11"/>
    </row>
    <row r="7335" spans="1:1" ht="15.75" x14ac:dyDescent="0.25">
      <c r="A7335" s="11"/>
    </row>
    <row r="7336" spans="1:1" ht="15.75" x14ac:dyDescent="0.25">
      <c r="A7336" s="11"/>
    </row>
    <row r="7337" spans="1:1" ht="15.75" x14ac:dyDescent="0.25">
      <c r="A7337" s="11"/>
    </row>
    <row r="7338" spans="1:1" ht="15.75" x14ac:dyDescent="0.25">
      <c r="A7338" s="11"/>
    </row>
    <row r="7339" spans="1:1" ht="15.75" x14ac:dyDescent="0.25">
      <c r="A7339" s="11"/>
    </row>
    <row r="7340" spans="1:1" ht="15.75" x14ac:dyDescent="0.25">
      <c r="A7340" s="11"/>
    </row>
    <row r="7341" spans="1:1" ht="15.75" x14ac:dyDescent="0.25">
      <c r="A7341" s="11"/>
    </row>
    <row r="7342" spans="1:1" ht="15.75" x14ac:dyDescent="0.25">
      <c r="A7342" s="11"/>
    </row>
    <row r="7343" spans="1:1" ht="15.75" x14ac:dyDescent="0.25">
      <c r="A7343" s="11"/>
    </row>
    <row r="7344" spans="1:1" ht="15.75" x14ac:dyDescent="0.25">
      <c r="A7344" s="11"/>
    </row>
    <row r="7345" spans="1:1" ht="15.75" x14ac:dyDescent="0.25">
      <c r="A7345" s="11"/>
    </row>
    <row r="7346" spans="1:1" ht="15.75" x14ac:dyDescent="0.25">
      <c r="A7346" s="11"/>
    </row>
    <row r="7347" spans="1:1" ht="15.75" x14ac:dyDescent="0.25">
      <c r="A7347" s="11"/>
    </row>
    <row r="7348" spans="1:1" ht="15.75" x14ac:dyDescent="0.25">
      <c r="A7348" s="11"/>
    </row>
    <row r="7349" spans="1:1" ht="15.75" x14ac:dyDescent="0.25">
      <c r="A7349" s="11"/>
    </row>
    <row r="7350" spans="1:1" ht="15.75" x14ac:dyDescent="0.25">
      <c r="A7350" s="11"/>
    </row>
    <row r="7351" spans="1:1" ht="15.75" x14ac:dyDescent="0.25">
      <c r="A7351" s="11"/>
    </row>
    <row r="7352" spans="1:1" ht="15.75" x14ac:dyDescent="0.25">
      <c r="A7352" s="11"/>
    </row>
    <row r="7353" spans="1:1" ht="15.75" x14ac:dyDescent="0.25">
      <c r="A7353" s="11"/>
    </row>
    <row r="7354" spans="1:1" ht="15.75" x14ac:dyDescent="0.25">
      <c r="A7354" s="11"/>
    </row>
    <row r="7355" spans="1:1" ht="15.75" x14ac:dyDescent="0.25">
      <c r="A7355" s="11"/>
    </row>
    <row r="7356" spans="1:1" ht="15.75" x14ac:dyDescent="0.25">
      <c r="A7356" s="11"/>
    </row>
    <row r="7357" spans="1:1" ht="15.75" x14ac:dyDescent="0.25">
      <c r="A7357" s="11"/>
    </row>
    <row r="7358" spans="1:1" ht="15.75" x14ac:dyDescent="0.25">
      <c r="A7358" s="11"/>
    </row>
    <row r="7359" spans="1:1" ht="15.75" x14ac:dyDescent="0.25">
      <c r="A7359" s="11"/>
    </row>
    <row r="7360" spans="1:1" ht="15.75" x14ac:dyDescent="0.25">
      <c r="A7360" s="11"/>
    </row>
    <row r="7361" spans="1:1" ht="15.75" x14ac:dyDescent="0.25">
      <c r="A7361" s="11"/>
    </row>
    <row r="7362" spans="1:1" ht="15.75" x14ac:dyDescent="0.25">
      <c r="A7362" s="11"/>
    </row>
    <row r="7363" spans="1:1" ht="15.75" x14ac:dyDescent="0.25">
      <c r="A7363" s="11"/>
    </row>
    <row r="7364" spans="1:1" ht="15.75" x14ac:dyDescent="0.25">
      <c r="A7364" s="11"/>
    </row>
    <row r="7365" spans="1:1" ht="15.75" x14ac:dyDescent="0.25">
      <c r="A7365" s="11"/>
    </row>
    <row r="7366" spans="1:1" ht="15.75" x14ac:dyDescent="0.25">
      <c r="A7366" s="11"/>
    </row>
    <row r="7367" spans="1:1" ht="15.75" x14ac:dyDescent="0.25">
      <c r="A7367" s="11"/>
    </row>
    <row r="7368" spans="1:1" ht="15.75" x14ac:dyDescent="0.25">
      <c r="A7368" s="11"/>
    </row>
    <row r="7369" spans="1:1" ht="15.75" x14ac:dyDescent="0.25">
      <c r="A7369" s="11"/>
    </row>
    <row r="7370" spans="1:1" ht="15.75" x14ac:dyDescent="0.25">
      <c r="A7370" s="11"/>
    </row>
    <row r="7371" spans="1:1" ht="15.75" x14ac:dyDescent="0.25">
      <c r="A7371" s="11"/>
    </row>
    <row r="7372" spans="1:1" ht="15.75" x14ac:dyDescent="0.25">
      <c r="A7372" s="11"/>
    </row>
    <row r="7373" spans="1:1" ht="15.75" x14ac:dyDescent="0.25">
      <c r="A7373" s="11"/>
    </row>
    <row r="7374" spans="1:1" ht="15.75" x14ac:dyDescent="0.25">
      <c r="A7374" s="11"/>
    </row>
    <row r="7375" spans="1:1" ht="15.75" x14ac:dyDescent="0.25">
      <c r="A7375" s="11"/>
    </row>
    <row r="7376" spans="1:1" ht="15.75" x14ac:dyDescent="0.25">
      <c r="A7376" s="11"/>
    </row>
    <row r="7377" spans="1:1" ht="15.75" x14ac:dyDescent="0.25">
      <c r="A7377" s="11"/>
    </row>
    <row r="7378" spans="1:1" ht="15.75" x14ac:dyDescent="0.25">
      <c r="A7378" s="11"/>
    </row>
    <row r="7379" spans="1:1" ht="15.75" x14ac:dyDescent="0.25">
      <c r="A7379" s="11"/>
    </row>
    <row r="7380" spans="1:1" ht="15.75" x14ac:dyDescent="0.25">
      <c r="A7380" s="11"/>
    </row>
    <row r="7381" spans="1:1" ht="15.75" x14ac:dyDescent="0.25">
      <c r="A7381" s="11"/>
    </row>
    <row r="7382" spans="1:1" ht="15.75" x14ac:dyDescent="0.25">
      <c r="A7382" s="11"/>
    </row>
    <row r="7383" spans="1:1" ht="15.75" x14ac:dyDescent="0.25">
      <c r="A7383" s="11"/>
    </row>
    <row r="7384" spans="1:1" ht="15.75" x14ac:dyDescent="0.25">
      <c r="A7384" s="11"/>
    </row>
    <row r="7385" spans="1:1" ht="15.75" x14ac:dyDescent="0.25">
      <c r="A7385" s="11"/>
    </row>
    <row r="7386" spans="1:1" ht="15.75" x14ac:dyDescent="0.25">
      <c r="A7386" s="11"/>
    </row>
    <row r="7387" spans="1:1" ht="15.75" x14ac:dyDescent="0.25">
      <c r="A7387" s="11"/>
    </row>
    <row r="7388" spans="1:1" ht="15.75" x14ac:dyDescent="0.25">
      <c r="A7388" s="11"/>
    </row>
    <row r="7389" spans="1:1" ht="15.75" x14ac:dyDescent="0.25">
      <c r="A7389" s="11"/>
    </row>
    <row r="7390" spans="1:1" ht="15.75" x14ac:dyDescent="0.25">
      <c r="A7390" s="11"/>
    </row>
    <row r="7391" spans="1:1" ht="15.75" x14ac:dyDescent="0.25">
      <c r="A7391" s="11"/>
    </row>
    <row r="7392" spans="1:1" ht="15.75" x14ac:dyDescent="0.25">
      <c r="A7392" s="11"/>
    </row>
    <row r="7393" spans="1:1" ht="15.75" x14ac:dyDescent="0.25">
      <c r="A7393" s="11"/>
    </row>
    <row r="7394" spans="1:1" ht="15.75" x14ac:dyDescent="0.25">
      <c r="A7394" s="11"/>
    </row>
    <row r="7395" spans="1:1" ht="15.75" x14ac:dyDescent="0.25">
      <c r="A7395" s="11"/>
    </row>
    <row r="7396" spans="1:1" ht="15.75" x14ac:dyDescent="0.25">
      <c r="A7396" s="11"/>
    </row>
    <row r="7397" spans="1:1" ht="15.75" x14ac:dyDescent="0.25">
      <c r="A7397" s="11"/>
    </row>
    <row r="7398" spans="1:1" ht="15.75" x14ac:dyDescent="0.25">
      <c r="A7398" s="11"/>
    </row>
    <row r="7399" spans="1:1" ht="15.75" x14ac:dyDescent="0.25">
      <c r="A7399" s="11"/>
    </row>
    <row r="7400" spans="1:1" ht="15.75" x14ac:dyDescent="0.25">
      <c r="A7400" s="11"/>
    </row>
    <row r="7401" spans="1:1" ht="15.75" x14ac:dyDescent="0.25">
      <c r="A7401" s="11"/>
    </row>
    <row r="7402" spans="1:1" ht="15.75" x14ac:dyDescent="0.25">
      <c r="A7402" s="11"/>
    </row>
    <row r="7403" spans="1:1" ht="15.75" x14ac:dyDescent="0.25">
      <c r="A7403" s="11"/>
    </row>
    <row r="7404" spans="1:1" ht="15.75" x14ac:dyDescent="0.25">
      <c r="A7404" s="11"/>
    </row>
    <row r="7405" spans="1:1" ht="15.75" x14ac:dyDescent="0.25">
      <c r="A7405" s="11"/>
    </row>
    <row r="7406" spans="1:1" ht="15.75" x14ac:dyDescent="0.25">
      <c r="A7406" s="11"/>
    </row>
    <row r="7407" spans="1:1" ht="15.75" x14ac:dyDescent="0.25">
      <c r="A7407" s="11"/>
    </row>
    <row r="7408" spans="1:1" ht="15.75" x14ac:dyDescent="0.25">
      <c r="A7408" s="11"/>
    </row>
    <row r="7409" spans="1:1" ht="15.75" x14ac:dyDescent="0.25">
      <c r="A7409" s="11"/>
    </row>
    <row r="7410" spans="1:1" ht="15.75" x14ac:dyDescent="0.25">
      <c r="A7410" s="11"/>
    </row>
    <row r="7411" spans="1:1" ht="15.75" x14ac:dyDescent="0.25">
      <c r="A7411" s="11"/>
    </row>
    <row r="7412" spans="1:1" ht="15.75" x14ac:dyDescent="0.25">
      <c r="A7412" s="11"/>
    </row>
    <row r="7413" spans="1:1" ht="15.75" x14ac:dyDescent="0.25">
      <c r="A7413" s="11"/>
    </row>
    <row r="7414" spans="1:1" ht="15.75" x14ac:dyDescent="0.25">
      <c r="A7414" s="11"/>
    </row>
    <row r="7415" spans="1:1" ht="15.75" x14ac:dyDescent="0.25">
      <c r="A7415" s="11"/>
    </row>
    <row r="7416" spans="1:1" ht="15.75" x14ac:dyDescent="0.25">
      <c r="A7416" s="11"/>
    </row>
    <row r="7417" spans="1:1" ht="15.75" x14ac:dyDescent="0.25">
      <c r="A7417" s="11"/>
    </row>
    <row r="7418" spans="1:1" ht="15.75" x14ac:dyDescent="0.25">
      <c r="A7418" s="11"/>
    </row>
    <row r="7419" spans="1:1" ht="15.75" x14ac:dyDescent="0.25">
      <c r="A7419" s="11"/>
    </row>
    <row r="7420" spans="1:1" ht="15.75" x14ac:dyDescent="0.25">
      <c r="A7420" s="11"/>
    </row>
    <row r="7421" spans="1:1" ht="15.75" x14ac:dyDescent="0.25">
      <c r="A7421" s="11"/>
    </row>
    <row r="7422" spans="1:1" ht="15.75" x14ac:dyDescent="0.25">
      <c r="A7422" s="11"/>
    </row>
    <row r="7423" spans="1:1" ht="15.75" x14ac:dyDescent="0.25">
      <c r="A7423" s="11"/>
    </row>
    <row r="7424" spans="1:1" ht="15.75" x14ac:dyDescent="0.25">
      <c r="A7424" s="11"/>
    </row>
    <row r="7425" spans="1:1" ht="15.75" x14ac:dyDescent="0.25">
      <c r="A7425" s="11"/>
    </row>
    <row r="7426" spans="1:1" ht="15.75" x14ac:dyDescent="0.25">
      <c r="A7426" s="11"/>
    </row>
    <row r="7427" spans="1:1" ht="15.75" x14ac:dyDescent="0.25">
      <c r="A7427" s="11"/>
    </row>
    <row r="7428" spans="1:1" ht="15.75" x14ac:dyDescent="0.25">
      <c r="A7428" s="11"/>
    </row>
    <row r="7429" spans="1:1" ht="15.75" x14ac:dyDescent="0.25">
      <c r="A7429" s="11"/>
    </row>
    <row r="7430" spans="1:1" ht="15.75" x14ac:dyDescent="0.25">
      <c r="A7430" s="11"/>
    </row>
    <row r="7431" spans="1:1" ht="15.75" x14ac:dyDescent="0.25">
      <c r="A7431" s="11"/>
    </row>
    <row r="7432" spans="1:1" ht="15.75" x14ac:dyDescent="0.25">
      <c r="A7432" s="11"/>
    </row>
    <row r="7433" spans="1:1" ht="15.75" x14ac:dyDescent="0.25">
      <c r="A7433" s="11"/>
    </row>
    <row r="7434" spans="1:1" ht="15.75" x14ac:dyDescent="0.25">
      <c r="A7434" s="11"/>
    </row>
    <row r="7435" spans="1:1" ht="15.75" x14ac:dyDescent="0.25">
      <c r="A7435" s="11"/>
    </row>
    <row r="7436" spans="1:1" ht="15.75" x14ac:dyDescent="0.25">
      <c r="A7436" s="11"/>
    </row>
    <row r="7437" spans="1:1" ht="15.75" x14ac:dyDescent="0.25">
      <c r="A7437" s="11"/>
    </row>
    <row r="7438" spans="1:1" ht="15.75" x14ac:dyDescent="0.25">
      <c r="A7438" s="11"/>
    </row>
    <row r="7439" spans="1:1" ht="15.75" x14ac:dyDescent="0.25">
      <c r="A7439" s="11"/>
    </row>
    <row r="7440" spans="1:1" ht="15.75" x14ac:dyDescent="0.25">
      <c r="A7440" s="11"/>
    </row>
    <row r="7441" spans="1:1" ht="15.75" x14ac:dyDescent="0.25">
      <c r="A7441" s="11"/>
    </row>
    <row r="7442" spans="1:1" ht="15.75" x14ac:dyDescent="0.25">
      <c r="A7442" s="11"/>
    </row>
    <row r="7443" spans="1:1" ht="15.75" x14ac:dyDescent="0.25">
      <c r="A7443" s="11"/>
    </row>
    <row r="7444" spans="1:1" ht="15.75" x14ac:dyDescent="0.25">
      <c r="A7444" s="11"/>
    </row>
    <row r="7445" spans="1:1" ht="15.75" x14ac:dyDescent="0.25">
      <c r="A7445" s="11"/>
    </row>
    <row r="7446" spans="1:1" ht="15.75" x14ac:dyDescent="0.25">
      <c r="A7446" s="11"/>
    </row>
    <row r="7447" spans="1:1" ht="15.75" x14ac:dyDescent="0.25">
      <c r="A7447" s="11"/>
    </row>
    <row r="7448" spans="1:1" ht="15.75" x14ac:dyDescent="0.25">
      <c r="A7448" s="11"/>
    </row>
    <row r="7449" spans="1:1" ht="15.75" x14ac:dyDescent="0.25">
      <c r="A7449" s="11"/>
    </row>
    <row r="7450" spans="1:1" ht="15.75" x14ac:dyDescent="0.25">
      <c r="A7450" s="11"/>
    </row>
    <row r="7451" spans="1:1" ht="15.75" x14ac:dyDescent="0.25">
      <c r="A7451" s="11"/>
    </row>
    <row r="7452" spans="1:1" ht="15.75" x14ac:dyDescent="0.25">
      <c r="A7452" s="11"/>
    </row>
    <row r="7453" spans="1:1" ht="15.75" x14ac:dyDescent="0.25">
      <c r="A7453" s="11"/>
    </row>
    <row r="7454" spans="1:1" ht="15.75" x14ac:dyDescent="0.25">
      <c r="A7454" s="11"/>
    </row>
    <row r="7455" spans="1:1" ht="15.75" x14ac:dyDescent="0.25">
      <c r="A7455" s="11"/>
    </row>
    <row r="7456" spans="1:1" ht="15.75" x14ac:dyDescent="0.25">
      <c r="A7456" s="11"/>
    </row>
    <row r="7457" spans="1:1" ht="15.75" x14ac:dyDescent="0.25">
      <c r="A7457" s="11"/>
    </row>
    <row r="7458" spans="1:1" ht="15.75" x14ac:dyDescent="0.25">
      <c r="A7458" s="11"/>
    </row>
    <row r="7459" spans="1:1" ht="15.75" x14ac:dyDescent="0.25">
      <c r="A7459" s="11"/>
    </row>
    <row r="7460" spans="1:1" ht="15.75" x14ac:dyDescent="0.25">
      <c r="A7460" s="11"/>
    </row>
    <row r="7461" spans="1:1" ht="15.75" x14ac:dyDescent="0.25">
      <c r="A7461" s="11"/>
    </row>
    <row r="7462" spans="1:1" ht="15.75" x14ac:dyDescent="0.25">
      <c r="A7462" s="11"/>
    </row>
    <row r="7463" spans="1:1" ht="15.75" x14ac:dyDescent="0.25">
      <c r="A7463" s="11"/>
    </row>
    <row r="7464" spans="1:1" ht="15.75" x14ac:dyDescent="0.25">
      <c r="A7464" s="11"/>
    </row>
    <row r="7465" spans="1:1" ht="15.75" x14ac:dyDescent="0.25">
      <c r="A7465" s="11"/>
    </row>
    <row r="7466" spans="1:1" ht="15.75" x14ac:dyDescent="0.25">
      <c r="A7466" s="11"/>
    </row>
    <row r="7467" spans="1:1" ht="15.75" x14ac:dyDescent="0.25">
      <c r="A7467" s="11"/>
    </row>
    <row r="7468" spans="1:1" ht="15.75" x14ac:dyDescent="0.25">
      <c r="A7468" s="11"/>
    </row>
    <row r="7469" spans="1:1" ht="15.75" x14ac:dyDescent="0.25">
      <c r="A7469" s="11"/>
    </row>
    <row r="7470" spans="1:1" ht="15.75" x14ac:dyDescent="0.25">
      <c r="A7470" s="11"/>
    </row>
    <row r="7471" spans="1:1" ht="15.75" x14ac:dyDescent="0.25">
      <c r="A7471" s="11"/>
    </row>
    <row r="7472" spans="1:1" ht="15.75" x14ac:dyDescent="0.25">
      <c r="A7472" s="11"/>
    </row>
    <row r="7473" spans="1:1" ht="15.75" x14ac:dyDescent="0.25">
      <c r="A7473" s="11"/>
    </row>
    <row r="7474" spans="1:1" ht="15.75" x14ac:dyDescent="0.25">
      <c r="A7474" s="11"/>
    </row>
    <row r="7475" spans="1:1" ht="15.75" x14ac:dyDescent="0.25">
      <c r="A7475" s="11"/>
    </row>
    <row r="7476" spans="1:1" ht="15.75" x14ac:dyDescent="0.25">
      <c r="A7476" s="11"/>
    </row>
    <row r="7477" spans="1:1" ht="15.75" x14ac:dyDescent="0.25">
      <c r="A7477" s="11"/>
    </row>
    <row r="7478" spans="1:1" ht="15.75" x14ac:dyDescent="0.25">
      <c r="A7478" s="11"/>
    </row>
    <row r="7479" spans="1:1" ht="15.75" x14ac:dyDescent="0.25">
      <c r="A7479" s="11"/>
    </row>
    <row r="7480" spans="1:1" ht="15.75" x14ac:dyDescent="0.25">
      <c r="A7480" s="11"/>
    </row>
    <row r="7481" spans="1:1" ht="15.75" x14ac:dyDescent="0.25">
      <c r="A7481" s="11"/>
    </row>
    <row r="7482" spans="1:1" ht="15.75" x14ac:dyDescent="0.25">
      <c r="A7482" s="11"/>
    </row>
    <row r="7483" spans="1:1" ht="15.75" x14ac:dyDescent="0.25">
      <c r="A7483" s="11"/>
    </row>
    <row r="7484" spans="1:1" ht="15.75" x14ac:dyDescent="0.25">
      <c r="A7484" s="11"/>
    </row>
    <row r="7485" spans="1:1" ht="15.75" x14ac:dyDescent="0.25">
      <c r="A7485" s="11"/>
    </row>
    <row r="7486" spans="1:1" ht="15.75" x14ac:dyDescent="0.25">
      <c r="A7486" s="11"/>
    </row>
    <row r="7487" spans="1:1" ht="15.75" x14ac:dyDescent="0.25">
      <c r="A7487" s="11"/>
    </row>
    <row r="7488" spans="1:1" ht="15.75" x14ac:dyDescent="0.25">
      <c r="A7488" s="11"/>
    </row>
    <row r="7489" spans="1:1" ht="15.75" x14ac:dyDescent="0.25">
      <c r="A7489" s="11"/>
    </row>
    <row r="7490" spans="1:1" ht="15.75" x14ac:dyDescent="0.25">
      <c r="A7490" s="11"/>
    </row>
    <row r="7491" spans="1:1" ht="15.75" x14ac:dyDescent="0.25">
      <c r="A7491" s="11"/>
    </row>
    <row r="7492" spans="1:1" ht="15.75" x14ac:dyDescent="0.25">
      <c r="A7492" s="11"/>
    </row>
    <row r="7493" spans="1:1" ht="15.75" x14ac:dyDescent="0.25">
      <c r="A7493" s="11"/>
    </row>
    <row r="7494" spans="1:1" ht="15.75" x14ac:dyDescent="0.25">
      <c r="A7494" s="11"/>
    </row>
    <row r="7495" spans="1:1" ht="15.75" x14ac:dyDescent="0.25">
      <c r="A7495" s="11"/>
    </row>
    <row r="7496" spans="1:1" ht="15.75" x14ac:dyDescent="0.25">
      <c r="A7496" s="11"/>
    </row>
    <row r="7497" spans="1:1" ht="15.75" x14ac:dyDescent="0.25">
      <c r="A7497" s="11"/>
    </row>
    <row r="7498" spans="1:1" ht="15.75" x14ac:dyDescent="0.25">
      <c r="A7498" s="11"/>
    </row>
    <row r="7499" spans="1:1" ht="15.75" x14ac:dyDescent="0.25">
      <c r="A7499" s="11"/>
    </row>
    <row r="7500" spans="1:1" ht="15.75" x14ac:dyDescent="0.25">
      <c r="A7500" s="11"/>
    </row>
    <row r="7501" spans="1:1" ht="15.75" x14ac:dyDescent="0.25">
      <c r="A7501" s="11"/>
    </row>
    <row r="7502" spans="1:1" ht="15.75" x14ac:dyDescent="0.25">
      <c r="A7502" s="11"/>
    </row>
    <row r="7503" spans="1:1" ht="15.75" x14ac:dyDescent="0.25">
      <c r="A7503" s="11"/>
    </row>
    <row r="7504" spans="1:1" ht="15.75" x14ac:dyDescent="0.25">
      <c r="A7504" s="11"/>
    </row>
    <row r="7505" spans="1:1" ht="15.75" x14ac:dyDescent="0.25">
      <c r="A7505" s="11"/>
    </row>
    <row r="7506" spans="1:1" ht="15.75" x14ac:dyDescent="0.25">
      <c r="A7506" s="11"/>
    </row>
    <row r="7507" spans="1:1" ht="15.75" x14ac:dyDescent="0.25">
      <c r="A7507" s="11"/>
    </row>
    <row r="7508" spans="1:1" ht="15.75" x14ac:dyDescent="0.25">
      <c r="A7508" s="11"/>
    </row>
    <row r="7509" spans="1:1" ht="15.75" x14ac:dyDescent="0.25">
      <c r="A7509" s="11"/>
    </row>
    <row r="7510" spans="1:1" ht="15.75" x14ac:dyDescent="0.25">
      <c r="A7510" s="11"/>
    </row>
    <row r="7511" spans="1:1" ht="15.75" x14ac:dyDescent="0.25">
      <c r="A7511" s="11"/>
    </row>
    <row r="7512" spans="1:1" ht="15.75" x14ac:dyDescent="0.25">
      <c r="A7512" s="11"/>
    </row>
    <row r="7513" spans="1:1" ht="15.75" x14ac:dyDescent="0.25">
      <c r="A7513" s="11"/>
    </row>
    <row r="7514" spans="1:1" ht="15.75" x14ac:dyDescent="0.25">
      <c r="A7514" s="11"/>
    </row>
    <row r="7515" spans="1:1" ht="15.75" x14ac:dyDescent="0.25">
      <c r="A7515" s="11"/>
    </row>
    <row r="7516" spans="1:1" ht="15.75" x14ac:dyDescent="0.25">
      <c r="A7516" s="11"/>
    </row>
    <row r="7517" spans="1:1" ht="15.75" x14ac:dyDescent="0.25">
      <c r="A7517" s="11"/>
    </row>
    <row r="7518" spans="1:1" ht="15.75" x14ac:dyDescent="0.25">
      <c r="A7518" s="11"/>
    </row>
    <row r="7519" spans="1:1" ht="15.75" x14ac:dyDescent="0.25">
      <c r="A7519" s="11"/>
    </row>
    <row r="7520" spans="1:1" ht="15.75" x14ac:dyDescent="0.25">
      <c r="A7520" s="11"/>
    </row>
    <row r="7521" spans="1:1" ht="15.75" x14ac:dyDescent="0.25">
      <c r="A7521" s="11"/>
    </row>
    <row r="7522" spans="1:1" ht="15.75" x14ac:dyDescent="0.25">
      <c r="A7522" s="11"/>
    </row>
    <row r="7523" spans="1:1" ht="15.75" x14ac:dyDescent="0.25">
      <c r="A7523" s="11"/>
    </row>
    <row r="7524" spans="1:1" ht="15.75" x14ac:dyDescent="0.25">
      <c r="A7524" s="11"/>
    </row>
    <row r="7525" spans="1:1" ht="15.75" x14ac:dyDescent="0.25">
      <c r="A7525" s="11"/>
    </row>
    <row r="7526" spans="1:1" ht="15.75" x14ac:dyDescent="0.25">
      <c r="A7526" s="11"/>
    </row>
    <row r="7527" spans="1:1" ht="15.75" x14ac:dyDescent="0.25">
      <c r="A7527" s="11"/>
    </row>
    <row r="7528" spans="1:1" ht="15.75" x14ac:dyDescent="0.25">
      <c r="A7528" s="11"/>
    </row>
    <row r="7529" spans="1:1" ht="15.75" x14ac:dyDescent="0.25">
      <c r="A7529" s="11"/>
    </row>
    <row r="7530" spans="1:1" ht="15.75" x14ac:dyDescent="0.25">
      <c r="A7530" s="11"/>
    </row>
    <row r="7531" spans="1:1" ht="15.75" x14ac:dyDescent="0.25">
      <c r="A7531" s="11"/>
    </row>
    <row r="7532" spans="1:1" ht="15.75" x14ac:dyDescent="0.25">
      <c r="A7532" s="11"/>
    </row>
    <row r="7533" spans="1:1" ht="15.75" x14ac:dyDescent="0.25">
      <c r="A7533" s="11"/>
    </row>
    <row r="7534" spans="1:1" ht="15.75" x14ac:dyDescent="0.25">
      <c r="A7534" s="11"/>
    </row>
    <row r="7535" spans="1:1" ht="15.75" x14ac:dyDescent="0.25">
      <c r="A7535" s="11"/>
    </row>
    <row r="7536" spans="1:1" ht="15.75" x14ac:dyDescent="0.25">
      <c r="A7536" s="11"/>
    </row>
    <row r="7537" spans="1:1" ht="15.75" x14ac:dyDescent="0.25">
      <c r="A7537" s="11"/>
    </row>
    <row r="7538" spans="1:1" ht="15.75" x14ac:dyDescent="0.25">
      <c r="A7538" s="11"/>
    </row>
    <row r="7539" spans="1:1" ht="15.75" x14ac:dyDescent="0.25">
      <c r="A7539" s="11"/>
    </row>
    <row r="7540" spans="1:1" ht="15.75" x14ac:dyDescent="0.25">
      <c r="A7540" s="11"/>
    </row>
    <row r="7541" spans="1:1" ht="15.75" x14ac:dyDescent="0.25">
      <c r="A7541" s="11"/>
    </row>
    <row r="7542" spans="1:1" ht="15.75" x14ac:dyDescent="0.25">
      <c r="A7542" s="11"/>
    </row>
    <row r="7543" spans="1:1" ht="15.75" x14ac:dyDescent="0.25">
      <c r="A7543" s="11"/>
    </row>
    <row r="7544" spans="1:1" ht="15.75" x14ac:dyDescent="0.25">
      <c r="A7544" s="11"/>
    </row>
    <row r="7545" spans="1:1" ht="15.75" x14ac:dyDescent="0.25">
      <c r="A7545" s="11"/>
    </row>
    <row r="7546" spans="1:1" ht="15.75" x14ac:dyDescent="0.25">
      <c r="A7546" s="11"/>
    </row>
    <row r="7547" spans="1:1" ht="15.75" x14ac:dyDescent="0.25">
      <c r="A7547" s="11"/>
    </row>
    <row r="7548" spans="1:1" ht="15.75" x14ac:dyDescent="0.25">
      <c r="A7548" s="11"/>
    </row>
    <row r="7549" spans="1:1" ht="15.75" x14ac:dyDescent="0.25">
      <c r="A7549" s="11"/>
    </row>
    <row r="7550" spans="1:1" ht="15.75" x14ac:dyDescent="0.25">
      <c r="A7550" s="11"/>
    </row>
    <row r="7551" spans="1:1" ht="15.75" x14ac:dyDescent="0.25">
      <c r="A7551" s="11"/>
    </row>
    <row r="7552" spans="1:1" ht="15.75" x14ac:dyDescent="0.25">
      <c r="A7552" s="11"/>
    </row>
    <row r="7553" spans="1:1" ht="15.75" x14ac:dyDescent="0.25">
      <c r="A7553" s="11"/>
    </row>
    <row r="7554" spans="1:1" ht="15.75" x14ac:dyDescent="0.25">
      <c r="A7554" s="11"/>
    </row>
    <row r="7555" spans="1:1" ht="15.75" x14ac:dyDescent="0.25">
      <c r="A7555" s="11"/>
    </row>
    <row r="7556" spans="1:1" ht="15.75" x14ac:dyDescent="0.25">
      <c r="A7556" s="11"/>
    </row>
    <row r="7557" spans="1:1" ht="15.75" x14ac:dyDescent="0.25">
      <c r="A7557" s="11"/>
    </row>
    <row r="7558" spans="1:1" ht="15.75" x14ac:dyDescent="0.25">
      <c r="A7558" s="11"/>
    </row>
    <row r="7559" spans="1:1" ht="15.75" x14ac:dyDescent="0.25">
      <c r="A7559" s="11"/>
    </row>
    <row r="7560" spans="1:1" ht="15.75" x14ac:dyDescent="0.25">
      <c r="A7560" s="11"/>
    </row>
    <row r="7561" spans="1:1" ht="15.75" x14ac:dyDescent="0.25">
      <c r="A7561" s="11"/>
    </row>
    <row r="7562" spans="1:1" ht="15.75" x14ac:dyDescent="0.25">
      <c r="A7562" s="11"/>
    </row>
    <row r="7563" spans="1:1" ht="15.75" x14ac:dyDescent="0.25">
      <c r="A7563" s="11"/>
    </row>
    <row r="7564" spans="1:1" ht="15.75" x14ac:dyDescent="0.25">
      <c r="A7564" s="11"/>
    </row>
    <row r="7565" spans="1:1" ht="15.75" x14ac:dyDescent="0.25">
      <c r="A7565" s="11"/>
    </row>
    <row r="7566" spans="1:1" ht="15.75" x14ac:dyDescent="0.25">
      <c r="A7566" s="11"/>
    </row>
    <row r="7567" spans="1:1" ht="15.75" x14ac:dyDescent="0.25">
      <c r="A7567" s="11"/>
    </row>
    <row r="7568" spans="1:1" ht="15.75" x14ac:dyDescent="0.25">
      <c r="A7568" s="11"/>
    </row>
    <row r="7569" spans="1:1" ht="15.75" x14ac:dyDescent="0.25">
      <c r="A7569" s="11"/>
    </row>
    <row r="7570" spans="1:1" ht="15.75" x14ac:dyDescent="0.25">
      <c r="A7570" s="11"/>
    </row>
    <row r="7571" spans="1:1" ht="15.75" x14ac:dyDescent="0.25">
      <c r="A7571" s="11"/>
    </row>
    <row r="7572" spans="1:1" ht="15.75" x14ac:dyDescent="0.25">
      <c r="A7572" s="11"/>
    </row>
    <row r="7573" spans="1:1" ht="15.75" x14ac:dyDescent="0.25">
      <c r="A7573" s="11"/>
    </row>
    <row r="7574" spans="1:1" ht="15.75" x14ac:dyDescent="0.25">
      <c r="A7574" s="11"/>
    </row>
    <row r="7575" spans="1:1" ht="15.75" x14ac:dyDescent="0.25">
      <c r="A7575" s="11"/>
    </row>
    <row r="7576" spans="1:1" ht="15.75" x14ac:dyDescent="0.25">
      <c r="A7576" s="11"/>
    </row>
    <row r="7577" spans="1:1" ht="15.75" x14ac:dyDescent="0.25">
      <c r="A7577" s="11"/>
    </row>
    <row r="7578" spans="1:1" ht="15.75" x14ac:dyDescent="0.25">
      <c r="A7578" s="11"/>
    </row>
    <row r="7579" spans="1:1" ht="15.75" x14ac:dyDescent="0.25">
      <c r="A7579" s="11"/>
    </row>
    <row r="7580" spans="1:1" ht="15.75" x14ac:dyDescent="0.25">
      <c r="A7580" s="11"/>
    </row>
    <row r="7581" spans="1:1" ht="15.75" x14ac:dyDescent="0.25">
      <c r="A7581" s="11"/>
    </row>
    <row r="7582" spans="1:1" ht="15.75" x14ac:dyDescent="0.25">
      <c r="A7582" s="11"/>
    </row>
    <row r="7583" spans="1:1" ht="15.75" x14ac:dyDescent="0.25">
      <c r="A7583" s="11"/>
    </row>
    <row r="7584" spans="1:1" ht="15.75" x14ac:dyDescent="0.25">
      <c r="A7584" s="11"/>
    </row>
    <row r="7585" spans="1:1" ht="15.75" x14ac:dyDescent="0.25">
      <c r="A7585" s="11"/>
    </row>
    <row r="7586" spans="1:1" ht="15.75" x14ac:dyDescent="0.25">
      <c r="A7586" s="11"/>
    </row>
    <row r="7587" spans="1:1" ht="15.75" x14ac:dyDescent="0.25">
      <c r="A7587" s="11"/>
    </row>
    <row r="7588" spans="1:1" ht="15.75" x14ac:dyDescent="0.25">
      <c r="A7588" s="11"/>
    </row>
    <row r="7589" spans="1:1" ht="15.75" x14ac:dyDescent="0.25">
      <c r="A7589" s="11"/>
    </row>
    <row r="7590" spans="1:1" ht="15.75" x14ac:dyDescent="0.25">
      <c r="A7590" s="11"/>
    </row>
    <row r="7591" spans="1:1" ht="15.75" x14ac:dyDescent="0.25">
      <c r="A7591" s="11"/>
    </row>
    <row r="7592" spans="1:1" ht="15.75" x14ac:dyDescent="0.25">
      <c r="A7592" s="11"/>
    </row>
    <row r="7593" spans="1:1" ht="15.75" x14ac:dyDescent="0.25">
      <c r="A7593" s="11"/>
    </row>
    <row r="7594" spans="1:1" ht="15.75" x14ac:dyDescent="0.25">
      <c r="A7594" s="11"/>
    </row>
    <row r="7595" spans="1:1" ht="15.75" x14ac:dyDescent="0.25">
      <c r="A7595" s="11"/>
    </row>
    <row r="7596" spans="1:1" ht="15.75" x14ac:dyDescent="0.25">
      <c r="A7596" s="11"/>
    </row>
    <row r="7597" spans="1:1" ht="15.75" x14ac:dyDescent="0.25">
      <c r="A7597" s="11"/>
    </row>
    <row r="7598" spans="1:1" ht="15.75" x14ac:dyDescent="0.25">
      <c r="A7598" s="11"/>
    </row>
    <row r="7599" spans="1:1" ht="15.75" x14ac:dyDescent="0.25">
      <c r="A7599" s="11"/>
    </row>
    <row r="7600" spans="1:1" ht="15.75" x14ac:dyDescent="0.25">
      <c r="A7600" s="11"/>
    </row>
    <row r="7601" spans="1:1" ht="15.75" x14ac:dyDescent="0.25">
      <c r="A7601" s="11"/>
    </row>
    <row r="7602" spans="1:1" ht="15.75" x14ac:dyDescent="0.25">
      <c r="A7602" s="11"/>
    </row>
    <row r="7603" spans="1:1" ht="15.75" x14ac:dyDescent="0.25">
      <c r="A7603" s="11"/>
    </row>
    <row r="7604" spans="1:1" ht="15.75" x14ac:dyDescent="0.25">
      <c r="A7604" s="11"/>
    </row>
    <row r="7605" spans="1:1" ht="15.75" x14ac:dyDescent="0.25">
      <c r="A7605" s="11"/>
    </row>
    <row r="7606" spans="1:1" ht="15.75" x14ac:dyDescent="0.25">
      <c r="A7606" s="11"/>
    </row>
    <row r="7607" spans="1:1" ht="15.75" x14ac:dyDescent="0.25">
      <c r="A7607" s="11"/>
    </row>
    <row r="7608" spans="1:1" ht="15.75" x14ac:dyDescent="0.25">
      <c r="A7608" s="11"/>
    </row>
    <row r="7609" spans="1:1" ht="15.75" x14ac:dyDescent="0.25">
      <c r="A7609" s="11"/>
    </row>
    <row r="7610" spans="1:1" ht="15.75" x14ac:dyDescent="0.25">
      <c r="A7610" s="11"/>
    </row>
    <row r="7611" spans="1:1" ht="15.75" x14ac:dyDescent="0.25">
      <c r="A7611" s="11"/>
    </row>
    <row r="7612" spans="1:1" ht="15.75" x14ac:dyDescent="0.25">
      <c r="A7612" s="11"/>
    </row>
    <row r="7613" spans="1:1" ht="15.75" x14ac:dyDescent="0.25">
      <c r="A7613" s="11"/>
    </row>
    <row r="7614" spans="1:1" ht="15.75" x14ac:dyDescent="0.25">
      <c r="A7614" s="11"/>
    </row>
    <row r="7615" spans="1:1" ht="15.75" x14ac:dyDescent="0.25">
      <c r="A7615" s="11"/>
    </row>
    <row r="7616" spans="1:1" ht="15.75" x14ac:dyDescent="0.25">
      <c r="A7616" s="11"/>
    </row>
    <row r="7617" spans="1:1" ht="15.75" x14ac:dyDescent="0.25">
      <c r="A7617" s="11"/>
    </row>
    <row r="7618" spans="1:1" ht="15.75" x14ac:dyDescent="0.25">
      <c r="A7618" s="11"/>
    </row>
    <row r="7619" spans="1:1" ht="15.75" x14ac:dyDescent="0.25">
      <c r="A7619" s="11"/>
    </row>
    <row r="7620" spans="1:1" ht="15.75" x14ac:dyDescent="0.25">
      <c r="A7620" s="11"/>
    </row>
    <row r="7621" spans="1:1" ht="15.75" x14ac:dyDescent="0.25">
      <c r="A7621" s="11"/>
    </row>
    <row r="7622" spans="1:1" ht="15.75" x14ac:dyDescent="0.25">
      <c r="A7622" s="11"/>
    </row>
    <row r="7623" spans="1:1" ht="15.75" x14ac:dyDescent="0.25">
      <c r="A7623" s="11"/>
    </row>
    <row r="7624" spans="1:1" ht="15.75" x14ac:dyDescent="0.25">
      <c r="A7624" s="11"/>
    </row>
    <row r="7625" spans="1:1" ht="15.75" x14ac:dyDescent="0.25">
      <c r="A7625" s="11"/>
    </row>
    <row r="7626" spans="1:1" ht="15.75" x14ac:dyDescent="0.25">
      <c r="A7626" s="11"/>
    </row>
    <row r="7627" spans="1:1" ht="15.75" x14ac:dyDescent="0.25">
      <c r="A7627" s="11"/>
    </row>
    <row r="7628" spans="1:1" ht="15.75" x14ac:dyDescent="0.25">
      <c r="A7628" s="11"/>
    </row>
    <row r="7629" spans="1:1" ht="15.75" x14ac:dyDescent="0.25">
      <c r="A7629" s="11"/>
    </row>
    <row r="7630" spans="1:1" ht="15.75" x14ac:dyDescent="0.25">
      <c r="A7630" s="11"/>
    </row>
    <row r="7631" spans="1:1" ht="15.75" x14ac:dyDescent="0.25">
      <c r="A7631" s="11"/>
    </row>
    <row r="7632" spans="1:1" ht="15.75" x14ac:dyDescent="0.25">
      <c r="A7632" s="11"/>
    </row>
    <row r="7633" spans="1:1" ht="15.75" x14ac:dyDescent="0.25">
      <c r="A7633" s="11"/>
    </row>
    <row r="7634" spans="1:1" ht="15.75" x14ac:dyDescent="0.25">
      <c r="A7634" s="11"/>
    </row>
    <row r="7635" spans="1:1" ht="15.75" x14ac:dyDescent="0.25">
      <c r="A7635" s="11"/>
    </row>
    <row r="7636" spans="1:1" ht="15.75" x14ac:dyDescent="0.25">
      <c r="A7636" s="11"/>
    </row>
    <row r="7637" spans="1:1" ht="15.75" x14ac:dyDescent="0.25">
      <c r="A7637" s="11"/>
    </row>
    <row r="7638" spans="1:1" ht="15.75" x14ac:dyDescent="0.25">
      <c r="A7638" s="11"/>
    </row>
    <row r="7639" spans="1:1" ht="15.75" x14ac:dyDescent="0.25">
      <c r="A7639" s="11"/>
    </row>
    <row r="7640" spans="1:1" ht="15.75" x14ac:dyDescent="0.25">
      <c r="A7640" s="11"/>
    </row>
    <row r="7641" spans="1:1" ht="15.75" x14ac:dyDescent="0.25">
      <c r="A7641" s="11"/>
    </row>
    <row r="7642" spans="1:1" ht="15.75" x14ac:dyDescent="0.25">
      <c r="A7642" s="11"/>
    </row>
    <row r="7643" spans="1:1" ht="15.75" x14ac:dyDescent="0.25">
      <c r="A7643" s="11"/>
    </row>
    <row r="7644" spans="1:1" ht="15.75" x14ac:dyDescent="0.25">
      <c r="A7644" s="11"/>
    </row>
    <row r="7645" spans="1:1" ht="15.75" x14ac:dyDescent="0.25">
      <c r="A7645" s="11"/>
    </row>
    <row r="7646" spans="1:1" ht="15.75" x14ac:dyDescent="0.25">
      <c r="A7646" s="11"/>
    </row>
    <row r="7647" spans="1:1" ht="15.75" x14ac:dyDescent="0.25">
      <c r="A7647" s="11"/>
    </row>
    <row r="7648" spans="1:1" ht="15.75" x14ac:dyDescent="0.25">
      <c r="A7648" s="11"/>
    </row>
    <row r="7649" spans="1:1" ht="15.75" x14ac:dyDescent="0.25">
      <c r="A7649" s="11"/>
    </row>
    <row r="7650" spans="1:1" ht="15.75" x14ac:dyDescent="0.25">
      <c r="A7650" s="11"/>
    </row>
    <row r="7651" spans="1:1" ht="15.75" x14ac:dyDescent="0.25">
      <c r="A7651" s="11"/>
    </row>
    <row r="7652" spans="1:1" ht="15.75" x14ac:dyDescent="0.25">
      <c r="A7652" s="11"/>
    </row>
    <row r="7653" spans="1:1" ht="15.75" x14ac:dyDescent="0.25">
      <c r="A7653" s="11"/>
    </row>
    <row r="7654" spans="1:1" ht="15.75" x14ac:dyDescent="0.25">
      <c r="A7654" s="11"/>
    </row>
    <row r="7655" spans="1:1" ht="15.75" x14ac:dyDescent="0.25">
      <c r="A7655" s="11"/>
    </row>
    <row r="7656" spans="1:1" ht="15.75" x14ac:dyDescent="0.25">
      <c r="A7656" s="11"/>
    </row>
    <row r="7657" spans="1:1" ht="15.75" x14ac:dyDescent="0.25">
      <c r="A7657" s="11"/>
    </row>
    <row r="7658" spans="1:1" ht="15.75" x14ac:dyDescent="0.25">
      <c r="A7658" s="11"/>
    </row>
    <row r="7659" spans="1:1" ht="15.75" x14ac:dyDescent="0.25">
      <c r="A7659" s="11"/>
    </row>
    <row r="7660" spans="1:1" ht="15.75" x14ac:dyDescent="0.25">
      <c r="A7660" s="11"/>
    </row>
    <row r="7661" spans="1:1" ht="15.75" x14ac:dyDescent="0.25">
      <c r="A7661" s="11"/>
    </row>
    <row r="7662" spans="1:1" ht="15.75" x14ac:dyDescent="0.25">
      <c r="A7662" s="11"/>
    </row>
    <row r="7663" spans="1:1" ht="15.75" x14ac:dyDescent="0.25">
      <c r="A7663" s="11"/>
    </row>
    <row r="7664" spans="1:1" ht="15.75" x14ac:dyDescent="0.25">
      <c r="A7664" s="11"/>
    </row>
    <row r="7665" spans="1:1" ht="15.75" x14ac:dyDescent="0.25">
      <c r="A7665" s="11"/>
    </row>
    <row r="7666" spans="1:1" ht="15.75" x14ac:dyDescent="0.25">
      <c r="A7666" s="11"/>
    </row>
    <row r="7667" spans="1:1" ht="15.75" x14ac:dyDescent="0.25">
      <c r="A7667" s="11"/>
    </row>
    <row r="7668" spans="1:1" ht="15.75" x14ac:dyDescent="0.25">
      <c r="A7668" s="11"/>
    </row>
    <row r="7669" spans="1:1" ht="15.75" x14ac:dyDescent="0.25">
      <c r="A7669" s="11"/>
    </row>
    <row r="7670" spans="1:1" ht="15.75" x14ac:dyDescent="0.25">
      <c r="A7670" s="11"/>
    </row>
    <row r="7671" spans="1:1" ht="15.75" x14ac:dyDescent="0.25">
      <c r="A7671" s="11"/>
    </row>
    <row r="7672" spans="1:1" ht="15.75" x14ac:dyDescent="0.25">
      <c r="A7672" s="11"/>
    </row>
    <row r="7673" spans="1:1" ht="15.75" x14ac:dyDescent="0.25">
      <c r="A7673" s="11"/>
    </row>
    <row r="7674" spans="1:1" ht="15.75" x14ac:dyDescent="0.25">
      <c r="A7674" s="11"/>
    </row>
    <row r="7675" spans="1:1" ht="15.75" x14ac:dyDescent="0.25">
      <c r="A7675" s="11"/>
    </row>
    <row r="7676" spans="1:1" ht="15.75" x14ac:dyDescent="0.25">
      <c r="A7676" s="11"/>
    </row>
    <row r="7677" spans="1:1" ht="15.75" x14ac:dyDescent="0.25">
      <c r="A7677" s="11"/>
    </row>
    <row r="7678" spans="1:1" ht="15.75" x14ac:dyDescent="0.25">
      <c r="A7678" s="11"/>
    </row>
    <row r="7679" spans="1:1" ht="15.75" x14ac:dyDescent="0.25">
      <c r="A7679" s="11"/>
    </row>
    <row r="7680" spans="1:1" ht="15.75" x14ac:dyDescent="0.25">
      <c r="A7680" s="11"/>
    </row>
    <row r="7681" spans="1:1" ht="15.75" x14ac:dyDescent="0.25">
      <c r="A7681" s="11"/>
    </row>
    <row r="7682" spans="1:1" ht="15.75" x14ac:dyDescent="0.25">
      <c r="A7682" s="11"/>
    </row>
    <row r="7683" spans="1:1" ht="15.75" x14ac:dyDescent="0.25">
      <c r="A7683" s="11"/>
    </row>
    <row r="7684" spans="1:1" ht="15.75" x14ac:dyDescent="0.25">
      <c r="A7684" s="11"/>
    </row>
    <row r="7685" spans="1:1" ht="15.75" x14ac:dyDescent="0.25">
      <c r="A7685" s="11"/>
    </row>
    <row r="7686" spans="1:1" ht="15.75" x14ac:dyDescent="0.25">
      <c r="A7686" s="11"/>
    </row>
    <row r="7687" spans="1:1" ht="15.75" x14ac:dyDescent="0.25">
      <c r="A7687" s="11"/>
    </row>
    <row r="7688" spans="1:1" ht="15.75" x14ac:dyDescent="0.25">
      <c r="A7688" s="11"/>
    </row>
    <row r="7689" spans="1:1" ht="15.75" x14ac:dyDescent="0.25">
      <c r="A7689" s="11"/>
    </row>
    <row r="7690" spans="1:1" ht="15.75" x14ac:dyDescent="0.25">
      <c r="A7690" s="11"/>
    </row>
    <row r="7691" spans="1:1" ht="15.75" x14ac:dyDescent="0.25">
      <c r="A7691" s="11"/>
    </row>
    <row r="7692" spans="1:1" ht="15.75" x14ac:dyDescent="0.25">
      <c r="A7692" s="11"/>
    </row>
    <row r="7693" spans="1:1" ht="15.75" x14ac:dyDescent="0.25">
      <c r="A7693" s="11"/>
    </row>
    <row r="7694" spans="1:1" ht="15.75" x14ac:dyDescent="0.25">
      <c r="A7694" s="11"/>
    </row>
    <row r="7695" spans="1:1" ht="15.75" x14ac:dyDescent="0.25">
      <c r="A7695" s="11"/>
    </row>
    <row r="7696" spans="1:1" ht="15.75" x14ac:dyDescent="0.25">
      <c r="A7696" s="11"/>
    </row>
    <row r="7697" spans="1:1" ht="15.75" x14ac:dyDescent="0.25">
      <c r="A7697" s="11"/>
    </row>
    <row r="7698" spans="1:1" ht="15.75" x14ac:dyDescent="0.25">
      <c r="A7698" s="11"/>
    </row>
    <row r="7699" spans="1:1" ht="15.75" x14ac:dyDescent="0.25">
      <c r="A7699" s="11"/>
    </row>
    <row r="7700" spans="1:1" ht="15.75" x14ac:dyDescent="0.25">
      <c r="A7700" s="11"/>
    </row>
    <row r="7701" spans="1:1" ht="15.75" x14ac:dyDescent="0.25">
      <c r="A7701" s="11"/>
    </row>
    <row r="7702" spans="1:1" ht="15.75" x14ac:dyDescent="0.25">
      <c r="A7702" s="11"/>
    </row>
    <row r="7703" spans="1:1" ht="15.75" x14ac:dyDescent="0.25">
      <c r="A7703" s="11"/>
    </row>
    <row r="7704" spans="1:1" ht="15.75" x14ac:dyDescent="0.25">
      <c r="A7704" s="11"/>
    </row>
    <row r="7705" spans="1:1" ht="15.75" x14ac:dyDescent="0.25">
      <c r="A7705" s="11"/>
    </row>
    <row r="7706" spans="1:1" ht="15.75" x14ac:dyDescent="0.25">
      <c r="A7706" s="11"/>
    </row>
    <row r="7707" spans="1:1" ht="15.75" x14ac:dyDescent="0.25">
      <c r="A7707" s="11"/>
    </row>
    <row r="7708" spans="1:1" ht="15.75" x14ac:dyDescent="0.25">
      <c r="A7708" s="11"/>
    </row>
    <row r="7709" spans="1:1" ht="15.75" x14ac:dyDescent="0.25">
      <c r="A7709" s="11"/>
    </row>
    <row r="7710" spans="1:1" ht="15.75" x14ac:dyDescent="0.25">
      <c r="A7710" s="11"/>
    </row>
    <row r="7711" spans="1:1" ht="15.75" x14ac:dyDescent="0.25">
      <c r="A7711" s="11"/>
    </row>
    <row r="7712" spans="1:1" ht="15.75" x14ac:dyDescent="0.25">
      <c r="A7712" s="11"/>
    </row>
    <row r="7713" spans="1:1" ht="15.75" x14ac:dyDescent="0.25">
      <c r="A7713" s="11"/>
    </row>
    <row r="7714" spans="1:1" ht="15.75" x14ac:dyDescent="0.25">
      <c r="A7714" s="11"/>
    </row>
    <row r="7715" spans="1:1" ht="15.75" x14ac:dyDescent="0.25">
      <c r="A7715" s="11"/>
    </row>
    <row r="7716" spans="1:1" ht="15.75" x14ac:dyDescent="0.25">
      <c r="A7716" s="11"/>
    </row>
    <row r="7717" spans="1:1" ht="15.75" x14ac:dyDescent="0.25">
      <c r="A7717" s="11"/>
    </row>
    <row r="7718" spans="1:1" ht="15.75" x14ac:dyDescent="0.25">
      <c r="A7718" s="11"/>
    </row>
    <row r="7719" spans="1:1" ht="15.75" x14ac:dyDescent="0.25">
      <c r="A7719" s="11"/>
    </row>
    <row r="7720" spans="1:1" ht="15.75" x14ac:dyDescent="0.25">
      <c r="A7720" s="11"/>
    </row>
    <row r="7721" spans="1:1" ht="15.75" x14ac:dyDescent="0.25">
      <c r="A7721" s="11"/>
    </row>
    <row r="7722" spans="1:1" ht="15.75" x14ac:dyDescent="0.25">
      <c r="A7722" s="11"/>
    </row>
    <row r="7723" spans="1:1" ht="15.75" x14ac:dyDescent="0.25">
      <c r="A7723" s="11"/>
    </row>
    <row r="7724" spans="1:1" ht="15.75" x14ac:dyDescent="0.25">
      <c r="A7724" s="11"/>
    </row>
    <row r="7725" spans="1:1" ht="15.75" x14ac:dyDescent="0.25">
      <c r="A7725" s="11"/>
    </row>
    <row r="7726" spans="1:1" ht="15.75" x14ac:dyDescent="0.25">
      <c r="A7726" s="11"/>
    </row>
    <row r="7727" spans="1:1" ht="15.75" x14ac:dyDescent="0.25">
      <c r="A7727" s="11"/>
    </row>
    <row r="7728" spans="1:1" ht="15.75" x14ac:dyDescent="0.25">
      <c r="A7728" s="11"/>
    </row>
    <row r="7729" spans="1:1" ht="15.75" x14ac:dyDescent="0.25">
      <c r="A7729" s="11"/>
    </row>
    <row r="7730" spans="1:1" ht="15.75" x14ac:dyDescent="0.25">
      <c r="A7730" s="11"/>
    </row>
    <row r="7731" spans="1:1" ht="15.75" x14ac:dyDescent="0.25">
      <c r="A7731" s="11"/>
    </row>
    <row r="7732" spans="1:1" ht="15.75" x14ac:dyDescent="0.25">
      <c r="A7732" s="11"/>
    </row>
    <row r="7733" spans="1:1" ht="15.75" x14ac:dyDescent="0.25">
      <c r="A7733" s="11"/>
    </row>
    <row r="7734" spans="1:1" ht="15.75" x14ac:dyDescent="0.25">
      <c r="A7734" s="11"/>
    </row>
    <row r="7735" spans="1:1" ht="15.75" x14ac:dyDescent="0.25">
      <c r="A7735" s="11"/>
    </row>
    <row r="7736" spans="1:1" ht="15.75" x14ac:dyDescent="0.25">
      <c r="A7736" s="11"/>
    </row>
    <row r="7737" spans="1:1" ht="15.75" x14ac:dyDescent="0.25">
      <c r="A7737" s="11"/>
    </row>
    <row r="7738" spans="1:1" ht="15.75" x14ac:dyDescent="0.25">
      <c r="A7738" s="11"/>
    </row>
    <row r="7739" spans="1:1" ht="15.75" x14ac:dyDescent="0.25">
      <c r="A7739" s="11"/>
    </row>
    <row r="7740" spans="1:1" ht="15.75" x14ac:dyDescent="0.25">
      <c r="A7740" s="11"/>
    </row>
    <row r="7741" spans="1:1" ht="15.75" x14ac:dyDescent="0.25">
      <c r="A7741" s="11"/>
    </row>
    <row r="7742" spans="1:1" ht="15.75" x14ac:dyDescent="0.25">
      <c r="A7742" s="11"/>
    </row>
    <row r="7743" spans="1:1" ht="15.75" x14ac:dyDescent="0.25">
      <c r="A7743" s="11"/>
    </row>
    <row r="7744" spans="1:1" ht="15.75" x14ac:dyDescent="0.25">
      <c r="A7744" s="11"/>
    </row>
    <row r="7745" spans="1:1" ht="15.75" x14ac:dyDescent="0.25">
      <c r="A7745" s="11"/>
    </row>
    <row r="7746" spans="1:1" ht="15.75" x14ac:dyDescent="0.25">
      <c r="A7746" s="11"/>
    </row>
    <row r="7747" spans="1:1" ht="15.75" x14ac:dyDescent="0.25">
      <c r="A7747" s="11"/>
    </row>
    <row r="7748" spans="1:1" ht="15.75" x14ac:dyDescent="0.25">
      <c r="A7748" s="11"/>
    </row>
    <row r="7749" spans="1:1" ht="15.75" x14ac:dyDescent="0.25">
      <c r="A7749" s="11"/>
    </row>
    <row r="7750" spans="1:1" ht="15.75" x14ac:dyDescent="0.25">
      <c r="A7750" s="11"/>
    </row>
    <row r="7751" spans="1:1" ht="15.75" x14ac:dyDescent="0.25">
      <c r="A7751" s="11"/>
    </row>
    <row r="7752" spans="1:1" ht="15.75" x14ac:dyDescent="0.25">
      <c r="A7752" s="11"/>
    </row>
    <row r="7753" spans="1:1" ht="15.75" x14ac:dyDescent="0.25">
      <c r="A7753" s="11"/>
    </row>
    <row r="7754" spans="1:1" ht="15.75" x14ac:dyDescent="0.25">
      <c r="A7754" s="11"/>
    </row>
    <row r="7755" spans="1:1" ht="15.75" x14ac:dyDescent="0.25">
      <c r="A7755" s="11"/>
    </row>
    <row r="7756" spans="1:1" ht="15.75" x14ac:dyDescent="0.25">
      <c r="A7756" s="11"/>
    </row>
    <row r="7757" spans="1:1" ht="15.75" x14ac:dyDescent="0.25">
      <c r="A7757" s="11"/>
    </row>
    <row r="7758" spans="1:1" ht="15.75" x14ac:dyDescent="0.25">
      <c r="A7758" s="11"/>
    </row>
    <row r="7759" spans="1:1" ht="15.75" x14ac:dyDescent="0.25">
      <c r="A7759" s="11"/>
    </row>
    <row r="7760" spans="1:1" ht="15.75" x14ac:dyDescent="0.25">
      <c r="A7760" s="11"/>
    </row>
    <row r="7761" spans="1:1" ht="15.75" x14ac:dyDescent="0.25">
      <c r="A7761" s="11"/>
    </row>
    <row r="7762" spans="1:1" ht="15.75" x14ac:dyDescent="0.25">
      <c r="A7762" s="11"/>
    </row>
    <row r="7763" spans="1:1" ht="15.75" x14ac:dyDescent="0.25">
      <c r="A7763" s="11"/>
    </row>
    <row r="7764" spans="1:1" ht="15.75" x14ac:dyDescent="0.25">
      <c r="A7764" s="11"/>
    </row>
    <row r="7765" spans="1:1" ht="15.75" x14ac:dyDescent="0.25">
      <c r="A7765" s="11"/>
    </row>
    <row r="7766" spans="1:1" ht="15.75" x14ac:dyDescent="0.25">
      <c r="A7766" s="11"/>
    </row>
    <row r="7767" spans="1:1" ht="15.75" x14ac:dyDescent="0.25">
      <c r="A7767" s="11"/>
    </row>
    <row r="7768" spans="1:1" ht="15.75" x14ac:dyDescent="0.25">
      <c r="A7768" s="11"/>
    </row>
    <row r="7769" spans="1:1" ht="15.75" x14ac:dyDescent="0.25">
      <c r="A7769" s="11"/>
    </row>
    <row r="7770" spans="1:1" ht="15.75" x14ac:dyDescent="0.25">
      <c r="A7770" s="11"/>
    </row>
    <row r="7771" spans="1:1" ht="15.75" x14ac:dyDescent="0.25">
      <c r="A7771" s="11"/>
    </row>
    <row r="7772" spans="1:1" ht="15.75" x14ac:dyDescent="0.25">
      <c r="A7772" s="11"/>
    </row>
    <row r="7773" spans="1:1" ht="15.75" x14ac:dyDescent="0.25">
      <c r="A7773" s="11"/>
    </row>
    <row r="7774" spans="1:1" ht="15.75" x14ac:dyDescent="0.25">
      <c r="A7774" s="11"/>
    </row>
    <row r="7775" spans="1:1" ht="15.75" x14ac:dyDescent="0.25">
      <c r="A7775" s="11"/>
    </row>
    <row r="7776" spans="1:1" ht="15.75" x14ac:dyDescent="0.25">
      <c r="A7776" s="11"/>
    </row>
    <row r="7777" spans="1:1" ht="15.75" x14ac:dyDescent="0.25">
      <c r="A7777" s="11"/>
    </row>
    <row r="7778" spans="1:1" ht="15.75" x14ac:dyDescent="0.25">
      <c r="A7778" s="11"/>
    </row>
    <row r="7779" spans="1:1" ht="15.75" x14ac:dyDescent="0.25">
      <c r="A7779" s="11"/>
    </row>
    <row r="7780" spans="1:1" ht="15.75" x14ac:dyDescent="0.25">
      <c r="A7780" s="11"/>
    </row>
    <row r="7781" spans="1:1" ht="15.75" x14ac:dyDescent="0.25">
      <c r="A7781" s="11"/>
    </row>
    <row r="7782" spans="1:1" ht="15.75" x14ac:dyDescent="0.25">
      <c r="A7782" s="11"/>
    </row>
    <row r="7783" spans="1:1" ht="15.75" x14ac:dyDescent="0.25">
      <c r="A7783" s="11"/>
    </row>
    <row r="7784" spans="1:1" ht="15.75" x14ac:dyDescent="0.25">
      <c r="A7784" s="11"/>
    </row>
    <row r="7785" spans="1:1" ht="15.75" x14ac:dyDescent="0.25">
      <c r="A7785" s="11"/>
    </row>
    <row r="7786" spans="1:1" ht="15.75" x14ac:dyDescent="0.25">
      <c r="A7786" s="11"/>
    </row>
    <row r="7787" spans="1:1" ht="15.75" x14ac:dyDescent="0.25">
      <c r="A7787" s="11"/>
    </row>
    <row r="7788" spans="1:1" ht="15.75" x14ac:dyDescent="0.25">
      <c r="A7788" s="11"/>
    </row>
    <row r="7789" spans="1:1" ht="15.75" x14ac:dyDescent="0.25">
      <c r="A7789" s="11"/>
    </row>
    <row r="7790" spans="1:1" ht="15.75" x14ac:dyDescent="0.25">
      <c r="A7790" s="11"/>
    </row>
    <row r="7791" spans="1:1" ht="15.75" x14ac:dyDescent="0.25">
      <c r="A7791" s="11"/>
    </row>
    <row r="7792" spans="1:1" ht="15.75" x14ac:dyDescent="0.25">
      <c r="A7792" s="11"/>
    </row>
    <row r="7793" spans="1:1" ht="15.75" x14ac:dyDescent="0.25">
      <c r="A7793" s="11"/>
    </row>
    <row r="7794" spans="1:1" ht="15.75" x14ac:dyDescent="0.25">
      <c r="A7794" s="11"/>
    </row>
    <row r="7795" spans="1:1" ht="15.75" x14ac:dyDescent="0.25">
      <c r="A7795" s="11"/>
    </row>
    <row r="7796" spans="1:1" ht="15.75" x14ac:dyDescent="0.25">
      <c r="A7796" s="11"/>
    </row>
    <row r="7797" spans="1:1" ht="15.75" x14ac:dyDescent="0.25">
      <c r="A7797" s="11"/>
    </row>
    <row r="7798" spans="1:1" ht="15.75" x14ac:dyDescent="0.25">
      <c r="A7798" s="11"/>
    </row>
    <row r="7799" spans="1:1" ht="15.75" x14ac:dyDescent="0.25">
      <c r="A7799" s="11"/>
    </row>
    <row r="7800" spans="1:1" ht="15.75" x14ac:dyDescent="0.25">
      <c r="A7800" s="11"/>
    </row>
    <row r="7801" spans="1:1" ht="15.75" x14ac:dyDescent="0.25">
      <c r="A7801" s="11"/>
    </row>
    <row r="7802" spans="1:1" ht="15.75" x14ac:dyDescent="0.25">
      <c r="A7802" s="11"/>
    </row>
    <row r="7803" spans="1:1" ht="15.75" x14ac:dyDescent="0.25">
      <c r="A7803" s="11"/>
    </row>
    <row r="7804" spans="1:1" ht="15.75" x14ac:dyDescent="0.25">
      <c r="A7804" s="11"/>
    </row>
    <row r="7805" spans="1:1" ht="15.75" x14ac:dyDescent="0.25">
      <c r="A7805" s="11"/>
    </row>
    <row r="7806" spans="1:1" ht="15.75" x14ac:dyDescent="0.25">
      <c r="A7806" s="11"/>
    </row>
    <row r="7807" spans="1:1" ht="15.75" x14ac:dyDescent="0.25">
      <c r="A7807" s="11"/>
    </row>
    <row r="7808" spans="1:1" ht="15.75" x14ac:dyDescent="0.25">
      <c r="A7808" s="11"/>
    </row>
    <row r="7809" spans="1:1" ht="15.75" x14ac:dyDescent="0.25">
      <c r="A7809" s="11"/>
    </row>
    <row r="7810" spans="1:1" ht="15.75" x14ac:dyDescent="0.25">
      <c r="A7810" s="11"/>
    </row>
    <row r="7811" spans="1:1" ht="15.75" x14ac:dyDescent="0.25">
      <c r="A7811" s="11"/>
    </row>
    <row r="7812" spans="1:1" ht="15.75" x14ac:dyDescent="0.25">
      <c r="A7812" s="11"/>
    </row>
    <row r="7813" spans="1:1" ht="15.75" x14ac:dyDescent="0.25">
      <c r="A7813" s="11"/>
    </row>
    <row r="7814" spans="1:1" ht="15.75" x14ac:dyDescent="0.25">
      <c r="A7814" s="11"/>
    </row>
    <row r="7815" spans="1:1" ht="15.75" x14ac:dyDescent="0.25">
      <c r="A7815" s="11"/>
    </row>
    <row r="7816" spans="1:1" ht="15.75" x14ac:dyDescent="0.25">
      <c r="A7816" s="11"/>
    </row>
    <row r="7817" spans="1:1" ht="15.75" x14ac:dyDescent="0.25">
      <c r="A7817" s="11"/>
    </row>
    <row r="7818" spans="1:1" ht="15.75" x14ac:dyDescent="0.25">
      <c r="A7818" s="11"/>
    </row>
    <row r="7819" spans="1:1" ht="15.75" x14ac:dyDescent="0.25">
      <c r="A7819" s="11"/>
    </row>
    <row r="7820" spans="1:1" ht="15.75" x14ac:dyDescent="0.25">
      <c r="A7820" s="11"/>
    </row>
    <row r="7821" spans="1:1" ht="15.75" x14ac:dyDescent="0.25">
      <c r="A7821" s="11"/>
    </row>
    <row r="7822" spans="1:1" ht="15.75" x14ac:dyDescent="0.25">
      <c r="A7822" s="11"/>
    </row>
    <row r="7823" spans="1:1" ht="15.75" x14ac:dyDescent="0.25">
      <c r="A7823" s="11"/>
    </row>
    <row r="7824" spans="1:1" ht="15.75" x14ac:dyDescent="0.25">
      <c r="A7824" s="11"/>
    </row>
    <row r="7825" spans="1:1" ht="15.75" x14ac:dyDescent="0.25">
      <c r="A7825" s="11"/>
    </row>
    <row r="7826" spans="1:1" ht="15.75" x14ac:dyDescent="0.25">
      <c r="A7826" s="11"/>
    </row>
    <row r="7827" spans="1:1" ht="15.75" x14ac:dyDescent="0.25">
      <c r="A7827" s="11"/>
    </row>
    <row r="7828" spans="1:1" ht="15.75" x14ac:dyDescent="0.25">
      <c r="A7828" s="11"/>
    </row>
    <row r="7829" spans="1:1" ht="15.75" x14ac:dyDescent="0.25">
      <c r="A7829" s="11"/>
    </row>
    <row r="7830" spans="1:1" ht="15.75" x14ac:dyDescent="0.25">
      <c r="A7830" s="11"/>
    </row>
    <row r="7831" spans="1:1" ht="15.75" x14ac:dyDescent="0.25">
      <c r="A7831" s="11"/>
    </row>
    <row r="7832" spans="1:1" ht="15.75" x14ac:dyDescent="0.25">
      <c r="A7832" s="11"/>
    </row>
    <row r="7833" spans="1:1" ht="15.75" x14ac:dyDescent="0.25">
      <c r="A7833" s="11"/>
    </row>
    <row r="7834" spans="1:1" ht="15.75" x14ac:dyDescent="0.25">
      <c r="A7834" s="11"/>
    </row>
    <row r="7835" spans="1:1" ht="15.75" x14ac:dyDescent="0.25">
      <c r="A7835" s="11"/>
    </row>
    <row r="7836" spans="1:1" ht="15.75" x14ac:dyDescent="0.25">
      <c r="A7836" s="11"/>
    </row>
    <row r="7837" spans="1:1" ht="15.75" x14ac:dyDescent="0.25">
      <c r="A7837" s="11"/>
    </row>
    <row r="7838" spans="1:1" ht="15.75" x14ac:dyDescent="0.25">
      <c r="A7838" s="11"/>
    </row>
    <row r="7839" spans="1:1" ht="15.75" x14ac:dyDescent="0.25">
      <c r="A7839" s="11"/>
    </row>
    <row r="7840" spans="1:1" ht="15.75" x14ac:dyDescent="0.25">
      <c r="A7840" s="11"/>
    </row>
    <row r="7841" spans="1:1" ht="15.75" x14ac:dyDescent="0.25">
      <c r="A7841" s="11"/>
    </row>
    <row r="7842" spans="1:1" ht="15.75" x14ac:dyDescent="0.25">
      <c r="A7842" s="11"/>
    </row>
    <row r="7843" spans="1:1" ht="15.75" x14ac:dyDescent="0.25">
      <c r="A7843" s="11"/>
    </row>
    <row r="7844" spans="1:1" ht="15.75" x14ac:dyDescent="0.25">
      <c r="A7844" s="11"/>
    </row>
    <row r="7845" spans="1:1" ht="15.75" x14ac:dyDescent="0.25">
      <c r="A7845" s="11"/>
    </row>
    <row r="7846" spans="1:1" ht="15.75" x14ac:dyDescent="0.25">
      <c r="A7846" s="11"/>
    </row>
    <row r="7847" spans="1:1" ht="15.75" x14ac:dyDescent="0.25">
      <c r="A7847" s="11"/>
    </row>
    <row r="7848" spans="1:1" ht="15.75" x14ac:dyDescent="0.25">
      <c r="A7848" s="11"/>
    </row>
    <row r="7849" spans="1:1" ht="15.75" x14ac:dyDescent="0.25">
      <c r="A7849" s="11"/>
    </row>
    <row r="7850" spans="1:1" ht="15.75" x14ac:dyDescent="0.25">
      <c r="A7850" s="11"/>
    </row>
    <row r="7851" spans="1:1" ht="15.75" x14ac:dyDescent="0.25">
      <c r="A7851" s="11"/>
    </row>
    <row r="7852" spans="1:1" ht="15.75" x14ac:dyDescent="0.25">
      <c r="A7852" s="11"/>
    </row>
    <row r="7853" spans="1:1" ht="15.75" x14ac:dyDescent="0.25">
      <c r="A7853" s="11"/>
    </row>
    <row r="7854" spans="1:1" ht="15.75" x14ac:dyDescent="0.25">
      <c r="A7854" s="11"/>
    </row>
    <row r="7855" spans="1:1" ht="15.75" x14ac:dyDescent="0.25">
      <c r="A7855" s="11"/>
    </row>
    <row r="7856" spans="1:1" ht="15.75" x14ac:dyDescent="0.25">
      <c r="A7856" s="11"/>
    </row>
    <row r="7857" spans="1:1" ht="15.75" x14ac:dyDescent="0.25">
      <c r="A7857" s="11"/>
    </row>
    <row r="7858" spans="1:1" ht="15.75" x14ac:dyDescent="0.25">
      <c r="A7858" s="11"/>
    </row>
    <row r="7859" spans="1:1" ht="15.75" x14ac:dyDescent="0.25">
      <c r="A7859" s="11"/>
    </row>
    <row r="7860" spans="1:1" ht="15.75" x14ac:dyDescent="0.25">
      <c r="A7860" s="11"/>
    </row>
    <row r="7861" spans="1:1" ht="15.75" x14ac:dyDescent="0.25">
      <c r="A7861" s="11"/>
    </row>
    <row r="7862" spans="1:1" ht="15.75" x14ac:dyDescent="0.25">
      <c r="A7862" s="11"/>
    </row>
    <row r="7863" spans="1:1" ht="15.75" x14ac:dyDescent="0.25">
      <c r="A7863" s="11"/>
    </row>
    <row r="7864" spans="1:1" ht="15.75" x14ac:dyDescent="0.25">
      <c r="A7864" s="11"/>
    </row>
    <row r="7865" spans="1:1" ht="15.75" x14ac:dyDescent="0.25">
      <c r="A7865" s="11"/>
    </row>
    <row r="7866" spans="1:1" ht="15.75" x14ac:dyDescent="0.25">
      <c r="A7866" s="11"/>
    </row>
    <row r="7867" spans="1:1" ht="15.75" x14ac:dyDescent="0.25">
      <c r="A7867" s="11"/>
    </row>
    <row r="7868" spans="1:1" ht="15.75" x14ac:dyDescent="0.25">
      <c r="A7868" s="11"/>
    </row>
    <row r="7869" spans="1:1" ht="15.75" x14ac:dyDescent="0.25">
      <c r="A7869" s="11"/>
    </row>
    <row r="7870" spans="1:1" ht="15.75" x14ac:dyDescent="0.25">
      <c r="A7870" s="11"/>
    </row>
    <row r="7871" spans="1:1" ht="15.75" x14ac:dyDescent="0.25">
      <c r="A7871" s="11"/>
    </row>
    <row r="7872" spans="1:1" ht="15.75" x14ac:dyDescent="0.25">
      <c r="A7872" s="11"/>
    </row>
    <row r="7873" spans="1:1" ht="15.75" x14ac:dyDescent="0.25">
      <c r="A7873" s="11"/>
    </row>
    <row r="7874" spans="1:1" ht="15.75" x14ac:dyDescent="0.25">
      <c r="A7874" s="11"/>
    </row>
    <row r="7875" spans="1:1" ht="15.75" x14ac:dyDescent="0.25">
      <c r="A7875" s="11"/>
    </row>
    <row r="7876" spans="1:1" ht="15.75" x14ac:dyDescent="0.25">
      <c r="A7876" s="11"/>
    </row>
    <row r="7877" spans="1:1" ht="15.75" x14ac:dyDescent="0.25">
      <c r="A7877" s="11"/>
    </row>
    <row r="7878" spans="1:1" ht="15.75" x14ac:dyDescent="0.25">
      <c r="A7878" s="11"/>
    </row>
    <row r="7879" spans="1:1" ht="15.75" x14ac:dyDescent="0.25">
      <c r="A7879" s="11"/>
    </row>
    <row r="7880" spans="1:1" ht="15.75" x14ac:dyDescent="0.25">
      <c r="A7880" s="11"/>
    </row>
    <row r="7881" spans="1:1" ht="15.75" x14ac:dyDescent="0.25">
      <c r="A7881" s="11"/>
    </row>
    <row r="7882" spans="1:1" ht="15.75" x14ac:dyDescent="0.25">
      <c r="A7882" s="11"/>
    </row>
    <row r="7883" spans="1:1" ht="15.75" x14ac:dyDescent="0.25">
      <c r="A7883" s="11"/>
    </row>
    <row r="7884" spans="1:1" ht="15.75" x14ac:dyDescent="0.25">
      <c r="A7884" s="11"/>
    </row>
    <row r="7885" spans="1:1" ht="15.75" x14ac:dyDescent="0.25">
      <c r="A7885" s="11"/>
    </row>
    <row r="7886" spans="1:1" ht="15.75" x14ac:dyDescent="0.25">
      <c r="A7886" s="11"/>
    </row>
    <row r="7887" spans="1:1" ht="15.75" x14ac:dyDescent="0.25">
      <c r="A7887" s="11"/>
    </row>
    <row r="7888" spans="1:1" ht="15.75" x14ac:dyDescent="0.25">
      <c r="A7888" s="11"/>
    </row>
    <row r="7889" spans="1:1" ht="15.75" x14ac:dyDescent="0.25">
      <c r="A7889" s="11"/>
    </row>
    <row r="7890" spans="1:1" ht="15.75" x14ac:dyDescent="0.25">
      <c r="A7890" s="11"/>
    </row>
    <row r="7891" spans="1:1" ht="15.75" x14ac:dyDescent="0.25">
      <c r="A7891" s="11"/>
    </row>
    <row r="7892" spans="1:1" ht="15.75" x14ac:dyDescent="0.25">
      <c r="A7892" s="11"/>
    </row>
    <row r="7893" spans="1:1" ht="15.75" x14ac:dyDescent="0.25">
      <c r="A7893" s="11"/>
    </row>
    <row r="7894" spans="1:1" ht="15.75" x14ac:dyDescent="0.25">
      <c r="A7894" s="11"/>
    </row>
    <row r="7895" spans="1:1" ht="15.75" x14ac:dyDescent="0.25">
      <c r="A7895" s="11"/>
    </row>
    <row r="7896" spans="1:1" ht="15.75" x14ac:dyDescent="0.25">
      <c r="A7896" s="11"/>
    </row>
    <row r="7897" spans="1:1" ht="15.75" x14ac:dyDescent="0.25">
      <c r="A7897" s="11"/>
    </row>
    <row r="7898" spans="1:1" ht="15.75" x14ac:dyDescent="0.25">
      <c r="A7898" s="11"/>
    </row>
    <row r="7899" spans="1:1" ht="15.75" x14ac:dyDescent="0.25">
      <c r="A7899" s="11"/>
    </row>
    <row r="7900" spans="1:1" ht="15.75" x14ac:dyDescent="0.25">
      <c r="A7900" s="11"/>
    </row>
    <row r="7901" spans="1:1" ht="15.75" x14ac:dyDescent="0.25">
      <c r="A7901" s="11"/>
    </row>
    <row r="7902" spans="1:1" ht="15.75" x14ac:dyDescent="0.25">
      <c r="A7902" s="11"/>
    </row>
    <row r="7903" spans="1:1" ht="15.75" x14ac:dyDescent="0.25">
      <c r="A7903" s="11"/>
    </row>
    <row r="7904" spans="1:1" ht="15.75" x14ac:dyDescent="0.25">
      <c r="A7904" s="11"/>
    </row>
    <row r="7905" spans="1:1" ht="15.75" x14ac:dyDescent="0.25">
      <c r="A7905" s="11"/>
    </row>
    <row r="7906" spans="1:1" ht="15.75" x14ac:dyDescent="0.25">
      <c r="A7906" s="11"/>
    </row>
    <row r="7907" spans="1:1" ht="15.75" x14ac:dyDescent="0.25">
      <c r="A7907" s="11"/>
    </row>
    <row r="7908" spans="1:1" ht="15.75" x14ac:dyDescent="0.25">
      <c r="A7908" s="11"/>
    </row>
    <row r="7909" spans="1:1" ht="15.75" x14ac:dyDescent="0.25">
      <c r="A7909" s="11"/>
    </row>
    <row r="7910" spans="1:1" ht="15.75" x14ac:dyDescent="0.25">
      <c r="A7910" s="11"/>
    </row>
    <row r="7911" spans="1:1" ht="15.75" x14ac:dyDescent="0.25">
      <c r="A7911" s="11"/>
    </row>
    <row r="7912" spans="1:1" ht="15.75" x14ac:dyDescent="0.25">
      <c r="A7912" s="11"/>
    </row>
    <row r="7913" spans="1:1" ht="15.75" x14ac:dyDescent="0.25">
      <c r="A7913" s="11"/>
    </row>
    <row r="7914" spans="1:1" ht="15.75" x14ac:dyDescent="0.25">
      <c r="A7914" s="11"/>
    </row>
    <row r="7915" spans="1:1" ht="15.75" x14ac:dyDescent="0.25">
      <c r="A7915" s="11"/>
    </row>
    <row r="7916" spans="1:1" ht="15.75" x14ac:dyDescent="0.25">
      <c r="A7916" s="11"/>
    </row>
    <row r="7917" spans="1:1" ht="15.75" x14ac:dyDescent="0.25">
      <c r="A7917" s="11"/>
    </row>
    <row r="7918" spans="1:1" ht="15.75" x14ac:dyDescent="0.25">
      <c r="A7918" s="11"/>
    </row>
    <row r="7919" spans="1:1" ht="15.75" x14ac:dyDescent="0.25">
      <c r="A7919" s="11"/>
    </row>
    <row r="7920" spans="1:1" ht="15.75" x14ac:dyDescent="0.25">
      <c r="A7920" s="11"/>
    </row>
    <row r="7921" spans="1:1" ht="15.75" x14ac:dyDescent="0.25">
      <c r="A7921" s="11"/>
    </row>
    <row r="7922" spans="1:1" ht="15.75" x14ac:dyDescent="0.25">
      <c r="A7922" s="11"/>
    </row>
    <row r="7923" spans="1:1" ht="15.75" x14ac:dyDescent="0.25">
      <c r="A7923" s="11"/>
    </row>
    <row r="7924" spans="1:1" ht="15.75" x14ac:dyDescent="0.25">
      <c r="A7924" s="11"/>
    </row>
    <row r="7925" spans="1:1" ht="15.75" x14ac:dyDescent="0.25">
      <c r="A7925" s="11"/>
    </row>
    <row r="7926" spans="1:1" ht="15.75" x14ac:dyDescent="0.25">
      <c r="A7926" s="11"/>
    </row>
    <row r="7927" spans="1:1" ht="15.75" x14ac:dyDescent="0.25">
      <c r="A7927" s="11"/>
    </row>
    <row r="7928" spans="1:1" ht="15.75" x14ac:dyDescent="0.25">
      <c r="A7928" s="11"/>
    </row>
    <row r="7929" spans="1:1" ht="15.75" x14ac:dyDescent="0.25">
      <c r="A7929" s="11"/>
    </row>
    <row r="7930" spans="1:1" ht="15.75" x14ac:dyDescent="0.25">
      <c r="A7930" s="11"/>
    </row>
    <row r="7931" spans="1:1" ht="15.75" x14ac:dyDescent="0.25">
      <c r="A7931" s="11"/>
    </row>
    <row r="7932" spans="1:1" ht="15.75" x14ac:dyDescent="0.25">
      <c r="A7932" s="11"/>
    </row>
    <row r="7933" spans="1:1" ht="15.75" x14ac:dyDescent="0.25">
      <c r="A7933" s="11"/>
    </row>
    <row r="7934" spans="1:1" ht="15.75" x14ac:dyDescent="0.25">
      <c r="A7934" s="11"/>
    </row>
    <row r="7935" spans="1:1" ht="15.75" x14ac:dyDescent="0.25">
      <c r="A7935" s="11"/>
    </row>
    <row r="7936" spans="1:1" ht="15.75" x14ac:dyDescent="0.25">
      <c r="A7936" s="11"/>
    </row>
    <row r="7937" spans="1:1" ht="15.75" x14ac:dyDescent="0.25">
      <c r="A7937" s="11"/>
    </row>
    <row r="7938" spans="1:1" ht="15.75" x14ac:dyDescent="0.25">
      <c r="A7938" s="11"/>
    </row>
    <row r="7939" spans="1:1" ht="15.75" x14ac:dyDescent="0.25">
      <c r="A7939" s="11"/>
    </row>
    <row r="7940" spans="1:1" ht="15.75" x14ac:dyDescent="0.25">
      <c r="A7940" s="11"/>
    </row>
    <row r="7941" spans="1:1" ht="15.75" x14ac:dyDescent="0.25">
      <c r="A7941" s="11"/>
    </row>
    <row r="7942" spans="1:1" ht="15.75" x14ac:dyDescent="0.25">
      <c r="A7942" s="11"/>
    </row>
    <row r="7943" spans="1:1" ht="15.75" x14ac:dyDescent="0.25">
      <c r="A7943" s="11"/>
    </row>
    <row r="7944" spans="1:1" ht="15.75" x14ac:dyDescent="0.25">
      <c r="A7944" s="11"/>
    </row>
    <row r="7945" spans="1:1" ht="15.75" x14ac:dyDescent="0.25">
      <c r="A7945" s="11"/>
    </row>
    <row r="7946" spans="1:1" ht="15.75" x14ac:dyDescent="0.25">
      <c r="A7946" s="11"/>
    </row>
    <row r="7947" spans="1:1" ht="15.75" x14ac:dyDescent="0.25">
      <c r="A7947" s="11"/>
    </row>
    <row r="7948" spans="1:1" ht="15.75" x14ac:dyDescent="0.25">
      <c r="A7948" s="11"/>
    </row>
    <row r="7949" spans="1:1" ht="15.75" x14ac:dyDescent="0.25">
      <c r="A7949" s="11"/>
    </row>
    <row r="7950" spans="1:1" ht="15.75" x14ac:dyDescent="0.25">
      <c r="A7950" s="11"/>
    </row>
    <row r="7951" spans="1:1" ht="15.75" x14ac:dyDescent="0.25">
      <c r="A7951" s="11"/>
    </row>
    <row r="7952" spans="1:1" ht="15.75" x14ac:dyDescent="0.25">
      <c r="A7952" s="11"/>
    </row>
    <row r="7953" spans="1:1" ht="15.75" x14ac:dyDescent="0.25">
      <c r="A7953" s="11"/>
    </row>
    <row r="7954" spans="1:1" ht="15.75" x14ac:dyDescent="0.25">
      <c r="A7954" s="11"/>
    </row>
    <row r="7955" spans="1:1" ht="15.75" x14ac:dyDescent="0.25">
      <c r="A7955" s="11"/>
    </row>
    <row r="7956" spans="1:1" ht="15.75" x14ac:dyDescent="0.25">
      <c r="A7956" s="11"/>
    </row>
    <row r="7957" spans="1:1" ht="15.75" x14ac:dyDescent="0.25">
      <c r="A7957" s="11"/>
    </row>
    <row r="7958" spans="1:1" ht="15.75" x14ac:dyDescent="0.25">
      <c r="A7958" s="11"/>
    </row>
    <row r="7959" spans="1:1" ht="15.75" x14ac:dyDescent="0.25">
      <c r="A7959" s="11"/>
    </row>
    <row r="7960" spans="1:1" ht="15.75" x14ac:dyDescent="0.25">
      <c r="A7960" s="11"/>
    </row>
    <row r="7961" spans="1:1" ht="15.75" x14ac:dyDescent="0.25">
      <c r="A7961" s="11"/>
    </row>
    <row r="7962" spans="1:1" ht="15.75" x14ac:dyDescent="0.25">
      <c r="A7962" s="11"/>
    </row>
    <row r="7963" spans="1:1" ht="15.75" x14ac:dyDescent="0.25">
      <c r="A7963" s="11"/>
    </row>
    <row r="7964" spans="1:1" ht="15.75" x14ac:dyDescent="0.25">
      <c r="A7964" s="11"/>
    </row>
    <row r="7965" spans="1:1" ht="15.75" x14ac:dyDescent="0.25">
      <c r="A7965" s="11"/>
    </row>
    <row r="7966" spans="1:1" ht="15.75" x14ac:dyDescent="0.25">
      <c r="A7966" s="11"/>
    </row>
    <row r="7967" spans="1:1" ht="15.75" x14ac:dyDescent="0.25">
      <c r="A7967" s="11"/>
    </row>
    <row r="7968" spans="1:1" ht="15.75" x14ac:dyDescent="0.25">
      <c r="A7968" s="11"/>
    </row>
    <row r="7969" spans="1:1" ht="15.75" x14ac:dyDescent="0.25">
      <c r="A7969" s="11"/>
    </row>
    <row r="7970" spans="1:1" ht="15.75" x14ac:dyDescent="0.25">
      <c r="A7970" s="11"/>
    </row>
    <row r="7971" spans="1:1" ht="15.75" x14ac:dyDescent="0.25">
      <c r="A7971" s="11"/>
    </row>
    <row r="7972" spans="1:1" ht="15.75" x14ac:dyDescent="0.25">
      <c r="A7972" s="11"/>
    </row>
    <row r="7973" spans="1:1" ht="15.75" x14ac:dyDescent="0.25">
      <c r="A7973" s="11"/>
    </row>
    <row r="7974" spans="1:1" ht="15.75" x14ac:dyDescent="0.25">
      <c r="A7974" s="11"/>
    </row>
    <row r="7975" spans="1:1" ht="15.75" x14ac:dyDescent="0.25">
      <c r="A7975" s="11"/>
    </row>
    <row r="7976" spans="1:1" ht="15.75" x14ac:dyDescent="0.25">
      <c r="A7976" s="11"/>
    </row>
    <row r="7977" spans="1:1" ht="15.75" x14ac:dyDescent="0.25">
      <c r="A7977" s="11"/>
    </row>
    <row r="7978" spans="1:1" ht="15.75" x14ac:dyDescent="0.25">
      <c r="A7978" s="11"/>
    </row>
    <row r="7979" spans="1:1" ht="15.75" x14ac:dyDescent="0.25">
      <c r="A7979" s="11"/>
    </row>
    <row r="7980" spans="1:1" ht="15.75" x14ac:dyDescent="0.25">
      <c r="A7980" s="11"/>
    </row>
    <row r="7981" spans="1:1" ht="15.75" x14ac:dyDescent="0.25">
      <c r="A7981" s="11"/>
    </row>
    <row r="7982" spans="1:1" ht="15.75" x14ac:dyDescent="0.25">
      <c r="A7982" s="11"/>
    </row>
    <row r="7983" spans="1:1" ht="15.75" x14ac:dyDescent="0.25">
      <c r="A7983" s="11"/>
    </row>
    <row r="7984" spans="1:1" ht="15.75" x14ac:dyDescent="0.25">
      <c r="A7984" s="11"/>
    </row>
    <row r="7985" spans="1:1" ht="15.75" x14ac:dyDescent="0.25">
      <c r="A7985" s="11"/>
    </row>
    <row r="7986" spans="1:1" ht="15.75" x14ac:dyDescent="0.25">
      <c r="A7986" s="11"/>
    </row>
    <row r="7987" spans="1:1" ht="15.75" x14ac:dyDescent="0.25">
      <c r="A7987" s="11"/>
    </row>
    <row r="7988" spans="1:1" ht="15.75" x14ac:dyDescent="0.25">
      <c r="A7988" s="11"/>
    </row>
    <row r="7989" spans="1:1" ht="15.75" x14ac:dyDescent="0.25">
      <c r="A7989" s="11"/>
    </row>
    <row r="7990" spans="1:1" ht="15.75" x14ac:dyDescent="0.25">
      <c r="A7990" s="11"/>
    </row>
    <row r="7991" spans="1:1" ht="15.75" x14ac:dyDescent="0.25">
      <c r="A7991" s="11"/>
    </row>
    <row r="7992" spans="1:1" ht="15.75" x14ac:dyDescent="0.25">
      <c r="A7992" s="11"/>
    </row>
    <row r="7993" spans="1:1" ht="15.75" x14ac:dyDescent="0.25">
      <c r="A7993" s="11"/>
    </row>
    <row r="7994" spans="1:1" ht="15.75" x14ac:dyDescent="0.25">
      <c r="A7994" s="11"/>
    </row>
    <row r="7995" spans="1:1" ht="15.75" x14ac:dyDescent="0.25">
      <c r="A7995" s="11"/>
    </row>
    <row r="7996" spans="1:1" ht="15.75" x14ac:dyDescent="0.25">
      <c r="A7996" s="11"/>
    </row>
    <row r="7997" spans="1:1" ht="15.75" x14ac:dyDescent="0.25">
      <c r="A7997" s="11"/>
    </row>
    <row r="7998" spans="1:1" ht="15.75" x14ac:dyDescent="0.25">
      <c r="A7998" s="11"/>
    </row>
    <row r="7999" spans="1:1" ht="15.75" x14ac:dyDescent="0.25">
      <c r="A7999" s="11"/>
    </row>
    <row r="8000" spans="1:1" ht="15.75" x14ac:dyDescent="0.25">
      <c r="A8000" s="11"/>
    </row>
    <row r="8001" spans="1:1" ht="15.75" x14ac:dyDescent="0.25">
      <c r="A8001" s="11"/>
    </row>
    <row r="8002" spans="1:1" ht="15.75" x14ac:dyDescent="0.25">
      <c r="A8002" s="11"/>
    </row>
    <row r="8003" spans="1:1" ht="15.75" x14ac:dyDescent="0.25">
      <c r="A8003" s="11"/>
    </row>
    <row r="8004" spans="1:1" ht="15.75" x14ac:dyDescent="0.25">
      <c r="A8004" s="11"/>
    </row>
    <row r="8005" spans="1:1" ht="15.75" x14ac:dyDescent="0.25">
      <c r="A8005" s="11"/>
    </row>
    <row r="8006" spans="1:1" ht="15.75" x14ac:dyDescent="0.25">
      <c r="A8006" s="11"/>
    </row>
    <row r="8007" spans="1:1" ht="15.75" x14ac:dyDescent="0.25">
      <c r="A8007" s="11"/>
    </row>
    <row r="8008" spans="1:1" ht="15.75" x14ac:dyDescent="0.25">
      <c r="A8008" s="11"/>
    </row>
    <row r="8009" spans="1:1" ht="15.75" x14ac:dyDescent="0.25">
      <c r="A8009" s="11"/>
    </row>
    <row r="8010" spans="1:1" ht="15.75" x14ac:dyDescent="0.25">
      <c r="A8010" s="11"/>
    </row>
    <row r="8011" spans="1:1" ht="15.75" x14ac:dyDescent="0.25">
      <c r="A8011" s="11"/>
    </row>
    <row r="8012" spans="1:1" ht="15.75" x14ac:dyDescent="0.25">
      <c r="A8012" s="11"/>
    </row>
    <row r="8013" spans="1:1" ht="15.75" x14ac:dyDescent="0.25">
      <c r="A8013" s="11"/>
    </row>
    <row r="8014" spans="1:1" ht="15.75" x14ac:dyDescent="0.25">
      <c r="A8014" s="11"/>
    </row>
    <row r="8015" spans="1:1" ht="15.75" x14ac:dyDescent="0.25">
      <c r="A8015" s="11"/>
    </row>
    <row r="8016" spans="1:1" ht="15.75" x14ac:dyDescent="0.25">
      <c r="A8016" s="11"/>
    </row>
    <row r="8017" spans="1:1" ht="15.75" x14ac:dyDescent="0.25">
      <c r="A8017" s="11"/>
    </row>
    <row r="8018" spans="1:1" ht="15.75" x14ac:dyDescent="0.25">
      <c r="A8018" s="11"/>
    </row>
    <row r="8019" spans="1:1" ht="15.75" x14ac:dyDescent="0.25">
      <c r="A8019" s="11"/>
    </row>
    <row r="8020" spans="1:1" ht="15.75" x14ac:dyDescent="0.25">
      <c r="A8020" s="11"/>
    </row>
    <row r="8021" spans="1:1" ht="15.75" x14ac:dyDescent="0.25">
      <c r="A8021" s="11"/>
    </row>
    <row r="8022" spans="1:1" ht="15.75" x14ac:dyDescent="0.25">
      <c r="A8022" s="11"/>
    </row>
    <row r="8023" spans="1:1" ht="15.75" x14ac:dyDescent="0.25">
      <c r="A8023" s="11"/>
    </row>
    <row r="8024" spans="1:1" ht="15.75" x14ac:dyDescent="0.25">
      <c r="A8024" s="11"/>
    </row>
    <row r="8025" spans="1:1" ht="15.75" x14ac:dyDescent="0.25">
      <c r="A8025" s="11"/>
    </row>
    <row r="8026" spans="1:1" ht="15.75" x14ac:dyDescent="0.25">
      <c r="A8026" s="11"/>
    </row>
    <row r="8027" spans="1:1" ht="15.75" x14ac:dyDescent="0.25">
      <c r="A8027" s="11"/>
    </row>
    <row r="8028" spans="1:1" ht="15.75" x14ac:dyDescent="0.25">
      <c r="A8028" s="11"/>
    </row>
    <row r="8029" spans="1:1" ht="15.75" x14ac:dyDescent="0.25">
      <c r="A8029" s="11"/>
    </row>
    <row r="8030" spans="1:1" ht="15.75" x14ac:dyDescent="0.25">
      <c r="A8030" s="11"/>
    </row>
    <row r="8031" spans="1:1" ht="15.75" x14ac:dyDescent="0.25">
      <c r="A8031" s="11"/>
    </row>
    <row r="8032" spans="1:1" ht="15.75" x14ac:dyDescent="0.25">
      <c r="A8032" s="11"/>
    </row>
    <row r="8033" spans="1:1" ht="15.75" x14ac:dyDescent="0.25">
      <c r="A8033" s="11"/>
    </row>
    <row r="8034" spans="1:1" ht="15.75" x14ac:dyDescent="0.25">
      <c r="A8034" s="11"/>
    </row>
    <row r="8035" spans="1:1" ht="15.75" x14ac:dyDescent="0.25">
      <c r="A8035" s="11"/>
    </row>
    <row r="8036" spans="1:1" ht="15.75" x14ac:dyDescent="0.25">
      <c r="A8036" s="11"/>
    </row>
    <row r="8037" spans="1:1" ht="15.75" x14ac:dyDescent="0.25">
      <c r="A8037" s="11"/>
    </row>
    <row r="8038" spans="1:1" ht="15.75" x14ac:dyDescent="0.25">
      <c r="A8038" s="11"/>
    </row>
    <row r="8039" spans="1:1" ht="15.75" x14ac:dyDescent="0.25">
      <c r="A8039" s="11"/>
    </row>
    <row r="8040" spans="1:1" ht="15.75" x14ac:dyDescent="0.25">
      <c r="A8040" s="11"/>
    </row>
    <row r="8041" spans="1:1" ht="15.75" x14ac:dyDescent="0.25">
      <c r="A8041" s="11"/>
    </row>
    <row r="8042" spans="1:1" ht="15.75" x14ac:dyDescent="0.25">
      <c r="A8042" s="11"/>
    </row>
    <row r="8043" spans="1:1" ht="15.75" x14ac:dyDescent="0.25">
      <c r="A8043" s="11"/>
    </row>
    <row r="8044" spans="1:1" ht="15.75" x14ac:dyDescent="0.25">
      <c r="A8044" s="11"/>
    </row>
    <row r="8045" spans="1:1" ht="15.75" x14ac:dyDescent="0.25">
      <c r="A8045" s="11"/>
    </row>
    <row r="8046" spans="1:1" ht="15.75" x14ac:dyDescent="0.25">
      <c r="A8046" s="11"/>
    </row>
    <row r="8047" spans="1:1" ht="15.75" x14ac:dyDescent="0.25">
      <c r="A8047" s="11"/>
    </row>
    <row r="8048" spans="1:1" ht="15.75" x14ac:dyDescent="0.25">
      <c r="A8048" s="11"/>
    </row>
    <row r="8049" spans="1:1" ht="15.75" x14ac:dyDescent="0.25">
      <c r="A8049" s="11"/>
    </row>
    <row r="8050" spans="1:1" ht="15.75" x14ac:dyDescent="0.25">
      <c r="A8050" s="11"/>
    </row>
    <row r="8051" spans="1:1" ht="15.75" x14ac:dyDescent="0.25">
      <c r="A8051" s="11"/>
    </row>
    <row r="8052" spans="1:1" ht="15.75" x14ac:dyDescent="0.25">
      <c r="A8052" s="11"/>
    </row>
    <row r="8053" spans="1:1" ht="15.75" x14ac:dyDescent="0.25">
      <c r="A8053" s="11"/>
    </row>
    <row r="8054" spans="1:1" ht="15.75" x14ac:dyDescent="0.25">
      <c r="A8054" s="11"/>
    </row>
    <row r="8055" spans="1:1" ht="15.75" x14ac:dyDescent="0.25">
      <c r="A8055" s="11"/>
    </row>
    <row r="8056" spans="1:1" ht="15.75" x14ac:dyDescent="0.25">
      <c r="A8056" s="11"/>
    </row>
    <row r="8057" spans="1:1" ht="15.75" x14ac:dyDescent="0.25">
      <c r="A8057" s="11"/>
    </row>
    <row r="8058" spans="1:1" ht="15.75" x14ac:dyDescent="0.25">
      <c r="A8058" s="11"/>
    </row>
    <row r="8059" spans="1:1" ht="15.75" x14ac:dyDescent="0.25">
      <c r="A8059" s="11"/>
    </row>
    <row r="8060" spans="1:1" ht="15.75" x14ac:dyDescent="0.25">
      <c r="A8060" s="11"/>
    </row>
    <row r="8061" spans="1:1" ht="15.75" x14ac:dyDescent="0.25">
      <c r="A8061" s="11"/>
    </row>
    <row r="8062" spans="1:1" ht="15.75" x14ac:dyDescent="0.25">
      <c r="A8062" s="11"/>
    </row>
    <row r="8063" spans="1:1" ht="15.75" x14ac:dyDescent="0.25">
      <c r="A8063" s="11"/>
    </row>
    <row r="8064" spans="1:1" ht="15.75" x14ac:dyDescent="0.25">
      <c r="A8064" s="11"/>
    </row>
    <row r="8065" spans="1:1" ht="15.75" x14ac:dyDescent="0.25">
      <c r="A8065" s="11"/>
    </row>
    <row r="8066" spans="1:1" ht="15.75" x14ac:dyDescent="0.25">
      <c r="A8066" s="11"/>
    </row>
    <row r="8067" spans="1:1" ht="15.75" x14ac:dyDescent="0.25">
      <c r="A8067" s="11"/>
    </row>
    <row r="8068" spans="1:1" ht="15.75" x14ac:dyDescent="0.25">
      <c r="A8068" s="11"/>
    </row>
    <row r="8069" spans="1:1" ht="15.75" x14ac:dyDescent="0.25">
      <c r="A8069" s="11"/>
    </row>
    <row r="8070" spans="1:1" ht="15.75" x14ac:dyDescent="0.25">
      <c r="A8070" s="11"/>
    </row>
    <row r="8071" spans="1:1" ht="15.75" x14ac:dyDescent="0.25">
      <c r="A8071" s="11"/>
    </row>
    <row r="8072" spans="1:1" ht="15.75" x14ac:dyDescent="0.25">
      <c r="A8072" s="11"/>
    </row>
    <row r="8073" spans="1:1" ht="15.75" x14ac:dyDescent="0.25">
      <c r="A8073" s="11"/>
    </row>
    <row r="8074" spans="1:1" ht="15.75" x14ac:dyDescent="0.25">
      <c r="A8074" s="11"/>
    </row>
    <row r="8075" spans="1:1" ht="15.75" x14ac:dyDescent="0.25">
      <c r="A8075" s="11"/>
    </row>
    <row r="8076" spans="1:1" ht="15.75" x14ac:dyDescent="0.25">
      <c r="A8076" s="11"/>
    </row>
    <row r="8077" spans="1:1" ht="15.75" x14ac:dyDescent="0.25">
      <c r="A8077" s="11"/>
    </row>
    <row r="8078" spans="1:1" ht="15.75" x14ac:dyDescent="0.25">
      <c r="A8078" s="11"/>
    </row>
    <row r="8079" spans="1:1" ht="15.75" x14ac:dyDescent="0.25">
      <c r="A8079" s="11"/>
    </row>
    <row r="8080" spans="1:1" ht="15.75" x14ac:dyDescent="0.25">
      <c r="A8080" s="11"/>
    </row>
    <row r="8081" spans="1:1" ht="15.75" x14ac:dyDescent="0.25">
      <c r="A8081" s="11"/>
    </row>
    <row r="8082" spans="1:1" ht="15.75" x14ac:dyDescent="0.25">
      <c r="A8082" s="11"/>
    </row>
    <row r="8083" spans="1:1" ht="15.75" x14ac:dyDescent="0.25">
      <c r="A8083" s="11"/>
    </row>
    <row r="8084" spans="1:1" ht="15.75" x14ac:dyDescent="0.25">
      <c r="A8084" s="11"/>
    </row>
    <row r="8085" spans="1:1" ht="15.75" x14ac:dyDescent="0.25">
      <c r="A8085" s="11"/>
    </row>
    <row r="8086" spans="1:1" ht="15.75" x14ac:dyDescent="0.25">
      <c r="A8086" s="11"/>
    </row>
    <row r="8087" spans="1:1" ht="15.75" x14ac:dyDescent="0.25">
      <c r="A8087" s="11"/>
    </row>
    <row r="8088" spans="1:1" ht="15.75" x14ac:dyDescent="0.25">
      <c r="A8088" s="11"/>
    </row>
    <row r="8089" spans="1:1" ht="15.75" x14ac:dyDescent="0.25">
      <c r="A8089" s="11"/>
    </row>
    <row r="8090" spans="1:1" ht="15.75" x14ac:dyDescent="0.25">
      <c r="A8090" s="11"/>
    </row>
    <row r="8091" spans="1:1" ht="15.75" x14ac:dyDescent="0.25">
      <c r="A8091" s="11"/>
    </row>
    <row r="8092" spans="1:1" ht="15.75" x14ac:dyDescent="0.25">
      <c r="A8092" s="11"/>
    </row>
    <row r="8093" spans="1:1" ht="15.75" x14ac:dyDescent="0.25">
      <c r="A8093" s="11"/>
    </row>
    <row r="8094" spans="1:1" ht="15.75" x14ac:dyDescent="0.25">
      <c r="A8094" s="11"/>
    </row>
    <row r="8095" spans="1:1" ht="15.75" x14ac:dyDescent="0.25">
      <c r="A8095" s="11"/>
    </row>
    <row r="8096" spans="1:1" ht="15.75" x14ac:dyDescent="0.25">
      <c r="A8096" s="11"/>
    </row>
    <row r="8097" spans="1:1" ht="15.75" x14ac:dyDescent="0.25">
      <c r="A8097" s="11"/>
    </row>
    <row r="8098" spans="1:1" ht="15.75" x14ac:dyDescent="0.25">
      <c r="A8098" s="11"/>
    </row>
    <row r="8099" spans="1:1" ht="15.75" x14ac:dyDescent="0.25">
      <c r="A8099" s="11"/>
    </row>
    <row r="8100" spans="1:1" ht="15.75" x14ac:dyDescent="0.25">
      <c r="A8100" s="11"/>
    </row>
    <row r="8101" spans="1:1" ht="15.75" x14ac:dyDescent="0.25">
      <c r="A8101" s="11"/>
    </row>
    <row r="8102" spans="1:1" ht="15.75" x14ac:dyDescent="0.25">
      <c r="A8102" s="11"/>
    </row>
    <row r="8103" spans="1:1" ht="15.75" x14ac:dyDescent="0.25">
      <c r="A8103" s="11"/>
    </row>
    <row r="8104" spans="1:1" ht="15.75" x14ac:dyDescent="0.25">
      <c r="A8104" s="11"/>
    </row>
    <row r="8105" spans="1:1" ht="15.75" x14ac:dyDescent="0.25">
      <c r="A8105" s="11"/>
    </row>
    <row r="8106" spans="1:1" ht="15.75" x14ac:dyDescent="0.25">
      <c r="A8106" s="11"/>
    </row>
    <row r="8107" spans="1:1" ht="15.75" x14ac:dyDescent="0.25">
      <c r="A8107" s="11"/>
    </row>
    <row r="8108" spans="1:1" ht="15.75" x14ac:dyDescent="0.25">
      <c r="A8108" s="11"/>
    </row>
    <row r="8109" spans="1:1" ht="15.75" x14ac:dyDescent="0.25">
      <c r="A8109" s="11"/>
    </row>
    <row r="8110" spans="1:1" ht="15.75" x14ac:dyDescent="0.25">
      <c r="A8110" s="11"/>
    </row>
    <row r="8111" spans="1:1" ht="15.75" x14ac:dyDescent="0.25">
      <c r="A8111" s="11"/>
    </row>
    <row r="8112" spans="1:1" ht="15.75" x14ac:dyDescent="0.25">
      <c r="A8112" s="11"/>
    </row>
    <row r="8113" spans="1:1" ht="15.75" x14ac:dyDescent="0.25">
      <c r="A8113" s="11"/>
    </row>
    <row r="8114" spans="1:1" ht="15.75" x14ac:dyDescent="0.25">
      <c r="A8114" s="11"/>
    </row>
    <row r="8115" spans="1:1" ht="15.75" x14ac:dyDescent="0.25">
      <c r="A8115" s="11"/>
    </row>
    <row r="8116" spans="1:1" ht="15.75" x14ac:dyDescent="0.25">
      <c r="A8116" s="11"/>
    </row>
    <row r="8117" spans="1:1" ht="15.75" x14ac:dyDescent="0.25">
      <c r="A8117" s="11"/>
    </row>
    <row r="8118" spans="1:1" ht="15.75" x14ac:dyDescent="0.25">
      <c r="A8118" s="11"/>
    </row>
    <row r="8119" spans="1:1" ht="15.75" x14ac:dyDescent="0.25">
      <c r="A8119" s="11"/>
    </row>
    <row r="8120" spans="1:1" ht="15.75" x14ac:dyDescent="0.25">
      <c r="A8120" s="11"/>
    </row>
    <row r="8121" spans="1:1" ht="15.75" x14ac:dyDescent="0.25">
      <c r="A8121" s="11"/>
    </row>
    <row r="8122" spans="1:1" ht="15.75" x14ac:dyDescent="0.25">
      <c r="A8122" s="11"/>
    </row>
    <row r="8123" spans="1:1" ht="15.75" x14ac:dyDescent="0.25">
      <c r="A8123" s="11"/>
    </row>
    <row r="8124" spans="1:1" ht="15.75" x14ac:dyDescent="0.25">
      <c r="A8124" s="11"/>
    </row>
    <row r="8125" spans="1:1" ht="15.75" x14ac:dyDescent="0.25">
      <c r="A8125" s="11"/>
    </row>
    <row r="8126" spans="1:1" ht="15.75" x14ac:dyDescent="0.25">
      <c r="A8126" s="11"/>
    </row>
    <row r="8127" spans="1:1" ht="15.75" x14ac:dyDescent="0.25">
      <c r="A8127" s="11"/>
    </row>
    <row r="8128" spans="1:1" ht="15.75" x14ac:dyDescent="0.25">
      <c r="A8128" s="11"/>
    </row>
    <row r="8129" spans="1:1" ht="15.75" x14ac:dyDescent="0.25">
      <c r="A8129" s="11"/>
    </row>
    <row r="8130" spans="1:1" ht="15.75" x14ac:dyDescent="0.25">
      <c r="A8130" s="11"/>
    </row>
    <row r="8131" spans="1:1" ht="15.75" x14ac:dyDescent="0.25">
      <c r="A8131" s="11"/>
    </row>
    <row r="8132" spans="1:1" ht="15.75" x14ac:dyDescent="0.25">
      <c r="A8132" s="11"/>
    </row>
    <row r="8133" spans="1:1" ht="15.75" x14ac:dyDescent="0.25">
      <c r="A8133" s="11"/>
    </row>
    <row r="8134" spans="1:1" ht="15.75" x14ac:dyDescent="0.25">
      <c r="A8134" s="11"/>
    </row>
    <row r="8135" spans="1:1" ht="15.75" x14ac:dyDescent="0.25">
      <c r="A8135" s="11"/>
    </row>
    <row r="8136" spans="1:1" ht="15.75" x14ac:dyDescent="0.25">
      <c r="A8136" s="11"/>
    </row>
    <row r="8137" spans="1:1" ht="15.75" x14ac:dyDescent="0.25">
      <c r="A8137" s="11"/>
    </row>
    <row r="8138" spans="1:1" ht="15.75" x14ac:dyDescent="0.25">
      <c r="A8138" s="11"/>
    </row>
    <row r="8139" spans="1:1" ht="15.75" x14ac:dyDescent="0.25">
      <c r="A8139" s="11"/>
    </row>
    <row r="8140" spans="1:1" ht="15.75" x14ac:dyDescent="0.25">
      <c r="A8140" s="11"/>
    </row>
    <row r="8141" spans="1:1" ht="15.75" x14ac:dyDescent="0.25">
      <c r="A8141" s="11"/>
    </row>
    <row r="8142" spans="1:1" ht="15.75" x14ac:dyDescent="0.25">
      <c r="A8142" s="11"/>
    </row>
    <row r="8143" spans="1:1" ht="15.75" x14ac:dyDescent="0.25">
      <c r="A8143" s="11"/>
    </row>
    <row r="8144" spans="1:1" ht="15.75" x14ac:dyDescent="0.25">
      <c r="A8144" s="11"/>
    </row>
    <row r="8145" spans="1:1" ht="15.75" x14ac:dyDescent="0.25">
      <c r="A8145" s="11"/>
    </row>
    <row r="8146" spans="1:1" ht="15.75" x14ac:dyDescent="0.25">
      <c r="A8146" s="11"/>
    </row>
    <row r="8147" spans="1:1" ht="15.75" x14ac:dyDescent="0.25">
      <c r="A8147" s="11"/>
    </row>
    <row r="8148" spans="1:1" ht="15.75" x14ac:dyDescent="0.25">
      <c r="A8148" s="11"/>
    </row>
    <row r="8149" spans="1:1" ht="15.75" x14ac:dyDescent="0.25">
      <c r="A8149" s="11"/>
    </row>
    <row r="8150" spans="1:1" ht="15.75" x14ac:dyDescent="0.25">
      <c r="A8150" s="11"/>
    </row>
    <row r="8151" spans="1:1" ht="15.75" x14ac:dyDescent="0.25">
      <c r="A8151" s="11"/>
    </row>
    <row r="8152" spans="1:1" ht="15.75" x14ac:dyDescent="0.25">
      <c r="A8152" s="11"/>
    </row>
    <row r="8153" spans="1:1" ht="15.75" x14ac:dyDescent="0.25">
      <c r="A8153" s="11"/>
    </row>
    <row r="8154" spans="1:1" ht="15.75" x14ac:dyDescent="0.25">
      <c r="A8154" s="11"/>
    </row>
    <row r="8155" spans="1:1" ht="15.75" x14ac:dyDescent="0.25">
      <c r="A8155" s="11"/>
    </row>
    <row r="8156" spans="1:1" ht="15.75" x14ac:dyDescent="0.25">
      <c r="A8156" s="11"/>
    </row>
    <row r="8157" spans="1:1" ht="15.75" x14ac:dyDescent="0.25">
      <c r="A8157" s="11"/>
    </row>
    <row r="8158" spans="1:1" ht="15.75" x14ac:dyDescent="0.25">
      <c r="A8158" s="11"/>
    </row>
    <row r="8159" spans="1:1" ht="15.75" x14ac:dyDescent="0.25">
      <c r="A8159" s="11"/>
    </row>
    <row r="8160" spans="1:1" ht="15.75" x14ac:dyDescent="0.25">
      <c r="A8160" s="11"/>
    </row>
    <row r="8161" spans="1:1" ht="15.75" x14ac:dyDescent="0.25">
      <c r="A8161" s="11"/>
    </row>
    <row r="8162" spans="1:1" ht="15.75" x14ac:dyDescent="0.25">
      <c r="A8162" s="11"/>
    </row>
    <row r="8163" spans="1:1" ht="15.75" x14ac:dyDescent="0.25">
      <c r="A8163" s="11"/>
    </row>
    <row r="8164" spans="1:1" ht="15.75" x14ac:dyDescent="0.25">
      <c r="A8164" s="11"/>
    </row>
    <row r="8165" spans="1:1" ht="15.75" x14ac:dyDescent="0.25">
      <c r="A8165" s="11"/>
    </row>
    <row r="8166" spans="1:1" ht="15.75" x14ac:dyDescent="0.25">
      <c r="A8166" s="11"/>
    </row>
    <row r="8167" spans="1:1" ht="15.75" x14ac:dyDescent="0.25">
      <c r="A8167" s="11"/>
    </row>
    <row r="8168" spans="1:1" ht="15.75" x14ac:dyDescent="0.25">
      <c r="A8168" s="11"/>
    </row>
    <row r="8169" spans="1:1" ht="15.75" x14ac:dyDescent="0.25">
      <c r="A8169" s="11"/>
    </row>
    <row r="8170" spans="1:1" ht="15.75" x14ac:dyDescent="0.25">
      <c r="A8170" s="11"/>
    </row>
    <row r="8171" spans="1:1" ht="15.75" x14ac:dyDescent="0.25">
      <c r="A8171" s="11"/>
    </row>
    <row r="8172" spans="1:1" ht="15.75" x14ac:dyDescent="0.25">
      <c r="A8172" s="11"/>
    </row>
    <row r="8173" spans="1:1" ht="15.75" x14ac:dyDescent="0.25">
      <c r="A8173" s="11"/>
    </row>
    <row r="8174" spans="1:1" ht="15.75" x14ac:dyDescent="0.25">
      <c r="A8174" s="11"/>
    </row>
    <row r="8175" spans="1:1" ht="15.75" x14ac:dyDescent="0.25">
      <c r="A8175" s="11"/>
    </row>
    <row r="8176" spans="1:1" ht="15.75" x14ac:dyDescent="0.25">
      <c r="A8176" s="11"/>
    </row>
    <row r="8177" spans="1:1" ht="15.75" x14ac:dyDescent="0.25">
      <c r="A8177" s="11"/>
    </row>
    <row r="8178" spans="1:1" ht="15.75" x14ac:dyDescent="0.25">
      <c r="A8178" s="11"/>
    </row>
    <row r="8179" spans="1:1" ht="15.75" x14ac:dyDescent="0.25">
      <c r="A8179" s="11"/>
    </row>
    <row r="8180" spans="1:1" ht="15.75" x14ac:dyDescent="0.25">
      <c r="A8180" s="11"/>
    </row>
    <row r="8181" spans="1:1" ht="15.75" x14ac:dyDescent="0.25">
      <c r="A8181" s="11"/>
    </row>
    <row r="8182" spans="1:1" ht="15.75" x14ac:dyDescent="0.25">
      <c r="A8182" s="11"/>
    </row>
    <row r="8183" spans="1:1" ht="15.75" x14ac:dyDescent="0.25">
      <c r="A8183" s="11"/>
    </row>
    <row r="8184" spans="1:1" ht="15.75" x14ac:dyDescent="0.25">
      <c r="A8184" s="11"/>
    </row>
    <row r="8185" spans="1:1" ht="15.75" x14ac:dyDescent="0.25">
      <c r="A8185" s="11"/>
    </row>
    <row r="8186" spans="1:1" ht="15.75" x14ac:dyDescent="0.25">
      <c r="A8186" s="11"/>
    </row>
    <row r="8187" spans="1:1" ht="15.75" x14ac:dyDescent="0.25">
      <c r="A8187" s="11"/>
    </row>
    <row r="8188" spans="1:1" ht="15.75" x14ac:dyDescent="0.25">
      <c r="A8188" s="11"/>
    </row>
    <row r="8189" spans="1:1" ht="15.75" x14ac:dyDescent="0.25">
      <c r="A8189" s="11"/>
    </row>
    <row r="8190" spans="1:1" ht="15.75" x14ac:dyDescent="0.25">
      <c r="A8190" s="11"/>
    </row>
    <row r="8191" spans="1:1" ht="15.75" x14ac:dyDescent="0.25">
      <c r="A8191" s="11"/>
    </row>
    <row r="8192" spans="1:1" ht="15.75" x14ac:dyDescent="0.25">
      <c r="A8192" s="11"/>
    </row>
    <row r="8193" spans="1:1" ht="15.75" x14ac:dyDescent="0.25">
      <c r="A8193" s="11"/>
    </row>
    <row r="8194" spans="1:1" ht="15.75" x14ac:dyDescent="0.25">
      <c r="A8194" s="11"/>
    </row>
    <row r="8195" spans="1:1" ht="15.75" x14ac:dyDescent="0.25">
      <c r="A8195" s="11"/>
    </row>
    <row r="8196" spans="1:1" ht="15.75" x14ac:dyDescent="0.25">
      <c r="A8196" s="11"/>
    </row>
    <row r="8197" spans="1:1" ht="15.75" x14ac:dyDescent="0.25">
      <c r="A8197" s="11"/>
    </row>
    <row r="8198" spans="1:1" ht="15.75" x14ac:dyDescent="0.25">
      <c r="A8198" s="11"/>
    </row>
    <row r="8199" spans="1:1" ht="15.75" x14ac:dyDescent="0.25">
      <c r="A8199" s="11"/>
    </row>
    <row r="8200" spans="1:1" ht="15.75" x14ac:dyDescent="0.25">
      <c r="A8200" s="11"/>
    </row>
    <row r="8201" spans="1:1" ht="15.75" x14ac:dyDescent="0.25">
      <c r="A8201" s="11"/>
    </row>
    <row r="8202" spans="1:1" ht="15.75" x14ac:dyDescent="0.25">
      <c r="A8202" s="11"/>
    </row>
    <row r="8203" spans="1:1" ht="15.75" x14ac:dyDescent="0.25">
      <c r="A8203" s="11"/>
    </row>
    <row r="8204" spans="1:1" ht="15.75" x14ac:dyDescent="0.25">
      <c r="A8204" s="11"/>
    </row>
    <row r="8205" spans="1:1" ht="15.75" x14ac:dyDescent="0.25">
      <c r="A8205" s="11"/>
    </row>
    <row r="8206" spans="1:1" ht="15.75" x14ac:dyDescent="0.25">
      <c r="A8206" s="11"/>
    </row>
    <row r="8207" spans="1:1" ht="15.75" x14ac:dyDescent="0.25">
      <c r="A8207" s="11"/>
    </row>
    <row r="8208" spans="1:1" ht="15.75" x14ac:dyDescent="0.25">
      <c r="A8208" s="11"/>
    </row>
    <row r="8209" spans="1:1" ht="15.75" x14ac:dyDescent="0.25">
      <c r="A8209" s="11"/>
    </row>
    <row r="8210" spans="1:1" ht="15.75" x14ac:dyDescent="0.25">
      <c r="A8210" s="11"/>
    </row>
    <row r="8211" spans="1:1" ht="15.75" x14ac:dyDescent="0.25">
      <c r="A8211" s="11"/>
    </row>
    <row r="8212" spans="1:1" ht="15.75" x14ac:dyDescent="0.25">
      <c r="A8212" s="11"/>
    </row>
    <row r="8213" spans="1:1" ht="15.75" x14ac:dyDescent="0.25">
      <c r="A8213" s="11"/>
    </row>
    <row r="8214" spans="1:1" ht="15.75" x14ac:dyDescent="0.25">
      <c r="A8214" s="11"/>
    </row>
    <row r="8215" spans="1:1" ht="15.75" x14ac:dyDescent="0.25">
      <c r="A8215" s="11"/>
    </row>
    <row r="8216" spans="1:1" ht="15.75" x14ac:dyDescent="0.25">
      <c r="A8216" s="11"/>
    </row>
    <row r="8217" spans="1:1" ht="15.75" x14ac:dyDescent="0.25">
      <c r="A8217" s="11"/>
    </row>
    <row r="8218" spans="1:1" ht="15.75" x14ac:dyDescent="0.25">
      <c r="A8218" s="11"/>
    </row>
    <row r="8219" spans="1:1" ht="15.75" x14ac:dyDescent="0.25">
      <c r="A8219" s="11"/>
    </row>
    <row r="8220" spans="1:1" ht="15.75" x14ac:dyDescent="0.25">
      <c r="A8220" s="11"/>
    </row>
    <row r="8221" spans="1:1" ht="15.75" x14ac:dyDescent="0.25">
      <c r="A8221" s="11"/>
    </row>
    <row r="8222" spans="1:1" ht="15.75" x14ac:dyDescent="0.25">
      <c r="A8222" s="11"/>
    </row>
    <row r="8223" spans="1:1" ht="15.75" x14ac:dyDescent="0.25">
      <c r="A8223" s="11"/>
    </row>
    <row r="8224" spans="1:1" ht="15.75" x14ac:dyDescent="0.25">
      <c r="A8224" s="11"/>
    </row>
    <row r="8225" spans="1:1" ht="15.75" x14ac:dyDescent="0.25">
      <c r="A8225" s="11"/>
    </row>
    <row r="8226" spans="1:1" ht="15.75" x14ac:dyDescent="0.25">
      <c r="A8226" s="11"/>
    </row>
    <row r="8227" spans="1:1" ht="15.75" x14ac:dyDescent="0.25">
      <c r="A8227" s="11"/>
    </row>
    <row r="8228" spans="1:1" ht="15.75" x14ac:dyDescent="0.25">
      <c r="A8228" s="11"/>
    </row>
    <row r="8229" spans="1:1" ht="15.75" x14ac:dyDescent="0.25">
      <c r="A8229" s="11"/>
    </row>
    <row r="8230" spans="1:1" ht="15.75" x14ac:dyDescent="0.25">
      <c r="A8230" s="11"/>
    </row>
    <row r="8231" spans="1:1" ht="15.75" x14ac:dyDescent="0.25">
      <c r="A8231" s="11"/>
    </row>
    <row r="8232" spans="1:1" ht="15.75" x14ac:dyDescent="0.25">
      <c r="A8232" s="11"/>
    </row>
    <row r="8233" spans="1:1" ht="15.75" x14ac:dyDescent="0.25">
      <c r="A8233" s="11"/>
    </row>
    <row r="8234" spans="1:1" ht="15.75" x14ac:dyDescent="0.25">
      <c r="A8234" s="11"/>
    </row>
    <row r="8235" spans="1:1" ht="15.75" x14ac:dyDescent="0.25">
      <c r="A8235" s="11"/>
    </row>
    <row r="8236" spans="1:1" ht="15.75" x14ac:dyDescent="0.25">
      <c r="A8236" s="11"/>
    </row>
    <row r="8237" spans="1:1" ht="15.75" x14ac:dyDescent="0.25">
      <c r="A8237" s="11"/>
    </row>
    <row r="8238" spans="1:1" ht="15.75" x14ac:dyDescent="0.25">
      <c r="A8238" s="11"/>
    </row>
    <row r="8239" spans="1:1" ht="15.75" x14ac:dyDescent="0.25">
      <c r="A8239" s="11"/>
    </row>
    <row r="8240" spans="1:1" ht="15.75" x14ac:dyDescent="0.25">
      <c r="A8240" s="11"/>
    </row>
    <row r="8241" spans="1:1" ht="15.75" x14ac:dyDescent="0.25">
      <c r="A8241" s="11"/>
    </row>
    <row r="8242" spans="1:1" ht="15.75" x14ac:dyDescent="0.25">
      <c r="A8242" s="11"/>
    </row>
    <row r="8243" spans="1:1" ht="15.75" x14ac:dyDescent="0.25">
      <c r="A8243" s="11"/>
    </row>
    <row r="8244" spans="1:1" ht="15.75" x14ac:dyDescent="0.25">
      <c r="A8244" s="11"/>
    </row>
    <row r="8245" spans="1:1" ht="15.75" x14ac:dyDescent="0.25">
      <c r="A8245" s="11"/>
    </row>
    <row r="8246" spans="1:1" ht="15.75" x14ac:dyDescent="0.25">
      <c r="A8246" s="11"/>
    </row>
    <row r="8247" spans="1:1" ht="15.75" x14ac:dyDescent="0.25">
      <c r="A8247" s="11"/>
    </row>
    <row r="8248" spans="1:1" ht="15.75" x14ac:dyDescent="0.25">
      <c r="A8248" s="11"/>
    </row>
    <row r="8249" spans="1:1" ht="15.75" x14ac:dyDescent="0.25">
      <c r="A8249" s="11"/>
    </row>
    <row r="8250" spans="1:1" ht="15.75" x14ac:dyDescent="0.25">
      <c r="A8250" s="11"/>
    </row>
    <row r="8251" spans="1:1" ht="15.75" x14ac:dyDescent="0.25">
      <c r="A8251" s="11"/>
    </row>
    <row r="8252" spans="1:1" ht="15.75" x14ac:dyDescent="0.25">
      <c r="A8252" s="11"/>
    </row>
    <row r="8253" spans="1:1" ht="15.75" x14ac:dyDescent="0.25">
      <c r="A8253" s="11"/>
    </row>
    <row r="8254" spans="1:1" ht="15.75" x14ac:dyDescent="0.25">
      <c r="A8254" s="11"/>
    </row>
    <row r="8255" spans="1:1" ht="15.75" x14ac:dyDescent="0.25">
      <c r="A8255" s="11"/>
    </row>
    <row r="8256" spans="1:1" ht="15.75" x14ac:dyDescent="0.25">
      <c r="A8256" s="11"/>
    </row>
    <row r="8257" spans="1:1" ht="15.75" x14ac:dyDescent="0.25">
      <c r="A8257" s="11"/>
    </row>
    <row r="8258" spans="1:1" ht="15.75" x14ac:dyDescent="0.25">
      <c r="A8258" s="11"/>
    </row>
    <row r="8259" spans="1:1" ht="15.75" x14ac:dyDescent="0.25">
      <c r="A8259" s="11"/>
    </row>
    <row r="8260" spans="1:1" ht="15.75" x14ac:dyDescent="0.25">
      <c r="A8260" s="11"/>
    </row>
    <row r="8261" spans="1:1" ht="15.75" x14ac:dyDescent="0.25">
      <c r="A8261" s="11"/>
    </row>
    <row r="8262" spans="1:1" ht="15.75" x14ac:dyDescent="0.25">
      <c r="A8262" s="11"/>
    </row>
    <row r="8263" spans="1:1" ht="15.75" x14ac:dyDescent="0.25">
      <c r="A8263" s="11"/>
    </row>
    <row r="8264" spans="1:1" ht="15.75" x14ac:dyDescent="0.25">
      <c r="A8264" s="11"/>
    </row>
    <row r="8265" spans="1:1" ht="15.75" x14ac:dyDescent="0.25">
      <c r="A8265" s="11"/>
    </row>
    <row r="8266" spans="1:1" ht="15.75" x14ac:dyDescent="0.25">
      <c r="A8266" s="11"/>
    </row>
    <row r="8267" spans="1:1" ht="15.75" x14ac:dyDescent="0.25">
      <c r="A8267" s="11"/>
    </row>
    <row r="8268" spans="1:1" ht="15.75" x14ac:dyDescent="0.25">
      <c r="A8268" s="11"/>
    </row>
    <row r="8269" spans="1:1" ht="15.75" x14ac:dyDescent="0.25">
      <c r="A8269" s="11"/>
    </row>
    <row r="8270" spans="1:1" ht="15.75" x14ac:dyDescent="0.25">
      <c r="A8270" s="11"/>
    </row>
    <row r="8271" spans="1:1" ht="15.75" x14ac:dyDescent="0.25">
      <c r="A8271" s="11"/>
    </row>
    <row r="8272" spans="1:1" ht="15.75" x14ac:dyDescent="0.25">
      <c r="A8272" s="11"/>
    </row>
    <row r="8273" spans="1:1" ht="15.75" x14ac:dyDescent="0.25">
      <c r="A8273" s="11"/>
    </row>
    <row r="8274" spans="1:1" ht="15.75" x14ac:dyDescent="0.25">
      <c r="A8274" s="11"/>
    </row>
    <row r="8275" spans="1:1" ht="15.75" x14ac:dyDescent="0.25">
      <c r="A8275" s="11"/>
    </row>
    <row r="8276" spans="1:1" ht="15.75" x14ac:dyDescent="0.25">
      <c r="A8276" s="11"/>
    </row>
    <row r="8277" spans="1:1" ht="15.75" x14ac:dyDescent="0.25">
      <c r="A8277" s="11"/>
    </row>
    <row r="8278" spans="1:1" ht="15.75" x14ac:dyDescent="0.25">
      <c r="A8278" s="11"/>
    </row>
    <row r="8279" spans="1:1" ht="15.75" x14ac:dyDescent="0.25">
      <c r="A8279" s="11"/>
    </row>
    <row r="8280" spans="1:1" ht="15.75" x14ac:dyDescent="0.25">
      <c r="A8280" s="11"/>
    </row>
    <row r="8281" spans="1:1" ht="15.75" x14ac:dyDescent="0.25">
      <c r="A8281" s="11"/>
    </row>
    <row r="8282" spans="1:1" ht="15.75" x14ac:dyDescent="0.25">
      <c r="A8282" s="11"/>
    </row>
    <row r="8283" spans="1:1" ht="15.75" x14ac:dyDescent="0.25">
      <c r="A8283" s="11"/>
    </row>
    <row r="8284" spans="1:1" ht="15.75" x14ac:dyDescent="0.25">
      <c r="A8284" s="11"/>
    </row>
    <row r="8285" spans="1:1" ht="15.75" x14ac:dyDescent="0.25">
      <c r="A8285" s="11"/>
    </row>
    <row r="8286" spans="1:1" ht="15.75" x14ac:dyDescent="0.25">
      <c r="A8286" s="11"/>
    </row>
    <row r="8287" spans="1:1" ht="15.75" x14ac:dyDescent="0.25">
      <c r="A8287" s="11"/>
    </row>
    <row r="8288" spans="1:1" ht="15.75" x14ac:dyDescent="0.25">
      <c r="A8288" s="11"/>
    </row>
    <row r="8289" spans="1:1" ht="15.75" x14ac:dyDescent="0.25">
      <c r="A8289" s="11"/>
    </row>
    <row r="8290" spans="1:1" ht="15.75" x14ac:dyDescent="0.25">
      <c r="A8290" s="11"/>
    </row>
    <row r="8291" spans="1:1" ht="15.75" x14ac:dyDescent="0.25">
      <c r="A8291" s="11"/>
    </row>
    <row r="8292" spans="1:1" ht="15.75" x14ac:dyDescent="0.25">
      <c r="A8292" s="11"/>
    </row>
    <row r="8293" spans="1:1" ht="15.75" x14ac:dyDescent="0.25">
      <c r="A8293" s="11"/>
    </row>
    <row r="8294" spans="1:1" ht="15.75" x14ac:dyDescent="0.25">
      <c r="A8294" s="11"/>
    </row>
    <row r="8295" spans="1:1" ht="15.75" x14ac:dyDescent="0.25">
      <c r="A8295" s="11"/>
    </row>
    <row r="8296" spans="1:1" ht="15.75" x14ac:dyDescent="0.25">
      <c r="A8296" s="11"/>
    </row>
    <row r="8297" spans="1:1" ht="15.75" x14ac:dyDescent="0.25">
      <c r="A8297" s="11"/>
    </row>
    <row r="8298" spans="1:1" ht="15.75" x14ac:dyDescent="0.25">
      <c r="A8298" s="11"/>
    </row>
    <row r="8299" spans="1:1" ht="15.75" x14ac:dyDescent="0.25">
      <c r="A8299" s="11"/>
    </row>
    <row r="8300" spans="1:1" ht="15.75" x14ac:dyDescent="0.25">
      <c r="A8300" s="11"/>
    </row>
    <row r="8301" spans="1:1" ht="15.75" x14ac:dyDescent="0.25">
      <c r="A8301" s="11"/>
    </row>
    <row r="8302" spans="1:1" ht="15.75" x14ac:dyDescent="0.25">
      <c r="A8302" s="11"/>
    </row>
    <row r="8303" spans="1:1" ht="15.75" x14ac:dyDescent="0.25">
      <c r="A8303" s="11"/>
    </row>
    <row r="8304" spans="1:1" ht="15.75" x14ac:dyDescent="0.25">
      <c r="A8304" s="11"/>
    </row>
    <row r="8305" spans="1:1" ht="15.75" x14ac:dyDescent="0.25">
      <c r="A8305" s="11"/>
    </row>
    <row r="8306" spans="1:1" ht="15.75" x14ac:dyDescent="0.25">
      <c r="A8306" s="11"/>
    </row>
    <row r="8307" spans="1:1" ht="15.75" x14ac:dyDescent="0.25">
      <c r="A8307" s="11"/>
    </row>
    <row r="8308" spans="1:1" ht="15.75" x14ac:dyDescent="0.25">
      <c r="A8308" s="11"/>
    </row>
    <row r="8309" spans="1:1" ht="15.75" x14ac:dyDescent="0.25">
      <c r="A8309" s="11"/>
    </row>
    <row r="8310" spans="1:1" ht="15.75" x14ac:dyDescent="0.25">
      <c r="A8310" s="11"/>
    </row>
    <row r="8311" spans="1:1" ht="15.75" x14ac:dyDescent="0.25">
      <c r="A8311" s="11"/>
    </row>
    <row r="8312" spans="1:1" ht="15.75" x14ac:dyDescent="0.25">
      <c r="A8312" s="11"/>
    </row>
    <row r="8313" spans="1:1" ht="15.75" x14ac:dyDescent="0.25">
      <c r="A8313" s="11"/>
    </row>
    <row r="8314" spans="1:1" ht="15.75" x14ac:dyDescent="0.25">
      <c r="A8314" s="11"/>
    </row>
    <row r="8315" spans="1:1" ht="15.75" x14ac:dyDescent="0.25">
      <c r="A8315" s="11"/>
    </row>
    <row r="8316" spans="1:1" ht="15.75" x14ac:dyDescent="0.25">
      <c r="A8316" s="11"/>
    </row>
    <row r="8317" spans="1:1" ht="15.75" x14ac:dyDescent="0.25">
      <c r="A8317" s="11"/>
    </row>
    <row r="8318" spans="1:1" ht="15.75" x14ac:dyDescent="0.25">
      <c r="A8318" s="11"/>
    </row>
    <row r="8319" spans="1:1" ht="15.75" x14ac:dyDescent="0.25">
      <c r="A8319" s="11"/>
    </row>
    <row r="8320" spans="1:1" ht="15.75" x14ac:dyDescent="0.25">
      <c r="A8320" s="11"/>
    </row>
    <row r="8321" spans="1:1" ht="15.75" x14ac:dyDescent="0.25">
      <c r="A8321" s="11"/>
    </row>
    <row r="8322" spans="1:1" ht="15.75" x14ac:dyDescent="0.25">
      <c r="A8322" s="11"/>
    </row>
    <row r="8323" spans="1:1" ht="15.75" x14ac:dyDescent="0.25">
      <c r="A8323" s="11"/>
    </row>
    <row r="8324" spans="1:1" ht="15.75" x14ac:dyDescent="0.25">
      <c r="A8324" s="11"/>
    </row>
    <row r="8325" spans="1:1" ht="15.75" x14ac:dyDescent="0.25">
      <c r="A8325" s="11"/>
    </row>
    <row r="8326" spans="1:1" ht="15.75" x14ac:dyDescent="0.25">
      <c r="A8326" s="11"/>
    </row>
    <row r="8327" spans="1:1" ht="15.75" x14ac:dyDescent="0.25">
      <c r="A8327" s="11"/>
    </row>
    <row r="8328" spans="1:1" ht="15.75" x14ac:dyDescent="0.25">
      <c r="A8328" s="11"/>
    </row>
    <row r="8329" spans="1:1" ht="15.75" x14ac:dyDescent="0.25">
      <c r="A8329" s="11"/>
    </row>
    <row r="8330" spans="1:1" ht="15.75" x14ac:dyDescent="0.25">
      <c r="A8330" s="11"/>
    </row>
    <row r="8331" spans="1:1" ht="15.75" x14ac:dyDescent="0.25">
      <c r="A8331" s="11"/>
    </row>
    <row r="8332" spans="1:1" ht="15.75" x14ac:dyDescent="0.25">
      <c r="A8332" s="11"/>
    </row>
    <row r="8333" spans="1:1" ht="15.75" x14ac:dyDescent="0.25">
      <c r="A8333" s="11"/>
    </row>
    <row r="8334" spans="1:1" ht="15.75" x14ac:dyDescent="0.25">
      <c r="A8334" s="11"/>
    </row>
    <row r="8335" spans="1:1" ht="15.75" x14ac:dyDescent="0.25">
      <c r="A8335" s="11"/>
    </row>
    <row r="8336" spans="1:1" ht="15.75" x14ac:dyDescent="0.25">
      <c r="A8336" s="11"/>
    </row>
    <row r="8337" spans="1:1" ht="15.75" x14ac:dyDescent="0.25">
      <c r="A8337" s="11"/>
    </row>
    <row r="8338" spans="1:1" ht="15.75" x14ac:dyDescent="0.25">
      <c r="A8338" s="11"/>
    </row>
    <row r="8339" spans="1:1" ht="15.75" x14ac:dyDescent="0.25">
      <c r="A8339" s="11"/>
    </row>
    <row r="8340" spans="1:1" ht="15.75" x14ac:dyDescent="0.25">
      <c r="A8340" s="11"/>
    </row>
    <row r="8341" spans="1:1" ht="15.75" x14ac:dyDescent="0.25">
      <c r="A8341" s="11"/>
    </row>
    <row r="8342" spans="1:1" ht="15.75" x14ac:dyDescent="0.25">
      <c r="A8342" s="11"/>
    </row>
    <row r="8343" spans="1:1" ht="15.75" x14ac:dyDescent="0.25">
      <c r="A8343" s="11"/>
    </row>
    <row r="8344" spans="1:1" ht="15.75" x14ac:dyDescent="0.25">
      <c r="A8344" s="11"/>
    </row>
    <row r="8345" spans="1:1" ht="15.75" x14ac:dyDescent="0.25">
      <c r="A8345" s="11"/>
    </row>
    <row r="8346" spans="1:1" ht="15.75" x14ac:dyDescent="0.25">
      <c r="A8346" s="11"/>
    </row>
    <row r="8347" spans="1:1" ht="15.75" x14ac:dyDescent="0.25">
      <c r="A8347" s="11"/>
    </row>
    <row r="8348" spans="1:1" ht="15.75" x14ac:dyDescent="0.25">
      <c r="A8348" s="11"/>
    </row>
    <row r="8349" spans="1:1" ht="15.75" x14ac:dyDescent="0.25">
      <c r="A8349" s="11"/>
    </row>
    <row r="8350" spans="1:1" ht="15.75" x14ac:dyDescent="0.25">
      <c r="A8350" s="11"/>
    </row>
    <row r="8351" spans="1:1" ht="15.75" x14ac:dyDescent="0.25">
      <c r="A8351" s="11"/>
    </row>
    <row r="8352" spans="1:1" ht="15.75" x14ac:dyDescent="0.25">
      <c r="A8352" s="11"/>
    </row>
    <row r="8353" spans="1:1" ht="15.75" x14ac:dyDescent="0.25">
      <c r="A8353" s="11"/>
    </row>
    <row r="8354" spans="1:1" ht="15.75" x14ac:dyDescent="0.25">
      <c r="A8354" s="11"/>
    </row>
    <row r="8355" spans="1:1" ht="15.75" x14ac:dyDescent="0.25">
      <c r="A8355" s="11"/>
    </row>
    <row r="8356" spans="1:1" ht="15.75" x14ac:dyDescent="0.25">
      <c r="A8356" s="11"/>
    </row>
    <row r="8357" spans="1:1" ht="15.75" x14ac:dyDescent="0.25">
      <c r="A8357" s="11"/>
    </row>
    <row r="8358" spans="1:1" ht="15.75" x14ac:dyDescent="0.25">
      <c r="A8358" s="11"/>
    </row>
    <row r="8359" spans="1:1" ht="15.75" x14ac:dyDescent="0.25">
      <c r="A8359" s="11"/>
    </row>
    <row r="8360" spans="1:1" ht="15.75" x14ac:dyDescent="0.25">
      <c r="A8360" s="11"/>
    </row>
    <row r="8361" spans="1:1" ht="15.75" x14ac:dyDescent="0.25">
      <c r="A8361" s="11"/>
    </row>
    <row r="8362" spans="1:1" ht="15.75" x14ac:dyDescent="0.25">
      <c r="A8362" s="11"/>
    </row>
    <row r="8363" spans="1:1" ht="15.75" x14ac:dyDescent="0.25">
      <c r="A8363" s="11"/>
    </row>
    <row r="8364" spans="1:1" ht="15.75" x14ac:dyDescent="0.25">
      <c r="A8364" s="11"/>
    </row>
    <row r="8365" spans="1:1" ht="15.75" x14ac:dyDescent="0.25">
      <c r="A8365" s="11"/>
    </row>
    <row r="8366" spans="1:1" ht="15.75" x14ac:dyDescent="0.25">
      <c r="A8366" s="11"/>
    </row>
    <row r="8367" spans="1:1" ht="15.75" x14ac:dyDescent="0.25">
      <c r="A8367" s="11"/>
    </row>
    <row r="8368" spans="1:1" ht="15.75" x14ac:dyDescent="0.25">
      <c r="A8368" s="11"/>
    </row>
    <row r="8369" spans="1:1" ht="15.75" x14ac:dyDescent="0.25">
      <c r="A8369" s="11"/>
    </row>
    <row r="8370" spans="1:1" ht="15.75" x14ac:dyDescent="0.25">
      <c r="A8370" s="11"/>
    </row>
    <row r="8371" spans="1:1" ht="15.75" x14ac:dyDescent="0.25">
      <c r="A8371" s="11"/>
    </row>
    <row r="8372" spans="1:1" ht="15.75" x14ac:dyDescent="0.25">
      <c r="A8372" s="11"/>
    </row>
    <row r="8373" spans="1:1" ht="15.75" x14ac:dyDescent="0.25">
      <c r="A8373" s="11"/>
    </row>
    <row r="8374" spans="1:1" ht="15.75" x14ac:dyDescent="0.25">
      <c r="A8374" s="11"/>
    </row>
    <row r="8375" spans="1:1" ht="15.75" x14ac:dyDescent="0.25">
      <c r="A8375" s="11"/>
    </row>
    <row r="8376" spans="1:1" ht="15.75" x14ac:dyDescent="0.25">
      <c r="A8376" s="11"/>
    </row>
    <row r="8377" spans="1:1" ht="15.75" x14ac:dyDescent="0.25">
      <c r="A8377" s="11"/>
    </row>
    <row r="8378" spans="1:1" ht="15.75" x14ac:dyDescent="0.25">
      <c r="A8378" s="11"/>
    </row>
    <row r="8379" spans="1:1" ht="15.75" x14ac:dyDescent="0.25">
      <c r="A8379" s="11"/>
    </row>
    <row r="8380" spans="1:1" ht="15.75" x14ac:dyDescent="0.25">
      <c r="A8380" s="11"/>
    </row>
    <row r="8381" spans="1:1" ht="15.75" x14ac:dyDescent="0.25">
      <c r="A8381" s="11"/>
    </row>
    <row r="8382" spans="1:1" ht="15.75" x14ac:dyDescent="0.25">
      <c r="A8382" s="11"/>
    </row>
    <row r="8383" spans="1:1" ht="15.75" x14ac:dyDescent="0.25">
      <c r="A8383" s="11"/>
    </row>
    <row r="8384" spans="1:1" ht="15.75" x14ac:dyDescent="0.25">
      <c r="A8384" s="11"/>
    </row>
    <row r="8385" spans="1:1" ht="15.75" x14ac:dyDescent="0.25">
      <c r="A8385" s="11"/>
    </row>
    <row r="8386" spans="1:1" ht="15.75" x14ac:dyDescent="0.25">
      <c r="A8386" s="11"/>
    </row>
    <row r="8387" spans="1:1" ht="15.75" x14ac:dyDescent="0.25">
      <c r="A8387" s="11"/>
    </row>
    <row r="8388" spans="1:1" ht="15.75" x14ac:dyDescent="0.25">
      <c r="A8388" s="11"/>
    </row>
    <row r="8389" spans="1:1" ht="15.75" x14ac:dyDescent="0.25">
      <c r="A8389" s="11"/>
    </row>
    <row r="8390" spans="1:1" ht="15.75" x14ac:dyDescent="0.25">
      <c r="A8390" s="11"/>
    </row>
    <row r="8391" spans="1:1" ht="15.75" x14ac:dyDescent="0.25">
      <c r="A8391" s="11"/>
    </row>
    <row r="8392" spans="1:1" ht="15.75" x14ac:dyDescent="0.25">
      <c r="A8392" s="11"/>
    </row>
    <row r="8393" spans="1:1" ht="15.75" x14ac:dyDescent="0.25">
      <c r="A8393" s="11"/>
    </row>
    <row r="8394" spans="1:1" ht="15.75" x14ac:dyDescent="0.25">
      <c r="A8394" s="11"/>
    </row>
    <row r="8395" spans="1:1" ht="15.75" x14ac:dyDescent="0.25">
      <c r="A8395" s="11"/>
    </row>
    <row r="8396" spans="1:1" ht="15.75" x14ac:dyDescent="0.25">
      <c r="A8396" s="11"/>
    </row>
    <row r="8397" spans="1:1" ht="15.75" x14ac:dyDescent="0.25">
      <c r="A8397" s="11"/>
    </row>
    <row r="8398" spans="1:1" ht="15.75" x14ac:dyDescent="0.25">
      <c r="A8398" s="11"/>
    </row>
    <row r="8399" spans="1:1" ht="15.75" x14ac:dyDescent="0.25">
      <c r="A8399" s="11"/>
    </row>
    <row r="8400" spans="1:1" ht="15.75" x14ac:dyDescent="0.25">
      <c r="A8400" s="11"/>
    </row>
    <row r="8401" spans="1:1" ht="15.75" x14ac:dyDescent="0.25">
      <c r="A8401" s="11"/>
    </row>
    <row r="8402" spans="1:1" ht="15.75" x14ac:dyDescent="0.25">
      <c r="A8402" s="11"/>
    </row>
    <row r="8403" spans="1:1" ht="15.75" x14ac:dyDescent="0.25">
      <c r="A8403" s="11"/>
    </row>
    <row r="8404" spans="1:1" ht="15.75" x14ac:dyDescent="0.25">
      <c r="A8404" s="11"/>
    </row>
    <row r="8405" spans="1:1" ht="15.75" x14ac:dyDescent="0.25">
      <c r="A8405" s="11"/>
    </row>
    <row r="8406" spans="1:1" ht="15.75" x14ac:dyDescent="0.25">
      <c r="A8406" s="11"/>
    </row>
    <row r="8407" spans="1:1" ht="15.75" x14ac:dyDescent="0.25">
      <c r="A8407" s="11"/>
    </row>
    <row r="8408" spans="1:1" ht="15.75" x14ac:dyDescent="0.25">
      <c r="A8408" s="11"/>
    </row>
    <row r="8409" spans="1:1" ht="15.75" x14ac:dyDescent="0.25">
      <c r="A8409" s="11"/>
    </row>
    <row r="8410" spans="1:1" ht="15.75" x14ac:dyDescent="0.25">
      <c r="A8410" s="11"/>
    </row>
    <row r="8411" spans="1:1" ht="15.75" x14ac:dyDescent="0.25">
      <c r="A8411" s="11"/>
    </row>
    <row r="8412" spans="1:1" ht="15.75" x14ac:dyDescent="0.25">
      <c r="A8412" s="11"/>
    </row>
    <row r="8413" spans="1:1" ht="15.75" x14ac:dyDescent="0.25">
      <c r="A8413" s="11"/>
    </row>
    <row r="8414" spans="1:1" ht="15.75" x14ac:dyDescent="0.25">
      <c r="A8414" s="11"/>
    </row>
    <row r="8415" spans="1:1" ht="15.75" x14ac:dyDescent="0.25">
      <c r="A8415" s="11"/>
    </row>
    <row r="8416" spans="1:1" ht="15.75" x14ac:dyDescent="0.25">
      <c r="A8416" s="11"/>
    </row>
    <row r="8417" spans="1:1" ht="15.75" x14ac:dyDescent="0.25">
      <c r="A8417" s="11"/>
    </row>
    <row r="8418" spans="1:1" ht="15.75" x14ac:dyDescent="0.25">
      <c r="A8418" s="11"/>
    </row>
    <row r="8419" spans="1:1" ht="15.75" x14ac:dyDescent="0.25">
      <c r="A8419" s="11"/>
    </row>
    <row r="8420" spans="1:1" ht="15.75" x14ac:dyDescent="0.25">
      <c r="A8420" s="11"/>
    </row>
    <row r="8421" spans="1:1" ht="15.75" x14ac:dyDescent="0.25">
      <c r="A8421" s="11"/>
    </row>
    <row r="8422" spans="1:1" ht="15.75" x14ac:dyDescent="0.25">
      <c r="A8422" s="11"/>
    </row>
    <row r="8423" spans="1:1" ht="15.75" x14ac:dyDescent="0.25">
      <c r="A8423" s="11"/>
    </row>
    <row r="8424" spans="1:1" ht="15.75" x14ac:dyDescent="0.25">
      <c r="A8424" s="11"/>
    </row>
    <row r="8425" spans="1:1" ht="15.75" x14ac:dyDescent="0.25">
      <c r="A8425" s="11"/>
    </row>
    <row r="8426" spans="1:1" ht="15.75" x14ac:dyDescent="0.25">
      <c r="A8426" s="11"/>
    </row>
    <row r="8427" spans="1:1" ht="15.75" x14ac:dyDescent="0.25">
      <c r="A8427" s="11"/>
    </row>
    <row r="8428" spans="1:1" ht="15.75" x14ac:dyDescent="0.25">
      <c r="A8428" s="11"/>
    </row>
    <row r="8429" spans="1:1" ht="15.75" x14ac:dyDescent="0.25">
      <c r="A8429" s="11"/>
    </row>
    <row r="8430" spans="1:1" ht="15.75" x14ac:dyDescent="0.25">
      <c r="A8430" s="11"/>
    </row>
    <row r="8431" spans="1:1" ht="15.75" x14ac:dyDescent="0.25">
      <c r="A8431" s="11"/>
    </row>
    <row r="8432" spans="1:1" ht="15.75" x14ac:dyDescent="0.25">
      <c r="A8432" s="11"/>
    </row>
    <row r="8433" spans="1:1" ht="15.75" x14ac:dyDescent="0.25">
      <c r="A8433" s="11"/>
    </row>
    <row r="8434" spans="1:1" ht="15.75" x14ac:dyDescent="0.25">
      <c r="A8434" s="11"/>
    </row>
    <row r="8435" spans="1:1" ht="15.75" x14ac:dyDescent="0.25">
      <c r="A8435" s="11"/>
    </row>
    <row r="8436" spans="1:1" ht="15.75" x14ac:dyDescent="0.25">
      <c r="A8436" s="11"/>
    </row>
    <row r="8437" spans="1:1" ht="15.75" x14ac:dyDescent="0.25">
      <c r="A8437" s="11"/>
    </row>
    <row r="8438" spans="1:1" ht="15.75" x14ac:dyDescent="0.25">
      <c r="A8438" s="11"/>
    </row>
    <row r="8439" spans="1:1" ht="15.75" x14ac:dyDescent="0.25">
      <c r="A8439" s="11"/>
    </row>
    <row r="8440" spans="1:1" ht="15.75" x14ac:dyDescent="0.25">
      <c r="A8440" s="11"/>
    </row>
    <row r="8441" spans="1:1" ht="15.75" x14ac:dyDescent="0.25">
      <c r="A8441" s="11"/>
    </row>
    <row r="8442" spans="1:1" ht="15.75" x14ac:dyDescent="0.25">
      <c r="A8442" s="11"/>
    </row>
    <row r="8443" spans="1:1" ht="15.75" x14ac:dyDescent="0.25">
      <c r="A8443" s="11"/>
    </row>
    <row r="8444" spans="1:1" ht="15.75" x14ac:dyDescent="0.25">
      <c r="A8444" s="11"/>
    </row>
    <row r="8445" spans="1:1" ht="15.75" x14ac:dyDescent="0.25">
      <c r="A8445" s="11"/>
    </row>
    <row r="8446" spans="1:1" ht="15.75" x14ac:dyDescent="0.25">
      <c r="A8446" s="11"/>
    </row>
    <row r="8447" spans="1:1" ht="15.75" x14ac:dyDescent="0.25">
      <c r="A8447" s="11"/>
    </row>
    <row r="8448" spans="1:1" ht="15.75" x14ac:dyDescent="0.25">
      <c r="A8448" s="11"/>
    </row>
    <row r="8449" spans="1:1" ht="15.75" x14ac:dyDescent="0.25">
      <c r="A8449" s="11"/>
    </row>
    <row r="8450" spans="1:1" ht="15.75" x14ac:dyDescent="0.25">
      <c r="A8450" s="11"/>
    </row>
    <row r="8451" spans="1:1" ht="15.75" x14ac:dyDescent="0.25">
      <c r="A8451" s="11"/>
    </row>
    <row r="8452" spans="1:1" ht="15.75" x14ac:dyDescent="0.25">
      <c r="A8452" s="11"/>
    </row>
    <row r="8453" spans="1:1" ht="15.75" x14ac:dyDescent="0.25">
      <c r="A8453" s="11"/>
    </row>
    <row r="8454" spans="1:1" ht="15.75" x14ac:dyDescent="0.25">
      <c r="A8454" s="11"/>
    </row>
    <row r="8455" spans="1:1" ht="15.75" x14ac:dyDescent="0.25">
      <c r="A8455" s="11"/>
    </row>
    <row r="8456" spans="1:1" ht="15.75" x14ac:dyDescent="0.25">
      <c r="A8456" s="11"/>
    </row>
    <row r="8457" spans="1:1" ht="15.75" x14ac:dyDescent="0.25">
      <c r="A8457" s="11"/>
    </row>
    <row r="8458" spans="1:1" ht="15.75" x14ac:dyDescent="0.25">
      <c r="A8458" s="11"/>
    </row>
    <row r="8459" spans="1:1" ht="15.75" x14ac:dyDescent="0.25">
      <c r="A8459" s="11"/>
    </row>
    <row r="8460" spans="1:1" ht="15.75" x14ac:dyDescent="0.25">
      <c r="A8460" s="11"/>
    </row>
    <row r="8461" spans="1:1" ht="15.75" x14ac:dyDescent="0.25">
      <c r="A8461" s="11"/>
    </row>
    <row r="8462" spans="1:1" ht="15.75" x14ac:dyDescent="0.25">
      <c r="A8462" s="11"/>
    </row>
    <row r="8463" spans="1:1" ht="15.75" x14ac:dyDescent="0.25">
      <c r="A8463" s="11"/>
    </row>
    <row r="8464" spans="1:1" ht="15.75" x14ac:dyDescent="0.25">
      <c r="A8464" s="11"/>
    </row>
    <row r="8465" spans="1:1" ht="15.75" x14ac:dyDescent="0.25">
      <c r="A8465" s="11"/>
    </row>
    <row r="8466" spans="1:1" ht="15.75" x14ac:dyDescent="0.25">
      <c r="A8466" s="11"/>
    </row>
    <row r="8467" spans="1:1" ht="15.75" x14ac:dyDescent="0.25">
      <c r="A8467" s="11"/>
    </row>
    <row r="8468" spans="1:1" ht="15.75" x14ac:dyDescent="0.25">
      <c r="A8468" s="11"/>
    </row>
    <row r="8469" spans="1:1" ht="15.75" x14ac:dyDescent="0.25">
      <c r="A8469" s="11"/>
    </row>
    <row r="8470" spans="1:1" ht="15.75" x14ac:dyDescent="0.25">
      <c r="A8470" s="11"/>
    </row>
    <row r="8471" spans="1:1" ht="15.75" x14ac:dyDescent="0.25">
      <c r="A8471" s="11"/>
    </row>
    <row r="8472" spans="1:1" ht="15.75" x14ac:dyDescent="0.25">
      <c r="A8472" s="11"/>
    </row>
    <row r="8473" spans="1:1" ht="15.75" x14ac:dyDescent="0.25">
      <c r="A8473" s="11"/>
    </row>
    <row r="8474" spans="1:1" ht="15.75" x14ac:dyDescent="0.25">
      <c r="A8474" s="11"/>
    </row>
    <row r="8475" spans="1:1" ht="15.75" x14ac:dyDescent="0.25">
      <c r="A8475" s="11"/>
    </row>
    <row r="8476" spans="1:1" ht="15.75" x14ac:dyDescent="0.25">
      <c r="A8476" s="11"/>
    </row>
    <row r="8477" spans="1:1" ht="15.75" x14ac:dyDescent="0.25">
      <c r="A8477" s="11"/>
    </row>
    <row r="8478" spans="1:1" ht="15.75" x14ac:dyDescent="0.25">
      <c r="A8478" s="11"/>
    </row>
    <row r="8479" spans="1:1" ht="15.75" x14ac:dyDescent="0.25">
      <c r="A8479" s="11"/>
    </row>
    <row r="8480" spans="1:1" ht="15.75" x14ac:dyDescent="0.25">
      <c r="A8480" s="11"/>
    </row>
    <row r="8481" spans="1:1" ht="15.75" x14ac:dyDescent="0.25">
      <c r="A8481" s="11"/>
    </row>
    <row r="8482" spans="1:1" ht="15.75" x14ac:dyDescent="0.25">
      <c r="A8482" s="11"/>
    </row>
    <row r="8483" spans="1:1" ht="15.75" x14ac:dyDescent="0.25">
      <c r="A8483" s="11"/>
    </row>
    <row r="8484" spans="1:1" ht="15.75" x14ac:dyDescent="0.25">
      <c r="A8484" s="11"/>
    </row>
    <row r="8485" spans="1:1" ht="15.75" x14ac:dyDescent="0.25">
      <c r="A8485" s="11"/>
    </row>
    <row r="8486" spans="1:1" ht="15.75" x14ac:dyDescent="0.25">
      <c r="A8486" s="11"/>
    </row>
    <row r="8487" spans="1:1" ht="15.75" x14ac:dyDescent="0.25">
      <c r="A8487" s="11"/>
    </row>
    <row r="8488" spans="1:1" ht="15.75" x14ac:dyDescent="0.25">
      <c r="A8488" s="11"/>
    </row>
    <row r="8489" spans="1:1" ht="15.75" x14ac:dyDescent="0.25">
      <c r="A8489" s="11"/>
    </row>
    <row r="8490" spans="1:1" ht="15.75" x14ac:dyDescent="0.25">
      <c r="A8490" s="11"/>
    </row>
    <row r="8491" spans="1:1" ht="15.75" x14ac:dyDescent="0.25">
      <c r="A8491" s="11"/>
    </row>
    <row r="8492" spans="1:1" ht="15.75" x14ac:dyDescent="0.25">
      <c r="A8492" s="11"/>
    </row>
    <row r="8493" spans="1:1" ht="15.75" x14ac:dyDescent="0.25">
      <c r="A8493" s="11"/>
    </row>
    <row r="8494" spans="1:1" ht="15.75" x14ac:dyDescent="0.25">
      <c r="A8494" s="11"/>
    </row>
    <row r="8495" spans="1:1" ht="15.75" x14ac:dyDescent="0.25">
      <c r="A8495" s="11"/>
    </row>
    <row r="8496" spans="1:1" ht="15.75" x14ac:dyDescent="0.25">
      <c r="A8496" s="11"/>
    </row>
    <row r="8497" spans="1:1" ht="15.75" x14ac:dyDescent="0.25">
      <c r="A8497" s="11"/>
    </row>
    <row r="8498" spans="1:1" ht="15.75" x14ac:dyDescent="0.25">
      <c r="A8498" s="11"/>
    </row>
    <row r="8499" spans="1:1" ht="15.75" x14ac:dyDescent="0.25">
      <c r="A8499" s="11"/>
    </row>
    <row r="8500" spans="1:1" ht="15.75" x14ac:dyDescent="0.25">
      <c r="A8500" s="11"/>
    </row>
    <row r="8501" spans="1:1" ht="15.75" x14ac:dyDescent="0.25">
      <c r="A8501" s="11"/>
    </row>
    <row r="8502" spans="1:1" ht="15.75" x14ac:dyDescent="0.25">
      <c r="A8502" s="11"/>
    </row>
    <row r="8503" spans="1:1" ht="15.75" x14ac:dyDescent="0.25">
      <c r="A8503" s="11"/>
    </row>
    <row r="8504" spans="1:1" ht="15.75" x14ac:dyDescent="0.25">
      <c r="A8504" s="11"/>
    </row>
    <row r="8505" spans="1:1" ht="15.75" x14ac:dyDescent="0.25">
      <c r="A8505" s="11"/>
    </row>
    <row r="8506" spans="1:1" ht="15.75" x14ac:dyDescent="0.25">
      <c r="A8506" s="11"/>
    </row>
    <row r="8507" spans="1:1" ht="15.75" x14ac:dyDescent="0.25">
      <c r="A8507" s="11"/>
    </row>
    <row r="8508" spans="1:1" ht="15.75" x14ac:dyDescent="0.25">
      <c r="A8508" s="11"/>
    </row>
    <row r="8509" spans="1:1" ht="15.75" x14ac:dyDescent="0.25">
      <c r="A8509" s="11"/>
    </row>
    <row r="8510" spans="1:1" ht="15.75" x14ac:dyDescent="0.25">
      <c r="A8510" s="11"/>
    </row>
    <row r="8511" spans="1:1" ht="15.75" x14ac:dyDescent="0.25">
      <c r="A8511" s="11"/>
    </row>
    <row r="8512" spans="1:1" ht="15.75" x14ac:dyDescent="0.25">
      <c r="A8512" s="11"/>
    </row>
    <row r="8513" spans="1:1" ht="15.75" x14ac:dyDescent="0.25">
      <c r="A8513" s="11"/>
    </row>
    <row r="8514" spans="1:1" ht="15.75" x14ac:dyDescent="0.25">
      <c r="A8514" s="11"/>
    </row>
    <row r="8515" spans="1:1" ht="15.75" x14ac:dyDescent="0.25">
      <c r="A8515" s="11"/>
    </row>
    <row r="8516" spans="1:1" ht="15.75" x14ac:dyDescent="0.25">
      <c r="A8516" s="11"/>
    </row>
    <row r="8517" spans="1:1" ht="15.75" x14ac:dyDescent="0.25">
      <c r="A8517" s="11"/>
    </row>
    <row r="8518" spans="1:1" ht="15.75" x14ac:dyDescent="0.25">
      <c r="A8518" s="11"/>
    </row>
    <row r="8519" spans="1:1" ht="15.75" x14ac:dyDescent="0.25">
      <c r="A8519" s="11"/>
    </row>
    <row r="8520" spans="1:1" ht="15.75" x14ac:dyDescent="0.25">
      <c r="A8520" s="11"/>
    </row>
    <row r="8521" spans="1:1" ht="15.75" x14ac:dyDescent="0.25">
      <c r="A8521" s="11"/>
    </row>
    <row r="8522" spans="1:1" ht="15.75" x14ac:dyDescent="0.25">
      <c r="A8522" s="11"/>
    </row>
    <row r="8523" spans="1:1" ht="15.75" x14ac:dyDescent="0.25">
      <c r="A8523" s="11"/>
    </row>
    <row r="8524" spans="1:1" ht="15.75" x14ac:dyDescent="0.25">
      <c r="A8524" s="11"/>
    </row>
    <row r="8525" spans="1:1" ht="15.75" x14ac:dyDescent="0.25">
      <c r="A8525" s="11"/>
    </row>
    <row r="8526" spans="1:1" ht="15.75" x14ac:dyDescent="0.25">
      <c r="A8526" s="11"/>
    </row>
    <row r="8527" spans="1:1" ht="15.75" x14ac:dyDescent="0.25">
      <c r="A8527" s="11"/>
    </row>
    <row r="8528" spans="1:1" ht="15.75" x14ac:dyDescent="0.25">
      <c r="A8528" s="11"/>
    </row>
    <row r="8529" spans="1:1" ht="15.75" x14ac:dyDescent="0.25">
      <c r="A8529" s="11"/>
    </row>
    <row r="8530" spans="1:1" ht="15.75" x14ac:dyDescent="0.25">
      <c r="A8530" s="11"/>
    </row>
    <row r="8531" spans="1:1" ht="15.75" x14ac:dyDescent="0.25">
      <c r="A8531" s="11"/>
    </row>
    <row r="8532" spans="1:1" ht="15.75" x14ac:dyDescent="0.25">
      <c r="A8532" s="11"/>
    </row>
    <row r="8533" spans="1:1" ht="15.75" x14ac:dyDescent="0.25">
      <c r="A8533" s="11"/>
    </row>
    <row r="8534" spans="1:1" ht="15.75" x14ac:dyDescent="0.25">
      <c r="A8534" s="11"/>
    </row>
    <row r="8535" spans="1:1" ht="15.75" x14ac:dyDescent="0.25">
      <c r="A8535" s="11"/>
    </row>
    <row r="8536" spans="1:1" ht="15.75" x14ac:dyDescent="0.25">
      <c r="A8536" s="11"/>
    </row>
    <row r="8537" spans="1:1" ht="15.75" x14ac:dyDescent="0.25">
      <c r="A8537" s="11"/>
    </row>
    <row r="8538" spans="1:1" ht="15.75" x14ac:dyDescent="0.25">
      <c r="A8538" s="11"/>
    </row>
    <row r="8539" spans="1:1" ht="15.75" x14ac:dyDescent="0.25">
      <c r="A8539" s="11"/>
    </row>
    <row r="8540" spans="1:1" ht="15.75" x14ac:dyDescent="0.25">
      <c r="A8540" s="11"/>
    </row>
    <row r="8541" spans="1:1" ht="15.75" x14ac:dyDescent="0.25">
      <c r="A8541" s="11"/>
    </row>
    <row r="8542" spans="1:1" ht="15.75" x14ac:dyDescent="0.25">
      <c r="A8542" s="11"/>
    </row>
    <row r="8543" spans="1:1" ht="15.75" x14ac:dyDescent="0.25">
      <c r="A8543" s="11"/>
    </row>
    <row r="8544" spans="1:1" ht="15.75" x14ac:dyDescent="0.25">
      <c r="A8544" s="11"/>
    </row>
    <row r="8545" spans="1:1" ht="15.75" x14ac:dyDescent="0.25">
      <c r="A8545" s="11"/>
    </row>
    <row r="8546" spans="1:1" ht="15.75" x14ac:dyDescent="0.25">
      <c r="A8546" s="11"/>
    </row>
    <row r="8547" spans="1:1" ht="15.75" x14ac:dyDescent="0.25">
      <c r="A8547" s="11"/>
    </row>
    <row r="8548" spans="1:1" ht="15.75" x14ac:dyDescent="0.25">
      <c r="A8548" s="11"/>
    </row>
    <row r="8549" spans="1:1" ht="15.75" x14ac:dyDescent="0.25">
      <c r="A8549" s="11"/>
    </row>
    <row r="8550" spans="1:1" ht="15.75" x14ac:dyDescent="0.25">
      <c r="A8550" s="11"/>
    </row>
    <row r="8551" spans="1:1" ht="15.75" x14ac:dyDescent="0.25">
      <c r="A8551" s="11"/>
    </row>
    <row r="8552" spans="1:1" ht="15.75" x14ac:dyDescent="0.25">
      <c r="A8552" s="11"/>
    </row>
    <row r="8553" spans="1:1" ht="15.75" x14ac:dyDescent="0.25">
      <c r="A8553" s="11"/>
    </row>
    <row r="8554" spans="1:1" ht="15.75" x14ac:dyDescent="0.25">
      <c r="A8554" s="11"/>
    </row>
    <row r="8555" spans="1:1" ht="15.75" x14ac:dyDescent="0.25">
      <c r="A8555" s="11"/>
    </row>
    <row r="8556" spans="1:1" ht="15.75" x14ac:dyDescent="0.25">
      <c r="A8556" s="11"/>
    </row>
    <row r="8557" spans="1:1" ht="15.75" x14ac:dyDescent="0.25">
      <c r="A8557" s="11"/>
    </row>
    <row r="8558" spans="1:1" ht="15.75" x14ac:dyDescent="0.25">
      <c r="A8558" s="11"/>
    </row>
    <row r="8559" spans="1:1" ht="15.75" x14ac:dyDescent="0.25">
      <c r="A8559" s="11"/>
    </row>
    <row r="8560" spans="1:1" ht="15.75" x14ac:dyDescent="0.25">
      <c r="A8560" s="11"/>
    </row>
    <row r="8561" spans="1:1" ht="15.75" x14ac:dyDescent="0.25">
      <c r="A8561" s="11"/>
    </row>
    <row r="8562" spans="1:1" ht="15.75" x14ac:dyDescent="0.25">
      <c r="A8562" s="11"/>
    </row>
    <row r="8563" spans="1:1" ht="15.75" x14ac:dyDescent="0.25">
      <c r="A8563" s="11"/>
    </row>
    <row r="8564" spans="1:1" ht="15.75" x14ac:dyDescent="0.25">
      <c r="A8564" s="11"/>
    </row>
    <row r="8565" spans="1:1" ht="15.75" x14ac:dyDescent="0.25">
      <c r="A8565" s="11"/>
    </row>
    <row r="8566" spans="1:1" ht="15.75" x14ac:dyDescent="0.25">
      <c r="A8566" s="11"/>
    </row>
    <row r="8567" spans="1:1" ht="15.75" x14ac:dyDescent="0.25">
      <c r="A8567" s="11"/>
    </row>
    <row r="8568" spans="1:1" ht="15.75" x14ac:dyDescent="0.25">
      <c r="A8568" s="11"/>
    </row>
    <row r="8569" spans="1:1" ht="15.75" x14ac:dyDescent="0.25">
      <c r="A8569" s="11"/>
    </row>
    <row r="8570" spans="1:1" ht="15.75" x14ac:dyDescent="0.25">
      <c r="A8570" s="11"/>
    </row>
    <row r="8571" spans="1:1" ht="15.75" x14ac:dyDescent="0.25">
      <c r="A8571" s="11"/>
    </row>
    <row r="8572" spans="1:1" ht="15.75" x14ac:dyDescent="0.25">
      <c r="A8572" s="11"/>
    </row>
    <row r="8573" spans="1:1" ht="15.75" x14ac:dyDescent="0.25">
      <c r="A8573" s="11"/>
    </row>
    <row r="8574" spans="1:1" ht="15.75" x14ac:dyDescent="0.25">
      <c r="A8574" s="11"/>
    </row>
    <row r="8575" spans="1:1" ht="15.75" x14ac:dyDescent="0.25">
      <c r="A8575" s="11"/>
    </row>
    <row r="8576" spans="1:1" ht="15.75" x14ac:dyDescent="0.25">
      <c r="A8576" s="11"/>
    </row>
    <row r="8577" spans="1:1" ht="15.75" x14ac:dyDescent="0.25">
      <c r="A8577" s="11"/>
    </row>
    <row r="8578" spans="1:1" ht="15.75" x14ac:dyDescent="0.25">
      <c r="A8578" s="11"/>
    </row>
    <row r="8579" spans="1:1" ht="15.75" x14ac:dyDescent="0.25">
      <c r="A8579" s="11"/>
    </row>
    <row r="8580" spans="1:1" ht="15.75" x14ac:dyDescent="0.25">
      <c r="A8580" s="11"/>
    </row>
    <row r="8581" spans="1:1" ht="15.75" x14ac:dyDescent="0.25">
      <c r="A8581" s="11"/>
    </row>
    <row r="8582" spans="1:1" ht="15.75" x14ac:dyDescent="0.25">
      <c r="A8582" s="11"/>
    </row>
    <row r="8583" spans="1:1" ht="15.75" x14ac:dyDescent="0.25">
      <c r="A8583" s="11"/>
    </row>
    <row r="8584" spans="1:1" ht="15.75" x14ac:dyDescent="0.25">
      <c r="A8584" s="11"/>
    </row>
    <row r="8585" spans="1:1" ht="15.75" x14ac:dyDescent="0.25">
      <c r="A8585" s="11"/>
    </row>
    <row r="8586" spans="1:1" ht="15.75" x14ac:dyDescent="0.25">
      <c r="A8586" s="11"/>
    </row>
    <row r="8587" spans="1:1" ht="15.75" x14ac:dyDescent="0.25">
      <c r="A8587" s="11"/>
    </row>
    <row r="8588" spans="1:1" ht="15.75" x14ac:dyDescent="0.25">
      <c r="A8588" s="11"/>
    </row>
    <row r="8589" spans="1:1" ht="15.75" x14ac:dyDescent="0.25">
      <c r="A8589" s="11"/>
    </row>
    <row r="8590" spans="1:1" ht="15.75" x14ac:dyDescent="0.25">
      <c r="A8590" s="11"/>
    </row>
    <row r="8591" spans="1:1" ht="15.75" x14ac:dyDescent="0.25">
      <c r="A8591" s="11"/>
    </row>
    <row r="8592" spans="1:1" ht="15.75" x14ac:dyDescent="0.25">
      <c r="A8592" s="11"/>
    </row>
    <row r="8593" spans="1:1" ht="15.75" x14ac:dyDescent="0.25">
      <c r="A8593" s="11"/>
    </row>
    <row r="8594" spans="1:1" ht="15.75" x14ac:dyDescent="0.25">
      <c r="A8594" s="11"/>
    </row>
    <row r="8595" spans="1:1" ht="15.75" x14ac:dyDescent="0.25">
      <c r="A8595" s="11"/>
    </row>
    <row r="8596" spans="1:1" ht="15.75" x14ac:dyDescent="0.25">
      <c r="A8596" s="11"/>
    </row>
    <row r="8597" spans="1:1" ht="15.75" x14ac:dyDescent="0.25">
      <c r="A8597" s="11"/>
    </row>
    <row r="8598" spans="1:1" ht="15.75" x14ac:dyDescent="0.25">
      <c r="A8598" s="11"/>
    </row>
    <row r="8599" spans="1:1" ht="15.75" x14ac:dyDescent="0.25">
      <c r="A8599" s="11"/>
    </row>
    <row r="8600" spans="1:1" ht="15.75" x14ac:dyDescent="0.25">
      <c r="A8600" s="11"/>
    </row>
    <row r="8601" spans="1:1" ht="15.75" x14ac:dyDescent="0.25">
      <c r="A8601" s="11"/>
    </row>
    <row r="8602" spans="1:1" ht="15.75" x14ac:dyDescent="0.25">
      <c r="A8602" s="11"/>
    </row>
    <row r="8603" spans="1:1" ht="15.75" x14ac:dyDescent="0.25">
      <c r="A8603" s="11"/>
    </row>
    <row r="8604" spans="1:1" ht="15.75" x14ac:dyDescent="0.25">
      <c r="A8604" s="11"/>
    </row>
    <row r="8605" spans="1:1" ht="15.75" x14ac:dyDescent="0.25">
      <c r="A8605" s="11"/>
    </row>
    <row r="8606" spans="1:1" ht="15.75" x14ac:dyDescent="0.25">
      <c r="A8606" s="11"/>
    </row>
    <row r="8607" spans="1:1" ht="15.75" x14ac:dyDescent="0.25">
      <c r="A8607" s="11"/>
    </row>
    <row r="8608" spans="1:1" ht="15.75" x14ac:dyDescent="0.25">
      <c r="A8608" s="11"/>
    </row>
    <row r="8609" spans="1:1" ht="15.75" x14ac:dyDescent="0.25">
      <c r="A8609" s="11"/>
    </row>
    <row r="8610" spans="1:1" ht="15.75" x14ac:dyDescent="0.25">
      <c r="A8610" s="11"/>
    </row>
    <row r="8611" spans="1:1" ht="15.75" x14ac:dyDescent="0.25">
      <c r="A8611" s="11"/>
    </row>
    <row r="8612" spans="1:1" ht="15.75" x14ac:dyDescent="0.25">
      <c r="A8612" s="11"/>
    </row>
    <row r="8613" spans="1:1" ht="15.75" x14ac:dyDescent="0.25">
      <c r="A8613" s="11"/>
    </row>
    <row r="8614" spans="1:1" ht="15.75" x14ac:dyDescent="0.25">
      <c r="A8614" s="11"/>
    </row>
    <row r="8615" spans="1:1" ht="15.75" x14ac:dyDescent="0.25">
      <c r="A8615" s="11"/>
    </row>
    <row r="8616" spans="1:1" ht="15.75" x14ac:dyDescent="0.25">
      <c r="A8616" s="11"/>
    </row>
    <row r="8617" spans="1:1" ht="15.75" x14ac:dyDescent="0.25">
      <c r="A8617" s="11"/>
    </row>
    <row r="8618" spans="1:1" ht="15.75" x14ac:dyDescent="0.25">
      <c r="A8618" s="11"/>
    </row>
    <row r="8619" spans="1:1" ht="15.75" x14ac:dyDescent="0.25">
      <c r="A8619" s="11"/>
    </row>
    <row r="8620" spans="1:1" ht="15.75" x14ac:dyDescent="0.25">
      <c r="A8620" s="11"/>
    </row>
    <row r="8621" spans="1:1" ht="15.75" x14ac:dyDescent="0.25">
      <c r="A8621" s="11"/>
    </row>
    <row r="8622" spans="1:1" ht="15.75" x14ac:dyDescent="0.25">
      <c r="A8622" s="11"/>
    </row>
    <row r="8623" spans="1:1" ht="15.75" x14ac:dyDescent="0.25">
      <c r="A8623" s="11"/>
    </row>
    <row r="8624" spans="1:1" ht="15.75" x14ac:dyDescent="0.25">
      <c r="A8624" s="11"/>
    </row>
    <row r="8625" spans="1:1" ht="15.75" x14ac:dyDescent="0.25">
      <c r="A8625" s="11"/>
    </row>
    <row r="8626" spans="1:1" ht="15.75" x14ac:dyDescent="0.25">
      <c r="A8626" s="11"/>
    </row>
    <row r="8627" spans="1:1" ht="15.75" x14ac:dyDescent="0.25">
      <c r="A8627" s="11"/>
    </row>
    <row r="8628" spans="1:1" ht="15.75" x14ac:dyDescent="0.25">
      <c r="A8628" s="11"/>
    </row>
    <row r="8629" spans="1:1" ht="15.75" x14ac:dyDescent="0.25">
      <c r="A8629" s="11"/>
    </row>
    <row r="8630" spans="1:1" ht="15.75" x14ac:dyDescent="0.25">
      <c r="A8630" s="11"/>
    </row>
    <row r="8631" spans="1:1" ht="15.75" x14ac:dyDescent="0.25">
      <c r="A8631" s="11"/>
    </row>
    <row r="8632" spans="1:1" ht="15.75" x14ac:dyDescent="0.25">
      <c r="A8632" s="11"/>
    </row>
    <row r="8633" spans="1:1" ht="15.75" x14ac:dyDescent="0.25">
      <c r="A8633" s="11"/>
    </row>
    <row r="8634" spans="1:1" ht="15.75" x14ac:dyDescent="0.25">
      <c r="A8634" s="11"/>
    </row>
    <row r="8635" spans="1:1" ht="15.75" x14ac:dyDescent="0.25">
      <c r="A8635" s="11"/>
    </row>
    <row r="8636" spans="1:1" ht="15.75" x14ac:dyDescent="0.25">
      <c r="A8636" s="11"/>
    </row>
    <row r="8637" spans="1:1" ht="15.75" x14ac:dyDescent="0.25">
      <c r="A8637" s="11"/>
    </row>
    <row r="8638" spans="1:1" ht="15.75" x14ac:dyDescent="0.25">
      <c r="A8638" s="11"/>
    </row>
    <row r="8639" spans="1:1" ht="15.75" x14ac:dyDescent="0.25">
      <c r="A8639" s="11"/>
    </row>
    <row r="8640" spans="1:1" ht="15.75" x14ac:dyDescent="0.25">
      <c r="A8640" s="11"/>
    </row>
    <row r="8641" spans="1:1" ht="15.75" x14ac:dyDescent="0.25">
      <c r="A8641" s="11"/>
    </row>
    <row r="8642" spans="1:1" ht="15.75" x14ac:dyDescent="0.25">
      <c r="A8642" s="11"/>
    </row>
    <row r="8643" spans="1:1" ht="15.75" x14ac:dyDescent="0.25">
      <c r="A8643" s="11"/>
    </row>
    <row r="8644" spans="1:1" ht="15.75" x14ac:dyDescent="0.25">
      <c r="A8644" s="11"/>
    </row>
    <row r="8645" spans="1:1" ht="15.75" x14ac:dyDescent="0.25">
      <c r="A8645" s="11"/>
    </row>
    <row r="8646" spans="1:1" ht="15.75" x14ac:dyDescent="0.25">
      <c r="A8646" s="11"/>
    </row>
    <row r="8647" spans="1:1" ht="15.75" x14ac:dyDescent="0.25">
      <c r="A8647" s="11"/>
    </row>
    <row r="8648" spans="1:1" ht="15.75" x14ac:dyDescent="0.25">
      <c r="A8648" s="11"/>
    </row>
    <row r="8649" spans="1:1" ht="15.75" x14ac:dyDescent="0.25">
      <c r="A8649" s="11"/>
    </row>
    <row r="8650" spans="1:1" ht="15.75" x14ac:dyDescent="0.25">
      <c r="A8650" s="11"/>
    </row>
    <row r="8651" spans="1:1" ht="15.75" x14ac:dyDescent="0.25">
      <c r="A8651" s="11"/>
    </row>
    <row r="8652" spans="1:1" ht="15.75" x14ac:dyDescent="0.25">
      <c r="A8652" s="11"/>
    </row>
    <row r="8653" spans="1:1" ht="15.75" x14ac:dyDescent="0.25">
      <c r="A8653" s="11"/>
    </row>
    <row r="8654" spans="1:1" ht="15.75" x14ac:dyDescent="0.25">
      <c r="A8654" s="11"/>
    </row>
    <row r="8655" spans="1:1" ht="15.75" x14ac:dyDescent="0.25">
      <c r="A8655" s="11"/>
    </row>
    <row r="8656" spans="1:1" ht="15.75" x14ac:dyDescent="0.25">
      <c r="A8656" s="11"/>
    </row>
    <row r="8657" spans="1:1" ht="15.75" x14ac:dyDescent="0.25">
      <c r="A8657" s="11"/>
    </row>
    <row r="8658" spans="1:1" ht="15.75" x14ac:dyDescent="0.25">
      <c r="A8658" s="11"/>
    </row>
    <row r="8659" spans="1:1" ht="15.75" x14ac:dyDescent="0.25">
      <c r="A8659" s="11"/>
    </row>
    <row r="8660" spans="1:1" ht="15.75" x14ac:dyDescent="0.25">
      <c r="A8660" s="11"/>
    </row>
    <row r="8661" spans="1:1" ht="15.75" x14ac:dyDescent="0.25">
      <c r="A8661" s="11"/>
    </row>
    <row r="8662" spans="1:1" ht="15.75" x14ac:dyDescent="0.25">
      <c r="A8662" s="11"/>
    </row>
    <row r="8663" spans="1:1" ht="15.75" x14ac:dyDescent="0.25">
      <c r="A8663" s="11"/>
    </row>
    <row r="8664" spans="1:1" ht="15.75" x14ac:dyDescent="0.25">
      <c r="A8664" s="11"/>
    </row>
    <row r="8665" spans="1:1" ht="15.75" x14ac:dyDescent="0.25">
      <c r="A8665" s="11"/>
    </row>
    <row r="8666" spans="1:1" ht="15.75" x14ac:dyDescent="0.25">
      <c r="A8666" s="11"/>
    </row>
    <row r="8667" spans="1:1" ht="15.75" x14ac:dyDescent="0.25">
      <c r="A8667" s="11"/>
    </row>
    <row r="8668" spans="1:1" ht="15.75" x14ac:dyDescent="0.25">
      <c r="A8668" s="11"/>
    </row>
    <row r="8669" spans="1:1" ht="15.75" x14ac:dyDescent="0.25">
      <c r="A8669" s="11"/>
    </row>
    <row r="8670" spans="1:1" ht="15.75" x14ac:dyDescent="0.25">
      <c r="A8670" s="11"/>
    </row>
    <row r="8671" spans="1:1" ht="15.75" x14ac:dyDescent="0.25">
      <c r="A8671" s="11"/>
    </row>
    <row r="8672" spans="1:1" ht="15.75" x14ac:dyDescent="0.25">
      <c r="A8672" s="11"/>
    </row>
    <row r="8673" spans="1:1" ht="15.75" x14ac:dyDescent="0.25">
      <c r="A8673" s="11"/>
    </row>
    <row r="8674" spans="1:1" ht="15.75" x14ac:dyDescent="0.25">
      <c r="A8674" s="11"/>
    </row>
    <row r="8675" spans="1:1" ht="15.75" x14ac:dyDescent="0.25">
      <c r="A8675" s="11"/>
    </row>
    <row r="8676" spans="1:1" ht="15.75" x14ac:dyDescent="0.25">
      <c r="A8676" s="11"/>
    </row>
    <row r="8677" spans="1:1" ht="15.75" x14ac:dyDescent="0.25">
      <c r="A8677" s="11"/>
    </row>
    <row r="8678" spans="1:1" ht="15.75" x14ac:dyDescent="0.25">
      <c r="A8678" s="11"/>
    </row>
    <row r="8679" spans="1:1" ht="15.75" x14ac:dyDescent="0.25">
      <c r="A8679" s="11"/>
    </row>
    <row r="8680" spans="1:1" ht="15.75" x14ac:dyDescent="0.25">
      <c r="A8680" s="11"/>
    </row>
    <row r="8681" spans="1:1" ht="15.75" x14ac:dyDescent="0.25">
      <c r="A8681" s="11"/>
    </row>
    <row r="8682" spans="1:1" ht="15.75" x14ac:dyDescent="0.25">
      <c r="A8682" s="11"/>
    </row>
    <row r="8683" spans="1:1" ht="15.75" x14ac:dyDescent="0.25">
      <c r="A8683" s="11"/>
    </row>
    <row r="8684" spans="1:1" ht="15.75" x14ac:dyDescent="0.25">
      <c r="A8684" s="11"/>
    </row>
    <row r="8685" spans="1:1" ht="15.75" x14ac:dyDescent="0.25">
      <c r="A8685" s="11"/>
    </row>
    <row r="8686" spans="1:1" ht="15.75" x14ac:dyDescent="0.25">
      <c r="A8686" s="11"/>
    </row>
    <row r="8687" spans="1:1" ht="15.75" x14ac:dyDescent="0.25">
      <c r="A8687" s="11"/>
    </row>
    <row r="8688" spans="1:1" ht="15.75" x14ac:dyDescent="0.25">
      <c r="A8688" s="11"/>
    </row>
    <row r="8689" spans="1:1" ht="15.75" x14ac:dyDescent="0.25">
      <c r="A8689" s="11"/>
    </row>
    <row r="8690" spans="1:1" ht="15.75" x14ac:dyDescent="0.25">
      <c r="A8690" s="11"/>
    </row>
    <row r="8691" spans="1:1" ht="15.75" x14ac:dyDescent="0.25">
      <c r="A8691" s="11"/>
    </row>
    <row r="8692" spans="1:1" ht="15.75" x14ac:dyDescent="0.25">
      <c r="A8692" s="11"/>
    </row>
    <row r="8693" spans="1:1" ht="15.75" x14ac:dyDescent="0.25">
      <c r="A8693" s="11"/>
    </row>
    <row r="8694" spans="1:1" ht="15.75" x14ac:dyDescent="0.25">
      <c r="A8694" s="11"/>
    </row>
    <row r="8695" spans="1:1" ht="15.75" x14ac:dyDescent="0.25">
      <c r="A8695" s="11"/>
    </row>
    <row r="8696" spans="1:1" ht="15.75" x14ac:dyDescent="0.25">
      <c r="A8696" s="11"/>
    </row>
    <row r="8697" spans="1:1" ht="15.75" x14ac:dyDescent="0.25">
      <c r="A8697" s="11"/>
    </row>
    <row r="8698" spans="1:1" ht="15.75" x14ac:dyDescent="0.25">
      <c r="A8698" s="11"/>
    </row>
    <row r="8699" spans="1:1" ht="15.75" x14ac:dyDescent="0.25">
      <c r="A8699" s="11"/>
    </row>
    <row r="8700" spans="1:1" ht="15.75" x14ac:dyDescent="0.25">
      <c r="A8700" s="11"/>
    </row>
    <row r="8701" spans="1:1" ht="15.75" x14ac:dyDescent="0.25">
      <c r="A8701" s="11"/>
    </row>
    <row r="8702" spans="1:1" ht="15.75" x14ac:dyDescent="0.25">
      <c r="A8702" s="11"/>
    </row>
    <row r="8703" spans="1:1" ht="15.75" x14ac:dyDescent="0.25">
      <c r="A8703" s="11"/>
    </row>
    <row r="8704" spans="1:1" ht="15.75" x14ac:dyDescent="0.25">
      <c r="A8704" s="11"/>
    </row>
    <row r="8705" spans="1:1" ht="15.75" x14ac:dyDescent="0.25">
      <c r="A8705" s="11"/>
    </row>
    <row r="8706" spans="1:1" ht="15.75" x14ac:dyDescent="0.25">
      <c r="A8706" s="11"/>
    </row>
    <row r="8707" spans="1:1" ht="15.75" x14ac:dyDescent="0.25">
      <c r="A8707" s="11"/>
    </row>
    <row r="8708" spans="1:1" ht="15.75" x14ac:dyDescent="0.25">
      <c r="A8708" s="11"/>
    </row>
    <row r="8709" spans="1:1" ht="15.75" x14ac:dyDescent="0.25">
      <c r="A8709" s="11"/>
    </row>
    <row r="8710" spans="1:1" ht="15.75" x14ac:dyDescent="0.25">
      <c r="A8710" s="11"/>
    </row>
    <row r="8711" spans="1:1" ht="15.75" x14ac:dyDescent="0.25">
      <c r="A8711" s="11"/>
    </row>
    <row r="8712" spans="1:1" ht="15.75" x14ac:dyDescent="0.25">
      <c r="A8712" s="11"/>
    </row>
    <row r="8713" spans="1:1" ht="15.75" x14ac:dyDescent="0.25">
      <c r="A8713" s="11"/>
    </row>
    <row r="8714" spans="1:1" ht="15.75" x14ac:dyDescent="0.25">
      <c r="A8714" s="11"/>
    </row>
    <row r="8715" spans="1:1" ht="15.75" x14ac:dyDescent="0.25">
      <c r="A8715" s="11"/>
    </row>
    <row r="8716" spans="1:1" ht="15.75" x14ac:dyDescent="0.25">
      <c r="A8716" s="11"/>
    </row>
    <row r="8717" spans="1:1" ht="15.75" x14ac:dyDescent="0.25">
      <c r="A8717" s="11"/>
    </row>
    <row r="8718" spans="1:1" ht="15.75" x14ac:dyDescent="0.25">
      <c r="A8718" s="11"/>
    </row>
    <row r="8719" spans="1:1" ht="15.75" x14ac:dyDescent="0.25">
      <c r="A8719" s="11"/>
    </row>
    <row r="8720" spans="1:1" ht="15.75" x14ac:dyDescent="0.25">
      <c r="A8720" s="11"/>
    </row>
    <row r="8721" spans="1:1" ht="15.75" x14ac:dyDescent="0.25">
      <c r="A8721" s="11"/>
    </row>
    <row r="8722" spans="1:1" ht="15.75" x14ac:dyDescent="0.25">
      <c r="A8722" s="11"/>
    </row>
    <row r="8723" spans="1:1" ht="15.75" x14ac:dyDescent="0.25">
      <c r="A8723" s="11"/>
    </row>
    <row r="8724" spans="1:1" ht="15.75" x14ac:dyDescent="0.25">
      <c r="A8724" s="11"/>
    </row>
    <row r="8725" spans="1:1" ht="15.75" x14ac:dyDescent="0.25">
      <c r="A8725" s="11"/>
    </row>
    <row r="8726" spans="1:1" ht="15.75" x14ac:dyDescent="0.25">
      <c r="A8726" s="11"/>
    </row>
    <row r="8727" spans="1:1" ht="15.75" x14ac:dyDescent="0.25">
      <c r="A8727" s="11"/>
    </row>
    <row r="8728" spans="1:1" ht="15.75" x14ac:dyDescent="0.25">
      <c r="A8728" s="11"/>
    </row>
    <row r="8729" spans="1:1" ht="15.75" x14ac:dyDescent="0.25">
      <c r="A8729" s="11"/>
    </row>
    <row r="8730" spans="1:1" ht="15.75" x14ac:dyDescent="0.25">
      <c r="A8730" s="11"/>
    </row>
    <row r="8731" spans="1:1" ht="15.75" x14ac:dyDescent="0.25">
      <c r="A8731" s="11"/>
    </row>
    <row r="8732" spans="1:1" ht="15.75" x14ac:dyDescent="0.25">
      <c r="A8732" s="11"/>
    </row>
    <row r="8733" spans="1:1" ht="15.75" x14ac:dyDescent="0.25">
      <c r="A8733" s="11"/>
    </row>
    <row r="8734" spans="1:1" ht="15.75" x14ac:dyDescent="0.25">
      <c r="A8734" s="11"/>
    </row>
    <row r="8735" spans="1:1" ht="15.75" x14ac:dyDescent="0.25">
      <c r="A8735" s="11"/>
    </row>
    <row r="8736" spans="1:1" ht="15.75" x14ac:dyDescent="0.25">
      <c r="A8736" s="11"/>
    </row>
    <row r="8737" spans="1:1" ht="15.75" x14ac:dyDescent="0.25">
      <c r="A8737" s="11"/>
    </row>
    <row r="8738" spans="1:1" ht="15.75" x14ac:dyDescent="0.25">
      <c r="A8738" s="11"/>
    </row>
    <row r="8739" spans="1:1" ht="15.75" x14ac:dyDescent="0.25">
      <c r="A8739" s="11"/>
    </row>
    <row r="8740" spans="1:1" ht="15.75" x14ac:dyDescent="0.25">
      <c r="A8740" s="11"/>
    </row>
    <row r="8741" spans="1:1" ht="15.75" x14ac:dyDescent="0.25">
      <c r="A8741" s="11"/>
    </row>
    <row r="8742" spans="1:1" ht="15.75" x14ac:dyDescent="0.25">
      <c r="A8742" s="11"/>
    </row>
    <row r="8743" spans="1:1" ht="15.75" x14ac:dyDescent="0.25">
      <c r="A8743" s="11"/>
    </row>
    <row r="8744" spans="1:1" ht="15.75" x14ac:dyDescent="0.25">
      <c r="A8744" s="11"/>
    </row>
    <row r="8745" spans="1:1" ht="15.75" x14ac:dyDescent="0.25">
      <c r="A8745" s="11"/>
    </row>
    <row r="8746" spans="1:1" ht="15.75" x14ac:dyDescent="0.25">
      <c r="A8746" s="11"/>
    </row>
    <row r="8747" spans="1:1" ht="15.75" x14ac:dyDescent="0.25">
      <c r="A8747" s="11"/>
    </row>
    <row r="8748" spans="1:1" ht="15.75" x14ac:dyDescent="0.25">
      <c r="A8748" s="11"/>
    </row>
    <row r="8749" spans="1:1" ht="15.75" x14ac:dyDescent="0.25">
      <c r="A8749" s="11"/>
    </row>
    <row r="8750" spans="1:1" ht="15.75" x14ac:dyDescent="0.25">
      <c r="A8750" s="11"/>
    </row>
    <row r="8751" spans="1:1" ht="15.75" x14ac:dyDescent="0.25">
      <c r="A8751" s="11"/>
    </row>
    <row r="8752" spans="1:1" ht="15.75" x14ac:dyDescent="0.25">
      <c r="A8752" s="11"/>
    </row>
    <row r="8753" spans="1:1" ht="15.75" x14ac:dyDescent="0.25">
      <c r="A8753" s="11"/>
    </row>
    <row r="8754" spans="1:1" ht="15.75" x14ac:dyDescent="0.25">
      <c r="A8754" s="11"/>
    </row>
    <row r="8755" spans="1:1" ht="15.75" x14ac:dyDescent="0.25">
      <c r="A8755" s="11"/>
    </row>
    <row r="8756" spans="1:1" ht="15.75" x14ac:dyDescent="0.25">
      <c r="A8756" s="11"/>
    </row>
    <row r="8757" spans="1:1" ht="15.75" x14ac:dyDescent="0.25">
      <c r="A8757" s="11"/>
    </row>
    <row r="8758" spans="1:1" ht="15.75" x14ac:dyDescent="0.25">
      <c r="A8758" s="11"/>
    </row>
    <row r="8759" spans="1:1" ht="15.75" x14ac:dyDescent="0.25">
      <c r="A8759" s="11"/>
    </row>
    <row r="8760" spans="1:1" ht="15.75" x14ac:dyDescent="0.25">
      <c r="A8760" s="11"/>
    </row>
    <row r="8761" spans="1:1" ht="15.75" x14ac:dyDescent="0.25">
      <c r="A8761" s="11"/>
    </row>
    <row r="8762" spans="1:1" ht="15.75" x14ac:dyDescent="0.25">
      <c r="A8762" s="11"/>
    </row>
    <row r="8763" spans="1:1" ht="15.75" x14ac:dyDescent="0.25">
      <c r="A8763" s="11"/>
    </row>
    <row r="8764" spans="1:1" ht="15.75" x14ac:dyDescent="0.25">
      <c r="A8764" s="11"/>
    </row>
    <row r="8765" spans="1:1" ht="15.75" x14ac:dyDescent="0.25">
      <c r="A8765" s="11"/>
    </row>
    <row r="8766" spans="1:1" ht="15.75" x14ac:dyDescent="0.25">
      <c r="A8766" s="11"/>
    </row>
    <row r="8767" spans="1:1" ht="15.75" x14ac:dyDescent="0.25">
      <c r="A8767" s="11"/>
    </row>
    <row r="8768" spans="1:1" ht="15.75" x14ac:dyDescent="0.25">
      <c r="A8768" s="11"/>
    </row>
    <row r="8769" spans="1:1" ht="15.75" x14ac:dyDescent="0.25">
      <c r="A8769" s="11"/>
    </row>
    <row r="8770" spans="1:1" ht="15.75" x14ac:dyDescent="0.25">
      <c r="A8770" s="11"/>
    </row>
    <row r="8771" spans="1:1" ht="15.75" x14ac:dyDescent="0.25">
      <c r="A8771" s="11"/>
    </row>
    <row r="8772" spans="1:1" ht="15.75" x14ac:dyDescent="0.25">
      <c r="A8772" s="11"/>
    </row>
    <row r="8773" spans="1:1" ht="15.75" x14ac:dyDescent="0.25">
      <c r="A8773" s="11"/>
    </row>
    <row r="8774" spans="1:1" ht="15.75" x14ac:dyDescent="0.25">
      <c r="A8774" s="11"/>
    </row>
    <row r="8775" spans="1:1" ht="15.75" x14ac:dyDescent="0.25">
      <c r="A8775" s="11"/>
    </row>
    <row r="8776" spans="1:1" ht="15.75" x14ac:dyDescent="0.25">
      <c r="A8776" s="11"/>
    </row>
    <row r="8777" spans="1:1" ht="15.75" x14ac:dyDescent="0.25">
      <c r="A8777" s="11"/>
    </row>
    <row r="8778" spans="1:1" ht="15.75" x14ac:dyDescent="0.25">
      <c r="A8778" s="11"/>
    </row>
    <row r="8779" spans="1:1" ht="15.75" x14ac:dyDescent="0.25">
      <c r="A8779" s="11"/>
    </row>
    <row r="8780" spans="1:1" ht="15.75" x14ac:dyDescent="0.25">
      <c r="A8780" s="11"/>
    </row>
    <row r="8781" spans="1:1" ht="15.75" x14ac:dyDescent="0.25">
      <c r="A8781" s="11"/>
    </row>
    <row r="8782" spans="1:1" ht="15.75" x14ac:dyDescent="0.25">
      <c r="A8782" s="11"/>
    </row>
    <row r="8783" spans="1:1" ht="15.75" x14ac:dyDescent="0.25">
      <c r="A8783" s="11"/>
    </row>
    <row r="8784" spans="1:1" ht="15.75" x14ac:dyDescent="0.25">
      <c r="A8784" s="11"/>
    </row>
    <row r="8785" spans="1:1" ht="15.75" x14ac:dyDescent="0.25">
      <c r="A8785" s="11"/>
    </row>
    <row r="8786" spans="1:1" ht="15.75" x14ac:dyDescent="0.25">
      <c r="A8786" s="11"/>
    </row>
    <row r="8787" spans="1:1" ht="15.75" x14ac:dyDescent="0.25">
      <c r="A8787" s="11"/>
    </row>
    <row r="8788" spans="1:1" ht="15.75" x14ac:dyDescent="0.25">
      <c r="A8788" s="11"/>
    </row>
    <row r="8789" spans="1:1" ht="15.75" x14ac:dyDescent="0.25">
      <c r="A8789" s="11"/>
    </row>
    <row r="8790" spans="1:1" ht="15.75" x14ac:dyDescent="0.25">
      <c r="A8790" s="11"/>
    </row>
    <row r="8791" spans="1:1" ht="15.75" x14ac:dyDescent="0.25">
      <c r="A8791" s="11"/>
    </row>
    <row r="8792" spans="1:1" ht="15.75" x14ac:dyDescent="0.25">
      <c r="A8792" s="11"/>
    </row>
    <row r="8793" spans="1:1" ht="15.75" x14ac:dyDescent="0.25">
      <c r="A8793" s="11"/>
    </row>
    <row r="8794" spans="1:1" ht="15.75" x14ac:dyDescent="0.25">
      <c r="A8794" s="11"/>
    </row>
    <row r="8795" spans="1:1" ht="15.75" x14ac:dyDescent="0.25">
      <c r="A8795" s="11"/>
    </row>
    <row r="8796" spans="1:1" ht="15.75" x14ac:dyDescent="0.25">
      <c r="A8796" s="11"/>
    </row>
    <row r="8797" spans="1:1" ht="15.75" x14ac:dyDescent="0.25">
      <c r="A8797" s="11"/>
    </row>
    <row r="8798" spans="1:1" ht="15.75" x14ac:dyDescent="0.25">
      <c r="A8798" s="11"/>
    </row>
    <row r="8799" spans="1:1" ht="15.75" x14ac:dyDescent="0.25">
      <c r="A8799" s="11"/>
    </row>
    <row r="8800" spans="1:1" ht="15.75" x14ac:dyDescent="0.25">
      <c r="A8800" s="11"/>
    </row>
    <row r="8801" spans="1:1" ht="15.75" x14ac:dyDescent="0.25">
      <c r="A8801" s="11"/>
    </row>
    <row r="8802" spans="1:1" ht="15.75" x14ac:dyDescent="0.25">
      <c r="A8802" s="11"/>
    </row>
    <row r="8803" spans="1:1" ht="15.75" x14ac:dyDescent="0.25">
      <c r="A8803" s="11"/>
    </row>
    <row r="8804" spans="1:1" ht="15.75" x14ac:dyDescent="0.25">
      <c r="A8804" s="11"/>
    </row>
    <row r="8805" spans="1:1" ht="15.75" x14ac:dyDescent="0.25">
      <c r="A8805" s="11"/>
    </row>
    <row r="8806" spans="1:1" ht="15.75" x14ac:dyDescent="0.25">
      <c r="A8806" s="11"/>
    </row>
    <row r="8807" spans="1:1" ht="15.75" x14ac:dyDescent="0.25">
      <c r="A8807" s="11"/>
    </row>
    <row r="8808" spans="1:1" ht="15.75" x14ac:dyDescent="0.25">
      <c r="A8808" s="11"/>
    </row>
    <row r="8809" spans="1:1" ht="15.75" x14ac:dyDescent="0.25">
      <c r="A8809" s="11"/>
    </row>
    <row r="8810" spans="1:1" ht="15.75" x14ac:dyDescent="0.25">
      <c r="A8810" s="11"/>
    </row>
    <row r="8811" spans="1:1" ht="15.75" x14ac:dyDescent="0.25">
      <c r="A8811" s="11"/>
    </row>
    <row r="8812" spans="1:1" ht="15.75" x14ac:dyDescent="0.25">
      <c r="A8812" s="11"/>
    </row>
    <row r="8813" spans="1:1" ht="15.75" x14ac:dyDescent="0.25">
      <c r="A8813" s="11"/>
    </row>
    <row r="8814" spans="1:1" ht="15.75" x14ac:dyDescent="0.25">
      <c r="A8814" s="11"/>
    </row>
    <row r="8815" spans="1:1" ht="15.75" x14ac:dyDescent="0.25">
      <c r="A8815" s="11"/>
    </row>
    <row r="8816" spans="1:1" ht="15.75" x14ac:dyDescent="0.25">
      <c r="A8816" s="11"/>
    </row>
    <row r="8817" spans="1:1" ht="15.75" x14ac:dyDescent="0.25">
      <c r="A8817" s="11"/>
    </row>
    <row r="8818" spans="1:1" ht="15.75" x14ac:dyDescent="0.25">
      <c r="A8818" s="11"/>
    </row>
    <row r="8819" spans="1:1" ht="15.75" x14ac:dyDescent="0.25">
      <c r="A8819" s="11"/>
    </row>
    <row r="8820" spans="1:1" ht="15.75" x14ac:dyDescent="0.25">
      <c r="A8820" s="11"/>
    </row>
    <row r="8821" spans="1:1" ht="15.75" x14ac:dyDescent="0.25">
      <c r="A8821" s="11"/>
    </row>
    <row r="8822" spans="1:1" ht="15.75" x14ac:dyDescent="0.25">
      <c r="A8822" s="11"/>
    </row>
    <row r="8823" spans="1:1" ht="15.75" x14ac:dyDescent="0.25">
      <c r="A8823" s="11"/>
    </row>
    <row r="8824" spans="1:1" ht="15.75" x14ac:dyDescent="0.25">
      <c r="A8824" s="11"/>
    </row>
    <row r="8825" spans="1:1" ht="15.75" x14ac:dyDescent="0.25">
      <c r="A8825" s="11"/>
    </row>
    <row r="8826" spans="1:1" ht="15.75" x14ac:dyDescent="0.25">
      <c r="A8826" s="11"/>
    </row>
    <row r="8827" spans="1:1" ht="15.75" x14ac:dyDescent="0.25">
      <c r="A8827" s="11"/>
    </row>
    <row r="8828" spans="1:1" ht="15.75" x14ac:dyDescent="0.25">
      <c r="A8828" s="11"/>
    </row>
    <row r="8829" spans="1:1" ht="15.75" x14ac:dyDescent="0.25">
      <c r="A8829" s="11"/>
    </row>
    <row r="8830" spans="1:1" ht="15.75" x14ac:dyDescent="0.25">
      <c r="A8830" s="11"/>
    </row>
    <row r="8831" spans="1:1" ht="15.75" x14ac:dyDescent="0.25">
      <c r="A8831" s="11"/>
    </row>
    <row r="8832" spans="1:1" ht="15.75" x14ac:dyDescent="0.25">
      <c r="A8832" s="11"/>
    </row>
    <row r="8833" spans="1:1" ht="15.75" x14ac:dyDescent="0.25">
      <c r="A8833" s="11"/>
    </row>
    <row r="8834" spans="1:1" ht="15.75" x14ac:dyDescent="0.25">
      <c r="A8834" s="11"/>
    </row>
    <row r="8835" spans="1:1" ht="15.75" x14ac:dyDescent="0.25">
      <c r="A8835" s="11"/>
    </row>
    <row r="8836" spans="1:1" ht="15.75" x14ac:dyDescent="0.25">
      <c r="A8836" s="11"/>
    </row>
    <row r="8837" spans="1:1" ht="15.75" x14ac:dyDescent="0.25">
      <c r="A8837" s="11"/>
    </row>
    <row r="8838" spans="1:1" ht="15.75" x14ac:dyDescent="0.25">
      <c r="A8838" s="11"/>
    </row>
    <row r="8839" spans="1:1" ht="15.75" x14ac:dyDescent="0.25">
      <c r="A8839" s="11"/>
    </row>
    <row r="8840" spans="1:1" ht="15.75" x14ac:dyDescent="0.25">
      <c r="A8840" s="11"/>
    </row>
    <row r="8841" spans="1:1" ht="15.75" x14ac:dyDescent="0.25">
      <c r="A8841" s="11"/>
    </row>
    <row r="8842" spans="1:1" ht="15.75" x14ac:dyDescent="0.25">
      <c r="A8842" s="11"/>
    </row>
    <row r="8843" spans="1:1" ht="15.75" x14ac:dyDescent="0.25">
      <c r="A8843" s="11"/>
    </row>
    <row r="8844" spans="1:1" ht="15.75" x14ac:dyDescent="0.25">
      <c r="A8844" s="11"/>
    </row>
    <row r="8845" spans="1:1" ht="15.75" x14ac:dyDescent="0.25">
      <c r="A8845" s="11"/>
    </row>
    <row r="8846" spans="1:1" ht="15.75" x14ac:dyDescent="0.25">
      <c r="A8846" s="11"/>
    </row>
    <row r="8847" spans="1:1" ht="15.75" x14ac:dyDescent="0.25">
      <c r="A8847" s="11"/>
    </row>
    <row r="8848" spans="1:1" ht="15.75" x14ac:dyDescent="0.25">
      <c r="A8848" s="11"/>
    </row>
    <row r="8849" spans="1:1" ht="15.75" x14ac:dyDescent="0.25">
      <c r="A8849" s="11"/>
    </row>
    <row r="8850" spans="1:1" ht="15.75" x14ac:dyDescent="0.25">
      <c r="A8850" s="11"/>
    </row>
    <row r="8851" spans="1:1" ht="15.75" x14ac:dyDescent="0.25">
      <c r="A8851" s="11"/>
    </row>
    <row r="8852" spans="1:1" ht="15.75" x14ac:dyDescent="0.25">
      <c r="A8852" s="11"/>
    </row>
    <row r="8853" spans="1:1" ht="15.75" x14ac:dyDescent="0.25">
      <c r="A8853" s="11"/>
    </row>
    <row r="8854" spans="1:1" ht="15.75" x14ac:dyDescent="0.25">
      <c r="A8854" s="11"/>
    </row>
    <row r="8855" spans="1:1" ht="15.75" x14ac:dyDescent="0.25">
      <c r="A8855" s="11"/>
    </row>
    <row r="8856" spans="1:1" ht="15.75" x14ac:dyDescent="0.25">
      <c r="A8856" s="11"/>
    </row>
    <row r="8857" spans="1:1" ht="15.75" x14ac:dyDescent="0.25">
      <c r="A8857" s="11"/>
    </row>
    <row r="8858" spans="1:1" ht="15.75" x14ac:dyDescent="0.25">
      <c r="A8858" s="11"/>
    </row>
    <row r="8859" spans="1:1" ht="15.75" x14ac:dyDescent="0.25">
      <c r="A8859" s="11"/>
    </row>
    <row r="8860" spans="1:1" ht="15.75" x14ac:dyDescent="0.25">
      <c r="A8860" s="11"/>
    </row>
    <row r="8861" spans="1:1" ht="15.75" x14ac:dyDescent="0.25">
      <c r="A8861" s="11"/>
    </row>
    <row r="8862" spans="1:1" ht="15.75" x14ac:dyDescent="0.25">
      <c r="A8862" s="11"/>
    </row>
    <row r="8863" spans="1:1" ht="15.75" x14ac:dyDescent="0.25">
      <c r="A8863" s="11"/>
    </row>
    <row r="8864" spans="1:1" ht="15.75" x14ac:dyDescent="0.25">
      <c r="A8864" s="11"/>
    </row>
    <row r="8865" spans="1:1" ht="15.75" x14ac:dyDescent="0.25">
      <c r="A8865" s="11"/>
    </row>
    <row r="8866" spans="1:1" ht="15.75" x14ac:dyDescent="0.25">
      <c r="A8866" s="11"/>
    </row>
    <row r="8867" spans="1:1" ht="15.75" x14ac:dyDescent="0.25">
      <c r="A8867" s="11"/>
    </row>
    <row r="8868" spans="1:1" ht="15.75" x14ac:dyDescent="0.25">
      <c r="A8868" s="11"/>
    </row>
    <row r="8869" spans="1:1" ht="15.75" x14ac:dyDescent="0.25">
      <c r="A8869" s="11"/>
    </row>
    <row r="8870" spans="1:1" ht="15.75" x14ac:dyDescent="0.25">
      <c r="A8870" s="11"/>
    </row>
    <row r="8871" spans="1:1" ht="15.75" x14ac:dyDescent="0.25">
      <c r="A8871" s="11"/>
    </row>
    <row r="8872" spans="1:1" ht="15.75" x14ac:dyDescent="0.25">
      <c r="A8872" s="11"/>
    </row>
    <row r="8873" spans="1:1" ht="15.75" x14ac:dyDescent="0.25">
      <c r="A8873" s="11"/>
    </row>
    <row r="8874" spans="1:1" ht="15.75" x14ac:dyDescent="0.25">
      <c r="A8874" s="11"/>
    </row>
    <row r="8875" spans="1:1" ht="15.75" x14ac:dyDescent="0.25">
      <c r="A8875" s="11"/>
    </row>
    <row r="8876" spans="1:1" ht="15.75" x14ac:dyDescent="0.25">
      <c r="A8876" s="11"/>
    </row>
    <row r="8877" spans="1:1" ht="15.75" x14ac:dyDescent="0.25">
      <c r="A8877" s="11"/>
    </row>
    <row r="8878" spans="1:1" ht="15.75" x14ac:dyDescent="0.25">
      <c r="A8878" s="11"/>
    </row>
    <row r="8879" spans="1:1" ht="15.75" x14ac:dyDescent="0.25">
      <c r="A8879" s="11"/>
    </row>
    <row r="8880" spans="1:1" ht="15.75" x14ac:dyDescent="0.25">
      <c r="A8880" s="11"/>
    </row>
    <row r="8881" spans="1:1" ht="15.75" x14ac:dyDescent="0.25">
      <c r="A8881" s="11"/>
    </row>
    <row r="8882" spans="1:1" ht="15.75" x14ac:dyDescent="0.25">
      <c r="A8882" s="11"/>
    </row>
    <row r="8883" spans="1:1" ht="15.75" x14ac:dyDescent="0.25">
      <c r="A8883" s="11"/>
    </row>
    <row r="8884" spans="1:1" ht="15.75" x14ac:dyDescent="0.25">
      <c r="A8884" s="11"/>
    </row>
    <row r="8885" spans="1:1" ht="15.75" x14ac:dyDescent="0.25">
      <c r="A8885" s="11"/>
    </row>
    <row r="8886" spans="1:1" ht="15.75" x14ac:dyDescent="0.25">
      <c r="A8886" s="11"/>
    </row>
    <row r="8887" spans="1:1" ht="15.75" x14ac:dyDescent="0.25">
      <c r="A8887" s="11"/>
    </row>
    <row r="8888" spans="1:1" ht="15.75" x14ac:dyDescent="0.25">
      <c r="A8888" s="11"/>
    </row>
    <row r="8889" spans="1:1" ht="15.75" x14ac:dyDescent="0.25">
      <c r="A8889" s="11"/>
    </row>
    <row r="8890" spans="1:1" ht="15.75" x14ac:dyDescent="0.25">
      <c r="A8890" s="11"/>
    </row>
    <row r="8891" spans="1:1" ht="15.75" x14ac:dyDescent="0.25">
      <c r="A8891" s="11"/>
    </row>
    <row r="8892" spans="1:1" ht="15.75" x14ac:dyDescent="0.25">
      <c r="A8892" s="11"/>
    </row>
    <row r="8893" spans="1:1" ht="15.75" x14ac:dyDescent="0.25">
      <c r="A8893" s="11"/>
    </row>
    <row r="8894" spans="1:1" ht="15.75" x14ac:dyDescent="0.25">
      <c r="A8894" s="11"/>
    </row>
    <row r="8895" spans="1:1" ht="15.75" x14ac:dyDescent="0.25">
      <c r="A8895" s="11"/>
    </row>
    <row r="8896" spans="1:1" ht="15.75" x14ac:dyDescent="0.25">
      <c r="A8896" s="11"/>
    </row>
    <row r="8897" spans="1:1" ht="15.75" x14ac:dyDescent="0.25">
      <c r="A8897" s="11"/>
    </row>
    <row r="8898" spans="1:1" ht="15.75" x14ac:dyDescent="0.25">
      <c r="A8898" s="11"/>
    </row>
    <row r="8899" spans="1:1" ht="15.75" x14ac:dyDescent="0.25">
      <c r="A8899" s="11"/>
    </row>
    <row r="8900" spans="1:1" ht="15.75" x14ac:dyDescent="0.25">
      <c r="A8900" s="11"/>
    </row>
    <row r="8901" spans="1:1" ht="15.75" x14ac:dyDescent="0.25">
      <c r="A8901" s="11"/>
    </row>
    <row r="8902" spans="1:1" ht="15.75" x14ac:dyDescent="0.25">
      <c r="A8902" s="11"/>
    </row>
    <row r="8903" spans="1:1" ht="15.75" x14ac:dyDescent="0.25">
      <c r="A8903" s="11"/>
    </row>
    <row r="8904" spans="1:1" ht="15.75" x14ac:dyDescent="0.25">
      <c r="A8904" s="11"/>
    </row>
    <row r="8905" spans="1:1" ht="15.75" x14ac:dyDescent="0.25">
      <c r="A8905" s="11"/>
    </row>
    <row r="8906" spans="1:1" ht="15.75" x14ac:dyDescent="0.25">
      <c r="A8906" s="11"/>
    </row>
    <row r="8907" spans="1:1" ht="15.75" x14ac:dyDescent="0.25">
      <c r="A8907" s="11"/>
    </row>
    <row r="8908" spans="1:1" ht="15.75" x14ac:dyDescent="0.25">
      <c r="A8908" s="11"/>
    </row>
    <row r="8909" spans="1:1" ht="15.75" x14ac:dyDescent="0.25">
      <c r="A8909" s="11"/>
    </row>
    <row r="8910" spans="1:1" ht="15.75" x14ac:dyDescent="0.25">
      <c r="A8910" s="11"/>
    </row>
    <row r="8911" spans="1:1" ht="15.75" x14ac:dyDescent="0.25">
      <c r="A8911" s="11"/>
    </row>
    <row r="8912" spans="1:1" ht="15.75" x14ac:dyDescent="0.25">
      <c r="A8912" s="11"/>
    </row>
    <row r="8913" spans="1:1" ht="15.75" x14ac:dyDescent="0.25">
      <c r="A8913" s="11"/>
    </row>
    <row r="8914" spans="1:1" ht="15.75" x14ac:dyDescent="0.25">
      <c r="A8914" s="11"/>
    </row>
    <row r="8915" spans="1:1" ht="15.75" x14ac:dyDescent="0.25">
      <c r="A8915" s="11"/>
    </row>
    <row r="8916" spans="1:1" ht="15.75" x14ac:dyDescent="0.25">
      <c r="A8916" s="11"/>
    </row>
    <row r="8917" spans="1:1" ht="15.75" x14ac:dyDescent="0.25">
      <c r="A8917" s="11"/>
    </row>
    <row r="8918" spans="1:1" ht="15.75" x14ac:dyDescent="0.25">
      <c r="A8918" s="11"/>
    </row>
    <row r="8919" spans="1:1" ht="15.75" x14ac:dyDescent="0.25">
      <c r="A8919" s="11"/>
    </row>
    <row r="8920" spans="1:1" ht="15.75" x14ac:dyDescent="0.25">
      <c r="A8920" s="11"/>
    </row>
    <row r="8921" spans="1:1" ht="15.75" x14ac:dyDescent="0.25">
      <c r="A8921" s="11"/>
    </row>
    <row r="8922" spans="1:1" ht="15.75" x14ac:dyDescent="0.25">
      <c r="A8922" s="11"/>
    </row>
    <row r="8923" spans="1:1" ht="15.75" x14ac:dyDescent="0.25">
      <c r="A8923" s="11"/>
    </row>
    <row r="8924" spans="1:1" ht="15.75" x14ac:dyDescent="0.25">
      <c r="A8924" s="11"/>
    </row>
    <row r="8925" spans="1:1" ht="15.75" x14ac:dyDescent="0.25">
      <c r="A8925" s="11"/>
    </row>
    <row r="8926" spans="1:1" ht="15.75" x14ac:dyDescent="0.25">
      <c r="A8926" s="11"/>
    </row>
    <row r="8927" spans="1:1" ht="15.75" x14ac:dyDescent="0.25">
      <c r="A8927" s="11"/>
    </row>
    <row r="8928" spans="1:1" ht="15.75" x14ac:dyDescent="0.25">
      <c r="A8928" s="11"/>
    </row>
    <row r="8929" spans="1:1" ht="15.75" x14ac:dyDescent="0.25">
      <c r="A8929" s="11"/>
    </row>
    <row r="8930" spans="1:1" ht="15.75" x14ac:dyDescent="0.25">
      <c r="A8930" s="11"/>
    </row>
    <row r="8931" spans="1:1" ht="15.75" x14ac:dyDescent="0.25">
      <c r="A8931" s="11"/>
    </row>
    <row r="8932" spans="1:1" ht="15.75" x14ac:dyDescent="0.25">
      <c r="A8932" s="11"/>
    </row>
    <row r="8933" spans="1:1" ht="15.75" x14ac:dyDescent="0.25">
      <c r="A8933" s="11"/>
    </row>
    <row r="8934" spans="1:1" ht="15.75" x14ac:dyDescent="0.25">
      <c r="A8934" s="11"/>
    </row>
    <row r="8935" spans="1:1" ht="15.75" x14ac:dyDescent="0.25">
      <c r="A8935" s="11"/>
    </row>
    <row r="8936" spans="1:1" ht="15.75" x14ac:dyDescent="0.25">
      <c r="A8936" s="11"/>
    </row>
    <row r="8937" spans="1:1" ht="15.75" x14ac:dyDescent="0.25">
      <c r="A8937" s="11"/>
    </row>
    <row r="8938" spans="1:1" ht="15.75" x14ac:dyDescent="0.25">
      <c r="A8938" s="11"/>
    </row>
    <row r="8939" spans="1:1" ht="15.75" x14ac:dyDescent="0.25">
      <c r="A8939" s="11"/>
    </row>
    <row r="8940" spans="1:1" ht="15.75" x14ac:dyDescent="0.25">
      <c r="A8940" s="11"/>
    </row>
    <row r="8941" spans="1:1" ht="15.75" x14ac:dyDescent="0.25">
      <c r="A8941" s="11"/>
    </row>
    <row r="8942" spans="1:1" ht="15.75" x14ac:dyDescent="0.25">
      <c r="A8942" s="11"/>
    </row>
    <row r="8943" spans="1:1" ht="15.75" x14ac:dyDescent="0.25">
      <c r="A8943" s="11"/>
    </row>
    <row r="8944" spans="1:1" ht="15.75" x14ac:dyDescent="0.25">
      <c r="A8944" s="11"/>
    </row>
    <row r="8945" spans="1:1" ht="15.75" x14ac:dyDescent="0.25">
      <c r="A8945" s="11"/>
    </row>
    <row r="8946" spans="1:1" ht="15.75" x14ac:dyDescent="0.25">
      <c r="A8946" s="11"/>
    </row>
    <row r="8947" spans="1:1" ht="15.75" x14ac:dyDescent="0.25">
      <c r="A8947" s="11"/>
    </row>
    <row r="8948" spans="1:1" ht="15.75" x14ac:dyDescent="0.25">
      <c r="A8948" s="11"/>
    </row>
    <row r="8949" spans="1:1" ht="15.75" x14ac:dyDescent="0.25">
      <c r="A8949" s="11"/>
    </row>
    <row r="8950" spans="1:1" ht="15.75" x14ac:dyDescent="0.25">
      <c r="A8950" s="11"/>
    </row>
    <row r="8951" spans="1:1" ht="15.75" x14ac:dyDescent="0.25">
      <c r="A8951" s="11"/>
    </row>
    <row r="8952" spans="1:1" ht="15.75" x14ac:dyDescent="0.25">
      <c r="A8952" s="11"/>
    </row>
    <row r="8953" spans="1:1" ht="15.75" x14ac:dyDescent="0.25">
      <c r="A8953" s="11"/>
    </row>
    <row r="8954" spans="1:1" ht="15.75" x14ac:dyDescent="0.25">
      <c r="A8954" s="11"/>
    </row>
    <row r="8955" spans="1:1" ht="15.75" x14ac:dyDescent="0.25">
      <c r="A8955" s="11"/>
    </row>
    <row r="8956" spans="1:1" ht="15.75" x14ac:dyDescent="0.25">
      <c r="A8956" s="11"/>
    </row>
    <row r="8957" spans="1:1" ht="15.75" x14ac:dyDescent="0.25">
      <c r="A8957" s="11"/>
    </row>
    <row r="8958" spans="1:1" ht="15.75" x14ac:dyDescent="0.25">
      <c r="A8958" s="11"/>
    </row>
    <row r="8959" spans="1:1" ht="15.75" x14ac:dyDescent="0.25">
      <c r="A8959" s="11"/>
    </row>
    <row r="8960" spans="1:1" ht="15.75" x14ac:dyDescent="0.25">
      <c r="A8960" s="11"/>
    </row>
    <row r="8961" spans="1:1" ht="15.75" x14ac:dyDescent="0.25">
      <c r="A8961" s="11"/>
    </row>
    <row r="8962" spans="1:1" ht="15.75" x14ac:dyDescent="0.25">
      <c r="A8962" s="11"/>
    </row>
    <row r="8963" spans="1:1" ht="15.75" x14ac:dyDescent="0.25">
      <c r="A8963" s="11"/>
    </row>
    <row r="8964" spans="1:1" ht="15.75" x14ac:dyDescent="0.25">
      <c r="A8964" s="11"/>
    </row>
    <row r="8965" spans="1:1" ht="15.75" x14ac:dyDescent="0.25">
      <c r="A8965" s="11"/>
    </row>
    <row r="8966" spans="1:1" ht="15.75" x14ac:dyDescent="0.25">
      <c r="A8966" s="11"/>
    </row>
    <row r="8967" spans="1:1" ht="15.75" x14ac:dyDescent="0.25">
      <c r="A8967" s="11"/>
    </row>
    <row r="8968" spans="1:1" ht="15.75" x14ac:dyDescent="0.25">
      <c r="A8968" s="11"/>
    </row>
    <row r="8969" spans="1:1" ht="15.75" x14ac:dyDescent="0.25">
      <c r="A8969" s="11"/>
    </row>
    <row r="8970" spans="1:1" ht="15.75" x14ac:dyDescent="0.25">
      <c r="A8970" s="11"/>
    </row>
    <row r="8971" spans="1:1" ht="15.75" x14ac:dyDescent="0.25">
      <c r="A8971" s="11"/>
    </row>
    <row r="8972" spans="1:1" ht="15.75" x14ac:dyDescent="0.25">
      <c r="A8972" s="11"/>
    </row>
    <row r="8973" spans="1:1" ht="15.75" x14ac:dyDescent="0.25">
      <c r="A8973" s="11"/>
    </row>
    <row r="8974" spans="1:1" ht="15.75" x14ac:dyDescent="0.25">
      <c r="A8974" s="11"/>
    </row>
    <row r="8975" spans="1:1" ht="15.75" x14ac:dyDescent="0.25">
      <c r="A8975" s="11"/>
    </row>
    <row r="8976" spans="1:1" ht="15.75" x14ac:dyDescent="0.25">
      <c r="A8976" s="11"/>
    </row>
    <row r="8977" spans="1:1" ht="15.75" x14ac:dyDescent="0.25">
      <c r="A8977" s="11"/>
    </row>
    <row r="8978" spans="1:1" ht="15.75" x14ac:dyDescent="0.25">
      <c r="A8978" s="11"/>
    </row>
    <row r="8979" spans="1:1" ht="15.75" x14ac:dyDescent="0.25">
      <c r="A8979" s="11"/>
    </row>
    <row r="8980" spans="1:1" ht="15.75" x14ac:dyDescent="0.25">
      <c r="A8980" s="11"/>
    </row>
    <row r="8981" spans="1:1" ht="15.75" x14ac:dyDescent="0.25">
      <c r="A8981" s="11"/>
    </row>
    <row r="8982" spans="1:1" ht="15.75" x14ac:dyDescent="0.25">
      <c r="A8982" s="11"/>
    </row>
    <row r="8983" spans="1:1" ht="15.75" x14ac:dyDescent="0.25">
      <c r="A8983" s="11"/>
    </row>
    <row r="8984" spans="1:1" ht="15.75" x14ac:dyDescent="0.25">
      <c r="A8984" s="11"/>
    </row>
    <row r="8985" spans="1:1" ht="15.75" x14ac:dyDescent="0.25">
      <c r="A8985" s="11"/>
    </row>
    <row r="8986" spans="1:1" ht="15.75" x14ac:dyDescent="0.25">
      <c r="A8986" s="11"/>
    </row>
    <row r="8987" spans="1:1" ht="15.75" x14ac:dyDescent="0.25">
      <c r="A8987" s="11"/>
    </row>
    <row r="8988" spans="1:1" ht="15.75" x14ac:dyDescent="0.25">
      <c r="A8988" s="11"/>
    </row>
    <row r="8989" spans="1:1" ht="15.75" x14ac:dyDescent="0.25">
      <c r="A8989" s="11"/>
    </row>
    <row r="8990" spans="1:1" ht="15.75" x14ac:dyDescent="0.25">
      <c r="A8990" s="11"/>
    </row>
    <row r="8991" spans="1:1" ht="15.75" x14ac:dyDescent="0.25">
      <c r="A8991" s="11"/>
    </row>
    <row r="8992" spans="1:1" ht="15.75" x14ac:dyDescent="0.25">
      <c r="A8992" s="11"/>
    </row>
    <row r="8993" spans="1:1" ht="15.75" x14ac:dyDescent="0.25">
      <c r="A8993" s="11"/>
    </row>
    <row r="8994" spans="1:1" ht="15.75" x14ac:dyDescent="0.25">
      <c r="A8994" s="11"/>
    </row>
    <row r="8995" spans="1:1" ht="15.75" x14ac:dyDescent="0.25">
      <c r="A8995" s="11"/>
    </row>
    <row r="8996" spans="1:1" ht="15.75" x14ac:dyDescent="0.25">
      <c r="A8996" s="11"/>
    </row>
    <row r="8997" spans="1:1" ht="15.75" x14ac:dyDescent="0.25">
      <c r="A8997" s="11"/>
    </row>
    <row r="8998" spans="1:1" ht="15.75" x14ac:dyDescent="0.25">
      <c r="A8998" s="11"/>
    </row>
    <row r="8999" spans="1:1" ht="15.75" x14ac:dyDescent="0.25">
      <c r="A8999" s="11"/>
    </row>
    <row r="9000" spans="1:1" ht="15.75" x14ac:dyDescent="0.25">
      <c r="A9000" s="11"/>
    </row>
    <row r="9001" spans="1:1" ht="15.75" x14ac:dyDescent="0.25">
      <c r="A9001" s="11"/>
    </row>
    <row r="9002" spans="1:1" ht="15.75" x14ac:dyDescent="0.25">
      <c r="A9002" s="11"/>
    </row>
    <row r="9003" spans="1:1" ht="15.75" x14ac:dyDescent="0.25">
      <c r="A9003" s="11"/>
    </row>
    <row r="9004" spans="1:1" ht="15.75" x14ac:dyDescent="0.25">
      <c r="A9004" s="11"/>
    </row>
    <row r="9005" spans="1:1" ht="15.75" x14ac:dyDescent="0.25">
      <c r="A9005" s="11"/>
    </row>
    <row r="9006" spans="1:1" ht="15.75" x14ac:dyDescent="0.25">
      <c r="A9006" s="11"/>
    </row>
    <row r="9007" spans="1:1" ht="15.75" x14ac:dyDescent="0.25">
      <c r="A9007" s="11"/>
    </row>
    <row r="9008" spans="1:1" ht="15.75" x14ac:dyDescent="0.25">
      <c r="A9008" s="11"/>
    </row>
    <row r="9009" spans="1:1" ht="15.75" x14ac:dyDescent="0.25">
      <c r="A9009" s="11"/>
    </row>
    <row r="9010" spans="1:1" ht="15.75" x14ac:dyDescent="0.25">
      <c r="A9010" s="11"/>
    </row>
    <row r="9011" spans="1:1" ht="15.75" x14ac:dyDescent="0.25">
      <c r="A9011" s="11"/>
    </row>
    <row r="9012" spans="1:1" ht="15.75" x14ac:dyDescent="0.25">
      <c r="A9012" s="11"/>
    </row>
    <row r="9013" spans="1:1" ht="15.75" x14ac:dyDescent="0.25">
      <c r="A9013" s="11"/>
    </row>
    <row r="9014" spans="1:1" ht="15.75" x14ac:dyDescent="0.25">
      <c r="A9014" s="11"/>
    </row>
    <row r="9015" spans="1:1" ht="15.75" x14ac:dyDescent="0.25">
      <c r="A9015" s="11"/>
    </row>
    <row r="9016" spans="1:1" ht="15.75" x14ac:dyDescent="0.25">
      <c r="A9016" s="11"/>
    </row>
    <row r="9017" spans="1:1" ht="15.75" x14ac:dyDescent="0.25">
      <c r="A9017" s="11"/>
    </row>
    <row r="9018" spans="1:1" ht="15.75" x14ac:dyDescent="0.25">
      <c r="A9018" s="11"/>
    </row>
    <row r="9019" spans="1:1" ht="15.75" x14ac:dyDescent="0.25">
      <c r="A9019" s="11"/>
    </row>
    <row r="9020" spans="1:1" ht="15.75" x14ac:dyDescent="0.25">
      <c r="A9020" s="11"/>
    </row>
    <row r="9021" spans="1:1" ht="15.75" x14ac:dyDescent="0.25">
      <c r="A9021" s="11"/>
    </row>
    <row r="9022" spans="1:1" ht="15.75" x14ac:dyDescent="0.25">
      <c r="A9022" s="11"/>
    </row>
    <row r="9023" spans="1:1" ht="15.75" x14ac:dyDescent="0.25">
      <c r="A9023" s="11"/>
    </row>
    <row r="9024" spans="1:1" ht="15.75" x14ac:dyDescent="0.25">
      <c r="A9024" s="11"/>
    </row>
    <row r="9025" spans="1:1" ht="15.75" x14ac:dyDescent="0.25">
      <c r="A9025" s="11"/>
    </row>
    <row r="9026" spans="1:1" ht="15.75" x14ac:dyDescent="0.25">
      <c r="A9026" s="11"/>
    </row>
    <row r="9027" spans="1:1" ht="15.75" x14ac:dyDescent="0.25">
      <c r="A9027" s="11"/>
    </row>
    <row r="9028" spans="1:1" ht="15.75" x14ac:dyDescent="0.25">
      <c r="A9028" s="11"/>
    </row>
    <row r="9029" spans="1:1" ht="15.75" x14ac:dyDescent="0.25">
      <c r="A9029" s="11"/>
    </row>
    <row r="9030" spans="1:1" ht="15.75" x14ac:dyDescent="0.25">
      <c r="A9030" s="11"/>
    </row>
    <row r="9031" spans="1:1" ht="15.75" x14ac:dyDescent="0.25">
      <c r="A9031" s="11"/>
    </row>
    <row r="9032" spans="1:1" ht="15.75" x14ac:dyDescent="0.25">
      <c r="A9032" s="11"/>
    </row>
    <row r="9033" spans="1:1" ht="15.75" x14ac:dyDescent="0.25">
      <c r="A9033" s="11"/>
    </row>
    <row r="9034" spans="1:1" ht="15.75" x14ac:dyDescent="0.25">
      <c r="A9034" s="11"/>
    </row>
    <row r="9035" spans="1:1" ht="15.75" x14ac:dyDescent="0.25">
      <c r="A9035" s="11"/>
    </row>
    <row r="9036" spans="1:1" ht="15.75" x14ac:dyDescent="0.25">
      <c r="A9036" s="11"/>
    </row>
    <row r="9037" spans="1:1" ht="15.75" x14ac:dyDescent="0.25">
      <c r="A9037" s="11"/>
    </row>
    <row r="9038" spans="1:1" ht="15.75" x14ac:dyDescent="0.25">
      <c r="A9038" s="11"/>
    </row>
    <row r="9039" spans="1:1" ht="15.75" x14ac:dyDescent="0.25">
      <c r="A9039" s="11"/>
    </row>
    <row r="9040" spans="1:1" ht="15.75" x14ac:dyDescent="0.25">
      <c r="A9040" s="11"/>
    </row>
    <row r="9041" spans="1:1" ht="15.75" x14ac:dyDescent="0.25">
      <c r="A9041" s="11"/>
    </row>
    <row r="9042" spans="1:1" ht="15.75" x14ac:dyDescent="0.25">
      <c r="A9042" s="11"/>
    </row>
    <row r="9043" spans="1:1" ht="15.75" x14ac:dyDescent="0.25">
      <c r="A9043" s="11"/>
    </row>
    <row r="9044" spans="1:1" ht="15.75" x14ac:dyDescent="0.25">
      <c r="A9044" s="11"/>
    </row>
    <row r="9045" spans="1:1" ht="15.75" x14ac:dyDescent="0.25">
      <c r="A9045" s="11"/>
    </row>
    <row r="9046" spans="1:1" ht="15.75" x14ac:dyDescent="0.25">
      <c r="A9046" s="11"/>
    </row>
    <row r="9047" spans="1:1" ht="15.75" x14ac:dyDescent="0.25">
      <c r="A9047" s="11"/>
    </row>
    <row r="9048" spans="1:1" ht="15.75" x14ac:dyDescent="0.25">
      <c r="A9048" s="11"/>
    </row>
    <row r="9049" spans="1:1" ht="15.75" x14ac:dyDescent="0.25">
      <c r="A9049" s="11"/>
    </row>
    <row r="9050" spans="1:1" ht="15.75" x14ac:dyDescent="0.25">
      <c r="A9050" s="11"/>
    </row>
    <row r="9051" spans="1:1" ht="15.75" x14ac:dyDescent="0.25">
      <c r="A9051" s="11"/>
    </row>
    <row r="9052" spans="1:1" ht="15.75" x14ac:dyDescent="0.25">
      <c r="A9052" s="11"/>
    </row>
    <row r="9053" spans="1:1" ht="15.75" x14ac:dyDescent="0.25">
      <c r="A9053" s="11"/>
    </row>
    <row r="9054" spans="1:1" ht="15.75" x14ac:dyDescent="0.25">
      <c r="A9054" s="11"/>
    </row>
    <row r="9055" spans="1:1" ht="15.75" x14ac:dyDescent="0.25">
      <c r="A9055" s="11"/>
    </row>
    <row r="9056" spans="1:1" ht="15.75" x14ac:dyDescent="0.25">
      <c r="A9056" s="11"/>
    </row>
    <row r="9057" spans="1:1" ht="15.75" x14ac:dyDescent="0.25">
      <c r="A9057" s="11"/>
    </row>
    <row r="9058" spans="1:1" ht="15.75" x14ac:dyDescent="0.25">
      <c r="A9058" s="11"/>
    </row>
    <row r="9059" spans="1:1" ht="15.75" x14ac:dyDescent="0.25">
      <c r="A9059" s="11"/>
    </row>
    <row r="9060" spans="1:1" ht="15.75" x14ac:dyDescent="0.25">
      <c r="A9060" s="11"/>
    </row>
    <row r="9061" spans="1:1" ht="15.75" x14ac:dyDescent="0.25">
      <c r="A9061" s="11"/>
    </row>
    <row r="9062" spans="1:1" ht="15.75" x14ac:dyDescent="0.25">
      <c r="A9062" s="11"/>
    </row>
    <row r="9063" spans="1:1" ht="15.75" x14ac:dyDescent="0.25">
      <c r="A9063" s="11"/>
    </row>
    <row r="9064" spans="1:1" ht="15.75" x14ac:dyDescent="0.25">
      <c r="A9064" s="11"/>
    </row>
    <row r="9065" spans="1:1" ht="15.75" x14ac:dyDescent="0.25">
      <c r="A9065" s="11"/>
    </row>
    <row r="9066" spans="1:1" ht="15.75" x14ac:dyDescent="0.25">
      <c r="A9066" s="11"/>
    </row>
    <row r="9067" spans="1:1" ht="15.75" x14ac:dyDescent="0.25">
      <c r="A9067" s="11"/>
    </row>
    <row r="9068" spans="1:1" ht="15.75" x14ac:dyDescent="0.25">
      <c r="A9068" s="11"/>
    </row>
    <row r="9069" spans="1:1" ht="15.75" x14ac:dyDescent="0.25">
      <c r="A9069" s="11"/>
    </row>
    <row r="9070" spans="1:1" ht="15.75" x14ac:dyDescent="0.25">
      <c r="A9070" s="11"/>
    </row>
    <row r="9071" spans="1:1" ht="15.75" x14ac:dyDescent="0.25">
      <c r="A9071" s="11"/>
    </row>
    <row r="9072" spans="1:1" ht="15.75" x14ac:dyDescent="0.25">
      <c r="A9072" s="11"/>
    </row>
    <row r="9073" spans="1:1" ht="15.75" x14ac:dyDescent="0.25">
      <c r="A9073" s="11"/>
    </row>
    <row r="9074" spans="1:1" ht="15.75" x14ac:dyDescent="0.25">
      <c r="A9074" s="11"/>
    </row>
    <row r="9075" spans="1:1" ht="15.75" x14ac:dyDescent="0.25">
      <c r="A9075" s="11"/>
    </row>
    <row r="9076" spans="1:1" ht="15.75" x14ac:dyDescent="0.25">
      <c r="A9076" s="11"/>
    </row>
    <row r="9077" spans="1:1" ht="15.75" x14ac:dyDescent="0.25">
      <c r="A9077" s="11"/>
    </row>
    <row r="9078" spans="1:1" ht="15.75" x14ac:dyDescent="0.25">
      <c r="A9078" s="11"/>
    </row>
    <row r="9079" spans="1:1" ht="15.75" x14ac:dyDescent="0.25">
      <c r="A9079" s="11"/>
    </row>
    <row r="9080" spans="1:1" ht="15.75" x14ac:dyDescent="0.25">
      <c r="A9080" s="11"/>
    </row>
    <row r="9081" spans="1:1" ht="15.75" x14ac:dyDescent="0.25">
      <c r="A9081" s="11"/>
    </row>
    <row r="9082" spans="1:1" ht="15.75" x14ac:dyDescent="0.25">
      <c r="A9082" s="11"/>
    </row>
    <row r="9083" spans="1:1" ht="15.75" x14ac:dyDescent="0.25">
      <c r="A9083" s="11"/>
    </row>
    <row r="9084" spans="1:1" ht="15.75" x14ac:dyDescent="0.25">
      <c r="A9084" s="11"/>
    </row>
    <row r="9085" spans="1:1" ht="15.75" x14ac:dyDescent="0.25">
      <c r="A9085" s="11"/>
    </row>
    <row r="9086" spans="1:1" ht="15.75" x14ac:dyDescent="0.25">
      <c r="A9086" s="11"/>
    </row>
    <row r="9087" spans="1:1" ht="15.75" x14ac:dyDescent="0.25">
      <c r="A9087" s="11"/>
    </row>
    <row r="9088" spans="1:1" ht="15.75" x14ac:dyDescent="0.25">
      <c r="A9088" s="11"/>
    </row>
    <row r="9089" spans="1:1" ht="15.75" x14ac:dyDescent="0.25">
      <c r="A9089" s="11"/>
    </row>
    <row r="9090" spans="1:1" ht="15.75" x14ac:dyDescent="0.25">
      <c r="A9090" s="11"/>
    </row>
    <row r="9091" spans="1:1" ht="15.75" x14ac:dyDescent="0.25">
      <c r="A9091" s="11"/>
    </row>
    <row r="9092" spans="1:1" ht="15.75" x14ac:dyDescent="0.25">
      <c r="A9092" s="11"/>
    </row>
    <row r="9093" spans="1:1" ht="15.75" x14ac:dyDescent="0.25">
      <c r="A9093" s="11"/>
    </row>
    <row r="9094" spans="1:1" ht="15.75" x14ac:dyDescent="0.25">
      <c r="A9094" s="11"/>
    </row>
    <row r="9095" spans="1:1" ht="15.75" x14ac:dyDescent="0.25">
      <c r="A9095" s="11"/>
    </row>
    <row r="9096" spans="1:1" ht="15.75" x14ac:dyDescent="0.25">
      <c r="A9096" s="11"/>
    </row>
    <row r="9097" spans="1:1" ht="15.75" x14ac:dyDescent="0.25">
      <c r="A9097" s="11"/>
    </row>
    <row r="9098" spans="1:1" ht="15.75" x14ac:dyDescent="0.25">
      <c r="A9098" s="11"/>
    </row>
    <row r="9099" spans="1:1" ht="15.75" x14ac:dyDescent="0.25">
      <c r="A9099" s="11"/>
    </row>
    <row r="9100" spans="1:1" ht="15.75" x14ac:dyDescent="0.25">
      <c r="A9100" s="11"/>
    </row>
    <row r="9101" spans="1:1" ht="15.75" x14ac:dyDescent="0.25">
      <c r="A9101" s="11"/>
    </row>
    <row r="9102" spans="1:1" ht="15.75" x14ac:dyDescent="0.25">
      <c r="A9102" s="11"/>
    </row>
    <row r="9103" spans="1:1" ht="15.75" x14ac:dyDescent="0.25">
      <c r="A9103" s="11"/>
    </row>
    <row r="9104" spans="1:1" ht="15.75" x14ac:dyDescent="0.25">
      <c r="A9104" s="11"/>
    </row>
    <row r="9105" spans="1:1" ht="15.75" x14ac:dyDescent="0.25">
      <c r="A9105" s="11"/>
    </row>
    <row r="9106" spans="1:1" ht="15.75" x14ac:dyDescent="0.25">
      <c r="A9106" s="11"/>
    </row>
    <row r="9107" spans="1:1" ht="15.75" x14ac:dyDescent="0.25">
      <c r="A9107" s="11"/>
    </row>
    <row r="9108" spans="1:1" ht="15.75" x14ac:dyDescent="0.25">
      <c r="A9108" s="11"/>
    </row>
    <row r="9109" spans="1:1" ht="15.75" x14ac:dyDescent="0.25">
      <c r="A9109" s="11"/>
    </row>
    <row r="9110" spans="1:1" ht="15.75" x14ac:dyDescent="0.25">
      <c r="A9110" s="11"/>
    </row>
    <row r="9111" spans="1:1" ht="15.75" x14ac:dyDescent="0.25">
      <c r="A9111" s="11"/>
    </row>
    <row r="9112" spans="1:1" ht="15.75" x14ac:dyDescent="0.25">
      <c r="A9112" s="11"/>
    </row>
    <row r="9113" spans="1:1" ht="15.75" x14ac:dyDescent="0.25">
      <c r="A9113" s="11"/>
    </row>
    <row r="9114" spans="1:1" ht="15.75" x14ac:dyDescent="0.25">
      <c r="A9114" s="11"/>
    </row>
    <row r="9115" spans="1:1" ht="15.75" x14ac:dyDescent="0.25">
      <c r="A9115" s="11"/>
    </row>
    <row r="9116" spans="1:1" ht="15.75" x14ac:dyDescent="0.25">
      <c r="A9116" s="11"/>
    </row>
    <row r="9117" spans="1:1" ht="15.75" x14ac:dyDescent="0.25">
      <c r="A9117" s="11"/>
    </row>
    <row r="9118" spans="1:1" ht="15.75" x14ac:dyDescent="0.25">
      <c r="A9118" s="11"/>
    </row>
    <row r="9119" spans="1:1" ht="15.75" x14ac:dyDescent="0.25">
      <c r="A9119" s="11"/>
    </row>
    <row r="9120" spans="1:1" ht="15.75" x14ac:dyDescent="0.25">
      <c r="A9120" s="11"/>
    </row>
    <row r="9121" spans="1:1" ht="15.75" x14ac:dyDescent="0.25">
      <c r="A9121" s="11"/>
    </row>
    <row r="9122" spans="1:1" ht="15.75" x14ac:dyDescent="0.25">
      <c r="A9122" s="11"/>
    </row>
    <row r="9123" spans="1:1" ht="15.75" x14ac:dyDescent="0.25">
      <c r="A9123" s="11"/>
    </row>
    <row r="9124" spans="1:1" ht="15.75" x14ac:dyDescent="0.25">
      <c r="A9124" s="11"/>
    </row>
    <row r="9125" spans="1:1" ht="15.75" x14ac:dyDescent="0.25">
      <c r="A9125" s="11"/>
    </row>
    <row r="9126" spans="1:1" ht="15.75" x14ac:dyDescent="0.25">
      <c r="A9126" s="11"/>
    </row>
    <row r="9127" spans="1:1" ht="15.75" x14ac:dyDescent="0.25">
      <c r="A9127" s="11"/>
    </row>
    <row r="9128" spans="1:1" ht="15.75" x14ac:dyDescent="0.25">
      <c r="A9128" s="11"/>
    </row>
    <row r="9129" spans="1:1" ht="15.75" x14ac:dyDescent="0.25">
      <c r="A9129" s="11"/>
    </row>
    <row r="9130" spans="1:1" ht="15.75" x14ac:dyDescent="0.25">
      <c r="A9130" s="11"/>
    </row>
    <row r="9131" spans="1:1" ht="15.75" x14ac:dyDescent="0.25">
      <c r="A9131" s="11"/>
    </row>
    <row r="9132" spans="1:1" ht="15.75" x14ac:dyDescent="0.25">
      <c r="A9132" s="11"/>
    </row>
    <row r="9133" spans="1:1" ht="15.75" x14ac:dyDescent="0.25">
      <c r="A9133" s="11"/>
    </row>
    <row r="9134" spans="1:1" ht="15.75" x14ac:dyDescent="0.25">
      <c r="A9134" s="11"/>
    </row>
    <row r="9135" spans="1:1" ht="15.75" x14ac:dyDescent="0.25">
      <c r="A9135" s="11"/>
    </row>
    <row r="9136" spans="1:1" ht="15.75" x14ac:dyDescent="0.25">
      <c r="A9136" s="11"/>
    </row>
    <row r="9137" spans="1:1" ht="15.75" x14ac:dyDescent="0.25">
      <c r="A9137" s="11"/>
    </row>
    <row r="9138" spans="1:1" ht="15.75" x14ac:dyDescent="0.25">
      <c r="A9138" s="11"/>
    </row>
    <row r="9139" spans="1:1" ht="15.75" x14ac:dyDescent="0.25">
      <c r="A9139" s="11"/>
    </row>
    <row r="9140" spans="1:1" ht="15.75" x14ac:dyDescent="0.25">
      <c r="A9140" s="11"/>
    </row>
    <row r="9141" spans="1:1" ht="15.75" x14ac:dyDescent="0.25">
      <c r="A9141" s="11"/>
    </row>
    <row r="9142" spans="1:1" ht="15.75" x14ac:dyDescent="0.25">
      <c r="A9142" s="11"/>
    </row>
    <row r="9143" spans="1:1" ht="15.75" x14ac:dyDescent="0.25">
      <c r="A9143" s="11"/>
    </row>
    <row r="9144" spans="1:1" ht="15.75" x14ac:dyDescent="0.25">
      <c r="A9144" s="11"/>
    </row>
    <row r="9145" spans="1:1" ht="15.75" x14ac:dyDescent="0.25">
      <c r="A9145" s="11"/>
    </row>
    <row r="9146" spans="1:1" ht="15.75" x14ac:dyDescent="0.25">
      <c r="A9146" s="11"/>
    </row>
    <row r="9147" spans="1:1" ht="15.75" x14ac:dyDescent="0.25">
      <c r="A9147" s="11"/>
    </row>
    <row r="9148" spans="1:1" ht="15.75" x14ac:dyDescent="0.25">
      <c r="A9148" s="11"/>
    </row>
    <row r="9149" spans="1:1" ht="15.75" x14ac:dyDescent="0.25">
      <c r="A9149" s="11"/>
    </row>
    <row r="9150" spans="1:1" ht="15.75" x14ac:dyDescent="0.25">
      <c r="A9150" s="11"/>
    </row>
    <row r="9151" spans="1:1" ht="15.75" x14ac:dyDescent="0.25">
      <c r="A9151" s="11"/>
    </row>
    <row r="9152" spans="1:1" ht="15.75" x14ac:dyDescent="0.25">
      <c r="A9152" s="11"/>
    </row>
    <row r="9153" spans="1:1" ht="15.75" x14ac:dyDescent="0.25">
      <c r="A9153" s="11"/>
    </row>
    <row r="9154" spans="1:1" ht="15.75" x14ac:dyDescent="0.25">
      <c r="A9154" s="11"/>
    </row>
    <row r="9155" spans="1:1" ht="15.75" x14ac:dyDescent="0.25">
      <c r="A9155" s="11"/>
    </row>
    <row r="9156" spans="1:1" ht="15.75" x14ac:dyDescent="0.25">
      <c r="A9156" s="11"/>
    </row>
    <row r="9157" spans="1:1" ht="15.75" x14ac:dyDescent="0.25">
      <c r="A9157" s="11"/>
    </row>
    <row r="9158" spans="1:1" ht="15.75" x14ac:dyDescent="0.25">
      <c r="A9158" s="11"/>
    </row>
    <row r="9159" spans="1:1" ht="15.75" x14ac:dyDescent="0.25">
      <c r="A9159" s="11"/>
    </row>
    <row r="9160" spans="1:1" ht="15.75" x14ac:dyDescent="0.25">
      <c r="A9160" s="11"/>
    </row>
    <row r="9161" spans="1:1" ht="15.75" x14ac:dyDescent="0.25">
      <c r="A9161" s="11"/>
    </row>
    <row r="9162" spans="1:1" ht="15.75" x14ac:dyDescent="0.25">
      <c r="A9162" s="11"/>
    </row>
    <row r="9163" spans="1:1" ht="15.75" x14ac:dyDescent="0.25">
      <c r="A9163" s="11"/>
    </row>
    <row r="9164" spans="1:1" ht="15.75" x14ac:dyDescent="0.25">
      <c r="A9164" s="11"/>
    </row>
    <row r="9165" spans="1:1" ht="15.75" x14ac:dyDescent="0.25">
      <c r="A9165" s="11"/>
    </row>
    <row r="9166" spans="1:1" ht="15.75" x14ac:dyDescent="0.25">
      <c r="A9166" s="11"/>
    </row>
    <row r="9167" spans="1:1" ht="15.75" x14ac:dyDescent="0.25">
      <c r="A9167" s="11"/>
    </row>
    <row r="9168" spans="1:1" ht="15.75" x14ac:dyDescent="0.25">
      <c r="A9168" s="11"/>
    </row>
    <row r="9169" spans="1:1" ht="15.75" x14ac:dyDescent="0.25">
      <c r="A9169" s="11"/>
    </row>
    <row r="9170" spans="1:1" ht="15.75" x14ac:dyDescent="0.25">
      <c r="A9170" s="11"/>
    </row>
    <row r="9171" spans="1:1" ht="15.75" x14ac:dyDescent="0.25">
      <c r="A9171" s="11"/>
    </row>
    <row r="9172" spans="1:1" ht="15.75" x14ac:dyDescent="0.25">
      <c r="A9172" s="11"/>
    </row>
    <row r="9173" spans="1:1" ht="15.75" x14ac:dyDescent="0.25">
      <c r="A9173" s="11"/>
    </row>
    <row r="9174" spans="1:1" ht="15.75" x14ac:dyDescent="0.25">
      <c r="A9174" s="11"/>
    </row>
    <row r="9175" spans="1:1" ht="15.75" x14ac:dyDescent="0.25">
      <c r="A9175" s="11"/>
    </row>
    <row r="9176" spans="1:1" ht="15.75" x14ac:dyDescent="0.25">
      <c r="A9176" s="11"/>
    </row>
    <row r="9177" spans="1:1" ht="15.75" x14ac:dyDescent="0.25">
      <c r="A9177" s="11"/>
    </row>
    <row r="9178" spans="1:1" ht="15.75" x14ac:dyDescent="0.25">
      <c r="A9178" s="11"/>
    </row>
    <row r="9179" spans="1:1" ht="15.75" x14ac:dyDescent="0.25">
      <c r="A9179" s="11"/>
    </row>
    <row r="9180" spans="1:1" ht="15.75" x14ac:dyDescent="0.25">
      <c r="A9180" s="11"/>
    </row>
    <row r="9181" spans="1:1" ht="15.75" x14ac:dyDescent="0.25">
      <c r="A9181" s="11"/>
    </row>
    <row r="9182" spans="1:1" ht="15.75" x14ac:dyDescent="0.25">
      <c r="A9182" s="11"/>
    </row>
    <row r="9183" spans="1:1" ht="15.75" x14ac:dyDescent="0.25">
      <c r="A9183" s="11"/>
    </row>
    <row r="9184" spans="1:1" ht="15.75" x14ac:dyDescent="0.25">
      <c r="A9184" s="11"/>
    </row>
    <row r="9185" spans="1:1" ht="15.75" x14ac:dyDescent="0.25">
      <c r="A9185" s="11"/>
    </row>
    <row r="9186" spans="1:1" ht="15.75" x14ac:dyDescent="0.25">
      <c r="A9186" s="11"/>
    </row>
    <row r="9187" spans="1:1" ht="15.75" x14ac:dyDescent="0.25">
      <c r="A9187" s="11"/>
    </row>
    <row r="9188" spans="1:1" ht="15.75" x14ac:dyDescent="0.25">
      <c r="A9188" s="11"/>
    </row>
    <row r="9189" spans="1:1" ht="15.75" x14ac:dyDescent="0.25">
      <c r="A9189" s="11"/>
    </row>
    <row r="9190" spans="1:1" ht="15.75" x14ac:dyDescent="0.25">
      <c r="A9190" s="11"/>
    </row>
    <row r="9191" spans="1:1" ht="15.75" x14ac:dyDescent="0.25">
      <c r="A9191" s="11"/>
    </row>
    <row r="9192" spans="1:1" ht="15.75" x14ac:dyDescent="0.25">
      <c r="A9192" s="11"/>
    </row>
    <row r="9193" spans="1:1" ht="15.75" x14ac:dyDescent="0.25">
      <c r="A9193" s="11"/>
    </row>
    <row r="9194" spans="1:1" ht="15.75" x14ac:dyDescent="0.25">
      <c r="A9194" s="11"/>
    </row>
    <row r="9195" spans="1:1" ht="15.75" x14ac:dyDescent="0.25">
      <c r="A9195" s="11"/>
    </row>
    <row r="9196" spans="1:1" ht="15.75" x14ac:dyDescent="0.25">
      <c r="A9196" s="11"/>
    </row>
    <row r="9197" spans="1:1" ht="15.75" x14ac:dyDescent="0.25">
      <c r="A9197" s="11"/>
    </row>
    <row r="9198" spans="1:1" ht="15.75" x14ac:dyDescent="0.25">
      <c r="A9198" s="11"/>
    </row>
    <row r="9199" spans="1:1" ht="15.75" x14ac:dyDescent="0.25">
      <c r="A9199" s="11"/>
    </row>
    <row r="9200" spans="1:1" ht="15.75" x14ac:dyDescent="0.25">
      <c r="A9200" s="11"/>
    </row>
    <row r="9201" spans="1:1" ht="15.75" x14ac:dyDescent="0.25">
      <c r="A9201" s="11"/>
    </row>
    <row r="9202" spans="1:1" ht="15.75" x14ac:dyDescent="0.25">
      <c r="A9202" s="11"/>
    </row>
    <row r="9203" spans="1:1" ht="15.75" x14ac:dyDescent="0.25">
      <c r="A9203" s="11"/>
    </row>
    <row r="9204" spans="1:1" ht="15.75" x14ac:dyDescent="0.25">
      <c r="A9204" s="11"/>
    </row>
    <row r="9205" spans="1:1" ht="15.75" x14ac:dyDescent="0.25">
      <c r="A9205" s="11"/>
    </row>
    <row r="9206" spans="1:1" ht="15.75" x14ac:dyDescent="0.25">
      <c r="A9206" s="11"/>
    </row>
    <row r="9207" spans="1:1" ht="15.75" x14ac:dyDescent="0.25">
      <c r="A9207" s="11"/>
    </row>
    <row r="9208" spans="1:1" ht="15.75" x14ac:dyDescent="0.25">
      <c r="A9208" s="11"/>
    </row>
    <row r="9209" spans="1:1" ht="15.75" x14ac:dyDescent="0.25">
      <c r="A9209" s="11"/>
    </row>
    <row r="9210" spans="1:1" ht="15.75" x14ac:dyDescent="0.25">
      <c r="A9210" s="11"/>
    </row>
    <row r="9211" spans="1:1" ht="15.75" x14ac:dyDescent="0.25">
      <c r="A9211" s="11"/>
    </row>
    <row r="9212" spans="1:1" ht="15.75" x14ac:dyDescent="0.25">
      <c r="A9212" s="11"/>
    </row>
    <row r="9213" spans="1:1" ht="15.75" x14ac:dyDescent="0.25">
      <c r="A9213" s="11"/>
    </row>
    <row r="9214" spans="1:1" ht="15.75" x14ac:dyDescent="0.25">
      <c r="A9214" s="11"/>
    </row>
    <row r="9215" spans="1:1" ht="15.75" x14ac:dyDescent="0.25">
      <c r="A9215" s="11"/>
    </row>
    <row r="9216" spans="1:1" ht="15.75" x14ac:dyDescent="0.25">
      <c r="A9216" s="11"/>
    </row>
    <row r="9217" spans="1:1" ht="15.75" x14ac:dyDescent="0.25">
      <c r="A9217" s="11"/>
    </row>
    <row r="9218" spans="1:1" ht="15.75" x14ac:dyDescent="0.25">
      <c r="A9218" s="11"/>
    </row>
    <row r="9219" spans="1:1" ht="15.75" x14ac:dyDescent="0.25">
      <c r="A9219" s="11"/>
    </row>
    <row r="9220" spans="1:1" ht="15.75" x14ac:dyDescent="0.25">
      <c r="A9220" s="11"/>
    </row>
    <row r="9221" spans="1:1" ht="15.75" x14ac:dyDescent="0.25">
      <c r="A9221" s="11"/>
    </row>
    <row r="9222" spans="1:1" ht="15.75" x14ac:dyDescent="0.25">
      <c r="A9222" s="11"/>
    </row>
    <row r="9223" spans="1:1" ht="15.75" x14ac:dyDescent="0.25">
      <c r="A9223" s="11"/>
    </row>
    <row r="9224" spans="1:1" ht="15.75" x14ac:dyDescent="0.25">
      <c r="A9224" s="11"/>
    </row>
    <row r="9225" spans="1:1" ht="15.75" x14ac:dyDescent="0.25">
      <c r="A9225" s="11"/>
    </row>
    <row r="9226" spans="1:1" ht="15.75" x14ac:dyDescent="0.25">
      <c r="A9226" s="11"/>
    </row>
    <row r="9227" spans="1:1" ht="15.75" x14ac:dyDescent="0.25">
      <c r="A9227" s="11"/>
    </row>
    <row r="9228" spans="1:1" ht="15.75" x14ac:dyDescent="0.25">
      <c r="A9228" s="11"/>
    </row>
    <row r="9229" spans="1:1" ht="15.75" x14ac:dyDescent="0.25">
      <c r="A9229" s="11"/>
    </row>
    <row r="9230" spans="1:1" ht="15.75" x14ac:dyDescent="0.25">
      <c r="A9230" s="11"/>
    </row>
    <row r="9231" spans="1:1" ht="15.75" x14ac:dyDescent="0.25">
      <c r="A9231" s="11"/>
    </row>
    <row r="9232" spans="1:1" ht="15.75" x14ac:dyDescent="0.25">
      <c r="A9232" s="11"/>
    </row>
    <row r="9233" spans="1:1" ht="15.75" x14ac:dyDescent="0.25">
      <c r="A9233" s="11"/>
    </row>
    <row r="9234" spans="1:1" ht="15.75" x14ac:dyDescent="0.25">
      <c r="A9234" s="11"/>
    </row>
    <row r="9235" spans="1:1" ht="15.75" x14ac:dyDescent="0.25">
      <c r="A9235" s="11"/>
    </row>
    <row r="9236" spans="1:1" ht="15.75" x14ac:dyDescent="0.25">
      <c r="A9236" s="11"/>
    </row>
    <row r="9237" spans="1:1" ht="15.75" x14ac:dyDescent="0.25">
      <c r="A9237" s="11"/>
    </row>
    <row r="9238" spans="1:1" ht="15.75" x14ac:dyDescent="0.25">
      <c r="A9238" s="11"/>
    </row>
    <row r="9239" spans="1:1" ht="15.75" x14ac:dyDescent="0.25">
      <c r="A9239" s="11"/>
    </row>
    <row r="9240" spans="1:1" ht="15.75" x14ac:dyDescent="0.25">
      <c r="A9240" s="11"/>
    </row>
    <row r="9241" spans="1:1" ht="15.75" x14ac:dyDescent="0.25">
      <c r="A9241" s="11"/>
    </row>
    <row r="9242" spans="1:1" ht="15.75" x14ac:dyDescent="0.25">
      <c r="A9242" s="11"/>
    </row>
    <row r="9243" spans="1:1" ht="15.75" x14ac:dyDescent="0.25">
      <c r="A9243" s="11"/>
    </row>
    <row r="9244" spans="1:1" ht="15.75" x14ac:dyDescent="0.25">
      <c r="A9244" s="11"/>
    </row>
    <row r="9245" spans="1:1" ht="15.75" x14ac:dyDescent="0.25">
      <c r="A9245" s="11"/>
    </row>
    <row r="9246" spans="1:1" ht="15.75" x14ac:dyDescent="0.25">
      <c r="A9246" s="11"/>
    </row>
    <row r="9247" spans="1:1" ht="15.75" x14ac:dyDescent="0.25">
      <c r="A9247" s="11"/>
    </row>
    <row r="9248" spans="1:1" ht="15.75" x14ac:dyDescent="0.25">
      <c r="A9248" s="11"/>
    </row>
    <row r="9249" spans="1:1" ht="15.75" x14ac:dyDescent="0.25">
      <c r="A9249" s="11"/>
    </row>
    <row r="9250" spans="1:1" ht="15.75" x14ac:dyDescent="0.25">
      <c r="A9250" s="11"/>
    </row>
    <row r="9251" spans="1:1" ht="15.75" x14ac:dyDescent="0.25">
      <c r="A9251" s="11"/>
    </row>
    <row r="9252" spans="1:1" ht="15.75" x14ac:dyDescent="0.25">
      <c r="A9252" s="11"/>
    </row>
    <row r="9253" spans="1:1" ht="15.75" x14ac:dyDescent="0.25">
      <c r="A9253" s="11"/>
    </row>
    <row r="9254" spans="1:1" ht="15.75" x14ac:dyDescent="0.25">
      <c r="A9254" s="11"/>
    </row>
    <row r="9255" spans="1:1" ht="15.75" x14ac:dyDescent="0.25">
      <c r="A9255" s="11"/>
    </row>
    <row r="9256" spans="1:1" ht="15.75" x14ac:dyDescent="0.25">
      <c r="A9256" s="11"/>
    </row>
    <row r="9257" spans="1:1" ht="15.75" x14ac:dyDescent="0.25">
      <c r="A9257" s="11"/>
    </row>
    <row r="9258" spans="1:1" ht="15.75" x14ac:dyDescent="0.25">
      <c r="A9258" s="11"/>
    </row>
    <row r="9259" spans="1:1" ht="15.75" x14ac:dyDescent="0.25">
      <c r="A9259" s="11"/>
    </row>
    <row r="9260" spans="1:1" ht="15.75" x14ac:dyDescent="0.25">
      <c r="A9260" s="11"/>
    </row>
    <row r="9261" spans="1:1" ht="15.75" x14ac:dyDescent="0.25">
      <c r="A9261" s="11"/>
    </row>
    <row r="9262" spans="1:1" ht="15.75" x14ac:dyDescent="0.25">
      <c r="A9262" s="11"/>
    </row>
    <row r="9263" spans="1:1" ht="15.75" x14ac:dyDescent="0.25">
      <c r="A9263" s="11"/>
    </row>
    <row r="9264" spans="1:1" ht="15.75" x14ac:dyDescent="0.25">
      <c r="A9264" s="11"/>
    </row>
    <row r="9265" spans="1:1" ht="15.75" x14ac:dyDescent="0.25">
      <c r="A9265" s="11"/>
    </row>
    <row r="9266" spans="1:1" ht="15.75" x14ac:dyDescent="0.25">
      <c r="A9266" s="11"/>
    </row>
    <row r="9267" spans="1:1" ht="15.75" x14ac:dyDescent="0.25">
      <c r="A9267" s="11"/>
    </row>
    <row r="9268" spans="1:1" ht="15.75" x14ac:dyDescent="0.25">
      <c r="A9268" s="11"/>
    </row>
    <row r="9269" spans="1:1" ht="15.75" x14ac:dyDescent="0.25">
      <c r="A9269" s="11"/>
    </row>
    <row r="9270" spans="1:1" ht="15.75" x14ac:dyDescent="0.25">
      <c r="A9270" s="11"/>
    </row>
    <row r="9271" spans="1:1" ht="15.75" x14ac:dyDescent="0.25">
      <c r="A9271" s="11"/>
    </row>
    <row r="9272" spans="1:1" ht="15.75" x14ac:dyDescent="0.25">
      <c r="A9272" s="11"/>
    </row>
    <row r="9273" spans="1:1" ht="15.75" x14ac:dyDescent="0.25">
      <c r="A9273" s="11"/>
    </row>
    <row r="9274" spans="1:1" ht="15.75" x14ac:dyDescent="0.25">
      <c r="A9274" s="11"/>
    </row>
    <row r="9275" spans="1:1" ht="15.75" x14ac:dyDescent="0.25">
      <c r="A9275" s="11"/>
    </row>
    <row r="9276" spans="1:1" ht="15.75" x14ac:dyDescent="0.25">
      <c r="A9276" s="11"/>
    </row>
    <row r="9277" spans="1:1" ht="15.75" x14ac:dyDescent="0.25">
      <c r="A9277" s="11"/>
    </row>
    <row r="9278" spans="1:1" ht="15.75" x14ac:dyDescent="0.25">
      <c r="A9278" s="11"/>
    </row>
    <row r="9279" spans="1:1" ht="15.75" x14ac:dyDescent="0.25">
      <c r="A9279" s="11"/>
    </row>
    <row r="9280" spans="1:1" ht="15.75" x14ac:dyDescent="0.25">
      <c r="A9280" s="11"/>
    </row>
    <row r="9281" spans="1:1" ht="15.75" x14ac:dyDescent="0.25">
      <c r="A9281" s="11"/>
    </row>
    <row r="9282" spans="1:1" ht="15.75" x14ac:dyDescent="0.25">
      <c r="A9282" s="11"/>
    </row>
    <row r="9283" spans="1:1" ht="15.75" x14ac:dyDescent="0.25">
      <c r="A9283" s="11"/>
    </row>
    <row r="9284" spans="1:1" ht="15.75" x14ac:dyDescent="0.25">
      <c r="A9284" s="11"/>
    </row>
    <row r="9285" spans="1:1" ht="15.75" x14ac:dyDescent="0.25">
      <c r="A9285" s="11"/>
    </row>
    <row r="9286" spans="1:1" ht="15.75" x14ac:dyDescent="0.25">
      <c r="A9286" s="11"/>
    </row>
    <row r="9287" spans="1:1" ht="15.75" x14ac:dyDescent="0.25">
      <c r="A9287" s="11"/>
    </row>
    <row r="9288" spans="1:1" ht="15.75" x14ac:dyDescent="0.25">
      <c r="A9288" s="11"/>
    </row>
    <row r="9289" spans="1:1" ht="15.75" x14ac:dyDescent="0.25">
      <c r="A9289" s="11"/>
    </row>
    <row r="9290" spans="1:1" ht="15.75" x14ac:dyDescent="0.25">
      <c r="A9290" s="11"/>
    </row>
    <row r="9291" spans="1:1" ht="15.75" x14ac:dyDescent="0.25">
      <c r="A9291" s="11"/>
    </row>
    <row r="9292" spans="1:1" ht="15.75" x14ac:dyDescent="0.25">
      <c r="A9292" s="11"/>
    </row>
    <row r="9293" spans="1:1" ht="15.75" x14ac:dyDescent="0.25">
      <c r="A9293" s="11"/>
    </row>
    <row r="9294" spans="1:1" ht="15.75" x14ac:dyDescent="0.25">
      <c r="A9294" s="11"/>
    </row>
    <row r="9295" spans="1:1" ht="15.75" x14ac:dyDescent="0.25">
      <c r="A9295" s="11"/>
    </row>
    <row r="9296" spans="1:1" ht="15.75" x14ac:dyDescent="0.25">
      <c r="A9296" s="11"/>
    </row>
    <row r="9297" spans="1:1" ht="15.75" x14ac:dyDescent="0.25">
      <c r="A9297" s="11"/>
    </row>
    <row r="9298" spans="1:1" ht="15.75" x14ac:dyDescent="0.25">
      <c r="A9298" s="11"/>
    </row>
    <row r="9299" spans="1:1" ht="15.75" x14ac:dyDescent="0.25">
      <c r="A9299" s="11"/>
    </row>
    <row r="9300" spans="1:1" ht="15.75" x14ac:dyDescent="0.25">
      <c r="A9300" s="11"/>
    </row>
    <row r="9301" spans="1:1" ht="15.75" x14ac:dyDescent="0.25">
      <c r="A9301" s="11"/>
    </row>
    <row r="9302" spans="1:1" ht="15.75" x14ac:dyDescent="0.25">
      <c r="A9302" s="11"/>
    </row>
    <row r="9303" spans="1:1" ht="15.75" x14ac:dyDescent="0.25">
      <c r="A9303" s="11"/>
    </row>
    <row r="9304" spans="1:1" ht="15.75" x14ac:dyDescent="0.25">
      <c r="A9304" s="11"/>
    </row>
    <row r="9305" spans="1:1" ht="15.75" x14ac:dyDescent="0.25">
      <c r="A9305" s="11"/>
    </row>
    <row r="9306" spans="1:1" ht="15.75" x14ac:dyDescent="0.25">
      <c r="A9306" s="11"/>
    </row>
    <row r="9307" spans="1:1" ht="15.75" x14ac:dyDescent="0.25">
      <c r="A9307" s="11"/>
    </row>
    <row r="9308" spans="1:1" ht="15.75" x14ac:dyDescent="0.25">
      <c r="A9308" s="11"/>
    </row>
    <row r="9309" spans="1:1" ht="15.75" x14ac:dyDescent="0.25">
      <c r="A9309" s="11"/>
    </row>
    <row r="9310" spans="1:1" ht="15.75" x14ac:dyDescent="0.25">
      <c r="A9310" s="11"/>
    </row>
    <row r="9311" spans="1:1" ht="15.75" x14ac:dyDescent="0.25">
      <c r="A9311" s="11"/>
    </row>
    <row r="9312" spans="1:1" ht="15.75" x14ac:dyDescent="0.25">
      <c r="A9312" s="11"/>
    </row>
    <row r="9313" spans="1:1" ht="15.75" x14ac:dyDescent="0.25">
      <c r="A9313" s="11"/>
    </row>
    <row r="9314" spans="1:1" ht="15.75" x14ac:dyDescent="0.25">
      <c r="A9314" s="11"/>
    </row>
    <row r="9315" spans="1:1" ht="15.75" x14ac:dyDescent="0.25">
      <c r="A9315" s="11"/>
    </row>
    <row r="9316" spans="1:1" ht="15.75" x14ac:dyDescent="0.25">
      <c r="A9316" s="11"/>
    </row>
    <row r="9317" spans="1:1" ht="15.75" x14ac:dyDescent="0.25">
      <c r="A9317" s="11"/>
    </row>
    <row r="9318" spans="1:1" ht="15.75" x14ac:dyDescent="0.25">
      <c r="A9318" s="11"/>
    </row>
    <row r="9319" spans="1:1" ht="15.75" x14ac:dyDescent="0.25">
      <c r="A9319" s="11"/>
    </row>
    <row r="9320" spans="1:1" ht="15.75" x14ac:dyDescent="0.25">
      <c r="A9320" s="11"/>
    </row>
    <row r="9321" spans="1:1" ht="15.75" x14ac:dyDescent="0.25">
      <c r="A9321" s="11"/>
    </row>
    <row r="9322" spans="1:1" ht="15.75" x14ac:dyDescent="0.25">
      <c r="A9322" s="11"/>
    </row>
    <row r="9323" spans="1:1" ht="15.75" x14ac:dyDescent="0.25">
      <c r="A9323" s="11"/>
    </row>
    <row r="9324" spans="1:1" ht="15.75" x14ac:dyDescent="0.25">
      <c r="A9324" s="11"/>
    </row>
    <row r="9325" spans="1:1" ht="15.75" x14ac:dyDescent="0.25">
      <c r="A9325" s="11"/>
    </row>
    <row r="9326" spans="1:1" ht="15.75" x14ac:dyDescent="0.25">
      <c r="A9326" s="11"/>
    </row>
    <row r="9327" spans="1:1" ht="15.75" x14ac:dyDescent="0.25">
      <c r="A9327" s="11"/>
    </row>
    <row r="9328" spans="1:1" ht="15.75" x14ac:dyDescent="0.25">
      <c r="A9328" s="11"/>
    </row>
    <row r="9329" spans="1:1" ht="15.75" x14ac:dyDescent="0.25">
      <c r="A9329" s="11"/>
    </row>
    <row r="9330" spans="1:1" ht="15.75" x14ac:dyDescent="0.25">
      <c r="A9330" s="11"/>
    </row>
    <row r="9331" spans="1:1" ht="15.75" x14ac:dyDescent="0.25">
      <c r="A9331" s="11"/>
    </row>
    <row r="9332" spans="1:1" ht="15.75" x14ac:dyDescent="0.25">
      <c r="A9332" s="11"/>
    </row>
    <row r="9333" spans="1:1" ht="15.75" x14ac:dyDescent="0.25">
      <c r="A9333" s="11"/>
    </row>
    <row r="9334" spans="1:1" ht="15.75" x14ac:dyDescent="0.25">
      <c r="A9334" s="11"/>
    </row>
    <row r="9335" spans="1:1" ht="15.75" x14ac:dyDescent="0.25">
      <c r="A9335" s="11"/>
    </row>
    <row r="9336" spans="1:1" ht="15.75" x14ac:dyDescent="0.25">
      <c r="A9336" s="11"/>
    </row>
    <row r="9337" spans="1:1" ht="15.75" x14ac:dyDescent="0.25">
      <c r="A9337" s="11"/>
    </row>
    <row r="9338" spans="1:1" ht="15.75" x14ac:dyDescent="0.25">
      <c r="A9338" s="11"/>
    </row>
    <row r="9339" spans="1:1" ht="15.75" x14ac:dyDescent="0.25">
      <c r="A9339" s="11"/>
    </row>
    <row r="9340" spans="1:1" ht="15.75" x14ac:dyDescent="0.25">
      <c r="A9340" s="11"/>
    </row>
    <row r="9341" spans="1:1" ht="15.75" x14ac:dyDescent="0.25">
      <c r="A9341" s="11"/>
    </row>
    <row r="9342" spans="1:1" ht="15.75" x14ac:dyDescent="0.25">
      <c r="A9342" s="11"/>
    </row>
    <row r="9343" spans="1:1" ht="15.75" x14ac:dyDescent="0.25">
      <c r="A9343" s="11"/>
    </row>
    <row r="9344" spans="1:1" ht="15.75" x14ac:dyDescent="0.25">
      <c r="A9344" s="11"/>
    </row>
    <row r="9345" spans="1:1" ht="15.75" x14ac:dyDescent="0.25">
      <c r="A9345" s="11"/>
    </row>
    <row r="9346" spans="1:1" ht="15.75" x14ac:dyDescent="0.25">
      <c r="A9346" s="11"/>
    </row>
    <row r="9347" spans="1:1" ht="15.75" x14ac:dyDescent="0.25">
      <c r="A9347" s="11"/>
    </row>
    <row r="9348" spans="1:1" ht="15.75" x14ac:dyDescent="0.25">
      <c r="A9348" s="11"/>
    </row>
    <row r="9349" spans="1:1" ht="15.75" x14ac:dyDescent="0.25">
      <c r="A9349" s="11"/>
    </row>
    <row r="9350" spans="1:1" ht="15.75" x14ac:dyDescent="0.25">
      <c r="A9350" s="11"/>
    </row>
    <row r="9351" spans="1:1" ht="15.75" x14ac:dyDescent="0.25">
      <c r="A9351" s="11"/>
    </row>
    <row r="9352" spans="1:1" ht="15.75" x14ac:dyDescent="0.25">
      <c r="A9352" s="11"/>
    </row>
    <row r="9353" spans="1:1" ht="15.75" x14ac:dyDescent="0.25">
      <c r="A9353" s="11"/>
    </row>
    <row r="9354" spans="1:1" ht="15.75" x14ac:dyDescent="0.25">
      <c r="A9354" s="11"/>
    </row>
    <row r="9355" spans="1:1" ht="15.75" x14ac:dyDescent="0.25">
      <c r="A9355" s="11"/>
    </row>
    <row r="9356" spans="1:1" ht="15.75" x14ac:dyDescent="0.25">
      <c r="A9356" s="11"/>
    </row>
    <row r="9357" spans="1:1" ht="15.75" x14ac:dyDescent="0.25">
      <c r="A9357" s="11"/>
    </row>
    <row r="9358" spans="1:1" ht="15.75" x14ac:dyDescent="0.25">
      <c r="A9358" s="11"/>
    </row>
    <row r="9359" spans="1:1" ht="15.75" x14ac:dyDescent="0.25">
      <c r="A9359" s="11"/>
    </row>
    <row r="9360" spans="1:1" ht="15.75" x14ac:dyDescent="0.25">
      <c r="A9360" s="11"/>
    </row>
    <row r="9361" spans="1:1" ht="15.75" x14ac:dyDescent="0.25">
      <c r="A9361" s="11"/>
    </row>
    <row r="9362" spans="1:1" ht="15.75" x14ac:dyDescent="0.25">
      <c r="A9362" s="11"/>
    </row>
    <row r="9363" spans="1:1" ht="15.75" x14ac:dyDescent="0.25">
      <c r="A9363" s="11"/>
    </row>
    <row r="9364" spans="1:1" ht="15.75" x14ac:dyDescent="0.25">
      <c r="A9364" s="11"/>
    </row>
    <row r="9365" spans="1:1" ht="15.75" x14ac:dyDescent="0.25">
      <c r="A9365" s="11"/>
    </row>
    <row r="9366" spans="1:1" ht="15.75" x14ac:dyDescent="0.25">
      <c r="A9366" s="11"/>
    </row>
    <row r="9367" spans="1:1" ht="15.75" x14ac:dyDescent="0.25">
      <c r="A9367" s="11"/>
    </row>
    <row r="9368" spans="1:1" ht="15.75" x14ac:dyDescent="0.25">
      <c r="A9368" s="11"/>
    </row>
    <row r="9369" spans="1:1" ht="15.75" x14ac:dyDescent="0.25">
      <c r="A9369" s="11"/>
    </row>
    <row r="9370" spans="1:1" ht="15.75" x14ac:dyDescent="0.25">
      <c r="A9370" s="11"/>
    </row>
    <row r="9371" spans="1:1" ht="15.75" x14ac:dyDescent="0.25">
      <c r="A9371" s="11"/>
    </row>
    <row r="9372" spans="1:1" ht="15.75" x14ac:dyDescent="0.25">
      <c r="A9372" s="11"/>
    </row>
    <row r="9373" spans="1:1" ht="15.75" x14ac:dyDescent="0.25">
      <c r="A9373" s="11"/>
    </row>
    <row r="9374" spans="1:1" ht="15.75" x14ac:dyDescent="0.25">
      <c r="A9374" s="11"/>
    </row>
    <row r="9375" spans="1:1" ht="15.75" x14ac:dyDescent="0.25">
      <c r="A9375" s="11"/>
    </row>
    <row r="9376" spans="1:1" ht="15.75" x14ac:dyDescent="0.25">
      <c r="A9376" s="11"/>
    </row>
    <row r="9377" spans="1:1" ht="15.75" x14ac:dyDescent="0.25">
      <c r="A9377" s="11"/>
    </row>
    <row r="9378" spans="1:1" ht="15.75" x14ac:dyDescent="0.25">
      <c r="A9378" s="11"/>
    </row>
    <row r="9379" spans="1:1" ht="15.75" x14ac:dyDescent="0.25">
      <c r="A9379" s="11"/>
    </row>
    <row r="9380" spans="1:1" ht="15.75" x14ac:dyDescent="0.25">
      <c r="A9380" s="11"/>
    </row>
    <row r="9381" spans="1:1" ht="15.75" x14ac:dyDescent="0.25">
      <c r="A9381" s="11"/>
    </row>
    <row r="9382" spans="1:1" ht="15.75" x14ac:dyDescent="0.25">
      <c r="A9382" s="11"/>
    </row>
    <row r="9383" spans="1:1" ht="15.75" x14ac:dyDescent="0.25">
      <c r="A9383" s="11"/>
    </row>
    <row r="9384" spans="1:1" ht="15.75" x14ac:dyDescent="0.25">
      <c r="A9384" s="11"/>
    </row>
    <row r="9385" spans="1:1" ht="15.75" x14ac:dyDescent="0.25">
      <c r="A9385" s="11"/>
    </row>
    <row r="9386" spans="1:1" ht="15.75" x14ac:dyDescent="0.25">
      <c r="A9386" s="11"/>
    </row>
    <row r="9387" spans="1:1" ht="15.75" x14ac:dyDescent="0.25">
      <c r="A9387" s="11"/>
    </row>
    <row r="9388" spans="1:1" ht="15.75" x14ac:dyDescent="0.25">
      <c r="A9388" s="11"/>
    </row>
    <row r="9389" spans="1:1" ht="15.75" x14ac:dyDescent="0.25">
      <c r="A9389" s="11"/>
    </row>
    <row r="9390" spans="1:1" ht="15.75" x14ac:dyDescent="0.25">
      <c r="A9390" s="11"/>
    </row>
    <row r="9391" spans="1:1" ht="15.75" x14ac:dyDescent="0.25">
      <c r="A9391" s="11"/>
    </row>
    <row r="9392" spans="1:1" ht="15.75" x14ac:dyDescent="0.25">
      <c r="A9392" s="11"/>
    </row>
    <row r="9393" spans="1:1" ht="15.75" x14ac:dyDescent="0.25">
      <c r="A9393" s="11"/>
    </row>
    <row r="9394" spans="1:1" ht="15.75" x14ac:dyDescent="0.25">
      <c r="A9394" s="11"/>
    </row>
    <row r="9395" spans="1:1" ht="15.75" x14ac:dyDescent="0.25">
      <c r="A9395" s="11"/>
    </row>
    <row r="9396" spans="1:1" ht="15.75" x14ac:dyDescent="0.25">
      <c r="A9396" s="11"/>
    </row>
    <row r="9397" spans="1:1" ht="15.75" x14ac:dyDescent="0.25">
      <c r="A9397" s="11"/>
    </row>
    <row r="9398" spans="1:1" ht="15.75" x14ac:dyDescent="0.25">
      <c r="A9398" s="11"/>
    </row>
    <row r="9399" spans="1:1" ht="15.75" x14ac:dyDescent="0.25">
      <c r="A9399" s="11"/>
    </row>
    <row r="9400" spans="1:1" ht="15.75" x14ac:dyDescent="0.25">
      <c r="A9400" s="11"/>
    </row>
    <row r="9401" spans="1:1" ht="15.75" x14ac:dyDescent="0.25">
      <c r="A9401" s="11"/>
    </row>
    <row r="9402" spans="1:1" ht="15.75" x14ac:dyDescent="0.25">
      <c r="A9402" s="11"/>
    </row>
    <row r="9403" spans="1:1" ht="15.75" x14ac:dyDescent="0.25">
      <c r="A9403" s="11"/>
    </row>
    <row r="9404" spans="1:1" ht="15.75" x14ac:dyDescent="0.25">
      <c r="A9404" s="11"/>
    </row>
    <row r="9405" spans="1:1" ht="15.75" x14ac:dyDescent="0.25">
      <c r="A9405" s="11"/>
    </row>
    <row r="9406" spans="1:1" ht="15.75" x14ac:dyDescent="0.25">
      <c r="A9406" s="11"/>
    </row>
    <row r="9407" spans="1:1" ht="15.75" x14ac:dyDescent="0.25">
      <c r="A9407" s="11"/>
    </row>
    <row r="9408" spans="1:1" ht="15.75" x14ac:dyDescent="0.25">
      <c r="A9408" s="11"/>
    </row>
    <row r="9409" spans="1:1" ht="15.75" x14ac:dyDescent="0.25">
      <c r="A9409" s="11"/>
    </row>
    <row r="9410" spans="1:1" ht="15.75" x14ac:dyDescent="0.25">
      <c r="A9410" s="11"/>
    </row>
    <row r="9411" spans="1:1" ht="15.75" x14ac:dyDescent="0.25">
      <c r="A9411" s="11"/>
    </row>
    <row r="9412" spans="1:1" ht="15.75" x14ac:dyDescent="0.25">
      <c r="A9412" s="11"/>
    </row>
    <row r="9413" spans="1:1" ht="15.75" x14ac:dyDescent="0.25">
      <c r="A9413" s="11"/>
    </row>
    <row r="9414" spans="1:1" ht="15.75" x14ac:dyDescent="0.25">
      <c r="A9414" s="11"/>
    </row>
    <row r="9415" spans="1:1" ht="15.75" x14ac:dyDescent="0.25">
      <c r="A9415" s="11"/>
    </row>
    <row r="9416" spans="1:1" ht="15.75" x14ac:dyDescent="0.25">
      <c r="A9416" s="11"/>
    </row>
    <row r="9417" spans="1:1" ht="15.75" x14ac:dyDescent="0.25">
      <c r="A9417" s="11"/>
    </row>
    <row r="9418" spans="1:1" ht="15.75" x14ac:dyDescent="0.25">
      <c r="A9418" s="11"/>
    </row>
    <row r="9419" spans="1:1" ht="15.75" x14ac:dyDescent="0.25">
      <c r="A9419" s="11"/>
    </row>
    <row r="9420" spans="1:1" ht="15.75" x14ac:dyDescent="0.25">
      <c r="A9420" s="11"/>
    </row>
    <row r="9421" spans="1:1" ht="15.75" x14ac:dyDescent="0.25">
      <c r="A9421" s="11"/>
    </row>
    <row r="9422" spans="1:1" ht="15.75" x14ac:dyDescent="0.25">
      <c r="A9422" s="11"/>
    </row>
    <row r="9423" spans="1:1" ht="15.75" x14ac:dyDescent="0.25">
      <c r="A9423" s="11"/>
    </row>
    <row r="9424" spans="1:1" ht="15.75" x14ac:dyDescent="0.25">
      <c r="A9424" s="11"/>
    </row>
    <row r="9425" spans="1:1" ht="15.75" x14ac:dyDescent="0.25">
      <c r="A9425" s="11"/>
    </row>
    <row r="9426" spans="1:1" ht="15.75" x14ac:dyDescent="0.25">
      <c r="A9426" s="11"/>
    </row>
    <row r="9427" spans="1:1" ht="15.75" x14ac:dyDescent="0.25">
      <c r="A9427" s="11"/>
    </row>
    <row r="9428" spans="1:1" ht="15.75" x14ac:dyDescent="0.25">
      <c r="A9428" s="11"/>
    </row>
    <row r="9429" spans="1:1" ht="15.75" x14ac:dyDescent="0.25">
      <c r="A9429" s="11"/>
    </row>
    <row r="9430" spans="1:1" ht="15.75" x14ac:dyDescent="0.25">
      <c r="A9430" s="11"/>
    </row>
    <row r="9431" spans="1:1" ht="15.75" x14ac:dyDescent="0.25">
      <c r="A9431" s="11"/>
    </row>
    <row r="9432" spans="1:1" ht="15.75" x14ac:dyDescent="0.25">
      <c r="A9432" s="11"/>
    </row>
    <row r="9433" spans="1:1" ht="15.75" x14ac:dyDescent="0.25">
      <c r="A9433" s="11"/>
    </row>
    <row r="9434" spans="1:1" ht="15.75" x14ac:dyDescent="0.25">
      <c r="A9434" s="11"/>
    </row>
    <row r="9435" spans="1:1" ht="15.75" x14ac:dyDescent="0.25">
      <c r="A9435" s="11"/>
    </row>
    <row r="9436" spans="1:1" ht="15.75" x14ac:dyDescent="0.25">
      <c r="A9436" s="11"/>
    </row>
    <row r="9437" spans="1:1" ht="15.75" x14ac:dyDescent="0.25">
      <c r="A9437" s="11"/>
    </row>
    <row r="9438" spans="1:1" ht="15.75" x14ac:dyDescent="0.25">
      <c r="A9438" s="11"/>
    </row>
    <row r="9439" spans="1:1" ht="15.75" x14ac:dyDescent="0.25">
      <c r="A9439" s="11"/>
    </row>
    <row r="9440" spans="1:1" ht="15.75" x14ac:dyDescent="0.25">
      <c r="A9440" s="11"/>
    </row>
    <row r="9441" spans="1:1" ht="15.75" x14ac:dyDescent="0.25">
      <c r="A9441" s="11"/>
    </row>
    <row r="9442" spans="1:1" ht="15.75" x14ac:dyDescent="0.25">
      <c r="A9442" s="11"/>
    </row>
    <row r="9443" spans="1:1" ht="15.75" x14ac:dyDescent="0.25">
      <c r="A9443" s="11"/>
    </row>
    <row r="9444" spans="1:1" ht="15.75" x14ac:dyDescent="0.25">
      <c r="A9444" s="11"/>
    </row>
    <row r="9445" spans="1:1" ht="15.75" x14ac:dyDescent="0.25">
      <c r="A9445" s="11"/>
    </row>
    <row r="9446" spans="1:1" ht="15.75" x14ac:dyDescent="0.25">
      <c r="A9446" s="11"/>
    </row>
    <row r="9447" spans="1:1" ht="15.75" x14ac:dyDescent="0.25">
      <c r="A9447" s="11"/>
    </row>
    <row r="9448" spans="1:1" ht="15.75" x14ac:dyDescent="0.25">
      <c r="A9448" s="11"/>
    </row>
    <row r="9449" spans="1:1" ht="15.75" x14ac:dyDescent="0.25">
      <c r="A9449" s="11"/>
    </row>
    <row r="9450" spans="1:1" ht="15.75" x14ac:dyDescent="0.25">
      <c r="A9450" s="11"/>
    </row>
    <row r="9451" spans="1:1" ht="15.75" x14ac:dyDescent="0.25">
      <c r="A9451" s="11"/>
    </row>
    <row r="9452" spans="1:1" ht="15.75" x14ac:dyDescent="0.25">
      <c r="A9452" s="11"/>
    </row>
    <row r="9453" spans="1:1" ht="15.75" x14ac:dyDescent="0.25">
      <c r="A9453" s="11"/>
    </row>
    <row r="9454" spans="1:1" ht="15.75" x14ac:dyDescent="0.25">
      <c r="A9454" s="11"/>
    </row>
    <row r="9455" spans="1:1" ht="15.75" x14ac:dyDescent="0.25">
      <c r="A9455" s="11"/>
    </row>
    <row r="9456" spans="1:1" ht="15.75" x14ac:dyDescent="0.25">
      <c r="A9456" s="11"/>
    </row>
    <row r="9457" spans="1:1" ht="15.75" x14ac:dyDescent="0.25">
      <c r="A9457" s="11"/>
    </row>
    <row r="9458" spans="1:1" ht="15.75" x14ac:dyDescent="0.25">
      <c r="A9458" s="11"/>
    </row>
    <row r="9459" spans="1:1" ht="15.75" x14ac:dyDescent="0.25">
      <c r="A9459" s="11"/>
    </row>
    <row r="9460" spans="1:1" ht="15.75" x14ac:dyDescent="0.25">
      <c r="A9460" s="11"/>
    </row>
    <row r="9461" spans="1:1" ht="15.75" x14ac:dyDescent="0.25">
      <c r="A9461" s="11"/>
    </row>
    <row r="9462" spans="1:1" ht="15.75" x14ac:dyDescent="0.25">
      <c r="A9462" s="11"/>
    </row>
    <row r="9463" spans="1:1" ht="15.75" x14ac:dyDescent="0.25">
      <c r="A9463" s="11"/>
    </row>
    <row r="9464" spans="1:1" ht="15.75" x14ac:dyDescent="0.25">
      <c r="A9464" s="11"/>
    </row>
    <row r="9465" spans="1:1" ht="15.75" x14ac:dyDescent="0.25">
      <c r="A9465" s="11"/>
    </row>
    <row r="9466" spans="1:1" ht="15.75" x14ac:dyDescent="0.25">
      <c r="A9466" s="11"/>
    </row>
    <row r="9467" spans="1:1" ht="15.75" x14ac:dyDescent="0.25">
      <c r="A9467" s="11"/>
    </row>
    <row r="9468" spans="1:1" ht="15.75" x14ac:dyDescent="0.25">
      <c r="A9468" s="11"/>
    </row>
    <row r="9469" spans="1:1" ht="15.75" x14ac:dyDescent="0.25">
      <c r="A9469" s="11"/>
    </row>
    <row r="9470" spans="1:1" ht="15.75" x14ac:dyDescent="0.25">
      <c r="A9470" s="11"/>
    </row>
    <row r="9471" spans="1:1" ht="15.75" x14ac:dyDescent="0.25">
      <c r="A9471" s="11"/>
    </row>
    <row r="9472" spans="1:1" ht="15.75" x14ac:dyDescent="0.25">
      <c r="A9472" s="11"/>
    </row>
    <row r="9473" spans="1:1" ht="15.75" x14ac:dyDescent="0.25">
      <c r="A9473" s="11"/>
    </row>
    <row r="9474" spans="1:1" ht="15.75" x14ac:dyDescent="0.25">
      <c r="A9474" s="11"/>
    </row>
    <row r="9475" spans="1:1" ht="15.75" x14ac:dyDescent="0.25">
      <c r="A9475" s="11"/>
    </row>
    <row r="9476" spans="1:1" ht="15.75" x14ac:dyDescent="0.25">
      <c r="A9476" s="11"/>
    </row>
    <row r="9477" spans="1:1" ht="15.75" x14ac:dyDescent="0.25">
      <c r="A9477" s="11"/>
    </row>
    <row r="9478" spans="1:1" ht="15.75" x14ac:dyDescent="0.25">
      <c r="A9478" s="11"/>
    </row>
    <row r="9479" spans="1:1" ht="15.75" x14ac:dyDescent="0.25">
      <c r="A9479" s="11"/>
    </row>
    <row r="9480" spans="1:1" ht="15.75" x14ac:dyDescent="0.25">
      <c r="A9480" s="11"/>
    </row>
    <row r="9481" spans="1:1" ht="15.75" x14ac:dyDescent="0.25">
      <c r="A9481" s="11"/>
    </row>
    <row r="9482" spans="1:1" ht="15.75" x14ac:dyDescent="0.25">
      <c r="A9482" s="11"/>
    </row>
    <row r="9483" spans="1:1" ht="15.75" x14ac:dyDescent="0.25">
      <c r="A9483" s="11"/>
    </row>
    <row r="9484" spans="1:1" ht="15.75" x14ac:dyDescent="0.25">
      <c r="A9484" s="11"/>
    </row>
    <row r="9485" spans="1:1" ht="15.75" x14ac:dyDescent="0.25">
      <c r="A9485" s="11"/>
    </row>
    <row r="9486" spans="1:1" ht="15.75" x14ac:dyDescent="0.25">
      <c r="A9486" s="11"/>
    </row>
    <row r="9487" spans="1:1" ht="15.75" x14ac:dyDescent="0.25">
      <c r="A9487" s="11"/>
    </row>
    <row r="9488" spans="1:1" ht="15.75" x14ac:dyDescent="0.25">
      <c r="A9488" s="11"/>
    </row>
    <row r="9489" spans="1:1" ht="15.75" x14ac:dyDescent="0.25">
      <c r="A9489" s="11"/>
    </row>
    <row r="9490" spans="1:1" ht="15.75" x14ac:dyDescent="0.25">
      <c r="A9490" s="11"/>
    </row>
    <row r="9491" spans="1:1" ht="15.75" x14ac:dyDescent="0.25">
      <c r="A9491" s="11"/>
    </row>
    <row r="9492" spans="1:1" ht="15.75" x14ac:dyDescent="0.25">
      <c r="A9492" s="11"/>
    </row>
    <row r="9493" spans="1:1" ht="15.75" x14ac:dyDescent="0.25">
      <c r="A9493" s="11"/>
    </row>
    <row r="9494" spans="1:1" ht="15.75" x14ac:dyDescent="0.25">
      <c r="A9494" s="11"/>
    </row>
    <row r="9495" spans="1:1" ht="15.75" x14ac:dyDescent="0.25">
      <c r="A9495" s="11"/>
    </row>
    <row r="9496" spans="1:1" ht="15.75" x14ac:dyDescent="0.25">
      <c r="A9496" s="11"/>
    </row>
    <row r="9497" spans="1:1" ht="15.75" x14ac:dyDescent="0.25">
      <c r="A9497" s="11"/>
    </row>
    <row r="9498" spans="1:1" ht="15.75" x14ac:dyDescent="0.25">
      <c r="A9498" s="11"/>
    </row>
    <row r="9499" spans="1:1" ht="15.75" x14ac:dyDescent="0.25">
      <c r="A9499" s="11"/>
    </row>
    <row r="9500" spans="1:1" ht="15.75" x14ac:dyDescent="0.25">
      <c r="A9500" s="11"/>
    </row>
    <row r="9501" spans="1:1" ht="15.75" x14ac:dyDescent="0.25">
      <c r="A9501" s="11"/>
    </row>
    <row r="9502" spans="1:1" ht="15.75" x14ac:dyDescent="0.25">
      <c r="A9502" s="11"/>
    </row>
    <row r="9503" spans="1:1" ht="15.75" x14ac:dyDescent="0.25">
      <c r="A9503" s="11"/>
    </row>
    <row r="9504" spans="1:1" ht="15.75" x14ac:dyDescent="0.25">
      <c r="A9504" s="11"/>
    </row>
    <row r="9505" spans="1:1" ht="15.75" x14ac:dyDescent="0.25">
      <c r="A9505" s="11"/>
    </row>
    <row r="9506" spans="1:1" ht="15.75" x14ac:dyDescent="0.25">
      <c r="A9506" s="11"/>
    </row>
    <row r="9507" spans="1:1" ht="15.75" x14ac:dyDescent="0.25">
      <c r="A9507" s="11"/>
    </row>
    <row r="9508" spans="1:1" ht="15.75" x14ac:dyDescent="0.25">
      <c r="A9508" s="11"/>
    </row>
    <row r="9509" spans="1:1" ht="15.75" x14ac:dyDescent="0.25">
      <c r="A9509" s="11"/>
    </row>
    <row r="9510" spans="1:1" ht="15.75" x14ac:dyDescent="0.25">
      <c r="A9510" s="11"/>
    </row>
    <row r="9511" spans="1:1" ht="15.75" x14ac:dyDescent="0.25">
      <c r="A9511" s="11"/>
    </row>
    <row r="9512" spans="1:1" ht="15.75" x14ac:dyDescent="0.25">
      <c r="A9512" s="11"/>
    </row>
    <row r="9513" spans="1:1" ht="15.75" x14ac:dyDescent="0.25">
      <c r="A9513" s="11"/>
    </row>
    <row r="9514" spans="1:1" ht="15.75" x14ac:dyDescent="0.25">
      <c r="A9514" s="11"/>
    </row>
    <row r="9515" spans="1:1" ht="15.75" x14ac:dyDescent="0.25">
      <c r="A9515" s="11"/>
    </row>
    <row r="9516" spans="1:1" ht="15.75" x14ac:dyDescent="0.25">
      <c r="A9516" s="11"/>
    </row>
    <row r="9517" spans="1:1" ht="15.75" x14ac:dyDescent="0.25">
      <c r="A9517" s="11"/>
    </row>
    <row r="9518" spans="1:1" ht="15.75" x14ac:dyDescent="0.25">
      <c r="A9518" s="11"/>
    </row>
    <row r="9519" spans="1:1" ht="15.75" x14ac:dyDescent="0.25">
      <c r="A9519" s="11"/>
    </row>
    <row r="9520" spans="1:1" ht="15.75" x14ac:dyDescent="0.25">
      <c r="A9520" s="11"/>
    </row>
    <row r="9521" spans="1:1" ht="15.75" x14ac:dyDescent="0.25">
      <c r="A9521" s="11"/>
    </row>
    <row r="9522" spans="1:1" ht="15.75" x14ac:dyDescent="0.25">
      <c r="A9522" s="11"/>
    </row>
    <row r="9523" spans="1:1" ht="15.75" x14ac:dyDescent="0.25">
      <c r="A9523" s="11"/>
    </row>
    <row r="9524" spans="1:1" ht="15.75" x14ac:dyDescent="0.25">
      <c r="A9524" s="11"/>
    </row>
    <row r="9525" spans="1:1" ht="15.75" x14ac:dyDescent="0.25">
      <c r="A9525" s="11"/>
    </row>
    <row r="9526" spans="1:1" ht="15.75" x14ac:dyDescent="0.25">
      <c r="A9526" s="11"/>
    </row>
    <row r="9527" spans="1:1" ht="15.75" x14ac:dyDescent="0.25">
      <c r="A9527" s="11"/>
    </row>
    <row r="9528" spans="1:1" ht="15.75" x14ac:dyDescent="0.25">
      <c r="A9528" s="11"/>
    </row>
    <row r="9529" spans="1:1" ht="15.75" x14ac:dyDescent="0.25">
      <c r="A9529" s="11"/>
    </row>
    <row r="9530" spans="1:1" ht="15.75" x14ac:dyDescent="0.25">
      <c r="A9530" s="11"/>
    </row>
    <row r="9531" spans="1:1" ht="15.75" x14ac:dyDescent="0.25">
      <c r="A9531" s="11"/>
    </row>
    <row r="9532" spans="1:1" ht="15.75" x14ac:dyDescent="0.25">
      <c r="A9532" s="11"/>
    </row>
    <row r="9533" spans="1:1" ht="15.75" x14ac:dyDescent="0.25">
      <c r="A9533" s="11"/>
    </row>
    <row r="9534" spans="1:1" ht="15.75" x14ac:dyDescent="0.25">
      <c r="A9534" s="11"/>
    </row>
    <row r="9535" spans="1:1" ht="15.75" x14ac:dyDescent="0.25">
      <c r="A9535" s="11"/>
    </row>
    <row r="9536" spans="1:1" ht="15.75" x14ac:dyDescent="0.25">
      <c r="A9536" s="11"/>
    </row>
    <row r="9537" spans="1:1" ht="15.75" x14ac:dyDescent="0.25">
      <c r="A9537" s="11"/>
    </row>
    <row r="9538" spans="1:1" ht="15.75" x14ac:dyDescent="0.25">
      <c r="A9538" s="11"/>
    </row>
    <row r="9539" spans="1:1" ht="15.75" x14ac:dyDescent="0.25">
      <c r="A9539" s="11"/>
    </row>
    <row r="9540" spans="1:1" ht="15.75" x14ac:dyDescent="0.25">
      <c r="A9540" s="11"/>
    </row>
    <row r="9541" spans="1:1" ht="15.75" x14ac:dyDescent="0.25">
      <c r="A9541" s="11"/>
    </row>
    <row r="9542" spans="1:1" ht="15.75" x14ac:dyDescent="0.25">
      <c r="A9542" s="11"/>
    </row>
    <row r="9543" spans="1:1" ht="15.75" x14ac:dyDescent="0.25">
      <c r="A9543" s="11"/>
    </row>
    <row r="9544" spans="1:1" ht="15.75" x14ac:dyDescent="0.25">
      <c r="A9544" s="11"/>
    </row>
    <row r="9545" spans="1:1" ht="15.75" x14ac:dyDescent="0.25">
      <c r="A9545" s="11"/>
    </row>
    <row r="9546" spans="1:1" ht="15.75" x14ac:dyDescent="0.25">
      <c r="A9546" s="11"/>
    </row>
    <row r="9547" spans="1:1" ht="15.75" x14ac:dyDescent="0.25">
      <c r="A9547" s="11"/>
    </row>
    <row r="9548" spans="1:1" ht="15.75" x14ac:dyDescent="0.25">
      <c r="A9548" s="11"/>
    </row>
    <row r="9549" spans="1:1" ht="15.75" x14ac:dyDescent="0.25">
      <c r="A9549" s="11"/>
    </row>
    <row r="9550" spans="1:1" ht="15.75" x14ac:dyDescent="0.25">
      <c r="A9550" s="11"/>
    </row>
    <row r="9551" spans="1:1" ht="15.75" x14ac:dyDescent="0.25">
      <c r="A9551" s="11"/>
    </row>
    <row r="9552" spans="1:1" ht="15.75" x14ac:dyDescent="0.25">
      <c r="A9552" s="11"/>
    </row>
    <row r="9553" spans="1:1" ht="15.75" x14ac:dyDescent="0.25">
      <c r="A9553" s="11"/>
    </row>
    <row r="9554" spans="1:1" ht="15.75" x14ac:dyDescent="0.25">
      <c r="A9554" s="11"/>
    </row>
    <row r="9555" spans="1:1" ht="15.75" x14ac:dyDescent="0.25">
      <c r="A9555" s="11"/>
    </row>
    <row r="9556" spans="1:1" ht="15.75" x14ac:dyDescent="0.25">
      <c r="A9556" s="11"/>
    </row>
    <row r="9557" spans="1:1" ht="15.75" x14ac:dyDescent="0.25">
      <c r="A9557" s="11"/>
    </row>
    <row r="9558" spans="1:1" ht="15.75" x14ac:dyDescent="0.25">
      <c r="A9558" s="11"/>
    </row>
    <row r="9559" spans="1:1" ht="15.75" x14ac:dyDescent="0.25">
      <c r="A9559" s="11"/>
    </row>
    <row r="9560" spans="1:1" ht="15.75" x14ac:dyDescent="0.25">
      <c r="A9560" s="11"/>
    </row>
    <row r="9561" spans="1:1" ht="15.75" x14ac:dyDescent="0.25">
      <c r="A9561" s="11"/>
    </row>
    <row r="9562" spans="1:1" ht="15.75" x14ac:dyDescent="0.25">
      <c r="A9562" s="11"/>
    </row>
    <row r="9563" spans="1:1" ht="15.75" x14ac:dyDescent="0.25">
      <c r="A9563" s="11"/>
    </row>
    <row r="9564" spans="1:1" ht="15.75" x14ac:dyDescent="0.25">
      <c r="A9564" s="11"/>
    </row>
    <row r="9565" spans="1:1" ht="15.75" x14ac:dyDescent="0.25">
      <c r="A9565" s="11"/>
    </row>
    <row r="9566" spans="1:1" ht="15.75" x14ac:dyDescent="0.25">
      <c r="A9566" s="11"/>
    </row>
    <row r="9567" spans="1:1" ht="15.75" x14ac:dyDescent="0.25">
      <c r="A9567" s="11"/>
    </row>
    <row r="9568" spans="1:1" ht="15.75" x14ac:dyDescent="0.25">
      <c r="A9568" s="11"/>
    </row>
    <row r="9569" spans="1:1" ht="15.75" x14ac:dyDescent="0.25">
      <c r="A9569" s="11"/>
    </row>
    <row r="9570" spans="1:1" ht="15.75" x14ac:dyDescent="0.25">
      <c r="A9570" s="11"/>
    </row>
    <row r="9571" spans="1:1" ht="15.75" x14ac:dyDescent="0.25">
      <c r="A9571" s="11"/>
    </row>
    <row r="9572" spans="1:1" ht="15.75" x14ac:dyDescent="0.25">
      <c r="A9572" s="11"/>
    </row>
    <row r="9573" spans="1:1" ht="15.75" x14ac:dyDescent="0.25">
      <c r="A9573" s="11"/>
    </row>
    <row r="9574" spans="1:1" ht="15.75" x14ac:dyDescent="0.25">
      <c r="A9574" s="11"/>
    </row>
    <row r="9575" spans="1:1" ht="15.75" x14ac:dyDescent="0.25">
      <c r="A9575" s="11"/>
    </row>
    <row r="9576" spans="1:1" ht="15.75" x14ac:dyDescent="0.25">
      <c r="A9576" s="11"/>
    </row>
    <row r="9577" spans="1:1" ht="15.75" x14ac:dyDescent="0.25">
      <c r="A9577" s="11"/>
    </row>
    <row r="9578" spans="1:1" ht="15.75" x14ac:dyDescent="0.25">
      <c r="A9578" s="11"/>
    </row>
    <row r="9579" spans="1:1" ht="15.75" x14ac:dyDescent="0.25">
      <c r="A9579" s="11"/>
    </row>
    <row r="9580" spans="1:1" ht="15.75" x14ac:dyDescent="0.25">
      <c r="A9580" s="11"/>
    </row>
    <row r="9581" spans="1:1" ht="15.75" x14ac:dyDescent="0.25">
      <c r="A9581" s="11"/>
    </row>
    <row r="9582" spans="1:1" ht="15.75" x14ac:dyDescent="0.25">
      <c r="A9582" s="11"/>
    </row>
    <row r="9583" spans="1:1" ht="15.75" x14ac:dyDescent="0.25">
      <c r="A9583" s="11"/>
    </row>
    <row r="9584" spans="1:1" ht="15.75" x14ac:dyDescent="0.25">
      <c r="A9584" s="11"/>
    </row>
    <row r="9585" spans="1:1" ht="15.75" x14ac:dyDescent="0.25">
      <c r="A9585" s="11"/>
    </row>
    <row r="9586" spans="1:1" ht="15.75" x14ac:dyDescent="0.25">
      <c r="A9586" s="11"/>
    </row>
    <row r="9587" spans="1:1" ht="15.75" x14ac:dyDescent="0.25">
      <c r="A9587" s="11"/>
    </row>
    <row r="9588" spans="1:1" ht="15.75" x14ac:dyDescent="0.25">
      <c r="A9588" s="11"/>
    </row>
    <row r="9589" spans="1:1" ht="15.75" x14ac:dyDescent="0.25">
      <c r="A9589" s="11"/>
    </row>
    <row r="9590" spans="1:1" ht="15.75" x14ac:dyDescent="0.25">
      <c r="A9590" s="11"/>
    </row>
    <row r="9591" spans="1:1" ht="15.75" x14ac:dyDescent="0.25">
      <c r="A9591" s="11"/>
    </row>
    <row r="9592" spans="1:1" ht="15.75" x14ac:dyDescent="0.25">
      <c r="A9592" s="11"/>
    </row>
    <row r="9593" spans="1:1" ht="15.75" x14ac:dyDescent="0.25">
      <c r="A9593" s="11"/>
    </row>
    <row r="9594" spans="1:1" ht="15.75" x14ac:dyDescent="0.25">
      <c r="A9594" s="11"/>
    </row>
    <row r="9595" spans="1:1" ht="15.75" x14ac:dyDescent="0.25">
      <c r="A9595" s="11"/>
    </row>
    <row r="9596" spans="1:1" ht="15.75" x14ac:dyDescent="0.25">
      <c r="A9596" s="11"/>
    </row>
    <row r="9597" spans="1:1" ht="15.75" x14ac:dyDescent="0.25">
      <c r="A9597" s="11"/>
    </row>
    <row r="9598" spans="1:1" ht="15.75" x14ac:dyDescent="0.25">
      <c r="A9598" s="11"/>
    </row>
    <row r="9599" spans="1:1" ht="15.75" x14ac:dyDescent="0.25">
      <c r="A9599" s="11"/>
    </row>
    <row r="9600" spans="1:1" ht="15.75" x14ac:dyDescent="0.25">
      <c r="A9600" s="11"/>
    </row>
    <row r="9601" spans="1:1" ht="15.75" x14ac:dyDescent="0.25">
      <c r="A9601" s="11"/>
    </row>
    <row r="9602" spans="1:1" ht="15.75" x14ac:dyDescent="0.25">
      <c r="A9602" s="11"/>
    </row>
    <row r="9603" spans="1:1" ht="15.75" x14ac:dyDescent="0.25">
      <c r="A9603" s="11"/>
    </row>
    <row r="9604" spans="1:1" ht="15.75" x14ac:dyDescent="0.25">
      <c r="A9604" s="11"/>
    </row>
    <row r="9605" spans="1:1" ht="15.75" x14ac:dyDescent="0.25">
      <c r="A9605" s="11"/>
    </row>
    <row r="9606" spans="1:1" ht="15.75" x14ac:dyDescent="0.25">
      <c r="A9606" s="11"/>
    </row>
    <row r="9607" spans="1:1" ht="15.75" x14ac:dyDescent="0.25">
      <c r="A9607" s="11"/>
    </row>
    <row r="9608" spans="1:1" ht="15.75" x14ac:dyDescent="0.25">
      <c r="A9608" s="11"/>
    </row>
    <row r="9609" spans="1:1" ht="15.75" x14ac:dyDescent="0.25">
      <c r="A9609" s="11"/>
    </row>
    <row r="9610" spans="1:1" ht="15.75" x14ac:dyDescent="0.25">
      <c r="A9610" s="11"/>
    </row>
    <row r="9611" spans="1:1" ht="15.75" x14ac:dyDescent="0.25">
      <c r="A9611" s="11"/>
    </row>
    <row r="9612" spans="1:1" ht="15.75" x14ac:dyDescent="0.25">
      <c r="A9612" s="11"/>
    </row>
    <row r="9613" spans="1:1" ht="15.75" x14ac:dyDescent="0.25">
      <c r="A9613" s="11"/>
    </row>
    <row r="9614" spans="1:1" ht="15.75" x14ac:dyDescent="0.25">
      <c r="A9614" s="11"/>
    </row>
    <row r="9615" spans="1:1" ht="15.75" x14ac:dyDescent="0.25">
      <c r="A9615" s="11"/>
    </row>
    <row r="9616" spans="1:1" ht="15.75" x14ac:dyDescent="0.25">
      <c r="A9616" s="11"/>
    </row>
    <row r="9617" spans="1:1" ht="15.75" x14ac:dyDescent="0.25">
      <c r="A9617" s="11"/>
    </row>
    <row r="9618" spans="1:1" ht="15.75" x14ac:dyDescent="0.25">
      <c r="A9618" s="11"/>
    </row>
    <row r="9619" spans="1:1" ht="15.75" x14ac:dyDescent="0.25">
      <c r="A9619" s="11"/>
    </row>
    <row r="9620" spans="1:1" ht="15.75" x14ac:dyDescent="0.25">
      <c r="A9620" s="11"/>
    </row>
    <row r="9621" spans="1:1" ht="15.75" x14ac:dyDescent="0.25">
      <c r="A9621" s="11"/>
    </row>
    <row r="9622" spans="1:1" ht="15.75" x14ac:dyDescent="0.25">
      <c r="A9622" s="11"/>
    </row>
    <row r="9623" spans="1:1" ht="15.75" x14ac:dyDescent="0.25">
      <c r="A9623" s="11"/>
    </row>
    <row r="9624" spans="1:1" ht="15.75" x14ac:dyDescent="0.25">
      <c r="A9624" s="11"/>
    </row>
    <row r="9625" spans="1:1" ht="15.75" x14ac:dyDescent="0.25">
      <c r="A9625" s="11"/>
    </row>
    <row r="9626" spans="1:1" ht="15.75" x14ac:dyDescent="0.25">
      <c r="A9626" s="11"/>
    </row>
    <row r="9627" spans="1:1" ht="15.75" x14ac:dyDescent="0.25">
      <c r="A9627" s="11"/>
    </row>
    <row r="9628" spans="1:1" ht="15.75" x14ac:dyDescent="0.25">
      <c r="A9628" s="11"/>
    </row>
    <row r="9629" spans="1:1" ht="15.75" x14ac:dyDescent="0.25">
      <c r="A9629" s="11"/>
    </row>
    <row r="9630" spans="1:1" ht="15.75" x14ac:dyDescent="0.25">
      <c r="A9630" s="11"/>
    </row>
    <row r="9631" spans="1:1" ht="15.75" x14ac:dyDescent="0.25">
      <c r="A9631" s="11"/>
    </row>
    <row r="9632" spans="1:1" ht="15.75" x14ac:dyDescent="0.25">
      <c r="A9632" s="11"/>
    </row>
    <row r="9633" spans="1:1" ht="15.75" x14ac:dyDescent="0.25">
      <c r="A9633" s="11"/>
    </row>
    <row r="9634" spans="1:1" ht="15.75" x14ac:dyDescent="0.25">
      <c r="A9634" s="11"/>
    </row>
    <row r="9635" spans="1:1" ht="15.75" x14ac:dyDescent="0.25">
      <c r="A9635" s="11"/>
    </row>
    <row r="9636" spans="1:1" ht="15.75" x14ac:dyDescent="0.25">
      <c r="A9636" s="11"/>
    </row>
    <row r="9637" spans="1:1" ht="15.75" x14ac:dyDescent="0.25">
      <c r="A9637" s="11"/>
    </row>
    <row r="9638" spans="1:1" ht="15.75" x14ac:dyDescent="0.25">
      <c r="A9638" s="11"/>
    </row>
    <row r="9639" spans="1:1" ht="15.75" x14ac:dyDescent="0.25">
      <c r="A9639" s="11"/>
    </row>
    <row r="9640" spans="1:1" ht="15.75" x14ac:dyDescent="0.25">
      <c r="A9640" s="11"/>
    </row>
    <row r="9641" spans="1:1" ht="15.75" x14ac:dyDescent="0.25">
      <c r="A9641" s="11"/>
    </row>
    <row r="9642" spans="1:1" ht="15.75" x14ac:dyDescent="0.25">
      <c r="A9642" s="11"/>
    </row>
    <row r="9643" spans="1:1" ht="15.75" x14ac:dyDescent="0.25">
      <c r="A9643" s="11"/>
    </row>
    <row r="9644" spans="1:1" ht="15.75" x14ac:dyDescent="0.25">
      <c r="A9644" s="11"/>
    </row>
    <row r="9645" spans="1:1" ht="15.75" x14ac:dyDescent="0.25">
      <c r="A9645" s="11"/>
    </row>
    <row r="9646" spans="1:1" ht="15.75" x14ac:dyDescent="0.25">
      <c r="A9646" s="11"/>
    </row>
    <row r="9647" spans="1:1" ht="15.75" x14ac:dyDescent="0.25">
      <c r="A9647" s="11"/>
    </row>
    <row r="9648" spans="1:1" ht="15.75" x14ac:dyDescent="0.25">
      <c r="A9648" s="11"/>
    </row>
    <row r="9649" spans="1:1" ht="15.75" x14ac:dyDescent="0.25">
      <c r="A9649" s="11"/>
    </row>
    <row r="9650" spans="1:1" ht="15.75" x14ac:dyDescent="0.25">
      <c r="A9650" s="11"/>
    </row>
    <row r="9651" spans="1:1" ht="15.75" x14ac:dyDescent="0.25">
      <c r="A9651" s="11"/>
    </row>
    <row r="9652" spans="1:1" ht="15.75" x14ac:dyDescent="0.25">
      <c r="A9652" s="11"/>
    </row>
    <row r="9653" spans="1:1" ht="15.75" x14ac:dyDescent="0.25">
      <c r="A9653" s="11"/>
    </row>
    <row r="9654" spans="1:1" ht="15.75" x14ac:dyDescent="0.25">
      <c r="A9654" s="11"/>
    </row>
    <row r="9655" spans="1:1" ht="15.75" x14ac:dyDescent="0.25">
      <c r="A9655" s="11"/>
    </row>
    <row r="9656" spans="1:1" ht="15.75" x14ac:dyDescent="0.25">
      <c r="A9656" s="11"/>
    </row>
    <row r="9657" spans="1:1" ht="15.75" x14ac:dyDescent="0.25">
      <c r="A9657" s="11"/>
    </row>
    <row r="9658" spans="1:1" ht="15.75" x14ac:dyDescent="0.25">
      <c r="A9658" s="11"/>
    </row>
  </sheetData>
  <mergeCells count="17">
    <mergeCell ref="V5:X5"/>
    <mergeCell ref="M4:O4"/>
    <mergeCell ref="B3:J3"/>
    <mergeCell ref="A1:F1"/>
    <mergeCell ref="M3:X3"/>
    <mergeCell ref="E5:G5"/>
    <mergeCell ref="H5:J5"/>
    <mergeCell ref="B4:D4"/>
    <mergeCell ref="M5:O5"/>
    <mergeCell ref="P5:R5"/>
    <mergeCell ref="S4:U4"/>
    <mergeCell ref="S5:U5"/>
    <mergeCell ref="B5:D5"/>
    <mergeCell ref="E4:G4"/>
    <mergeCell ref="H4:J4"/>
    <mergeCell ref="V4:X4"/>
    <mergeCell ref="P4:R4"/>
  </mergeCells>
  <phoneticPr fontId="41" type="noConversion"/>
  <printOptions horizontalCentered="1"/>
  <pageMargins left="0.25" right="0.25" top="0.5" bottom="0.5" header="0.17" footer="0.25"/>
  <pageSetup orientation="landscape" r:id="rId1"/>
  <headerFooter alignWithMargins="0"/>
  <rowBreaks count="5" manualBreakCount="5">
    <brk id="101" max="24" man="1"/>
    <brk id="164" max="24" man="1"/>
    <brk id="195" max="24" man="1"/>
    <brk id="226" max="24" man="1"/>
    <brk id="290" max="24" man="1"/>
  </row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76"/>
  <sheetViews>
    <sheetView zoomScale="87" zoomScaleNormal="87" zoomScaleSheetLayoutView="88" workbookViewId="0">
      <selection activeCell="H2" sqref="H2:I2"/>
    </sheetView>
  </sheetViews>
  <sheetFormatPr defaultColWidth="9" defaultRowHeight="12.75" x14ac:dyDescent="0.2"/>
  <cols>
    <col min="1" max="1" width="22.125" style="6" customWidth="1"/>
    <col min="2" max="3" width="12.875" style="6" customWidth="1"/>
    <col min="4" max="4" width="12.125" style="6" customWidth="1"/>
    <col min="5" max="5" width="12.875" style="6" customWidth="1"/>
    <col min="6" max="6" width="15.125" style="6" customWidth="1"/>
    <col min="7" max="7" width="11.375" style="6" customWidth="1"/>
    <col min="8" max="8" width="13.75" style="6" customWidth="1"/>
    <col min="9" max="9" width="10.625" style="6" customWidth="1"/>
    <col min="10" max="16384" width="9" style="6"/>
  </cols>
  <sheetData>
    <row r="1" spans="1:9" s="4" customFormat="1" ht="15.75" x14ac:dyDescent="0.25">
      <c r="A1" s="148" t="s">
        <v>53</v>
      </c>
      <c r="B1" s="149"/>
      <c r="C1" s="149"/>
      <c r="D1" s="149"/>
      <c r="E1" s="149"/>
      <c r="F1" s="149"/>
      <c r="G1" s="302" t="s">
        <v>217</v>
      </c>
      <c r="H1" s="299">
        <v>39325</v>
      </c>
      <c r="I1" s="299"/>
    </row>
    <row r="2" spans="1:9" s="5" customFormat="1" ht="15.75" x14ac:dyDescent="0.25">
      <c r="A2" s="150" t="s">
        <v>0</v>
      </c>
      <c r="B2" s="128"/>
      <c r="C2" s="128"/>
      <c r="D2" s="128"/>
      <c r="E2" s="262"/>
      <c r="F2" s="128"/>
      <c r="G2" s="302"/>
      <c r="H2" s="300">
        <f>H1</f>
        <v>39325</v>
      </c>
      <c r="I2" s="300"/>
    </row>
    <row r="3" spans="1:9" x14ac:dyDescent="0.2">
      <c r="A3" s="257" t="s">
        <v>202</v>
      </c>
      <c r="B3" s="119"/>
      <c r="C3" s="119"/>
      <c r="D3" s="119"/>
      <c r="E3" s="263"/>
      <c r="F3" s="119"/>
      <c r="G3" s="119"/>
      <c r="H3" s="119"/>
      <c r="I3" s="119"/>
    </row>
    <row r="4" spans="1:9" x14ac:dyDescent="0.2">
      <c r="A4" s="157"/>
      <c r="B4" s="157"/>
      <c r="C4" s="157"/>
      <c r="D4" s="157"/>
      <c r="E4" s="157"/>
      <c r="F4" s="157"/>
      <c r="G4" s="157"/>
      <c r="H4" s="157"/>
      <c r="I4" s="157"/>
    </row>
    <row r="5" spans="1:9" x14ac:dyDescent="0.2">
      <c r="A5" s="119"/>
      <c r="B5" s="119"/>
      <c r="C5" s="119"/>
      <c r="D5" s="119"/>
      <c r="E5" s="119"/>
      <c r="F5" s="119"/>
      <c r="G5" s="119"/>
      <c r="H5" s="119"/>
      <c r="I5" s="119"/>
    </row>
    <row r="6" spans="1:9" x14ac:dyDescent="0.2">
      <c r="A6" s="301" t="s">
        <v>37</v>
      </c>
      <c r="B6" s="301"/>
      <c r="C6" s="301"/>
      <c r="D6" s="301"/>
      <c r="E6" s="119"/>
      <c r="F6" s="294" t="s">
        <v>33</v>
      </c>
      <c r="G6" s="294"/>
      <c r="H6" s="294"/>
      <c r="I6" s="294"/>
    </row>
    <row r="7" spans="1:9" x14ac:dyDescent="0.2">
      <c r="A7" s="118"/>
      <c r="B7" s="118"/>
      <c r="C7" s="118"/>
      <c r="D7" s="118"/>
      <c r="E7" s="119"/>
      <c r="F7" s="119"/>
      <c r="G7" s="119"/>
      <c r="H7" s="119"/>
      <c r="I7" s="119"/>
    </row>
    <row r="8" spans="1:9" ht="15" x14ac:dyDescent="0.35">
      <c r="A8" s="118"/>
      <c r="B8" s="118"/>
      <c r="C8" s="118"/>
      <c r="D8" s="118" t="s">
        <v>8</v>
      </c>
      <c r="E8" s="119"/>
      <c r="F8" s="119"/>
      <c r="G8" s="119"/>
      <c r="H8" s="120" t="s">
        <v>13</v>
      </c>
      <c r="I8" s="120" t="s">
        <v>14</v>
      </c>
    </row>
    <row r="9" spans="1:9" ht="15" x14ac:dyDescent="0.35">
      <c r="A9" s="118"/>
      <c r="B9" s="120" t="s">
        <v>6</v>
      </c>
      <c r="C9" s="120" t="s">
        <v>7</v>
      </c>
      <c r="D9" s="121" t="s">
        <v>9</v>
      </c>
      <c r="E9" s="119"/>
      <c r="F9" s="119"/>
      <c r="G9" s="119"/>
      <c r="H9" s="119"/>
      <c r="I9" s="119"/>
    </row>
    <row r="10" spans="1:9" x14ac:dyDescent="0.2">
      <c r="A10" s="118"/>
      <c r="B10" s="118"/>
      <c r="C10" s="118"/>
      <c r="D10" s="122"/>
      <c r="E10" s="119"/>
      <c r="F10" s="129" t="s">
        <v>34</v>
      </c>
      <c r="G10" s="119"/>
      <c r="H10" s="130">
        <f>VLOOKUP(H1,Stations,8,FALSE)</f>
        <v>24779</v>
      </c>
      <c r="I10" s="139">
        <f>VLOOKUP(H1,Stations,7,FALSE)</f>
        <v>34670</v>
      </c>
    </row>
    <row r="11" spans="1:9" x14ac:dyDescent="0.2">
      <c r="A11" s="119" t="s">
        <v>4</v>
      </c>
      <c r="B11" s="130" t="e">
        <f>IF($B$35=VLOOKUP(H1,Sendout,6,FALSE),VLOOKUP(H1,Sendout,6,FALSE),"error")</f>
        <v>#REF!</v>
      </c>
      <c r="C11" s="130" t="e">
        <f>IF($B$11="ERROR","",VLOOKUP(H1,Sendout,10,FALSE))</f>
        <v>#REF!</v>
      </c>
      <c r="D11" s="131" t="e">
        <f>+B11-C11</f>
        <v>#REF!</v>
      </c>
      <c r="E11" s="119"/>
      <c r="F11" s="171" t="s">
        <v>35</v>
      </c>
      <c r="G11" s="119"/>
      <c r="H11" s="133" t="e">
        <f>VLOOKUP(H1,Stations,16,FALSE)</f>
        <v>#REF!</v>
      </c>
      <c r="I11" s="123" t="e">
        <f>VLOOKUP(H1,Stations,15,FALSE)</f>
        <v>#REF!</v>
      </c>
    </row>
    <row r="12" spans="1:9" x14ac:dyDescent="0.2">
      <c r="A12" s="119" t="s">
        <v>5</v>
      </c>
      <c r="B12" s="130" t="e">
        <f>IF($B$35=VLOOKUP(H1,Sendout,6,FALSE),VLOOKUP(H1,Sendout,7,FALSE),"error")</f>
        <v>#REF!</v>
      </c>
      <c r="C12" s="130" t="e">
        <f>IF($B$11="ERROR","",VLOOKUP(H1,Sendout,11,FALSE))</f>
        <v>#REF!</v>
      </c>
      <c r="D12" s="131" t="e">
        <f>+B12-C12</f>
        <v>#REF!</v>
      </c>
      <c r="E12" s="119"/>
      <c r="F12" s="119" t="s">
        <v>17</v>
      </c>
      <c r="G12" s="119"/>
      <c r="H12" s="130" t="e">
        <f>SUM(H10:H11)</f>
        <v>#REF!</v>
      </c>
      <c r="I12" s="151" t="e">
        <f>ROUND(((H9*I9)+(H10*I10)+(H11*I11))/H12,0)</f>
        <v>#REF!</v>
      </c>
    </row>
    <row r="13" spans="1:9" x14ac:dyDescent="0.2">
      <c r="A13" s="126" t="s">
        <v>12</v>
      </c>
      <c r="B13" s="130" t="e">
        <f>IF($B$35=VLOOKUP(H1,Sendout,6,FALSE),VLOOKUP(H1,Sendout,8,FALSE),"error")</f>
        <v>#REF!</v>
      </c>
      <c r="C13" s="130" t="e">
        <f>IF($B$11="ERROR","",VLOOKUP(H1,Sendout,12,FALSE))</f>
        <v>#REF!</v>
      </c>
      <c r="D13" s="131" t="e">
        <f>+B13-C13</f>
        <v>#REF!</v>
      </c>
      <c r="E13" s="119"/>
      <c r="F13" s="119"/>
      <c r="G13" s="119"/>
      <c r="H13" s="130"/>
      <c r="I13" s="151"/>
    </row>
    <row r="14" spans="1:9" x14ac:dyDescent="0.2">
      <c r="A14" s="119"/>
      <c r="B14" s="119"/>
      <c r="C14" s="119"/>
      <c r="D14" s="119"/>
      <c r="E14" s="119"/>
      <c r="F14" s="119"/>
      <c r="G14" s="119"/>
      <c r="H14" s="119"/>
      <c r="I14" s="119"/>
    </row>
    <row r="15" spans="1:9" x14ac:dyDescent="0.2">
      <c r="A15" s="157"/>
      <c r="B15" s="157"/>
      <c r="C15" s="157"/>
      <c r="D15" s="157"/>
      <c r="E15" s="119"/>
      <c r="F15" s="157"/>
      <c r="G15" s="157"/>
      <c r="H15" s="157"/>
      <c r="I15" s="157"/>
    </row>
    <row r="16" spans="1:9" x14ac:dyDescent="0.2">
      <c r="A16" s="295" t="s">
        <v>18</v>
      </c>
      <c r="B16" s="294"/>
      <c r="C16" s="294"/>
      <c r="D16" s="294"/>
      <c r="E16" s="119"/>
      <c r="F16" s="301" t="s">
        <v>165</v>
      </c>
      <c r="G16" s="303"/>
      <c r="H16" s="303"/>
      <c r="I16" s="303"/>
    </row>
    <row r="17" spans="1:9" x14ac:dyDescent="0.2">
      <c r="A17" s="122"/>
      <c r="B17" s="118"/>
      <c r="C17" s="118"/>
      <c r="D17" s="118"/>
      <c r="E17" s="119"/>
      <c r="F17" s="119"/>
      <c r="G17" s="119"/>
      <c r="H17" s="119"/>
      <c r="I17" s="119"/>
    </row>
    <row r="18" spans="1:9" ht="15" x14ac:dyDescent="0.35">
      <c r="A18" s="122"/>
      <c r="B18" s="122"/>
      <c r="C18" s="122"/>
      <c r="D18" s="118" t="s">
        <v>10</v>
      </c>
      <c r="E18" s="119"/>
      <c r="F18" s="120"/>
      <c r="G18" s="119"/>
      <c r="H18" s="120" t="s">
        <v>34</v>
      </c>
      <c r="I18" s="120" t="s">
        <v>35</v>
      </c>
    </row>
    <row r="19" spans="1:9" ht="15" x14ac:dyDescent="0.35">
      <c r="A19" s="122"/>
      <c r="B19" s="120" t="s">
        <v>11</v>
      </c>
      <c r="C19" s="120" t="s">
        <v>10</v>
      </c>
      <c r="D19" s="121" t="s">
        <v>9</v>
      </c>
      <c r="E19" s="119"/>
      <c r="F19" s="119"/>
      <c r="G19" s="119"/>
      <c r="H19" s="119"/>
      <c r="I19" s="119"/>
    </row>
    <row r="20" spans="1:9" x14ac:dyDescent="0.2">
      <c r="A20" s="119"/>
      <c r="B20" s="119"/>
      <c r="C20" s="119"/>
      <c r="D20" s="119"/>
      <c r="E20" s="119"/>
      <c r="F20" s="126" t="s">
        <v>136</v>
      </c>
      <c r="G20" s="119"/>
      <c r="H20" s="134">
        <f>VLOOKUP(H1,Pipe,20,FALSE)</f>
        <v>0</v>
      </c>
      <c r="I20" s="134" t="e">
        <f>VLOOKUP(H1,Pipe,37,FALSE)</f>
        <v>#REF!</v>
      </c>
    </row>
    <row r="21" spans="1:9" x14ac:dyDescent="0.2">
      <c r="A21" s="119" t="s">
        <v>4</v>
      </c>
      <c r="B21" s="130" t="e">
        <f>IF(VLOOKUP(H1,Sendout,14,FALSE)=D35,(VLOOKUP(H1,Sendout,14,FALSE)))</f>
        <v>#REF!</v>
      </c>
      <c r="C21" s="131" t="e">
        <f>VLOOKUP(H1,Sendout,18,FALSE)</f>
        <v>#REF!</v>
      </c>
      <c r="D21" s="131" t="e">
        <f>+B21-C21</f>
        <v>#REF!</v>
      </c>
      <c r="E21" s="119"/>
      <c r="F21" s="119" t="s">
        <v>119</v>
      </c>
      <c r="G21" s="119"/>
      <c r="H21" s="134">
        <f>VLOOKUP(H1,Pipe,21,FALSE)</f>
        <v>15272</v>
      </c>
      <c r="I21" s="134" t="e">
        <f>VLOOKUP(H1,Pipe,38,FALSE)</f>
        <v>#REF!</v>
      </c>
    </row>
    <row r="22" spans="1:9" x14ac:dyDescent="0.2">
      <c r="A22" s="119" t="s">
        <v>5</v>
      </c>
      <c r="B22" s="130" t="e">
        <f>VLOOKUP(H1,Sendout,15,FALSE)</f>
        <v>#REF!</v>
      </c>
      <c r="C22" s="131" t="e">
        <f>VLOOKUP(H1,Sendout,19,FALSE)</f>
        <v>#REF!</v>
      </c>
      <c r="D22" s="131" t="e">
        <f>+B22-C22</f>
        <v>#REF!</v>
      </c>
      <c r="E22" s="119"/>
      <c r="F22" s="119"/>
      <c r="G22" s="119"/>
      <c r="H22" s="119"/>
      <c r="I22" s="119"/>
    </row>
    <row r="23" spans="1:9" x14ac:dyDescent="0.2">
      <c r="A23" s="126" t="s">
        <v>12</v>
      </c>
      <c r="B23" s="130" t="e">
        <f>VLOOKUP(H1,Sendout,16,FALSE)</f>
        <v>#REF!</v>
      </c>
      <c r="C23" s="131" t="e">
        <f>VLOOKUP(H1,Sendout,20,FALSE)</f>
        <v>#REF!</v>
      </c>
      <c r="D23" s="131" t="e">
        <f>+B23-C23</f>
        <v>#REF!</v>
      </c>
      <c r="E23" s="119"/>
      <c r="F23" s="157"/>
      <c r="G23" s="157"/>
      <c r="H23" s="157"/>
      <c r="I23" s="157"/>
    </row>
    <row r="24" spans="1:9" x14ac:dyDescent="0.2">
      <c r="A24" s="119"/>
      <c r="B24" s="119"/>
      <c r="C24" s="119"/>
      <c r="D24" s="119"/>
      <c r="E24" s="119"/>
      <c r="F24" s="294"/>
      <c r="G24" s="294"/>
      <c r="H24" s="294"/>
      <c r="I24" s="294"/>
    </row>
    <row r="25" spans="1:9" x14ac:dyDescent="0.2">
      <c r="A25" s="157"/>
      <c r="B25" s="157"/>
      <c r="C25" s="157"/>
      <c r="D25" s="157"/>
      <c r="E25" s="119"/>
      <c r="F25" s="119"/>
      <c r="G25" s="119"/>
      <c r="H25" s="119"/>
      <c r="I25" s="119"/>
    </row>
    <row r="26" spans="1:9" ht="12.75" customHeight="1" x14ac:dyDescent="0.2">
      <c r="A26" s="294" t="s">
        <v>54</v>
      </c>
      <c r="B26" s="294"/>
      <c r="C26" s="294"/>
      <c r="D26" s="294"/>
      <c r="E26" s="119"/>
      <c r="F26" s="297" t="e">
        <f>"CONDTIONS :   " &amp;VLOOKUP(H1,Weather,8,FALSE)</f>
        <v>#REF!</v>
      </c>
      <c r="G26" s="298"/>
      <c r="H26" s="298"/>
      <c r="I26" s="298"/>
    </row>
    <row r="27" spans="1:9" ht="12.75" customHeight="1" x14ac:dyDescent="0.2">
      <c r="A27" s="119"/>
      <c r="B27" s="119"/>
      <c r="C27" s="119"/>
      <c r="D27" s="119"/>
      <c r="E27" s="119"/>
      <c r="F27" s="168"/>
      <c r="G27" s="169"/>
      <c r="H27" s="169"/>
      <c r="I27" s="169"/>
    </row>
    <row r="28" spans="1:9" ht="15" x14ac:dyDescent="0.35">
      <c r="A28" s="118"/>
      <c r="B28" s="120" t="s">
        <v>13</v>
      </c>
      <c r="C28" s="120" t="s">
        <v>14</v>
      </c>
      <c r="D28" s="120" t="s">
        <v>15</v>
      </c>
      <c r="E28" s="119"/>
      <c r="F28" s="129" t="str">
        <f>"WINDS :             " &amp; VLOOKUP(H1,Weather,3,FALSE) &amp; "  MPH,  " &amp;VLOOKUP(H1,Weather,7,FALSE) &amp;" DIRECTION"</f>
        <v>WINDS :             85  MPH,  CLOUDY DIRECTION</v>
      </c>
      <c r="G28" s="129"/>
      <c r="H28" s="129"/>
      <c r="I28" s="129"/>
    </row>
    <row r="29" spans="1:9" ht="15" x14ac:dyDescent="0.35">
      <c r="A29" s="118"/>
      <c r="B29" s="120"/>
      <c r="C29" s="120"/>
      <c r="D29" s="120"/>
      <c r="E29" s="130"/>
      <c r="F29" s="157"/>
      <c r="G29" s="157"/>
      <c r="H29" s="157"/>
      <c r="I29" s="157"/>
    </row>
    <row r="30" spans="1:9" x14ac:dyDescent="0.2">
      <c r="A30" s="119" t="s">
        <v>16</v>
      </c>
      <c r="B30" s="135" t="e">
        <f>B58</f>
        <v>#REF!</v>
      </c>
      <c r="C30" s="136" t="e">
        <f>I12</f>
        <v>#REF!</v>
      </c>
      <c r="D30" s="135" t="e">
        <f>ROUND(B30*(C30/1000),0)</f>
        <v>#REF!</v>
      </c>
      <c r="E30" s="137"/>
      <c r="F30" s="294" t="s">
        <v>38</v>
      </c>
      <c r="G30" s="294"/>
      <c r="H30" s="294"/>
      <c r="I30" s="294"/>
    </row>
    <row r="31" spans="1:9" x14ac:dyDescent="0.2">
      <c r="A31" s="119" t="s">
        <v>132</v>
      </c>
      <c r="B31" s="135">
        <f>D46</f>
        <v>0</v>
      </c>
      <c r="C31" s="138" t="e">
        <f>IF(OR('LNG Facilities'!K2=0,'LNG Facilities'!W2=0),"BTU ERROR",ROUND(((VLOOKUP(H1,LNG,8,FALSE)*(VLOOKUP(H1,LNG,13,FALSE)/1000))+(VLOOKUP(H1,LNG,21,FALSE)*(VLOOKUP(H1,LNG,26,FALSE)/1000)))/B31*1000,0))</f>
        <v>#REF!</v>
      </c>
      <c r="D31" s="135" t="e">
        <f>ROUND(B31*(C31/1000),0)</f>
        <v>#REF!</v>
      </c>
      <c r="E31" s="130"/>
      <c r="F31" s="119"/>
      <c r="G31" s="119"/>
      <c r="H31" s="119"/>
      <c r="I31" s="119"/>
    </row>
    <row r="32" spans="1:9" x14ac:dyDescent="0.2">
      <c r="A32" s="126" t="s">
        <v>126</v>
      </c>
      <c r="B32" s="135">
        <f>D47</f>
        <v>156591</v>
      </c>
      <c r="C32" s="136">
        <f>IF(ISERROR((  ((VLOOKUP(H1,LNG,9,FALSE)*VLOOKUP(H1,LNG,14,FALSE))+(VLOOKUP(H1,LNG,22,FALSE)*VLOOKUP(H1,LNG,27,FALSE)))/B32 )),0,((VLOOKUP(H1,LNG,9,FALSE)*VLOOKUP(H1,LNG,14,FALSE))+(VLOOKUP(H1,LNG,22,FALSE)*VLOOKUP(H1,LNG,27,FALSE)))/B32)</f>
        <v>0</v>
      </c>
      <c r="D32" s="135">
        <f>ROUND(B32*(C32/1000),0)</f>
        <v>0</v>
      </c>
      <c r="E32" s="119"/>
      <c r="F32" s="119"/>
      <c r="G32" s="123" t="s">
        <v>39</v>
      </c>
      <c r="H32" s="123" t="s">
        <v>40</v>
      </c>
      <c r="I32" s="123" t="s">
        <v>41</v>
      </c>
    </row>
    <row r="33" spans="1:9" ht="12.75" customHeight="1" x14ac:dyDescent="0.2">
      <c r="A33" s="119" t="s">
        <v>125</v>
      </c>
      <c r="B33" s="135">
        <f>D48</f>
        <v>2718832.1</v>
      </c>
      <c r="C33" s="136">
        <f>IF(ISERROR(((VLOOKUP(H1,LNG,10,FALSE)*VLOOKUP(H1,LNG,15,FALSE))+(VLOOKUP(H1,LNG,23,FALSE)*VLOOKUP(H1,LNG,28,FALSE)))/B33),0,((VLOOKUP(H1,LNG,10,FALSE)*VLOOKUP(H1,LNG,15,FALSE))+(VLOOKUP(H1,LNG,23,FALSE)*VLOOKUP(H1,LNG,28,FALSE)))/B33)</f>
        <v>0</v>
      </c>
      <c r="D33" s="135">
        <f>ROUND(B33*(C33/1000),0)</f>
        <v>0</v>
      </c>
      <c r="E33" s="119"/>
      <c r="F33" s="119"/>
      <c r="G33" s="139"/>
      <c r="H33" s="139"/>
      <c r="I33" s="139"/>
    </row>
    <row r="34" spans="1:9" x14ac:dyDescent="0.2">
      <c r="A34" s="119"/>
      <c r="B34" s="135"/>
      <c r="C34" s="140"/>
      <c r="D34" s="259"/>
      <c r="E34" s="119"/>
      <c r="F34" s="129" t="s">
        <v>6</v>
      </c>
      <c r="G34" s="124">
        <f>IF(ISERROR(VLOOKUP($H$1,Weather,4,FALSE)),"",VLOOKUP($H$1,Weather,4,FALSE))</f>
        <v>64</v>
      </c>
      <c r="H34" s="124">
        <f>IF(ISERROR(VLOOKUP($H$1,Weather,5,FALSE)),"",VLOOKUP($H$1,Weather,5,FALSE))</f>
        <v>76</v>
      </c>
      <c r="I34" s="124" t="str">
        <f>IF(ISERROR(VLOOKUP($H$1,Weather,6,FALSE)),"",VLOOKUP($H$1,Weather,6,FALSE))</f>
        <v>NORTHEAST</v>
      </c>
    </row>
    <row r="35" spans="1:9" x14ac:dyDescent="0.2">
      <c r="A35" s="119" t="s">
        <v>17</v>
      </c>
      <c r="B35" s="135" t="e">
        <f>SUM(B30:B34)</f>
        <v>#REF!</v>
      </c>
      <c r="C35" s="136" t="e">
        <f>ROUND((D35/B35)*1000,0)</f>
        <v>#REF!</v>
      </c>
      <c r="D35" s="135" t="e">
        <f>SUM(D30:D33)</f>
        <v>#REF!</v>
      </c>
      <c r="E35" s="119"/>
      <c r="F35" s="129" t="s">
        <v>7</v>
      </c>
      <c r="G35" s="124" t="str">
        <f>IF(ISERROR(VLOOKUP($H$1,Weather,12,FALSE)),"",VLOOKUP($H$1,Weather,12,FALSE))</f>
        <v/>
      </c>
      <c r="H35" s="124" t="str">
        <f>IF(ISERROR(VLOOKUP($H$1,Weather,13,FALSE)),"",VLOOKUP($H$1,Weather,13,FALSE))</f>
        <v/>
      </c>
      <c r="I35" s="124" t="str">
        <f>IF(ISERROR(VLOOKUP($H$1,Weather,14,FALSE)),"",VLOOKUP($H$1,Weather,14,FALSE))</f>
        <v/>
      </c>
    </row>
    <row r="36" spans="1:9" x14ac:dyDescent="0.2">
      <c r="A36" s="119"/>
      <c r="B36" s="119"/>
      <c r="C36" s="119"/>
      <c r="D36" s="119"/>
      <c r="E36" s="119"/>
      <c r="F36" s="119"/>
      <c r="G36" s="119"/>
      <c r="H36" s="119"/>
      <c r="I36" s="119"/>
    </row>
    <row r="37" spans="1:9" x14ac:dyDescent="0.2">
      <c r="A37" s="157"/>
      <c r="B37" s="157"/>
      <c r="C37" s="157"/>
      <c r="D37" s="157"/>
      <c r="E37" s="119"/>
      <c r="F37" s="157"/>
      <c r="G37" s="157"/>
      <c r="H37" s="157"/>
      <c r="I37" s="157"/>
    </row>
    <row r="38" spans="1:9" ht="13.5" customHeight="1" x14ac:dyDescent="0.2">
      <c r="A38" s="294" t="s">
        <v>55</v>
      </c>
      <c r="B38" s="294"/>
      <c r="C38" s="294"/>
      <c r="D38" s="294"/>
      <c r="E38" s="119"/>
      <c r="F38" s="294" t="s">
        <v>42</v>
      </c>
      <c r="G38" s="294"/>
      <c r="H38" s="294"/>
      <c r="I38" s="294"/>
    </row>
    <row r="39" spans="1:9" ht="22.5" customHeight="1" x14ac:dyDescent="0.35">
      <c r="A39" s="269"/>
      <c r="B39" s="120" t="s">
        <v>19</v>
      </c>
      <c r="C39" s="120" t="s">
        <v>20</v>
      </c>
      <c r="D39" s="120" t="s">
        <v>17</v>
      </c>
      <c r="E39" s="119"/>
      <c r="F39" s="119"/>
      <c r="G39" s="119"/>
      <c r="H39" s="119"/>
      <c r="I39" s="119"/>
    </row>
    <row r="40" spans="1:9" s="7" customFormat="1" ht="14.25" customHeight="1" x14ac:dyDescent="0.35">
      <c r="A40" s="269"/>
      <c r="B40" s="120"/>
      <c r="C40" s="120"/>
      <c r="D40" s="120"/>
      <c r="E40" s="118"/>
      <c r="F40" s="118" t="s">
        <v>43</v>
      </c>
      <c r="G40" s="118" t="s">
        <v>45</v>
      </c>
      <c r="H40" s="122" t="s">
        <v>46</v>
      </c>
      <c r="I40" s="118" t="s">
        <v>223</v>
      </c>
    </row>
    <row r="41" spans="1:9" s="7" customFormat="1" ht="19.5" customHeight="1" thickBot="1" x14ac:dyDescent="0.25">
      <c r="A41" s="119" t="s">
        <v>21</v>
      </c>
      <c r="B41" s="268">
        <f>IF(ISERROR(VLOOKUP($H$1,LNG,18,FALSE)),"",VLOOKUP($H$1,LNG,18,FALSE))</f>
        <v>131</v>
      </c>
      <c r="C41" s="141">
        <f>IF(ISERROR(VLOOKUP($H$1,LNG,3,FALSE)),"",VLOOKUP($H$1,LNG,3,FALSE))</f>
        <v>0</v>
      </c>
      <c r="D41" s="130">
        <f>+B41+C41</f>
        <v>131</v>
      </c>
      <c r="E41" s="118"/>
      <c r="F41" s="266" t="s">
        <v>44</v>
      </c>
      <c r="G41" s="266" t="s">
        <v>44</v>
      </c>
      <c r="H41" s="266" t="s">
        <v>44</v>
      </c>
      <c r="I41" s="266" t="s">
        <v>44</v>
      </c>
    </row>
    <row r="42" spans="1:9" ht="13.5" thickTop="1" x14ac:dyDescent="0.2">
      <c r="A42" s="119" t="s">
        <v>200</v>
      </c>
      <c r="B42" s="141">
        <v>0</v>
      </c>
      <c r="C42" s="141">
        <f>IF(ISERROR(VLOOKUP($H$1,LNG,4,FALSE)),"",VLOOKUP($H$1,LNG,4,FALSE))</f>
        <v>0</v>
      </c>
      <c r="D42" s="130">
        <f>+B42+C42</f>
        <v>0</v>
      </c>
      <c r="E42" s="119"/>
      <c r="F42" s="118"/>
      <c r="G42" s="118"/>
      <c r="H42" s="118"/>
      <c r="I42" s="119"/>
    </row>
    <row r="43" spans="1:9" x14ac:dyDescent="0.2">
      <c r="A43" s="119" t="s">
        <v>201</v>
      </c>
      <c r="B43" s="141">
        <v>0</v>
      </c>
      <c r="C43" s="268">
        <f>IF(ISERROR(VLOOKUP($H$1,LNG,5,FALSE)),"",VLOOKUP($H$1,LNG,5,FALSE))</f>
        <v>0</v>
      </c>
      <c r="D43" s="130">
        <f>+B43+C43</f>
        <v>0</v>
      </c>
      <c r="E43" s="256" t="s">
        <v>47</v>
      </c>
      <c r="F43" s="124" t="str">
        <f>IF(ISERROR(VLOOKUP($H$1,Weather,16,FALSE)),"",VLOOKUP($H$1,Weather,16,FALSE))</f>
        <v/>
      </c>
      <c r="G43" s="124" t="str">
        <f>IF(ISERROR(VLOOKUP($H$1,Weather,21,FALSE)),"",VLOOKUP($H$1,Weather,21,FALSE))</f>
        <v/>
      </c>
      <c r="H43" s="124" t="str">
        <f>IF(ISERROR(VLOOKUP($H$1,Weather,26,FALSE)),"",VLOOKUP($H$1,Weather,26,FALSE))</f>
        <v/>
      </c>
      <c r="I43" s="124" t="str">
        <f>IF(ISERROR(VLOOKUP($H$1,Weather,31,FALSE)),"",VLOOKUP($H$1,Weather,31,FALSE))</f>
        <v/>
      </c>
    </row>
    <row r="44" spans="1:9" x14ac:dyDescent="0.2">
      <c r="A44" s="119" t="s">
        <v>221</v>
      </c>
      <c r="B44" s="141">
        <f>IF(ISERROR(VLOOKUP($H$1,LNG,19,FALSE)),"",VLOOKUP($H$1,LNG,19,FALSE))</f>
        <v>0</v>
      </c>
      <c r="C44" s="141">
        <f>IF(ISERROR(VLOOKUP($H$1,LNG,6,FALSE)),"",VLOOKUP($H$1,LNG,6,FALSE))</f>
        <v>2133</v>
      </c>
      <c r="D44" s="130">
        <f t="shared" ref="D44:D49" si="0">+B44+C44</f>
        <v>2133</v>
      </c>
      <c r="E44" s="256"/>
      <c r="F44" s="124"/>
      <c r="G44" s="124"/>
      <c r="H44" s="124"/>
      <c r="I44" s="119"/>
    </row>
    <row r="45" spans="1:9" x14ac:dyDescent="0.2">
      <c r="A45" s="119" t="s">
        <v>222</v>
      </c>
      <c r="B45" s="141">
        <f>IF(ISERROR(VLOOKUP($H$1,LNG,20,FALSE)),"",VLOOKUP($H$1,LNG,20,FALSE))</f>
        <v>0</v>
      </c>
      <c r="C45" s="141">
        <f>IF(ISERROR(VLOOKUP($H$1,LNG,7,FALSE)),"",VLOOKUP($H$1,LNG,7,FALSE))</f>
        <v>0</v>
      </c>
      <c r="D45" s="130">
        <f t="shared" si="0"/>
        <v>0</v>
      </c>
      <c r="E45" s="256" t="s">
        <v>48</v>
      </c>
      <c r="F45" s="125"/>
      <c r="G45" s="125"/>
      <c r="H45" s="125"/>
      <c r="I45" s="119"/>
    </row>
    <row r="46" spans="1:9" x14ac:dyDescent="0.2">
      <c r="A46" s="126" t="s">
        <v>25</v>
      </c>
      <c r="B46" s="141">
        <f>IF(ISERROR(VLOOKUP($H$1,LNG,21,FALSE)),"",VLOOKUP($H$1,LNG,21,FALSE))</f>
        <v>0</v>
      </c>
      <c r="C46" s="141">
        <f>IF(ISERROR(VLOOKUP($H$1,LNG,8,FALSE)),"",VLOOKUP($H$1,LNG,8,FALSE))</f>
        <v>0</v>
      </c>
      <c r="D46" s="130">
        <f t="shared" si="0"/>
        <v>0</v>
      </c>
      <c r="E46" s="256" t="s">
        <v>49</v>
      </c>
      <c r="F46" s="124" t="str">
        <f>IF(ISERROR(VLOOKUP($H$1,Weather,17,FALSE)),"",VLOOKUP($H$1,Weather,17,FALSE))</f>
        <v/>
      </c>
      <c r="G46" s="124" t="str">
        <f>IF(ISERROR(VLOOKUP($H$1,Weather,22,FALSE)),"",VLOOKUP($H$1,Weather,22,FALSE))</f>
        <v/>
      </c>
      <c r="H46" s="124" t="str">
        <f>IF(ISERROR(VLOOKUP($H$1,Weather,27,FALSE)),"",VLOOKUP($H$1,Weather,27,FALSE))</f>
        <v/>
      </c>
      <c r="I46" s="124" t="str">
        <f>IF(ISERROR(VLOOKUP($H$1,Weather,32,FALSE)),"",VLOOKUP($H$1,Weather,32,FALSE))</f>
        <v/>
      </c>
    </row>
    <row r="47" spans="1:9" x14ac:dyDescent="0.2">
      <c r="A47" s="119" t="s">
        <v>24</v>
      </c>
      <c r="B47" s="141">
        <f>IF(ISERROR(VLOOKUP($H$1,LNG,22,FALSE)),"",VLOOKUP($H$1,LNG,22,FALSE))</f>
        <v>156591</v>
      </c>
      <c r="C47" s="141">
        <f>IF(ISERROR(VLOOKUP($H$1,LNG,9,FALSE)),"",VLOOKUP($H$1,LNG,9,FALSE))</f>
        <v>0</v>
      </c>
      <c r="D47" s="130">
        <f t="shared" si="0"/>
        <v>156591</v>
      </c>
      <c r="E47" s="256"/>
      <c r="F47" s="125"/>
      <c r="G47" s="125"/>
      <c r="H47" s="125"/>
      <c r="I47" s="119"/>
    </row>
    <row r="48" spans="1:9" x14ac:dyDescent="0.2">
      <c r="A48" s="119" t="s">
        <v>122</v>
      </c>
      <c r="B48" s="141">
        <f>IF(ISERROR(VLOOKUP($H$1,LNG,23,FALSE)),"",VLOOKUP($H$1,LNG,23,FALSE))</f>
        <v>1007</v>
      </c>
      <c r="C48" s="141">
        <f>IF(ISERROR(VLOOKUP($H$1,LNG,10,FALSE)),"",VLOOKUP($H$1,LNG,10,FALSE))</f>
        <v>2717825.1</v>
      </c>
      <c r="D48" s="130">
        <f t="shared" si="0"/>
        <v>2718832.1</v>
      </c>
      <c r="E48" s="256" t="s">
        <v>57</v>
      </c>
      <c r="F48" s="125"/>
      <c r="G48" s="125"/>
      <c r="H48" s="125"/>
      <c r="I48" s="119"/>
    </row>
    <row r="49" spans="1:9" x14ac:dyDescent="0.2">
      <c r="A49" s="119" t="s">
        <v>123</v>
      </c>
      <c r="B49" s="141">
        <f>IF(ISERROR(VLOOKUP($H$1,LNG,24,FALSE)),"",VLOOKUP($H$1,LNG,24,FALSE))</f>
        <v>1049</v>
      </c>
      <c r="C49" s="141">
        <f>IF(ISERROR(VLOOKUP($H$1,LNG,11,FALSE)),"",VLOOKUP($H$1,LNG,11,FALSE))</f>
        <v>1007</v>
      </c>
      <c r="D49" s="130">
        <f t="shared" si="0"/>
        <v>2056</v>
      </c>
      <c r="E49" s="256" t="s">
        <v>49</v>
      </c>
      <c r="F49" s="124" t="str">
        <f>IF(ISERROR(VLOOKUP($H$1,Weather,18,FALSE)),"",VLOOKUP($H$1,Weather,18,FALSE))</f>
        <v/>
      </c>
      <c r="G49" s="124" t="str">
        <f>IF(ISERROR(VLOOKUP($H$1,Weather,23,FALSE)),"",VLOOKUP($H$1,Weather,23,FALSE))</f>
        <v/>
      </c>
      <c r="H49" s="124" t="str">
        <f>IF(ISERROR(VLOOKUP($H$1,Weather,28,FALSE)),"",VLOOKUP($H$1,Weather,28,FALSE))</f>
        <v/>
      </c>
      <c r="I49" s="124" t="str">
        <f>IF(ISERROR(VLOOKUP($H$1,Weather,33,FALSE)),"",VLOOKUP($H$1,Weather,33,FALSE))</f>
        <v/>
      </c>
    </row>
    <row r="50" spans="1:9" x14ac:dyDescent="0.2">
      <c r="A50" s="119" t="s">
        <v>26</v>
      </c>
      <c r="B50" s="130" t="e">
        <f>IF(VLOOKUP(H1,LNG,25,FALSE)=(B41+B42+B43-B44+B45-B46-B47-B48-B49),(B41+B42+B43-B44+B45-B46-B47-B48-B49),"ERROR")</f>
        <v>#REF!</v>
      </c>
      <c r="C50" s="130" t="str">
        <f>IF(VLOOKUP(H1,LNG,12,FALSE)=(C41+C42+C43-C44+C45-C46-C47-C48-C49),(C41+C42+C43-C44+C45-C46-C47-C48-C49),"ERROR")</f>
        <v>ERROR</v>
      </c>
      <c r="D50" s="130" t="e">
        <f>IF((D41+D42+D43-D44+D45-D46-D47-D48-D49)=(B50+C50),B50+C50,"ERROR")</f>
        <v>#REF!</v>
      </c>
      <c r="E50" s="256"/>
      <c r="F50" s="125"/>
      <c r="G50" s="125"/>
      <c r="H50" s="125"/>
      <c r="I50" s="119"/>
    </row>
    <row r="51" spans="1:9" x14ac:dyDescent="0.2">
      <c r="A51" s="119"/>
      <c r="B51" s="130"/>
      <c r="C51" s="130"/>
      <c r="D51" s="130"/>
      <c r="E51" s="265" t="s">
        <v>51</v>
      </c>
      <c r="F51" s="125"/>
      <c r="G51" s="125"/>
      <c r="H51" s="125"/>
      <c r="I51" s="119"/>
    </row>
    <row r="52" spans="1:9" x14ac:dyDescent="0.2">
      <c r="A52" s="152" t="s">
        <v>162</v>
      </c>
      <c r="B52" s="130"/>
      <c r="C52" s="143" t="s">
        <v>135</v>
      </c>
      <c r="D52" s="144" t="e">
        <f>VLOOKUP(H1,LNG,35,FALSE)</f>
        <v>#REF!</v>
      </c>
      <c r="E52" s="256" t="s">
        <v>50</v>
      </c>
      <c r="F52" s="124" t="str">
        <f>IF(ISERROR(VLOOKUP($H$1,Weather,19,FALSE)),"",VLOOKUP($H$1,Weather,19,FALSE))</f>
        <v/>
      </c>
      <c r="G52" s="124" t="str">
        <f>IF(ISERROR(VLOOKUP($H$1,Weather,24,FALSE)),"",VLOOKUP($H$1,Weather,24,FALSE))</f>
        <v/>
      </c>
      <c r="H52" s="124" t="str">
        <f>IF(ISERROR(VLOOKUP($H$1,Weather,29,FALSE)),"",VLOOKUP($H$1,Weather,29,FALSE))</f>
        <v/>
      </c>
      <c r="I52" s="124" t="str">
        <f>IF(ISERROR(VLOOKUP($H$1,Weather,34,FALSE)),"",VLOOKUP($H$1,Weather,34,FALSE))</f>
        <v/>
      </c>
    </row>
    <row r="53" spans="1:9" x14ac:dyDescent="0.2">
      <c r="A53" s="152" t="s">
        <v>218</v>
      </c>
      <c r="B53" s="130"/>
      <c r="C53" s="143" t="s">
        <v>135</v>
      </c>
      <c r="D53" s="144" t="e">
        <f>VLOOKUP(H1,LNG,32,FALSE)</f>
        <v>#REF!</v>
      </c>
      <c r="E53" s="119"/>
      <c r="F53" s="119"/>
      <c r="G53" s="129"/>
      <c r="H53" s="129"/>
      <c r="I53" s="129"/>
    </row>
    <row r="54" spans="1:9" x14ac:dyDescent="0.2">
      <c r="A54" s="152" t="s">
        <v>219</v>
      </c>
      <c r="B54" s="164"/>
      <c r="C54" s="261" t="s">
        <v>135</v>
      </c>
      <c r="D54" s="144" t="e">
        <f>VLOOKUP(H2,LNG,33,FALSE)</f>
        <v>#REF!</v>
      </c>
      <c r="E54" s="119"/>
      <c r="F54" s="119"/>
      <c r="G54" s="129"/>
      <c r="H54" s="129"/>
      <c r="I54" s="129"/>
    </row>
    <row r="55" spans="1:9" x14ac:dyDescent="0.2">
      <c r="A55" s="157"/>
      <c r="B55" s="157"/>
      <c r="C55" s="119"/>
      <c r="D55" s="157"/>
      <c r="E55" s="157"/>
      <c r="F55" s="157"/>
      <c r="G55" s="157"/>
      <c r="H55" s="157"/>
      <c r="I55" s="157"/>
    </row>
    <row r="56" spans="1:9" x14ac:dyDescent="0.2">
      <c r="A56" s="294" t="s">
        <v>27</v>
      </c>
      <c r="B56" s="294"/>
      <c r="C56" s="119"/>
      <c r="D56" s="294" t="s">
        <v>174</v>
      </c>
      <c r="E56" s="294"/>
      <c r="F56" s="294"/>
      <c r="G56" s="294"/>
      <c r="H56" s="294"/>
      <c r="I56" s="294"/>
    </row>
    <row r="57" spans="1:9" x14ac:dyDescent="0.2">
      <c r="A57" s="119"/>
      <c r="B57" s="119"/>
      <c r="C57" s="119"/>
      <c r="D57" s="119"/>
      <c r="E57" s="119"/>
      <c r="F57" s="119"/>
      <c r="G57" s="119"/>
      <c r="H57" s="119"/>
      <c r="I57" s="119"/>
    </row>
    <row r="58" spans="1:9" x14ac:dyDescent="0.2">
      <c r="A58" s="126" t="s">
        <v>28</v>
      </c>
      <c r="B58" s="127" t="e">
        <f>B63-B59-B60-B61-B62</f>
        <v>#REF!</v>
      </c>
      <c r="C58" s="119"/>
      <c r="D58" s="256" t="s">
        <v>224</v>
      </c>
      <c r="E58" s="258">
        <f>VLOOKUP(H1,Fuel,21,FALSE)</f>
        <v>0</v>
      </c>
      <c r="F58" s="256" t="s">
        <v>229</v>
      </c>
      <c r="G58" s="258">
        <f>VLOOKUP(H1,Fuel,12,FALSE)</f>
        <v>2</v>
      </c>
      <c r="H58" s="256" t="s">
        <v>231</v>
      </c>
      <c r="I58" s="258">
        <f>VLOOKUP(H1,Fuel,24,FALSE)</f>
        <v>0</v>
      </c>
    </row>
    <row r="59" spans="1:9" x14ac:dyDescent="0.2">
      <c r="A59" s="146" t="s">
        <v>52</v>
      </c>
      <c r="B59" s="127" t="e">
        <f>VLOOKUP(H1,LNG,30,FALSE)</f>
        <v>#REF!</v>
      </c>
      <c r="C59" s="256"/>
      <c r="D59" s="256" t="s">
        <v>225</v>
      </c>
      <c r="E59" s="258">
        <f>VLOOKUP(H1,Fuel,11,FALSE)</f>
        <v>10</v>
      </c>
      <c r="F59" s="256" t="s">
        <v>230</v>
      </c>
      <c r="G59" s="258">
        <f>VLOOKUP(H1,Fuel,13,FALSE)</f>
        <v>0</v>
      </c>
      <c r="H59" s="256" t="s">
        <v>204</v>
      </c>
      <c r="I59" s="258">
        <f>VLOOKUP(H1,Fuel,25,FALSE)</f>
        <v>0</v>
      </c>
    </row>
    <row r="60" spans="1:9" ht="15.75" customHeight="1" x14ac:dyDescent="0.2">
      <c r="A60" s="126" t="s">
        <v>29</v>
      </c>
      <c r="B60" s="127">
        <f>VLOOKUP(H1,Fuel,3,FALSE)</f>
        <v>12</v>
      </c>
      <c r="C60" s="256"/>
      <c r="D60" s="256" t="s">
        <v>226</v>
      </c>
      <c r="E60" s="258">
        <f>VLOOKUP(H1,Fuel,16,FALSE)</f>
        <v>0</v>
      </c>
      <c r="F60" s="256" t="s">
        <v>203</v>
      </c>
      <c r="G60" s="258">
        <f>VLOOKUP(H1,Fuel,19,FALSE)</f>
        <v>0</v>
      </c>
      <c r="H60" s="256" t="s">
        <v>232</v>
      </c>
      <c r="I60" s="258">
        <f>VLOOKUP(H1,Fuel,10,FALSE)</f>
        <v>0</v>
      </c>
    </row>
    <row r="61" spans="1:9" ht="15.75" customHeight="1" x14ac:dyDescent="0.2">
      <c r="A61" s="126" t="s">
        <v>30</v>
      </c>
      <c r="B61" s="127">
        <f>VLOOKUP(H1,Fuel,4,FALSE)</f>
        <v>49</v>
      </c>
      <c r="C61" s="256"/>
      <c r="D61" s="256" t="s">
        <v>227</v>
      </c>
      <c r="E61" s="258">
        <f>VLOOKUP(H1,Fuel,17,FALSE)</f>
        <v>0</v>
      </c>
      <c r="F61" s="256" t="s">
        <v>235</v>
      </c>
      <c r="G61" s="258">
        <f>VLOOKUP(H2,Fuel,20,FALSE)</f>
        <v>0</v>
      </c>
      <c r="H61" s="256" t="s">
        <v>233</v>
      </c>
      <c r="I61" s="258">
        <f>VLOOKUP(H1,Fuel,14,FALSE)</f>
        <v>0</v>
      </c>
    </row>
    <row r="62" spans="1:9" ht="15.75" customHeight="1" x14ac:dyDescent="0.2">
      <c r="A62" s="126" t="s">
        <v>31</v>
      </c>
      <c r="B62" s="127">
        <f>VLOOKUP(H1,Fuel,5,FALSE)</f>
        <v>0</v>
      </c>
      <c r="C62" s="256"/>
      <c r="D62" s="256" t="s">
        <v>228</v>
      </c>
      <c r="E62" s="258">
        <f>VLOOKUP(H1,Fuel,18,FALSE)</f>
        <v>0</v>
      </c>
      <c r="F62" s="256" t="s">
        <v>205</v>
      </c>
      <c r="G62" s="258">
        <f>VLOOKUP(H1,Fuel,22,FALSE)+VLOOKUP(H1,Fuel,26,FALSE)</f>
        <v>49</v>
      </c>
      <c r="H62" s="256" t="s">
        <v>234</v>
      </c>
      <c r="I62" s="258">
        <f>VLOOKUP(H1,Fuel,15,FALSE)</f>
        <v>0</v>
      </c>
    </row>
    <row r="63" spans="1:9" ht="15" customHeight="1" x14ac:dyDescent="0.2">
      <c r="A63" s="263" t="s">
        <v>32</v>
      </c>
      <c r="B63" s="264" t="e">
        <f>H12</f>
        <v>#REF!</v>
      </c>
      <c r="C63" s="256"/>
      <c r="D63" s="256"/>
      <c r="E63" s="256"/>
      <c r="F63" s="256"/>
      <c r="G63" s="256"/>
      <c r="H63" s="256"/>
      <c r="I63" s="256"/>
    </row>
    <row r="64" spans="1:9" x14ac:dyDescent="0.2">
      <c r="A64" s="119"/>
      <c r="B64" s="129"/>
      <c r="C64" s="129"/>
      <c r="D64" s="129"/>
      <c r="E64" s="119"/>
      <c r="F64" s="119"/>
      <c r="G64" s="126"/>
      <c r="H64" s="127"/>
      <c r="I64" s="127"/>
    </row>
    <row r="65" spans="1:9" ht="15.75" customHeight="1" x14ac:dyDescent="0.2">
      <c r="A65" s="157"/>
      <c r="B65" s="157"/>
      <c r="C65" s="157"/>
      <c r="D65" s="157"/>
      <c r="E65" s="157"/>
      <c r="F65" s="157"/>
      <c r="G65" s="157"/>
      <c r="H65" s="157"/>
      <c r="I65" s="157"/>
    </row>
    <row r="66" spans="1:9" ht="15.75" customHeight="1" x14ac:dyDescent="0.2">
      <c r="A66" s="295" t="s">
        <v>177</v>
      </c>
      <c r="B66" s="295"/>
      <c r="C66" s="295"/>
      <c r="D66" s="295"/>
      <c r="E66" s="295"/>
      <c r="F66" s="295"/>
      <c r="G66" s="295"/>
      <c r="H66" s="295"/>
      <c r="I66" s="295"/>
    </row>
    <row r="67" spans="1:9" x14ac:dyDescent="0.2">
      <c r="A67" s="119"/>
      <c r="B67" s="119"/>
      <c r="C67" s="119"/>
      <c r="D67" s="119"/>
      <c r="E67" s="119"/>
      <c r="F67" s="119"/>
      <c r="G67" s="119"/>
      <c r="H67" s="119"/>
      <c r="I67" s="119"/>
    </row>
    <row r="68" spans="1:9" ht="15.75" customHeight="1" x14ac:dyDescent="0.2">
      <c r="A68" s="119"/>
      <c r="B68" s="126"/>
      <c r="C68" s="296" t="s">
        <v>108</v>
      </c>
      <c r="D68" s="296"/>
      <c r="E68" s="296"/>
      <c r="F68" s="294" t="s">
        <v>107</v>
      </c>
      <c r="G68" s="294"/>
      <c r="H68" s="294"/>
      <c r="I68" s="294"/>
    </row>
    <row r="69" spans="1:9" ht="15.75" customHeight="1" x14ac:dyDescent="0.2">
      <c r="A69" s="119"/>
      <c r="B69" s="126"/>
      <c r="C69" s="239"/>
      <c r="D69" s="239"/>
      <c r="E69" s="239"/>
      <c r="F69" s="158"/>
      <c r="G69" s="158"/>
      <c r="H69" s="158"/>
      <c r="I69" s="158"/>
    </row>
    <row r="70" spans="1:9" x14ac:dyDescent="0.2">
      <c r="A70" s="119"/>
      <c r="B70" s="126"/>
      <c r="C70" s="124" t="s">
        <v>34</v>
      </c>
      <c r="D70" s="139" t="s">
        <v>35</v>
      </c>
      <c r="E70" s="139" t="s">
        <v>158</v>
      </c>
      <c r="F70" s="172" t="s">
        <v>160</v>
      </c>
      <c r="G70" s="139" t="s">
        <v>35</v>
      </c>
      <c r="H70" s="124" t="s">
        <v>158</v>
      </c>
      <c r="I70" s="170" t="s">
        <v>173</v>
      </c>
    </row>
    <row r="71" spans="1:9" x14ac:dyDescent="0.2">
      <c r="A71" s="126" t="s">
        <v>176</v>
      </c>
      <c r="B71" s="126"/>
      <c r="C71" s="173" t="str">
        <f>VLOOKUP(H1,TITR,4,FALSE)</f>
        <v>OOS</v>
      </c>
      <c r="D71" s="173">
        <f>VLOOKUP(H1,TITR,7,FALSE)</f>
        <v>0.43</v>
      </c>
      <c r="E71" s="173">
        <f>VLOOKUP(H1,TITR,10,FALSE)</f>
        <v>0.435</v>
      </c>
      <c r="F71" s="175">
        <f>VLOOKUP(H1,TITR,20,FALSE)</f>
        <v>0.35199999999999998</v>
      </c>
      <c r="G71" s="173">
        <f>VLOOKUP(H1,TITR,17,FALSE)</f>
        <v>0.3715</v>
      </c>
      <c r="H71" s="173">
        <f>VLOOKUP(H1,TITR,14,FALSE)</f>
        <v>0.39400000000000002</v>
      </c>
      <c r="I71" s="173">
        <f>VLOOKUP(H1,TITR,23,FALSE)</f>
        <v>0</v>
      </c>
    </row>
    <row r="72" spans="1:9" x14ac:dyDescent="0.2">
      <c r="A72" s="139"/>
      <c r="B72" s="126"/>
      <c r="C72" s="174"/>
      <c r="D72" s="173"/>
      <c r="E72" s="173"/>
      <c r="F72" s="175"/>
      <c r="G72" s="176"/>
      <c r="H72" s="174"/>
      <c r="I72" s="173"/>
    </row>
    <row r="73" spans="1:9" x14ac:dyDescent="0.2">
      <c r="A73" s="126" t="s">
        <v>175</v>
      </c>
      <c r="B73" s="146"/>
      <c r="C73" s="173" t="str">
        <f>VLOOKUP(H1,ODOR,4,FALSE)</f>
        <v>OOS</v>
      </c>
      <c r="D73" s="173">
        <f>VLOOKUP(H1,ODOR,7,FALSE)</f>
        <v>0.28499999999999998</v>
      </c>
      <c r="E73" s="173">
        <f>VLOOKUP(H1,ODOR,10,FALSE)</f>
        <v>0.28499999999999998</v>
      </c>
      <c r="F73" s="175">
        <f>VLOOKUP(H1,ODOR,15,FALSE)</f>
        <v>0.24</v>
      </c>
      <c r="G73" s="173">
        <f>VLOOKUP(H1,ODOR,18,FALSE)</f>
        <v>0.24</v>
      </c>
      <c r="H73" s="173">
        <f>VLOOKUP(H1,ODOR,21,FALSE)</f>
        <v>0.24</v>
      </c>
      <c r="I73" s="173">
        <f>VLOOKUP(H1,ODOR,24,FALSE)</f>
        <v>0</v>
      </c>
    </row>
    <row r="74" spans="1:9" x14ac:dyDescent="0.2">
      <c r="A74" s="119"/>
      <c r="B74" s="119"/>
      <c r="C74" s="119"/>
      <c r="D74" s="119"/>
      <c r="E74" s="119"/>
      <c r="F74" s="119"/>
      <c r="G74" s="119"/>
      <c r="H74" s="119"/>
      <c r="I74" s="119"/>
    </row>
    <row r="75" spans="1:9" ht="3" customHeight="1" x14ac:dyDescent="0.2">
      <c r="A75" s="157"/>
      <c r="B75" s="157"/>
      <c r="C75" s="157"/>
      <c r="D75" s="157"/>
      <c r="E75" s="157"/>
      <c r="F75" s="157"/>
      <c r="G75" s="157"/>
      <c r="H75" s="157"/>
      <c r="I75" s="157"/>
    </row>
    <row r="76" spans="1:9" x14ac:dyDescent="0.2">
      <c r="B76" s="155"/>
      <c r="E76" s="156"/>
    </row>
  </sheetData>
  <mergeCells count="18">
    <mergeCell ref="A26:D26"/>
    <mergeCell ref="F26:I26"/>
    <mergeCell ref="A16:D16"/>
    <mergeCell ref="H1:I1"/>
    <mergeCell ref="H2:I2"/>
    <mergeCell ref="A6:D6"/>
    <mergeCell ref="F6:I6"/>
    <mergeCell ref="G1:G2"/>
    <mergeCell ref="F16:I16"/>
    <mergeCell ref="F24:I24"/>
    <mergeCell ref="F38:I38"/>
    <mergeCell ref="A38:D38"/>
    <mergeCell ref="F30:I30"/>
    <mergeCell ref="A66:I66"/>
    <mergeCell ref="C68:E68"/>
    <mergeCell ref="F68:I68"/>
    <mergeCell ref="D56:I56"/>
    <mergeCell ref="A56:B56"/>
  </mergeCells>
  <phoneticPr fontId="39" type="noConversion"/>
  <printOptions horizontalCentered="1"/>
  <pageMargins left="0.5" right="0.5" top="0.5" bottom="0.5" header="0.5" footer="0.32"/>
  <pageSetup scale="71" orientation="portrait" r:id="rId1"/>
  <headerFooter alignWithMargins="0">
    <oddFooter>&amp;R&amp;3Eric Dermody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76"/>
  <sheetViews>
    <sheetView zoomScale="88" zoomScaleNormal="88" workbookViewId="0">
      <selection activeCell="A20" sqref="A20:D20"/>
    </sheetView>
  </sheetViews>
  <sheetFormatPr defaultColWidth="9" defaultRowHeight="12.75" x14ac:dyDescent="0.2"/>
  <cols>
    <col min="1" max="1" width="20.125" style="6" customWidth="1"/>
    <col min="2" max="3" width="12.875" style="6" customWidth="1"/>
    <col min="4" max="4" width="11.25" style="6" customWidth="1"/>
    <col min="5" max="5" width="8.875" style="6" customWidth="1"/>
    <col min="6" max="6" width="11.5" style="6" customWidth="1"/>
    <col min="7" max="7" width="13" style="6" customWidth="1"/>
    <col min="8" max="8" width="13.25" style="6" customWidth="1"/>
    <col min="9" max="9" width="9.375" style="6" customWidth="1"/>
    <col min="10" max="16384" width="9" style="6"/>
  </cols>
  <sheetData>
    <row r="1" spans="1:9" x14ac:dyDescent="0.2">
      <c r="A1" s="167" t="s">
        <v>166</v>
      </c>
      <c r="B1" s="119"/>
      <c r="C1" s="119"/>
      <c r="D1" s="119"/>
      <c r="E1" s="119"/>
      <c r="F1" s="119"/>
      <c r="G1" s="146" t="s">
        <v>2</v>
      </c>
      <c r="H1" s="307">
        <v>38019</v>
      </c>
      <c r="I1" s="307"/>
    </row>
    <row r="2" spans="1:9" x14ac:dyDescent="0.2">
      <c r="A2" s="126" t="s">
        <v>0</v>
      </c>
      <c r="B2" s="119"/>
      <c r="C2" s="119"/>
      <c r="D2" s="119"/>
      <c r="E2" s="119"/>
      <c r="F2" s="119"/>
      <c r="G2" s="146" t="s">
        <v>1</v>
      </c>
      <c r="H2" s="308">
        <f>H1</f>
        <v>38019</v>
      </c>
      <c r="I2" s="308"/>
    </row>
    <row r="3" spans="1:9" x14ac:dyDescent="0.2">
      <c r="A3" s="119"/>
      <c r="B3" s="119"/>
      <c r="C3" s="119"/>
      <c r="D3" s="119"/>
      <c r="E3" s="119"/>
      <c r="F3" s="119"/>
      <c r="G3" s="119"/>
      <c r="H3" s="119"/>
      <c r="I3" s="119"/>
    </row>
    <row r="4" spans="1:9" x14ac:dyDescent="0.2">
      <c r="A4" s="157"/>
      <c r="B4" s="157"/>
      <c r="C4" s="157"/>
      <c r="D4" s="157"/>
      <c r="E4" s="157"/>
      <c r="F4" s="157"/>
      <c r="G4" s="157"/>
      <c r="H4" s="157"/>
      <c r="I4" s="157"/>
    </row>
    <row r="5" spans="1:9" x14ac:dyDescent="0.2">
      <c r="A5" s="119"/>
      <c r="B5" s="119"/>
      <c r="C5" s="119"/>
      <c r="D5" s="119"/>
      <c r="E5" s="119"/>
      <c r="F5" s="119"/>
      <c r="G5" s="119"/>
      <c r="H5" s="119"/>
      <c r="I5" s="119"/>
    </row>
    <row r="6" spans="1:9" x14ac:dyDescent="0.2">
      <c r="A6" s="294" t="s">
        <v>3</v>
      </c>
      <c r="B6" s="294"/>
      <c r="C6" s="294"/>
      <c r="D6" s="294"/>
      <c r="E6" s="119"/>
      <c r="F6" s="294" t="s">
        <v>33</v>
      </c>
      <c r="G6" s="294"/>
      <c r="H6" s="294"/>
      <c r="I6" s="294"/>
    </row>
    <row r="7" spans="1:9" x14ac:dyDescent="0.2">
      <c r="A7" s="118"/>
      <c r="B7" s="118"/>
      <c r="C7" s="118"/>
      <c r="D7" s="118"/>
      <c r="E7" s="119"/>
      <c r="F7" s="119"/>
      <c r="G7" s="119"/>
      <c r="H7" s="119"/>
      <c r="I7" s="119"/>
    </row>
    <row r="8" spans="1:9" ht="15" x14ac:dyDescent="0.35">
      <c r="A8" s="118"/>
      <c r="B8" s="118"/>
      <c r="C8" s="118"/>
      <c r="D8" s="118" t="s">
        <v>167</v>
      </c>
      <c r="E8" s="119"/>
      <c r="F8" s="119"/>
      <c r="G8" s="119"/>
      <c r="H8" s="120" t="s">
        <v>13</v>
      </c>
      <c r="I8" s="120" t="s">
        <v>14</v>
      </c>
    </row>
    <row r="9" spans="1:9" ht="15" x14ac:dyDescent="0.35">
      <c r="A9" s="118"/>
      <c r="B9" s="120" t="s">
        <v>6</v>
      </c>
      <c r="C9" s="120" t="s">
        <v>7</v>
      </c>
      <c r="D9" s="121" t="s">
        <v>9</v>
      </c>
      <c r="E9" s="119"/>
      <c r="F9" s="119"/>
      <c r="G9" s="119"/>
      <c r="H9" s="119"/>
      <c r="I9" s="119"/>
    </row>
    <row r="10" spans="1:9" x14ac:dyDescent="0.2">
      <c r="A10" s="126" t="s">
        <v>12</v>
      </c>
      <c r="B10" s="130" t="e">
        <f>Sendout!#REF!</f>
        <v>#REF!</v>
      </c>
      <c r="C10" s="130" t="e">
        <f>IF($B$10="ERROR","",VLOOKUP(H2,Sendout,12,FALSE))</f>
        <v>#REF!</v>
      </c>
      <c r="D10" s="131" t="e">
        <f>+B10-C10</f>
        <v>#REF!</v>
      </c>
      <c r="E10" s="119"/>
      <c r="F10" s="129" t="s">
        <v>34</v>
      </c>
      <c r="G10" s="119"/>
      <c r="H10" s="130" t="e">
        <f>VLOOKUP(H1,Stations,8,FALSE)</f>
        <v>#N/A</v>
      </c>
      <c r="I10" s="139" t="e">
        <f>VLOOKUP(H1,Stations,7,FALSE)</f>
        <v>#N/A</v>
      </c>
    </row>
    <row r="11" spans="1:9" x14ac:dyDescent="0.2">
      <c r="A11" s="119"/>
      <c r="B11" s="130"/>
      <c r="C11" s="130"/>
      <c r="D11" s="131"/>
      <c r="E11" s="119"/>
      <c r="F11" s="129" t="s">
        <v>35</v>
      </c>
      <c r="G11" s="119"/>
      <c r="H11" s="130" t="e">
        <f>VLOOKUP(H1,Stations,16,FALSE)-H12</f>
        <v>#N/A</v>
      </c>
      <c r="I11" s="139" t="e">
        <f>VLOOKUP(H1,Stations,15,FALSE)</f>
        <v>#N/A</v>
      </c>
    </row>
    <row r="12" spans="1:9" x14ac:dyDescent="0.2">
      <c r="A12" s="157"/>
      <c r="B12" s="157"/>
      <c r="C12" s="157"/>
      <c r="D12" s="157"/>
      <c r="E12" s="119"/>
      <c r="F12" s="132" t="s">
        <v>151</v>
      </c>
      <c r="G12" s="132"/>
      <c r="H12" s="133" t="e">
        <f>VLOOKUP(H1,Sales,12,FALSE)</f>
        <v>#NAME?</v>
      </c>
      <c r="I12" s="123" t="e">
        <f>+I11</f>
        <v>#N/A</v>
      </c>
    </row>
    <row r="13" spans="1:9" x14ac:dyDescent="0.2">
      <c r="A13" s="295" t="s">
        <v>18</v>
      </c>
      <c r="B13" s="294"/>
      <c r="C13" s="294"/>
      <c r="D13" s="294"/>
      <c r="E13" s="119"/>
      <c r="F13" s="119" t="s">
        <v>17</v>
      </c>
      <c r="G13" s="119"/>
      <c r="H13" s="130" t="e">
        <f>SUM(H10:H12)</f>
        <v>#N/A</v>
      </c>
      <c r="I13" s="151" t="e">
        <f>ROUND(((H10*I10)+(H11*I11)+(H12*I12))/H13,0)</f>
        <v>#N/A</v>
      </c>
    </row>
    <row r="14" spans="1:9" x14ac:dyDescent="0.2">
      <c r="A14" s="122"/>
      <c r="B14" s="118"/>
      <c r="C14" s="118"/>
      <c r="D14" s="118"/>
      <c r="E14" s="119"/>
      <c r="F14" s="119"/>
      <c r="G14" s="119"/>
      <c r="H14" s="119"/>
      <c r="I14" s="119"/>
    </row>
    <row r="15" spans="1:9" x14ac:dyDescent="0.2">
      <c r="A15" s="122"/>
      <c r="B15" s="122"/>
      <c r="C15" s="122"/>
      <c r="D15" s="118" t="s">
        <v>10</v>
      </c>
      <c r="E15" s="119"/>
      <c r="F15" s="157"/>
      <c r="G15" s="157"/>
      <c r="H15" s="157"/>
      <c r="I15" s="157"/>
    </row>
    <row r="16" spans="1:9" ht="15" x14ac:dyDescent="0.35">
      <c r="A16" s="122"/>
      <c r="B16" s="120" t="s">
        <v>11</v>
      </c>
      <c r="C16" s="120" t="s">
        <v>10</v>
      </c>
      <c r="D16" s="121" t="s">
        <v>9</v>
      </c>
      <c r="E16" s="119"/>
      <c r="F16" s="294" t="s">
        <v>36</v>
      </c>
      <c r="G16" s="295"/>
      <c r="H16" s="295"/>
      <c r="I16" s="295"/>
    </row>
    <row r="17" spans="1:9" x14ac:dyDescent="0.2">
      <c r="A17" s="126" t="s">
        <v>12</v>
      </c>
      <c r="B17" s="130" t="e">
        <f>VLOOKUP(H1,Sendout,16,FALSE)</f>
        <v>#N/A</v>
      </c>
      <c r="C17" s="131" t="e">
        <f>VLOOKUP(H1,Sendout,20,FALSE)</f>
        <v>#N/A</v>
      </c>
      <c r="D17" s="131" t="e">
        <f>+B17-C17</f>
        <v>#N/A</v>
      </c>
      <c r="E17" s="119"/>
      <c r="F17" s="119"/>
      <c r="G17" s="119"/>
      <c r="H17" s="119"/>
      <c r="I17" s="119"/>
    </row>
    <row r="18" spans="1:9" ht="15" x14ac:dyDescent="0.35">
      <c r="A18" s="119"/>
      <c r="B18" s="119"/>
      <c r="C18" s="119"/>
      <c r="D18" s="119"/>
      <c r="E18" s="119"/>
      <c r="F18" s="120"/>
      <c r="G18" s="119"/>
      <c r="H18" s="120" t="s">
        <v>34</v>
      </c>
      <c r="I18" s="120" t="s">
        <v>35</v>
      </c>
    </row>
    <row r="19" spans="1:9" x14ac:dyDescent="0.2">
      <c r="A19" s="157"/>
      <c r="B19" s="157"/>
      <c r="C19" s="157"/>
      <c r="D19" s="157"/>
      <c r="E19" s="119"/>
      <c r="F19" s="119"/>
      <c r="G19" s="119"/>
      <c r="H19" s="119"/>
      <c r="I19" s="119"/>
    </row>
    <row r="20" spans="1:9" x14ac:dyDescent="0.2">
      <c r="A20" s="294"/>
      <c r="B20" s="294"/>
      <c r="C20" s="294"/>
      <c r="D20" s="294"/>
      <c r="E20" s="119"/>
      <c r="F20" s="126" t="s">
        <v>136</v>
      </c>
      <c r="G20" s="119"/>
      <c r="H20" s="134" t="e">
        <f>VLOOKUP(H1,Pipe,20,FALSE)</f>
        <v>#N/A</v>
      </c>
      <c r="I20" s="134" t="e">
        <f>VLOOKUP(H1,Pipe,37,FALSE)</f>
        <v>#N/A</v>
      </c>
    </row>
    <row r="21" spans="1:9" x14ac:dyDescent="0.2">
      <c r="A21" s="119"/>
      <c r="B21" s="119"/>
      <c r="C21" s="119"/>
      <c r="D21" s="119"/>
      <c r="E21" s="119"/>
      <c r="F21" s="119" t="s">
        <v>119</v>
      </c>
      <c r="G21" s="119"/>
      <c r="H21" s="134" t="e">
        <f>VLOOKUP(H1,Pipe,21,FALSE)</f>
        <v>#N/A</v>
      </c>
      <c r="I21" s="134" t="e">
        <f>VLOOKUP(H1,Pipe,38,FALSE)</f>
        <v>#N/A</v>
      </c>
    </row>
    <row r="22" spans="1:9" ht="15" x14ac:dyDescent="0.35">
      <c r="A22" s="118"/>
      <c r="B22" s="120"/>
      <c r="C22" s="120"/>
      <c r="D22" s="120"/>
      <c r="E22" s="119"/>
      <c r="F22" s="119"/>
      <c r="G22" s="119"/>
      <c r="H22" s="119"/>
      <c r="I22" s="119"/>
    </row>
    <row r="23" spans="1:9" ht="15" x14ac:dyDescent="0.35">
      <c r="A23" s="118"/>
      <c r="B23" s="120"/>
      <c r="C23" s="120"/>
      <c r="D23" s="120"/>
      <c r="E23" s="119"/>
      <c r="F23" s="157"/>
      <c r="G23" s="157"/>
      <c r="H23" s="157"/>
      <c r="I23" s="157"/>
    </row>
    <row r="24" spans="1:9" x14ac:dyDescent="0.2">
      <c r="A24" s="119"/>
      <c r="B24" s="135"/>
      <c r="C24" s="136"/>
      <c r="D24" s="135"/>
      <c r="E24" s="119"/>
      <c r="F24" s="294"/>
      <c r="G24" s="294"/>
      <c r="H24" s="294"/>
      <c r="I24" s="294"/>
    </row>
    <row r="25" spans="1:9" x14ac:dyDescent="0.2">
      <c r="A25" s="119"/>
      <c r="B25" s="135"/>
      <c r="C25" s="138"/>
      <c r="D25" s="135"/>
      <c r="E25" s="119"/>
      <c r="F25" s="119"/>
      <c r="G25" s="119"/>
      <c r="H25" s="119"/>
      <c r="I25" s="119"/>
    </row>
    <row r="26" spans="1:9" ht="12.75" customHeight="1" x14ac:dyDescent="0.2">
      <c r="A26" s="126"/>
      <c r="B26" s="135"/>
      <c r="C26" s="136"/>
      <c r="D26" s="135"/>
      <c r="E26" s="119"/>
      <c r="F26" s="297"/>
      <c r="G26" s="298"/>
      <c r="H26" s="298"/>
      <c r="I26" s="298"/>
    </row>
    <row r="27" spans="1:9" ht="12.75" customHeight="1" x14ac:dyDescent="0.2">
      <c r="A27" s="119"/>
      <c r="B27" s="135"/>
      <c r="C27" s="136"/>
      <c r="D27" s="135"/>
      <c r="E27" s="119"/>
      <c r="F27" s="129"/>
      <c r="G27" s="129"/>
      <c r="H27" s="129"/>
      <c r="I27" s="129"/>
    </row>
    <row r="28" spans="1:9" x14ac:dyDescent="0.2">
      <c r="A28" s="119"/>
      <c r="B28" s="135"/>
      <c r="C28" s="140"/>
      <c r="D28" s="135"/>
      <c r="E28" s="119"/>
      <c r="F28" s="157"/>
      <c r="G28" s="157"/>
      <c r="H28" s="157"/>
      <c r="I28" s="157"/>
    </row>
    <row r="29" spans="1:9" x14ac:dyDescent="0.2">
      <c r="A29" s="119"/>
      <c r="B29" s="135"/>
      <c r="C29" s="136"/>
      <c r="D29" s="135"/>
      <c r="E29" s="130"/>
      <c r="F29" s="294"/>
      <c r="G29" s="294"/>
      <c r="H29" s="294"/>
      <c r="I29" s="294"/>
    </row>
    <row r="30" spans="1:9" x14ac:dyDescent="0.2">
      <c r="A30" s="119"/>
      <c r="B30" s="119"/>
      <c r="C30" s="119"/>
      <c r="D30" s="119"/>
      <c r="E30" s="137"/>
      <c r="F30" s="119"/>
      <c r="G30" s="119"/>
      <c r="H30" s="119"/>
      <c r="I30" s="119"/>
    </row>
    <row r="31" spans="1:9" x14ac:dyDescent="0.2">
      <c r="A31" s="157"/>
      <c r="B31" s="157"/>
      <c r="C31" s="157"/>
      <c r="D31" s="157"/>
      <c r="E31" s="130"/>
      <c r="F31" s="119"/>
      <c r="G31" s="123"/>
      <c r="H31" s="123"/>
      <c r="I31" s="123"/>
    </row>
    <row r="32" spans="1:9" x14ac:dyDescent="0.2">
      <c r="A32" s="295" t="s">
        <v>168</v>
      </c>
      <c r="B32" s="294"/>
      <c r="C32" s="294"/>
      <c r="D32" s="294"/>
      <c r="E32" s="119"/>
      <c r="F32" s="119"/>
      <c r="G32" s="139"/>
      <c r="H32" s="139"/>
      <c r="I32" s="139"/>
    </row>
    <row r="33" spans="1:9" ht="12.75" customHeight="1" x14ac:dyDescent="0.2">
      <c r="A33" s="119"/>
      <c r="B33" s="119"/>
      <c r="C33" s="119"/>
      <c r="D33" s="119"/>
      <c r="E33" s="119"/>
      <c r="F33" s="129"/>
      <c r="G33" s="124"/>
      <c r="H33" s="124"/>
      <c r="I33" s="124"/>
    </row>
    <row r="34" spans="1:9" ht="15" x14ac:dyDescent="0.35">
      <c r="A34" s="118"/>
      <c r="B34" s="120" t="s">
        <v>19</v>
      </c>
      <c r="C34" s="120" t="s">
        <v>20</v>
      </c>
      <c r="D34" s="120" t="s">
        <v>17</v>
      </c>
      <c r="E34" s="119"/>
      <c r="F34" s="129"/>
      <c r="G34" s="124"/>
      <c r="H34" s="124"/>
      <c r="I34" s="124"/>
    </row>
    <row r="35" spans="1:9" ht="15" x14ac:dyDescent="0.35">
      <c r="A35" s="118"/>
      <c r="B35" s="120"/>
      <c r="C35" s="120"/>
      <c r="D35" s="120"/>
      <c r="E35" s="119"/>
      <c r="F35" s="157"/>
      <c r="G35" s="157"/>
      <c r="H35" s="157"/>
      <c r="I35" s="157"/>
    </row>
    <row r="36" spans="1:9" x14ac:dyDescent="0.2">
      <c r="A36" s="119" t="s">
        <v>21</v>
      </c>
      <c r="B36" s="141">
        <f>'LNG Facilities'!O2</f>
        <v>203457</v>
      </c>
      <c r="C36" s="141">
        <f>'LNG Facilities'!B2</f>
        <v>2792283.1</v>
      </c>
      <c r="D36" s="130">
        <f t="shared" ref="D36:D43" si="0">+B36+C36</f>
        <v>2995740.1</v>
      </c>
      <c r="E36" s="119"/>
      <c r="F36" s="119"/>
      <c r="G36" s="119"/>
      <c r="H36" s="119"/>
      <c r="I36" s="119"/>
    </row>
    <row r="37" spans="1:9" x14ac:dyDescent="0.2">
      <c r="A37" s="119" t="s">
        <v>56</v>
      </c>
      <c r="B37" s="141">
        <v>0</v>
      </c>
      <c r="C37" s="141" t="str">
        <f>IF(ISERROR(VLOOKUP($H$1,LNG,4,FALSE)),"",VLOOKUP($H$1,LNG,4,FALSE))</f>
        <v/>
      </c>
      <c r="D37" s="130" t="e">
        <f t="shared" si="0"/>
        <v>#VALUE!</v>
      </c>
      <c r="E37" s="119"/>
      <c r="F37" s="294" t="s">
        <v>42</v>
      </c>
      <c r="G37" s="294"/>
      <c r="H37" s="294"/>
      <c r="I37" s="294"/>
    </row>
    <row r="38" spans="1:9" x14ac:dyDescent="0.2">
      <c r="A38" s="119" t="s">
        <v>22</v>
      </c>
      <c r="B38" s="141" t="str">
        <f>IF(ISERROR(VLOOKUP($H$1,LNG,18,FALSE)),"",VLOOKUP($H$1,LNG,18,FALSE))</f>
        <v/>
      </c>
      <c r="C38" s="141" t="e">
        <f>'LNG Facilities'!#REF!</f>
        <v>#REF!</v>
      </c>
      <c r="D38" s="130" t="e">
        <f t="shared" si="0"/>
        <v>#VALUE!</v>
      </c>
      <c r="E38" s="119"/>
      <c r="F38" s="119"/>
      <c r="G38" s="119"/>
      <c r="H38" s="119"/>
      <c r="I38" s="119"/>
    </row>
    <row r="39" spans="1:9" x14ac:dyDescent="0.2">
      <c r="A39" s="119" t="s">
        <v>23</v>
      </c>
      <c r="B39" s="141" t="e">
        <f>'LNG Facilities'!#REF!</f>
        <v>#REF!</v>
      </c>
      <c r="C39" s="141" t="str">
        <f>IF(ISERROR(VLOOKUP($H$1,LNG,6,FALSE)),"",VLOOKUP($H$1,LNG,6,FALSE))</f>
        <v/>
      </c>
      <c r="D39" s="130" t="e">
        <f t="shared" si="0"/>
        <v>#REF!</v>
      </c>
      <c r="E39" s="119"/>
      <c r="F39" s="119"/>
      <c r="G39" s="118" t="s">
        <v>43</v>
      </c>
      <c r="H39" s="118" t="s">
        <v>45</v>
      </c>
      <c r="I39" s="122" t="s">
        <v>46</v>
      </c>
    </row>
    <row r="40" spans="1:9" s="7" customFormat="1" ht="15" x14ac:dyDescent="0.35">
      <c r="A40" s="126" t="s">
        <v>25</v>
      </c>
      <c r="B40" s="141" t="e">
        <f>'LNG Facilities'!#REF!</f>
        <v>#REF!</v>
      </c>
      <c r="C40" s="141" t="e">
        <f>'LNG Facilities'!#REF!</f>
        <v>#REF!</v>
      </c>
      <c r="D40" s="130" t="e">
        <f t="shared" si="0"/>
        <v>#REF!</v>
      </c>
      <c r="E40" s="118"/>
      <c r="F40" s="118"/>
      <c r="G40" s="120" t="s">
        <v>44</v>
      </c>
      <c r="H40" s="120" t="s">
        <v>44</v>
      </c>
      <c r="I40" s="120" t="s">
        <v>44</v>
      </c>
    </row>
    <row r="41" spans="1:9" s="7" customFormat="1" x14ac:dyDescent="0.2">
      <c r="A41" s="119" t="s">
        <v>24</v>
      </c>
      <c r="B41" s="141" t="str">
        <f>IF(ISERROR(VLOOKUP($H$1,LNG,21,FALSE)),"",VLOOKUP($H$1,LNG,21,FALSE))</f>
        <v/>
      </c>
      <c r="C41" s="141" t="str">
        <f>IF(ISERROR(VLOOKUP($H$1,LNG,8,FALSE)),"",VLOOKUP($H$1,LNG,8,FALSE))</f>
        <v/>
      </c>
      <c r="D41" s="130" t="e">
        <f t="shared" si="0"/>
        <v>#VALUE!</v>
      </c>
      <c r="E41" s="118"/>
      <c r="F41" s="119"/>
      <c r="G41" s="125"/>
      <c r="H41" s="125"/>
      <c r="I41" s="125"/>
    </row>
    <row r="42" spans="1:9" x14ac:dyDescent="0.2">
      <c r="A42" s="119" t="s">
        <v>122</v>
      </c>
      <c r="B42" s="141" t="str">
        <f>IF(ISERROR(VLOOKUP($H$1,LNG,22,FALSE)),"",VLOOKUP($H$1,LNG,22,FALSE))</f>
        <v/>
      </c>
      <c r="C42" s="141" t="str">
        <f>IF(ISERROR(VLOOKUP($H$1,LNG,9,FALSE)),"",VLOOKUP($H$1,LNG,9,FALSE))</f>
        <v/>
      </c>
      <c r="D42" s="130" t="e">
        <f t="shared" si="0"/>
        <v>#VALUE!</v>
      </c>
      <c r="E42" s="119"/>
      <c r="F42" s="119" t="s">
        <v>57</v>
      </c>
      <c r="G42" s="125"/>
      <c r="H42" s="125"/>
      <c r="I42" s="125"/>
    </row>
    <row r="43" spans="1:9" x14ac:dyDescent="0.2">
      <c r="A43" s="119" t="s">
        <v>123</v>
      </c>
      <c r="B43" s="141" t="str">
        <f>IF(ISERROR(VLOOKUP($H$1,LNG,23,FALSE)),"",VLOOKUP($H$1,LNG,23,FALSE))</f>
        <v/>
      </c>
      <c r="C43" s="141" t="str">
        <f>IF(ISERROR(VLOOKUP($H$1,LNG,10,FALSE)),"",VLOOKUP($H$1,LNG,10,FALSE))</f>
        <v/>
      </c>
      <c r="D43" s="130" t="e">
        <f t="shared" si="0"/>
        <v>#VALUE!</v>
      </c>
      <c r="E43" s="119"/>
      <c r="F43" s="119" t="s">
        <v>49</v>
      </c>
      <c r="G43" s="124" t="str">
        <f>IF(ISERROR(VLOOKUP($H$1,Weather,18,FALSE)),"",VLOOKUP($H$1,Weather,18,FALSE))</f>
        <v/>
      </c>
      <c r="H43" s="124" t="str">
        <f>IF(ISERROR(VLOOKUP($H$1,Weather,23,FALSE)),"",VLOOKUP($H$1,Weather,23,FALSE))</f>
        <v/>
      </c>
      <c r="I43" s="124" t="str">
        <f>IF(ISERROR(VLOOKUP($H$1,Weather,28,FALSE)),"",VLOOKUP($H$1,Weather,28,FALSE))</f>
        <v/>
      </c>
    </row>
    <row r="44" spans="1:9" x14ac:dyDescent="0.2">
      <c r="A44" s="119" t="s">
        <v>26</v>
      </c>
      <c r="B44" s="130"/>
      <c r="C44" s="130" t="e">
        <f>IF(VLOOKUP(H1,LNG,11,FALSE)=(C36+C37-C38+C39-C40-C41-C42-C43),(C36+C37-C38+C39-C40-C41-C42-C43),"ERROR")</f>
        <v>#N/A</v>
      </c>
      <c r="D44" s="130" t="e">
        <f>IF((D36+D37-D38+D39-D40-D41-D42-D43)=(B44+C44),B44+C44,"ERROR")</f>
        <v>#VALUE!</v>
      </c>
      <c r="E44" s="119"/>
      <c r="F44" s="119"/>
      <c r="G44" s="125"/>
      <c r="H44" s="125"/>
      <c r="I44" s="125"/>
    </row>
    <row r="45" spans="1:9" x14ac:dyDescent="0.2">
      <c r="A45" s="119"/>
      <c r="B45" s="130"/>
      <c r="C45" s="130"/>
      <c r="D45" s="130"/>
      <c r="E45" s="119"/>
      <c r="F45" s="119"/>
      <c r="G45" s="124"/>
      <c r="H45" s="124"/>
      <c r="I45" s="124"/>
    </row>
    <row r="46" spans="1:9" x14ac:dyDescent="0.2">
      <c r="A46" s="152" t="s">
        <v>162</v>
      </c>
      <c r="B46" s="130"/>
      <c r="C46" s="143" t="s">
        <v>135</v>
      </c>
      <c r="D46" s="144" t="e">
        <f>'LNG Facilities'!#REF!+'LNG Facilities'!#REF!</f>
        <v>#REF!</v>
      </c>
      <c r="E46" s="119"/>
      <c r="F46" s="119"/>
      <c r="G46" s="125"/>
      <c r="H46" s="125"/>
      <c r="I46" s="125"/>
    </row>
    <row r="47" spans="1:9" x14ac:dyDescent="0.2">
      <c r="A47" s="152" t="s">
        <v>163</v>
      </c>
      <c r="B47" s="130"/>
      <c r="C47" s="143" t="s">
        <v>135</v>
      </c>
      <c r="D47" s="145" t="e">
        <f>'LNG Facilities'!#REF!+'LNG Facilities'!#REF!</f>
        <v>#REF!</v>
      </c>
      <c r="E47" s="119"/>
      <c r="F47" s="119"/>
      <c r="G47" s="125"/>
      <c r="H47" s="125"/>
      <c r="I47" s="125"/>
    </row>
    <row r="48" spans="1:9" x14ac:dyDescent="0.2">
      <c r="A48" s="163" t="s">
        <v>161</v>
      </c>
      <c r="B48" s="164" t="e">
        <f>SUM('LNG Facilities'!#REF!)</f>
        <v>#REF!</v>
      </c>
      <c r="C48" s="163" t="s">
        <v>156</v>
      </c>
      <c r="D48" s="165">
        <v>0</v>
      </c>
      <c r="E48" s="119"/>
      <c r="F48" s="119"/>
      <c r="G48" s="124"/>
      <c r="H48" s="124"/>
      <c r="I48" s="124"/>
    </row>
    <row r="49" spans="1:9" x14ac:dyDescent="0.2">
      <c r="A49" s="157"/>
      <c r="B49" s="157"/>
      <c r="C49" s="157"/>
      <c r="D49" s="157"/>
      <c r="E49" s="119"/>
      <c r="F49" s="119"/>
      <c r="G49" s="125"/>
      <c r="H49" s="125"/>
      <c r="I49" s="125"/>
    </row>
    <row r="50" spans="1:9" x14ac:dyDescent="0.2">
      <c r="A50" s="306" t="s">
        <v>169</v>
      </c>
      <c r="B50" s="305"/>
      <c r="C50" s="305"/>
      <c r="D50" s="305"/>
      <c r="E50" s="119"/>
      <c r="F50" s="142"/>
      <c r="G50" s="125"/>
      <c r="H50" s="125"/>
      <c r="I50" s="125"/>
    </row>
    <row r="51" spans="1:9" x14ac:dyDescent="0.2">
      <c r="A51" s="305" t="s">
        <v>164</v>
      </c>
      <c r="B51" s="305"/>
      <c r="C51" s="305"/>
      <c r="D51" s="305"/>
      <c r="E51" s="119"/>
      <c r="F51" s="119"/>
      <c r="G51" s="124"/>
      <c r="H51" s="124"/>
      <c r="I51" s="124"/>
    </row>
    <row r="52" spans="1:9" x14ac:dyDescent="0.2">
      <c r="A52" s="304" t="s">
        <v>19</v>
      </c>
      <c r="B52" s="304"/>
      <c r="C52" s="304"/>
      <c r="D52" s="304"/>
      <c r="E52" s="119"/>
      <c r="F52" s="119"/>
      <c r="G52" s="129"/>
      <c r="H52" s="129"/>
      <c r="I52" s="129"/>
    </row>
    <row r="53" spans="1:9" ht="15" x14ac:dyDescent="0.35">
      <c r="A53" s="120" t="s">
        <v>157</v>
      </c>
      <c r="B53" s="120" t="s">
        <v>35</v>
      </c>
      <c r="C53" s="120" t="s">
        <v>158</v>
      </c>
      <c r="D53" s="147"/>
      <c r="E53" s="119"/>
      <c r="F53" s="157"/>
      <c r="G53" s="157"/>
      <c r="H53" s="157"/>
      <c r="I53" s="157"/>
    </row>
    <row r="54" spans="1:9" ht="15.75" customHeight="1" x14ac:dyDescent="0.2">
      <c r="A54" s="161"/>
      <c r="B54" s="161"/>
      <c r="C54" s="161"/>
      <c r="D54" s="159"/>
      <c r="E54" s="119"/>
      <c r="F54" s="119"/>
      <c r="G54" s="158" t="s">
        <v>27</v>
      </c>
      <c r="H54" s="158"/>
      <c r="I54" s="119"/>
    </row>
    <row r="55" spans="1:9" ht="15.75" customHeight="1" x14ac:dyDescent="0.2">
      <c r="A55" s="305" t="s">
        <v>20</v>
      </c>
      <c r="B55" s="305"/>
      <c r="C55" s="305"/>
      <c r="D55" s="305"/>
      <c r="E55" s="119"/>
      <c r="F55" s="119"/>
      <c r="G55" s="119"/>
      <c r="H55" s="119"/>
      <c r="I55" s="119"/>
    </row>
    <row r="56" spans="1:9" ht="15" x14ac:dyDescent="0.35">
      <c r="A56" s="120" t="s">
        <v>160</v>
      </c>
      <c r="B56" s="120" t="s">
        <v>35</v>
      </c>
      <c r="C56" s="120" t="s">
        <v>158</v>
      </c>
      <c r="D56" s="120" t="s">
        <v>159</v>
      </c>
      <c r="E56" s="119"/>
      <c r="F56" s="119"/>
      <c r="G56" s="126" t="s">
        <v>28</v>
      </c>
      <c r="H56" s="127" t="e">
        <f>H62-H57-H58-H59-H60</f>
        <v>#N/A</v>
      </c>
      <c r="I56" s="119"/>
    </row>
    <row r="57" spans="1:9" ht="15.75" customHeight="1" x14ac:dyDescent="0.2">
      <c r="A57" s="161"/>
      <c r="B57" s="161"/>
      <c r="C57" s="161"/>
      <c r="D57" s="161"/>
      <c r="E57" s="119"/>
      <c r="F57" s="119"/>
      <c r="G57" s="146" t="s">
        <v>52</v>
      </c>
      <c r="H57" s="127" t="e">
        <f>VLOOKUP(H1,LNG,4,FALSE)</f>
        <v>#N/A</v>
      </c>
      <c r="I57" s="119"/>
    </row>
    <row r="58" spans="1:9" x14ac:dyDescent="0.2">
      <c r="A58" s="162"/>
      <c r="B58" s="160"/>
      <c r="C58" s="160"/>
      <c r="D58" s="160"/>
      <c r="E58" s="119"/>
      <c r="F58" s="119"/>
      <c r="G58" s="126" t="s">
        <v>29</v>
      </c>
      <c r="H58" s="127" t="e">
        <f>VLOOKUP(H1,Fuel,25,FALSE)</f>
        <v>#N/A</v>
      </c>
      <c r="I58" s="130"/>
    </row>
    <row r="59" spans="1:9" x14ac:dyDescent="0.2">
      <c r="A59" s="162"/>
      <c r="B59" s="160"/>
      <c r="C59" s="160"/>
      <c r="D59" s="160"/>
      <c r="E59" s="119"/>
      <c r="F59" s="119"/>
      <c r="G59" s="126" t="s">
        <v>30</v>
      </c>
      <c r="H59" s="127" t="e">
        <f>VLOOKUP(H1,Fuel,26,FALSE)</f>
        <v>#N/A</v>
      </c>
      <c r="I59" s="119"/>
    </row>
    <row r="60" spans="1:9" ht="15.75" customHeight="1" x14ac:dyDescent="0.2">
      <c r="A60" s="306" t="s">
        <v>170</v>
      </c>
      <c r="B60" s="305"/>
      <c r="C60" s="305"/>
      <c r="D60" s="305"/>
      <c r="E60" s="119"/>
      <c r="F60" s="119"/>
      <c r="G60" s="126" t="s">
        <v>31</v>
      </c>
      <c r="H60" s="127" t="e">
        <f>VLOOKUP(H1,Fuel,27,FALSE)</f>
        <v>#N/A</v>
      </c>
      <c r="I60" s="119"/>
    </row>
    <row r="61" spans="1:9" ht="15.75" customHeight="1" x14ac:dyDescent="0.2">
      <c r="A61" s="304" t="s">
        <v>19</v>
      </c>
      <c r="B61" s="304"/>
      <c r="C61" s="304"/>
      <c r="D61" s="304"/>
      <c r="E61" s="119"/>
      <c r="F61" s="119"/>
      <c r="G61" s="119"/>
      <c r="H61" s="144"/>
      <c r="I61" s="119"/>
    </row>
    <row r="62" spans="1:9" ht="15.75" customHeight="1" x14ac:dyDescent="0.35">
      <c r="A62" s="120" t="s">
        <v>157</v>
      </c>
      <c r="B62" s="120" t="s">
        <v>35</v>
      </c>
      <c r="C62" s="120" t="s">
        <v>158</v>
      </c>
      <c r="D62" s="162"/>
      <c r="E62" s="119"/>
      <c r="F62" s="119"/>
      <c r="G62" s="119" t="s">
        <v>32</v>
      </c>
      <c r="H62" s="131" t="e">
        <f>H13</f>
        <v>#N/A</v>
      </c>
      <c r="I62" s="119"/>
    </row>
    <row r="63" spans="1:9" x14ac:dyDescent="0.2">
      <c r="A63" s="161"/>
      <c r="B63" s="161"/>
      <c r="C63" s="161"/>
      <c r="D63" s="162"/>
      <c r="E63" s="119"/>
      <c r="F63" s="119"/>
      <c r="G63" s="119"/>
      <c r="H63" s="119"/>
      <c r="I63" s="119"/>
    </row>
    <row r="64" spans="1:9" x14ac:dyDescent="0.2">
      <c r="A64" s="305" t="s">
        <v>20</v>
      </c>
      <c r="B64" s="305"/>
      <c r="C64" s="305"/>
      <c r="D64" s="305"/>
      <c r="E64" s="119"/>
      <c r="F64" s="157"/>
      <c r="G64" s="157"/>
      <c r="H64" s="157"/>
      <c r="I64" s="157"/>
    </row>
    <row r="65" spans="1:9" ht="15" x14ac:dyDescent="0.35">
      <c r="A65" s="120" t="s">
        <v>160</v>
      </c>
      <c r="B65" s="120" t="s">
        <v>35</v>
      </c>
      <c r="C65" s="120" t="s">
        <v>158</v>
      </c>
      <c r="D65" s="120" t="s">
        <v>159</v>
      </c>
      <c r="E65" s="119"/>
      <c r="F65" s="119"/>
      <c r="G65" s="119"/>
      <c r="H65" s="119"/>
      <c r="I65" s="130"/>
    </row>
    <row r="66" spans="1:9" ht="15.75" customHeight="1" x14ac:dyDescent="0.2">
      <c r="A66" s="161"/>
      <c r="B66" s="161"/>
      <c r="C66" s="161"/>
      <c r="D66" s="161"/>
      <c r="E66" s="119"/>
      <c r="F66" s="119"/>
      <c r="G66" s="119"/>
      <c r="H66" s="119"/>
      <c r="I66" s="119"/>
    </row>
    <row r="67" spans="1:9" ht="15.75" customHeight="1" x14ac:dyDescent="0.2">
      <c r="A67" s="157"/>
      <c r="B67" s="157"/>
      <c r="C67" s="157"/>
      <c r="D67" s="157"/>
      <c r="E67" s="119"/>
      <c r="F67" s="119"/>
      <c r="G67" s="119"/>
      <c r="H67" s="119"/>
      <c r="I67" s="119"/>
    </row>
    <row r="68" spans="1:9" x14ac:dyDescent="0.2">
      <c r="A68" s="119"/>
      <c r="B68" s="119"/>
      <c r="C68" s="119"/>
      <c r="D68" s="119"/>
      <c r="E68" s="119"/>
      <c r="F68" s="119"/>
      <c r="G68" s="119"/>
      <c r="H68" s="119"/>
      <c r="I68" s="119"/>
    </row>
    <row r="69" spans="1:9" ht="15.75" customHeight="1" x14ac:dyDescent="0.2">
      <c r="A69" s="119"/>
      <c r="B69" s="119"/>
      <c r="C69" s="119"/>
      <c r="D69" s="119"/>
      <c r="E69" s="119"/>
      <c r="F69" s="119"/>
      <c r="G69" s="119"/>
      <c r="H69" s="119"/>
      <c r="I69" s="119"/>
    </row>
    <row r="70" spans="1:9" x14ac:dyDescent="0.2">
      <c r="A70" s="119"/>
      <c r="B70" s="119"/>
      <c r="C70" s="119"/>
      <c r="D70" s="119"/>
      <c r="E70" s="119"/>
      <c r="F70" s="119"/>
      <c r="G70" s="119"/>
      <c r="H70" s="119"/>
      <c r="I70" s="119"/>
    </row>
    <row r="71" spans="1:9" x14ac:dyDescent="0.2">
      <c r="A71" s="119"/>
      <c r="B71" s="119"/>
      <c r="C71" s="119"/>
      <c r="D71" s="119"/>
      <c r="E71" s="119"/>
      <c r="F71" s="119"/>
      <c r="G71" s="119"/>
      <c r="H71" s="119"/>
      <c r="I71" s="119"/>
    </row>
    <row r="72" spans="1:9" x14ac:dyDescent="0.2">
      <c r="A72" s="119"/>
      <c r="B72" s="119"/>
      <c r="C72" s="119"/>
      <c r="D72" s="119"/>
      <c r="E72" s="119"/>
      <c r="F72" s="119"/>
      <c r="G72" s="119"/>
      <c r="H72" s="119"/>
      <c r="I72" s="119"/>
    </row>
    <row r="73" spans="1:9" x14ac:dyDescent="0.2">
      <c r="A73" s="157"/>
      <c r="B73" s="157"/>
      <c r="C73" s="157"/>
      <c r="D73" s="157"/>
      <c r="E73" s="157"/>
      <c r="F73" s="157"/>
      <c r="G73" s="157"/>
      <c r="H73" s="157"/>
      <c r="I73" s="157"/>
    </row>
    <row r="74" spans="1:9" x14ac:dyDescent="0.2">
      <c r="E74" s="153"/>
    </row>
    <row r="75" spans="1:9" x14ac:dyDescent="0.2">
      <c r="E75" s="154"/>
    </row>
    <row r="76" spans="1:9" x14ac:dyDescent="0.2">
      <c r="E76" s="156"/>
    </row>
  </sheetData>
  <mergeCells count="19">
    <mergeCell ref="H1:I1"/>
    <mergeCell ref="H2:I2"/>
    <mergeCell ref="A6:D6"/>
    <mergeCell ref="F6:I6"/>
    <mergeCell ref="F29:I29"/>
    <mergeCell ref="F37:I37"/>
    <mergeCell ref="A32:D32"/>
    <mergeCell ref="A50:D50"/>
    <mergeCell ref="A13:D13"/>
    <mergeCell ref="F16:I16"/>
    <mergeCell ref="F24:I24"/>
    <mergeCell ref="F26:I26"/>
    <mergeCell ref="A61:D61"/>
    <mergeCell ref="A64:D64"/>
    <mergeCell ref="A20:D20"/>
    <mergeCell ref="A51:D51"/>
    <mergeCell ref="A52:D52"/>
    <mergeCell ref="A55:D55"/>
    <mergeCell ref="A60:D60"/>
  </mergeCells>
  <phoneticPr fontId="39" type="noConversion"/>
  <pageMargins left="0.75" right="0.75" top="1" bottom="1" header="0.5" footer="0.5"/>
  <pageSetup scale="6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EB5CBB-3C3A-4152-9659-82466F8093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</vt:i4>
      </vt:variant>
    </vt:vector>
  </HeadingPairs>
  <TitlesOfParts>
    <vt:vector size="31" baseType="lpstr">
      <vt:lpstr>INSTRUCTIONS</vt:lpstr>
      <vt:lpstr>stations_2007</vt:lpstr>
      <vt:lpstr>weather_2007</vt:lpstr>
      <vt:lpstr>pipeline_2007</vt:lpstr>
      <vt:lpstr>facilities_2007</vt:lpstr>
      <vt:lpstr>M&amp;R Stations</vt:lpstr>
      <vt:lpstr>Pipeline Gas</vt:lpstr>
      <vt:lpstr>Weather</vt:lpstr>
      <vt:lpstr>LNG Facilities</vt:lpstr>
      <vt:lpstr>NG Utilization</vt:lpstr>
      <vt:lpstr>Adj</vt:lpstr>
      <vt:lpstr>Sendout</vt:lpstr>
      <vt:lpstr>Titrator</vt:lpstr>
      <vt:lpstr>Odor</vt:lpstr>
      <vt:lpstr>GSD Report II</vt:lpstr>
      <vt:lpstr>GSD Yearly</vt:lpstr>
      <vt:lpstr>Day</vt:lpstr>
      <vt:lpstr>Fuel</vt:lpstr>
      <vt:lpstr>LNG</vt:lpstr>
      <vt:lpstr>ODOR</vt:lpstr>
      <vt:lpstr>Pipe</vt:lpstr>
      <vt:lpstr>'GSD Report II'!Print_Area</vt:lpstr>
      <vt:lpstr>'GSD Yearly'!Print_Area</vt:lpstr>
      <vt:lpstr>'LNG Facilities'!Print_Area</vt:lpstr>
      <vt:lpstr>Odor!Print_Area</vt:lpstr>
      <vt:lpstr>Titrator!Print_Area</vt:lpstr>
      <vt:lpstr>'LNG Facilities'!Print_Titles</vt:lpstr>
      <vt:lpstr>Sendout</vt:lpstr>
      <vt:lpstr>Stations</vt:lpstr>
      <vt:lpstr>TITR</vt:lpstr>
      <vt:lpstr>Weather</vt:lpstr>
    </vt:vector>
  </TitlesOfParts>
  <Company>pgw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E. Leonard, Jr.</dc:creator>
  <cp:lastModifiedBy>Cann, Alex</cp:lastModifiedBy>
  <cp:lastPrinted>2007-09-06T14:57:25Z</cp:lastPrinted>
  <dcterms:created xsi:type="dcterms:W3CDTF">2001-08-06T17:05:57Z</dcterms:created>
  <dcterms:modified xsi:type="dcterms:W3CDTF">2025-06-13T17:08:32Z</dcterms:modified>
</cp:coreProperties>
</file>